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'공장창고매물'!$A$1:$AD$709</definedName>
    <definedName name="_xlnm._FilterDatabase" localSheetId="1" hidden="1">'주택매물'!$A$1:$AA$1654</definedName>
    <definedName name="_xlnm._FilterDatabase" localSheetId="2" hidden="1">'토지매물'!$A$1:$V$3241</definedName>
    <definedName name="_xlnm._FilterDatabase" localSheetId="3" hidden="1">'국토부_실거래원본'!$A$1:$J$11578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 도로 접, 대형차량 진출입 편리, 청주ic 13분이내</t>
        </is>
      </c>
      <c r="Q4" s="6">
        <f>HYPERLINK("https://fin.land.naver.com/articles/2654745108",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나는</t>
        </is>
      </c>
      <c r="U4" s="4" t="n">
        <v>2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연정교차로 신축급공장 전자부품 화학 약품 화장품등</t>
        </is>
      </c>
      <c r="Q7" s="6">
        <f>HYPERLINK("https://fin.land.naver.com/articles/2652729646",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청주푸르지오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HYPERLINK("https://fin.land.naver.com/articles/2655387801",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HYPERLINK("https://fin.land.naver.com/articles/2655387601",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HYPERLINK("https://fin.land.naver.com/articles/2654665908",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1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2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73-9</t>
        </is>
      </c>
      <c r="B49" s="3" t="inlineStr">
        <is>
          <t>보전관리지역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2500</v>
      </c>
      <c r="G49" s="4" t="n">
        <v>220</v>
      </c>
      <c r="H49" s="4" t="n">
        <v>1775</v>
      </c>
      <c r="I49" s="4" t="n">
        <v>537</v>
      </c>
      <c r="J49" s="5" t="n">
        <v>0.4</v>
      </c>
      <c r="K49" s="4" t="n">
        <v>292</v>
      </c>
      <c r="L49" s="4" t="n">
        <v>88</v>
      </c>
      <c r="M49" s="5" t="n">
        <v>2.5</v>
      </c>
      <c r="N49" s="3" t="inlineStr">
        <is>
          <t>2</t>
        </is>
      </c>
      <c r="O49" s="3" t="inlineStr">
        <is>
          <t>-</t>
        </is>
      </c>
      <c r="P49" s="3" t="inlineStr">
        <is>
          <t>사진 有, 일반적인 2층과 달리 마당쪽에서 1층 처럼 바로 진입</t>
        </is>
      </c>
      <c r="Q49" s="6">
        <f>HYPERLINK("https://fin.land.naver.com/articles/2653836477", "매물Link")</f>
        <v/>
      </c>
      <c r="R49" s="6">
        <f>HYPERLINK("https://map.naver.com/p/search/강내면 연정리 73-9", "지도Link")</f>
        <v/>
      </c>
      <c r="S49" s="6">
        <f>HYPERLINK("http://www.eum.go.kr/web/ar/lu/luLandDet.jsp?pnu=4311331021100730009&amp;isNoScr=script&amp;mode=search",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36.4</v>
      </c>
      <c r="W49" s="4" t="n">
        <v>1775</v>
      </c>
      <c r="X49" s="3" t="inlineStr">
        <is>
          <t>미표기</t>
        </is>
      </c>
      <c r="Y49" s="7" t="inlineStr">
        <is>
          <t>3층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15.0m</t>
        </is>
      </c>
      <c r="AC49" s="3" t="inlineStr">
        <is>
          <t>2021-04</t>
        </is>
      </c>
      <c r="AD49" s="3" t="inlineStr">
        <is>
          <t>세로한면(가)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HYPERLINK("https://fin.land.naver.com/articles/2653718630",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HYPERLINK("https://fin.land.naver.com/articles/2655671167",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2000</v>
      </c>
      <c r="G52" s="4" t="n">
        <v>150</v>
      </c>
      <c r="H52" s="4" t="n">
        <v>998</v>
      </c>
      <c r="I52" s="4" t="n">
        <v>302</v>
      </c>
      <c r="J52" s="5" t="n">
        <v>0.5</v>
      </c>
      <c r="K52" s="4" t="n">
        <v>199</v>
      </c>
      <c r="L52" s="4" t="n">
        <v>60</v>
      </c>
      <c r="M52" s="5" t="n">
        <v>2.5</v>
      </c>
      <c r="N52" s="3" t="inlineStr">
        <is>
          <t>1</t>
        </is>
      </c>
      <c r="O52" s="3" t="inlineStr">
        <is>
          <t>-</t>
        </is>
      </c>
      <c r="P52" s="3" t="inlineStr">
        <is>
          <t>강내면 대형차 진출입 및 회차 편리한 소형 창고</t>
        </is>
      </c>
      <c r="Q52" s="6">
        <f>HYPERLINK("https://fin.land.naver.com/articles/2654245790", "매물Link")</f>
        <v/>
      </c>
      <c r="R52" s="6">
        <f>HYPERLINK("https://map.naver.com/p/search/강내면 저산리 234", "지도Link")</f>
        <v/>
      </c>
      <c r="S52" s="6">
        <f>HYPERLINK("http://www.eum.go.kr/web/ar/lu/luLandDet.jsp?pnu=4311331023102340000&amp;isNoScr=script&amp;mode=search", "토지이음")</f>
        <v/>
      </c>
      <c r="T52" s="3" t="inlineStr">
        <is>
          <t>더원</t>
        </is>
      </c>
      <c r="U52" s="4" t="n">
        <v>3</v>
      </c>
      <c r="V52" s="5" t="n">
        <v>35.2</v>
      </c>
      <c r="W52" s="4" t="n">
        <v>998</v>
      </c>
      <c r="X52" s="3" t="inlineStr">
        <is>
          <t>주건축물제2동</t>
        </is>
      </c>
      <c r="Y52" s="7" t="inlineStr">
        <is>
          <t>1층</t>
        </is>
      </c>
      <c r="Z52" s="3" t="inlineStr">
        <is>
          <t>경량철골구조</t>
        </is>
      </c>
      <c r="AA52" s="3" t="inlineStr">
        <is>
          <t>제1종근생</t>
        </is>
      </c>
      <c r="AB52" s="3" t="inlineStr">
        <is>
          <t>8.41m</t>
        </is>
      </c>
      <c r="AC52" s="3" t="inlineStr">
        <is>
          <t>2022-11</t>
        </is>
      </c>
      <c r="AD52" s="3" t="inlineStr">
        <is>
          <t>세로한면(가)</t>
        </is>
      </c>
    </row>
    <row r="53">
      <c r="A53" s="3" t="inlineStr">
        <is>
          <t>강내면 저산리 236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월세</t>
        </is>
      </c>
      <c r="F53" s="4" t="n">
        <v>800</v>
      </c>
      <c r="G53" s="4" t="n">
        <v>80</v>
      </c>
      <c r="H53" s="4" t="n">
        <v>260</v>
      </c>
      <c r="I53" s="4" t="n">
        <v>79</v>
      </c>
      <c r="J53" s="5" t="n">
        <v>1</v>
      </c>
      <c r="K53" s="4" t="n">
        <v>103</v>
      </c>
      <c r="L53" s="4" t="n">
        <v>31</v>
      </c>
      <c r="M53" s="5" t="n">
        <v>2.6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HYPERLINK("https://fin.land.naver.com/articles/2652988462", "매물Link")</f>
        <v/>
      </c>
      <c r="R53" s="6">
        <f>HYPERLINK("https://map.naver.com/p/search/강내면 저산리 236", "지도Link")</f>
        <v/>
      </c>
      <c r="S53" s="6">
        <f>HYPERLINK("http://www.eum.go.kr/web/ar/lu/luLandDet.jsp?pnu=4311331023102360000&amp;isNoScr=script&amp;mode=search",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39.7</v>
      </c>
      <c r="W53" s="4" t="n">
        <v>260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8.86m</t>
        </is>
      </c>
      <c r="AC53" s="3" t="inlineStr">
        <is>
          <t>2024-09</t>
        </is>
      </c>
      <c r="AD53" s="3" t="inlineStr">
        <is>
          <t>세로한면(가)</t>
        </is>
      </c>
    </row>
    <row r="54">
      <c r="A54" s="3" t="inlineStr">
        <is>
          <t>강내면 저산리 247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7000</v>
      </c>
      <c r="G54" s="4" t="n">
        <v>600</v>
      </c>
      <c r="H54" s="4" t="n">
        <v>3370</v>
      </c>
      <c r="I54" s="4" t="n">
        <v>1019</v>
      </c>
      <c r="J54" s="5" t="n">
        <v>0.6</v>
      </c>
      <c r="K54" s="4" t="n">
        <v>741</v>
      </c>
      <c r="L54" s="4" t="n">
        <v>224</v>
      </c>
      <c r="M54" s="5" t="n">
        <v>2.7</v>
      </c>
      <c r="N54" s="3" t="inlineStr">
        <is>
          <t>1</t>
        </is>
      </c>
      <c r="O54" s="3" t="inlineStr">
        <is>
          <t>-</t>
        </is>
      </c>
      <c r="P54" s="3" t="inlineStr">
        <is>
          <t>단독으로 넓은 마당 사용 가능한 창고</t>
        </is>
      </c>
      <c r="Q54" s="6">
        <f>HYPERLINK("https://fin.land.naver.com/articles/2654258717", "매물Link")</f>
        <v/>
      </c>
      <c r="R54" s="6">
        <f>HYPERLINK("https://map.naver.com/p/search/강내면 저산리 247", "지도Link")</f>
        <v/>
      </c>
      <c r="S54" s="6">
        <f>HYPERLINK("http://www.eum.go.kr/web/ar/lu/luLandDet.jsp?pnu=4311331023102470000&amp;isNoScr=script&amp;mode=search",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29.9</v>
      </c>
      <c r="W54" s="4" t="n">
        <v>3370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제1종근생</t>
        </is>
      </c>
      <c r="AB54" s="3" t="inlineStr">
        <is>
          <t>10.15m</t>
        </is>
      </c>
      <c r="AC54" s="3" t="inlineStr">
        <is>
          <t>2024-10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HYPERLINK("https://fin.land.naver.com/articles/2655519562",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HYPERLINK("https://fin.land.naver.com/articles/2654091247",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2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HYPERLINK("https://fin.land.naver.com/articles/2654799933",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HYPERLINK("https://fin.land.naver.com/articles/2652625582",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HYPERLINK("https://fin.land.naver.com/articles/2655439592",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HYPERLINK("https://fin.land.naver.com/articles/2655095703",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HYPERLINK("https://fin.land.naver.com/articles/2652759281",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층고7m 전력50kw 청주IC 강내IC 강내일반산업단지인근 넓은야드 공장</t>
        </is>
      </c>
      <c r="Q76" s="6">
        <f>HYPERLINK("https://fin.land.naver.com/articles/2653347409",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에이피엔주식회사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HYPERLINK("https://fin.land.naver.com/articles/2651985983",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39500</v>
      </c>
      <c r="G78" s="4" t="n">
        <v>3950</v>
      </c>
      <c r="H78" s="4" t="n">
        <v>209096</v>
      </c>
      <c r="I78" s="4" t="n">
        <v>63252</v>
      </c>
      <c r="J78" s="5" t="n">
        <v>0.1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HYPERLINK("https://fin.land.naver.com/articles/2652988504",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HYPERLINK("https://fin.land.naver.com/articles/2654182425",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HYPERLINK("https://fin.land.naver.com/articles/2650873431",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청주,오송, 세종등  산업단지 접근성 우수, 청주 I.C 약 15분거리</t>
        </is>
      </c>
      <c r="Q97" s="6">
        <f>HYPERLINK("https://fin.land.naver.com/articles/2652874170",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플러스자이합동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사진有, 왕복 도로를 통한 대형차량 및 화물차 진출입, 마당 단독사용</t>
        </is>
      </c>
      <c r="Q104" s="6">
        <f>HYPERLINK("https://fin.land.naver.com/articles/2654519146",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월세</t>
        </is>
      </c>
      <c r="F111" s="4" t="n">
        <v>2000</v>
      </c>
      <c r="G111" s="4" t="n">
        <v>130</v>
      </c>
      <c r="H111" s="4" t="n">
        <v>1434</v>
      </c>
      <c r="I111" s="4" t="n">
        <v>434</v>
      </c>
      <c r="J111" s="5" t="n">
        <v>0.3</v>
      </c>
      <c r="K111" s="4" t="n">
        <v>192</v>
      </c>
      <c r="L111" s="4" t="n">
        <v>58</v>
      </c>
      <c r="M111" s="5" t="n">
        <v>2.2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도로에 접해 접근성 용이, 창고 및 소형근생용도추천</t>
        </is>
      </c>
      <c r="Q111" s="6">
        <f>HYPERLINK("https://fin.land.naver.com/articles/2652902132",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HYPERLINK("http://www.eum.go.kr/web/ar/lu/luLandDet.jsp?pnu=4311331027103920000&amp;isNoScr=script&amp;mode=search", "토지이음")</f>
        <v/>
      </c>
      <c r="T111" s="3" t="inlineStr">
        <is>
          <t>창고의여왕</t>
        </is>
      </c>
      <c r="U111" s="4" t="n">
        <v>2</v>
      </c>
      <c r="V111" s="5" t="n">
        <v>61.1</v>
      </c>
      <c r="W111" s="4" t="n">
        <v>1434</v>
      </c>
      <c r="X111" s="3" t="inlineStr">
        <is>
          <t>주건축물제2동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8.87m</t>
        </is>
      </c>
      <c r="AC111" s="3" t="inlineStr">
        <is>
          <t>2021-07</t>
        </is>
      </c>
      <c r="AD111" s="3" t="inlineStr">
        <is>
          <t>소로한면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HYPERLINK("https://fin.land.naver.com/articles/2652114572",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HYPERLINK("https://fin.land.naver.com/articles/2650954653",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창고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HYPERLINK("https://fin.land.naver.com/articles/2650549059",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오송k랜드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52-7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8030</v>
      </c>
      <c r="I122" s="4" t="n">
        <v>2429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 10분  대형차 진출입 편리 마당 넓어 야적 가능 공장 물류창고</t>
        </is>
      </c>
      <c r="Q122" s="6">
        <f>HYPERLINK("https://fin.land.naver.com/articles/2651673529", "매물Link")</f>
        <v/>
      </c>
      <c r="R122" s="6">
        <f>HYPERLINK("https://map.naver.com/p/search/강내면 황탄리 52-7", "지도Link")</f>
        <v/>
      </c>
      <c r="S122" s="6">
        <f>HYPERLINK("http://www.eum.go.kr/web/ar/lu/luLandDet.jsp?pnu=4311331029100520007&amp;isNoScr=script&amp;mode=search",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50.7</v>
      </c>
      <c r="W122" s="4" t="n">
        <v>222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11.55m</t>
        </is>
      </c>
      <c r="AC122" s="3" t="inlineStr">
        <is>
          <t>2021-03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8027</v>
      </c>
      <c r="I123" s="4" t="n">
        <v>2428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2</t>
        </is>
      </c>
      <c r="O123" s="3" t="inlineStr">
        <is>
          <t>-</t>
        </is>
      </c>
      <c r="P123" s="3" t="inlineStr">
        <is>
          <t>층고 높고 관리 잘 된 신축급 공장, 활용도 좋은 포장된 넓은 마당</t>
        </is>
      </c>
      <c r="Q123" s="6">
        <f>HYPERLINK("https://fin.land.naver.com/articles/2652234361",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HYPERLINK("https://fin.land.naver.com/articles/2654296458",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1</t>
        </is>
      </c>
      <c r="O126" s="3" t="inlineStr">
        <is>
          <t>-</t>
        </is>
      </c>
      <c r="P126" s="3" t="inlineStr">
        <is>
          <t>대형차량진입가능, 즉시입주가능</t>
        </is>
      </c>
      <c r="Q126" s="6">
        <f>HYPERLINK("https://fin.land.naver.com/articles/2650172307",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B1</t>
        </is>
      </c>
      <c r="P127" s="3" t="inlineStr">
        <is>
          <t>공장 4개동 일괄매매, 계획관리 2차선 진입가능</t>
        </is>
      </c>
      <c r="Q127" s="6">
        <f>HYPERLINK("https://fin.land.naver.com/articles/2653325611",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단순창고용 즉시입주 차량진입가능 남세종ic 인접</t>
        </is>
      </c>
      <c r="Q129" s="6">
        <f>HYPERLINK("https://fin.land.naver.com/articles/2652570355",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호반</t>
        </is>
      </c>
      <c r="U129" s="4" t="n">
        <v>1</v>
      </c>
      <c r="V129" s="5" t="n">
        <v>135.2</v>
      </c>
      <c r="W129" s="4" t="n">
        <v>623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동물및식물관련시설</t>
        </is>
      </c>
      <c r="AB129" s="3" t="inlineStr">
        <is>
          <t>5.5m</t>
        </is>
      </c>
      <c r="AC129" s="3" t="inlineStr">
        <is>
          <t>2004-11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 창고 즉시 사용가능</t>
        </is>
      </c>
      <c r="Q130" s="6">
        <f>HYPERLINK("https://fin.land.naver.com/articles/2652376582",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탑</t>
        </is>
      </c>
      <c r="U130" s="4" t="n">
        <v>1</v>
      </c>
      <c r="V130" s="5" t="n">
        <v>135.2</v>
      </c>
      <c r="W130" s="4" t="n">
        <v>623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동물및식물관련시설</t>
        </is>
      </c>
      <c r="AB130" s="3" t="inlineStr">
        <is>
          <t>5.5m</t>
        </is>
      </c>
      <c r="AC130" s="3" t="inlineStr">
        <is>
          <t>2004-11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8.9m</t>
        </is>
      </c>
      <c r="AC132" s="3" t="inlineStr">
        <is>
          <t>2022-05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4동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HYPERLINK("https://fin.land.naver.com/articles/2651310377",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195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HYPERLINK("https://fin.land.naver.com/articles/2654660836",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1487</v>
      </c>
      <c r="I145" s="4" t="n">
        <v>450</v>
      </c>
      <c r="J145" s="5" t="n">
        <v>0.7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청주시내에서 가까운 전용마당 넓은 신축 창고 임대</t>
        </is>
      </c>
      <c r="Q145" s="6">
        <f>HYPERLINK("https://fin.land.naver.com/articles/2651969565",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매매</t>
        </is>
      </c>
      <c r="F148" s="4" t="n">
        <v>148000</v>
      </c>
      <c r="G148" s="4" t="n">
        <v>0</v>
      </c>
      <c r="H148" s="4" t="n">
        <v>1847</v>
      </c>
      <c r="I148" s="4" t="n">
        <v>559</v>
      </c>
      <c r="J148" s="5" t="n">
        <v>264.8</v>
      </c>
      <c r="K148" s="4" t="n">
        <v>340</v>
      </c>
      <c r="L148" s="4" t="n">
        <v>103</v>
      </c>
      <c r="M148" s="5" t="n">
        <v>1436.9</v>
      </c>
      <c r="N148" s="3" t="inlineStr">
        <is>
          <t>1</t>
        </is>
      </c>
      <c r="O148" s="3" t="inlineStr">
        <is>
          <t>-</t>
        </is>
      </c>
      <c r="P148" s="3" t="inlineStr">
        <is>
          <t>사진 有, 2순환 인접, 559형의 넉넉한 부지, 103형 신축 공장</t>
        </is>
      </c>
      <c r="Q148" s="6">
        <f>HYPERLINK("https://fin.land.naver.com/articles/2651815614",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가마리 세광고 인근 1층 창고 사무실</t>
        </is>
      </c>
      <c r="Q150" s="6">
        <f>HYPERLINK("https://fin.land.naver.com/articles/2650134957",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70</v>
      </c>
      <c r="H151" s="4" t="n">
        <v>416</v>
      </c>
      <c r="I151" s="4" t="n">
        <v>126</v>
      </c>
      <c r="J151" s="5" t="n">
        <v>0.6</v>
      </c>
      <c r="K151" s="4" t="n">
        <v>275</v>
      </c>
      <c r="L151" s="4" t="n">
        <v>83</v>
      </c>
      <c r="M151" s="5" t="n">
        <v>0.8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추천, 즉시입주 가능</t>
        </is>
      </c>
      <c r="Q151" s="6">
        <f>HYPERLINK("https://fin.land.naver.com/articles/2650388132",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산남태강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190</v>
      </c>
      <c r="L152" s="4" t="n">
        <v>57</v>
      </c>
      <c r="M152" s="5" t="n">
        <v>1.1</v>
      </c>
      <c r="N152" s="3" t="inlineStr">
        <is>
          <t>2</t>
        </is>
      </c>
      <c r="O152" s="3" t="inlineStr">
        <is>
          <t>-</t>
        </is>
      </c>
      <c r="P152" s="3" t="inlineStr">
        <is>
          <t>1층 60형만 임대 창고로 활용</t>
        </is>
      </c>
      <c r="Q152" s="6">
        <f>HYPERLINK("https://fin.land.naver.com/articles/2652958822",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77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10000</v>
      </c>
      <c r="G153" s="4" t="n">
        <v>540</v>
      </c>
      <c r="H153" s="4" t="n">
        <v>2390</v>
      </c>
      <c r="I153" s="4" t="n">
        <v>723</v>
      </c>
      <c r="J153" s="5" t="n">
        <v>0.7</v>
      </c>
      <c r="K153" s="4" t="n">
        <v>305</v>
      </c>
      <c r="L153" s="4" t="n">
        <v>92</v>
      </c>
      <c r="M153" s="5" t="n">
        <v>5.9</v>
      </c>
      <c r="N153" s="3" t="inlineStr">
        <is>
          <t>1</t>
        </is>
      </c>
      <c r="O153" s="3" t="inlineStr">
        <is>
          <t>-</t>
        </is>
      </c>
      <c r="P153" s="3" t="inlineStr">
        <is>
          <t>신축.주차장넓고 카페.음식점.공업사.리퍼브매장등</t>
        </is>
      </c>
      <c r="Q153" s="6">
        <f>HYPERLINK("https://fin.land.naver.com/articles/2653097318", "매물Link")</f>
        <v/>
      </c>
      <c r="R153" s="6">
        <f>HYPERLINK("https://map.naver.com/p/search/남이면 가마리 77", "지도Link")</f>
        <v/>
      </c>
      <c r="S153" s="6">
        <f>HYPERLINK("http://www.eum.go.kr/web/ar/lu/luLandDet.jsp?pnu=4311231038100770000&amp;isNoScr=script&amp;mode=search", "토지이음")</f>
        <v/>
      </c>
      <c r="T153" s="3" t="inlineStr">
        <is>
          <t>자연</t>
        </is>
      </c>
      <c r="U153" s="4" t="n">
        <v>1</v>
      </c>
      <c r="V153" s="5" t="n">
        <v>96.59999999999999</v>
      </c>
      <c r="W153" s="4" t="n">
        <v>2390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100-6</t>
        </is>
      </c>
      <c r="B154" s="3" t="inlineStr">
        <is>
          <t>자연녹지지역</t>
        </is>
      </c>
      <c r="C154" s="3" t="inlineStr">
        <is>
          <t>임야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150</v>
      </c>
      <c r="H154" s="4" t="n">
        <v>3561</v>
      </c>
      <c r="I154" s="4" t="n">
        <v>1077</v>
      </c>
      <c r="J154" s="5" t="n">
        <v>0.1</v>
      </c>
      <c r="K154" s="4" t="n">
        <v>198</v>
      </c>
      <c r="L154" s="4" t="n">
        <v>60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가좌리 전망좋은 신축 창고,제조업 가능</t>
        </is>
      </c>
      <c r="Q154" s="6">
        <f>HYPERLINK("https://fin.land.naver.com/articles/2655703615", "매물Link")</f>
        <v/>
      </c>
      <c r="R154" s="6">
        <f>HYPERLINK("https://map.naver.com/p/search/남이면 가좌리 100-6", "지도Link")</f>
        <v/>
      </c>
      <c r="S154" s="6">
        <f>HYPERLINK("http://www.eum.go.kr/web/ar/lu/luLandDet.jsp?pnu=4311231036101000006&amp;isNoScr=script&amp;mode=search", "토지이음")</f>
        <v/>
      </c>
      <c r="T154" s="3" t="inlineStr">
        <is>
          <t>청주사랑</t>
        </is>
      </c>
      <c r="U154" s="4" t="n">
        <v>1</v>
      </c>
      <c r="V154" s="5" t="n">
        <v>13</v>
      </c>
      <c r="W154" s="4" t="n">
        <v>2703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맹지</t>
        </is>
      </c>
    </row>
    <row r="155">
      <c r="A155" s="3" t="inlineStr">
        <is>
          <t>남이면 가좌리 123-4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91000</v>
      </c>
      <c r="G155" s="4" t="n">
        <v>0</v>
      </c>
      <c r="H155" s="4" t="n">
        <v>1946</v>
      </c>
      <c r="I155" s="4" t="n">
        <v>589</v>
      </c>
      <c r="J155" s="5" t="n">
        <v>154.5</v>
      </c>
      <c r="K155" s="4" t="n">
        <v>179</v>
      </c>
      <c r="L155" s="4" t="n">
        <v>54</v>
      </c>
      <c r="M155" s="5" t="n">
        <v>1685.2</v>
      </c>
      <c r="N155" s="3" t="inlineStr">
        <is>
          <t>1</t>
        </is>
      </c>
      <c r="O155" s="3" t="inlineStr">
        <is>
          <t>-</t>
        </is>
      </c>
      <c r="P155" s="3" t="inlineStr">
        <is>
          <t>사진 有, 남이면 가좌삼거리 인근  2종근생 제조업소 매매</t>
        </is>
      </c>
      <c r="Q155" s="6">
        <f>HYPERLINK("https://fin.land.naver.com/articles/2654069673", "매물Link")</f>
        <v/>
      </c>
      <c r="R155" s="6">
        <f>HYPERLINK("https://map.naver.com/p/search/남이면 가좌리 123-4", "지도Link")</f>
        <v/>
      </c>
      <c r="S155" s="6">
        <f>HYPERLINK("http://www.eum.go.kr/web/ar/lu/luLandDet.jsp?pnu=4311231036101230004&amp;isNoScr=script&amp;mode=search", "토지이음")</f>
        <v/>
      </c>
      <c r="T155" s="3" t="inlineStr">
        <is>
          <t>태성</t>
        </is>
      </c>
      <c r="U155" s="4" t="n">
        <v>1</v>
      </c>
      <c r="V155" s="5" t="n">
        <v>66.8</v>
      </c>
      <c r="W155" s="4" t="n">
        <v>1652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2</t>
        </is>
      </c>
      <c r="O156" s="3" t="inlineStr">
        <is>
          <t>-</t>
        </is>
      </c>
      <c r="P156" s="3" t="inlineStr">
        <is>
          <t>건물 1층 단독사용, 1층 앞 마당 약 1500형 단독사용, 도크 有</t>
        </is>
      </c>
      <c r="Q156" s="6">
        <f>HYPERLINK("https://fin.land.naver.com/articles/2650262891",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태성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대형차량 진출입 편리 도크시설완비 넓은 야적장</t>
        </is>
      </c>
      <c r="Q157" s="6">
        <f>HYPERLINK("https://fin.land.naver.com/articles/2650648946",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재일합동사무소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1680</v>
      </c>
      <c r="L158" s="4" t="n">
        <v>508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남청주ic, 강서하이패스ic15분 민원 걱정없는 대형공장이나 물류창고</t>
        </is>
      </c>
      <c r="Q158" s="6">
        <f>HYPERLINK("https://fin.land.naver.com/articles/2651673588",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창고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3360</v>
      </c>
      <c r="L159" s="4" t="n">
        <v>1016</v>
      </c>
      <c r="M159" s="5" t="n">
        <v>1.2</v>
      </c>
      <c r="N159" s="3" t="inlineStr">
        <is>
          <t>2</t>
        </is>
      </c>
      <c r="O159" s="3" t="inlineStr">
        <is>
          <t>-</t>
        </is>
      </c>
      <c r="P159" s="3" t="inlineStr">
        <is>
          <t>대형 신축급 공장창고 넓은 마당 확보</t>
        </is>
      </c>
      <c r="Q159" s="6">
        <f>HYPERLINK("https://fin.land.naver.com/articles/2654876552",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ic10분 교통 편리한 공장,창고</t>
        </is>
      </c>
      <c r="Q160" s="6">
        <f>HYPERLINK("https://fin.land.naver.com/articles/2653222289",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토담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156-13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2851</v>
      </c>
      <c r="I161" s="4" t="n">
        <v>862</v>
      </c>
      <c r="J161" s="5" t="n">
        <v>0.4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넓은 개인 전용마당 확보 신축급 깔끔한 창고임대</t>
        </is>
      </c>
      <c r="Q161" s="6">
        <f>HYPERLINK("https://fin.land.naver.com/articles/2652803675", "매물Link")</f>
        <v/>
      </c>
      <c r="R161" s="6">
        <f>HYPERLINK("https://map.naver.com/p/search/남이면 가좌리 156-13", "지도Link")</f>
        <v/>
      </c>
      <c r="S161" s="6">
        <f>HYPERLINK("http://www.eum.go.kr/web/ar/lu/luLandDet.jsp?pnu=4311231036101560013&amp;isNoScr=script&amp;mode=search", "토지이음")</f>
        <v/>
      </c>
      <c r="T161" s="3" t="inlineStr">
        <is>
          <t>태광</t>
        </is>
      </c>
      <c r="U161" s="4" t="n">
        <v>2</v>
      </c>
      <c r="V161" s="5" t="n">
        <v>65.5</v>
      </c>
      <c r="W161" s="4" t="n">
        <v>2851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10분거리이며 청주시내권 근접한 위치의 창고로 소매점 가능</t>
        </is>
      </c>
      <c r="Q162" s="6">
        <f>HYPERLINK("https://fin.land.naver.com/articles/2652625375",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156-17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2467</v>
      </c>
      <c r="I163" s="4" t="n">
        <v>746</v>
      </c>
      <c r="J163" s="5" t="n">
        <v>0.5</v>
      </c>
      <c r="K163" s="4" t="n">
        <v>480</v>
      </c>
      <c r="L163" s="4" t="n">
        <v>145</v>
      </c>
      <c r="M163" s="5" t="n">
        <v>2.4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 단독 마당넓은 신축창고 즉시입주가능</t>
        </is>
      </c>
      <c r="Q163" s="6">
        <f>HYPERLINK("https://fin.land.naver.com/articles/2652625233", "매물Link")</f>
        <v/>
      </c>
      <c r="R163" s="6">
        <f>HYPERLINK("https://map.naver.com/p/search/남이면 가좌리 156-17", "지도Link")</f>
        <v/>
      </c>
      <c r="S163" s="6">
        <f>HYPERLINK("http://www.eum.go.kr/web/ar/lu/luLandDet.jsp?pnu=4311231036101560017&amp;isNoScr=script&amp;mode=search",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66.8</v>
      </c>
      <c r="W163" s="4" t="n">
        <v>2467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3500</v>
      </c>
      <c r="G164" s="4" t="n">
        <v>350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남청주ic10분 마당넓은 단독창고 1종근생 사무실있음</t>
        </is>
      </c>
      <c r="Q164" s="6">
        <f>HYPERLINK("https://fin.land.naver.com/articles/2654791900",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156-18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기타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2476</v>
      </c>
      <c r="I165" s="4" t="n">
        <v>749</v>
      </c>
      <c r="J165" s="5" t="n">
        <v>0.5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남이면 상가창고임대 마당넓고 단독사용 층고높은 귀한매물</t>
        </is>
      </c>
      <c r="Q165" s="6">
        <f>HYPERLINK("https://fin.land.naver.com/articles/2653207257", "매물Link")</f>
        <v/>
      </c>
      <c r="R165" s="6">
        <f>HYPERLINK("https://map.naver.com/p/search/남이면 가좌리 156-18", "지도Link")</f>
        <v/>
      </c>
      <c r="S165" s="6">
        <f>HYPERLINK("http://www.eum.go.kr/web/ar/lu/luLandDet.jsp?pnu=4311231036101560018&amp;isNoScr=script&amp;mode=search", "토지이음")</f>
        <v/>
      </c>
      <c r="T165" s="3" t="inlineStr">
        <is>
          <t>대박</t>
        </is>
      </c>
      <c r="U165" s="4" t="n">
        <v>1</v>
      </c>
      <c r="V165" s="5" t="n">
        <v>66.09999999999999</v>
      </c>
      <c r="W165" s="4" t="n">
        <v>2476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3000</v>
      </c>
      <c r="G166" s="4" t="n">
        <v>375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nan</t>
        </is>
      </c>
      <c r="Q166" s="6">
        <f>HYPERLINK("https://fin.land.naver.com/articles/2654840314",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KS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166-3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230000</v>
      </c>
      <c r="G167" s="4" t="n">
        <v>0</v>
      </c>
      <c r="H167" s="4" t="n">
        <v>4514</v>
      </c>
      <c r="I167" s="4" t="n">
        <v>1365</v>
      </c>
      <c r="J167" s="5" t="n">
        <v>168.5</v>
      </c>
      <c r="K167" s="4" t="n">
        <v>890</v>
      </c>
      <c r="L167" s="4" t="n">
        <v>269</v>
      </c>
      <c r="M167" s="5" t="n">
        <v>855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HYPERLINK("https://fin.land.naver.com/articles/2654422989", "매물Link")</f>
        <v/>
      </c>
      <c r="R167" s="6">
        <f>HYPERLINK("https://map.naver.com/p/search/남이면 가좌리 166-3", "지도Link")</f>
        <v/>
      </c>
      <c r="S167" s="6">
        <f>HYPERLINK("http://www.eum.go.kr/web/ar/lu/luLandDet.jsp?pnu=4311231036101660003&amp;isNoScr=script&amp;mode=search", "토지이음")</f>
        <v/>
      </c>
      <c r="T167" s="3" t="inlineStr">
        <is>
          <t>초정</t>
        </is>
      </c>
      <c r="U167" s="4" t="n">
        <v>1</v>
      </c>
      <c r="V167" s="5" t="n">
        <v>65.40000000000001</v>
      </c>
      <c r="W167" s="4" t="n">
        <v>1140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168</t>
        </is>
      </c>
      <c r="B168" s="3" t="inlineStr">
        <is>
          <t>자연녹지지역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230000</v>
      </c>
      <c r="G168" s="4" t="n">
        <v>0</v>
      </c>
      <c r="H168" s="4" t="n">
        <v>2510</v>
      </c>
      <c r="I168" s="4" t="n">
        <v>759</v>
      </c>
      <c r="J168" s="5" t="n">
        <v>303</v>
      </c>
      <c r="K168" s="4" t="n">
        <v>494</v>
      </c>
      <c r="L168" s="4" t="n">
        <v>149</v>
      </c>
      <c r="M168" s="5" t="n">
        <v>1543.6</v>
      </c>
      <c r="N168" s="3" t="inlineStr">
        <is>
          <t>1</t>
        </is>
      </c>
      <c r="O168" s="3" t="inlineStr">
        <is>
          <t>-</t>
        </is>
      </c>
      <c r="P168" s="3" t="inlineStr">
        <is>
          <t>건물100형1동 건물50형1동 대지 760형</t>
        </is>
      </c>
      <c r="Q168" s="6">
        <f>HYPERLINK("https://fin.land.naver.com/articles/2654732829", "매물Link")</f>
        <v/>
      </c>
      <c r="R168" s="6">
        <f>HYPERLINK("https://map.naver.com/p/search/남이면 가좌리 168", "지도Link")</f>
        <v/>
      </c>
      <c r="S168" s="6">
        <f>HYPERLINK("http://www.eum.go.kr/web/ar/lu/luLandDet.jsp?pnu=4311231036101680000&amp;isNoScr=script&amp;mode=search", "토지이음")</f>
        <v/>
      </c>
      <c r="T168" s="3" t="inlineStr">
        <is>
          <t>위더스</t>
        </is>
      </c>
      <c r="U168" s="4" t="n">
        <v>1</v>
      </c>
      <c r="V168" s="5" t="n">
        <v>65.40000000000001</v>
      </c>
      <c r="W168" s="4" t="n">
        <v>1370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176-2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100</v>
      </c>
      <c r="H169" s="4" t="n">
        <v>1322</v>
      </c>
      <c r="I169" s="4" t="n">
        <v>400</v>
      </c>
      <c r="J169" s="5" t="n">
        <v>0.2</v>
      </c>
      <c r="K169" s="4" t="n">
        <v>132</v>
      </c>
      <c r="L169" s="4" t="n">
        <v>40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2차선접  대형차 진출입 편리 소형창고 임대 전력10kw</t>
        </is>
      </c>
      <c r="Q169" s="6">
        <f>HYPERLINK("https://fin.land.naver.com/articles/2651673705", "매물Link")</f>
        <v/>
      </c>
      <c r="R169" s="6">
        <f>HYPERLINK("https://map.naver.com/p/search/남이면 가좌리 176-2", "지도Link")</f>
        <v/>
      </c>
      <c r="S169" s="6">
        <f>HYPERLINK("http://www.eum.go.kr/web/ar/lu/luLandDet.jsp?pnu=4311231036101760002&amp;isNoScr=script&amp;mode=search",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66.8</v>
      </c>
      <c r="W169" s="4" t="n">
        <v>1322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22-3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79000</v>
      </c>
      <c r="G170" s="4" t="n">
        <v>0</v>
      </c>
      <c r="H170" s="4" t="n">
        <v>1322</v>
      </c>
      <c r="I170" s="4" t="n">
        <v>400</v>
      </c>
      <c r="J170" s="5" t="n">
        <v>197.5</v>
      </c>
      <c r="K170" s="4" t="n">
        <v>237</v>
      </c>
      <c r="L170" s="4" t="n">
        <v>72</v>
      </c>
      <c r="M170" s="5" t="n">
        <v>1097.2</v>
      </c>
      <c r="N170" s="3" t="inlineStr">
        <is>
          <t>2</t>
        </is>
      </c>
      <c r="O170" s="3" t="inlineStr">
        <is>
          <t>-</t>
        </is>
      </c>
      <c r="P170" s="3" t="inlineStr">
        <is>
          <t>접근성좋고 주차장넓은 공장,창고건물로상수도사용하며2층주거도가능함</t>
        </is>
      </c>
      <c r="Q170" s="6">
        <f>HYPERLINK("https://fin.land.naver.com/articles/2650178837", "매물Link")</f>
        <v/>
      </c>
      <c r="R170" s="6">
        <f>HYPERLINK("https://map.naver.com/p/search/남이면 가좌리 22-3", "지도Link")</f>
        <v/>
      </c>
      <c r="S170" s="6">
        <f>HYPERLINK("http://www.eum.go.kr/web/ar/lu/luLandDet.jsp?pnu=4311231036100220003&amp;isNoScr=script&amp;mode=search", "토지이음")</f>
        <v/>
      </c>
      <c r="T170" s="3" t="inlineStr">
        <is>
          <t>매일</t>
        </is>
      </c>
      <c r="U170" s="4" t="n">
        <v>1</v>
      </c>
      <c r="V170" s="5" t="n">
        <v>66.8</v>
      </c>
      <c r="W170" s="4" t="n">
        <v>1197.5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232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매매</t>
        </is>
      </c>
      <c r="F171" s="4" t="n">
        <v>93000</v>
      </c>
      <c r="G171" s="4" t="n">
        <v>0</v>
      </c>
      <c r="H171" s="4" t="n">
        <v>1984</v>
      </c>
      <c r="I171" s="4" t="n">
        <v>600</v>
      </c>
      <c r="J171" s="5" t="n">
        <v>155</v>
      </c>
      <c r="K171" s="4" t="n">
        <v>396</v>
      </c>
      <c r="L171" s="4" t="n">
        <v>120</v>
      </c>
      <c r="M171" s="5" t="n">
        <v>775</v>
      </c>
      <c r="N171" s="3" t="inlineStr">
        <is>
          <t>1</t>
        </is>
      </c>
      <c r="O171" s="3" t="inlineStr">
        <is>
          <t>-</t>
        </is>
      </c>
      <c r="P171" s="3" t="inlineStr">
        <is>
          <t>남이초등학교 근처 위치좋음 층고 높음 땅모양 좋음</t>
        </is>
      </c>
      <c r="Q171" s="6">
        <f>HYPERLINK("https://fin.land.naver.com/articles/2651195617", "매물Link")</f>
        <v/>
      </c>
      <c r="R171" s="6">
        <f>HYPERLINK("https://map.naver.com/p/search/남이면 가좌리 232", "지도Link")</f>
        <v/>
      </c>
      <c r="S171" s="6">
        <f>HYPERLINK("http://www.eum.go.kr/web/ar/lu/luLandDet.jsp?pnu=4311231036102320000&amp;isNoScr=script&amp;mode=search", "토지이음")</f>
        <v/>
      </c>
      <c r="T171" s="3" t="inlineStr">
        <is>
          <t>명품 사무소</t>
        </is>
      </c>
      <c r="U171" s="4" t="n">
        <v>1</v>
      </c>
      <c r="V171" s="5" t="n">
        <v>65.40000000000001</v>
      </c>
      <c r="W171" s="4" t="n">
        <v>1984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석곡사거리 약 12분 거리이며  2차선도로 접하여 대형차 진출입 편리</t>
        </is>
      </c>
      <c r="Q172" s="6">
        <f>HYPERLINK("https://fin.land.naver.com/articles/2651673733",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HYPERLINK("https://fin.land.naver.com/articles/2653100457",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1157</v>
      </c>
      <c r="I177" s="4" t="n">
        <v>350</v>
      </c>
      <c r="J177" s="5" t="n">
        <v>0.9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호이스트 설치된 저렴한 공장임대 진출입 매우 편리</t>
        </is>
      </c>
      <c r="Q177" s="6">
        <f>HYPERLINK("https://fin.land.naver.com/articles/2654141849",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태광</t>
        </is>
      </c>
      <c r="U177" s="4" t="n">
        <v>3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5200</v>
      </c>
      <c r="G178" s="4" t="n">
        <v>520</v>
      </c>
      <c r="H178" s="4" t="n">
        <v>5147</v>
      </c>
      <c r="I178" s="4" t="n">
        <v>1557</v>
      </c>
      <c r="J178" s="5" t="n">
        <v>0.3</v>
      </c>
      <c r="K178" s="4" t="n">
        <v>745</v>
      </c>
      <c r="L178" s="4" t="n">
        <v>225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공장 임대</t>
        </is>
      </c>
      <c r="Q178" s="6">
        <f>HYPERLINK("https://fin.land.naver.com/articles/2653030443",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월드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 도로 접,민원 소지 없는 위치,호이스트 있음,대형차량 진출입 편함</t>
        </is>
      </c>
      <c r="Q179" s="6">
        <f>HYPERLINK("https://fin.land.naver.com/articles/2653871755",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나는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 ic 15분 2차선도로 호이스트2.8톤 설치 공장등록가능</t>
        </is>
      </c>
      <c r="Q180" s="6">
        <f>HYPERLINK("https://fin.land.naver.com/articles/2651749996",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8-1</t>
        </is>
      </c>
      <c r="B181" s="3" t="inlineStr">
        <is>
          <t>자연녹지지역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180</v>
      </c>
      <c r="H181" s="4" t="n">
        <v>1279</v>
      </c>
      <c r="I181" s="4" t="n">
        <v>387</v>
      </c>
      <c r="J181" s="5" t="n">
        <v>0.5</v>
      </c>
      <c r="K181" s="4" t="n">
        <v>253</v>
      </c>
      <c r="L181" s="4" t="n">
        <v>77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마당넓은 단독공장 호이스트2.8톤 전력20kw</t>
        </is>
      </c>
      <c r="Q181" s="6">
        <f>HYPERLINK("https://fin.land.naver.com/articles/2650873433", "매물Link")</f>
        <v/>
      </c>
      <c r="R181" s="6">
        <f>HYPERLINK("https://map.naver.com/p/search/남이면 갈원리 8-1", "지도Link")</f>
        <v/>
      </c>
      <c r="S181" s="6">
        <f>HYPERLINK("http://www.eum.go.kr/web/ar/lu/luLandDet.jsp?pnu=4311231029100080001&amp;isNoScr=script&amp;mode=search",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44.6</v>
      </c>
      <c r="W181" s="4" t="n">
        <v>1279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2361</v>
      </c>
      <c r="I182" s="4" t="n">
        <v>714</v>
      </c>
      <c r="J182" s="5" t="n">
        <v>0.9</v>
      </c>
      <c r="K182" s="4" t="n">
        <v>940</v>
      </c>
      <c r="L182" s="4" t="n">
        <v>284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진출입 용이, 모든 대형 차량 출입 가능, 층고 11.5미터</t>
        </is>
      </c>
      <c r="Q182" s="6">
        <f>HYPERLINK("https://fin.land.naver.com/articles/2653396864",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제이</t>
        </is>
      </c>
      <c r="U182" s="4" t="n">
        <v>1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6500</v>
      </c>
      <c r="G183" s="4" t="n">
        <v>650</v>
      </c>
      <c r="H183" s="4" t="n">
        <v>2361</v>
      </c>
      <c r="I183" s="4" t="n">
        <v>714</v>
      </c>
      <c r="J183" s="5" t="n">
        <v>0.9</v>
      </c>
      <c r="K183" s="4" t="n">
        <v>940</v>
      </c>
      <c r="L183" s="4" t="n">
        <v>284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접한 넓은 마당, 높은 층고와 츄레라 진입 및 야적 가능</t>
        </is>
      </c>
      <c r="Q183" s="6">
        <f>HYPERLINK("https://fin.land.naver.com/articles/2655153345",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더오름</t>
        </is>
      </c>
      <c r="U183" s="4" t="n">
        <v>5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2361</v>
      </c>
      <c r="I184" s="4" t="n">
        <v>714</v>
      </c>
      <c r="J184" s="5" t="n">
        <v>0.9</v>
      </c>
      <c r="K184" s="4" t="n">
        <v>940</v>
      </c>
      <c r="L184" s="4" t="n">
        <v>284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대형차 진출입 편리한 공장 창고임대</t>
        </is>
      </c>
      <c r="Q184" s="6">
        <f>HYPERLINK("https://fin.land.naver.com/articles/2654875511",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150-11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2314</v>
      </c>
      <c r="I186" s="4" t="n">
        <v>700</v>
      </c>
      <c r="J186" s="5" t="n">
        <v>0.9</v>
      </c>
      <c r="K186" s="4" t="n">
        <v>891</v>
      </c>
      <c r="L186" s="4" t="n">
        <v>270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전용마당 넓은 깔끔한 창고공장 임대</t>
        </is>
      </c>
      <c r="Q186" s="6">
        <f>HYPERLINK("https://fin.land.naver.com/articles/2652788629", "매물Link")</f>
        <v/>
      </c>
      <c r="R186" s="6">
        <f>HYPERLINK("https://map.naver.com/p/search/남이면 구미리 150-11", "지도Link")</f>
        <v/>
      </c>
      <c r="S186" s="6">
        <f>HYPERLINK("http://www.eum.go.kr/web/ar/lu/luLandDet.jsp?pnu=4311231027101500011&amp;isNoScr=script&amp;mode=search",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29.8</v>
      </c>
      <c r="W186" s="4" t="n">
        <v>4491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4997</v>
      </c>
      <c r="I187" s="4" t="n">
        <v>1512</v>
      </c>
      <c r="J187" s="5" t="n">
        <v>0.5</v>
      </c>
      <c r="K187" s="4" t="n">
        <v>996</v>
      </c>
      <c r="L187" s="4" t="n">
        <v>301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신축대형창고 진출입 매우 편리</t>
        </is>
      </c>
      <c r="Q187" s="6">
        <f>HYPERLINK("https://fin.land.naver.com/articles/2651995817",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</v>
      </c>
      <c r="G188" s="4" t="n">
        <v>0</v>
      </c>
      <c r="H188" s="4" t="n">
        <v>4997</v>
      </c>
      <c r="I188" s="4" t="n">
        <v>1512</v>
      </c>
      <c r="J188" s="5" t="n">
        <v>231.5</v>
      </c>
      <c r="K188" s="4" t="n">
        <v>1988</v>
      </c>
      <c r="L188" s="4" t="n">
        <v>601</v>
      </c>
      <c r="M188" s="5" t="n">
        <v>582.4</v>
      </c>
      <c r="N188" s="3" t="inlineStr">
        <is>
          <t>1</t>
        </is>
      </c>
      <c r="O188" s="3" t="inlineStr">
        <is>
          <t>-</t>
        </is>
      </c>
      <c r="P188" s="3" t="inlineStr">
        <is>
          <t>산밑 한적한 위치에  공장입니다</t>
        </is>
      </c>
      <c r="Q188" s="6">
        <f>HYPERLINK("https://fin.land.naver.com/articles/2653097944",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복댕이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사진 有, 위치 및 도로여건 좋음, 야드 넓음, 신축급 300형 임대</t>
        </is>
      </c>
      <c r="Q189" s="6">
        <f>HYPERLINK("https://fin.land.naver.com/articles/2655092815",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태성</t>
        </is>
      </c>
      <c r="U189" s="4" t="n">
        <v>3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4997</v>
      </c>
      <c r="I190" s="4" t="n">
        <v>1512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 접근성좋은 위치 단독공장 즉시입주가능</t>
        </is>
      </c>
      <c r="Q190" s="6">
        <f>HYPERLINK("https://fin.land.naver.com/articles/2654142418",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45034</v>
      </c>
      <c r="I191" s="4" t="n">
        <v>13623</v>
      </c>
      <c r="J191" s="5" t="n">
        <v>0.4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물류창고 임대</t>
        </is>
      </c>
      <c r="Q191" s="6">
        <f>HYPERLINK("https://fin.land.naver.com/articles/2652355624",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17187</v>
      </c>
      <c r="I192" s="4" t="n">
        <v>5199</v>
      </c>
      <c r="J192" s="5" t="n">
        <v>1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남청주ic 10분거리 단독 대형 물류창고  도크시설 완비</t>
        </is>
      </c>
      <c r="Q192" s="6">
        <f>HYPERLINK("https://fin.land.naver.com/articles/2655177920",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더원</t>
        </is>
      </c>
      <c r="U192" s="4" t="n">
        <v>2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1808</v>
      </c>
      <c r="I194" s="4" t="n">
        <v>547</v>
      </c>
      <c r="J194" s="5" t="n">
        <v>0.3</v>
      </c>
      <c r="K194" s="4" t="n">
        <v>196</v>
      </c>
      <c r="L194" s="4" t="n">
        <v>59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즉시입주가능, 민원소지없는 2종근생제조업, 준식축급공장</t>
        </is>
      </c>
      <c r="Q194" s="6">
        <f>HYPERLINK("https://fin.land.naver.com/articles/2652908776",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계확관리지역 내 제2종근생 제조업소</t>
        </is>
      </c>
      <c r="Q196" s="6">
        <f>HYPERLINK("https://fin.land.naver.com/articles/2655152936",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새로이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186</v>
      </c>
      <c r="L197" s="4" t="n">
        <v>56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56형 현재 공실 2종근생 제조업</t>
        </is>
      </c>
      <c r="Q197" s="6">
        <f>HYPERLINK("https://fin.land.naver.com/articles/2654155033",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4470</v>
      </c>
      <c r="I198" s="4" t="n">
        <v>1352</v>
      </c>
      <c r="J198" s="5" t="n">
        <v>0.5</v>
      </c>
      <c r="K198" s="4" t="n">
        <v>992</v>
      </c>
      <c r="L198" s="4" t="n">
        <v>300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 有, 신축 중인 1개동에 300형씩 임대, 2개동 사용 가능</t>
        </is>
      </c>
      <c r="Q198" s="6">
        <f>HYPERLINK("https://fin.land.naver.com/articles/2651592763",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태성</t>
        </is>
      </c>
      <c r="U198" s="4" t="n">
        <v>2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4470</v>
      </c>
      <c r="I200" s="4" t="n">
        <v>1352</v>
      </c>
      <c r="J200" s="5" t="n">
        <v>0.5</v>
      </c>
      <c r="K200" s="4" t="n">
        <v>1983</v>
      </c>
      <c r="L200" s="4" t="n">
        <v>600</v>
      </c>
      <c r="M200" s="5" t="n">
        <v>1.1</v>
      </c>
      <c r="N200" s="3" t="inlineStr">
        <is>
          <t>1</t>
        </is>
      </c>
      <c r="O200" s="3" t="inlineStr">
        <is>
          <t>-</t>
        </is>
      </c>
      <c r="P200" s="3" t="inlineStr">
        <is>
          <t>준공예정인 신축창고공장 임대. 총 600형 2개동으로 사용가능</t>
        </is>
      </c>
      <c r="Q200" s="6">
        <f>HYPERLINK("https://fin.land.naver.com/articles/2654143060",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태광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2948</v>
      </c>
      <c r="I201" s="4" t="n">
        <v>892</v>
      </c>
      <c r="J201" s="5" t="n">
        <v>0.8</v>
      </c>
      <c r="K201" s="4" t="n">
        <v>998</v>
      </c>
      <c r="L201" s="4" t="n">
        <v>302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신축단독공장,2차선인접,민원소지적고 대형차 진출입용이</t>
        </is>
      </c>
      <c r="Q201" s="6">
        <f>HYPERLINK("https://fin.land.naver.com/articles/2655509889",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2645</v>
      </c>
      <c r="I203" s="4" t="n">
        <v>800</v>
      </c>
      <c r="J203" s="5" t="n">
        <v>175</v>
      </c>
      <c r="K203" s="4" t="n">
        <v>921</v>
      </c>
      <c r="L203" s="4" t="n">
        <v>279</v>
      </c>
      <c r="M203" s="5" t="n">
        <v>501.8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남청주ic 15분 신축 한동 279 층고 10.65m 소음업종가능</t>
        </is>
      </c>
      <c r="Q203" s="6">
        <f>HYPERLINK("https://fin.land.naver.com/articles/2654806126",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259-8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2720</v>
      </c>
      <c r="I206" s="4" t="n">
        <v>823</v>
      </c>
      <c r="J206" s="5" t="n">
        <v>0.8</v>
      </c>
      <c r="K206" s="4" t="n">
        <v>998</v>
      </c>
      <c r="L206" s="4" t="n">
        <v>302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임대</t>
        </is>
      </c>
      <c r="Q206" s="6">
        <f>HYPERLINK("https://fin.land.naver.com/articles/2653030214", "매물Link")</f>
        <v/>
      </c>
      <c r="R206" s="6">
        <f>HYPERLINK("https://map.naver.com/p/search/남이면 구미리 259-8", "지도Link")</f>
        <v/>
      </c>
      <c r="S206" s="6">
        <f>HYPERLINK("http://www.eum.go.kr/web/ar/lu/luLandDet.jsp?pnu=4311231027102590008&amp;isNoScr=script&amp;mode=search",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4.4</v>
      </c>
      <c r="W206" s="4" t="n">
        <v>1427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260-1</t>
        </is>
      </c>
      <c r="B207" s="3" t="inlineStr">
        <is>
          <t>계획관리지역</t>
        </is>
      </c>
      <c r="C207" s="3" t="inlineStr">
        <is>
          <t>전</t>
        </is>
      </c>
      <c r="D207" s="3" t="inlineStr">
        <is>
          <t>창고</t>
        </is>
      </c>
      <c r="E207" s="3" t="inlineStr">
        <is>
          <t>월세</t>
        </is>
      </c>
      <c r="F207" s="4" t="n">
        <v>23000</v>
      </c>
      <c r="G207" s="4" t="n">
        <v>2300</v>
      </c>
      <c r="H207" s="4" t="n">
        <v>10578</v>
      </c>
      <c r="I207" s="4" t="n">
        <v>3200</v>
      </c>
      <c r="J207" s="5" t="n">
        <v>0.7</v>
      </c>
      <c r="K207" s="4" t="n">
        <v>3272</v>
      </c>
      <c r="L207" s="4" t="n">
        <v>990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 공장임대 마당 넓음 총 4개동 인접</t>
        </is>
      </c>
      <c r="Q207" s="6">
        <f>HYPERLINK("https://fin.land.naver.com/articles/2655566488", "매물Link")</f>
        <v/>
      </c>
      <c r="R207" s="6">
        <f>HYPERLINK("https://map.naver.com/p/search/남이면 구미리 260-1", "지도Link")</f>
        <v/>
      </c>
      <c r="S207" s="6">
        <f>HYPERLINK("http://www.eum.go.kr/web/ar/lu/luLandDet.jsp?pnu=4311231027102600001&amp;isNoScr=script&amp;mode=search",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16.9</v>
      </c>
      <c r="W207" s="4" t="n">
        <v>1623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277</t>
        </is>
      </c>
      <c r="B208" s="3" t="inlineStr">
        <is>
          <t>계획관리지역</t>
        </is>
      </c>
      <c r="C208" s="3" t="inlineStr">
        <is>
          <t>창고용지</t>
        </is>
      </c>
      <c r="D208" s="3" t="inlineStr">
        <is>
          <t>창고</t>
        </is>
      </c>
      <c r="E208" s="3" t="inlineStr">
        <is>
          <t>월세</t>
        </is>
      </c>
      <c r="F208" s="4" t="n">
        <v>80000</v>
      </c>
      <c r="G208" s="4" t="n">
        <v>8000</v>
      </c>
      <c r="H208" s="4" t="n">
        <v>24837</v>
      </c>
      <c r="I208" s="4" t="n">
        <v>7513</v>
      </c>
      <c r="J208" s="5" t="n">
        <v>1.1</v>
      </c>
      <c r="K208" s="4" t="n">
        <v>9878</v>
      </c>
      <c r="L208" s="4" t="n">
        <v>2988</v>
      </c>
      <c r="M208" s="5" t="n">
        <v>2.7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남청주IC인접.물류 이동 최적.넓은 규모의 대형창고.물류창고</t>
        </is>
      </c>
      <c r="Q208" s="6">
        <f>HYPERLINK("https://fin.land.naver.com/articles/2654721266", "매물Link")</f>
        <v/>
      </c>
      <c r="R208" s="6">
        <f>HYPERLINK("https://map.naver.com/p/search/남이면 구미리 277", "지도Link")</f>
        <v/>
      </c>
      <c r="S208" s="6">
        <f>HYPERLINK("http://www.eum.go.kr/web/ar/lu/luLandDet.jsp?pnu=4311231027102770000&amp;isNoScr=script&amp;mode=search", "토지이음")</f>
        <v/>
      </c>
      <c r="T208" s="3" t="inlineStr">
        <is>
          <t>재일</t>
        </is>
      </c>
      <c r="U208" s="4" t="n">
        <v>3</v>
      </c>
      <c r="V208" s="5" t="n">
        <v>43.5</v>
      </c>
      <c r="W208" s="4" t="n">
        <v>24837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구미리 277</t>
        </is>
      </c>
      <c r="B209" s="3" t="inlineStr">
        <is>
          <t>계획관리지역</t>
        </is>
      </c>
      <c r="C209" s="3" t="inlineStr">
        <is>
          <t>창고용지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80000</v>
      </c>
      <c r="G209" s="4" t="n">
        <v>8000</v>
      </c>
      <c r="H209" s="4" t="n">
        <v>24837</v>
      </c>
      <c r="I209" s="4" t="n">
        <v>7513</v>
      </c>
      <c r="J209" s="5" t="n">
        <v>1.1</v>
      </c>
      <c r="K209" s="4" t="n">
        <v>9878</v>
      </c>
      <c r="L209" s="4" t="n">
        <v>2988</v>
      </c>
      <c r="M209" s="5" t="n">
        <v>2.7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대형창고 임대</t>
        </is>
      </c>
      <c r="Q209" s="6">
        <f>HYPERLINK("https://fin.land.naver.com/articles/2652355457", "매물Link")</f>
        <v/>
      </c>
      <c r="R209" s="6">
        <f>HYPERLINK("https://map.naver.com/p/search/남이면 구미리 277", "지도Link")</f>
        <v/>
      </c>
      <c r="S209" s="6">
        <f>HYPERLINK("http://www.eum.go.kr/web/ar/lu/luLandDet.jsp?pnu=4311231027102770000&amp;isNoScr=script&amp;mode=search",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43.5</v>
      </c>
      <c r="W209" s="4" t="n">
        <v>24837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4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28-5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450000</v>
      </c>
      <c r="G211" s="4" t="n">
        <v>0</v>
      </c>
      <c r="H211" s="4" t="n">
        <v>14324</v>
      </c>
      <c r="I211" s="4" t="n">
        <v>4333</v>
      </c>
      <c r="J211" s="5" t="n">
        <v>103.9</v>
      </c>
      <c r="K211" s="4" t="n">
        <v>864</v>
      </c>
      <c r="L211" s="4" t="n">
        <v>261</v>
      </c>
      <c r="M211" s="5" t="n">
        <v>1724.1</v>
      </c>
      <c r="N211" s="3" t="inlineStr">
        <is>
          <t>1</t>
        </is>
      </c>
      <c r="O211" s="3" t="inlineStr">
        <is>
          <t>-</t>
        </is>
      </c>
      <c r="P211" s="3" t="inlineStr">
        <is>
          <t>주요도시로 진출입 및 이동이 편리한 위치, 활용도 좋은 넓은 토지</t>
        </is>
      </c>
      <c r="Q211" s="6">
        <f>HYPERLINK("https://fin.land.naver.com/articles/2651587386", "매물Link")</f>
        <v/>
      </c>
      <c r="R211" s="6">
        <f>HYPERLINK("https://map.naver.com/p/search/남이면 구미리 28-5", "지도Link")</f>
        <v/>
      </c>
      <c r="S211" s="6">
        <f>HYPERLINK("http://www.eum.go.kr/web/ar/lu/luLandDet.jsp?pnu=4311231027100280005&amp;isNoScr=script&amp;mode=search",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44.6</v>
      </c>
      <c r="W211" s="4" t="n">
        <v>5540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구미리 281-16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4500</v>
      </c>
      <c r="G212" s="4" t="n">
        <v>450</v>
      </c>
      <c r="H212" s="4" t="n">
        <v>3779</v>
      </c>
      <c r="I212" s="4" t="n">
        <v>1143</v>
      </c>
      <c r="J212" s="5" t="n">
        <v>0.4</v>
      </c>
      <c r="K212" s="4" t="n">
        <v>1392</v>
      </c>
      <c r="L212" s="4" t="n">
        <v>421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청주공장임대 600제곱미터 보증금4500만원 월450만원 부가세 별도</t>
        </is>
      </c>
      <c r="Q212" s="6">
        <f>HYPERLINK("https://fin.land.naver.com/articles/2650552499", "매물Link")</f>
        <v/>
      </c>
      <c r="R212" s="6">
        <f>HYPERLINK("https://map.naver.com/p/search/남이면 구미리 281-16", "지도Link")</f>
        <v/>
      </c>
      <c r="S212" s="6">
        <f>HYPERLINK("http://www.eum.go.kr/web/ar/lu/luLandDet.jsp?pnu=4311231027102810016&amp;isNoScr=script&amp;mode=search", "토지이음")</f>
        <v/>
      </c>
      <c r="T212" s="3" t="inlineStr">
        <is>
          <t>대박</t>
        </is>
      </c>
      <c r="U212" s="4" t="n">
        <v>1</v>
      </c>
      <c r="V212" s="5" t="n">
        <v>43.1</v>
      </c>
      <c r="W212" s="4" t="n">
        <v>3779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281-16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4500</v>
      </c>
      <c r="G213" s="4" t="n">
        <v>450</v>
      </c>
      <c r="H213" s="4" t="n">
        <v>3779</v>
      </c>
      <c r="I213" s="4" t="n">
        <v>1143</v>
      </c>
      <c r="J213" s="5" t="n">
        <v>0.4</v>
      </c>
      <c r="K213" s="4" t="n">
        <v>600</v>
      </c>
      <c r="L213" s="4" t="n">
        <v>182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층고가 높아 3단 적재도 충분한 창고</t>
        </is>
      </c>
      <c r="Q213" s="6">
        <f>HYPERLINK("https://fin.land.naver.com/articles/2652900624", "매물Link")</f>
        <v/>
      </c>
      <c r="R213" s="6">
        <f>HYPERLINK("https://map.naver.com/p/search/남이면 구미리 281-16", "지도Link")</f>
        <v/>
      </c>
      <c r="S213" s="6">
        <f>HYPERLINK("http://www.eum.go.kr/web/ar/lu/luLandDet.jsp?pnu=4311231027102810016&amp;isNoScr=script&amp;mode=search", "토지이음")</f>
        <v/>
      </c>
      <c r="T213" s="3" t="inlineStr">
        <is>
          <t>창고의여왕</t>
        </is>
      </c>
      <c r="U213" s="4" t="n">
        <v>1</v>
      </c>
      <c r="V213" s="5" t="n">
        <v>43.1</v>
      </c>
      <c r="W213" s="4" t="n">
        <v>3779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구암리 308-16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300</v>
      </c>
      <c r="H215" s="4" t="n">
        <v>3524</v>
      </c>
      <c r="I215" s="4" t="n">
        <v>1066</v>
      </c>
      <c r="J215" s="5" t="n">
        <v>0.3</v>
      </c>
      <c r="K215" s="4" t="n">
        <v>270</v>
      </c>
      <c r="L215" s="4" t="n">
        <v>82</v>
      </c>
      <c r="M215" s="5" t="n">
        <v>3.7</v>
      </c>
      <c r="N215" s="3" t="inlineStr">
        <is>
          <t>1</t>
        </is>
      </c>
      <c r="O215" s="3" t="inlineStr">
        <is>
          <t>-</t>
        </is>
      </c>
      <c r="P215" s="3" t="inlineStr">
        <is>
          <t>건물 82형 대지 500형 단독건물</t>
        </is>
      </c>
      <c r="Q215" s="6">
        <f>HYPERLINK("https://fin.land.naver.com/articles/2654732218", "매물Link")</f>
        <v/>
      </c>
      <c r="R215" s="6">
        <f>HYPERLINK("https://map.naver.com/p/search/남이면 구암리 308-16", "지도Link")</f>
        <v/>
      </c>
      <c r="S215" s="6">
        <f>HYPERLINK("http://www.eum.go.kr/web/ar/lu/luLandDet.jsp?pnu=4311231032103080016&amp;isNoScr=script&amp;mode=search", "토지이음")</f>
        <v/>
      </c>
      <c r="T215" s="3" t="inlineStr">
        <is>
          <t>위더스</t>
        </is>
      </c>
      <c r="U215" s="4" t="n">
        <v>1</v>
      </c>
      <c r="V215" s="5" t="n">
        <v>49.5</v>
      </c>
      <c r="W215" s="4" t="n">
        <v>3524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세로각지(가)</t>
        </is>
      </c>
    </row>
    <row r="216">
      <c r="A216" s="3" t="inlineStr">
        <is>
          <t>남이면 대련리 270-1</t>
        </is>
      </c>
      <c r="B216" s="3" t="inlineStr">
        <is>
          <t>자연녹지지역</t>
        </is>
      </c>
      <c r="C216" s="3" t="inlineStr">
        <is>
          <t>잡종지</t>
        </is>
      </c>
      <c r="D216" s="3" t="inlineStr">
        <is>
          <t>창고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2066</v>
      </c>
      <c r="I216" s="4" t="n">
        <v>625</v>
      </c>
      <c r="J216" s="5" t="n">
        <v>416</v>
      </c>
      <c r="K216" s="4" t="n">
        <v>494</v>
      </c>
      <c r="L216" s="4" t="n">
        <v>149</v>
      </c>
      <c r="M216" s="5" t="n">
        <v>1745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창고 매매</t>
        </is>
      </c>
      <c r="Q216" s="6">
        <f>HYPERLINK("https://fin.land.naver.com/articles/2650521790", "매물Link")</f>
        <v/>
      </c>
      <c r="R216" s="6">
        <f>HYPERLINK("https://map.naver.com/p/search/남이면 대련리 270-1", "지도Link")</f>
        <v/>
      </c>
      <c r="S216" s="6">
        <f>HYPERLINK("http://www.eum.go.kr/web/ar/lu/luLandDet.jsp?pnu=4311231035102700001&amp;isNoScr=script&amp;mode=search",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86</v>
      </c>
      <c r="W216" s="4" t="n">
        <v>987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중로한면</t>
        </is>
      </c>
    </row>
    <row r="217">
      <c r="A217" s="3" t="inlineStr">
        <is>
          <t>남이면 대련리 57-1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420</v>
      </c>
      <c r="H217" s="4" t="n">
        <v>2415</v>
      </c>
      <c r="I217" s="4" t="n">
        <v>731</v>
      </c>
      <c r="J217" s="5" t="n">
        <v>0.6</v>
      </c>
      <c r="K217" s="4" t="n">
        <v>534</v>
      </c>
      <c r="L217" s="4" t="n">
        <v>162</v>
      </c>
      <c r="M217" s="5" t="n">
        <v>2.6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HYPERLINK("https://fin.land.naver.com/articles/2653028674", "매물Link")</f>
        <v/>
      </c>
      <c r="R217" s="6">
        <f>HYPERLINK("https://map.naver.com/p/search/남이면 대련리 57-1", "지도Link")</f>
        <v/>
      </c>
      <c r="S217" s="6">
        <f>HYPERLINK("http://www.eum.go.kr/web/ar/lu/luLandDet.jsp?pnu=4311231035100570001&amp;isNoScr=script&amp;mode=search",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87.59999999999999</v>
      </c>
      <c r="W217" s="4" t="n">
        <v>2687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대련리 57-4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530000</v>
      </c>
      <c r="G218" s="4" t="n">
        <v>0</v>
      </c>
      <c r="H218" s="4" t="n">
        <v>7706</v>
      </c>
      <c r="I218" s="4" t="n">
        <v>2331</v>
      </c>
      <c r="J218" s="5" t="n">
        <v>227.4</v>
      </c>
      <c r="K218" s="4" t="n">
        <v>1489</v>
      </c>
      <c r="L218" s="4" t="n">
        <v>450</v>
      </c>
      <c r="M218" s="5" t="n">
        <v>1177.8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HYPERLINK("https://fin.land.naver.com/articles/2650518771", "매물Link")</f>
        <v/>
      </c>
      <c r="R218" s="6">
        <f>HYPERLINK("https://map.naver.com/p/search/남이면 대련리 57-4", "지도Link")</f>
        <v/>
      </c>
      <c r="S218" s="6">
        <f>HYPERLINK("http://www.eum.go.kr/web/ar/lu/luLandDet.jsp?pnu=4311231035100570004&amp;isNoScr=script&amp;mode=search",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76.09999999999999</v>
      </c>
      <c r="W218" s="4" t="n">
        <v>2454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대련리 57-4</t>
        </is>
      </c>
      <c r="B219" s="3" t="inlineStr">
        <is>
          <t>자연녹지지역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530000</v>
      </c>
      <c r="G219" s="4" t="n">
        <v>0</v>
      </c>
      <c r="H219" s="4" t="n">
        <v>9275</v>
      </c>
      <c r="I219" s="4" t="n">
        <v>2806</v>
      </c>
      <c r="J219" s="5" t="n">
        <v>188.9</v>
      </c>
      <c r="K219" s="4" t="n">
        <v>1488</v>
      </c>
      <c r="L219" s="4" t="n">
        <v>450</v>
      </c>
      <c r="M219" s="5" t="n">
        <v>1177.8</v>
      </c>
      <c r="N219" s="3" t="inlineStr">
        <is>
          <t>2</t>
        </is>
      </c>
      <c r="O219" s="3" t="inlineStr">
        <is>
          <t>-</t>
        </is>
      </c>
      <c r="P219" s="3" t="inlineStr">
        <is>
          <t>청주JC인근, 대형차 진출입 양호, 층고 8.5m의 공장과 근생건물</t>
        </is>
      </c>
      <c r="Q219" s="6">
        <f>HYPERLINK("https://fin.land.naver.com/articles/2650621151", "매물Link")</f>
        <v/>
      </c>
      <c r="R219" s="6">
        <f>HYPERLINK("https://map.naver.com/p/search/남이면 대련리 57-4", "지도Link")</f>
        <v/>
      </c>
      <c r="S219" s="6">
        <f>HYPERLINK("http://www.eum.go.kr/web/ar/lu/luLandDet.jsp?pnu=4311231035100570004&amp;isNoScr=script&amp;mode=search", "토지이음")</f>
        <v/>
      </c>
      <c r="T219" s="3" t="inlineStr">
        <is>
          <t>(주)미르</t>
        </is>
      </c>
      <c r="U219" s="4" t="n">
        <v>1</v>
      </c>
      <c r="V219" s="5" t="n">
        <v>76.09999999999999</v>
      </c>
      <c r="W219" s="4" t="n">
        <v>2454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대련리 57-8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7870</v>
      </c>
      <c r="I220" s="4" t="n">
        <v>2381</v>
      </c>
      <c r="J220" s="5" t="n">
        <v>222.6</v>
      </c>
      <c r="K220" s="4" t="n">
        <v>1489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공장 4개동으로 구성, 대형차량 진출입 편리한 공장 매매</t>
        </is>
      </c>
      <c r="Q220" s="6">
        <f>HYPERLINK("https://fin.land.naver.com/articles/2651026028", "매물Link")</f>
        <v/>
      </c>
      <c r="R220" s="6">
        <f>HYPERLINK("https://map.naver.com/p/search/남이면 대련리 57-8", "지도Link")</f>
        <v/>
      </c>
      <c r="S220" s="6">
        <f>HYPERLINK("http://www.eum.go.kr/web/ar/lu/luLandDet.jsp?pnu=4311231035100570008&amp;isNoScr=script&amp;mode=search",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72.3</v>
      </c>
      <c r="W220" s="4" t="n">
        <v>722.5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2500</v>
      </c>
      <c r="G221" s="4" t="n">
        <v>230</v>
      </c>
      <c r="H221" s="4" t="n">
        <v>1842</v>
      </c>
      <c r="I221" s="4" t="n">
        <v>557</v>
      </c>
      <c r="J221" s="5" t="n">
        <v>0.4</v>
      </c>
      <c r="K221" s="4" t="n">
        <v>494</v>
      </c>
      <c r="L221" s="4" t="n">
        <v>149</v>
      </c>
      <c r="M221" s="5" t="n">
        <v>1.5</v>
      </c>
      <c r="N221" s="3" t="inlineStr">
        <is>
          <t>2</t>
        </is>
      </c>
      <c r="O221" s="3" t="inlineStr">
        <is>
          <t>-</t>
        </is>
      </c>
      <c r="P221" s="3" t="inlineStr">
        <is>
          <t>1층 100형 마당400형</t>
        </is>
      </c>
      <c r="Q221" s="6">
        <f>HYPERLINK("https://fin.land.naver.com/articles/2650897432",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대련리 86-1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165000</v>
      </c>
      <c r="G222" s="4" t="n">
        <v>0</v>
      </c>
      <c r="H222" s="4" t="n">
        <v>2139</v>
      </c>
      <c r="I222" s="4" t="n">
        <v>647</v>
      </c>
      <c r="J222" s="5" t="n">
        <v>255</v>
      </c>
      <c r="K222" s="4" t="n">
        <v>494</v>
      </c>
      <c r="L222" s="4" t="n">
        <v>149</v>
      </c>
      <c r="M222" s="5" t="n">
        <v>1107.4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사진有, 1층 3톤 호이스트, 2층 사무실 큰 대로변에서 바로 진입</t>
        </is>
      </c>
      <c r="Q222" s="6">
        <f>HYPERLINK("https://fin.land.naver.com/articles/2655516752", "매물Link")</f>
        <v/>
      </c>
      <c r="R222" s="6">
        <f>HYPERLINK("https://map.naver.com/p/search/남이면 대련리 86-1", "지도Link")</f>
        <v/>
      </c>
      <c r="S222" s="6">
        <f>HYPERLINK("http://www.eum.go.kr/web/ar/lu/luLandDet.jsp?pnu=4311231035100860001&amp;isNoScr=script&amp;mode=search", "토지이음")</f>
        <v/>
      </c>
      <c r="T222" s="3" t="inlineStr">
        <is>
          <t>태성</t>
        </is>
      </c>
      <c r="U222" s="4" t="n">
        <v>1</v>
      </c>
      <c r="V222" s="5" t="n">
        <v>71.8</v>
      </c>
      <c r="W222" s="4" t="n">
        <v>1842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부용외천리 528-2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매매</t>
        </is>
      </c>
      <c r="F223" s="4" t="n">
        <v>252000</v>
      </c>
      <c r="G223" s="4" t="n">
        <v>0</v>
      </c>
      <c r="H223" s="4" t="n">
        <v>2312</v>
      </c>
      <c r="I223" s="4" t="n">
        <v>699</v>
      </c>
      <c r="J223" s="5" t="n">
        <v>360.5</v>
      </c>
      <c r="K223" s="4" t="n">
        <v>1000</v>
      </c>
      <c r="L223" s="4" t="n">
        <v>302</v>
      </c>
      <c r="M223" s="5" t="n">
        <v>834.4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 거리, 사무실 신축 급 리모델링 완료</t>
        </is>
      </c>
      <c r="Q223" s="6">
        <f>HYPERLINK("https://fin.land.naver.com/articles/2653823626", "매물Link")</f>
        <v/>
      </c>
      <c r="R223" s="6">
        <f>HYPERLINK("https://map.naver.com/p/search/남이면 부용외천리 528-2", "지도Link")</f>
        <v/>
      </c>
      <c r="S223" s="6">
        <f>HYPERLINK("http://www.eum.go.kr/web/ar/lu/luLandDet.jsp?pnu=4311231040105280002&amp;isNoScr=script&amp;mode=search", "토지이음")</f>
        <v/>
      </c>
      <c r="T223" s="3" t="inlineStr">
        <is>
          <t>SK2</t>
        </is>
      </c>
      <c r="U223" s="4" t="n">
        <v>1</v>
      </c>
      <c r="V223" s="5" t="n">
        <v>79.7</v>
      </c>
      <c r="W223" s="4" t="n">
        <v>2312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63-1</t>
        </is>
      </c>
      <c r="B224" s="3" t="inlineStr">
        <is>
          <t>계획관리지역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매매</t>
        </is>
      </c>
      <c r="F224" s="4" t="n">
        <v>250000</v>
      </c>
      <c r="G224" s="4" t="n">
        <v>0</v>
      </c>
      <c r="H224" s="4" t="n">
        <v>4923</v>
      </c>
      <c r="I224" s="4" t="n">
        <v>1489</v>
      </c>
      <c r="J224" s="5" t="n">
        <v>167.9</v>
      </c>
      <c r="K224" s="4" t="n">
        <v>548</v>
      </c>
      <c r="L224" s="4" t="n">
        <v>166</v>
      </c>
      <c r="M224" s="5" t="n">
        <v>1506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남청주IC인근, 토지 및 창고 등 건축물 매매, 세부내용 설명 참조</t>
        </is>
      </c>
      <c r="Q224" s="6">
        <f>HYPERLINK("https://fin.land.naver.com/articles/2655287003", "매물Link")</f>
        <v/>
      </c>
      <c r="R224" s="6">
        <f>HYPERLINK("https://map.naver.com/p/search/남이면 부용외천리 63-1", "지도Link")</f>
        <v/>
      </c>
      <c r="S224" s="6">
        <f>HYPERLINK("http://www.eum.go.kr/web/ar/lu/luLandDet.jsp?pnu=4311231040100630001&amp;isNoScr=script&amp;mode=search", "토지이음")</f>
        <v/>
      </c>
      <c r="T224" s="3" t="inlineStr">
        <is>
          <t>라인</t>
        </is>
      </c>
      <c r="U224" s="4" t="n">
        <v>1</v>
      </c>
      <c r="V224" s="5" t="n">
        <v>33.1</v>
      </c>
      <c r="W224" s="4" t="n">
        <v>4923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796-1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15000</v>
      </c>
      <c r="G225" s="4" t="n">
        <v>1340</v>
      </c>
      <c r="H225" s="4" t="n">
        <v>6011</v>
      </c>
      <c r="I225" s="4" t="n">
        <v>1818</v>
      </c>
      <c r="J225" s="5" t="n">
        <v>0.7</v>
      </c>
      <c r="K225" s="4" t="n">
        <v>2119</v>
      </c>
      <c r="L225" s="4" t="n">
        <v>641</v>
      </c>
      <c r="M225" s="5" t="n">
        <v>2.1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임대</t>
        </is>
      </c>
      <c r="Q225" s="6">
        <f>HYPERLINK("https://fin.land.naver.com/articles/2653027548", "매물Link")</f>
        <v/>
      </c>
      <c r="R225" s="6">
        <f>HYPERLINK("https://map.naver.com/p/search/남이면 부용외천리 796-1", "지도Link")</f>
        <v/>
      </c>
      <c r="S225" s="6">
        <f>HYPERLINK("http://www.eum.go.kr/web/ar/lu/luLandDet.jsp?pnu=4311231040107960001&amp;isNoScr=script&amp;mode=search",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56.6</v>
      </c>
      <c r="W225" s="4" t="n">
        <v>1782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860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인근, 광고효과좋은 공장 매매</t>
        </is>
      </c>
      <c r="Q226" s="6">
        <f>HYPERLINK("https://fin.land.naver.com/articles/2655583154", "매물Link")</f>
        <v/>
      </c>
      <c r="R226" s="6">
        <f>HYPERLINK("https://map.naver.com/p/search/남이면 부용외천리 860", "지도Link")</f>
        <v/>
      </c>
      <c r="S226" s="6">
        <f>HYPERLINK("http://www.eum.go.kr/web/ar/lu/luLandDet.jsp?pnu=4311231040108600000&amp;isNoScr=script&amp;mode=search", "토지이음")</f>
        <v/>
      </c>
      <c r="T226" s="3" t="inlineStr">
        <is>
          <t>금화랜드</t>
        </is>
      </c>
      <c r="U226" s="4" t="n">
        <v>1</v>
      </c>
      <c r="V226" s="5" t="n">
        <v>73.40000000000001</v>
      </c>
      <c r="W226" s="4" t="n">
        <v>252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130000</v>
      </c>
      <c r="G227" s="4" t="n">
        <v>0</v>
      </c>
      <c r="H227" s="4" t="n">
        <v>1513</v>
      </c>
      <c r="I227" s="4" t="n">
        <v>458</v>
      </c>
      <c r="J227" s="5" t="n">
        <v>283.8</v>
      </c>
      <c r="K227" s="4" t="n">
        <v>281</v>
      </c>
      <c r="L227" s="4" t="n">
        <v>85</v>
      </c>
      <c r="M227" s="5" t="n">
        <v>1529.4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인접 광고효과 가시성 최상인 위치  증축가능</t>
        </is>
      </c>
      <c r="Q227" s="6">
        <f>HYPERLINK("https://fin.land.naver.com/articles/2650936981", "매물Link")</f>
        <v/>
      </c>
      <c r="R227" s="6">
        <f>HYPERLINK("https://map.naver.com/p/search/남이면 부용외천리 860", "지도Link")</f>
        <v/>
      </c>
      <c r="S227" s="6">
        <f>HYPERLINK("http://www.eum.go.kr/web/ar/lu/luLandDet.jsp?pnu=4311231040108600000&amp;isNoScr=script&amp;mode=search",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73.40000000000001</v>
      </c>
      <c r="W227" s="4" t="n">
        <v>252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세로각지(가)</t>
        </is>
      </c>
    </row>
    <row r="228">
      <c r="A228" s="3" t="inlineStr">
        <is>
          <t>남이면 부용외천리 862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매매</t>
        </is>
      </c>
      <c r="F228" s="4" t="n">
        <v>130000</v>
      </c>
      <c r="G228" s="4" t="n">
        <v>0</v>
      </c>
      <c r="H228" s="4" t="n">
        <v>1513</v>
      </c>
      <c r="I228" s="4" t="n">
        <v>458</v>
      </c>
      <c r="J228" s="5" t="n">
        <v>283.8</v>
      </c>
      <c r="K228" s="4" t="n">
        <v>281</v>
      </c>
      <c r="L228" s="4" t="n">
        <v>85</v>
      </c>
      <c r="M228" s="5" t="n">
        <v>1529.4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부근으로 대형차 진출입이 용이한 곳, 가시성이 뛰어난 곳</t>
        </is>
      </c>
      <c r="Q228" s="6">
        <f>HYPERLINK("https://fin.land.naver.com/articles/2651585740", "매물Link")</f>
        <v/>
      </c>
      <c r="R228" s="6">
        <f>HYPERLINK("https://map.naver.com/p/search/남이면 부용외천리 862", "지도Link")</f>
        <v/>
      </c>
      <c r="S228" s="6">
        <f>HYPERLINK("http://www.eum.go.kr/web/ar/lu/luLandDet.jsp?pnu=4311231040108620000&amp;isNoScr=script&amp;mode=search",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73.40000000000001</v>
      </c>
      <c r="W228" s="4" t="n">
        <v>1261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세로각지(가)</t>
        </is>
      </c>
    </row>
    <row r="229">
      <c r="A229" s="3" t="inlineStr">
        <is>
          <t>남이면 부용외천리 864-1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3684</v>
      </c>
      <c r="I229" s="4" t="n">
        <v>1114</v>
      </c>
      <c r="J229" s="5" t="n">
        <v>0.3</v>
      </c>
      <c r="K229" s="4" t="n">
        <v>408</v>
      </c>
      <c r="L229" s="4" t="n">
        <v>123</v>
      </c>
      <c r="M229" s="5" t="n">
        <v>2.4</v>
      </c>
      <c r="N229" s="3" t="inlineStr">
        <is>
          <t>1</t>
        </is>
      </c>
      <c r="O229" s="3" t="inlineStr">
        <is>
          <t>-</t>
        </is>
      </c>
      <c r="P229" s="3" t="inlineStr">
        <is>
          <t>즉시 사용 가능 남청주 IC 인접 광고 및 접근성 좋은 공장 및 창고 임</t>
        </is>
      </c>
      <c r="Q229" s="6">
        <f>HYPERLINK("https://fin.land.naver.com/articles/2655394842", "매물Link")</f>
        <v/>
      </c>
      <c r="R229" s="6">
        <f>HYPERLINK("https://map.naver.com/p/search/남이면 부용외천리 864-1", "지도Link")</f>
        <v/>
      </c>
      <c r="S229" s="6">
        <f>HYPERLINK("http://www.eum.go.kr/web/ar/lu/luLandDet.jsp?pnu=4311231040108640001&amp;isNoScr=script&amp;mode=search", "토지이음")</f>
        <v/>
      </c>
      <c r="T229" s="3" t="inlineStr">
        <is>
          <t>대전토지로무소</t>
        </is>
      </c>
      <c r="U229" s="4" t="n">
        <v>1</v>
      </c>
      <c r="V229" s="5" t="n">
        <v>72</v>
      </c>
      <c r="W229" s="4" t="n">
        <v>3684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864-1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300</v>
      </c>
      <c r="H230" s="4" t="n">
        <v>3684</v>
      </c>
      <c r="I230" s="4" t="n">
        <v>1114</v>
      </c>
      <c r="J230" s="5" t="n">
        <v>0.3</v>
      </c>
      <c r="K230" s="4" t="n">
        <v>407</v>
      </c>
      <c r="L230" s="4" t="n">
        <v>123</v>
      </c>
      <c r="M230" s="5" t="n">
        <v>2.4</v>
      </c>
      <c r="N230" s="3" t="inlineStr">
        <is>
          <t>1</t>
        </is>
      </c>
      <c r="O230" s="3" t="inlineStr">
        <is>
          <t>B1</t>
        </is>
      </c>
      <c r="P230" s="3" t="inlineStr">
        <is>
          <t>nan</t>
        </is>
      </c>
      <c r="Q230" s="6">
        <f>HYPERLINK("https://fin.land.naver.com/articles/2654654773", "매물Link")</f>
        <v/>
      </c>
      <c r="R230" s="6">
        <f>HYPERLINK("https://map.naver.com/p/search/남이면 부용외천리 864-1", "지도Link")</f>
        <v/>
      </c>
      <c r="S230" s="6">
        <f>HYPERLINK("http://www.eum.go.kr/web/ar/lu/luLandDet.jsp?pnu=4311231040108640001&amp;isNoScr=script&amp;mode=search", "토지이음")</f>
        <v/>
      </c>
      <c r="T230" s="3" t="inlineStr">
        <is>
          <t>지웰선우</t>
        </is>
      </c>
      <c r="U230" s="4" t="n">
        <v>1</v>
      </c>
      <c r="V230" s="5" t="n">
        <v>72</v>
      </c>
      <c r="W230" s="4" t="n">
        <v>3684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1264</v>
      </c>
      <c r="L231" s="4" t="n">
        <v>382</v>
      </c>
      <c r="M231" s="5" t="n">
        <v>785.3</v>
      </c>
      <c r="N231" s="3" t="inlineStr">
        <is>
          <t>2</t>
        </is>
      </c>
      <c r="O231" s="3" t="inlineStr">
        <is>
          <t>-</t>
        </is>
      </c>
      <c r="P231" s="3" t="inlineStr">
        <is>
          <t>즉시 사용가능 남청주 IC 인근, 호이스트 6개 층고 10M 전력300K</t>
        </is>
      </c>
      <c r="Q231" s="6">
        <f>HYPERLINK("https://fin.land.naver.com/articles/2655488975",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대전토지로무소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870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4210</v>
      </c>
      <c r="I232" s="4" t="n">
        <v>1274</v>
      </c>
      <c r="J232" s="5" t="n">
        <v>235.5</v>
      </c>
      <c r="K232" s="4" t="n">
        <v>1264</v>
      </c>
      <c r="L232" s="4" t="n">
        <v>382</v>
      </c>
      <c r="M232" s="5" t="n">
        <v>785.3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2분거리,호이스트 2.8톤6개,층고 높고 야드 넓어 활용도 큼</t>
        </is>
      </c>
      <c r="Q232" s="6">
        <f>HYPERLINK("https://fin.land.naver.com/articles/2654660502", "매물Link")</f>
        <v/>
      </c>
      <c r="R232" s="6">
        <f>HYPERLINK("https://map.naver.com/p/search/남이면 부용외천리 870", "지도Link")</f>
        <v/>
      </c>
      <c r="S232" s="6">
        <f>HYPERLINK("http://www.eum.go.kr/web/ar/lu/luLandDet.jsp?pnu=4311231040108700000&amp;isNoScr=script&amp;mode=search", "토지이음")</f>
        <v/>
      </c>
      <c r="T232" s="3" t="inlineStr">
        <is>
          <t>금화랜드</t>
        </is>
      </c>
      <c r="U232" s="4" t="n">
        <v>2</v>
      </c>
      <c r="V232" s="5" t="n">
        <v>75.09999999999999</v>
      </c>
      <c r="W232" s="4" t="n">
        <v>4210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870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300000</v>
      </c>
      <c r="G233" s="4" t="n">
        <v>0</v>
      </c>
      <c r="H233" s="4" t="n">
        <v>4210</v>
      </c>
      <c r="I233" s="4" t="n">
        <v>1274</v>
      </c>
      <c r="J233" s="5" t="n">
        <v>235.5</v>
      </c>
      <c r="K233" s="4" t="n">
        <v>1179</v>
      </c>
      <c r="L233" s="4" t="n">
        <v>357</v>
      </c>
      <c r="M233" s="5" t="n">
        <v>840.3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 ic 5분 거리 ,호이스트 2.8톤 6기 ,동력300kw</t>
        </is>
      </c>
      <c r="Q233" s="6">
        <f>HYPERLINK("https://fin.land.naver.com/articles/2650785016", "매물Link")</f>
        <v/>
      </c>
      <c r="R233" s="6">
        <f>HYPERLINK("https://map.naver.com/p/search/남이면 부용외천리 870", "지도Link")</f>
        <v/>
      </c>
      <c r="S233" s="6">
        <f>HYPERLINK("http://www.eum.go.kr/web/ar/lu/luLandDet.jsp?pnu=4311231040108700000&amp;isNoScr=script&amp;mode=search", "토지이음")</f>
        <v/>
      </c>
      <c r="T233" s="3" t="inlineStr">
        <is>
          <t>대성오투그란데</t>
        </is>
      </c>
      <c r="U233" s="4" t="n">
        <v>1</v>
      </c>
      <c r="V233" s="5" t="n">
        <v>75.09999999999999</v>
      </c>
      <c r="W233" s="4" t="n">
        <v>4210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91-1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</v>
      </c>
      <c r="G234" s="4" t="n">
        <v>0</v>
      </c>
      <c r="H234" s="4" t="n">
        <v>2334</v>
      </c>
      <c r="I234" s="4" t="n">
        <v>706</v>
      </c>
      <c r="J234" s="5" t="n">
        <v>70.8</v>
      </c>
      <c r="K234" s="4" t="n">
        <v>469</v>
      </c>
      <c r="L234" s="4" t="n">
        <v>142</v>
      </c>
      <c r="M234" s="5" t="n">
        <v>352.1</v>
      </c>
      <c r="N234" s="3" t="inlineStr">
        <is>
          <t>1</t>
        </is>
      </c>
      <c r="O234" s="3" t="inlineStr">
        <is>
          <t>B1</t>
        </is>
      </c>
      <c r="P234" s="3" t="inlineStr">
        <is>
          <t>가격조정 가능, 성장관리구역으로 지정된 지역으로 투자가치 높음</t>
        </is>
      </c>
      <c r="Q234" s="6">
        <f>HYPERLINK("https://fin.land.naver.com/articles/2653049407", "매물Link")</f>
        <v/>
      </c>
      <c r="R234" s="6">
        <f>HYPERLINK("https://map.naver.com/p/search/남이면 부용외천리 91-1", "지도Link")</f>
        <v/>
      </c>
      <c r="S234" s="6">
        <f>HYPERLINK("http://www.eum.go.kr/web/ar/lu/luLandDet.jsp?pnu=4311231040100910001&amp;isNoScr=script&amp;mode=search", "토지이음")</f>
        <v/>
      </c>
      <c r="T234" s="3" t="inlineStr">
        <is>
          <t>하경</t>
        </is>
      </c>
      <c r="U234" s="4" t="n">
        <v>1</v>
      </c>
      <c r="V234" s="5" t="n">
        <v>37</v>
      </c>
      <c r="W234" s="4" t="n">
        <v>1736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91-1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56500</v>
      </c>
      <c r="G235" s="4" t="n">
        <v>0</v>
      </c>
      <c r="H235" s="4" t="n">
        <v>2334</v>
      </c>
      <c r="I235" s="4" t="n">
        <v>706</v>
      </c>
      <c r="J235" s="5" t="n">
        <v>80</v>
      </c>
      <c r="K235" s="4" t="n">
        <v>469</v>
      </c>
      <c r="L235" s="4" t="n">
        <v>142</v>
      </c>
      <c r="M235" s="5" t="n">
        <v>397.9</v>
      </c>
      <c r="N235" s="3" t="inlineStr">
        <is>
          <t>1</t>
        </is>
      </c>
      <c r="O235" s="3" t="inlineStr">
        <is>
          <t>-</t>
        </is>
      </c>
      <c r="P235" s="3" t="inlineStr">
        <is>
          <t>남이면 부용외천리 평단가 80만원 파격적인 매매금액</t>
        </is>
      </c>
      <c r="Q235" s="6">
        <f>HYPERLINK("https://fin.land.naver.com/articles/2652920027", "매물Link")</f>
        <v/>
      </c>
      <c r="R235" s="6">
        <f>HYPERLINK("https://map.naver.com/p/search/남이면 부용외천리 91-1", "지도Link")</f>
        <v/>
      </c>
      <c r="S235" s="6">
        <f>HYPERLINK("http://www.eum.go.kr/web/ar/lu/luLandDet.jsp?pnu=4311231040100910001&amp;isNoScr=script&amp;mode=search", "토지이음")</f>
        <v/>
      </c>
      <c r="T235" s="3" t="inlineStr">
        <is>
          <t>왕중왕기업</t>
        </is>
      </c>
      <c r="U235" s="4" t="n">
        <v>1</v>
      </c>
      <c r="V235" s="5" t="n">
        <v>37</v>
      </c>
      <c r="W235" s="4" t="n">
        <v>1736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334-9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5000</v>
      </c>
      <c r="G236" s="4" t="n">
        <v>500</v>
      </c>
      <c r="H236" s="4" t="n">
        <v>3452</v>
      </c>
      <c r="I236" s="4" t="n">
        <v>1044</v>
      </c>
      <c r="J236" s="5" t="n">
        <v>0.5</v>
      </c>
      <c r="K236" s="4" t="n">
        <v>494</v>
      </c>
      <c r="L236" s="4" t="n">
        <v>149</v>
      </c>
      <c r="M236" s="5" t="n">
        <v>3.4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13분 오송청주 세종 등 접근성 우수 호이스트 5톤 설치</t>
        </is>
      </c>
      <c r="Q236" s="6">
        <f>HYPERLINK("https://fin.land.naver.com/articles/2652344609", "매물Link")</f>
        <v/>
      </c>
      <c r="R236" s="6">
        <f>HYPERLINK("https://map.naver.com/p/search/남이면 비룡리 334-9", "지도Link")</f>
        <v/>
      </c>
      <c r="S236" s="6">
        <f>HYPERLINK("http://www.eum.go.kr/web/ar/lu/luLandDet.jsp?pnu=4311231026103340009&amp;isNoScr=script&amp;mode=search",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37.5</v>
      </c>
      <c r="W236" s="4" t="n">
        <v>3452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비룡리 334-9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7000</v>
      </c>
      <c r="G237" s="4" t="n">
        <v>500</v>
      </c>
      <c r="H237" s="4" t="n">
        <v>3452</v>
      </c>
      <c r="I237" s="4" t="n">
        <v>1044</v>
      </c>
      <c r="J237" s="5" t="n">
        <v>0.5</v>
      </c>
      <c r="K237" s="4" t="n">
        <v>494</v>
      </c>
      <c r="L237" s="4" t="n">
        <v>149</v>
      </c>
      <c r="M237" s="5" t="n">
        <v>3.4</v>
      </c>
      <c r="N237" s="3" t="inlineStr">
        <is>
          <t>1</t>
        </is>
      </c>
      <c r="O237" s="3" t="inlineStr">
        <is>
          <t>-</t>
        </is>
      </c>
      <c r="P237" s="3" t="inlineStr">
        <is>
          <t>사진有. 5t호이스트, 금속가공업 등. 민원없는지역</t>
        </is>
      </c>
      <c r="Q237" s="6">
        <f>HYPERLINK("https://fin.land.naver.com/articles/2652010760", "매물Link")</f>
        <v/>
      </c>
      <c r="R237" s="6">
        <f>HYPERLINK("https://map.naver.com/p/search/남이면 비룡리 334-9", "지도Link")</f>
        <v/>
      </c>
      <c r="S237" s="6">
        <f>HYPERLINK("http://www.eum.go.kr/web/ar/lu/luLandDet.jsp?pnu=4311231026103340009&amp;isNoScr=script&amp;mode=search", "토지이음")</f>
        <v/>
      </c>
      <c r="T237" s="3" t="inlineStr">
        <is>
          <t>오너스</t>
        </is>
      </c>
      <c r="U237" s="4" t="n">
        <v>1</v>
      </c>
      <c r="V237" s="5" t="n">
        <v>37.5</v>
      </c>
      <c r="W237" s="4" t="n">
        <v>3452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비룡리 336-14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7500</v>
      </c>
      <c r="G238" s="4" t="n">
        <v>750</v>
      </c>
      <c r="H238" s="4" t="n">
        <v>4985</v>
      </c>
      <c r="I238" s="4" t="n">
        <v>1508</v>
      </c>
      <c r="J238" s="5" t="n">
        <v>0.5</v>
      </c>
      <c r="K238" s="4" t="n">
        <v>990</v>
      </c>
      <c r="L238" s="4" t="n">
        <v>299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남청주ic 및 청주ic 접근성 좋은 위치 마당넓고 트레일러진출입가능</t>
        </is>
      </c>
      <c r="Q238" s="6">
        <f>HYPERLINK("https://fin.land.naver.com/articles/2655680376", "매물Link")</f>
        <v/>
      </c>
      <c r="R238" s="6">
        <f>HYPERLINK("https://map.naver.com/p/search/남이면 비룡리 336-14", "지도Link")</f>
        <v/>
      </c>
      <c r="S238" s="6">
        <f>HYPERLINK("http://www.eum.go.kr/web/ar/lu/luLandDet.jsp?pnu=4311231026103360014&amp;isNoScr=script&amp;mode=search", "토지이음")</f>
        <v/>
      </c>
      <c r="T238" s="3" t="inlineStr">
        <is>
          <t>더원</t>
        </is>
      </c>
      <c r="U238" s="4" t="n">
        <v>2</v>
      </c>
      <c r="V238" s="5" t="n">
        <v>34.2</v>
      </c>
      <c r="W238" s="4" t="n">
        <v>4543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비룡리 336-18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7500</v>
      </c>
      <c r="G239" s="4" t="n">
        <v>750</v>
      </c>
      <c r="H239" s="4" t="n">
        <v>4960</v>
      </c>
      <c r="I239" s="4" t="n">
        <v>1500</v>
      </c>
      <c r="J239" s="5" t="n">
        <v>0.5</v>
      </c>
      <c r="K239" s="4" t="n">
        <v>990</v>
      </c>
      <c r="L239" s="4" t="n">
        <v>299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넓은 전용마당 확보된 근생창고공장 임대</t>
        </is>
      </c>
      <c r="Q239" s="6">
        <f>HYPERLINK("https://fin.land.naver.com/articles/2652786122", "매물Link")</f>
        <v/>
      </c>
      <c r="R239" s="6">
        <f>HYPERLINK("https://map.naver.com/p/search/남이면 비룡리 336-18", "지도Link")</f>
        <v/>
      </c>
      <c r="S239" s="6">
        <f>HYPERLINK("http://www.eum.go.kr/web/ar/lu/luLandDet.jsp?pnu=4311231026103360018&amp;isNoScr=script&amp;mode=search", "토지이음")</f>
        <v/>
      </c>
      <c r="T239" s="3" t="inlineStr">
        <is>
          <t>태광</t>
        </is>
      </c>
      <c r="U239" s="4" t="n">
        <v>1</v>
      </c>
      <c r="V239" s="5" t="n">
        <v>28.8</v>
      </c>
      <c r="W239" s="4" t="n">
        <v>4960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신축건물로 주차공간 넓음</t>
        </is>
      </c>
      <c r="Q240" s="6">
        <f>HYPERLINK("https://fin.land.naver.com/articles/2653383986",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길마루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144-2</t>
        </is>
      </c>
      <c r="B241" s="3" t="inlineStr">
        <is>
          <t>보전녹지지역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1133</v>
      </c>
      <c r="I241" s="4" t="n">
        <v>343</v>
      </c>
      <c r="J241" s="5" t="n">
        <v>0.4</v>
      </c>
      <c r="K241" s="4" t="n">
        <v>182</v>
      </c>
      <c r="L241" s="4" t="n">
        <v>55</v>
      </c>
      <c r="M241" s="5" t="n">
        <v>2.7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도로에 접함, 마당 넓고 단독마당 가능, 컨디션 좋음</t>
        </is>
      </c>
      <c r="Q241" s="6">
        <f>HYPERLINK("https://fin.land.naver.com/articles/2652200633", "매물Link")</f>
        <v/>
      </c>
      <c r="R241" s="6">
        <f>HYPERLINK("https://map.naver.com/p/search/남이면 상발리 144-2", "지도Link")</f>
        <v/>
      </c>
      <c r="S241" s="6">
        <f>HYPERLINK("http://www.eum.go.kr/web/ar/lu/luLandDet.jsp?pnu=4311231031101440002&amp;isNoScr=script&amp;mode=search", "토지이음")</f>
        <v/>
      </c>
      <c r="T241" s="3" t="inlineStr">
        <is>
          <t>제이</t>
        </is>
      </c>
      <c r="U241" s="4" t="n">
        <v>1</v>
      </c>
      <c r="V241" s="5" t="n">
        <v>54.4</v>
      </c>
      <c r="W241" s="4" t="n">
        <v>1133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상발리 144-2</t>
        </is>
      </c>
      <c r="B242" s="3" t="inlineStr">
        <is>
          <t>보전녹지지역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1133</v>
      </c>
      <c r="I242" s="4" t="n">
        <v>343</v>
      </c>
      <c r="J242" s="5" t="n">
        <v>0.4</v>
      </c>
      <c r="K242" s="4" t="n">
        <v>182</v>
      </c>
      <c r="L242" s="4" t="n">
        <v>55</v>
      </c>
      <c r="M242" s="5" t="n">
        <v>2.7</v>
      </c>
      <c r="N242" s="3" t="inlineStr">
        <is>
          <t>1</t>
        </is>
      </c>
      <c r="O242" s="3" t="inlineStr">
        <is>
          <t>-</t>
        </is>
      </c>
      <c r="P242" s="3" t="inlineStr">
        <is>
          <t>건물55형 대지340형</t>
        </is>
      </c>
      <c r="Q242" s="6">
        <f>HYPERLINK("https://fin.land.naver.com/articles/2655507861", "매물Link")</f>
        <v/>
      </c>
      <c r="R242" s="6">
        <f>HYPERLINK("https://map.naver.com/p/search/남이면 상발리 144-2", "지도Link")</f>
        <v/>
      </c>
      <c r="S242" s="6">
        <f>HYPERLINK("http://www.eum.go.kr/web/ar/lu/luLandDet.jsp?pnu=4311231031101440002&amp;isNoScr=script&amp;mode=search",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54.4</v>
      </c>
      <c r="W242" s="4" t="n">
        <v>1133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신축급 창고, 진입로 좋음, 제2종근생 제조업소</t>
        </is>
      </c>
      <c r="Q243" s="6">
        <f>HYPERLINK("https://fin.land.naver.com/articles/2654821051",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495</v>
      </c>
      <c r="I244" s="4" t="n">
        <v>150</v>
      </c>
      <c r="J244" s="5" t="n">
        <v>1.1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신축급 소형창고공장 임대 진출입편리 깔끔한 내외부</t>
        </is>
      </c>
      <c r="Q244" s="6">
        <f>HYPERLINK("https://fin.land.naver.com/articles/2654143544",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태광</t>
        </is>
      </c>
      <c r="U244" s="4" t="n">
        <v>3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B1</t>
        </is>
      </c>
      <c r="P245" s="3" t="inlineStr">
        <is>
          <t>청주 남이 상발삼거리, 신축급 제2종근생, 도로변, 넓은 대지</t>
        </is>
      </c>
      <c r="Q245" s="6">
        <f>HYPERLINK("https://fin.land.naver.com/articles/2653740974",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라인</t>
        </is>
      </c>
      <c r="U245" s="4" t="n">
        <v>2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52-1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170</v>
      </c>
      <c r="H246" s="4" t="n">
        <v>4177</v>
      </c>
      <c r="I246" s="4" t="n">
        <v>1264</v>
      </c>
      <c r="J246" s="5" t="n">
        <v>0.1</v>
      </c>
      <c r="K246" s="4" t="n">
        <v>198</v>
      </c>
      <c r="L246" s="4" t="n">
        <v>60</v>
      </c>
      <c r="M246" s="5" t="n">
        <v>2.8</v>
      </c>
      <c r="N246" s="3" t="inlineStr">
        <is>
          <t>1</t>
        </is>
      </c>
      <c r="O246" s="3" t="inlineStr">
        <is>
          <t>-</t>
        </is>
      </c>
      <c r="P246" s="3" t="inlineStr">
        <is>
          <t>마당넓어 차량회차 편리한 소형공장</t>
        </is>
      </c>
      <c r="Q246" s="6">
        <f>HYPERLINK("https://fin.land.naver.com/articles/2654742692", "매물Link")</f>
        <v/>
      </c>
      <c r="R246" s="6">
        <f>HYPERLINK("https://map.naver.com/p/search/남이면 상발리 52-1", "지도Link")</f>
        <v/>
      </c>
      <c r="S246" s="6">
        <f>HYPERLINK("http://www.eum.go.kr/web/ar/lu/luLandDet.jsp?pnu=4311231031100520001&amp;isNoScr=script&amp;mode=search",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61.7</v>
      </c>
      <c r="W246" s="4" t="n">
        <v>4177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60형 신축 공장 창고 제2종근생</t>
        </is>
      </c>
      <c r="Q247" s="6">
        <f>HYPERLINK("https://fin.land.naver.com/articles/2651814834",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86-1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300000</v>
      </c>
      <c r="G248" s="4" t="n">
        <v>0</v>
      </c>
      <c r="H248" s="4" t="n">
        <v>4969</v>
      </c>
      <c r="I248" s="4" t="n">
        <v>1503</v>
      </c>
      <c r="J248" s="5" t="n">
        <v>199.6</v>
      </c>
      <c r="K248" s="4" t="n">
        <v>882</v>
      </c>
      <c r="L248" s="4" t="n">
        <v>267</v>
      </c>
      <c r="M248" s="5" t="n">
        <v>1123.6</v>
      </c>
      <c r="N248" s="3" t="inlineStr">
        <is>
          <t>1</t>
        </is>
      </c>
      <c r="O248" s="3" t="inlineStr">
        <is>
          <t>B1</t>
        </is>
      </c>
      <c r="P248" s="3" t="inlineStr">
        <is>
          <t>공장 일괄매매   분할매도 가능</t>
        </is>
      </c>
      <c r="Q248" s="6">
        <f>HYPERLINK("https://fin.land.naver.com/articles/2654973120", "매물Link")</f>
        <v/>
      </c>
      <c r="R248" s="6">
        <f>HYPERLINK("https://map.naver.com/p/search/남이면 상발리 86-1", "지도Link")</f>
        <v/>
      </c>
      <c r="S248" s="6">
        <f>HYPERLINK("http://www.eum.go.kr/web/ar/lu/luLandDet.jsp?pnu=4311231031100860001&amp;isNoScr=script&amp;mode=search", "토지이음")</f>
        <v/>
      </c>
      <c r="T248" s="3" t="inlineStr">
        <is>
          <t>세종로또</t>
        </is>
      </c>
      <c r="U248" s="4" t="n">
        <v>1</v>
      </c>
      <c r="V248" s="5" t="n">
        <v>61.7</v>
      </c>
      <c r="W248" s="4" t="n">
        <v>2698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87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150000</v>
      </c>
      <c r="G249" s="4" t="n">
        <v>0</v>
      </c>
      <c r="H249" s="4" t="n">
        <v>2271</v>
      </c>
      <c r="I249" s="4" t="n">
        <v>687</v>
      </c>
      <c r="J249" s="5" t="n">
        <v>218.3</v>
      </c>
      <c r="K249" s="4" t="n">
        <v>432</v>
      </c>
      <c r="L249" s="4" t="n">
        <v>131</v>
      </c>
      <c r="M249" s="5" t="n">
        <v>1145</v>
      </c>
      <c r="N249" s="3" t="inlineStr">
        <is>
          <t>1</t>
        </is>
      </c>
      <c r="O249" s="3" t="inlineStr">
        <is>
          <t>B1</t>
        </is>
      </c>
      <c r="P249" s="3" t="inlineStr">
        <is>
          <t>공장 일괄매매가능  분할매매 가능</t>
        </is>
      </c>
      <c r="Q249" s="6">
        <f>HYPERLINK("https://fin.land.naver.com/articles/2650660589", "매물Link")</f>
        <v/>
      </c>
      <c r="R249" s="6">
        <f>HYPERLINK("https://map.naver.com/p/search/남이면 상발리 87", "지도Link")</f>
        <v/>
      </c>
      <c r="S249" s="6">
        <f>HYPERLINK("http://www.eum.go.kr/web/ar/lu/luLandDet.jsp?pnu=4311231031100870000&amp;isNoScr=script&amp;mode=search", "토지이음")</f>
        <v/>
      </c>
      <c r="T249" s="3" t="inlineStr">
        <is>
          <t>세종로또</t>
        </is>
      </c>
      <c r="U249" s="4" t="n">
        <v>1</v>
      </c>
      <c r="V249" s="5" t="n">
        <v>61.7</v>
      </c>
      <c r="W249" s="4" t="n">
        <v>2271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125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2357</v>
      </c>
      <c r="I250" s="4" t="n">
        <v>713</v>
      </c>
      <c r="J250" s="5" t="n">
        <v>0.2</v>
      </c>
      <c r="K250" s="4" t="n">
        <v>198</v>
      </c>
      <c r="L250" s="4" t="n">
        <v>60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건물60형 마당 크게 사용가능 2종근생제조</t>
        </is>
      </c>
      <c r="Q250" s="6">
        <f>HYPERLINK("https://fin.land.naver.com/articles/2652834931", "매물Link")</f>
        <v/>
      </c>
      <c r="R250" s="6">
        <f>HYPERLINK("https://map.naver.com/p/search/남이면 석실리 125", "지도Link")</f>
        <v/>
      </c>
      <c r="S250" s="6">
        <f>HYPERLINK("http://www.eum.go.kr/web/ar/lu/luLandDet.jsp?pnu=4311231033101250000&amp;isNoScr=script&amp;mode=search",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72.40000000000001</v>
      </c>
      <c r="W250" s="4" t="n">
        <v>2357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350</v>
      </c>
      <c r="H251" s="4" t="n">
        <v>935</v>
      </c>
      <c r="I251" s="4" t="n">
        <v>283</v>
      </c>
      <c r="J251" s="5" t="n">
        <v>1.2</v>
      </c>
      <c r="K251" s="4" t="n">
        <v>360</v>
      </c>
      <c r="L251" s="4" t="n">
        <v>109</v>
      </c>
      <c r="M251" s="5" t="n">
        <v>3.2</v>
      </c>
      <c r="N251" s="3" t="inlineStr">
        <is>
          <t>2</t>
        </is>
      </c>
      <c r="O251" s="3" t="inlineStr">
        <is>
          <t>-</t>
        </is>
      </c>
      <c r="P251" s="3" t="inlineStr">
        <is>
          <t>사진有, 주차 편리, 1층 제조업소 및 창고사용, 2층 사무실 용도</t>
        </is>
      </c>
      <c r="Q251" s="6">
        <f>HYPERLINK("https://fin.land.naver.com/articles/2650485839",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265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350</v>
      </c>
      <c r="H252" s="4" t="n">
        <v>935</v>
      </c>
      <c r="I252" s="4" t="n">
        <v>283</v>
      </c>
      <c r="J252" s="5" t="n">
        <v>1.2</v>
      </c>
      <c r="K252" s="4" t="n">
        <v>360</v>
      </c>
      <c r="L252" s="4" t="n">
        <v>109</v>
      </c>
      <c r="M252" s="5" t="n">
        <v>3.2</v>
      </c>
      <c r="N252" s="3" t="inlineStr">
        <is>
          <t>2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HYPERLINK("https://fin.land.naver.com/articles/2652010478", "매물Link")</f>
        <v/>
      </c>
      <c r="R252" s="6">
        <f>HYPERLINK("https://map.naver.com/p/search/남이면 석실리 265", "지도Link")</f>
        <v/>
      </c>
      <c r="S252" s="6">
        <f>HYPERLINK("http://www.eum.go.kr/web/ar/lu/luLandDet.jsp?pnu=4311231033102650000&amp;isNoScr=script&amp;mode=search", "토지이음")</f>
        <v/>
      </c>
      <c r="T252" s="3" t="inlineStr">
        <is>
          <t>오너스</t>
        </is>
      </c>
      <c r="U252" s="4" t="n">
        <v>1</v>
      </c>
      <c r="V252" s="5" t="n">
        <v>95.90000000000001</v>
      </c>
      <c r="W252" s="4" t="n">
        <v>935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265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120</v>
      </c>
      <c r="H253" s="4" t="n">
        <v>935</v>
      </c>
      <c r="I253" s="4" t="n">
        <v>283</v>
      </c>
      <c r="J253" s="5" t="n">
        <v>0.4</v>
      </c>
      <c r="K253" s="4" t="n">
        <v>360</v>
      </c>
      <c r="L253" s="4" t="n">
        <v>109</v>
      </c>
      <c r="M253" s="5" t="n">
        <v>1.1</v>
      </c>
      <c r="N253" s="3" t="inlineStr">
        <is>
          <t>2</t>
        </is>
      </c>
      <c r="O253" s="3" t="inlineStr">
        <is>
          <t>B2</t>
        </is>
      </c>
      <c r="P253" s="3" t="inlineStr">
        <is>
          <t>대형차량 진출입 용이, 주차 완전 편리,완전 깨끗한 2종근생 제조업소</t>
        </is>
      </c>
      <c r="Q253" s="6">
        <f>HYPERLINK("https://fin.land.naver.com/articles/2653555067", "매물Link")</f>
        <v/>
      </c>
      <c r="R253" s="6">
        <f>HYPERLINK("https://map.naver.com/p/search/남이면 석실리 265", "지도Link")</f>
        <v/>
      </c>
      <c r="S253" s="6">
        <f>HYPERLINK("http://www.eum.go.kr/web/ar/lu/luLandDet.jsp?pnu=4311231033102650000&amp;isNoScr=script&amp;mode=search",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95.90000000000001</v>
      </c>
      <c r="W253" s="4" t="n">
        <v>935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339-2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매매</t>
        </is>
      </c>
      <c r="F254" s="4" t="n">
        <v>61200</v>
      </c>
      <c r="G254" s="4" t="n">
        <v>0</v>
      </c>
      <c r="H254" s="4" t="n">
        <v>873</v>
      </c>
      <c r="I254" s="4" t="n">
        <v>264</v>
      </c>
      <c r="J254" s="5" t="n">
        <v>231.8</v>
      </c>
      <c r="K254" s="4" t="n">
        <v>99</v>
      </c>
      <c r="L254" s="4" t="n">
        <v>30</v>
      </c>
      <c r="M254" s="5" t="n">
        <v>2040</v>
      </c>
      <c r="N254" s="3" t="inlineStr">
        <is>
          <t>1</t>
        </is>
      </c>
      <c r="O254" s="3" t="inlineStr">
        <is>
          <t>-</t>
        </is>
      </c>
      <c r="P254" s="3" t="inlineStr">
        <is>
          <t>2차선 접,시내 인근 투자</t>
        </is>
      </c>
      <c r="Q254" s="6">
        <f>HYPERLINK("https://fin.land.naver.com/articles/2650592765", "매물Link")</f>
        <v/>
      </c>
      <c r="R254" s="6">
        <f>HYPERLINK("https://map.naver.com/p/search/남이면 석실리 339-2", "지도Link")</f>
        <v/>
      </c>
      <c r="S254" s="6">
        <f>HYPERLINK("http://www.eum.go.kr/web/ar/lu/luLandDet.jsp?pnu=4311231033103390002&amp;isNoScr=script&amp;mode=search", "토지이음")</f>
        <v/>
      </c>
      <c r="T254" s="3" t="inlineStr">
        <is>
          <t>부광</t>
        </is>
      </c>
      <c r="U254" s="4" t="n">
        <v>1</v>
      </c>
      <c r="V254" s="5" t="n">
        <v>101.7</v>
      </c>
      <c r="W254" s="4" t="n">
        <v>873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339-4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250</v>
      </c>
      <c r="H255" s="4" t="n">
        <v>1747</v>
      </c>
      <c r="I255" s="4" t="n">
        <v>528</v>
      </c>
      <c r="J255" s="5" t="n">
        <v>0.5</v>
      </c>
      <c r="K255" s="4" t="n">
        <v>238</v>
      </c>
      <c r="L255" s="4" t="n">
        <v>72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 대로에 접, 청주 도심 접근성과 남이IC 인접성 동시 갖춘입지</t>
        </is>
      </c>
      <c r="Q255" s="6">
        <f>HYPERLINK("https://fin.land.naver.com/articles/2650488511", "매물Link")</f>
        <v/>
      </c>
      <c r="R255" s="6">
        <f>HYPERLINK("https://map.naver.com/p/search/남이면 석실리 339-4", "지도Link")</f>
        <v/>
      </c>
      <c r="S255" s="6">
        <f>HYPERLINK("http://www.eum.go.kr/web/ar/lu/luLandDet.jsp?pnu=4311231033103390004&amp;isNoScr=script&amp;mode=search",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101.7</v>
      </c>
      <c r="W255" s="4" t="n">
        <v>1747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354-4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130000</v>
      </c>
      <c r="G256" s="4" t="n">
        <v>0</v>
      </c>
      <c r="H256" s="4" t="n">
        <v>1283</v>
      </c>
      <c r="I256" s="4" t="n">
        <v>388</v>
      </c>
      <c r="J256" s="5" t="n">
        <v>335.1</v>
      </c>
      <c r="K256" s="4" t="n">
        <v>747</v>
      </c>
      <c r="L256" s="4" t="n">
        <v>226</v>
      </c>
      <c r="M256" s="5" t="n">
        <v>575.2</v>
      </c>
      <c r="N256" s="3" t="inlineStr">
        <is>
          <t>3</t>
        </is>
      </c>
      <c r="O256" s="3" t="inlineStr">
        <is>
          <t>-</t>
        </is>
      </c>
      <c r="P256" s="3" t="inlineStr">
        <is>
          <t>프라임공인 석실리 공장 창고 물류센터사용 도로망좋음 엘리베이터</t>
        </is>
      </c>
      <c r="Q256" s="6">
        <f>HYPERLINK("https://fin.land.naver.com/articles/2651210377", "매물Link")</f>
        <v/>
      </c>
      <c r="R256" s="6">
        <f>HYPERLINK("https://map.naver.com/p/search/남이면 석실리 354-4", "지도Link")</f>
        <v/>
      </c>
      <c r="S256" s="6">
        <f>HYPERLINK("http://www.eum.go.kr/web/ar/lu/luLandDet.jsp?pnu=4311231033103540004&amp;isNoScr=script&amp;mode=search", "토지이음")</f>
        <v/>
      </c>
      <c r="T256" s="3" t="inlineStr">
        <is>
          <t>프라임</t>
        </is>
      </c>
      <c r="U256" s="4" t="n">
        <v>2</v>
      </c>
      <c r="V256" s="5" t="n">
        <v>101.7</v>
      </c>
      <c r="W256" s="4" t="n">
        <v>1283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</t>
        </is>
      </c>
      <c r="B257" s="3" t="inlineStr">
        <is>
          <t>자연녹지지역</t>
        </is>
      </c>
      <c r="C257" s="3" t="inlineStr">
        <is>
          <t>전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1010</v>
      </c>
      <c r="I257" s="4" t="n">
        <v>306</v>
      </c>
      <c r="J257" s="5" t="n">
        <v>0.6</v>
      </c>
      <c r="K257" s="4" t="n">
        <v>192</v>
      </c>
      <c r="L257" s="4" t="n">
        <v>58</v>
      </c>
      <c r="M257" s="5" t="n">
        <v>3.3</v>
      </c>
      <c r="N257" s="3" t="inlineStr">
        <is>
          <t>1</t>
        </is>
      </c>
      <c r="O257" s="3" t="inlineStr">
        <is>
          <t>-</t>
        </is>
      </c>
      <c r="P257" s="3" t="inlineStr">
        <is>
          <t>시내에서 접근성좋은 마당넓은 근생창고</t>
        </is>
      </c>
      <c r="Q257" s="6">
        <f>HYPERLINK("https://fin.land.naver.com/articles/2651890540", "매물Link")</f>
        <v/>
      </c>
      <c r="R257" s="6">
        <f>HYPERLINK("https://map.naver.com/p/search/남이면 석실리 470", "지도Link")</f>
        <v/>
      </c>
      <c r="S257" s="6">
        <f>HYPERLINK("http://www.eum.go.kr/web/ar/lu/luLandDet.jsp?pnu=4311231033104700000&amp;isNoScr=script&amp;mode=search",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42.8</v>
      </c>
      <c r="W257" s="4" t="n">
        <v>720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A특급A 도로변 신축 매물, 주차공간 넉넉하게 단독 사용가능</t>
        </is>
      </c>
      <c r="Q259" s="6">
        <f>HYPERLINK("https://fin.land.naver.com/articles/2650192508",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골든타임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724</v>
      </c>
      <c r="I260" s="4" t="n">
        <v>219</v>
      </c>
      <c r="J260" s="5" t="n">
        <v>0.9</v>
      </c>
      <c r="K260" s="4" t="n">
        <v>183</v>
      </c>
      <c r="L260" s="4" t="n">
        <v>55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단독 소형공장. 창고임대 2차선도로 대형차 진출입 가능</t>
        </is>
      </c>
      <c r="Q260" s="6">
        <f>HYPERLINK("https://fin.land.naver.com/articles/2655672570",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50형 대지230형</t>
        </is>
      </c>
      <c r="Q261" s="6">
        <f>HYPERLINK("https://fin.land.naver.com/articles/2654155444",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724</v>
      </c>
      <c r="I262" s="4" t="n">
        <v>219</v>
      </c>
      <c r="J262" s="5" t="n">
        <v>0.8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신축 창고, 2차선 도로 접, 대형차량 진출입 용이, 접근성 좋음</t>
        </is>
      </c>
      <c r="Q262" s="6">
        <f>HYPERLINK("https://fin.land.naver.com/articles/2650247827",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 有, 2차선대로변 접한 신축 창고 임대</t>
        </is>
      </c>
      <c r="Q264" s="6">
        <f>HYPERLINK("https://fin.land.naver.com/articles/2653837384",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175</v>
      </c>
      <c r="H265" s="4" t="n">
        <v>724</v>
      </c>
      <c r="I265" s="4" t="n">
        <v>219</v>
      </c>
      <c r="J265" s="5" t="n">
        <v>0.8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석실리 2차선도로 단독소형 신축공장.창고임대 대형차 진출입가능</t>
        </is>
      </c>
      <c r="Q265" s="6">
        <f>HYPERLINK("https://fin.land.naver.com/articles/2655682481",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석곡사거리 인근, 대형차량진출입 용이, 단층 60형 2개동, 넓은 마당</t>
        </is>
      </c>
      <c r="Q266" s="6">
        <f>HYPERLINK("https://fin.land.naver.com/articles/2653743649",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라인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7-4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월세</t>
        </is>
      </c>
      <c r="F268" s="4" t="n">
        <v>5000</v>
      </c>
      <c r="G268" s="4" t="n">
        <v>300</v>
      </c>
      <c r="H268" s="4" t="n">
        <v>2386</v>
      </c>
      <c r="I268" s="4" t="n">
        <v>722</v>
      </c>
      <c r="J268" s="5" t="n">
        <v>0.4</v>
      </c>
      <c r="K268" s="4" t="n">
        <v>392</v>
      </c>
      <c r="L268" s="4" t="n">
        <v>119</v>
      </c>
      <c r="M268" s="5" t="n">
        <v>2.5</v>
      </c>
      <c r="N268" s="3" t="inlineStr">
        <is>
          <t>1</t>
        </is>
      </c>
      <c r="O268" s="3" t="inlineStr">
        <is>
          <t>-</t>
        </is>
      </c>
      <c r="P268" s="3" t="inlineStr">
        <is>
          <t>대형 차량 진출입 용이, 단층 60형 2개동 연결된 구조로 120형 사용</t>
        </is>
      </c>
      <c r="Q268" s="6">
        <f>HYPERLINK("https://fin.land.naver.com/articles/2653852370", "매물Link")</f>
        <v/>
      </c>
      <c r="R268" s="6">
        <f>HYPERLINK("https://map.naver.com/p/search/남이면 석실리 7-4", "지도Link")</f>
        <v/>
      </c>
      <c r="S268" s="6">
        <f>HYPERLINK("http://www.eum.go.kr/web/ar/lu/luLandDet.jsp?pnu=4311231033100070004&amp;isNoScr=script&amp;mode=search",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100.5</v>
      </c>
      <c r="W268" s="4" t="n">
        <v>2386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석판리 36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200</v>
      </c>
      <c r="H269" s="4" t="n">
        <v>2953</v>
      </c>
      <c r="I269" s="4" t="n">
        <v>893</v>
      </c>
      <c r="J269" s="5" t="n">
        <v>0.2</v>
      </c>
      <c r="K269" s="4" t="n">
        <v>264</v>
      </c>
      <c r="L269" s="4" t="n">
        <v>80</v>
      </c>
      <c r="M269" s="5" t="n">
        <v>2.5</v>
      </c>
      <c r="N269" s="3" t="inlineStr">
        <is>
          <t>1</t>
        </is>
      </c>
      <c r="O269" s="3" t="inlineStr">
        <is>
          <t>-</t>
        </is>
      </c>
      <c r="P269" s="3" t="inlineStr">
        <is>
          <t>건물 80형 공장 창고 건물</t>
        </is>
      </c>
      <c r="Q269" s="6">
        <f>HYPERLINK("https://fin.land.naver.com/articles/2650897401", "매물Link")</f>
        <v/>
      </c>
      <c r="R269" s="6">
        <f>HYPERLINK("https://map.naver.com/p/search/남이면 석판리 36", "지도Link")</f>
        <v/>
      </c>
      <c r="S269" s="6">
        <f>HYPERLINK("http://www.eum.go.kr/web/ar/lu/luLandDet.jsp?pnu=4311231034100360000&amp;isNoScr=script&amp;mode=search",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120.8</v>
      </c>
      <c r="W269" s="4" t="n">
        <v>2813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석판리 36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월세</t>
        </is>
      </c>
      <c r="F270" s="4" t="n">
        <v>3000</v>
      </c>
      <c r="G270" s="4" t="n">
        <v>200</v>
      </c>
      <c r="H270" s="4" t="n">
        <v>2953</v>
      </c>
      <c r="I270" s="4" t="n">
        <v>893</v>
      </c>
      <c r="J270" s="5" t="n">
        <v>0.2</v>
      </c>
      <c r="K270" s="4" t="n">
        <v>264</v>
      </c>
      <c r="L270" s="4" t="n">
        <v>80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외부사진 有, 석판분기점 인근으로 3순환로 이용 편함, 마당 넓음</t>
        </is>
      </c>
      <c r="Q270" s="6">
        <f>HYPERLINK("https://fin.land.naver.com/articles/2650896451", "매물Link")</f>
        <v/>
      </c>
      <c r="R270" s="6">
        <f>HYPERLINK("https://map.naver.com/p/search/남이면 석판리 36", "지도Link")</f>
        <v/>
      </c>
      <c r="S270" s="6">
        <f>HYPERLINK("http://www.eum.go.kr/web/ar/lu/luLandDet.jsp?pnu=4311231034100360000&amp;isNoScr=script&amp;mode=search",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120.8</v>
      </c>
      <c r="W270" s="4" t="n">
        <v>2813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석판리 36-2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190</v>
      </c>
      <c r="H271" s="4" t="n">
        <v>4934</v>
      </c>
      <c r="I271" s="4" t="n">
        <v>1493</v>
      </c>
      <c r="J271" s="5" t="n">
        <v>0.1</v>
      </c>
      <c r="K271" s="4" t="n">
        <v>242</v>
      </c>
      <c r="L271" s="4" t="n">
        <v>73</v>
      </c>
      <c r="M271" s="5" t="n">
        <v>2.6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HYPERLINK("https://fin.land.naver.com/articles/2653028230", "매물Link")</f>
        <v/>
      </c>
      <c r="R271" s="6">
        <f>HYPERLINK("https://map.naver.com/p/search/남이면 석판리 36-2", "지도Link")</f>
        <v/>
      </c>
      <c r="S271" s="6">
        <f>HYPERLINK("http://www.eum.go.kr/web/ar/lu/luLandDet.jsp?pnu=4311231034100360002&amp;isNoScr=script&amp;mode=search",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92.7</v>
      </c>
      <c r="W271" s="4" t="n">
        <v>4618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양촌리 123-1</t>
        </is>
      </c>
      <c r="B272" s="3" t="inlineStr">
        <is>
          <t>자연녹지지역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</v>
      </c>
      <c r="G272" s="4" t="n">
        <v>200</v>
      </c>
      <c r="H272" s="4" t="n">
        <v>2026</v>
      </c>
      <c r="I272" s="4" t="n">
        <v>613</v>
      </c>
      <c r="J272" s="5" t="n">
        <v>0.3</v>
      </c>
      <c r="K272" s="4" t="n">
        <v>190</v>
      </c>
      <c r="L272" s="4" t="n">
        <v>57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사진有 공장 임대</t>
        </is>
      </c>
      <c r="Q272" s="6">
        <f>HYPERLINK("https://fin.land.naver.com/articles/2653027917", "매물Link")</f>
        <v/>
      </c>
      <c r="R272" s="6">
        <f>HYPERLINK("https://map.naver.com/p/search/남이면 양촌리 123-1", "지도Link")</f>
        <v/>
      </c>
      <c r="S272" s="6">
        <f>HYPERLINK("http://www.eum.go.kr/web/ar/lu/luLandDet.jsp?pnu=4311231037101230001&amp;isNoScr=script&amp;mode=search",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84.8</v>
      </c>
      <c r="W272" s="4" t="n">
        <v>2026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양촌리 271</t>
        </is>
      </c>
      <c r="B273" s="3" t="inlineStr">
        <is>
          <t>자연녹지지역</t>
        </is>
      </c>
      <c r="C273" s="3" t="inlineStr">
        <is>
          <t>창고용지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1000</v>
      </c>
      <c r="G273" s="4" t="n">
        <v>90</v>
      </c>
      <c r="H273" s="4" t="n">
        <v>2190</v>
      </c>
      <c r="I273" s="4" t="n">
        <v>662</v>
      </c>
      <c r="J273" s="5" t="n">
        <v>0.1</v>
      </c>
      <c r="K273" s="4" t="n">
        <v>100</v>
      </c>
      <c r="L273" s="4" t="n">
        <v>30</v>
      </c>
      <c r="M273" s="5" t="n">
        <v>3</v>
      </c>
      <c r="N273" s="3" t="inlineStr">
        <is>
          <t>1</t>
        </is>
      </c>
      <c r="O273" s="3" t="inlineStr">
        <is>
          <t>B1</t>
        </is>
      </c>
      <c r="P273" s="3" t="inlineStr">
        <is>
          <t>양촌리창고임대입주빠름</t>
        </is>
      </c>
      <c r="Q273" s="6">
        <f>HYPERLINK("https://fin.land.naver.com/articles/2653086432", "매물Link")</f>
        <v/>
      </c>
      <c r="R273" s="6">
        <f>HYPERLINK("https://map.naver.com/p/search/남이면 양촌리 271", "지도Link")</f>
        <v/>
      </c>
      <c r="S273" s="6">
        <f>HYPERLINK("http://www.eum.go.kr/web/ar/lu/luLandDet.jsp?pnu=4311231037102710000&amp;isNoScr=script&amp;mode=search", "토지이음")</f>
        <v/>
      </c>
      <c r="T273" s="3" t="inlineStr">
        <is>
          <t>더큰</t>
        </is>
      </c>
      <c r="U273" s="4" t="n">
        <v>1</v>
      </c>
      <c r="V273" s="5" t="n">
        <v>98.7</v>
      </c>
      <c r="W273" s="4" t="n">
        <v>2190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남청주IC 5분 공장용도 현 물류창고로 사용중 입주협의</t>
        </is>
      </c>
      <c r="Q274" s="6">
        <f>HYPERLINK("https://fin.land.naver.com/articles/2650949814",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사진有 저온창고 임대</t>
        </is>
      </c>
      <c r="Q275" s="6">
        <f>HYPERLINK("https://fin.land.naver.com/articles/2653029028", "매물Link")</f>
        <v/>
      </c>
      <c r="R275" s="6">
        <f>HYPERLINK("https://map.naver.com/p/search/남이면 외천리 127", "지도Link")</f>
        <v/>
      </c>
      <c r="S275" s="6">
        <f>HYPERLINK("http://www.eum.go.kr/web/ar/lu/luLandDet.jsp?pnu=4311231022101270000&amp;isNoScr=script&amp;mode=search",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102.5</v>
      </c>
      <c r="W275" s="4" t="n">
        <v>1088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2148</v>
      </c>
      <c r="L276" s="4" t="n">
        <v>650</v>
      </c>
      <c r="M276" s="5" t="n">
        <v>2.6</v>
      </c>
      <c r="N276" s="3" t="inlineStr">
        <is>
          <t>2</t>
        </is>
      </c>
      <c r="O276" s="3" t="inlineStr">
        <is>
          <t>B1</t>
        </is>
      </c>
      <c r="P276" s="3" t="inlineStr">
        <is>
          <t>남청주IC인근 냉장냉동 시설완비된 물류창고임대 대로변에 접함 진출입용이</t>
        </is>
      </c>
      <c r="Q276" s="6">
        <f>HYPERLINK("https://fin.land.naver.com/articles/2651986329", "매물Link")</f>
        <v/>
      </c>
      <c r="R276" s="6">
        <f>HYPERLINK("https://map.naver.com/p/search/남이면 외천리 127", "지도Link")</f>
        <v/>
      </c>
      <c r="S276" s="6">
        <f>HYPERLINK("http://www.eum.go.kr/web/ar/lu/luLandDet.jsp?pnu=4311231022101270000&amp;isNoScr=script&amp;mode=search", "토지이음")</f>
        <v/>
      </c>
      <c r="T276" s="3" t="inlineStr">
        <is>
          <t>태광</t>
        </is>
      </c>
      <c r="U276" s="4" t="n">
        <v>1</v>
      </c>
      <c r="V276" s="5" t="n">
        <v>102.5</v>
      </c>
      <c r="W276" s="4" t="n">
        <v>1088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128-2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17000</v>
      </c>
      <c r="G277" s="4" t="n">
        <v>1720</v>
      </c>
      <c r="H277" s="4" t="n">
        <v>4155</v>
      </c>
      <c r="I277" s="4" t="n">
        <v>1257</v>
      </c>
      <c r="J277" s="5" t="n">
        <v>1.4</v>
      </c>
      <c r="K277" s="4" t="n">
        <v>2148</v>
      </c>
      <c r="L277" s="4" t="n">
        <v>650</v>
      </c>
      <c r="M277" s="5" t="n">
        <v>2.6</v>
      </c>
      <c r="N277" s="3" t="inlineStr">
        <is>
          <t>2</t>
        </is>
      </c>
      <c r="O277" s="3" t="inlineStr">
        <is>
          <t>B1</t>
        </is>
      </c>
      <c r="P277" s="3" t="inlineStr">
        <is>
          <t>도크시설과 냉동,냉장 설비 갖춘 대형물류창고 임대,대형차량 진출입 편리</t>
        </is>
      </c>
      <c r="Q277" s="6">
        <f>HYPERLINK("https://fin.land.naver.com/articles/2650942641", "매물Link")</f>
        <v/>
      </c>
      <c r="R277" s="6">
        <f>HYPERLINK("https://map.naver.com/p/search/남이면 외천리 128-2", "지도Link")</f>
        <v/>
      </c>
      <c r="S277" s="6">
        <f>HYPERLINK("http://www.eum.go.kr/web/ar/lu/luLandDet.jsp?pnu=4311231022101280002&amp;isNoScr=script&amp;mode=search",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102.5</v>
      </c>
      <c r="W277" s="4" t="n">
        <v>725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128-2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4155</v>
      </c>
      <c r="I278" s="4" t="n">
        <v>1257</v>
      </c>
      <c r="J278" s="5" t="n">
        <v>278.4</v>
      </c>
      <c r="K278" s="4" t="n">
        <v>2148</v>
      </c>
      <c r="L278" s="4" t="n">
        <v>650</v>
      </c>
      <c r="M278" s="5" t="n">
        <v>538.5</v>
      </c>
      <c r="N278" s="3" t="inlineStr">
        <is>
          <t>2</t>
        </is>
      </c>
      <c r="O278" s="3" t="inlineStr">
        <is>
          <t>B1</t>
        </is>
      </c>
      <c r="P278" s="3" t="inlineStr">
        <is>
          <t>4차선 도로접하고 도크시설 완비된 층고 높은공장,  냉동,냉장창고</t>
        </is>
      </c>
      <c r="Q278" s="6">
        <f>HYPERLINK("https://fin.land.naver.com/articles/2653660401", "매물Link")</f>
        <v/>
      </c>
      <c r="R278" s="6">
        <f>HYPERLINK("https://map.naver.com/p/search/남이면 외천리 128-2", "지도Link")</f>
        <v/>
      </c>
      <c r="S278" s="6">
        <f>HYPERLINK("http://www.eum.go.kr/web/ar/lu/luLandDet.jsp?pnu=4311231022101280002&amp;isNoScr=script&amp;mode=search", "토지이음")</f>
        <v/>
      </c>
      <c r="T278" s="3" t="inlineStr">
        <is>
          <t>(주)미르</t>
        </is>
      </c>
      <c r="U278" s="4" t="n">
        <v>2</v>
      </c>
      <c r="V278" s="5" t="n">
        <v>102.5</v>
      </c>
      <c r="W278" s="4" t="n">
        <v>725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129-7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창고</t>
        </is>
      </c>
      <c r="E279" s="3" t="inlineStr">
        <is>
          <t>매매</t>
        </is>
      </c>
      <c r="F279" s="4" t="n">
        <v>350000</v>
      </c>
      <c r="G279" s="4" t="n">
        <v>0</v>
      </c>
      <c r="H279" s="4" t="n">
        <v>4155</v>
      </c>
      <c r="I279" s="4" t="n">
        <v>1257</v>
      </c>
      <c r="J279" s="5" t="n">
        <v>278.4</v>
      </c>
      <c r="K279" s="4" t="n">
        <v>2148</v>
      </c>
      <c r="L279" s="4" t="n">
        <v>650</v>
      </c>
      <c r="M279" s="5" t="n">
        <v>538.5</v>
      </c>
      <c r="N279" s="3" t="inlineStr">
        <is>
          <t>2</t>
        </is>
      </c>
      <c r="O279" s="3" t="inlineStr">
        <is>
          <t>B1</t>
        </is>
      </c>
      <c r="P279" s="3" t="inlineStr">
        <is>
          <t>냉장 냉동 물류창고 도크시설9개  전기250K 대형차 진출입 좋음</t>
        </is>
      </c>
      <c r="Q279" s="6">
        <f>HYPERLINK("https://fin.land.naver.com/articles/2654894803", "매물Link")</f>
        <v/>
      </c>
      <c r="R279" s="6">
        <f>HYPERLINK("https://map.naver.com/p/search/남이면 외천리 129-7", "지도Link")</f>
        <v/>
      </c>
      <c r="S279" s="6">
        <f>HYPERLINK("http://www.eum.go.kr/web/ar/lu/luLandDet.jsp?pnu=4311231022101290007&amp;isNoScr=script&amp;mode=search", "토지이음")</f>
        <v/>
      </c>
      <c r="T279" s="3" t="inlineStr">
        <is>
          <t>대전토지로무소</t>
        </is>
      </c>
      <c r="U279" s="4" t="n">
        <v>1</v>
      </c>
      <c r="V279" s="5" t="n">
        <v>98.5</v>
      </c>
      <c r="W279" s="4" t="n">
        <v>1453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129-7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1515</v>
      </c>
      <c r="L280" s="4" t="n">
        <v>458</v>
      </c>
      <c r="M280" s="5" t="n">
        <v>3.8</v>
      </c>
      <c r="N280" s="3" t="inlineStr">
        <is>
          <t>1</t>
        </is>
      </c>
      <c r="O280" s="3" t="inlineStr">
        <is>
          <t>-</t>
        </is>
      </c>
      <c r="P280" s="3" t="inlineStr">
        <is>
          <t>냉동, 냉장 물류 창고, 남청주 IC 인접 대형차 진출 도크 시설</t>
        </is>
      </c>
      <c r="Q280" s="6">
        <f>HYPERLINK("https://fin.land.naver.com/articles/2654893254", "매물Link")</f>
        <v/>
      </c>
      <c r="R280" s="6">
        <f>HYPERLINK("https://map.naver.com/p/search/남이면 외천리 129-7", "지도Link")</f>
        <v/>
      </c>
      <c r="S280" s="6">
        <f>HYPERLINK("http://www.eum.go.kr/web/ar/lu/luLandDet.jsp?pnu=4311231022101290007&amp;isNoScr=script&amp;mode=search", "토지이음")</f>
        <v/>
      </c>
      <c r="T280" s="3" t="inlineStr">
        <is>
          <t>대전토지로무소</t>
        </is>
      </c>
      <c r="U280" s="4" t="n">
        <v>1</v>
      </c>
      <c r="V280" s="5" t="n">
        <v>98.5</v>
      </c>
      <c r="W280" s="4" t="n">
        <v>1453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171-1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1000</v>
      </c>
      <c r="G281" s="4" t="n">
        <v>250</v>
      </c>
      <c r="H281" s="4" t="n">
        <v>433</v>
      </c>
      <c r="I281" s="4" t="n">
        <v>131</v>
      </c>
      <c r="J281" s="5" t="n">
        <v>1.9</v>
      </c>
      <c r="K281" s="4" t="n">
        <v>433</v>
      </c>
      <c r="L281" s="4" t="n">
        <v>131</v>
      </c>
      <c r="M281" s="5" t="n">
        <v>1.9</v>
      </c>
      <c r="N281" s="3" t="inlineStr">
        <is>
          <t>2</t>
        </is>
      </c>
      <c r="O281" s="3" t="inlineStr">
        <is>
          <t>-</t>
        </is>
      </c>
      <c r="P281" s="3" t="inlineStr">
        <is>
          <t>가구점  물류창고 최적지  남이면 외천리 상가 월세 매물</t>
        </is>
      </c>
      <c r="Q281" s="6">
        <f>HYPERLINK("https://fin.land.naver.com/articles/2650110955", "매물Link")</f>
        <v/>
      </c>
      <c r="R281" s="6">
        <f>HYPERLINK("https://map.naver.com/p/search/남이면 외천리 171-1", "지도Link")</f>
        <v/>
      </c>
      <c r="S281" s="6">
        <f>HYPERLINK("http://www.eum.go.kr/web/ar/lu/luLandDet.jsp?pnu=4311231022101710001&amp;isNoScr=script&amp;mode=search", "토지이음")</f>
        <v/>
      </c>
      <c r="T281" s="3" t="inlineStr">
        <is>
          <t>엔터</t>
        </is>
      </c>
      <c r="U281" s="4" t="n">
        <v>1</v>
      </c>
      <c r="V281" s="5" t="n">
        <v>122.7</v>
      </c>
      <c r="W281" s="4" t="n">
        <v>836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229-15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85000</v>
      </c>
      <c r="G282" s="4" t="n">
        <v>0</v>
      </c>
      <c r="H282" s="4" t="n">
        <v>890</v>
      </c>
      <c r="I282" s="4" t="n">
        <v>269</v>
      </c>
      <c r="J282" s="5" t="n">
        <v>316</v>
      </c>
      <c r="K282" s="4" t="n">
        <v>409</v>
      </c>
      <c r="L282" s="4" t="n">
        <v>124</v>
      </c>
      <c r="M282" s="5" t="n">
        <v>685.5</v>
      </c>
      <c r="N282" s="3" t="inlineStr">
        <is>
          <t>2</t>
        </is>
      </c>
      <c r="O282" s="3" t="inlineStr">
        <is>
          <t>-</t>
        </is>
      </c>
      <c r="P282" s="3" t="inlineStr">
        <is>
          <t>공장 및 주택 매매, 2종근생 제조업</t>
        </is>
      </c>
      <c r="Q282" s="6">
        <f>HYPERLINK("https://fin.land.naver.com/articles/2654991665", "매물Link")</f>
        <v/>
      </c>
      <c r="R282" s="6">
        <f>HYPERLINK("https://map.naver.com/p/search/남이면 외천리 229-15", "지도Link")</f>
        <v/>
      </c>
      <c r="S282" s="6">
        <f>HYPERLINK("http://www.eum.go.kr/web/ar/lu/luLandDet.jsp?pnu=4311231022102290015&amp;isNoScr=script&amp;mode=search", "토지이음")</f>
        <v/>
      </c>
      <c r="T282" s="3" t="inlineStr">
        <is>
          <t>산남태강</t>
        </is>
      </c>
      <c r="U282" s="4" t="n">
        <v>1</v>
      </c>
      <c r="V282" s="5" t="n">
        <v>66.8</v>
      </c>
      <c r="W282" s="4" t="n">
        <v>890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세로각지(가)</t>
        </is>
      </c>
    </row>
    <row r="283">
      <c r="A283" s="3" t="inlineStr">
        <is>
          <t>남이면 외천리 249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5000</v>
      </c>
      <c r="G283" s="4" t="n">
        <v>350</v>
      </c>
      <c r="H283" s="4" t="n">
        <v>1891</v>
      </c>
      <c r="I283" s="4" t="n">
        <v>572</v>
      </c>
      <c r="J283" s="5" t="n">
        <v>0.6</v>
      </c>
      <c r="K283" s="4" t="n">
        <v>750</v>
      </c>
      <c r="L283" s="4" t="n">
        <v>227</v>
      </c>
      <c r="M283" s="5" t="n">
        <v>1.5</v>
      </c>
      <c r="N283" s="3" t="inlineStr">
        <is>
          <t>1</t>
        </is>
      </c>
      <c r="O283" s="3" t="inlineStr">
        <is>
          <t>-</t>
        </is>
      </c>
      <c r="P283" s="3" t="inlineStr">
        <is>
          <t>가동 150형 나동 78형 일괄임대 대지 580형</t>
        </is>
      </c>
      <c r="Q283" s="6">
        <f>HYPERLINK("https://fin.land.naver.com/articles/2652949824", "매물Link")</f>
        <v/>
      </c>
      <c r="R283" s="6">
        <f>HYPERLINK("https://map.naver.com/p/search/남이면 외천리 249", "지도Link")</f>
        <v/>
      </c>
      <c r="S283" s="6">
        <f>HYPERLINK("http://www.eum.go.kr/web/ar/lu/luLandDet.jsp?pnu=4311231022102490000&amp;isNoScr=script&amp;mode=search", "토지이음")</f>
        <v/>
      </c>
      <c r="T283" s="3" t="inlineStr">
        <is>
          <t>위더스</t>
        </is>
      </c>
      <c r="U283" s="4" t="n">
        <v>1</v>
      </c>
      <c r="V283" s="5" t="n">
        <v>60.7</v>
      </c>
      <c r="W283" s="4" t="n">
        <v>1879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258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창고</t>
        </is>
      </c>
      <c r="E284" s="3" t="inlineStr">
        <is>
          <t>매매</t>
        </is>
      </c>
      <c r="F284" s="4" t="n">
        <v>40000</v>
      </c>
      <c r="G284" s="4" t="n">
        <v>0</v>
      </c>
      <c r="H284" s="4" t="n">
        <v>652</v>
      </c>
      <c r="I284" s="4" t="n">
        <v>197</v>
      </c>
      <c r="J284" s="5" t="n">
        <v>203</v>
      </c>
      <c r="K284" s="4" t="n">
        <v>356</v>
      </c>
      <c r="L284" s="4" t="n">
        <v>108</v>
      </c>
      <c r="M284" s="5" t="n">
        <v>370.4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HYPERLINK("https://fin.land.naver.com/articles/2655416613", "매물Link")</f>
        <v/>
      </c>
      <c r="R284" s="6">
        <f>HYPERLINK("https://map.naver.com/p/search/남이면 외천리 258", "지도Link")</f>
        <v/>
      </c>
      <c r="S284" s="6">
        <f>HYPERLINK("http://www.eum.go.kr/web/ar/lu/luLandDet.jsp?pnu=4311231022102580000&amp;isNoScr=script&amp;mode=search", "토지이음")</f>
        <v/>
      </c>
      <c r="T284" s="3" t="inlineStr">
        <is>
          <t>청주합동</t>
        </is>
      </c>
      <c r="U284" s="4" t="n">
        <v>1</v>
      </c>
      <c r="V284" s="5" t="n">
        <v>64.59999999999999</v>
      </c>
      <c r="W284" s="4" t="n">
        <v>698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320000</v>
      </c>
      <c r="G285" s="4" t="n">
        <v>0</v>
      </c>
      <c r="H285" s="4" t="n">
        <v>2081</v>
      </c>
      <c r="I285" s="4" t="n">
        <v>630</v>
      </c>
      <c r="J285" s="5" t="n">
        <v>507.9</v>
      </c>
      <c r="K285" s="4" t="n">
        <v>1489</v>
      </c>
      <c r="L285" s="4" t="n">
        <v>450</v>
      </c>
      <c r="M285" s="5" t="n">
        <v>711.1</v>
      </c>
      <c r="N285" s="3" t="inlineStr">
        <is>
          <t>3</t>
        </is>
      </c>
      <c r="O285" s="3" t="inlineStr">
        <is>
          <t>-</t>
        </is>
      </c>
      <c r="P285" s="3" t="inlineStr">
        <is>
          <t>남청주IC와 가까워 진출입이 용이하며, 1층 공장,연구실 3층 사무실</t>
        </is>
      </c>
      <c r="Q285" s="6">
        <f>HYPERLINK("https://fin.land.naver.com/articles/2654986030", "매물Link")</f>
        <v/>
      </c>
      <c r="R285" s="6">
        <f>HYPERLINK("https://map.naver.com/p/search/남이면 외천리 264-4", "지도Link")</f>
        <v/>
      </c>
      <c r="S285" s="6">
        <f>HYPERLINK("http://www.eum.go.kr/web/ar/lu/luLandDet.jsp?pnu=4311231022102640004&amp;isNoScr=script&amp;mode=search", "토지이음")</f>
        <v/>
      </c>
      <c r="T285" s="3" t="inlineStr">
        <is>
          <t>(주)미르</t>
        </is>
      </c>
      <c r="U285" s="4" t="n">
        <v>1</v>
      </c>
      <c r="V285" s="5" t="n">
        <v>62.1</v>
      </c>
      <c r="W285" s="4" t="n">
        <v>1954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320000</v>
      </c>
      <c r="G286" s="4" t="n">
        <v>0</v>
      </c>
      <c r="H286" s="4" t="n">
        <v>2081</v>
      </c>
      <c r="I286" s="4" t="n">
        <v>630</v>
      </c>
      <c r="J286" s="5" t="n">
        <v>507.9</v>
      </c>
      <c r="K286" s="4" t="n">
        <v>1489</v>
      </c>
      <c r="L286" s="4" t="n">
        <v>450</v>
      </c>
      <c r="M286" s="5" t="n">
        <v>711.1</v>
      </c>
      <c r="N286" s="3" t="inlineStr">
        <is>
          <t>3</t>
        </is>
      </c>
      <c r="O286" s="3" t="inlineStr">
        <is>
          <t>-</t>
        </is>
      </c>
      <c r="P286" s="3" t="inlineStr">
        <is>
          <t>남청주ic 5분거리이며 대로변 접근성 좋은 사옥형 공장으로  최적</t>
        </is>
      </c>
      <c r="Q286" s="6">
        <f>HYPERLINK("https://fin.land.naver.com/articles/2652625202", "매물Link")</f>
        <v/>
      </c>
      <c r="R286" s="6">
        <f>HYPERLINK("https://map.naver.com/p/search/남이면 외천리 264-4", "지도Link")</f>
        <v/>
      </c>
      <c r="S286" s="6">
        <f>HYPERLINK("http://www.eum.go.kr/web/ar/lu/luLandDet.jsp?pnu=4311231022102640004&amp;isNoScr=script&amp;mode=search",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1954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320000</v>
      </c>
      <c r="G287" s="4" t="n">
        <v>0</v>
      </c>
      <c r="H287" s="4" t="n">
        <v>2081</v>
      </c>
      <c r="I287" s="4" t="n">
        <v>630</v>
      </c>
      <c r="J287" s="5" t="n">
        <v>507.9</v>
      </c>
      <c r="K287" s="4" t="n">
        <v>1489</v>
      </c>
      <c r="L287" s="4" t="n">
        <v>450</v>
      </c>
      <c r="M287" s="5" t="n">
        <v>711.1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남청주IC 인근으로 진출입이 원할한곳,급매로 저렴,깨끗한 공장</t>
        </is>
      </c>
      <c r="Q287" s="6">
        <f>HYPERLINK("https://fin.land.naver.com/articles/2653676617", "매물Link")</f>
        <v/>
      </c>
      <c r="R287" s="6">
        <f>HYPERLINK("https://map.naver.com/p/search/남이면 외천리 264-4", "지도Link")</f>
        <v/>
      </c>
      <c r="S287" s="6">
        <f>HYPERLINK("http://www.eum.go.kr/web/ar/lu/luLandDet.jsp?pnu=4311231022102640004&amp;isNoScr=script&amp;mode=search", "토지이음")</f>
        <v/>
      </c>
      <c r="T287" s="3" t="inlineStr">
        <is>
          <t>금화랜드</t>
        </is>
      </c>
      <c r="U287" s="4" t="n">
        <v>1</v>
      </c>
      <c r="V287" s="5" t="n">
        <v>62.1</v>
      </c>
      <c r="W287" s="4" t="n">
        <v>1954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264-5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100000</v>
      </c>
      <c r="G288" s="4" t="n">
        <v>0</v>
      </c>
      <c r="H288" s="4" t="n">
        <v>1358</v>
      </c>
      <c r="I288" s="4" t="n">
        <v>411</v>
      </c>
      <c r="J288" s="5" t="n">
        <v>243.3</v>
      </c>
      <c r="K288" s="4" t="n">
        <v>537</v>
      </c>
      <c r="L288" s="4" t="n">
        <v>162</v>
      </c>
      <c r="M288" s="5" t="n">
        <v>617.3</v>
      </c>
      <c r="N288" s="3" t="inlineStr">
        <is>
          <t>2</t>
        </is>
      </c>
      <c r="O288" s="3" t="inlineStr">
        <is>
          <t>-</t>
        </is>
      </c>
      <c r="P288" s="3" t="inlineStr">
        <is>
          <t>호이스트2.8톤,층고7,5m,남청주IC 근접, 대형차량 진출입 용이</t>
        </is>
      </c>
      <c r="Q288" s="6">
        <f>HYPERLINK("https://fin.land.naver.com/articles/2652762894", "매물Link")</f>
        <v/>
      </c>
      <c r="R288" s="6">
        <f>HYPERLINK("https://map.naver.com/p/search/남이면 외천리 264-5", "지도Link")</f>
        <v/>
      </c>
      <c r="S288" s="6">
        <f>HYPERLINK("http://www.eum.go.kr/web/ar/lu/luLandDet.jsp?pnu=4311231022102640005&amp;isNoScr=script&amp;mode=search", "토지이음")</f>
        <v/>
      </c>
      <c r="T288" s="3" t="inlineStr">
        <is>
          <t>금화랜드</t>
        </is>
      </c>
      <c r="U288" s="4" t="n">
        <v>1</v>
      </c>
      <c r="V288" s="5" t="n">
        <v>62.1</v>
      </c>
      <c r="W288" s="4" t="n">
        <v>1358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264-5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100000</v>
      </c>
      <c r="G289" s="4" t="n">
        <v>0</v>
      </c>
      <c r="H289" s="4" t="n">
        <v>1358</v>
      </c>
      <c r="I289" s="4" t="n">
        <v>411</v>
      </c>
      <c r="J289" s="5" t="n">
        <v>243.3</v>
      </c>
      <c r="K289" s="4" t="n">
        <v>537</v>
      </c>
      <c r="L289" s="4" t="n">
        <v>162</v>
      </c>
      <c r="M289" s="5" t="n">
        <v>617.3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남청주IC와 가까워 진출입이 용이한 곳,계획관리지역,호이스트2.8톤</t>
        </is>
      </c>
      <c r="Q289" s="6">
        <f>HYPERLINK("https://fin.land.naver.com/articles/2654300748", "매물Link")</f>
        <v/>
      </c>
      <c r="R289" s="6">
        <f>HYPERLINK("https://map.naver.com/p/search/남이면 외천리 264-5", "지도Link")</f>
        <v/>
      </c>
      <c r="S289" s="6">
        <f>HYPERLINK("http://www.eum.go.kr/web/ar/lu/luLandDet.jsp?pnu=4311231022102640005&amp;isNoScr=script&amp;mode=search",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62.1</v>
      </c>
      <c r="W289" s="4" t="n">
        <v>1358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100000</v>
      </c>
      <c r="G290" s="4" t="n">
        <v>0</v>
      </c>
      <c r="H290" s="4" t="n">
        <v>1358</v>
      </c>
      <c r="I290" s="4" t="n">
        <v>411</v>
      </c>
      <c r="J290" s="5" t="n">
        <v>243.3</v>
      </c>
      <c r="K290" s="4" t="n">
        <v>537</v>
      </c>
      <c r="L290" s="4" t="n">
        <v>162</v>
      </c>
      <c r="M290" s="5" t="n">
        <v>617.3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접근성 좋은 위치 공장 기숙사 전력200kw 호이스트설치</t>
        </is>
      </c>
      <c r="Q290" s="6">
        <f>HYPERLINK("https://fin.land.naver.com/articles/2652625373", "매물Link")</f>
        <v/>
      </c>
      <c r="R290" s="6">
        <f>HYPERLINK("https://map.naver.com/p/search/남이면 외천리 264-5", "지도Link")</f>
        <v/>
      </c>
      <c r="S290" s="6">
        <f>HYPERLINK("http://www.eum.go.kr/web/ar/lu/luLandDet.jsp?pnu=4311231022102640005&amp;isNoScr=script&amp;mode=search",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62.1</v>
      </c>
      <c r="W290" s="4" t="n">
        <v>1358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355-2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15000</v>
      </c>
      <c r="G291" s="4" t="n">
        <v>1750</v>
      </c>
      <c r="H291" s="4" t="n">
        <v>10680</v>
      </c>
      <c r="I291" s="4" t="n">
        <v>3231</v>
      </c>
      <c r="J291" s="5" t="n">
        <v>0.5</v>
      </c>
      <c r="K291" s="4" t="n">
        <v>4244</v>
      </c>
      <c r="L291" s="4" t="n">
        <v>1284</v>
      </c>
      <c r="M291" s="5" t="n">
        <v>1.4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8분거리로 타지역으로 물류이동시최적 호이스트 설치</t>
        </is>
      </c>
      <c r="Q291" s="6">
        <f>HYPERLINK("https://fin.land.naver.com/articles/2654176997", "매물Link")</f>
        <v/>
      </c>
      <c r="R291" s="6">
        <f>HYPERLINK("https://map.naver.com/p/search/남이면 외천리 355-2", "지도Link")</f>
        <v/>
      </c>
      <c r="S291" s="6">
        <f>HYPERLINK("http://www.eum.go.kr/web/ar/lu/luLandDet.jsp?pnu=4311231022103550002&amp;isNoScr=script&amp;mode=search",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58</v>
      </c>
      <c r="W291" s="4" t="n">
        <v>10680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355-2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15000</v>
      </c>
      <c r="G292" s="4" t="n">
        <v>1750</v>
      </c>
      <c r="H292" s="4" t="n">
        <v>10680</v>
      </c>
      <c r="I292" s="4" t="n">
        <v>3231</v>
      </c>
      <c r="J292" s="5" t="n">
        <v>0.5</v>
      </c>
      <c r="K292" s="4" t="n">
        <v>4244</v>
      </c>
      <c r="L292" s="4" t="n">
        <v>1284</v>
      </c>
      <c r="M292" s="5" t="n">
        <v>1.4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 IC가 가까워 대형차 진출입이 편리한곳으로 물류창고로 추천</t>
        </is>
      </c>
      <c r="Q292" s="6">
        <f>HYPERLINK("https://fin.land.naver.com/articles/2654296445", "매물Link")</f>
        <v/>
      </c>
      <c r="R292" s="6">
        <f>HYPERLINK("https://map.naver.com/p/search/남이면 외천리 355-2", "지도Link")</f>
        <v/>
      </c>
      <c r="S292" s="6">
        <f>HYPERLINK("http://www.eum.go.kr/web/ar/lu/luLandDet.jsp?pnu=4311231022103550002&amp;isNoScr=script&amp;mode=search",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58</v>
      </c>
      <c r="W292" s="4" t="n">
        <v>10680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6600</v>
      </c>
      <c r="I294" s="4" t="n">
        <v>1996</v>
      </c>
      <c r="J294" s="5" t="n">
        <v>0.5</v>
      </c>
      <c r="K294" s="4" t="n">
        <v>1454</v>
      </c>
      <c r="L294" s="4" t="n">
        <v>440</v>
      </c>
      <c r="M294" s="5" t="n">
        <v>2.3</v>
      </c>
      <c r="N294" s="3" t="inlineStr">
        <is>
          <t>1</t>
        </is>
      </c>
      <c r="O294" s="3" t="inlineStr">
        <is>
          <t>B1</t>
        </is>
      </c>
      <c r="P294" s="3" t="inlineStr">
        <is>
          <t>사진O 남청주 IC 인근 신축 깨끗한 공장 창고 분할임대 가능</t>
        </is>
      </c>
      <c r="Q294" s="6">
        <f>HYPERLINK("https://fin.land.naver.com/articles/2651775083",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미래n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400000</v>
      </c>
      <c r="G295" s="4" t="n">
        <v>0</v>
      </c>
      <c r="H295" s="4" t="n">
        <v>6600</v>
      </c>
      <c r="I295" s="4" t="n">
        <v>1996</v>
      </c>
      <c r="J295" s="5" t="n">
        <v>200.4</v>
      </c>
      <c r="K295" s="4" t="n">
        <v>1517</v>
      </c>
      <c r="L295" s="4" t="n">
        <v>459</v>
      </c>
      <c r="M295" s="5" t="n">
        <v>871.5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남청주IC인근 신축대형창고공장 임대 층고높음 깔끔한 사무실겸 숙소완비</t>
        </is>
      </c>
      <c r="Q295" s="6">
        <f>HYPERLINK("https://fin.land.naver.com/articles/2651975021",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379-1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5000</v>
      </c>
      <c r="G297" s="4" t="n">
        <v>500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남청주IC인근 신축대형창고공장 임대 층고높음</t>
        </is>
      </c>
      <c r="Q297" s="6">
        <f>HYPERLINK("https://fin.land.naver.com/articles/2651974388", "매물Link")</f>
        <v/>
      </c>
      <c r="R297" s="6">
        <f>HYPERLINK("https://map.naver.com/p/search/남이면 외천리 379-1", "지도Link")</f>
        <v/>
      </c>
      <c r="S297" s="6">
        <f>HYPERLINK("http://www.eum.go.kr/web/ar/lu/luLandDet.jsp?pnu=4311231022103790001&amp;isNoScr=script&amp;mode=search", "토지이음")</f>
        <v/>
      </c>
      <c r="T297" s="3" t="inlineStr">
        <is>
          <t>태광</t>
        </is>
      </c>
      <c r="U297" s="4" t="n">
        <v>2</v>
      </c>
      <c r="V297" s="5" t="n">
        <v>58</v>
      </c>
      <c r="W297" s="4" t="n">
        <v>3498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12000</v>
      </c>
      <c r="G298" s="4" t="n">
        <v>1200</v>
      </c>
      <c r="H298" s="4" t="n">
        <v>6600</v>
      </c>
      <c r="I298" s="4" t="n">
        <v>1996</v>
      </c>
      <c r="J298" s="5" t="n">
        <v>0.6</v>
      </c>
      <c r="K298" s="4" t="n">
        <v>1451</v>
      </c>
      <c r="L298" s="4" t="n">
        <v>439</v>
      </c>
      <c r="M298" s="5" t="n">
        <v>2.7</v>
      </c>
      <c r="N298" s="3" t="inlineStr">
        <is>
          <t>1</t>
        </is>
      </c>
      <c r="O298" s="3" t="inlineStr">
        <is>
          <t>-</t>
        </is>
      </c>
      <c r="P298" s="3" t="inlineStr">
        <is>
          <t>사진有 공장 임대</t>
        </is>
      </c>
      <c r="Q298" s="6">
        <f>HYPERLINK("https://fin.land.naver.com/articles/2653029386",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10000</v>
      </c>
      <c r="G299" s="4" t="n">
        <v>1000</v>
      </c>
      <c r="H299" s="4" t="n">
        <v>5967</v>
      </c>
      <c r="I299" s="4" t="n">
        <v>1805</v>
      </c>
      <c r="J299" s="5" t="n">
        <v>0.6</v>
      </c>
      <c r="K299" s="4" t="n">
        <v>1541</v>
      </c>
      <c r="L299" s="4" t="n">
        <v>466</v>
      </c>
      <c r="M299" s="5" t="n">
        <v>2.1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남청주IC에서 5분거리 신축공장</t>
        </is>
      </c>
      <c r="Q299" s="6">
        <f>HYPERLINK("https://fin.land.naver.com/articles/2651889673",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창고의여왕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 근접 공장 물류전문 창고로 추천드립니다</t>
        </is>
      </c>
      <c r="Q300" s="6">
        <f>HYPERLINK("https://fin.land.naver.com/articles/2651777434", "매물Link")</f>
        <v/>
      </c>
      <c r="R300" s="6">
        <f>HYPERLINK("https://map.naver.com/p/search/남이면 외천리 379-5", "지도Link")</f>
        <v/>
      </c>
      <c r="S300" s="6">
        <f>HYPERLINK("http://www.eum.go.kr/web/ar/lu/luLandDet.jsp?pnu=4311231022103790005&amp;isNoScr=script&amp;mode=search", "토지이음")</f>
        <v/>
      </c>
      <c r="T300" s="3" t="inlineStr">
        <is>
          <t>대박</t>
        </is>
      </c>
      <c r="U300" s="4" t="n">
        <v>1</v>
      </c>
      <c r="V300" s="5" t="n">
        <v>58</v>
      </c>
      <c r="W300" s="4" t="n">
        <v>1906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393</t>
        </is>
      </c>
      <c r="B301" s="3" t="inlineStr">
        <is>
          <t>계획관리지역</t>
        </is>
      </c>
      <c r="C301" s="3" t="inlineStr">
        <is>
          <t>창고용지</t>
        </is>
      </c>
      <c r="D301" s="3" t="inlineStr">
        <is>
          <t>창고</t>
        </is>
      </c>
      <c r="E301" s="3" t="inlineStr">
        <is>
          <t>월세</t>
        </is>
      </c>
      <c r="F301" s="4" t="n">
        <v>4000</v>
      </c>
      <c r="G301" s="4" t="n">
        <v>400</v>
      </c>
      <c r="H301" s="4" t="n">
        <v>2198</v>
      </c>
      <c r="I301" s="4" t="n">
        <v>665</v>
      </c>
      <c r="J301" s="5" t="n">
        <v>0.6</v>
      </c>
      <c r="K301" s="4" t="n">
        <v>987</v>
      </c>
      <c r="L301" s="4" t="n">
        <v>299</v>
      </c>
      <c r="M301" s="5" t="n">
        <v>1.3</v>
      </c>
      <c r="N301" s="3" t="inlineStr">
        <is>
          <t>2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HYPERLINK("https://fin.land.naver.com/articles/2653026797", "매물Link")</f>
        <v/>
      </c>
      <c r="R301" s="6">
        <f>HYPERLINK("https://map.naver.com/p/search/남이면 외천리 393", "지도Link")</f>
        <v/>
      </c>
      <c r="S301" s="6">
        <f>HYPERLINK("http://www.eum.go.kr/web/ar/lu/luLandDet.jsp?pnu=4311231022103930000&amp;isNoScr=script&amp;mode=search",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35</v>
      </c>
      <c r="W301" s="4" t="n">
        <v>2198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423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350000</v>
      </c>
      <c r="G302" s="4" t="n">
        <v>0</v>
      </c>
      <c r="H302" s="4" t="n">
        <v>3723</v>
      </c>
      <c r="I302" s="4" t="n">
        <v>1126</v>
      </c>
      <c r="J302" s="5" t="n">
        <v>310.8</v>
      </c>
      <c r="K302" s="4" t="n">
        <v>498</v>
      </c>
      <c r="L302" s="4" t="n">
        <v>151</v>
      </c>
      <c r="M302" s="5" t="n">
        <v>2317.9</v>
      </c>
      <c r="N302" s="3" t="inlineStr">
        <is>
          <t>2</t>
        </is>
      </c>
      <c r="O302" s="3" t="inlineStr">
        <is>
          <t>-</t>
        </is>
      </c>
      <c r="P302" s="3" t="inlineStr">
        <is>
          <t>nan</t>
        </is>
      </c>
      <c r="Q302" s="6">
        <f>HYPERLINK("https://fin.land.naver.com/articles/2652938811", "매물Link")</f>
        <v/>
      </c>
      <c r="R302" s="6">
        <f>HYPERLINK("https://map.naver.com/p/search/남이면 외천리 423", "지도Link")</f>
        <v/>
      </c>
      <c r="S302" s="6">
        <f>HYPERLINK("http://www.eum.go.kr/web/ar/lu/luLandDet.jsp?pnu=4311231022104230000&amp;isNoScr=script&amp;mode=search", "토지이음")</f>
        <v/>
      </c>
      <c r="T302" s="3" t="inlineStr">
        <is>
          <t>이계형</t>
        </is>
      </c>
      <c r="U302" s="4" t="n">
        <v>1</v>
      </c>
      <c r="V302" s="5" t="n">
        <v>69.09999999999999</v>
      </c>
      <c r="W302" s="4" t="n">
        <v>3723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423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340000</v>
      </c>
      <c r="G303" s="4" t="n">
        <v>0</v>
      </c>
      <c r="H303" s="4" t="n">
        <v>3723</v>
      </c>
      <c r="I303" s="4" t="n">
        <v>1126</v>
      </c>
      <c r="J303" s="5" t="n">
        <v>302</v>
      </c>
      <c r="K303" s="4" t="n">
        <v>498</v>
      </c>
      <c r="L303" s="4" t="n">
        <v>151</v>
      </c>
      <c r="M303" s="5" t="n">
        <v>2251.7</v>
      </c>
      <c r="N303" s="3" t="inlineStr">
        <is>
          <t>1</t>
        </is>
      </c>
      <c r="O303" s="3" t="inlineStr">
        <is>
          <t>B2</t>
        </is>
      </c>
      <c r="P303" s="3" t="inlineStr">
        <is>
          <t>남청주 IC인근에 위치  2차선 도로 근접</t>
        </is>
      </c>
      <c r="Q303" s="6">
        <f>HYPERLINK("https://fin.land.naver.com/articles/2650550799", "매물Link")</f>
        <v/>
      </c>
      <c r="R303" s="6">
        <f>HYPERLINK("https://map.naver.com/p/search/남이면 외천리 423", "지도Link")</f>
        <v/>
      </c>
      <c r="S303" s="6">
        <f>HYPERLINK("http://www.eum.go.kr/web/ar/lu/luLandDet.jsp?pnu=4311231022104230000&amp;isNoScr=script&amp;mode=search", "토지이음")</f>
        <v/>
      </c>
      <c r="T303" s="3" t="inlineStr">
        <is>
          <t>트리풀신화</t>
        </is>
      </c>
      <c r="U303" s="4" t="n">
        <v>1</v>
      </c>
      <c r="V303" s="5" t="n">
        <v>69.09999999999999</v>
      </c>
      <c r="W303" s="4" t="n">
        <v>3723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577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150</v>
      </c>
      <c r="H304" s="4" t="n">
        <v>1682</v>
      </c>
      <c r="I304" s="4" t="n">
        <v>509</v>
      </c>
      <c r="J304" s="5" t="n">
        <v>0.3</v>
      </c>
      <c r="K304" s="4" t="n">
        <v>240</v>
      </c>
      <c r="L304" s="4" t="n">
        <v>73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사진有 창고 임대</t>
        </is>
      </c>
      <c r="Q304" s="6">
        <f>HYPERLINK("https://fin.land.naver.com/articles/2653026538", "매물Link")</f>
        <v/>
      </c>
      <c r="R304" s="6">
        <f>HYPERLINK("https://map.naver.com/p/search/남이면 외천리 577", "지도Link")</f>
        <v/>
      </c>
      <c r="S304" s="6">
        <f>HYPERLINK("http://www.eum.go.kr/web/ar/lu/luLandDet.jsp?pnu=4311231022105770000&amp;isNoScr=script&amp;mode=search", "토지이음")</f>
        <v/>
      </c>
      <c r="T304" s="3" t="inlineStr">
        <is>
          <t>월드</t>
        </is>
      </c>
      <c r="U304" s="4" t="n">
        <v>1</v>
      </c>
      <c r="V304" s="5" t="n">
        <v>66.09999999999999</v>
      </c>
      <c r="W304" s="4" t="n">
        <v>1260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94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300000</v>
      </c>
      <c r="G305" s="4" t="n">
        <v>0</v>
      </c>
      <c r="H305" s="4" t="n">
        <v>5120</v>
      </c>
      <c r="I305" s="4" t="n">
        <v>1549</v>
      </c>
      <c r="J305" s="5" t="n">
        <v>193.7</v>
      </c>
      <c r="K305" s="4" t="n">
        <v>2124</v>
      </c>
      <c r="L305" s="4" t="n">
        <v>643</v>
      </c>
      <c r="M305" s="5" t="n">
        <v>466.6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5분거리 신탄진 대전등 접근성 좋고 전력300kw 호이스트설치</t>
        </is>
      </c>
      <c r="Q305" s="6">
        <f>HYPERLINK("https://fin.land.naver.com/articles/2654178695", "매물Link")</f>
        <v/>
      </c>
      <c r="R305" s="6">
        <f>HYPERLINK("https://map.naver.com/p/search/남이면 외천리 94", "지도Link")</f>
        <v/>
      </c>
      <c r="S305" s="6">
        <f>HYPERLINK("http://www.eum.go.kr/web/ar/lu/luLandDet.jsp?pnu=4311231022100940000&amp;isNoScr=script&amp;mode=search",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63.4</v>
      </c>
      <c r="W305" s="4" t="n">
        <v>5120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94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650</v>
      </c>
      <c r="H306" s="4" t="n">
        <v>5120</v>
      </c>
      <c r="I306" s="4" t="n">
        <v>1549</v>
      </c>
      <c r="J306" s="5" t="n">
        <v>0.4</v>
      </c>
      <c r="K306" s="4" t="n">
        <v>1019</v>
      </c>
      <c r="L306" s="4" t="n">
        <v>308</v>
      </c>
      <c r="M306" s="5" t="n">
        <v>2.1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남청주ic 5분거리 전력300kw 호이스트 설치된 공장 사무실 있음</t>
        </is>
      </c>
      <c r="Q306" s="6">
        <f>HYPERLINK("https://fin.land.naver.com/articles/2650946942", "매물Link")</f>
        <v/>
      </c>
      <c r="R306" s="6">
        <f>HYPERLINK("https://map.naver.com/p/search/남이면 외천리 94", "지도Link")</f>
        <v/>
      </c>
      <c r="S306" s="6">
        <f>HYPERLINK("http://www.eum.go.kr/web/ar/lu/luLandDet.jsp?pnu=4311231022100940000&amp;isNoScr=script&amp;mode=search",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63.4</v>
      </c>
      <c r="W306" s="4" t="n">
        <v>5120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척북리 35-6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3000</v>
      </c>
      <c r="G307" s="4" t="n">
        <v>220</v>
      </c>
      <c r="H307" s="4" t="n">
        <v>1587</v>
      </c>
      <c r="I307" s="4" t="n">
        <v>480</v>
      </c>
      <c r="J307" s="5" t="n">
        <v>0.5</v>
      </c>
      <c r="K307" s="4" t="n">
        <v>277</v>
      </c>
      <c r="L307" s="4" t="n">
        <v>84</v>
      </c>
      <c r="M307" s="5" t="n">
        <v>2.6</v>
      </c>
      <c r="N307" s="3" t="inlineStr">
        <is>
          <t>1</t>
        </is>
      </c>
      <c r="O307" s="3" t="inlineStr">
        <is>
          <t>-</t>
        </is>
      </c>
      <c r="P307" s="3" t="inlineStr">
        <is>
          <t>건물80형 대지큼 주차편함 소매점 창고 모두가능</t>
        </is>
      </c>
      <c r="Q307" s="6">
        <f>HYPERLINK("https://fin.land.naver.com/articles/2654732607", "매물Link")</f>
        <v/>
      </c>
      <c r="R307" s="6">
        <f>HYPERLINK("https://map.naver.com/p/search/남이면 척북리 35-6", "지도Link")</f>
        <v/>
      </c>
      <c r="S307" s="6">
        <f>HYPERLINK("http://www.eum.go.kr/web/ar/lu/luLandDet.jsp?pnu=4311231024100350006&amp;isNoScr=script&amp;mode=search",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60.8</v>
      </c>
      <c r="W307" s="4" t="n">
        <v>1587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35-6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120</v>
      </c>
      <c r="H308" s="4" t="n">
        <v>1587</v>
      </c>
      <c r="I308" s="4" t="n">
        <v>480</v>
      </c>
      <c r="J308" s="5" t="n">
        <v>0.2</v>
      </c>
      <c r="K308" s="4" t="n">
        <v>133</v>
      </c>
      <c r="L308" s="4" t="n">
        <v>40</v>
      </c>
      <c r="M308" s="5" t="n">
        <v>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2차선 도로접, 차량 진출입 용이 마당 넓음</t>
        </is>
      </c>
      <c r="Q308" s="6">
        <f>HYPERLINK("https://fin.land.naver.com/articles/2654705701", "매물Link")</f>
        <v/>
      </c>
      <c r="R308" s="6">
        <f>HYPERLINK("https://map.naver.com/p/search/남이면 척북리 35-6", "지도Link")</f>
        <v/>
      </c>
      <c r="S308" s="6">
        <f>HYPERLINK("http://www.eum.go.kr/web/ar/lu/luLandDet.jsp?pnu=4311231024100350006&amp;isNoScr=script&amp;mode=search",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60.8</v>
      </c>
      <c r="W308" s="4" t="n">
        <v>1587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35-6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120</v>
      </c>
      <c r="H309" s="4" t="n">
        <v>1587</v>
      </c>
      <c r="I309" s="4" t="n">
        <v>480</v>
      </c>
      <c r="J309" s="5" t="n">
        <v>0.2</v>
      </c>
      <c r="K309" s="4" t="n">
        <v>138</v>
      </c>
      <c r="L309" s="4" t="n">
        <v>42</v>
      </c>
      <c r="M309" s="5" t="n">
        <v>2.9</v>
      </c>
      <c r="N309" s="3" t="inlineStr">
        <is>
          <t>1</t>
        </is>
      </c>
      <c r="O309" s="3" t="inlineStr">
        <is>
          <t>-</t>
        </is>
      </c>
      <c r="P309" s="3" t="inlineStr">
        <is>
          <t>2차선도로접하고 마당넓은 신축소형창고 임대</t>
        </is>
      </c>
      <c r="Q309" s="6">
        <f>HYPERLINK("https://fin.land.naver.com/articles/2655684329", "매물Link")</f>
        <v/>
      </c>
      <c r="R309" s="6">
        <f>HYPERLINK("https://map.naver.com/p/search/남이면 척북리 35-6", "지도Link")</f>
        <v/>
      </c>
      <c r="S309" s="6">
        <f>HYPERLINK("http://www.eum.go.kr/web/ar/lu/luLandDet.jsp?pnu=4311231024100350006&amp;isNoScr=script&amp;mode=search",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60.8</v>
      </c>
      <c r="W309" s="4" t="n">
        <v>1587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 9분 청주도심권 2차선도로 접 식품업종 가능</t>
        </is>
      </c>
      <c r="Q311" s="6">
        <f>HYPERLINK("https://fin.land.naver.com/articles/2651673647",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더원</t>
        </is>
      </c>
      <c r="U311" s="4" t="n">
        <v>3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6800</v>
      </c>
      <c r="G312" s="4" t="n">
        <v>680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진출입 매우 편리한 창고공장 임대 더 넓은 면적 가능 상세정보 확인요망</t>
        </is>
      </c>
      <c r="Q312" s="6">
        <f>HYPERLINK("https://fin.land.naver.com/articles/2650611002",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인접한 두개 동 모두 임대조건 넓은 개인전용마당 확보 진출입 매우 용이</t>
        </is>
      </c>
      <c r="Q313" s="6">
        <f>HYPERLINK("https://fin.land.naver.com/articles/2650609224",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11700</v>
      </c>
      <c r="G314" s="4" t="n">
        <v>1170</v>
      </c>
      <c r="H314" s="4" t="n">
        <v>4250</v>
      </c>
      <c r="I314" s="4" t="n">
        <v>1286</v>
      </c>
      <c r="J314" s="5" t="n">
        <v>0.9</v>
      </c>
      <c r="K314" s="4" t="n">
        <v>1691</v>
      </c>
      <c r="L314" s="4" t="n">
        <v>512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척북삼거리 인근 2차선대로변에서 바로 진입가능</t>
        </is>
      </c>
      <c r="Q314" s="6">
        <f>HYPERLINK("https://fin.land.naver.com/articles/2651592951",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제조 공장 부지.협의가능.</t>
        </is>
      </c>
      <c r="Q315" s="6">
        <f>HYPERLINK("https://fin.land.naver.com/articles/2652910166",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호반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HYPERLINK("https://fin.land.naver.com/articles/2650094061",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 척산리 준 신축 창고 입니다 1동2동 둘다 사용가능</t>
        </is>
      </c>
      <c r="Q318" s="6">
        <f>HYPERLINK("https://fin.land.naver.com/articles/2654713412",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청주대장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1055</v>
      </c>
      <c r="I319" s="4" t="n">
        <v>319</v>
      </c>
      <c r="J319" s="5" t="n">
        <v>0.4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HYPERLINK("https://fin.land.naver.com/articles/2653266534",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청주원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척산삼거리 인근 마당 넓음, 2차선 대로변에서 진입</t>
        </is>
      </c>
      <c r="Q320" s="6">
        <f>HYPERLINK("https://fin.land.naver.com/articles/2655092124",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월세</t>
        </is>
      </c>
      <c r="F323" s="4" t="n">
        <v>2000</v>
      </c>
      <c r="G323" s="4" t="n">
        <v>220</v>
      </c>
      <c r="H323" s="4" t="n">
        <v>1462</v>
      </c>
      <c r="I323" s="4" t="n">
        <v>442</v>
      </c>
      <c r="J323" s="5" t="n">
        <v>0.5</v>
      </c>
      <c r="K323" s="4" t="n">
        <v>291</v>
      </c>
      <c r="L323" s="4" t="n">
        <v>88</v>
      </c>
      <c r="M323" s="5" t="n">
        <v>2.5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척산리 공장3동 개별전체임대</t>
        </is>
      </c>
      <c r="Q323" s="6">
        <f>HYPERLINK("https://fin.land.naver.com/articles/2654890323", "매물Link")</f>
        <v/>
      </c>
      <c r="R323" s="6">
        <f>HYPERLINK("https://map.naver.com/p/search/남이면 척산리 157", "지도Link")</f>
        <v/>
      </c>
      <c r="S323" s="6">
        <f>HYPERLINK("http://www.eum.go.kr/web/ar/lu/luLandDet.jsp?pnu=4311231021101570000&amp;isNoScr=script&amp;mode=search",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65</v>
      </c>
      <c r="W323" s="4" t="n">
        <v>1462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158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80000</v>
      </c>
      <c r="G324" s="4" t="n">
        <v>0</v>
      </c>
      <c r="H324" s="4" t="n">
        <v>1436</v>
      </c>
      <c r="I324" s="4" t="n">
        <v>434</v>
      </c>
      <c r="J324" s="5" t="n">
        <v>184.3</v>
      </c>
      <c r="K324" s="4" t="n">
        <v>276</v>
      </c>
      <c r="L324" s="4" t="n">
        <v>83</v>
      </c>
      <c r="M324" s="5" t="n">
        <v>963.9</v>
      </c>
      <c r="N324" s="3" t="inlineStr">
        <is>
          <t>1</t>
        </is>
      </c>
      <c r="O324" s="3" t="inlineStr">
        <is>
          <t>-</t>
        </is>
      </c>
      <c r="P324" s="3" t="inlineStr">
        <is>
          <t>사진有, 척산삼거리인근, 신축 2종근생제조업소, 대형차량진입용이</t>
        </is>
      </c>
      <c r="Q324" s="6">
        <f>HYPERLINK("https://fin.land.naver.com/articles/2650897636", "매물Link")</f>
        <v/>
      </c>
      <c r="R324" s="6">
        <f>HYPERLINK("https://map.naver.com/p/search/남이면 척산리 158", "지도Link")</f>
        <v/>
      </c>
      <c r="S324" s="6">
        <f>HYPERLINK("http://www.eum.go.kr/web/ar/lu/luLandDet.jsp?pnu=4311231021101580000&amp;isNoScr=script&amp;mode=search", "토지이음")</f>
        <v/>
      </c>
      <c r="T324" s="3" t="inlineStr">
        <is>
          <t>태성</t>
        </is>
      </c>
      <c r="U324" s="4" t="n">
        <v>1</v>
      </c>
      <c r="V324" s="5" t="n">
        <v>64.90000000000001</v>
      </c>
      <c r="W324" s="4" t="n">
        <v>1436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1000</v>
      </c>
      <c r="H325" s="4" t="n">
        <v>7264</v>
      </c>
      <c r="I325" s="4" t="n">
        <v>2197</v>
      </c>
      <c r="J325" s="5" t="n">
        <v>0.5</v>
      </c>
      <c r="K325" s="4" t="n">
        <v>1337</v>
      </c>
      <c r="L325" s="4" t="n">
        <v>404</v>
      </c>
      <c r="M325" s="5" t="n">
        <v>2.5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5.3km ,넓은 야적장,  공장 창고 물류,</t>
        </is>
      </c>
      <c r="Q325" s="6">
        <f>HYPERLINK("https://fin.land.naver.com/articles/2655655358",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매매</t>
        </is>
      </c>
      <c r="F326" s="4" t="n">
        <v>400000</v>
      </c>
      <c r="G326" s="4" t="n">
        <v>0</v>
      </c>
      <c r="H326" s="4" t="n">
        <v>7264</v>
      </c>
      <c r="I326" s="4" t="n">
        <v>2197</v>
      </c>
      <c r="J326" s="5" t="n">
        <v>182.1</v>
      </c>
      <c r="K326" s="4" t="n">
        <v>1337</v>
      </c>
      <c r="L326" s="4" t="n">
        <v>404</v>
      </c>
      <c r="M326" s="5" t="n">
        <v>990.1</v>
      </c>
      <c r="N326" s="3" t="inlineStr">
        <is>
          <t>2</t>
        </is>
      </c>
      <c r="O326" s="3" t="inlineStr">
        <is>
          <t>-</t>
        </is>
      </c>
      <c r="P326" s="3" t="inlineStr">
        <is>
          <t>공장용도</t>
        </is>
      </c>
      <c r="Q326" s="6">
        <f>HYPERLINK("https://fin.land.naver.com/articles/2650638871",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1812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임대</t>
        </is>
      </c>
      <c r="Q327" s="6">
        <f>HYPERLINK("https://fin.land.naver.com/articles/2653027070",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1808</v>
      </c>
      <c r="L328" s="4" t="n">
        <v>547</v>
      </c>
      <c r="M328" s="5" t="n">
        <v>2.2</v>
      </c>
      <c r="N328" s="3" t="inlineStr">
        <is>
          <t>3</t>
        </is>
      </c>
      <c r="O328" s="3" t="inlineStr">
        <is>
          <t>-</t>
        </is>
      </c>
      <c r="P328" s="3" t="inlineStr">
        <is>
          <t>남청주IC인근,관리잘된 대형공장, 화물용 엘리베이터, 대형차 진입용이</t>
        </is>
      </c>
      <c r="Q328" s="6">
        <f>HYPERLINK("https://fin.land.naver.com/articles/2652109467",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(주)미르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1200000</v>
      </c>
      <c r="G329" s="4" t="n">
        <v>0</v>
      </c>
      <c r="H329" s="4" t="n">
        <v>3068</v>
      </c>
      <c r="I329" s="4" t="n">
        <v>928</v>
      </c>
      <c r="J329" s="5" t="n">
        <v>1293.1</v>
      </c>
      <c r="K329" s="4" t="n">
        <v>2757</v>
      </c>
      <c r="L329" s="4" t="n">
        <v>834</v>
      </c>
      <c r="M329" s="5" t="n">
        <v>1438.8</v>
      </c>
      <c r="N329" s="3" t="inlineStr">
        <is>
          <t>3</t>
        </is>
      </c>
      <c r="O329" s="3" t="inlineStr">
        <is>
          <t>B1</t>
        </is>
      </c>
      <c r="P329" s="3" t="inlineStr">
        <is>
          <t>사진有 공장 매매</t>
        </is>
      </c>
      <c r="Q329" s="6">
        <f>HYPERLINK("https://fin.land.naver.com/articles/2650520423",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월드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1100000</v>
      </c>
      <c r="G330" s="4" t="n">
        <v>0</v>
      </c>
      <c r="H330" s="4" t="n">
        <v>10144</v>
      </c>
      <c r="I330" s="4" t="n">
        <v>3069</v>
      </c>
      <c r="J330" s="5" t="n">
        <v>358.4</v>
      </c>
      <c r="K330" s="4" t="n">
        <v>9117</v>
      </c>
      <c r="L330" s="4" t="n">
        <v>2758</v>
      </c>
      <c r="M330" s="5" t="n">
        <v>398.8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 대형차 진출입 용이한 관리 잘 된 대형공장, 창고</t>
        </is>
      </c>
      <c r="Q330" s="6">
        <f>HYPERLINK("https://fin.land.naver.com/articles/2652105829",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10114</v>
      </c>
      <c r="I331" s="4" t="n">
        <v>3059</v>
      </c>
      <c r="J331" s="5" t="n">
        <v>359.6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대형 공장 및 물류창고  화물 엘리베이터있음, 남청주 IC인접 접근성편리</t>
        </is>
      </c>
      <c r="Q331" s="6">
        <f>HYPERLINK("https://fin.land.naver.com/articles/2654901006",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대전토지로무소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1810</v>
      </c>
      <c r="L332" s="4" t="n">
        <v>548</v>
      </c>
      <c r="M332" s="5" t="n">
        <v>2.2</v>
      </c>
      <c r="N332" s="3" t="inlineStr">
        <is>
          <t>3</t>
        </is>
      </c>
      <c r="O332" s="3" t="inlineStr">
        <is>
          <t>B1</t>
        </is>
      </c>
      <c r="P332" s="3" t="inlineStr">
        <is>
          <t>남청주 IC 인근 대형 공장, 화물 엘리베이터, 대형차 진출입 원활</t>
        </is>
      </c>
      <c r="Q332" s="6">
        <f>HYPERLINK("https://fin.land.naver.com/articles/2654970875",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대전토지로무소</t>
        </is>
      </c>
      <c r="U332" s="4" t="n">
        <v>2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HYPERLINK("https://fin.land.naver.com/articles/2654833536",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3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1025</v>
      </c>
      <c r="L335" s="4" t="n">
        <v>310</v>
      </c>
      <c r="M335" s="5" t="n">
        <v>612.9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8분 경부 당진영덕고속도로  접근성 좋은 소형창고매매</t>
        </is>
      </c>
      <c r="Q335" s="6">
        <f>HYPERLINK("https://fin.land.naver.com/articles/2651673718",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더원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1360</v>
      </c>
      <c r="L336" s="4" t="n">
        <v>411</v>
      </c>
      <c r="M336" s="5" t="n">
        <v>462.3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계획관리지역,성장관리구역의 대형 창고시설 임대 및 매매</t>
        </is>
      </c>
      <c r="Q336" s="6">
        <f>HYPERLINK("https://fin.land.naver.com/articles/2650156131",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e교차로합동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HYPERLINK("https://fin.land.naver.com/articles/2655630855",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HYPERLINK("https://fin.land.naver.com/articles/2654501796",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100000</v>
      </c>
      <c r="G339" s="4" t="n">
        <v>0</v>
      </c>
      <c r="H339" s="4" t="n">
        <v>1749</v>
      </c>
      <c r="I339" s="4" t="n">
        <v>529</v>
      </c>
      <c r="J339" s="5" t="n">
        <v>189</v>
      </c>
      <c r="K339" s="4" t="n">
        <v>678</v>
      </c>
      <c r="L339" s="4" t="n">
        <v>205</v>
      </c>
      <c r="M339" s="5" t="n">
        <v>487.8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 척산리 창고 매매, 남청주ic 인접, 마당 넓음, 유통물류 추천</t>
        </is>
      </c>
      <c r="Q339" s="6">
        <f>HYPERLINK("https://fin.land.naver.com/articles/2652903126",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산남태강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120000</v>
      </c>
      <c r="G340" s="4" t="n">
        <v>0</v>
      </c>
      <c r="H340" s="4" t="n">
        <v>1749</v>
      </c>
      <c r="I340" s="4" t="n">
        <v>529</v>
      </c>
      <c r="J340" s="5" t="n">
        <v>226.8</v>
      </c>
      <c r="K340" s="4" t="n">
        <v>678</v>
      </c>
      <c r="L340" s="4" t="n">
        <v>205</v>
      </c>
      <c r="M340" s="5" t="n">
        <v>585.4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매매.대형차량진입가능.</t>
        </is>
      </c>
      <c r="Q340" s="6">
        <f>HYPERLINK("https://fin.land.naver.com/articles/2650966213",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678</v>
      </c>
      <c r="L341" s="4" t="n">
        <v>205</v>
      </c>
      <c r="M341" s="5" t="n">
        <v>536.6</v>
      </c>
      <c r="N341" s="3" t="inlineStr">
        <is>
          <t>1</t>
        </is>
      </c>
      <c r="O341" s="3" t="inlineStr">
        <is>
          <t>-</t>
        </is>
      </c>
      <c r="P341" s="3" t="inlineStr">
        <is>
          <t>빠른입주 가능,남청주IC 인근위치, 야드 넓어 대형차량 회전 용이</t>
        </is>
      </c>
      <c r="Q341" s="6">
        <f>HYPERLINK("https://fin.land.naver.com/articles/2655142292",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금화랜드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HYPERLINK("https://fin.land.naver.com/articles/2654996678",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341</v>
      </c>
      <c r="L343" s="4" t="n">
        <v>103</v>
      </c>
      <c r="M343" s="5" t="n">
        <v>3.9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임대.대형차량진입가능.</t>
        </is>
      </c>
      <c r="Q343" s="6">
        <f>HYPERLINK("https://fin.land.naver.com/articles/2651304270",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4000</v>
      </c>
      <c r="G344" s="4" t="n">
        <v>400</v>
      </c>
      <c r="H344" s="4" t="n">
        <v>1749</v>
      </c>
      <c r="I344" s="4" t="n">
        <v>529</v>
      </c>
      <c r="J344" s="5" t="n">
        <v>0.8</v>
      </c>
      <c r="K344" s="4" t="n">
        <v>678</v>
      </c>
      <c r="L344" s="4" t="n">
        <v>205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남이면 척산리 창고 월세,  마당 넓어요, 즉시입주 가능</t>
        </is>
      </c>
      <c r="Q344" s="6">
        <f>HYPERLINK("https://fin.land.naver.com/articles/2652902119",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산남태강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4000</v>
      </c>
      <c r="G345" s="4" t="n">
        <v>400</v>
      </c>
      <c r="H345" s="4" t="n">
        <v>1749</v>
      </c>
      <c r="I345" s="4" t="n">
        <v>529</v>
      </c>
      <c r="J345" s="5" t="n">
        <v>0.8</v>
      </c>
      <c r="K345" s="4" t="n">
        <v>678</v>
      </c>
      <c r="L345" s="4" t="n">
        <v>205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즉시 입주 가능,주차 공간 넓어 대형차량 진출입,회전 편리</t>
        </is>
      </c>
      <c r="Q345" s="6">
        <f>HYPERLINK("https://fin.land.naver.com/articles/2650939836",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금화랜드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341</v>
      </c>
      <c r="L346" s="4" t="n">
        <v>103</v>
      </c>
      <c r="M346" s="5" t="n">
        <v>1068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남청주ic까지 6차선확장예정.진입로25t가능.남청줏ic5분거리</t>
        </is>
      </c>
      <c r="Q346" s="6">
        <f>HYPERLINK("https://fin.land.naver.com/articles/2653147017",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옥산제일사무소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10000</v>
      </c>
      <c r="G347" s="4" t="n">
        <v>700</v>
      </c>
      <c r="H347" s="4" t="n">
        <v>5582</v>
      </c>
      <c r="I347" s="4" t="n">
        <v>1689</v>
      </c>
      <c r="J347" s="5" t="n">
        <v>0.4</v>
      </c>
      <c r="K347" s="4" t="n">
        <v>2126</v>
      </c>
      <c r="L347" s="4" t="n">
        <v>643</v>
      </c>
      <c r="M347" s="5" t="n">
        <v>1.1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5km 거리. 공장. 창고.</t>
        </is>
      </c>
      <c r="Q347" s="6">
        <f>HYPERLINK("https://fin.land.naver.com/articles/2655655276", "매물Link")</f>
        <v/>
      </c>
      <c r="R347" s="6">
        <f>HYPERLINK("https://map.naver.com/p/search/남이면 척산리 392", "지도Link")</f>
        <v/>
      </c>
      <c r="S347" s="6">
        <f>HYPERLINK("http://www.eum.go.kr/web/ar/lu/luLandDet.jsp?pnu=4311231021103920000&amp;isNoScr=script&amp;mode=search", "토지이음")</f>
        <v/>
      </c>
      <c r="T347" s="3" t="inlineStr">
        <is>
          <t>(주)이알에이코리아</t>
        </is>
      </c>
      <c r="U347" s="4" t="n">
        <v>1</v>
      </c>
      <c r="V347" s="5" t="n">
        <v>65.5</v>
      </c>
      <c r="W347" s="4" t="n">
        <v>4961.4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290000</v>
      </c>
      <c r="G348" s="4" t="n">
        <v>0</v>
      </c>
      <c r="H348" s="4" t="n">
        <v>5582</v>
      </c>
      <c r="I348" s="4" t="n">
        <v>1689</v>
      </c>
      <c r="J348" s="5" t="n">
        <v>171.7</v>
      </c>
      <c r="K348" s="4" t="n">
        <v>2126</v>
      </c>
      <c r="L348" s="4" t="n">
        <v>643</v>
      </c>
      <c r="M348" s="5" t="n">
        <v>451</v>
      </c>
      <c r="N348" s="3" t="inlineStr">
        <is>
          <t>1</t>
        </is>
      </c>
      <c r="O348" s="3" t="inlineStr">
        <is>
          <t>-</t>
        </is>
      </c>
      <c r="P348" s="3" t="inlineStr">
        <is>
          <t>공장용도</t>
        </is>
      </c>
      <c r="Q348" s="6">
        <f>HYPERLINK("https://fin.land.naver.com/articles/2650638941",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180</v>
      </c>
      <c r="H349" s="4" t="n">
        <v>1823</v>
      </c>
      <c r="I349" s="4" t="n">
        <v>551</v>
      </c>
      <c r="J349" s="5" t="n">
        <v>0.3</v>
      </c>
      <c r="K349" s="4" t="n">
        <v>263</v>
      </c>
      <c r="L349" s="4" t="n">
        <v>80</v>
      </c>
      <c r="M349" s="5" t="n">
        <v>2.2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소형창고 사무실 있음 창고나 소매점가능</t>
        </is>
      </c>
      <c r="Q349" s="6">
        <f>HYPERLINK("https://fin.land.naver.com/articles/2650955465", "매물Link")</f>
        <v/>
      </c>
      <c r="R349" s="6">
        <f>HYPERLINK("https://map.naver.com/p/search/남이면 척산리 395", "지도Link")</f>
        <v/>
      </c>
      <c r="S349" s="6">
        <f>HYPERLINK("http://www.eum.go.kr/web/ar/lu/luLandDet.jsp?pnu=4311231021103950000&amp;isNoScr=script&amp;mode=search",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59.8</v>
      </c>
      <c r="W349" s="4" t="n">
        <v>1823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진출입 용이, 소형 창고용도로 추천 드림, 사무실 및 화장실 있음</t>
        </is>
      </c>
      <c r="Q350" s="6">
        <f>HYPERLINK("https://fin.land.naver.com/articles/2652675497",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제이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575-2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185</v>
      </c>
      <c r="H351" s="4" t="n">
        <v>1435</v>
      </c>
      <c r="I351" s="4" t="n">
        <v>434</v>
      </c>
      <c r="J351" s="5" t="n">
        <v>0.4</v>
      </c>
      <c r="K351" s="4" t="n">
        <v>218</v>
      </c>
      <c r="L351" s="4" t="n">
        <v>66</v>
      </c>
      <c r="M351" s="5" t="n">
        <v>2.8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척산리 공장 3동 일괄 또는 단독임대 제조업 허가 완료</t>
        </is>
      </c>
      <c r="Q351" s="6">
        <f>HYPERLINK("https://fin.land.naver.com/articles/2654890332", "매물Link")</f>
        <v/>
      </c>
      <c r="R351" s="6">
        <f>HYPERLINK("https://map.naver.com/p/search/남이면 척산리 575-2", "지도Link")</f>
        <v/>
      </c>
      <c r="S351" s="6">
        <f>HYPERLINK("http://www.eum.go.kr/web/ar/lu/luLandDet.jsp?pnu=4311231021105750002&amp;isNoScr=script&amp;mode=search", "토지이음")</f>
        <v/>
      </c>
      <c r="T351" s="3" t="inlineStr">
        <is>
          <t>e교차로합동</t>
        </is>
      </c>
      <c r="U351" s="4" t="n">
        <v>1</v>
      </c>
      <c r="V351" s="5" t="n">
        <v>64.90000000000001</v>
      </c>
      <c r="W351" s="4" t="n">
        <v>1435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592-1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135000</v>
      </c>
      <c r="G352" s="4" t="n">
        <v>0</v>
      </c>
      <c r="H352" s="4" t="n">
        <v>1038</v>
      </c>
      <c r="I352" s="4" t="n">
        <v>314</v>
      </c>
      <c r="J352" s="5" t="n">
        <v>429.9</v>
      </c>
      <c r="K352" s="4" t="n">
        <v>884</v>
      </c>
      <c r="L352" s="4" t="n">
        <v>267</v>
      </c>
      <c r="M352" s="5" t="n">
        <v>505.6</v>
      </c>
      <c r="N352" s="3" t="inlineStr">
        <is>
          <t>2</t>
        </is>
      </c>
      <c r="O352" s="3" t="inlineStr">
        <is>
          <t>-</t>
        </is>
      </c>
      <c r="P352" s="3" t="inlineStr">
        <is>
          <t>식품 프랜차이즈 본사형 제조공장 매매, 수산센터 및 수산물가공공장 가능</t>
        </is>
      </c>
      <c r="Q352" s="6">
        <f>HYPERLINK("https://fin.land.naver.com/articles/2651998080", "매물Link")</f>
        <v/>
      </c>
      <c r="R352" s="6">
        <f>HYPERLINK("https://map.naver.com/p/search/남이면 척산리 592-1", "지도Link")</f>
        <v/>
      </c>
      <c r="S352" s="6">
        <f>HYPERLINK("http://www.eum.go.kr/web/ar/lu/luLandDet.jsp?pnu=4311231021105920001&amp;isNoScr=script&amp;mode=search", "토지이음")</f>
        <v/>
      </c>
      <c r="T352" s="3" t="inlineStr">
        <is>
          <t>충대</t>
        </is>
      </c>
      <c r="U352" s="4" t="n">
        <v>1</v>
      </c>
      <c r="V352" s="5" t="n">
        <v>144.9</v>
      </c>
      <c r="W352" s="4" t="n">
        <v>1021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세로각지(가)</t>
        </is>
      </c>
    </row>
    <row r="353">
      <c r="A353" s="3" t="inlineStr">
        <is>
          <t>남이면 척산리 644-2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200</v>
      </c>
      <c r="H353" s="4" t="n">
        <v>839</v>
      </c>
      <c r="I353" s="4" t="n">
        <v>254</v>
      </c>
      <c r="J353" s="5" t="n">
        <v>0.8</v>
      </c>
      <c r="K353" s="4" t="n">
        <v>325</v>
      </c>
      <c r="L353" s="4" t="n">
        <v>98</v>
      </c>
      <c r="M353" s="5" t="n">
        <v>2</v>
      </c>
      <c r="N353" s="3" t="inlineStr">
        <is>
          <t>2</t>
        </is>
      </c>
      <c r="O353" s="3" t="inlineStr">
        <is>
          <t>-</t>
        </is>
      </c>
      <c r="P353" s="3" t="inlineStr">
        <is>
          <t>건물100형 현재공실 즉시입주</t>
        </is>
      </c>
      <c r="Q353" s="6">
        <f>HYPERLINK("https://fin.land.naver.com/articles/2652949716", "매물Link")</f>
        <v/>
      </c>
      <c r="R353" s="6">
        <f>HYPERLINK("https://map.naver.com/p/search/남이면 척산리 644-2", "지도Link")</f>
        <v/>
      </c>
      <c r="S353" s="6">
        <f>HYPERLINK("http://www.eum.go.kr/web/ar/lu/luLandDet.jsp?pnu=4311231021106440002&amp;isNoScr=script&amp;mode=search",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68.90000000000001</v>
      </c>
      <c r="W353" s="4" t="n">
        <v>839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644-2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200</v>
      </c>
      <c r="H354" s="4" t="n">
        <v>839</v>
      </c>
      <c r="I354" s="4" t="n">
        <v>254</v>
      </c>
      <c r="J354" s="5" t="n">
        <v>0.8</v>
      </c>
      <c r="K354" s="4" t="n">
        <v>325</v>
      </c>
      <c r="L354" s="4" t="n">
        <v>98</v>
      </c>
      <c r="M354" s="5" t="n">
        <v>2</v>
      </c>
      <c r="N354" s="3" t="inlineStr">
        <is>
          <t>2</t>
        </is>
      </c>
      <c r="O354" s="3" t="inlineStr">
        <is>
          <t>-</t>
        </is>
      </c>
      <c r="P354" s="3" t="inlineStr">
        <is>
          <t>남청주 IC 5분거리 대형차량 진입 가능 제조업소 가능</t>
        </is>
      </c>
      <c r="Q354" s="6">
        <f>HYPERLINK("https://fin.land.naver.com/articles/2652470388", "매물Link")</f>
        <v/>
      </c>
      <c r="R354" s="6">
        <f>HYPERLINK("https://map.naver.com/p/search/남이면 척산리 644-2", "지도Link")</f>
        <v/>
      </c>
      <c r="S354" s="6">
        <f>HYPERLINK("http://www.eum.go.kr/web/ar/lu/luLandDet.jsp?pnu=4311231021106440002&amp;isNoScr=script&amp;mode=search",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68.90000000000001</v>
      </c>
      <c r="W354" s="4" t="n">
        <v>839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8분 시내권 접근성 좋은 위치 제조나 창고 가능</t>
        </is>
      </c>
      <c r="Q355" s="6">
        <f>HYPERLINK("https://fin.land.naver.com/articles/2652265474",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652-1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67000</v>
      </c>
      <c r="G356" s="4" t="n">
        <v>0</v>
      </c>
      <c r="H356" s="4" t="n">
        <v>1336</v>
      </c>
      <c r="I356" s="4" t="n">
        <v>404</v>
      </c>
      <c r="J356" s="5" t="n">
        <v>165.8</v>
      </c>
      <c r="K356" s="4" t="n">
        <v>228</v>
      </c>
      <c r="L356" s="4" t="n">
        <v>69</v>
      </c>
      <c r="M356" s="5" t="n">
        <v>971</v>
      </c>
      <c r="N356" s="3" t="inlineStr">
        <is>
          <t>1</t>
        </is>
      </c>
      <c r="O356" s="3" t="inlineStr">
        <is>
          <t>-</t>
        </is>
      </c>
      <c r="P356" s="3" t="inlineStr">
        <is>
          <t>즉시사용가능 민원 소재 없는 계획관리지역의 공장부지, 대형차량 진출입편리</t>
        </is>
      </c>
      <c r="Q356" s="6">
        <f>HYPERLINK("https://fin.land.naver.com/articles/2654907037", "매물Link")</f>
        <v/>
      </c>
      <c r="R356" s="6">
        <f>HYPERLINK("https://map.naver.com/p/search/남이면 척산리 652-1", "지도Link")</f>
        <v/>
      </c>
      <c r="S356" s="6">
        <f>HYPERLINK("http://www.eum.go.kr/web/ar/lu/luLandDet.jsp?pnu=4311231021106520001&amp;isNoScr=script&amp;mode=search", "토지이음")</f>
        <v/>
      </c>
      <c r="T356" s="3" t="inlineStr">
        <is>
          <t>대전토지로무소</t>
        </is>
      </c>
      <c r="U356" s="4" t="n">
        <v>1</v>
      </c>
      <c r="V356" s="5" t="n">
        <v>64.7</v>
      </c>
      <c r="W356" s="4" t="n">
        <v>1336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665-4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500</v>
      </c>
      <c r="G357" s="4" t="n">
        <v>65</v>
      </c>
      <c r="H357" s="4" t="n">
        <v>1057</v>
      </c>
      <c r="I357" s="4" t="n">
        <v>320</v>
      </c>
      <c r="J357" s="5" t="n">
        <v>0.2</v>
      </c>
      <c r="K357" s="4" t="n">
        <v>111</v>
      </c>
      <c r="L357" s="4" t="n">
        <v>34</v>
      </c>
      <c r="M357" s="5" t="n">
        <v>1.9</v>
      </c>
      <c r="N357" s="3" t="inlineStr">
        <is>
          <t>1</t>
        </is>
      </c>
      <c r="O357" s="3" t="inlineStr">
        <is>
          <t>-</t>
        </is>
      </c>
      <c r="P357" s="3" t="inlineStr">
        <is>
          <t>부담없는 임대료로 사용 가능한 실용적인 창고입니다.</t>
        </is>
      </c>
      <c r="Q357" s="6">
        <f>HYPERLINK("https://fin.land.naver.com/articles/2653037551", "매물Link")</f>
        <v/>
      </c>
      <c r="R357" s="6">
        <f>HYPERLINK("https://map.naver.com/p/search/남이면 척산리 665-4", "지도Link")</f>
        <v/>
      </c>
      <c r="S357" s="6">
        <f>HYPERLINK("http://www.eum.go.kr/web/ar/lu/luLandDet.jsp?pnu=4311231021106650004&amp;isNoScr=script&amp;mode=search", "토지이음")</f>
        <v/>
      </c>
      <c r="T357" s="3" t="inlineStr">
        <is>
          <t>진천금손</t>
        </is>
      </c>
      <c r="U357" s="4" t="n">
        <v>1</v>
      </c>
      <c r="V357" s="5" t="n">
        <v>61</v>
      </c>
      <c r="W357" s="4" t="n">
        <v>893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665-4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110</v>
      </c>
      <c r="H358" s="4" t="n">
        <v>1058</v>
      </c>
      <c r="I358" s="4" t="n">
        <v>320</v>
      </c>
      <c r="J358" s="5" t="n">
        <v>0.3</v>
      </c>
      <c r="K358" s="4" t="n">
        <v>189</v>
      </c>
      <c r="L358" s="4" t="n">
        <v>57</v>
      </c>
      <c r="M358" s="5" t="n">
        <v>1.9</v>
      </c>
      <c r="N358" s="3" t="inlineStr">
        <is>
          <t>1</t>
        </is>
      </c>
      <c r="O358" s="3" t="inlineStr">
        <is>
          <t>-</t>
        </is>
      </c>
      <c r="P358" s="3" t="inlineStr">
        <is>
          <t>건물 55형 일반창고 35형 사무실도 있음</t>
        </is>
      </c>
      <c r="Q358" s="6">
        <f>HYPERLINK("https://fin.land.naver.com/articles/2652949730", "매물Link")</f>
        <v/>
      </c>
      <c r="R358" s="6">
        <f>HYPERLINK("https://map.naver.com/p/search/남이면 척산리 665-4", "지도Link")</f>
        <v/>
      </c>
      <c r="S358" s="6">
        <f>HYPERLINK("http://www.eum.go.kr/web/ar/lu/luLandDet.jsp?pnu=4311231021106650004&amp;isNoScr=script&amp;mode=search",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61</v>
      </c>
      <c r="W358" s="4" t="n">
        <v>893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 IC 7분거리 2종근생 창고 대형차량 진입 편리</t>
        </is>
      </c>
      <c r="Q359" s="6">
        <f>HYPERLINK("https://fin.land.naver.com/articles/2650684873",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미래n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사진 有, 남청주IC 5분거리, 대형차 진입 가능, 내부사무실있음</t>
        </is>
      </c>
      <c r="Q360" s="6">
        <f>HYPERLINK("https://fin.land.naver.com/articles/2651038278",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태성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인근 척산리, 공장 창고, 넓은마당, 임대료 조절, 즉시입주</t>
        </is>
      </c>
      <c r="Q361" s="6">
        <f>HYPERLINK("https://fin.land.naver.com/articles/2651938990",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라인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3000</v>
      </c>
      <c r="G362" s="4" t="n">
        <v>330</v>
      </c>
      <c r="H362" s="4" t="n">
        <v>1357</v>
      </c>
      <c r="I362" s="4" t="n">
        <v>410</v>
      </c>
      <c r="J362" s="5" t="n">
        <v>0.8</v>
      </c>
      <c r="K362" s="4" t="n">
        <v>492</v>
      </c>
      <c r="L362" s="4" t="n">
        <v>149</v>
      </c>
      <c r="M362" s="5" t="n">
        <v>2.2</v>
      </c>
      <c r="N362" s="3" t="inlineStr">
        <is>
          <t>1</t>
        </is>
      </c>
      <c r="O362" s="3" t="inlineStr">
        <is>
          <t>-</t>
        </is>
      </c>
      <c r="P362" s="3" t="inlineStr">
        <is>
          <t>도로에 접하는 물류이동이 좋은 위치의 넓은 창고용도 임대 물건이예요</t>
        </is>
      </c>
      <c r="Q362" s="6">
        <f>HYPERLINK("https://fin.land.naver.com/articles/2655034807",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4989명품</t>
        </is>
      </c>
      <c r="U362" s="4" t="n">
        <v>2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HYPERLINK("https://fin.land.naver.com/articles/2655369431",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제조업소 임대</t>
        </is>
      </c>
      <c r="Q364" s="6">
        <f>HYPERLINK("https://fin.land.naver.com/articles/2653029834",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월드</t>
        </is>
      </c>
      <c r="U364" s="4" t="n">
        <v>2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761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2000</v>
      </c>
      <c r="G365" s="4" t="n">
        <v>180</v>
      </c>
      <c r="H365" s="4" t="n">
        <v>1286</v>
      </c>
      <c r="I365" s="4" t="n">
        <v>389</v>
      </c>
      <c r="J365" s="5" t="n">
        <v>0.5</v>
      </c>
      <c r="K365" s="4" t="n">
        <v>330</v>
      </c>
      <c r="L365" s="4" t="n">
        <v>100</v>
      </c>
      <c r="M365" s="5" t="n">
        <v>1.8</v>
      </c>
      <c r="N365" s="3" t="inlineStr">
        <is>
          <t>1</t>
        </is>
      </c>
      <c r="O365" s="3" t="inlineStr">
        <is>
          <t>-</t>
        </is>
      </c>
      <c r="P365" s="3" t="inlineStr">
        <is>
          <t>1층 100형 2종근생제조업</t>
        </is>
      </c>
      <c r="Q365" s="6">
        <f>HYPERLINK("https://fin.land.naver.com/articles/2655369309", "매물Link")</f>
        <v/>
      </c>
      <c r="R365" s="6">
        <f>HYPERLINK("https://map.naver.com/p/search/남이면 척산리 761", "지도Link")</f>
        <v/>
      </c>
      <c r="S365" s="6">
        <f>HYPERLINK("http://www.eum.go.kr/web/ar/lu/luLandDet.jsp?pnu=4311231021107610000&amp;isNoScr=script&amp;mode=search", "토지이음")</f>
        <v/>
      </c>
      <c r="T365" s="3" t="inlineStr">
        <is>
          <t>위더스</t>
        </is>
      </c>
      <c r="U365" s="4" t="n">
        <v>1</v>
      </c>
      <c r="V365" s="5" t="n">
        <v>67.5</v>
      </c>
      <c r="W365" s="4" t="n">
        <v>1286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765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1563</v>
      </c>
      <c r="I366" s="4" t="n">
        <v>473</v>
      </c>
      <c r="J366" s="5" t="n">
        <v>0.4</v>
      </c>
      <c r="K366" s="4" t="n">
        <v>887</v>
      </c>
      <c r="L366" s="4" t="n">
        <v>268</v>
      </c>
      <c r="M366" s="5" t="n">
        <v>0.7</v>
      </c>
      <c r="N366" s="3" t="inlineStr">
        <is>
          <t>1</t>
        </is>
      </c>
      <c r="O366" s="3" t="inlineStr">
        <is>
          <t>-</t>
        </is>
      </c>
      <c r="P366" s="3" t="inlineStr">
        <is>
          <t>면적은 넓게. 임대료는 최저.</t>
        </is>
      </c>
      <c r="Q366" s="6">
        <f>HYPERLINK("https://fin.land.naver.com/articles/2652636082", "매물Link")</f>
        <v/>
      </c>
      <c r="R366" s="6">
        <f>HYPERLINK("https://map.naver.com/p/search/남이면 척산리 765", "지도Link")</f>
        <v/>
      </c>
      <c r="S366" s="6">
        <f>HYPERLINK("http://www.eum.go.kr/web/ar/lu/luLandDet.jsp?pnu=4311231021107650000&amp;isNoScr=script&amp;mode=search", "토지이음")</f>
        <v/>
      </c>
      <c r="T366" s="3" t="inlineStr">
        <is>
          <t>바른</t>
        </is>
      </c>
      <c r="U366" s="4" t="n">
        <v>1</v>
      </c>
      <c r="V366" s="5" t="n">
        <v>62.5</v>
      </c>
      <c r="W366" s="4" t="n">
        <v>1489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850-3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1500</v>
      </c>
      <c r="G367" s="4" t="n">
        <v>130</v>
      </c>
      <c r="H367" s="4" t="n">
        <v>2936</v>
      </c>
      <c r="I367" s="4" t="n">
        <v>888</v>
      </c>
      <c r="J367" s="5" t="n">
        <v>0.1</v>
      </c>
      <c r="K367" s="4" t="n">
        <v>165</v>
      </c>
      <c r="L367" s="4" t="n">
        <v>50</v>
      </c>
      <c r="M367" s="5" t="n">
        <v>2.6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HYPERLINK("https://fin.land.naver.com/articles/2654732319", "매물Link")</f>
        <v/>
      </c>
      <c r="R367" s="6">
        <f>HYPERLINK("https://map.naver.com/p/search/남이면 척산리 850-3", "지도Link")</f>
        <v/>
      </c>
      <c r="S367" s="6">
        <f>HYPERLINK("http://www.eum.go.kr/web/ar/lu/luLandDet.jsp?pnu=4311231021108500003&amp;isNoScr=script&amp;mode=search",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62.9</v>
      </c>
      <c r="W367" s="4" t="n">
        <v>2936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부강면 갈산리 388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333000</v>
      </c>
      <c r="G368" s="4" t="n">
        <v>0</v>
      </c>
      <c r="H368" s="4" t="n">
        <v>2200</v>
      </c>
      <c r="I368" s="4" t="n">
        <v>666</v>
      </c>
      <c r="J368" s="5" t="n">
        <v>500</v>
      </c>
      <c r="K368" s="4" t="n">
        <v>1507</v>
      </c>
      <c r="L368" s="4" t="n">
        <v>456</v>
      </c>
      <c r="M368" s="5" t="n">
        <v>730.3</v>
      </c>
      <c r="N368" s="3" t="inlineStr">
        <is>
          <t>2</t>
        </is>
      </c>
      <c r="O368" s="3" t="inlineStr">
        <is>
          <t>-</t>
        </is>
      </c>
      <c r="P368" s="3" t="inlineStr">
        <is>
          <t>차량 도로 진입여건 좋음, 민원없는 공장 매매</t>
        </is>
      </c>
      <c r="Q368" s="6">
        <f>HYPERLINK("https://fin.land.naver.com/articles/2655242126", "매물Link")</f>
        <v/>
      </c>
      <c r="R368" s="6">
        <f>HYPERLINK("https://map.naver.com/p/search/부강면 갈산리 388", "지도Link")</f>
        <v/>
      </c>
      <c r="S368" s="6">
        <f>HYPERLINK("http://www.eum.go.kr/web/ar/lu/luLandDet.jsp?pnu=3611033024103880000&amp;isNoScr=script&amp;mode=search", "토지이음")</f>
        <v/>
      </c>
      <c r="T368" s="3" t="inlineStr">
        <is>
          <t>(주)미르</t>
        </is>
      </c>
      <c r="U368" s="4" t="n">
        <v>1</v>
      </c>
      <c r="V368" s="5" t="n">
        <v>80.3</v>
      </c>
      <c r="W368" s="4" t="n">
        <v>2149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-</t>
        </is>
      </c>
      <c r="AC368" s="3" t="inlineStr">
        <is>
          <t>2002-05</t>
        </is>
      </c>
      <c r="AD368" s="3" t="inlineStr">
        <is>
          <t>소로한면</t>
        </is>
      </c>
    </row>
    <row r="369">
      <c r="A369" s="3" t="inlineStr">
        <is>
          <t>부강면 갈산리 402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440</v>
      </c>
      <c r="H369" s="4" t="n">
        <v>1786</v>
      </c>
      <c r="I369" s="4" t="n">
        <v>540</v>
      </c>
      <c r="J369" s="5" t="n">
        <v>0.8</v>
      </c>
      <c r="K369" s="4" t="n">
        <v>758</v>
      </c>
      <c r="L369" s="4" t="n">
        <v>229</v>
      </c>
      <c r="M369" s="5" t="n">
        <v>1.9</v>
      </c>
      <c r="N369" s="3" t="inlineStr">
        <is>
          <t>2</t>
        </is>
      </c>
      <c r="O369" s="3" t="inlineStr">
        <is>
          <t>-</t>
        </is>
      </c>
      <c r="P369" s="3" t="inlineStr">
        <is>
          <t>교통편리한 부강교차로 옆 저렴한 공장창고 임대</t>
        </is>
      </c>
      <c r="Q369" s="6">
        <f>HYPERLINK("https://fin.land.naver.com/articles/2653276554", "매물Link")</f>
        <v/>
      </c>
      <c r="R369" s="6">
        <f>HYPERLINK("https://map.naver.com/p/search/부강면 갈산리 402", "지도Link")</f>
        <v/>
      </c>
      <c r="S369" s="6">
        <f>HYPERLINK("http://www.eum.go.kr/web/ar/lu/luLandDet.jsp?pnu=3611033024104020000&amp;isNoScr=script&amp;mode=search", "토지이음")</f>
        <v/>
      </c>
      <c r="T369" s="3" t="inlineStr">
        <is>
          <t>세종행복한</t>
        </is>
      </c>
      <c r="U369" s="4" t="n">
        <v>1</v>
      </c>
      <c r="V369" s="5" t="n">
        <v>85.09999999999999</v>
      </c>
      <c r="W369" s="4" t="n">
        <v>1786</v>
      </c>
      <c r="X369" s="3" t="inlineStr">
        <is>
          <t>A동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8.45m</t>
        </is>
      </c>
      <c r="AC369" s="3" t="inlineStr">
        <is>
          <t>2016-04</t>
        </is>
      </c>
      <c r="AD369" s="3" t="inlineStr">
        <is>
          <t>소로각지</t>
        </is>
      </c>
    </row>
    <row r="370">
      <c r="A370" s="3" t="inlineStr">
        <is>
          <t>부강면 갈산리 402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440</v>
      </c>
      <c r="H370" s="4" t="n">
        <v>1786</v>
      </c>
      <c r="I370" s="4" t="n">
        <v>540</v>
      </c>
      <c r="J370" s="5" t="n">
        <v>0.8</v>
      </c>
      <c r="K370" s="4" t="n">
        <v>758</v>
      </c>
      <c r="L370" s="4" t="n">
        <v>229</v>
      </c>
      <c r="M370" s="5" t="n">
        <v>1.9</v>
      </c>
      <c r="N370" s="3" t="inlineStr">
        <is>
          <t>2</t>
        </is>
      </c>
      <c r="O370" s="3" t="inlineStr">
        <is>
          <t>-</t>
        </is>
      </c>
      <c r="P370" s="3" t="inlineStr">
        <is>
          <t>2차선도로변 제조업소창고사무실 완비된 단독건물 임대</t>
        </is>
      </c>
      <c r="Q370" s="6">
        <f>HYPERLINK("https://fin.land.naver.com/articles/2654665681", "매물Link")</f>
        <v/>
      </c>
      <c r="R370" s="6">
        <f>HYPERLINK("https://map.naver.com/p/search/부강면 갈산리 402", "지도Link")</f>
        <v/>
      </c>
      <c r="S370" s="6">
        <f>HYPERLINK("http://www.eum.go.kr/web/ar/lu/luLandDet.jsp?pnu=3611033024104020000&amp;isNoScr=script&amp;mode=search", "토지이음")</f>
        <v/>
      </c>
      <c r="T370" s="3" t="inlineStr">
        <is>
          <t>청담</t>
        </is>
      </c>
      <c r="U370" s="4" t="n">
        <v>1</v>
      </c>
      <c r="V370" s="5" t="n">
        <v>85.09999999999999</v>
      </c>
      <c r="W370" s="4" t="n">
        <v>1786</v>
      </c>
      <c r="X370" s="3" t="inlineStr">
        <is>
          <t>A동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8.45m</t>
        </is>
      </c>
      <c r="AC370" s="3" t="inlineStr">
        <is>
          <t>2016-04</t>
        </is>
      </c>
      <c r="AD370" s="3" t="inlineStr">
        <is>
          <t>소로각지</t>
        </is>
      </c>
    </row>
    <row r="371">
      <c r="A371" s="3" t="inlineStr">
        <is>
          <t>부강면 갈산리 402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440</v>
      </c>
      <c r="H371" s="4" t="n">
        <v>1786</v>
      </c>
      <c r="I371" s="4" t="n">
        <v>540</v>
      </c>
      <c r="J371" s="5" t="n">
        <v>0.8</v>
      </c>
      <c r="K371" s="4" t="n">
        <v>758</v>
      </c>
      <c r="L371" s="4" t="n">
        <v>229</v>
      </c>
      <c r="M371" s="5" t="n">
        <v>1.9</v>
      </c>
      <c r="N371" s="3" t="inlineStr">
        <is>
          <t>2</t>
        </is>
      </c>
      <c r="O371" s="3" t="inlineStr">
        <is>
          <t>-</t>
        </is>
      </c>
      <c r="P371" s="3" t="inlineStr">
        <is>
          <t>접근성 편리한 부강면 공장창고임대, 대형차 출입용이</t>
        </is>
      </c>
      <c r="Q371" s="6">
        <f>HYPERLINK("https://fin.land.naver.com/articles/2650629262", "매물Link")</f>
        <v/>
      </c>
      <c r="R371" s="6">
        <f>HYPERLINK("https://map.naver.com/p/search/부강면 갈산리 402", "지도Link")</f>
        <v/>
      </c>
      <c r="S371" s="6">
        <f>HYPERLINK("http://www.eum.go.kr/web/ar/lu/luLandDet.jsp?pnu=3611033024104020000&amp;isNoScr=script&amp;mode=search", "토지이음")</f>
        <v/>
      </c>
      <c r="T371" s="3" t="inlineStr">
        <is>
          <t>신탄진다온</t>
        </is>
      </c>
      <c r="U371" s="4" t="n">
        <v>1</v>
      </c>
      <c r="V371" s="5" t="n">
        <v>85.09999999999999</v>
      </c>
      <c r="W371" s="4" t="n">
        <v>1786</v>
      </c>
      <c r="X371" s="3" t="inlineStr">
        <is>
          <t>A동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8.45m</t>
        </is>
      </c>
      <c r="AC371" s="3" t="inlineStr">
        <is>
          <t>2016-04</t>
        </is>
      </c>
      <c r="AD371" s="3" t="inlineStr">
        <is>
          <t>소로각지</t>
        </is>
      </c>
    </row>
    <row r="372">
      <c r="A372" s="3" t="inlineStr">
        <is>
          <t>부강면 갈산리 408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2000</v>
      </c>
      <c r="G372" s="4" t="n">
        <v>200</v>
      </c>
      <c r="H372" s="4" t="n">
        <v>3938</v>
      </c>
      <c r="I372" s="4" t="n">
        <v>1191</v>
      </c>
      <c r="J372" s="5" t="n">
        <v>0.2</v>
      </c>
      <c r="K372" s="4" t="n">
        <v>330</v>
      </c>
      <c r="L372" s="4" t="n">
        <v>100</v>
      </c>
      <c r="M372" s="5" t="n">
        <v>2</v>
      </c>
      <c r="N372" s="3" t="inlineStr">
        <is>
          <t>1</t>
        </is>
      </c>
      <c r="O372" s="3" t="inlineStr">
        <is>
          <t>-</t>
        </is>
      </c>
      <c r="P372" s="3" t="inlineStr">
        <is>
          <t>nan</t>
        </is>
      </c>
      <c r="Q372" s="6">
        <f>HYPERLINK("https://fin.land.naver.com/articles/2653489408", "매물Link")</f>
        <v/>
      </c>
      <c r="R372" s="6">
        <f>HYPERLINK("https://map.naver.com/p/search/부강면 갈산리 408", "지도Link")</f>
        <v/>
      </c>
      <c r="S372" s="6">
        <f>HYPERLINK("http://www.eum.go.kr/web/ar/lu/luLandDet.jsp?pnu=3611033024104080000&amp;isNoScr=script&amp;mode=search", "토지이음")</f>
        <v/>
      </c>
      <c r="T372" s="3" t="inlineStr">
        <is>
          <t>창고의여왕</t>
        </is>
      </c>
      <c r="U372" s="4" t="n">
        <v>1</v>
      </c>
      <c r="V372" s="5" t="n">
        <v>80.3</v>
      </c>
      <c r="W372" s="4" t="n">
        <v>3938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2018-03</t>
        </is>
      </c>
      <c r="AD372" s="3" t="inlineStr">
        <is>
          <t>소로한면</t>
        </is>
      </c>
    </row>
    <row r="373">
      <c r="A373" s="3" t="inlineStr">
        <is>
          <t>부강면 금호리 221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공장</t>
        </is>
      </c>
      <c r="E373" s="3" t="inlineStr">
        <is>
          <t>월세</t>
        </is>
      </c>
      <c r="F373" s="4" t="n">
        <v>10000</v>
      </c>
      <c r="G373" s="4" t="n">
        <v>400</v>
      </c>
      <c r="H373" s="4" t="n">
        <v>3831</v>
      </c>
      <c r="I373" s="4" t="n">
        <v>1159</v>
      </c>
      <c r="J373" s="5" t="n">
        <v>0.3</v>
      </c>
      <c r="K373" s="4" t="n">
        <v>386</v>
      </c>
      <c r="L373" s="4" t="n">
        <v>117</v>
      </c>
      <c r="M373" s="5" t="n">
        <v>3.4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HYPERLINK("https://fin.land.naver.com/articles/2651773820", "매물Link")</f>
        <v/>
      </c>
      <c r="R373" s="6">
        <f>HYPERLINK("https://map.naver.com/p/search/부강면 금호리 221", "지도Link")</f>
        <v/>
      </c>
      <c r="S373" s="6">
        <f>HYPERLINK("http://www.eum.go.kr/web/ar/lu/luLandDet.jsp?pnu=3611033028102210000&amp;isNoScr=script&amp;mode=search", "토지이음")</f>
        <v/>
      </c>
      <c r="T373" s="3" t="inlineStr">
        <is>
          <t>대박</t>
        </is>
      </c>
      <c r="U373" s="4" t="n">
        <v>1</v>
      </c>
      <c r="V373" s="5" t="n">
        <v>36.9</v>
      </c>
      <c r="W373" s="4" t="n">
        <v>948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맹지</t>
        </is>
      </c>
    </row>
    <row r="374">
      <c r="A374" s="3" t="inlineStr">
        <is>
          <t>부강면 금호리 277-2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260</v>
      </c>
      <c r="H374" s="4" t="n">
        <v>894</v>
      </c>
      <c r="I374" s="4" t="n">
        <v>270</v>
      </c>
      <c r="J374" s="5" t="n">
        <v>1</v>
      </c>
      <c r="K374" s="4" t="n">
        <v>352</v>
      </c>
      <c r="L374" s="4" t="n">
        <v>106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공장 임대</t>
        </is>
      </c>
      <c r="Q374" s="6">
        <f>HYPERLINK("https://fin.land.naver.com/articles/2652988056", "매물Link")</f>
        <v/>
      </c>
      <c r="R374" s="6">
        <f>HYPERLINK("https://map.naver.com/p/search/부강면 금호리 277-2", "지도Link")</f>
        <v/>
      </c>
      <c r="S374" s="6">
        <f>HYPERLINK("http://www.eum.go.kr/web/ar/lu/luLandDet.jsp?pnu=3611033028102770002&amp;isNoScr=script&amp;mode=search",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67.59999999999999</v>
      </c>
      <c r="W374" s="4" t="n">
        <v>894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2021-07</t>
        </is>
      </c>
      <c r="AD374" s="3" t="inlineStr">
        <is>
          <t>세로한면(가)</t>
        </is>
      </c>
    </row>
    <row r="375">
      <c r="A375" s="3" t="inlineStr">
        <is>
          <t>부강면 금호리 277-2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창고</t>
        </is>
      </c>
      <c r="E375" s="3" t="inlineStr">
        <is>
          <t>월세</t>
        </is>
      </c>
      <c r="F375" s="4" t="n">
        <v>3000</v>
      </c>
      <c r="G375" s="4" t="n">
        <v>260</v>
      </c>
      <c r="H375" s="4" t="n">
        <v>894</v>
      </c>
      <c r="I375" s="4" t="n">
        <v>270</v>
      </c>
      <c r="J375" s="5" t="n">
        <v>1</v>
      </c>
      <c r="K375" s="4" t="n">
        <v>352</v>
      </c>
      <c r="L375" s="4" t="n">
        <v>106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세종시 부강 산업단지 옆 공장 및 창고 입니다</t>
        </is>
      </c>
      <c r="Q375" s="6">
        <f>HYPERLINK("https://fin.land.naver.com/articles/2652016240", "매물Link")</f>
        <v/>
      </c>
      <c r="R375" s="6">
        <f>HYPERLINK("https://map.naver.com/p/search/부강면 금호리 277-2", "지도Link")</f>
        <v/>
      </c>
      <c r="S375" s="6">
        <f>HYPERLINK("http://www.eum.go.kr/web/ar/lu/luLandDet.jsp?pnu=3611033028102770002&amp;isNoScr=script&amp;mode=search",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67.59999999999999</v>
      </c>
      <c r="W375" s="4" t="n">
        <v>894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2021-07</t>
        </is>
      </c>
      <c r="AD375" s="3" t="inlineStr">
        <is>
          <t>세로한면(가)</t>
        </is>
      </c>
    </row>
    <row r="376">
      <c r="A376" s="3" t="inlineStr">
        <is>
          <t>부강면 금호리 277-2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3000</v>
      </c>
      <c r="G376" s="4" t="n">
        <v>260</v>
      </c>
      <c r="H376" s="4" t="n">
        <v>894</v>
      </c>
      <c r="I376" s="4" t="n">
        <v>270</v>
      </c>
      <c r="J376" s="5" t="n">
        <v>1</v>
      </c>
      <c r="K376" s="4" t="n">
        <v>352</v>
      </c>
      <c r="L376" s="4" t="n">
        <v>106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 세종 부강일반산업단지 옆 단독 소형 공장임대</t>
        </is>
      </c>
      <c r="Q376" s="6">
        <f>HYPERLINK("https://fin.land.naver.com/articles/2650873411", "매물Link")</f>
        <v/>
      </c>
      <c r="R376" s="6">
        <f>HYPERLINK("https://map.naver.com/p/search/부강면 금호리 277-2", "지도Link")</f>
        <v/>
      </c>
      <c r="S376" s="6">
        <f>HYPERLINK("http://www.eum.go.kr/web/ar/lu/luLandDet.jsp?pnu=3611033028102770002&amp;isNoScr=script&amp;mode=search", "토지이음")</f>
        <v/>
      </c>
      <c r="T376" s="3" t="inlineStr">
        <is>
          <t>더원</t>
        </is>
      </c>
      <c r="U376" s="4" t="n">
        <v>3</v>
      </c>
      <c r="V376" s="5" t="n">
        <v>67.59999999999999</v>
      </c>
      <c r="W376" s="4" t="n">
        <v>894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2021-07</t>
        </is>
      </c>
      <c r="AD376" s="3" t="inlineStr">
        <is>
          <t>세로한면(가)</t>
        </is>
      </c>
    </row>
    <row r="377">
      <c r="A377" s="3" t="inlineStr">
        <is>
          <t>부강면 금호리 389-1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매매</t>
        </is>
      </c>
      <c r="F377" s="4" t="n">
        <v>66000</v>
      </c>
      <c r="G377" s="4" t="n">
        <v>0</v>
      </c>
      <c r="H377" s="4" t="n">
        <v>662</v>
      </c>
      <c r="I377" s="4" t="n">
        <v>200</v>
      </c>
      <c r="J377" s="5" t="n">
        <v>330</v>
      </c>
      <c r="K377" s="4" t="n">
        <v>193</v>
      </c>
      <c r="L377" s="4" t="n">
        <v>58</v>
      </c>
      <c r="M377" s="5" t="n">
        <v>1137.9</v>
      </c>
      <c r="N377" s="3" t="inlineStr">
        <is>
          <t>1</t>
        </is>
      </c>
      <c r="O377" s="3" t="inlineStr">
        <is>
          <t>-</t>
        </is>
      </c>
      <c r="P377" s="3" t="inlineStr">
        <is>
          <t>앞면도로접함 주차공간 많음,일반산업단지와IC근교,일반음식점,물류창고최적</t>
        </is>
      </c>
      <c r="Q377" s="6">
        <f>HYPERLINK("https://fin.land.naver.com/articles/2651041474", "매물Link")</f>
        <v/>
      </c>
      <c r="R377" s="6">
        <f>HYPERLINK("https://map.naver.com/p/search/부강면 금호리 389-1", "지도Link")</f>
        <v/>
      </c>
      <c r="S377" s="6">
        <f>HYPERLINK("http://www.eum.go.kr/web/ar/lu/luLandDet.jsp?pnu=3611033028103890001&amp;isNoScr=script&amp;mode=search", "토지이음")</f>
        <v/>
      </c>
      <c r="T377" s="3" t="inlineStr">
        <is>
          <t>원내</t>
        </is>
      </c>
      <c r="U377" s="4" t="n">
        <v>1</v>
      </c>
      <c r="V377" s="5" t="n">
        <v>79.90000000000001</v>
      </c>
      <c r="W377" s="4" t="n">
        <v>662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경량철골구조</t>
        </is>
      </c>
      <c r="AA377" s="3" t="inlineStr">
        <is>
          <t>제2종근생</t>
        </is>
      </c>
      <c r="AB377" s="3" t="inlineStr">
        <is>
          <t>4.7m</t>
        </is>
      </c>
      <c r="AC377" s="3" t="inlineStr">
        <is>
          <t>2014-12</t>
        </is>
      </c>
      <c r="AD377" s="3" t="inlineStr">
        <is>
          <t>세로한면(가)</t>
        </is>
      </c>
    </row>
    <row r="378">
      <c r="A378" s="3" t="inlineStr">
        <is>
          <t>부강면 금호리 413-1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1400000</v>
      </c>
      <c r="G378" s="4" t="n">
        <v>0</v>
      </c>
      <c r="H378" s="4" t="n">
        <v>13866</v>
      </c>
      <c r="I378" s="4" t="n">
        <v>4194</v>
      </c>
      <c r="J378" s="5" t="n">
        <v>333.8</v>
      </c>
      <c r="K378" s="4" t="n">
        <v>6367</v>
      </c>
      <c r="L378" s="4" t="n">
        <v>1926</v>
      </c>
      <c r="M378" s="5" t="n">
        <v>726.9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대형공장 1층 단층구조 연1926p</t>
        </is>
      </c>
      <c r="Q378" s="6">
        <f>HYPERLINK("https://fin.land.naver.com/articles/2653014661", "매물Link")</f>
        <v/>
      </c>
      <c r="R378" s="6">
        <f>HYPERLINK("https://map.naver.com/p/search/부강면 금호리 413-1", "지도Link")</f>
        <v/>
      </c>
      <c r="S378" s="6">
        <f>HYPERLINK("http://www.eum.go.kr/web/ar/lu/luLandDet.jsp?pnu=3611033028104130001&amp;isNoScr=script&amp;mode=search", "토지이음")</f>
        <v/>
      </c>
      <c r="T378" s="3" t="inlineStr">
        <is>
          <t>공장플러스</t>
        </is>
      </c>
      <c r="U378" s="4" t="n">
        <v>1</v>
      </c>
      <c r="V378" s="5" t="n">
        <v>84.90000000000001</v>
      </c>
      <c r="W378" s="4" t="n">
        <v>13866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1997-09</t>
        </is>
      </c>
      <c r="AD378" s="3" t="inlineStr">
        <is>
          <t>소로한면</t>
        </is>
      </c>
    </row>
    <row r="379">
      <c r="A379" s="3" t="inlineStr">
        <is>
          <t>부강면 금호리 413-1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12000</v>
      </c>
      <c r="G379" s="4" t="n">
        <v>4000</v>
      </c>
      <c r="H379" s="4" t="n">
        <v>13866</v>
      </c>
      <c r="I379" s="4" t="n">
        <v>4194</v>
      </c>
      <c r="J379" s="5" t="n">
        <v>1</v>
      </c>
      <c r="K379" s="4" t="n">
        <v>6367</v>
      </c>
      <c r="L379" s="4" t="n">
        <v>1926</v>
      </c>
      <c r="M379" s="5" t="n">
        <v>2.1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대형공장 1층 단층구조 연1926p</t>
        </is>
      </c>
      <c r="Q379" s="6">
        <f>HYPERLINK("https://fin.land.naver.com/articles/2653008802", "매물Link")</f>
        <v/>
      </c>
      <c r="R379" s="6">
        <f>HYPERLINK("https://map.naver.com/p/search/부강면 금호리 413-1", "지도Link")</f>
        <v/>
      </c>
      <c r="S379" s="6">
        <f>HYPERLINK("http://www.eum.go.kr/web/ar/lu/luLandDet.jsp?pnu=3611033028104130001&amp;isNoScr=script&amp;mode=search", "토지이음")</f>
        <v/>
      </c>
      <c r="T379" s="3" t="inlineStr">
        <is>
          <t>공장플러스</t>
        </is>
      </c>
      <c r="U379" s="4" t="n">
        <v>1</v>
      </c>
      <c r="V379" s="5" t="n">
        <v>84.90000000000001</v>
      </c>
      <c r="W379" s="4" t="n">
        <v>13866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1997-09</t>
        </is>
      </c>
      <c r="AD379" s="3" t="inlineStr">
        <is>
          <t>소로한면</t>
        </is>
      </c>
    </row>
    <row r="380">
      <c r="A380" s="3" t="inlineStr">
        <is>
          <t>부강면 금호리 413-1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12000</v>
      </c>
      <c r="G380" s="4" t="n">
        <v>3700</v>
      </c>
      <c r="H380" s="4" t="n">
        <v>13866</v>
      </c>
      <c r="I380" s="4" t="n">
        <v>4194</v>
      </c>
      <c r="J380" s="5" t="n">
        <v>0.9</v>
      </c>
      <c r="K380" s="4" t="n">
        <v>6367</v>
      </c>
      <c r="L380" s="4" t="n">
        <v>1926</v>
      </c>
      <c r="M380" s="5" t="n">
        <v>1.9</v>
      </c>
      <c r="N380" s="3" t="inlineStr">
        <is>
          <t>1</t>
        </is>
      </c>
      <c r="O380" s="3" t="inlineStr">
        <is>
          <t>B1</t>
        </is>
      </c>
      <c r="P380" s="3" t="inlineStr">
        <is>
          <t>사진有 공장 임대</t>
        </is>
      </c>
      <c r="Q380" s="6">
        <f>HYPERLINK("https://fin.land.naver.com/articles/2652068004", "매물Link")</f>
        <v/>
      </c>
      <c r="R380" s="6">
        <f>HYPERLINK("https://map.naver.com/p/search/부강면 금호리 413-1", "지도Link")</f>
        <v/>
      </c>
      <c r="S380" s="6">
        <f>HYPERLINK("http://www.eum.go.kr/web/ar/lu/luLandDet.jsp?pnu=3611033028104130001&amp;isNoScr=script&amp;mode=search",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84.90000000000001</v>
      </c>
      <c r="W380" s="4" t="n">
        <v>13866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10.0m</t>
        </is>
      </c>
      <c r="AC380" s="3" t="inlineStr">
        <is>
          <t>1997-09</t>
        </is>
      </c>
      <c r="AD380" s="3" t="inlineStr">
        <is>
          <t>소로한면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HYPERLINK("https://fin.land.naver.com/articles/2652988007",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456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375</v>
      </c>
      <c r="H382" s="4" t="n">
        <v>1260</v>
      </c>
      <c r="I382" s="4" t="n">
        <v>381</v>
      </c>
      <c r="J382" s="5" t="n">
        <v>1</v>
      </c>
      <c r="K382" s="4" t="n">
        <v>497</v>
      </c>
      <c r="L382" s="4" t="n">
        <v>150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부강산업단지 인근 야적장 넓은 공장 창고 임대</t>
        </is>
      </c>
      <c r="Q382" s="6">
        <f>HYPERLINK("https://fin.land.naver.com/articles/2652390959", "매물Link")</f>
        <v/>
      </c>
      <c r="R382" s="6">
        <f>HYPERLINK("https://map.naver.com/p/search/부강면 금호리 456", "지도Link")</f>
        <v/>
      </c>
      <c r="S382" s="6">
        <f>HYPERLINK("http://www.eum.go.kr/web/ar/lu/luLandDet.jsp?pnu=3611033028104560000&amp;isNoScr=script&amp;mode=search", "토지이음")</f>
        <v/>
      </c>
      <c r="T382" s="3" t="inlineStr">
        <is>
          <t>KS</t>
        </is>
      </c>
      <c r="U382" s="4" t="n">
        <v>1</v>
      </c>
      <c r="V382" s="5" t="n">
        <v>87.2</v>
      </c>
      <c r="W382" s="4" t="n">
        <v>1260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2020-09</t>
        </is>
      </c>
      <c r="AD382" s="3" t="inlineStr">
        <is>
          <t>세로한면(가)</t>
        </is>
      </c>
    </row>
    <row r="383">
      <c r="A383" s="3" t="inlineStr">
        <is>
          <t>부강면 금호리 456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4000</v>
      </c>
      <c r="G383" s="4" t="n">
        <v>375</v>
      </c>
      <c r="H383" s="4" t="n">
        <v>1260</v>
      </c>
      <c r="I383" s="4" t="n">
        <v>381</v>
      </c>
      <c r="J383" s="5" t="n">
        <v>1</v>
      </c>
      <c r="K383" s="4" t="n">
        <v>497</v>
      </c>
      <c r="L383" s="4" t="n">
        <v>150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부강 산업단지 인접한 공장 및 창고 입니다</t>
        </is>
      </c>
      <c r="Q383" s="6">
        <f>HYPERLINK("https://fin.land.naver.com/articles/2652033586", "매물Link")</f>
        <v/>
      </c>
      <c r="R383" s="6">
        <f>HYPERLINK("https://map.naver.com/p/search/부강면 금호리 456", "지도Link")</f>
        <v/>
      </c>
      <c r="S383" s="6">
        <f>HYPERLINK("http://www.eum.go.kr/web/ar/lu/luLandDet.jsp?pnu=3611033028104560000&amp;isNoScr=script&amp;mode=search",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87.2</v>
      </c>
      <c r="W383" s="4" t="n">
        <v>1260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2020-09</t>
        </is>
      </c>
      <c r="AD383" s="3" t="inlineStr">
        <is>
          <t>세로한면(가)</t>
        </is>
      </c>
    </row>
    <row r="384">
      <c r="A384" s="3" t="inlineStr">
        <is>
          <t>부강면 금호리 456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4000</v>
      </c>
      <c r="G384" s="4" t="n">
        <v>375</v>
      </c>
      <c r="H384" s="4" t="n">
        <v>1260</v>
      </c>
      <c r="I384" s="4" t="n">
        <v>381</v>
      </c>
      <c r="J384" s="5" t="n">
        <v>1</v>
      </c>
      <c r="K384" s="4" t="n">
        <v>497</v>
      </c>
      <c r="L384" s="4" t="n">
        <v>150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층고 높고 마당 넓음, 부강산업단지 인근, 즉시입주 가능</t>
        </is>
      </c>
      <c r="Q384" s="6">
        <f>HYPERLINK("https://fin.land.naver.com/articles/2651475999", "매물Link")</f>
        <v/>
      </c>
      <c r="R384" s="6">
        <f>HYPERLINK("https://map.naver.com/p/search/부강면 금호리 456", "지도Link")</f>
        <v/>
      </c>
      <c r="S384" s="6">
        <f>HYPERLINK("http://www.eum.go.kr/web/ar/lu/luLandDet.jsp?pnu=3611033028104560000&amp;isNoScr=script&amp;mode=search", "토지이음")</f>
        <v/>
      </c>
      <c r="T384" s="3" t="inlineStr">
        <is>
          <t>제이</t>
        </is>
      </c>
      <c r="U384" s="4" t="n">
        <v>3</v>
      </c>
      <c r="V384" s="5" t="n">
        <v>87.2</v>
      </c>
      <c r="W384" s="4" t="n">
        <v>1260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2020-09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2년전 리모델링완비, 전시판매장추천,1000여평 국유지임대가능</t>
        </is>
      </c>
      <c r="Q386" s="6">
        <f>HYPERLINK("https://fin.land.naver.com/articles/2650894474",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소소사무소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200000</v>
      </c>
      <c r="G387" s="4" t="n">
        <v>0</v>
      </c>
      <c r="H387" s="4" t="n">
        <v>2498</v>
      </c>
      <c r="I387" s="4" t="n">
        <v>756</v>
      </c>
      <c r="J387" s="5" t="n">
        <v>264.6</v>
      </c>
      <c r="K387" s="4" t="n">
        <v>755</v>
      </c>
      <c r="L387" s="4" t="n">
        <v>228</v>
      </c>
      <c r="M387" s="5" t="n">
        <v>877.2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부강일반산업단지 인근 리모델링완료된 단독 공장 매매</t>
        </is>
      </c>
      <c r="Q387" s="6">
        <f>HYPERLINK("https://fin.land.naver.com/articles/2652199547",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드림사무소</t>
        </is>
      </c>
      <c r="U387" s="4" t="n">
        <v>2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210000</v>
      </c>
      <c r="G388" s="4" t="n">
        <v>0</v>
      </c>
      <c r="H388" s="4" t="n">
        <v>2498</v>
      </c>
      <c r="I388" s="4" t="n">
        <v>756</v>
      </c>
      <c r="J388" s="5" t="n">
        <v>277.8</v>
      </c>
      <c r="K388" s="4" t="n">
        <v>755</v>
      </c>
      <c r="L388" s="4" t="n">
        <v>228</v>
      </c>
      <c r="M388" s="5" t="n">
        <v>921.1</v>
      </c>
      <c r="N388" s="3" t="inlineStr">
        <is>
          <t>2</t>
        </is>
      </c>
      <c r="O388" s="3" t="inlineStr">
        <is>
          <t>-</t>
        </is>
      </c>
      <c r="P388" s="3" t="inlineStr">
        <is>
          <t>부강산업단지인근 도로옆 단독공장 2년전 리모델링완비</t>
        </is>
      </c>
      <c r="Q388" s="6">
        <f>HYPERLINK("https://fin.land.naver.com/articles/2650938924",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계획관리지역 넓은 야드 층고 높은 공장임대 보1억5천 월1500 매매가능</t>
        </is>
      </c>
      <c r="Q389" s="6">
        <f>HYPERLINK("https://fin.land.naver.com/articles/2654036469",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불당대원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5000</v>
      </c>
      <c r="G390" s="4" t="n">
        <v>500</v>
      </c>
      <c r="H390" s="4" t="n">
        <v>9585</v>
      </c>
      <c r="I390" s="4" t="n">
        <v>2899</v>
      </c>
      <c r="J390" s="5" t="n">
        <v>0.2</v>
      </c>
      <c r="K390" s="4" t="n">
        <v>716</v>
      </c>
      <c r="L390" s="4" t="n">
        <v>217</v>
      </c>
      <c r="M390" s="5" t="n">
        <v>2.3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남청주ic, 신탄진ic 접근성 우수 호이스트 설치된 공장</t>
        </is>
      </c>
      <c r="Q390" s="6">
        <f>HYPERLINK("https://fin.land.naver.com/articles/2650205472",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9585</v>
      </c>
      <c r="I391" s="4" t="n">
        <v>2899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남청주ic, 신탄진ic 접근성 우수 호이스트설치 전력700kw</t>
        </is>
      </c>
      <c r="Q391" s="6">
        <f>HYPERLINK("https://fin.land.naver.com/articles/2650204516",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15000</v>
      </c>
      <c r="G392" s="4" t="n">
        <v>1500</v>
      </c>
      <c r="H392" s="4" t="n">
        <v>9566</v>
      </c>
      <c r="I392" s="4" t="n">
        <v>2894</v>
      </c>
      <c r="J392" s="5" t="n">
        <v>0.5</v>
      </c>
      <c r="K392" s="4" t="n">
        <v>1793</v>
      </c>
      <c r="L392" s="4" t="n">
        <v>542</v>
      </c>
      <c r="M392" s="5" t="n">
        <v>2.8</v>
      </c>
      <c r="N392" s="3" t="inlineStr">
        <is>
          <t>1</t>
        </is>
      </c>
      <c r="O392" s="3" t="inlineStr">
        <is>
          <t>-</t>
        </is>
      </c>
      <c r="P392" s="3" t="inlineStr">
        <is>
          <t>신탄진IC남청주IC와 중간위치, 대형차 진출입이 편리한곳,호이스트있음</t>
        </is>
      </c>
      <c r="Q392" s="6">
        <f>HYPERLINK("https://fin.land.naver.com/articles/2654296586",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(주)미르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570000</v>
      </c>
      <c r="G393" s="4" t="n">
        <v>0</v>
      </c>
      <c r="H393" s="4" t="n">
        <v>8600</v>
      </c>
      <c r="I393" s="4" t="n">
        <v>2602</v>
      </c>
      <c r="J393" s="5" t="n">
        <v>219.1</v>
      </c>
      <c r="K393" s="4" t="n">
        <v>1793</v>
      </c>
      <c r="L393" s="4" t="n">
        <v>542</v>
      </c>
      <c r="M393" s="5" t="n">
        <v>1051.7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노호리 부지 넓은 대형공장 매매</t>
        </is>
      </c>
      <c r="Q393" s="6">
        <f>HYPERLINK("https://fin.land.naver.com/articles/2652510293",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SK랜드</t>
        </is>
      </c>
      <c r="U393" s="4" t="n">
        <v>2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민원소지 없는 야드 넓은 공장임대</t>
        </is>
      </c>
      <c r="Q394" s="6">
        <f>HYPERLINK("https://fin.land.naver.com/articles/2651586128",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570000</v>
      </c>
      <c r="G395" s="4" t="n">
        <v>0</v>
      </c>
      <c r="H395" s="4" t="n">
        <v>9587</v>
      </c>
      <c r="I395" s="4" t="n">
        <v>2900</v>
      </c>
      <c r="J395" s="5" t="n">
        <v>196.6</v>
      </c>
      <c r="K395" s="4" t="n">
        <v>1793</v>
      </c>
      <c r="L395" s="4" t="n">
        <v>542</v>
      </c>
      <c r="M395" s="5" t="n">
        <v>1051.7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9분, 2분의 1 분할매매 가능</t>
        </is>
      </c>
      <c r="Q395" s="6">
        <f>HYPERLINK("https://fin.land.naver.com/articles/2651829026",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사진有 공장 임대</t>
        </is>
      </c>
      <c r="Q396" s="6">
        <f>HYPERLINK("https://fin.land.naver.com/articles/2652988033",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등곡리 350-9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2580</v>
      </c>
      <c r="I397" s="4" t="n">
        <v>780</v>
      </c>
      <c r="J397" s="5" t="n">
        <v>256.4</v>
      </c>
      <c r="K397" s="4" t="n">
        <v>273</v>
      </c>
      <c r="L397" s="4" t="n">
        <v>83</v>
      </c>
      <c r="M397" s="5" t="n">
        <v>2409.6</v>
      </c>
      <c r="N397" s="3" t="inlineStr">
        <is>
          <t>2</t>
        </is>
      </c>
      <c r="O397" s="3" t="inlineStr">
        <is>
          <t>B2</t>
        </is>
      </c>
      <c r="P397" s="3" t="inlineStr">
        <is>
          <t>지정폐기물수집보관성업중</t>
        </is>
      </c>
      <c r="Q397" s="6">
        <f>HYPERLINK("https://fin.land.naver.com/articles/2653664868", "매물Link")</f>
        <v/>
      </c>
      <c r="R397" s="6">
        <f>HYPERLINK("https://map.naver.com/p/search/부강면 등곡리 350-9", "지도Link")</f>
        <v/>
      </c>
      <c r="S397" s="6">
        <f>HYPERLINK("http://www.eum.go.kr/web/ar/lu/luLandDet.jsp?pnu=3611033026103500009&amp;isNoScr=script&amp;mode=search", "토지이음")</f>
        <v/>
      </c>
      <c r="T397" s="3" t="inlineStr">
        <is>
          <t>우리래미안</t>
        </is>
      </c>
      <c r="U397" s="4" t="n">
        <v>1</v>
      </c>
      <c r="V397" s="5" t="n">
        <v>69.90000000000001</v>
      </c>
      <c r="W397" s="4" t="n">
        <v>2580</v>
      </c>
      <c r="X397" s="3" t="inlineStr">
        <is>
          <t>2동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위험물저장및처리시설</t>
        </is>
      </c>
      <c r="AB397" s="3" t="inlineStr">
        <is>
          <t>6.8m</t>
        </is>
      </c>
      <c r="AC397" s="3" t="inlineStr">
        <is>
          <t>2008-07</t>
        </is>
      </c>
      <c r="AD397" s="3" t="inlineStr">
        <is>
          <t>세로한면(가)</t>
        </is>
      </c>
    </row>
    <row r="398">
      <c r="A398" s="3" t="inlineStr">
        <is>
          <t>부강면 문곡리 128-3</t>
        </is>
      </c>
      <c r="B398" s="3" t="inlineStr">
        <is>
          <t>계획관리지역</t>
        </is>
      </c>
      <c r="C398" s="3" t="inlineStr">
        <is>
          <t>창고용지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6153</v>
      </c>
      <c r="I398" s="4" t="n">
        <v>1861</v>
      </c>
      <c r="J398" s="5" t="n">
        <v>403</v>
      </c>
      <c r="K398" s="4" t="n">
        <v>2303</v>
      </c>
      <c r="L398" s="4" t="n">
        <v>697</v>
      </c>
      <c r="M398" s="5" t="n">
        <v>1076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2분거리, 마당 넓고 층고 높은 대형차량 진출입 용이한 창고</t>
        </is>
      </c>
      <c r="Q398" s="6">
        <f>HYPERLINK("https://fin.land.naver.com/articles/2654725153", "매물Link")</f>
        <v/>
      </c>
      <c r="R398" s="6">
        <f>HYPERLINK("https://map.naver.com/p/search/부강면 문곡리 128-3", "지도Link")</f>
        <v/>
      </c>
      <c r="S398" s="6">
        <f>HYPERLINK("http://www.eum.go.kr/web/ar/lu/luLandDet.jsp?pnu=3611033025101280003&amp;isNoScr=script&amp;mode=search",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102.2</v>
      </c>
      <c r="W398" s="4" t="n">
        <v>2303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소로한면</t>
        </is>
      </c>
    </row>
    <row r="399">
      <c r="A399" s="3" t="inlineStr">
        <is>
          <t>부강면 문곡리 140</t>
        </is>
      </c>
      <c r="B399" s="3" t="inlineStr">
        <is>
          <t>계획관리지역</t>
        </is>
      </c>
      <c r="C399" s="3" t="inlineStr">
        <is>
          <t>창고용지</t>
        </is>
      </c>
      <c r="D399" s="3" t="inlineStr">
        <is>
          <t>창고</t>
        </is>
      </c>
      <c r="E399" s="3" t="inlineStr">
        <is>
          <t>매매</t>
        </is>
      </c>
      <c r="F399" s="4" t="n">
        <v>750000</v>
      </c>
      <c r="G399" s="4" t="n">
        <v>0</v>
      </c>
      <c r="H399" s="4" t="n">
        <v>6153</v>
      </c>
      <c r="I399" s="4" t="n">
        <v>1861</v>
      </c>
      <c r="J399" s="5" t="n">
        <v>403</v>
      </c>
      <c r="K399" s="4" t="n">
        <v>2303</v>
      </c>
      <c r="L399" s="4" t="n">
        <v>697</v>
      </c>
      <c r="M399" s="5" t="n">
        <v>1076</v>
      </c>
      <c r="N399" s="3" t="inlineStr">
        <is>
          <t>1</t>
        </is>
      </c>
      <c r="O399" s="3" t="inlineStr">
        <is>
          <t>B1</t>
        </is>
      </c>
      <c r="P399" s="3" t="inlineStr">
        <is>
          <t>남청주IC 인근 창고, 대형차 진출입 용이</t>
        </is>
      </c>
      <c r="Q399" s="6">
        <f>HYPERLINK("https://fin.land.naver.com/articles/2655625134", "매물Link")</f>
        <v/>
      </c>
      <c r="R399" s="6">
        <f>HYPERLINK("https://map.naver.com/p/search/부강면 문곡리 140", "지도Link")</f>
        <v/>
      </c>
      <c r="S399" s="6">
        <f>HYPERLINK("http://www.eum.go.kr/web/ar/lu/luLandDet.jsp?pnu=3611033025101400000&amp;isNoScr=script&amp;mode=search", "토지이음")</f>
        <v/>
      </c>
      <c r="T399" s="3" t="inlineStr">
        <is>
          <t>라이프</t>
        </is>
      </c>
      <c r="U399" s="4" t="n">
        <v>1</v>
      </c>
      <c r="V399" s="5" t="n">
        <v>102.2</v>
      </c>
      <c r="W399" s="4" t="n">
        <v>3376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12.45m</t>
        </is>
      </c>
      <c r="AC399" s="3" t="inlineStr">
        <is>
          <t>2015-03</t>
        </is>
      </c>
      <c r="AD399" s="3" t="inlineStr">
        <is>
          <t>소로한면</t>
        </is>
      </c>
    </row>
    <row r="400">
      <c r="A400" s="3" t="inlineStr">
        <is>
          <t>부강면 문곡리 140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남청주IC에서 4분</t>
        </is>
      </c>
      <c r="Q400" s="6">
        <f>HYPERLINK("https://fin.land.naver.com/articles/2651822681", "매물Link")</f>
        <v/>
      </c>
      <c r="R400" s="6">
        <f>HYPERLINK("https://map.naver.com/p/search/부강면 문곡리 140", "지도Link")</f>
        <v/>
      </c>
      <c r="S400" s="6">
        <f>HYPERLINK("http://www.eum.go.kr/web/ar/lu/luLandDet.jsp?pnu=3611033025101400000&amp;isNoScr=script&amp;mode=search", "토지이음")</f>
        <v/>
      </c>
      <c r="T400" s="3" t="inlineStr">
        <is>
          <t>미더스</t>
        </is>
      </c>
      <c r="U400" s="4" t="n">
        <v>2</v>
      </c>
      <c r="V400" s="5" t="n">
        <v>102.2</v>
      </c>
      <c r="W400" s="4" t="n">
        <v>3376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12.45m</t>
        </is>
      </c>
      <c r="AC400" s="3" t="inlineStr">
        <is>
          <t>2015-03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1408</v>
      </c>
      <c r="L401" s="4" t="n">
        <v>426</v>
      </c>
      <c r="M401" s="5" t="n">
        <v>1760.6</v>
      </c>
      <c r="N401" s="3" t="inlineStr">
        <is>
          <t>2</t>
        </is>
      </c>
      <c r="O401" s="3" t="inlineStr">
        <is>
          <t>-</t>
        </is>
      </c>
      <c r="P401" s="3" t="inlineStr">
        <is>
          <t>nan</t>
        </is>
      </c>
      <c r="Q401" s="6">
        <f>HYPERLINK("https://fin.land.naver.com/articles/2653632764",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다온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154-2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4953</v>
      </c>
      <c r="I402" s="4" t="n">
        <v>1498</v>
      </c>
      <c r="J402" s="5" t="n">
        <v>500.7</v>
      </c>
      <c r="K402" s="4" t="n">
        <v>1543</v>
      </c>
      <c r="L402" s="4" t="n">
        <v>467</v>
      </c>
      <c r="M402" s="5" t="n">
        <v>1606</v>
      </c>
      <c r="N402" s="3" t="inlineStr">
        <is>
          <t>2</t>
        </is>
      </c>
      <c r="O402" s="3" t="inlineStr">
        <is>
          <t>B1</t>
        </is>
      </c>
      <c r="P402" s="3" t="inlineStr">
        <is>
          <t>남청주IC에서 가까워 대형차 진출입이 원활한 곳,증축 가능한 곳</t>
        </is>
      </c>
      <c r="Q402" s="6">
        <f>HYPERLINK("https://fin.land.naver.com/articles/2655723151", "매물Link")</f>
        <v/>
      </c>
      <c r="R402" s="6">
        <f>HYPERLINK("https://map.naver.com/p/search/부강면 문곡리 154-2", "지도Link")</f>
        <v/>
      </c>
      <c r="S402" s="6">
        <f>HYPERLINK("http://www.eum.go.kr/web/ar/lu/luLandDet.jsp?pnu=3611033025101540002&amp;isNoScr=script&amp;mode=search",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141.2</v>
      </c>
      <c r="W402" s="4" t="n">
        <v>4953</v>
      </c>
      <c r="X402" s="3" t="inlineStr">
        <is>
          <t>주건축물제1동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제1종근생</t>
        </is>
      </c>
      <c r="AB402" s="3" t="inlineStr">
        <is>
          <t>11.9m</t>
        </is>
      </c>
      <c r="AC402" s="3" t="inlineStr">
        <is>
          <t>2016-08</t>
        </is>
      </c>
      <c r="AD402" s="3" t="inlineStr">
        <is>
          <t>소로한면</t>
        </is>
      </c>
    </row>
    <row r="403">
      <c r="A403" s="3" t="inlineStr">
        <is>
          <t>부강면 문곡리 463-27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400000</v>
      </c>
      <c r="G403" s="4" t="n">
        <v>0</v>
      </c>
      <c r="H403" s="4" t="n">
        <v>5337</v>
      </c>
      <c r="I403" s="4" t="n">
        <v>1614</v>
      </c>
      <c r="J403" s="5" t="n">
        <v>247.8</v>
      </c>
      <c r="K403" s="4" t="n">
        <v>756</v>
      </c>
      <c r="L403" s="4" t="n">
        <v>229</v>
      </c>
      <c r="M403" s="5" t="n">
        <v>1746.7</v>
      </c>
      <c r="N403" s="3" t="inlineStr">
        <is>
          <t>1</t>
        </is>
      </c>
      <c r="O403" s="3" t="inlineStr">
        <is>
          <t>-</t>
        </is>
      </c>
      <c r="P403" s="3" t="inlineStr">
        <is>
          <t>접근성이 좋은 세종시에 위치한 제조공장 매매</t>
        </is>
      </c>
      <c r="Q403" s="6">
        <f>HYPERLINK("https://fin.land.naver.com/articles/2655309834", "매물Link")</f>
        <v/>
      </c>
      <c r="R403" s="6">
        <f>HYPERLINK("https://map.naver.com/p/search/부강면 문곡리 463-27", "지도Link")</f>
        <v/>
      </c>
      <c r="S403" s="6">
        <f>HYPERLINK("http://www.eum.go.kr/web/ar/lu/luLandDet.jsp?pnu=3611033025104630027&amp;isNoScr=script&amp;mode=search", "토지이음")</f>
        <v/>
      </c>
      <c r="T403" s="3" t="inlineStr">
        <is>
          <t>한화타운</t>
        </is>
      </c>
      <c r="U403" s="4" t="n">
        <v>1</v>
      </c>
      <c r="V403" s="5" t="n">
        <v>71.5</v>
      </c>
      <c r="W403" s="4" t="n">
        <v>3776</v>
      </c>
      <c r="X403" s="3" t="inlineStr">
        <is>
          <t>주1동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11.45m</t>
        </is>
      </c>
      <c r="AC403" s="3" t="inlineStr">
        <is>
          <t>2018-07</t>
        </is>
      </c>
      <c r="AD403" s="3" t="inlineStr">
        <is>
          <t>세로한면(가)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540000</v>
      </c>
      <c r="G404" s="4" t="n">
        <v>0</v>
      </c>
      <c r="H404" s="4" t="n">
        <v>5644</v>
      </c>
      <c r="I404" s="4" t="n">
        <v>1707</v>
      </c>
      <c r="J404" s="5" t="n">
        <v>316.3</v>
      </c>
      <c r="K404" s="4" t="n">
        <v>756</v>
      </c>
      <c r="L404" s="4" t="n">
        <v>229</v>
      </c>
      <c r="M404" s="5" t="n">
        <v>2358.1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 가깝고 대형차 진출입이 용이한 곳, 층고 11.5m</t>
        </is>
      </c>
      <c r="Q404" s="6">
        <f>HYPERLINK("https://fin.land.naver.com/articles/2654296468",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463-32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410000</v>
      </c>
      <c r="G405" s="4" t="n">
        <v>0</v>
      </c>
      <c r="H405" s="4" t="n">
        <v>5514</v>
      </c>
      <c r="I405" s="4" t="n">
        <v>1668</v>
      </c>
      <c r="J405" s="5" t="n">
        <v>245.8</v>
      </c>
      <c r="K405" s="4" t="n">
        <v>987</v>
      </c>
      <c r="L405" s="4" t="n">
        <v>299</v>
      </c>
      <c r="M405" s="5" t="n">
        <v>1371.2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인근에 있어 진출입이 용이하고 창고시설, 물류센터추천</t>
        </is>
      </c>
      <c r="Q405" s="6">
        <f>HYPERLINK("https://fin.land.naver.com/articles/2653676865", "매물Link")</f>
        <v/>
      </c>
      <c r="R405" s="6">
        <f>HYPERLINK("https://map.naver.com/p/search/부강면 문곡리 463-32", "지도Link")</f>
        <v/>
      </c>
      <c r="S405" s="6">
        <f>HYPERLINK("http://www.eum.go.kr/web/ar/lu/luLandDet.jsp?pnu=3611033025104630032&amp;isNoScr=script&amp;mode=search", "토지이음")</f>
        <v/>
      </c>
      <c r="T405" s="3" t="inlineStr">
        <is>
          <t>금화랜드</t>
        </is>
      </c>
      <c r="U405" s="4" t="n">
        <v>2</v>
      </c>
      <c r="V405" s="5" t="n">
        <v>74.3</v>
      </c>
      <c r="W405" s="4" t="n">
        <v>4900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11.5m</t>
        </is>
      </c>
      <c r="AC405" s="3" t="inlineStr">
        <is>
          <t>2018-12</t>
        </is>
      </c>
      <c r="AD405" s="3" t="inlineStr">
        <is>
          <t>세로한면(가)</t>
        </is>
      </c>
    </row>
    <row r="406">
      <c r="A406" s="3" t="inlineStr">
        <is>
          <t>부강면 문곡리 680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창고</t>
        </is>
      </c>
      <c r="E406" s="3" t="inlineStr">
        <is>
          <t>매매</t>
        </is>
      </c>
      <c r="F406" s="4" t="n">
        <v>1800000</v>
      </c>
      <c r="G406" s="4" t="n">
        <v>0</v>
      </c>
      <c r="H406" s="4" t="n">
        <v>17618</v>
      </c>
      <c r="I406" s="4" t="n">
        <v>5329</v>
      </c>
      <c r="J406" s="5" t="n">
        <v>337.8</v>
      </c>
      <c r="K406" s="4" t="n">
        <v>4986</v>
      </c>
      <c r="L406" s="4" t="n">
        <v>1508</v>
      </c>
      <c r="M406" s="5" t="n">
        <v>1193.6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5분 거리이며 2차선도로 접한 대형물류창고 도크시설 완비</t>
        </is>
      </c>
      <c r="Q406" s="6">
        <f>HYPERLINK("https://fin.land.naver.com/articles/2654180971", "매물Link")</f>
        <v/>
      </c>
      <c r="R406" s="6">
        <f>HYPERLINK("https://map.naver.com/p/search/부강면 문곡리 680", "지도Link")</f>
        <v/>
      </c>
      <c r="S406" s="6">
        <f>HYPERLINK("http://www.eum.go.kr/web/ar/lu/luLandDet.jsp?pnu=3611033025106800000&amp;isNoScr=script&amp;mode=search",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97.40000000000001</v>
      </c>
      <c r="W406" s="4" t="n">
        <v>17308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10.8m</t>
        </is>
      </c>
      <c r="AC406" s="3" t="inlineStr">
        <is>
          <t>1999-10</t>
        </is>
      </c>
      <c r="AD406" s="3" t="inlineStr">
        <is>
          <t>소로한면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남청주IC인근, 층고 높고 마당이 넓어 활용도 좋은 대형 물류창고</t>
        </is>
      </c>
      <c r="Q407" s="6">
        <f>HYPERLINK("https://fin.land.naver.com/articles/2655095800",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교통편리한 부강면 저렴한 소형창고 임대</t>
        </is>
      </c>
      <c r="Q408" s="6">
        <f>HYPERLINK("https://fin.land.naver.com/articles/2653277043",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세종행복한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330</v>
      </c>
      <c r="I409" s="4" t="n">
        <v>100</v>
      </c>
      <c r="J409" s="5" t="n">
        <v>1.4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소형 창고 임대 대로변에 접하여 진출입 매우 용이 근생건물</t>
        </is>
      </c>
      <c r="Q409" s="6">
        <f>HYPERLINK("https://fin.land.naver.com/articles/2654877663",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진출입편리한 남청주인근 소형창고</t>
        </is>
      </c>
      <c r="Q410" s="6">
        <f>HYPERLINK("https://fin.land.naver.com/articles/2655522566",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창고의여왕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2499</v>
      </c>
      <c r="I411" s="4" t="n">
        <v>756</v>
      </c>
      <c r="J411" s="5" t="n">
        <v>0.2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사진0, 제조업 가능하고 대형차량 진입 자유로운 창고임대</t>
        </is>
      </c>
      <c r="Q411" s="6">
        <f>HYPERLINK("https://fin.land.naver.com/articles/2655582732",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2000</v>
      </c>
      <c r="G412" s="4" t="n">
        <v>140</v>
      </c>
      <c r="H412" s="4" t="n">
        <v>1149</v>
      </c>
      <c r="I412" s="4" t="n">
        <v>348</v>
      </c>
      <c r="J412" s="5" t="n">
        <v>0.4</v>
      </c>
      <c r="K412" s="4" t="n">
        <v>176</v>
      </c>
      <c r="L412" s="4" t="n">
        <v>53</v>
      </c>
      <c r="M412" s="5" t="n">
        <v>2.6</v>
      </c>
      <c r="N412" s="3" t="inlineStr">
        <is>
          <t>1</t>
        </is>
      </c>
      <c r="O412" s="3" t="inlineStr">
        <is>
          <t>-</t>
        </is>
      </c>
      <c r="P412" s="3" t="inlineStr">
        <is>
          <t>2차선도로변접한위치의 소형창고 소매점 창고가능 남청주ic 5분거리</t>
        </is>
      </c>
      <c r="Q412" s="6">
        <f>HYPERLINK("https://fin.land.naver.com/articles/2654184143", "매물Link")</f>
        <v/>
      </c>
      <c r="R412" s="6">
        <f>HYPERLINK("https://map.naver.com/p/search/부강면 문곡리 729-2", "지도Link")</f>
        <v/>
      </c>
      <c r="S412" s="6">
        <f>HYPERLINK("http://www.eum.go.kr/web/ar/lu/luLandDet.jsp?pnu=3611033025107290002&amp;isNoScr=script&amp;mode=search",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137.6</v>
      </c>
      <c r="W412" s="4" t="n">
        <v>1149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제1종근생</t>
        </is>
      </c>
      <c r="AB412" s="3" t="inlineStr">
        <is>
          <t>7.5m</t>
        </is>
      </c>
      <c r="AC412" s="3" t="inlineStr">
        <is>
          <t>2024-11</t>
        </is>
      </c>
      <c r="AD412" s="3" t="inlineStr">
        <is>
          <t>소로한면</t>
        </is>
      </c>
    </row>
    <row r="413">
      <c r="A413" s="3" t="inlineStr">
        <is>
          <t>부강면 문곡리 769-1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210000</v>
      </c>
      <c r="G413" s="4" t="n">
        <v>0</v>
      </c>
      <c r="H413" s="4" t="n">
        <v>5456</v>
      </c>
      <c r="I413" s="4" t="n">
        <v>1650</v>
      </c>
      <c r="J413" s="5" t="n">
        <v>127.3</v>
      </c>
      <c r="K413" s="4" t="n">
        <v>1133</v>
      </c>
      <c r="L413" s="4" t="n">
        <v>343</v>
      </c>
      <c r="M413" s="5" t="n">
        <v>612.2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5분거리,대형차량 진출입 편리,민원 걱정 없는곳</t>
        </is>
      </c>
      <c r="Q413" s="6">
        <f>HYPERLINK("https://fin.land.naver.com/articles/2651904463", "매물Link")</f>
        <v/>
      </c>
      <c r="R413" s="6">
        <f>HYPERLINK("https://map.naver.com/p/search/부강면 문곡리 769-1", "지도Link")</f>
        <v/>
      </c>
      <c r="S413" s="6">
        <f>HYPERLINK("http://www.eum.go.kr/web/ar/lu/luLandDet.jsp?pnu=3611033025107690001&amp;isNoScr=script&amp;mode=search", "토지이음")</f>
        <v/>
      </c>
      <c r="T413" s="3" t="inlineStr">
        <is>
          <t>금화랜드</t>
        </is>
      </c>
      <c r="U413" s="4" t="n">
        <v>1</v>
      </c>
      <c r="V413" s="5" t="n">
        <v>79</v>
      </c>
      <c r="W413" s="4" t="n">
        <v>2915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8.5m</t>
        </is>
      </c>
      <c r="AC413" s="3" t="inlineStr">
        <is>
          <t>2007-07</t>
        </is>
      </c>
      <c r="AD413" s="3" t="inlineStr">
        <is>
          <t>세로한면(가)</t>
        </is>
      </c>
    </row>
    <row r="414">
      <c r="A414" s="3" t="inlineStr">
        <is>
          <t>부강면 문곡리 903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110000</v>
      </c>
      <c r="G414" s="4" t="n">
        <v>0</v>
      </c>
      <c r="H414" s="4" t="n">
        <v>1314</v>
      </c>
      <c r="I414" s="4" t="n">
        <v>397</v>
      </c>
      <c r="J414" s="5" t="n">
        <v>277.1</v>
      </c>
      <c r="K414" s="4" t="n">
        <v>446</v>
      </c>
      <c r="L414" s="4" t="n">
        <v>135</v>
      </c>
      <c r="M414" s="5" t="n">
        <v>814.8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 IC 인근 대형차 진출입 가능한 공장 및 창고</t>
        </is>
      </c>
      <c r="Q414" s="6">
        <f>HYPERLINK("https://fin.land.naver.com/articles/2653822856", "매물Link")</f>
        <v/>
      </c>
      <c r="R414" s="6">
        <f>HYPERLINK("https://map.naver.com/p/search/부강면 문곡리 903", "지도Link")</f>
        <v/>
      </c>
      <c r="S414" s="6">
        <f>HYPERLINK("http://www.eum.go.kr/web/ar/lu/luLandDet.jsp?pnu=3611033025109030000&amp;isNoScr=script&amp;mode=search",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1314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제2종근생</t>
        </is>
      </c>
      <c r="AB414" s="3" t="inlineStr">
        <is>
          <t>8.9m</t>
        </is>
      </c>
      <c r="AC414" s="3" t="inlineStr">
        <is>
          <t>2022-02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240000</v>
      </c>
      <c r="G416" s="4" t="n">
        <v>0</v>
      </c>
      <c r="H416" s="4" t="n">
        <v>2874</v>
      </c>
      <c r="I416" s="4" t="n">
        <v>869</v>
      </c>
      <c r="J416" s="5" t="n">
        <v>276.2</v>
      </c>
      <c r="K416" s="4" t="n">
        <v>1375</v>
      </c>
      <c r="L416" s="4" t="n">
        <v>416</v>
      </c>
      <c r="M416" s="5" t="n">
        <v>576.9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남청주IC와가까워 대형차진출입이 용이,계획관리지역,6m 도로에접함</t>
        </is>
      </c>
      <c r="Q416" s="6">
        <f>HYPERLINK("https://fin.land.naver.com/articles/2651152338",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(주)미르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HYPERLINK("https://fin.land.naver.com/articles/2653531252",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민원없는 지역 공장 매매 건물2개동으로 분할매매 가능 남청주 IC 인접</t>
        </is>
      </c>
      <c r="Q418" s="6">
        <f>HYPERLINK("https://fin.land.naver.com/articles/2651910732",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대전토지로무소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953-7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1000</v>
      </c>
      <c r="G419" s="4" t="n">
        <v>100</v>
      </c>
      <c r="H419" s="4" t="n">
        <v>425</v>
      </c>
      <c r="I419" s="4" t="n">
        <v>129</v>
      </c>
      <c r="J419" s="5" t="n">
        <v>0.8</v>
      </c>
      <c r="K419" s="4" t="n">
        <v>168</v>
      </c>
      <c r="L419" s="4" t="n">
        <v>51</v>
      </c>
      <c r="M419" s="5" t="n">
        <v>2</v>
      </c>
      <c r="N419" s="3" t="inlineStr">
        <is>
          <t>1</t>
        </is>
      </c>
      <c r="O419" s="3" t="inlineStr">
        <is>
          <t>B1</t>
        </is>
      </c>
      <c r="P419" s="3" t="inlineStr">
        <is>
          <t>남청주 ic부근의 2차선변접한 교통좋고 위치좋은 창고</t>
        </is>
      </c>
      <c r="Q419" s="6">
        <f>HYPERLINK("https://fin.land.naver.com/articles/2651029325", "매물Link")</f>
        <v/>
      </c>
      <c r="R419" s="6">
        <f>HYPERLINK("https://map.naver.com/p/search/부강면 문곡리 953-7", "지도Link")</f>
        <v/>
      </c>
      <c r="S419" s="6">
        <f>HYPERLINK("http://www.eum.go.kr/web/ar/lu/luLandDet.jsp?pnu=3611033025109530007&amp;isNoScr=script&amp;mode=search", "토지이음")</f>
        <v/>
      </c>
      <c r="T419" s="3" t="inlineStr">
        <is>
          <t>연동스카이</t>
        </is>
      </c>
      <c r="U419" s="4" t="n">
        <v>1</v>
      </c>
      <c r="V419" s="5" t="n">
        <v>137.6</v>
      </c>
      <c r="W419" s="4" t="n">
        <v>425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7.99m</t>
        </is>
      </c>
      <c r="AC419" s="3" t="inlineStr">
        <is>
          <t>1999-12</t>
        </is>
      </c>
      <c r="AD419" s="3" t="inlineStr">
        <is>
          <t>소로한면</t>
        </is>
      </c>
    </row>
    <row r="420">
      <c r="A420" s="3" t="inlineStr">
        <is>
          <t>부강면 부강리 377-11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공장</t>
        </is>
      </c>
      <c r="E420" s="3" t="inlineStr">
        <is>
          <t>매매</t>
        </is>
      </c>
      <c r="F420" s="4" t="n">
        <v>102000</v>
      </c>
      <c r="G420" s="4" t="n">
        <v>0</v>
      </c>
      <c r="H420" s="4" t="n">
        <v>549</v>
      </c>
      <c r="I420" s="4" t="n">
        <v>166</v>
      </c>
      <c r="J420" s="5" t="n">
        <v>614.5</v>
      </c>
      <c r="K420" s="4" t="n">
        <v>244</v>
      </c>
      <c r="L420" s="4" t="n">
        <v>74</v>
      </c>
      <c r="M420" s="5" t="n">
        <v>1378.4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7분,공장등록가능, 대기업 사업 아이템인수가능</t>
        </is>
      </c>
      <c r="Q420" s="6">
        <f>HYPERLINK("https://fin.land.naver.com/articles/2655020169", "매물Link")</f>
        <v/>
      </c>
      <c r="R420" s="6">
        <f>HYPERLINK("https://map.naver.com/p/search/부강면 부강리 377-11", "지도Link")</f>
        <v/>
      </c>
      <c r="S420" s="6">
        <f>HYPERLINK("http://www.eum.go.kr/web/ar/lu/luLandDet.jsp?pnu=3611033021103770011&amp;isNoScr=script&amp;mode=search", "토지이음")</f>
        <v/>
      </c>
      <c r="T420" s="3" t="inlineStr">
        <is>
          <t>대성오투그란데</t>
        </is>
      </c>
      <c r="U420" s="4" t="n">
        <v>1</v>
      </c>
      <c r="V420" s="5" t="n">
        <v>142.6</v>
      </c>
      <c r="W420" s="4" t="n">
        <v>549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제2종근생</t>
        </is>
      </c>
      <c r="AB420" s="3" t="inlineStr">
        <is>
          <t>4.8m</t>
        </is>
      </c>
      <c r="AC420" s="3" t="inlineStr">
        <is>
          <t>2020-07</t>
        </is>
      </c>
      <c r="AD420" s="3" t="inlineStr">
        <is>
          <t>중로각지</t>
        </is>
      </c>
    </row>
    <row r="421">
      <c r="A421" s="3" t="inlineStr">
        <is>
          <t>부강면 부강리 377-11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매매</t>
        </is>
      </c>
      <c r="F421" s="4" t="n">
        <v>102000</v>
      </c>
      <c r="G421" s="4" t="n">
        <v>0</v>
      </c>
      <c r="H421" s="4" t="n">
        <v>549</v>
      </c>
      <c r="I421" s="4" t="n">
        <v>166</v>
      </c>
      <c r="J421" s="5" t="n">
        <v>614.5</v>
      </c>
      <c r="K421" s="4" t="n">
        <v>244</v>
      </c>
      <c r="L421" s="4" t="n">
        <v>74</v>
      </c>
      <c r="M421" s="5" t="n">
        <v>1378.4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사진ok, 제2종근린생활시설  제조업가능한  창고매매 .</t>
        </is>
      </c>
      <c r="Q421" s="6">
        <f>HYPERLINK("https://fin.land.naver.com/articles/2655101140", "매물Link")</f>
        <v/>
      </c>
      <c r="R421" s="6">
        <f>HYPERLINK("https://map.naver.com/p/search/부강면 부강리 377-11", "지도Link")</f>
        <v/>
      </c>
      <c r="S421" s="6">
        <f>HYPERLINK("http://www.eum.go.kr/web/ar/lu/luLandDet.jsp?pnu=3611033021103770011&amp;isNoScr=script&amp;mode=search",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142.6</v>
      </c>
      <c r="W421" s="4" t="n">
        <v>549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4.8m</t>
        </is>
      </c>
      <c r="AC421" s="3" t="inlineStr">
        <is>
          <t>2020-07</t>
        </is>
      </c>
      <c r="AD421" s="3" t="inlineStr">
        <is>
          <t>중로각지</t>
        </is>
      </c>
    </row>
    <row r="422">
      <c r="A422" s="3" t="inlineStr">
        <is>
          <t>부강면 산수리 105-1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500</v>
      </c>
      <c r="H422" s="4" t="n">
        <v>5826</v>
      </c>
      <c r="I422" s="4" t="n">
        <v>1762</v>
      </c>
      <c r="J422" s="5" t="n">
        <v>0.3</v>
      </c>
      <c r="K422" s="4" t="n">
        <v>793</v>
      </c>
      <c r="L422" s="4" t="n">
        <v>240</v>
      </c>
      <c r="M422" s="5" t="n">
        <v>2.1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 접근성 좋은 위치 마당넓어 대형차 진출입 가능</t>
        </is>
      </c>
      <c r="Q422" s="6">
        <f>HYPERLINK("https://fin.land.naver.com/articles/2655678330", "매물Link")</f>
        <v/>
      </c>
      <c r="R422" s="6">
        <f>HYPERLINK("https://map.naver.com/p/search/부강면 산수리 105-1", "지도Link")</f>
        <v/>
      </c>
      <c r="S422" s="6">
        <f>HYPERLINK("http://www.eum.go.kr/web/ar/lu/luLandDet.jsp?pnu=3611033023101050001&amp;isNoScr=script&amp;mode=search",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77.90000000000001</v>
      </c>
      <c r="W422" s="4" t="n">
        <v>2209</v>
      </c>
      <c r="X422" s="3" t="inlineStr">
        <is>
          <t>6동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8.3m</t>
        </is>
      </c>
      <c r="AC422" s="3" t="inlineStr">
        <is>
          <t>2007-10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HYPERLINK("https://fin.land.naver.com/articles/2655626606",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10000</v>
      </c>
      <c r="G424" s="4" t="n">
        <v>850</v>
      </c>
      <c r="H424" s="4" t="n">
        <v>21410</v>
      </c>
      <c r="I424" s="4" t="n">
        <v>6477</v>
      </c>
      <c r="J424" s="5" t="n">
        <v>0.1</v>
      </c>
      <c r="K424" s="4" t="n">
        <v>760</v>
      </c>
      <c r="L424" s="4" t="n">
        <v>230</v>
      </c>
      <c r="M424" s="5" t="n">
        <v>3.7</v>
      </c>
      <c r="N424" s="3" t="inlineStr">
        <is>
          <t>1</t>
        </is>
      </c>
      <c r="O424" s="3" t="inlineStr">
        <is>
          <t>-</t>
        </is>
      </c>
      <c r="P424" s="3" t="inlineStr">
        <is>
          <t>귀한 냉동창고와 냉장저온작업실을 구비한 창고 사무실 공간 완비</t>
        </is>
      </c>
      <c r="Q424" s="6">
        <f>HYPERLINK("https://fin.land.naver.com/articles/2654874674",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726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HYPERLINK("https://fin.land.naver.com/articles/2652988089",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월드</t>
        </is>
      </c>
      <c r="U425" s="4" t="n">
        <v>2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6404</v>
      </c>
      <c r="I426" s="4" t="n">
        <v>1937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민원 발생 소지 없음, 2차선 도로에 접함, 호이스트 5톤 2대, 계근대</t>
        </is>
      </c>
      <c r="Q426" s="6">
        <f>HYPERLINK("https://fin.land.naver.com/articles/2655523286",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제이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1041</v>
      </c>
      <c r="I429" s="4" t="n">
        <v>315</v>
      </c>
      <c r="J429" s="5" t="n">
        <v>381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HYPERLINK("https://fin.land.naver.com/articles/2655471450",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공장</t>
        </is>
      </c>
      <c r="U429" s="4" t="n">
        <v>2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소정면 고등리 686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15000</v>
      </c>
      <c r="G431" s="4" t="n">
        <v>1500</v>
      </c>
      <c r="H431" s="4" t="n">
        <v>5649</v>
      </c>
      <c r="I431" s="4" t="n">
        <v>1709</v>
      </c>
      <c r="J431" s="5" t="n">
        <v>0.9</v>
      </c>
      <c r="K431" s="4" t="n">
        <v>960</v>
      </c>
      <c r="L431" s="4" t="n">
        <v>290</v>
      </c>
      <c r="M431" s="5" t="n">
        <v>5.2</v>
      </c>
      <c r="N431" s="3" t="inlineStr">
        <is>
          <t>1</t>
        </is>
      </c>
      <c r="O431" s="3" t="inlineStr">
        <is>
          <t>-</t>
        </is>
      </c>
      <c r="P431" s="3" t="inlineStr">
        <is>
          <t>클린룸 시설 완비,종이,화학,의료,의약,고무,플라스틱,금속 등 입주 가능</t>
        </is>
      </c>
      <c r="Q431" s="6">
        <f>HYPERLINK("https://fin.land.naver.com/articles/2654324217", "매물Link")</f>
        <v/>
      </c>
      <c r="R431" s="6">
        <f>HYPERLINK("https://map.naver.com/p/search/소정면 고등리 686", "지도Link")</f>
        <v/>
      </c>
      <c r="S431" s="6">
        <f>HYPERLINK("http://www.eum.go.kr/web/ar/lu/luLandDet.jsp?pnu=3611039024106860000&amp;isNoScr=script&amp;mode=search", "토지이음")</f>
        <v/>
      </c>
      <c r="T431" s="3" t="inlineStr">
        <is>
          <t>금화랜드</t>
        </is>
      </c>
      <c r="U431" s="4" t="n">
        <v>2</v>
      </c>
      <c r="V431" s="5" t="n">
        <v>107</v>
      </c>
      <c r="W431" s="4" t="n">
        <v>5649.8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2020-06</t>
        </is>
      </c>
      <c r="AD431" s="3" t="inlineStr">
        <is>
          <t>중로한면</t>
        </is>
      </c>
    </row>
    <row r="432">
      <c r="A432" s="3" t="inlineStr">
        <is>
          <t>소정면 고등리 686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15000</v>
      </c>
      <c r="G432" s="4" t="n">
        <v>1500</v>
      </c>
      <c r="H432" s="4" t="n">
        <v>5649</v>
      </c>
      <c r="I432" s="4" t="n">
        <v>1709</v>
      </c>
      <c r="J432" s="5" t="n">
        <v>0.9</v>
      </c>
      <c r="K432" s="4" t="n">
        <v>960</v>
      </c>
      <c r="L432" s="4" t="n">
        <v>290</v>
      </c>
      <c r="M432" s="5" t="n">
        <v>5.2</v>
      </c>
      <c r="N432" s="3" t="inlineStr">
        <is>
          <t>1</t>
        </is>
      </c>
      <c r="O432" s="3" t="inlineStr">
        <is>
          <t>B1</t>
        </is>
      </c>
      <c r="P432" s="3" t="inlineStr">
        <is>
          <t>2020년 준공2022년 크린룸 신설  최신 제조공장, 즉시 입주</t>
        </is>
      </c>
      <c r="Q432" s="6">
        <f>HYPERLINK("https://fin.land.naver.com/articles/2651655971", "매물Link")</f>
        <v/>
      </c>
      <c r="R432" s="6">
        <f>HYPERLINK("https://map.naver.com/p/search/소정면 고등리 686", "지도Link")</f>
        <v/>
      </c>
      <c r="S432" s="6">
        <f>HYPERLINK("http://www.eum.go.kr/web/ar/lu/luLandDet.jsp?pnu=3611039024106860000&amp;isNoScr=script&amp;mode=search", "토지이음")</f>
        <v/>
      </c>
      <c r="T432" s="3" t="inlineStr">
        <is>
          <t>진진</t>
        </is>
      </c>
      <c r="U432" s="4" t="n">
        <v>1</v>
      </c>
      <c r="V432" s="5" t="n">
        <v>107</v>
      </c>
      <c r="W432" s="4" t="n">
        <v>5649.8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2020-06</t>
        </is>
      </c>
      <c r="AD432" s="3" t="inlineStr">
        <is>
          <t>중로한면</t>
        </is>
      </c>
    </row>
    <row r="433">
      <c r="A433" s="3" t="inlineStr">
        <is>
          <t>소정면 고등리 695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17000</v>
      </c>
      <c r="G433" s="4" t="n">
        <v>1700</v>
      </c>
      <c r="H433" s="4" t="n">
        <v>8809</v>
      </c>
      <c r="I433" s="4" t="n">
        <v>2665</v>
      </c>
      <c r="J433" s="5" t="n">
        <v>0.6</v>
      </c>
      <c r="K433" s="4" t="n">
        <v>2248</v>
      </c>
      <c r="L433" s="4" t="n">
        <v>680</v>
      </c>
      <c r="M433" s="5" t="n">
        <v>2.5</v>
      </c>
      <c r="N433" s="3" t="inlineStr">
        <is>
          <t>1</t>
        </is>
      </c>
      <c r="O433" s="3" t="inlineStr">
        <is>
          <t>-</t>
        </is>
      </c>
      <c r="P433" s="3" t="inlineStr">
        <is>
          <t>소정면 남천안IC근접 호이스트 공장임대</t>
        </is>
      </c>
      <c r="Q433" s="6">
        <f>HYPERLINK("https://fin.land.naver.com/articles/2654826455", "매물Link")</f>
        <v/>
      </c>
      <c r="R433" s="6">
        <f>HYPERLINK("https://map.naver.com/p/search/소정면 고등리 695", "지도Link")</f>
        <v/>
      </c>
      <c r="S433" s="6">
        <f>HYPERLINK("http://www.eum.go.kr/web/ar/lu/luLandDet.jsp?pnu=3611039024106950000&amp;isNoScr=script&amp;mode=search", "토지이음")</f>
        <v/>
      </c>
      <c r="T433" s="3" t="inlineStr">
        <is>
          <t>한울</t>
        </is>
      </c>
      <c r="U433" s="4" t="n">
        <v>1</v>
      </c>
      <c r="V433" s="5" t="n">
        <v>104.9</v>
      </c>
      <c r="W433" s="4" t="n">
        <v>8809.700000000001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12.2m</t>
        </is>
      </c>
      <c r="AC433" s="3" t="inlineStr">
        <is>
          <t>2016-09</t>
        </is>
      </c>
      <c r="AD433" s="3" t="inlineStr">
        <is>
          <t>중로각지</t>
        </is>
      </c>
    </row>
    <row r="434">
      <c r="A434" s="3" t="inlineStr">
        <is>
          <t>소정면 고등리 695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17000</v>
      </c>
      <c r="G434" s="4" t="n">
        <v>1700</v>
      </c>
      <c r="H434" s="4" t="n">
        <v>8595</v>
      </c>
      <c r="I434" s="4" t="n">
        <v>2600</v>
      </c>
      <c r="J434" s="5" t="n">
        <v>0.7</v>
      </c>
      <c r="K434" s="4" t="n">
        <v>2247</v>
      </c>
      <c r="L434" s="4" t="n">
        <v>680</v>
      </c>
      <c r="M434" s="5" t="n">
        <v>2.5</v>
      </c>
      <c r="N434" s="3" t="inlineStr">
        <is>
          <t>1</t>
        </is>
      </c>
      <c r="O434" s="3" t="inlineStr">
        <is>
          <t>-</t>
        </is>
      </c>
      <c r="P434" s="3" t="inlineStr">
        <is>
          <t>소정면 세종첨단산업단지내 공장임대 전기700kw 층고12m 호이스트다수</t>
        </is>
      </c>
      <c r="Q434" s="6">
        <f>HYPERLINK("https://fin.land.naver.com/articles/2655371143", "매물Link")</f>
        <v/>
      </c>
      <c r="R434" s="6">
        <f>HYPERLINK("https://map.naver.com/p/search/소정면 고등리 695", "지도Link")</f>
        <v/>
      </c>
      <c r="S434" s="6">
        <f>HYPERLINK("http://www.eum.go.kr/web/ar/lu/luLandDet.jsp?pnu=3611039024106950000&amp;isNoScr=script&amp;mode=search", "토지이음")</f>
        <v/>
      </c>
      <c r="T434" s="3" t="inlineStr">
        <is>
          <t>태양</t>
        </is>
      </c>
      <c r="U434" s="4" t="n">
        <v>1</v>
      </c>
      <c r="V434" s="5" t="n">
        <v>104.9</v>
      </c>
      <c r="W434" s="4" t="n">
        <v>8809.700000000001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12.2m</t>
        </is>
      </c>
      <c r="AC434" s="3" t="inlineStr">
        <is>
          <t>2016-09</t>
        </is>
      </c>
      <c r="AD434" s="3" t="inlineStr">
        <is>
          <t>중로각지</t>
        </is>
      </c>
    </row>
    <row r="435">
      <c r="A435" s="3" t="inlineStr">
        <is>
          <t>소정면 고등리 695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17000</v>
      </c>
      <c r="G435" s="4" t="n">
        <v>1700</v>
      </c>
      <c r="H435" s="4" t="n">
        <v>8595</v>
      </c>
      <c r="I435" s="4" t="n">
        <v>2600</v>
      </c>
      <c r="J435" s="5" t="n">
        <v>0.7</v>
      </c>
      <c r="K435" s="4" t="n">
        <v>4251</v>
      </c>
      <c r="L435" s="4" t="n">
        <v>1286</v>
      </c>
      <c r="M435" s="5" t="n">
        <v>1.3</v>
      </c>
      <c r="N435" s="3" t="inlineStr">
        <is>
          <t>2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HYPERLINK("https://fin.land.naver.com/articles/2655431787", "매물Link")</f>
        <v/>
      </c>
      <c r="R435" s="6">
        <f>HYPERLINK("https://map.naver.com/p/search/소정면 고등리 695", "지도Link")</f>
        <v/>
      </c>
      <c r="S435" s="6">
        <f>HYPERLINK("http://www.eum.go.kr/web/ar/lu/luLandDet.jsp?pnu=3611039024106950000&amp;isNoScr=script&amp;mode=search", "토지이음")</f>
        <v/>
      </c>
      <c r="T435" s="3" t="inlineStr">
        <is>
          <t>크라운</t>
        </is>
      </c>
      <c r="U435" s="4" t="n">
        <v>2</v>
      </c>
      <c r="V435" s="5" t="n">
        <v>104.9</v>
      </c>
      <c r="W435" s="4" t="n">
        <v>8809.700000000001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12.2m</t>
        </is>
      </c>
      <c r="AC435" s="3" t="inlineStr">
        <is>
          <t>2016-09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5515</v>
      </c>
      <c r="L436" s="4" t="n">
        <v>1668</v>
      </c>
      <c r="M436" s="5" t="n">
        <v>1.5</v>
      </c>
      <c r="N436" s="3" t="inlineStr">
        <is>
          <t>3</t>
        </is>
      </c>
      <c r="O436" s="3" t="inlineStr">
        <is>
          <t>-</t>
        </is>
      </c>
      <c r="P436" s="3" t="inlineStr">
        <is>
          <t>즉시입주가능,호이스트 다수 설치된 층고 높고 야드 넓은 공장</t>
        </is>
      </c>
      <c r="Q436" s="6">
        <f>HYPERLINK("https://fin.land.naver.com/articles/2654960761",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금화랜드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710-1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25000</v>
      </c>
      <c r="G437" s="4" t="n">
        <v>2500</v>
      </c>
      <c r="H437" s="4" t="n">
        <v>23570</v>
      </c>
      <c r="I437" s="4" t="n">
        <v>7130</v>
      </c>
      <c r="J437" s="5" t="n">
        <v>0.4</v>
      </c>
      <c r="K437" s="4" t="n">
        <v>3676</v>
      </c>
      <c r="L437" s="4" t="n">
        <v>1112</v>
      </c>
      <c r="M437" s="5" t="n">
        <v>2.2</v>
      </c>
      <c r="N437" s="3" t="inlineStr">
        <is>
          <t>1</t>
        </is>
      </c>
      <c r="O437" s="3" t="inlineStr">
        <is>
          <t>-</t>
        </is>
      </c>
      <c r="P437" s="3" t="inlineStr">
        <is>
          <t>세종첨담산업단지내 공장임대 전기990kw 층고12m 호이스트다수 C25</t>
        </is>
      </c>
      <c r="Q437" s="6">
        <f>HYPERLINK("https://fin.land.naver.com/articles/2655367254", "매물Link")</f>
        <v/>
      </c>
      <c r="R437" s="6">
        <f>HYPERLINK("https://map.naver.com/p/search/소정면 고등리 710-1", "지도Link")</f>
        <v/>
      </c>
      <c r="S437" s="6">
        <f>HYPERLINK("http://www.eum.go.kr/web/ar/lu/luLandDet.jsp?pnu=3611039024107100001&amp;isNoScr=script&amp;mode=search", "토지이음")</f>
        <v/>
      </c>
      <c r="T437" s="3" t="inlineStr">
        <is>
          <t>태양</t>
        </is>
      </c>
      <c r="U437" s="4" t="n">
        <v>1</v>
      </c>
      <c r="V437" s="5" t="n">
        <v>104.9</v>
      </c>
      <c r="W437" s="4" t="n">
        <v>23570.9</v>
      </c>
      <c r="X437" s="3" t="inlineStr">
        <is>
          <t>주건축물제2동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12.25m</t>
        </is>
      </c>
      <c r="AC437" s="3" t="inlineStr">
        <is>
          <t>2018-12</t>
        </is>
      </c>
      <c r="AD437" s="3" t="inlineStr">
        <is>
          <t>중로각지</t>
        </is>
      </c>
    </row>
    <row r="438">
      <c r="A438" s="3" t="inlineStr">
        <is>
          <t>소정면 고등리 710-1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25000</v>
      </c>
      <c r="G438" s="4" t="n">
        <v>2500</v>
      </c>
      <c r="H438" s="4" t="n">
        <v>23570</v>
      </c>
      <c r="I438" s="4" t="n">
        <v>7130</v>
      </c>
      <c r="J438" s="5" t="n">
        <v>0.4</v>
      </c>
      <c r="K438" s="4" t="n">
        <v>5515</v>
      </c>
      <c r="L438" s="4" t="n">
        <v>1668</v>
      </c>
      <c r="M438" s="5" t="n">
        <v>1.5</v>
      </c>
      <c r="N438" s="3" t="inlineStr">
        <is>
          <t>2</t>
        </is>
      </c>
      <c r="O438" s="3" t="inlineStr">
        <is>
          <t>-</t>
        </is>
      </c>
      <c r="P438" s="3" t="inlineStr">
        <is>
          <t>남천안IC 6분 세종첨단산업단지내 호이스트 넓은야드 C25 대형공장</t>
        </is>
      </c>
      <c r="Q438" s="6">
        <f>HYPERLINK("https://fin.land.naver.com/articles/2654036267", "매물Link")</f>
        <v/>
      </c>
      <c r="R438" s="6">
        <f>HYPERLINK("https://map.naver.com/p/search/소정면 고등리 710-1", "지도Link")</f>
        <v/>
      </c>
      <c r="S438" s="6">
        <f>HYPERLINK("http://www.eum.go.kr/web/ar/lu/luLandDet.jsp?pnu=3611039024107100001&amp;isNoScr=script&amp;mode=search", "토지이음")</f>
        <v/>
      </c>
      <c r="T438" s="3" t="inlineStr">
        <is>
          <t>불당대원</t>
        </is>
      </c>
      <c r="U438" s="4" t="n">
        <v>1</v>
      </c>
      <c r="V438" s="5" t="n">
        <v>104.9</v>
      </c>
      <c r="W438" s="4" t="n">
        <v>23570.9</v>
      </c>
      <c r="X438" s="3" t="inlineStr">
        <is>
          <t>주건축물제2동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12.25m</t>
        </is>
      </c>
      <c r="AC438" s="3" t="inlineStr">
        <is>
          <t>2018-12</t>
        </is>
      </c>
      <c r="AD438" s="3" t="inlineStr">
        <is>
          <t>중로각지</t>
        </is>
      </c>
    </row>
    <row r="439">
      <c r="A439" s="3" t="inlineStr">
        <is>
          <t>소정면 고등리 710-1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2300000</v>
      </c>
      <c r="G439" s="4" t="n">
        <v>0</v>
      </c>
      <c r="H439" s="4" t="n">
        <v>23575</v>
      </c>
      <c r="I439" s="4" t="n">
        <v>7131</v>
      </c>
      <c r="J439" s="5" t="n">
        <v>322.5</v>
      </c>
      <c r="K439" s="4" t="n">
        <v>5520</v>
      </c>
      <c r="L439" s="4" t="n">
        <v>1670</v>
      </c>
      <c r="M439" s="5" t="n">
        <v>1377.2</v>
      </c>
      <c r="N439" s="3" t="inlineStr">
        <is>
          <t>1</t>
        </is>
      </c>
      <c r="O439" s="3" t="inlineStr">
        <is>
          <t>-</t>
        </is>
      </c>
      <c r="P439" s="3" t="inlineStr">
        <is>
          <t>남천안IC 6분, 남풍세IC 9분 소요</t>
        </is>
      </c>
      <c r="Q439" s="6">
        <f>HYPERLINK("https://fin.land.naver.com/articles/2654663049", "매물Link")</f>
        <v/>
      </c>
      <c r="R439" s="6">
        <f>HYPERLINK("https://map.naver.com/p/search/소정면 고등리 710-1", "지도Link")</f>
        <v/>
      </c>
      <c r="S439" s="6">
        <f>HYPERLINK("http://www.eum.go.kr/web/ar/lu/luLandDet.jsp?pnu=3611039024107100001&amp;isNoScr=script&amp;mode=search", "토지이음")</f>
        <v/>
      </c>
      <c r="T439" s="3" t="inlineStr">
        <is>
          <t>미더스</t>
        </is>
      </c>
      <c r="U439" s="4" t="n">
        <v>3</v>
      </c>
      <c r="V439" s="5" t="n">
        <v>104.9</v>
      </c>
      <c r="W439" s="4" t="n">
        <v>23570.9</v>
      </c>
      <c r="X439" s="3" t="inlineStr">
        <is>
          <t>주건축물제2동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12.25m</t>
        </is>
      </c>
      <c r="AC439" s="3" t="inlineStr">
        <is>
          <t>2018-12</t>
        </is>
      </c>
      <c r="AD439" s="3" t="inlineStr">
        <is>
          <t>중로각지</t>
        </is>
      </c>
    </row>
    <row r="440">
      <c r="A440" s="3" t="inlineStr">
        <is>
          <t>소정면 고등리 710-1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25000</v>
      </c>
      <c r="G440" s="4" t="n">
        <v>2500</v>
      </c>
      <c r="H440" s="4" t="n">
        <v>8161</v>
      </c>
      <c r="I440" s="4" t="n">
        <v>2469</v>
      </c>
      <c r="J440" s="5" t="n">
        <v>1</v>
      </c>
      <c r="K440" s="4" t="n">
        <v>3676</v>
      </c>
      <c r="L440" s="4" t="n">
        <v>1112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호이스트 6기 높은 층고, 넓은 마당 대형 공장 임대</t>
        </is>
      </c>
      <c r="Q440" s="6">
        <f>HYPERLINK("https://fin.land.naver.com/articles/2654666090", "매물Link")</f>
        <v/>
      </c>
      <c r="R440" s="6">
        <f>HYPERLINK("https://map.naver.com/p/search/소정면 고등리 710-1", "지도Link")</f>
        <v/>
      </c>
      <c r="S440" s="6">
        <f>HYPERLINK("http://www.eum.go.kr/web/ar/lu/luLandDet.jsp?pnu=3611039024107100001&amp;isNoScr=script&amp;mode=search",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104.9</v>
      </c>
      <c r="W440" s="4" t="n">
        <v>23570.9</v>
      </c>
      <c r="X440" s="3" t="inlineStr">
        <is>
          <t>주건축물제2동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12.25m</t>
        </is>
      </c>
      <c r="AC440" s="3" t="inlineStr">
        <is>
          <t>2018-12</t>
        </is>
      </c>
      <c r="AD440" s="3" t="inlineStr">
        <is>
          <t>중로각지</t>
        </is>
      </c>
    </row>
    <row r="441">
      <c r="A441" s="3" t="inlineStr">
        <is>
          <t>소정면 고등리 710-1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2300000</v>
      </c>
      <c r="G441" s="4" t="n">
        <v>0</v>
      </c>
      <c r="H441" s="4" t="n">
        <v>23570</v>
      </c>
      <c r="I441" s="4" t="n">
        <v>7130</v>
      </c>
      <c r="J441" s="5" t="n">
        <v>322.6</v>
      </c>
      <c r="K441" s="4" t="n">
        <v>5515</v>
      </c>
      <c r="L441" s="4" t="n">
        <v>1668</v>
      </c>
      <c r="M441" s="5" t="n">
        <v>1378.9</v>
      </c>
      <c r="N441" s="3" t="inlineStr">
        <is>
          <t>1</t>
        </is>
      </c>
      <c r="O441" s="3" t="inlineStr">
        <is>
          <t>-</t>
        </is>
      </c>
      <c r="P441" s="3" t="inlineStr">
        <is>
          <t>남천안IC 6분 세종첨단산업단지내 여유부지 넓은야드 C25 대형공장</t>
        </is>
      </c>
      <c r="Q441" s="6">
        <f>HYPERLINK("https://fin.land.naver.com/articles/2654036294", "매물Link")</f>
        <v/>
      </c>
      <c r="R441" s="6">
        <f>HYPERLINK("https://map.naver.com/p/search/소정면 고등리 710-1", "지도Link")</f>
        <v/>
      </c>
      <c r="S441" s="6">
        <f>HYPERLINK("http://www.eum.go.kr/web/ar/lu/luLandDet.jsp?pnu=3611039024107100001&amp;isNoScr=script&amp;mode=search", "토지이음")</f>
        <v/>
      </c>
      <c r="T441" s="3" t="inlineStr">
        <is>
          <t>불당대원</t>
        </is>
      </c>
      <c r="U441" s="4" t="n">
        <v>1</v>
      </c>
      <c r="V441" s="5" t="n">
        <v>104.9</v>
      </c>
      <c r="W441" s="4" t="n">
        <v>23570.9</v>
      </c>
      <c r="X441" s="3" t="inlineStr">
        <is>
          <t>주건축물제2동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12.25m</t>
        </is>
      </c>
      <c r="AC441" s="3" t="inlineStr">
        <is>
          <t>2018-12</t>
        </is>
      </c>
      <c r="AD441" s="3" t="inlineStr">
        <is>
          <t>중로각지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16000</v>
      </c>
      <c r="G443" s="4" t="n">
        <v>1600</v>
      </c>
      <c r="H443" s="4" t="n">
        <v>6611</v>
      </c>
      <c r="I443" s="4" t="n">
        <v>2000</v>
      </c>
      <c r="J443" s="5" t="n">
        <v>0.8</v>
      </c>
      <c r="K443" s="4" t="n">
        <v>2396</v>
      </c>
      <c r="L443" s="4" t="n">
        <v>725</v>
      </c>
      <c r="M443" s="5" t="n">
        <v>2.2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세종첨단산업단지내 공장창임대 전기700kw 층고10m 호이스트다수</t>
        </is>
      </c>
      <c r="Q443" s="6">
        <f>HYPERLINK("https://fin.land.naver.com/articles/2655375468",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태양</t>
        </is>
      </c>
      <c r="U443" s="4" t="n">
        <v>2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고등리 712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20000</v>
      </c>
      <c r="G444" s="4" t="n">
        <v>1800</v>
      </c>
      <c r="H444" s="4" t="n">
        <v>6611</v>
      </c>
      <c r="I444" s="4" t="n">
        <v>2000</v>
      </c>
      <c r="J444" s="5" t="n">
        <v>0.9</v>
      </c>
      <c r="K444" s="4" t="n">
        <v>2399</v>
      </c>
      <c r="L444" s="4" t="n">
        <v>726</v>
      </c>
      <c r="M444" s="5" t="n">
        <v>2.5</v>
      </c>
      <c r="N444" s="3" t="inlineStr">
        <is>
          <t>2</t>
        </is>
      </c>
      <c r="O444" s="3" t="inlineStr">
        <is>
          <t>-</t>
        </is>
      </c>
      <c r="P444" s="3" t="inlineStr">
        <is>
          <t>남풍세ic 남천안ic  접근성 좋은 위치 호이스트3톤2대 전력 700kw</t>
        </is>
      </c>
      <c r="Q444" s="6">
        <f>HYPERLINK("https://fin.land.naver.com/articles/2655670277", "매물Link")</f>
        <v/>
      </c>
      <c r="R444" s="6">
        <f>HYPERLINK("https://map.naver.com/p/search/소정면 고등리 712", "지도Link")</f>
        <v/>
      </c>
      <c r="S444" s="6">
        <f>HYPERLINK("http://www.eum.go.kr/web/ar/lu/luLandDet.jsp?pnu=3611039024107120000&amp;isNoScr=script&amp;mode=search", "토지이음")</f>
        <v/>
      </c>
      <c r="T444" s="3" t="inlineStr">
        <is>
          <t>더원</t>
        </is>
      </c>
      <c r="U444" s="4" t="n">
        <v>3</v>
      </c>
      <c r="V444" s="5" t="n">
        <v>96.40000000000001</v>
      </c>
      <c r="W444" s="4" t="n">
        <v>6618.4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2016-10</t>
        </is>
      </c>
      <c r="AD444" s="3" t="inlineStr">
        <is>
          <t>중로한면</t>
        </is>
      </c>
    </row>
    <row r="445">
      <c r="A445" s="3" t="inlineStr">
        <is>
          <t>소정면 고등리 712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20000</v>
      </c>
      <c r="G445" s="4" t="n">
        <v>1600</v>
      </c>
      <c r="H445" s="4" t="n">
        <v>6618</v>
      </c>
      <c r="I445" s="4" t="n">
        <v>2002</v>
      </c>
      <c r="J445" s="5" t="n">
        <v>0.8</v>
      </c>
      <c r="K445" s="4" t="n">
        <v>2002</v>
      </c>
      <c r="L445" s="4" t="n">
        <v>606</v>
      </c>
      <c r="M445" s="5" t="n">
        <v>2.6</v>
      </c>
      <c r="N445" s="3" t="inlineStr">
        <is>
          <t>2</t>
        </is>
      </c>
      <c r="O445" s="3" t="inlineStr">
        <is>
          <t>-</t>
        </is>
      </c>
      <c r="P445" s="3" t="inlineStr">
        <is>
          <t>세종시 소정면 남풍세IC 10분 사무실 갖춰진 대형 공장 임대</t>
        </is>
      </c>
      <c r="Q445" s="6">
        <f>HYPERLINK("https://fin.land.naver.com/articles/2651693450", "매물Link")</f>
        <v/>
      </c>
      <c r="R445" s="6">
        <f>HYPERLINK("https://map.naver.com/p/search/소정면 고등리 712", "지도Link")</f>
        <v/>
      </c>
      <c r="S445" s="6">
        <f>HYPERLINK("http://www.eum.go.kr/web/ar/lu/luLandDet.jsp?pnu=3611039024107120000&amp;isNoScr=script&amp;mode=search",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96.40000000000001</v>
      </c>
      <c r="W445" s="4" t="n">
        <v>6618.4</v>
      </c>
      <c r="X445" s="3" t="inlineStr">
        <is>
          <t>주2동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2016-10</t>
        </is>
      </c>
      <c r="AD445" s="3" t="inlineStr">
        <is>
          <t>중로한면</t>
        </is>
      </c>
    </row>
    <row r="446">
      <c r="A446" s="3" t="inlineStr">
        <is>
          <t>소정면 고등리 712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1600</v>
      </c>
      <c r="H446" s="4" t="n">
        <v>6611</v>
      </c>
      <c r="I446" s="4" t="n">
        <v>2000</v>
      </c>
      <c r="J446" s="5" t="n">
        <v>0.8</v>
      </c>
      <c r="K446" s="4" t="n">
        <v>2399</v>
      </c>
      <c r="L446" s="4" t="n">
        <v>726</v>
      </c>
      <c r="M446" s="5" t="n">
        <v>2.2</v>
      </c>
      <c r="N446" s="3" t="inlineStr">
        <is>
          <t>1</t>
        </is>
      </c>
      <c r="O446" s="3" t="inlineStr">
        <is>
          <t>-</t>
        </is>
      </c>
      <c r="P446" s="3" t="inlineStr">
        <is>
          <t>대형공장 임대</t>
        </is>
      </c>
      <c r="Q446" s="6">
        <f>HYPERLINK("https://fin.land.naver.com/articles/2654158574", "매물Link")</f>
        <v/>
      </c>
      <c r="R446" s="6">
        <f>HYPERLINK("https://map.naver.com/p/search/소정면 고등리 712", "지도Link")</f>
        <v/>
      </c>
      <c r="S446" s="6">
        <f>HYPERLINK("http://www.eum.go.kr/web/ar/lu/luLandDet.jsp?pnu=3611039024107120000&amp;isNoScr=script&amp;mode=search", "토지이음")</f>
        <v/>
      </c>
      <c r="T446" s="3" t="inlineStr">
        <is>
          <t>마니</t>
        </is>
      </c>
      <c r="U446" s="4" t="n">
        <v>1</v>
      </c>
      <c r="V446" s="5" t="n">
        <v>96.40000000000001</v>
      </c>
      <c r="W446" s="4" t="n">
        <v>6618.4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10.2m</t>
        </is>
      </c>
      <c r="AC446" s="3" t="inlineStr">
        <is>
          <t>2016-10</t>
        </is>
      </c>
      <c r="AD446" s="3" t="inlineStr">
        <is>
          <t>중로한면</t>
        </is>
      </c>
    </row>
    <row r="447">
      <c r="A447" s="3" t="inlineStr">
        <is>
          <t>소정면 고등리 74-31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180</v>
      </c>
      <c r="H447" s="4" t="n">
        <v>919</v>
      </c>
      <c r="I447" s="4" t="n">
        <v>278</v>
      </c>
      <c r="J447" s="5" t="n">
        <v>0.6</v>
      </c>
      <c r="K447" s="4" t="n">
        <v>198</v>
      </c>
      <c r="L447" s="4" t="n">
        <v>60</v>
      </c>
      <c r="M447" s="5" t="n">
        <v>3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HYPERLINK("https://fin.land.naver.com/articles/2650765868", "매물Link")</f>
        <v/>
      </c>
      <c r="R447" s="6">
        <f>HYPERLINK("https://map.naver.com/p/search/소정면 고등리 74-31", "지도Link")</f>
        <v/>
      </c>
      <c r="S447" s="6">
        <f>HYPERLINK("http://www.eum.go.kr/web/ar/lu/luLandDet.jsp?pnu=3611039024100740031&amp;isNoScr=script&amp;mode=search", "토지이음")</f>
        <v/>
      </c>
      <c r="T447" s="3" t="inlineStr">
        <is>
          <t>북세종</t>
        </is>
      </c>
      <c r="U447" s="4" t="n">
        <v>1</v>
      </c>
      <c r="V447" s="5" t="n">
        <v>47.8</v>
      </c>
      <c r="W447" s="4" t="n">
        <v>898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5.95m</t>
        </is>
      </c>
      <c r="AC447" s="3" t="inlineStr">
        <is>
          <t>2024-10</t>
        </is>
      </c>
      <c r="AD447" s="3" t="inlineStr">
        <is>
          <t>세로한면(가)</t>
        </is>
      </c>
    </row>
    <row r="448">
      <c r="A448" s="3" t="inlineStr">
        <is>
          <t>소정면 대곡리 195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150000</v>
      </c>
      <c r="G448" s="4" t="n">
        <v>0</v>
      </c>
      <c r="H448" s="4" t="n">
        <v>4454</v>
      </c>
      <c r="I448" s="4" t="n">
        <v>1347</v>
      </c>
      <c r="J448" s="5" t="n">
        <v>111.4</v>
      </c>
      <c r="K448" s="4" t="n">
        <v>559</v>
      </c>
      <c r="L448" s="4" t="n">
        <v>169</v>
      </c>
      <c r="M448" s="5" t="n">
        <v>887.6</v>
      </c>
      <c r="N448" s="3" t="inlineStr">
        <is>
          <t>1</t>
        </is>
      </c>
      <c r="O448" s="3" t="inlineStr">
        <is>
          <t>-</t>
        </is>
      </c>
      <c r="P448" s="3" t="inlineStr">
        <is>
          <t>세종특별자치시 공장 매매</t>
        </is>
      </c>
      <c r="Q448" s="6">
        <f>HYPERLINK("https://fin.land.naver.com/articles/2651855797", "매물Link")</f>
        <v/>
      </c>
      <c r="R448" s="6">
        <f>HYPERLINK("https://map.naver.com/p/search/소정면 대곡리 195", "지도Link")</f>
        <v/>
      </c>
      <c r="S448" s="6">
        <f>HYPERLINK("http://www.eum.go.kr/web/ar/lu/luLandDet.jsp?pnu=3611039023101950000&amp;isNoScr=script&amp;mode=search", "토지이음")</f>
        <v/>
      </c>
      <c r="T448" s="3" t="inlineStr">
        <is>
          <t>성성합동</t>
        </is>
      </c>
      <c r="U448" s="4" t="n">
        <v>1</v>
      </c>
      <c r="V448" s="5" t="n">
        <v>58.4</v>
      </c>
      <c r="W448" s="4" t="n">
        <v>2112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7.7m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195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140000</v>
      </c>
      <c r="G449" s="4" t="n">
        <v>0</v>
      </c>
      <c r="H449" s="4" t="n">
        <v>4454</v>
      </c>
      <c r="I449" s="4" t="n">
        <v>1347</v>
      </c>
      <c r="J449" s="5" t="n">
        <v>103.9</v>
      </c>
      <c r="K449" s="4" t="n">
        <v>559</v>
      </c>
      <c r="L449" s="4" t="n">
        <v>169</v>
      </c>
      <c r="M449" s="5" t="n">
        <v>828.4</v>
      </c>
      <c r="N449" s="3" t="inlineStr">
        <is>
          <t>1</t>
        </is>
      </c>
      <c r="O449" s="3" t="inlineStr">
        <is>
          <t>-</t>
        </is>
      </c>
      <c r="P449" s="3" t="inlineStr">
        <is>
          <t>남풍세IC 7분 1번국도 2분 넓은야드 가설건축물 고가성비 공장 매매</t>
        </is>
      </c>
      <c r="Q449" s="6">
        <f>HYPERLINK("https://fin.land.naver.com/articles/2654036343", "매물Link")</f>
        <v/>
      </c>
      <c r="R449" s="6">
        <f>HYPERLINK("https://map.naver.com/p/search/소정면 대곡리 195", "지도Link")</f>
        <v/>
      </c>
      <c r="S449" s="6">
        <f>HYPERLINK("http://www.eum.go.kr/web/ar/lu/luLandDet.jsp?pnu=3611039023101950000&amp;isNoScr=script&amp;mode=search",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58.4</v>
      </c>
      <c r="W449" s="4" t="n">
        <v>2112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7.7m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195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140000</v>
      </c>
      <c r="G450" s="4" t="n">
        <v>0</v>
      </c>
      <c r="H450" s="4" t="n">
        <v>3594</v>
      </c>
      <c r="I450" s="4" t="n">
        <v>1087</v>
      </c>
      <c r="J450" s="5" t="n">
        <v>128.8</v>
      </c>
      <c r="K450" s="4" t="n">
        <v>559</v>
      </c>
      <c r="L450" s="4" t="n">
        <v>169</v>
      </c>
      <c r="M450" s="5" t="n">
        <v>828.4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HYPERLINK("https://fin.land.naver.com/articles/2651494051", "매물Link")</f>
        <v/>
      </c>
      <c r="R450" s="6">
        <f>HYPERLINK("https://map.naver.com/p/search/소정면 대곡리 195", "지도Link")</f>
        <v/>
      </c>
      <c r="S450" s="6">
        <f>HYPERLINK("http://www.eum.go.kr/web/ar/lu/luLandDet.jsp?pnu=3611039023101950000&amp;isNoScr=script&amp;mode=search", "토지이음")</f>
        <v/>
      </c>
      <c r="T450" s="3" t="inlineStr">
        <is>
          <t>크라운</t>
        </is>
      </c>
      <c r="U450" s="4" t="n">
        <v>1</v>
      </c>
      <c r="V450" s="5" t="n">
        <v>58.4</v>
      </c>
      <c r="W450" s="4" t="n">
        <v>2112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7.7m</t>
        </is>
      </c>
      <c r="AC450" s="3" t="inlineStr">
        <is>
          <t>2003-04</t>
        </is>
      </c>
      <c r="AD450" s="3" t="inlineStr">
        <is>
          <t>세로한면(가)</t>
        </is>
      </c>
    </row>
    <row r="451">
      <c r="A451" s="3" t="inlineStr">
        <is>
          <t>소정면 대곡리 196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80000</v>
      </c>
      <c r="G451" s="4" t="n">
        <v>0</v>
      </c>
      <c r="H451" s="4" t="n">
        <v>1652</v>
      </c>
      <c r="I451" s="4" t="n">
        <v>500</v>
      </c>
      <c r="J451" s="5" t="n">
        <v>160</v>
      </c>
      <c r="K451" s="4" t="n">
        <v>494</v>
      </c>
      <c r="L451" s="4" t="n">
        <v>149</v>
      </c>
      <c r="M451" s="5" t="n">
        <v>536.9</v>
      </c>
      <c r="N451" s="3" t="inlineStr">
        <is>
          <t>1</t>
        </is>
      </c>
      <c r="O451" s="3" t="inlineStr">
        <is>
          <t>-</t>
        </is>
      </c>
      <c r="P451" s="3" t="inlineStr">
        <is>
          <t>고속도로  7분 내 진입 가능한 단독 공장 매매</t>
        </is>
      </c>
      <c r="Q451" s="6">
        <f>HYPERLINK("https://fin.land.naver.com/articles/2655020233", "매물Link")</f>
        <v/>
      </c>
      <c r="R451" s="6">
        <f>HYPERLINK("https://map.naver.com/p/search/소정면 대곡리 196", "지도Link")</f>
        <v/>
      </c>
      <c r="S451" s="6">
        <f>HYPERLINK("http://www.eum.go.kr/web/ar/lu/luLandDet.jsp?pnu=3611039023101960000&amp;isNoScr=script&amp;mode=search", "토지이음")</f>
        <v/>
      </c>
      <c r="T451" s="3" t="inlineStr">
        <is>
          <t>크라운</t>
        </is>
      </c>
      <c r="U451" s="4" t="n">
        <v>2</v>
      </c>
      <c r="V451" s="5" t="n">
        <v>58.4</v>
      </c>
      <c r="W451" s="4" t="n">
        <v>1652</v>
      </c>
      <c r="X451" s="3" t="inlineStr">
        <is>
          <t>미표기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6.7m</t>
        </is>
      </c>
      <c r="AC451" s="3" t="inlineStr">
        <is>
          <t>2003-04</t>
        </is>
      </c>
      <c r="AD451" s="3" t="inlineStr">
        <is>
          <t>세로한면(가)</t>
        </is>
      </c>
    </row>
    <row r="452">
      <c r="A452" s="3" t="inlineStr">
        <is>
          <t>소정면 대곡리 196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80000</v>
      </c>
      <c r="G452" s="4" t="n">
        <v>0</v>
      </c>
      <c r="H452" s="4" t="n">
        <v>1652</v>
      </c>
      <c r="I452" s="4" t="n">
        <v>500</v>
      </c>
      <c r="J452" s="5" t="n">
        <v>160</v>
      </c>
      <c r="K452" s="4" t="n">
        <v>494</v>
      </c>
      <c r="L452" s="4" t="n">
        <v>149</v>
      </c>
      <c r="M452" s="5" t="n">
        <v>536.9</v>
      </c>
      <c r="N452" s="3" t="inlineStr">
        <is>
          <t>1</t>
        </is>
      </c>
      <c r="O452" s="3" t="inlineStr">
        <is>
          <t>-</t>
        </is>
      </c>
      <c r="P452" s="3" t="inlineStr">
        <is>
          <t>세종시 소정면 대곡리 공장</t>
        </is>
      </c>
      <c r="Q452" s="6">
        <f>HYPERLINK("https://fin.land.naver.com/articles/2653873658", "매물Link")</f>
        <v/>
      </c>
      <c r="R452" s="6">
        <f>HYPERLINK("https://map.naver.com/p/search/소정면 대곡리 196", "지도Link")</f>
        <v/>
      </c>
      <c r="S452" s="6">
        <f>HYPERLINK("http://www.eum.go.kr/web/ar/lu/luLandDet.jsp?pnu=3611039023101960000&amp;isNoScr=script&amp;mode=search", "토지이음")</f>
        <v/>
      </c>
      <c r="T452" s="3" t="inlineStr">
        <is>
          <t>성성합동</t>
        </is>
      </c>
      <c r="U452" s="4" t="n">
        <v>1</v>
      </c>
      <c r="V452" s="5" t="n">
        <v>58.4</v>
      </c>
      <c r="W452" s="4" t="n">
        <v>1652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6.7m</t>
        </is>
      </c>
      <c r="AC452" s="3" t="inlineStr">
        <is>
          <t>2003-04</t>
        </is>
      </c>
      <c r="AD452" s="3" t="inlineStr">
        <is>
          <t>세로한면(가)</t>
        </is>
      </c>
    </row>
    <row r="453">
      <c r="A453" s="3" t="inlineStr">
        <is>
          <t>소정면 대곡리 274-2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공장</t>
        </is>
      </c>
      <c r="E453" s="3" t="inlineStr">
        <is>
          <t>월세</t>
        </is>
      </c>
      <c r="F453" s="4" t="n">
        <v>2500</v>
      </c>
      <c r="G453" s="4" t="n">
        <v>250</v>
      </c>
      <c r="H453" s="4" t="n">
        <v>338</v>
      </c>
      <c r="I453" s="4" t="n">
        <v>102</v>
      </c>
      <c r="J453" s="5" t="n">
        <v>2.5</v>
      </c>
      <c r="K453" s="4" t="n">
        <v>338</v>
      </c>
      <c r="L453" s="4" t="n">
        <v>102</v>
      </c>
      <c r="M453" s="5" t="n">
        <v>2.5</v>
      </c>
      <c r="N453" s="3" t="inlineStr">
        <is>
          <t>1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HYPERLINK("https://fin.land.naver.com/articles/2653145283", "매물Link")</f>
        <v/>
      </c>
      <c r="R453" s="6">
        <f>HYPERLINK("https://map.naver.com/p/search/소정면 대곡리 274-2", "지도Link")</f>
        <v/>
      </c>
      <c r="S453" s="6">
        <f>HYPERLINK("http://www.eum.go.kr/web/ar/lu/luLandDet.jsp?pnu=3611039023102740002&amp;isNoScr=script&amp;mode=search", "토지이음")</f>
        <v/>
      </c>
      <c r="T453" s="3" t="inlineStr">
        <is>
          <t>이음(041-568-8147)전효서</t>
        </is>
      </c>
      <c r="U453" s="4" t="n">
        <v>1</v>
      </c>
      <c r="V453" s="5" t="n">
        <v>47.5</v>
      </c>
      <c r="W453" s="4" t="n">
        <v>1125</v>
      </c>
      <c r="X453" s="3" t="inlineStr">
        <is>
          <t>2동</t>
        </is>
      </c>
      <c r="Y453" s="7" t="inlineStr">
        <is>
          <t>1층</t>
        </is>
      </c>
      <c r="Z453" s="3" t="inlineStr">
        <is>
          <t>경량철골구조</t>
        </is>
      </c>
      <c r="AA453" s="3" t="inlineStr">
        <is>
          <t>창고시설</t>
        </is>
      </c>
      <c r="AB453" s="3" t="inlineStr">
        <is>
          <t>6.7m</t>
        </is>
      </c>
      <c r="AC453" s="3" t="inlineStr">
        <is>
          <t>2012-06</t>
        </is>
      </c>
      <c r="AD453" s="3" t="inlineStr">
        <is>
          <t>세로한면(가)</t>
        </is>
      </c>
    </row>
    <row r="454">
      <c r="A454" s="3" t="inlineStr">
        <is>
          <t>소정면 대곡리 299-2</t>
        </is>
      </c>
      <c r="B454" s="3" t="inlineStr">
        <is>
          <t>계획관리지역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매매</t>
        </is>
      </c>
      <c r="F454" s="4" t="n">
        <v>124000</v>
      </c>
      <c r="G454" s="4" t="n">
        <v>0</v>
      </c>
      <c r="H454" s="4" t="n">
        <v>3010</v>
      </c>
      <c r="I454" s="4" t="n">
        <v>911</v>
      </c>
      <c r="J454" s="5" t="n">
        <v>136.1</v>
      </c>
      <c r="K454" s="4" t="n">
        <v>1594</v>
      </c>
      <c r="L454" s="4" t="n">
        <v>482</v>
      </c>
      <c r="M454" s="5" t="n">
        <v>257.3</v>
      </c>
      <c r="N454" s="3" t="inlineStr">
        <is>
          <t>1</t>
        </is>
      </c>
      <c r="O454" s="3" t="inlineStr">
        <is>
          <t>-</t>
        </is>
      </c>
      <c r="P454" s="3" t="inlineStr">
        <is>
          <t>남천안IC  5분,   남풍세IC  7분 소요</t>
        </is>
      </c>
      <c r="Q454" s="6">
        <f>HYPERLINK("https://fin.land.naver.com/articles/2652703040", "매물Link")</f>
        <v/>
      </c>
      <c r="R454" s="6">
        <f>HYPERLINK("https://map.naver.com/p/search/소정면 대곡리 299-2", "지도Link")</f>
        <v/>
      </c>
      <c r="S454" s="6">
        <f>HYPERLINK("http://www.eum.go.kr/web/ar/lu/luLandDet.jsp?pnu=3611039023102990002&amp;isNoScr=script&amp;mode=search", "토지이음")</f>
        <v/>
      </c>
      <c r="T454" s="3" t="inlineStr">
        <is>
          <t>미더스</t>
        </is>
      </c>
      <c r="U454" s="4" t="n">
        <v>1</v>
      </c>
      <c r="V454" s="5" t="n">
        <v>49.6</v>
      </c>
      <c r="W454" s="4" t="n">
        <v>2875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제2종근생</t>
        </is>
      </c>
      <c r="AB454" s="3" t="inlineStr">
        <is>
          <t>6.82m</t>
        </is>
      </c>
      <c r="AC454" s="3" t="inlineStr">
        <is>
          <t>2000-12</t>
        </is>
      </c>
      <c r="AD454" s="3" t="inlineStr">
        <is>
          <t>세로한면(가)</t>
        </is>
      </c>
    </row>
    <row r="455">
      <c r="A455" s="3" t="inlineStr">
        <is>
          <t>소정면 대곡리 310-2</t>
        </is>
      </c>
      <c r="B455" s="3" t="inlineStr">
        <is>
          <t>계획관리지역</t>
        </is>
      </c>
      <c r="C455" s="3" t="inlineStr">
        <is>
          <t>창고용지</t>
        </is>
      </c>
      <c r="D455" s="3" t="inlineStr">
        <is>
          <t>창고</t>
        </is>
      </c>
      <c r="E455" s="3" t="inlineStr">
        <is>
          <t>매매</t>
        </is>
      </c>
      <c r="F455" s="4" t="n">
        <v>750000</v>
      </c>
      <c r="G455" s="4" t="n">
        <v>0</v>
      </c>
      <c r="H455" s="4" t="n">
        <v>9810</v>
      </c>
      <c r="I455" s="4" t="n">
        <v>2968</v>
      </c>
      <c r="J455" s="5" t="n">
        <v>252.7</v>
      </c>
      <c r="K455" s="4" t="n">
        <v>4089</v>
      </c>
      <c r="L455" s="4" t="n">
        <v>1237</v>
      </c>
      <c r="M455" s="5" t="n">
        <v>606.3</v>
      </c>
      <c r="N455" s="3" t="inlineStr">
        <is>
          <t>1</t>
        </is>
      </c>
      <c r="O455" s="3" t="inlineStr">
        <is>
          <t>-</t>
        </is>
      </c>
      <c r="P455" s="3" t="inlineStr">
        <is>
          <t>물류창고매매.최신형</t>
        </is>
      </c>
      <c r="Q455" s="6">
        <f>HYPERLINK("https://fin.land.naver.com/articles/2653735784", "매물Link")</f>
        <v/>
      </c>
      <c r="R455" s="6">
        <f>HYPERLINK("https://map.naver.com/p/search/소정면 대곡리 310-2", "지도Link")</f>
        <v/>
      </c>
      <c r="S455" s="6">
        <f>HYPERLINK("http://www.eum.go.kr/web/ar/lu/luLandDet.jsp?pnu=3611039023103100002&amp;isNoScr=script&amp;mode=search", "토지이음")</f>
        <v/>
      </c>
      <c r="T455" s="3" t="inlineStr">
        <is>
          <t>광명</t>
        </is>
      </c>
      <c r="U455" s="4" t="n">
        <v>1</v>
      </c>
      <c r="V455" s="5" t="n">
        <v>67.90000000000001</v>
      </c>
      <c r="W455" s="4" t="n">
        <v>4395</v>
      </c>
      <c r="X455" s="3" t="inlineStr">
        <is>
          <t>대장없음</t>
        </is>
      </c>
      <c r="Y455" s="7" t="inlineStr">
        <is>
          <t>대장없음</t>
        </is>
      </c>
      <c r="Z455" s="3" t="inlineStr">
        <is>
          <t>대장없음</t>
        </is>
      </c>
      <c r="AA455" s="3" t="inlineStr">
        <is>
          <t>대장없음</t>
        </is>
      </c>
      <c r="AB455" s="3" t="inlineStr">
        <is>
          <t>대장없음</t>
        </is>
      </c>
      <c r="AC455" s="3" t="inlineStr">
        <is>
          <t>대장없음</t>
        </is>
      </c>
      <c r="AD455" s="3" t="inlineStr">
        <is>
          <t>소로한면</t>
        </is>
      </c>
    </row>
    <row r="456">
      <c r="A456" s="3" t="inlineStr">
        <is>
          <t>소정면 대곡리 361-1</t>
        </is>
      </c>
      <c r="B456" s="3" t="inlineStr">
        <is>
          <t>계획관리지역</t>
        </is>
      </c>
      <c r="C456" s="3" t="inlineStr">
        <is>
          <t>목장용지</t>
        </is>
      </c>
      <c r="D456" s="3" t="inlineStr">
        <is>
          <t>창고</t>
        </is>
      </c>
      <c r="E456" s="3" t="inlineStr">
        <is>
          <t>매매</t>
        </is>
      </c>
      <c r="F456" s="4" t="n">
        <v>140000</v>
      </c>
      <c r="G456" s="4" t="n">
        <v>0</v>
      </c>
      <c r="H456" s="4" t="n">
        <v>3914</v>
      </c>
      <c r="I456" s="4" t="n">
        <v>1184</v>
      </c>
      <c r="J456" s="5" t="n">
        <v>118.2</v>
      </c>
      <c r="K456" s="4" t="n">
        <v>1275</v>
      </c>
      <c r="L456" s="4" t="n">
        <v>386</v>
      </c>
      <c r="M456" s="5" t="n">
        <v>362.7</v>
      </c>
      <c r="N456" s="3" t="inlineStr">
        <is>
          <t>1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HYPERLINK("https://fin.land.naver.com/articles/2651716296", "매물Link")</f>
        <v/>
      </c>
      <c r="R456" s="6">
        <f>HYPERLINK("https://map.naver.com/p/search/소정면 대곡리 361-1", "지도Link")</f>
        <v/>
      </c>
      <c r="S456" s="6">
        <f>HYPERLINK("http://www.eum.go.kr/web/ar/lu/luLandDet.jsp?pnu=3611039023103610001&amp;isNoScr=script&amp;mode=search", "토지이음")</f>
        <v/>
      </c>
      <c r="T456" s="3" t="inlineStr">
        <is>
          <t>나라</t>
        </is>
      </c>
      <c r="U456" s="4" t="n">
        <v>1</v>
      </c>
      <c r="V456" s="5" t="n">
        <v>79.2</v>
      </c>
      <c r="W456" s="4" t="n">
        <v>3914</v>
      </c>
      <c r="X456" s="3" t="inlineStr">
        <is>
          <t>1동</t>
        </is>
      </c>
      <c r="Y456" s="7" t="inlineStr">
        <is>
          <t>1층</t>
        </is>
      </c>
      <c r="Z456" s="3" t="inlineStr">
        <is>
          <t>강파이프구조</t>
        </is>
      </c>
      <c r="AA456" s="3" t="inlineStr">
        <is>
          <t>동물및식물관련시설</t>
        </is>
      </c>
      <c r="AB456" s="3" t="inlineStr">
        <is>
          <t>6.65m</t>
        </is>
      </c>
      <c r="AC456" s="3" t="inlineStr">
        <is>
          <t>1999-05</t>
        </is>
      </c>
      <c r="AD456" s="3" t="inlineStr">
        <is>
          <t>소로한면</t>
        </is>
      </c>
    </row>
    <row r="457">
      <c r="A457" s="3" t="inlineStr">
        <is>
          <t>소정면 대곡리 368-6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매매</t>
        </is>
      </c>
      <c r="F457" s="4" t="n">
        <v>150000</v>
      </c>
      <c r="G457" s="4" t="n">
        <v>0</v>
      </c>
      <c r="H457" s="4" t="n">
        <v>990</v>
      </c>
      <c r="I457" s="4" t="n">
        <v>299</v>
      </c>
      <c r="J457" s="5" t="n">
        <v>501.7</v>
      </c>
      <c r="K457" s="4" t="n">
        <v>389</v>
      </c>
      <c r="L457" s="4" t="n">
        <v>118</v>
      </c>
      <c r="M457" s="5" t="n">
        <v>1271.2</v>
      </c>
      <c r="N457" s="3" t="inlineStr">
        <is>
          <t>1</t>
        </is>
      </c>
      <c r="O457" s="3" t="inlineStr">
        <is>
          <t>B1</t>
        </is>
      </c>
      <c r="P457" s="3" t="inlineStr">
        <is>
          <t>남천안3분2차선도로접 상하수 페수처리 에치빔건축</t>
        </is>
      </c>
      <c r="Q457" s="6">
        <f>HYPERLINK("https://fin.land.naver.com/articles/2653950234", "매물Link")</f>
        <v/>
      </c>
      <c r="R457" s="6">
        <f>HYPERLINK("https://map.naver.com/p/search/소정면 대곡리 368-6", "지도Link")</f>
        <v/>
      </c>
      <c r="S457" s="6">
        <f>HYPERLINK("http://www.eum.go.kr/web/ar/lu/luLandDet.jsp?pnu=3611039023103680006&amp;isNoScr=script&amp;mode=search", "토지이음")</f>
        <v/>
      </c>
      <c r="T457" s="3" t="inlineStr">
        <is>
          <t>두정태화</t>
        </is>
      </c>
      <c r="U457" s="4" t="n">
        <v>1</v>
      </c>
      <c r="V457" s="5" t="n">
        <v>109.3</v>
      </c>
      <c r="W457" s="4" t="n">
        <v>990</v>
      </c>
      <c r="X457" s="3" t="inlineStr">
        <is>
          <t>미표기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제1종근생</t>
        </is>
      </c>
      <c r="AB457" s="3" t="inlineStr">
        <is>
          <t>10.1m</t>
        </is>
      </c>
      <c r="AC457" s="3" t="inlineStr">
        <is>
          <t>2007-01</t>
        </is>
      </c>
      <c r="AD457" s="3" t="inlineStr">
        <is>
          <t>소로한면</t>
        </is>
      </c>
    </row>
    <row r="458">
      <c r="A458" s="3" t="inlineStr">
        <is>
          <t>연기면 눌왕리 42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20000</v>
      </c>
      <c r="G458" s="4" t="n">
        <v>4000</v>
      </c>
      <c r="H458" s="4" t="n">
        <v>40908</v>
      </c>
      <c r="I458" s="4" t="n">
        <v>12375</v>
      </c>
      <c r="J458" s="5" t="n">
        <v>0.3</v>
      </c>
      <c r="K458" s="4" t="n">
        <v>8135</v>
      </c>
      <c r="L458" s="4" t="n">
        <v>2461</v>
      </c>
      <c r="M458" s="5" t="n">
        <v>1.6</v>
      </c>
      <c r="N458" s="3" t="inlineStr">
        <is>
          <t>2</t>
        </is>
      </c>
      <c r="O458" s="3" t="inlineStr">
        <is>
          <t>-</t>
        </is>
      </c>
      <c r="P458" s="3" t="inlineStr">
        <is>
          <t>27년1월 입주 가능한 야드가 넓은 대형 공장 임대</t>
        </is>
      </c>
      <c r="Q458" s="6">
        <f>HYPERLINK("https://fin.land.naver.com/articles/2652573836", "매물Link")</f>
        <v/>
      </c>
      <c r="R458" s="6">
        <f>HYPERLINK("https://map.naver.com/p/search/연기면 눌왕리 42", "지도Link")</f>
        <v/>
      </c>
      <c r="S458" s="6">
        <f>HYPERLINK("http://www.eum.go.kr/web/ar/lu/luLandDet.jsp?pnu=3611031023100420000&amp;isNoScr=script&amp;mode=search",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106.4</v>
      </c>
      <c r="W458" s="4" t="n">
        <v>40908.7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10.5m</t>
        </is>
      </c>
      <c r="AC458" s="3" t="inlineStr">
        <is>
          <t>1996-10</t>
        </is>
      </c>
      <c r="AD458" s="3" t="inlineStr">
        <is>
          <t>소로한면</t>
        </is>
      </c>
    </row>
    <row r="459">
      <c r="A459" s="3" t="inlineStr">
        <is>
          <t>연동면 내판리 167-3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30000</v>
      </c>
      <c r="G459" s="4" t="n">
        <v>3000</v>
      </c>
      <c r="H459" s="4" t="n">
        <v>9768</v>
      </c>
      <c r="I459" s="4" t="n">
        <v>2955</v>
      </c>
      <c r="J459" s="5" t="n">
        <v>1</v>
      </c>
      <c r="K459" s="4" t="n">
        <v>4329</v>
      </c>
      <c r="L459" s="4" t="n">
        <v>1310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천평 임대,층고5m 깔끔한 공장,현재 공실로 즉시입주 가능</t>
        </is>
      </c>
      <c r="Q459" s="6">
        <f>HYPERLINK("https://fin.land.naver.com/articles/2650689887", "매물Link")</f>
        <v/>
      </c>
      <c r="R459" s="6">
        <f>HYPERLINK("https://map.naver.com/p/search/연동면 내판리 167-3", "지도Link")</f>
        <v/>
      </c>
      <c r="S459" s="6">
        <f>HYPERLINK("http://www.eum.go.kr/web/ar/lu/luLandDet.jsp?pnu=3611032021101670003&amp;isNoScr=script&amp;mode=search", "토지이음")</f>
        <v/>
      </c>
      <c r="T459" s="3" t="inlineStr">
        <is>
          <t>금화랜드</t>
        </is>
      </c>
      <c r="U459" s="4" t="n">
        <v>1</v>
      </c>
      <c r="V459" s="5" t="n">
        <v>79.09999999999999</v>
      </c>
      <c r="W459" s="4" t="n">
        <v>8450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1992</t>
        </is>
      </c>
      <c r="AD459" s="3" t="inlineStr">
        <is>
          <t>소로한면</t>
        </is>
      </c>
    </row>
    <row r="460">
      <c r="A460" s="3" t="inlineStr">
        <is>
          <t>연동면 내판리 167-3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30000</v>
      </c>
      <c r="G460" s="4" t="n">
        <v>3000</v>
      </c>
      <c r="H460" s="4" t="n">
        <v>9768</v>
      </c>
      <c r="I460" s="4" t="n">
        <v>2955</v>
      </c>
      <c r="J460" s="5" t="n">
        <v>1</v>
      </c>
      <c r="K460" s="4" t="n">
        <v>3305</v>
      </c>
      <c r="L460" s="4" t="n">
        <v>1000</v>
      </c>
      <c r="M460" s="5" t="n">
        <v>3</v>
      </c>
      <c r="N460" s="3" t="inlineStr">
        <is>
          <t>2</t>
        </is>
      </c>
      <c r="O460" s="3" t="inlineStr">
        <is>
          <t>-</t>
        </is>
      </c>
      <c r="P460" s="3" t="inlineStr">
        <is>
          <t>사진有 공장 임대</t>
        </is>
      </c>
      <c r="Q460" s="6">
        <f>HYPERLINK("https://fin.land.naver.com/articles/2653040761", "매물Link")</f>
        <v/>
      </c>
      <c r="R460" s="6">
        <f>HYPERLINK("https://map.naver.com/p/search/연동면 내판리 167-3", "지도Link")</f>
        <v/>
      </c>
      <c r="S460" s="6">
        <f>HYPERLINK("http://www.eum.go.kr/web/ar/lu/luLandDet.jsp?pnu=3611032021101670003&amp;isNoScr=script&amp;mode=search",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79.09999999999999</v>
      </c>
      <c r="W460" s="4" t="n">
        <v>8450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1992</t>
        </is>
      </c>
      <c r="AD460" s="3" t="inlineStr">
        <is>
          <t>소로한면</t>
        </is>
      </c>
    </row>
    <row r="461">
      <c r="A461" s="3" t="inlineStr">
        <is>
          <t>연동면 내판리 167-3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1050000</v>
      </c>
      <c r="G461" s="4" t="n">
        <v>0</v>
      </c>
      <c r="H461" s="4" t="n">
        <v>9768</v>
      </c>
      <c r="I461" s="4" t="n">
        <v>2955</v>
      </c>
      <c r="J461" s="5" t="n">
        <v>355.3</v>
      </c>
      <c r="K461" s="4" t="n">
        <v>4329</v>
      </c>
      <c r="L461" s="4" t="n">
        <v>1310</v>
      </c>
      <c r="M461" s="5" t="n">
        <v>801.5</v>
      </c>
      <c r="N461" s="3" t="inlineStr">
        <is>
          <t>2</t>
        </is>
      </c>
      <c r="O461" s="3" t="inlineStr">
        <is>
          <t>-</t>
        </is>
      </c>
      <c r="P461" s="3" t="inlineStr">
        <is>
          <t>남청주IC 10분,세종시청 20분거리,빠른 입주 가능</t>
        </is>
      </c>
      <c r="Q461" s="6">
        <f>HYPERLINK("https://fin.land.naver.com/articles/2654606972", "매물Link")</f>
        <v/>
      </c>
      <c r="R461" s="6">
        <f>HYPERLINK("https://map.naver.com/p/search/연동면 내판리 167-3", "지도Link")</f>
        <v/>
      </c>
      <c r="S461" s="6">
        <f>HYPERLINK("http://www.eum.go.kr/web/ar/lu/luLandDet.jsp?pnu=3611032021101670003&amp;isNoScr=script&amp;mode=search", "토지이음")</f>
        <v/>
      </c>
      <c r="T461" s="3" t="inlineStr">
        <is>
          <t>금화랜드</t>
        </is>
      </c>
      <c r="U461" s="4" t="n">
        <v>2</v>
      </c>
      <c r="V461" s="5" t="n">
        <v>79.09999999999999</v>
      </c>
      <c r="W461" s="4" t="n">
        <v>8450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1992</t>
        </is>
      </c>
      <c r="AD461" s="3" t="inlineStr">
        <is>
          <t>소로한면</t>
        </is>
      </c>
    </row>
    <row r="462">
      <c r="A462" s="3" t="inlineStr">
        <is>
          <t>연동면 내판리 187-2</t>
        </is>
      </c>
      <c r="B462" s="3" t="inlineStr">
        <is>
          <t>계획관리지역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5000</v>
      </c>
      <c r="G462" s="4" t="n">
        <v>400</v>
      </c>
      <c r="H462" s="4" t="n">
        <v>2828</v>
      </c>
      <c r="I462" s="4" t="n">
        <v>855</v>
      </c>
      <c r="J462" s="5" t="n">
        <v>0.5</v>
      </c>
      <c r="K462" s="4" t="n">
        <v>660</v>
      </c>
      <c r="L462" s="4" t="n">
        <v>200</v>
      </c>
      <c r="M462" s="5" t="n">
        <v>2</v>
      </c>
      <c r="N462" s="3" t="inlineStr">
        <is>
          <t>1</t>
        </is>
      </c>
      <c r="O462" s="3" t="inlineStr">
        <is>
          <t>-</t>
        </is>
      </c>
      <c r="P462" s="3" t="inlineStr">
        <is>
          <t>사진有 창고 임대</t>
        </is>
      </c>
      <c r="Q462" s="6">
        <f>HYPERLINK("https://fin.land.naver.com/articles/2652987986", "매물Link")</f>
        <v/>
      </c>
      <c r="R462" s="6">
        <f>HYPERLINK("https://map.naver.com/p/search/연동면 내판리 187-2", "지도Link")</f>
        <v/>
      </c>
      <c r="S462" s="6">
        <f>HYPERLINK("http://www.eum.go.kr/web/ar/lu/luLandDet.jsp?pnu=3611032021101870002&amp;isNoScr=script&amp;mode=search",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200.9</v>
      </c>
      <c r="W462" s="4" t="n">
        <v>2828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8.4m</t>
        </is>
      </c>
      <c r="AC462" s="3" t="inlineStr">
        <is>
          <t>1998-12</t>
        </is>
      </c>
      <c r="AD462" s="3" t="inlineStr">
        <is>
          <t>소로한면</t>
        </is>
      </c>
    </row>
    <row r="463">
      <c r="A463" s="3" t="inlineStr">
        <is>
          <t>연동면 내판리 602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3004</v>
      </c>
      <c r="I463" s="4" t="n">
        <v>909</v>
      </c>
      <c r="J463" s="5" t="n">
        <v>440</v>
      </c>
      <c r="K463" s="4" t="n">
        <v>1328</v>
      </c>
      <c r="L463" s="4" t="n">
        <v>402</v>
      </c>
      <c r="M463" s="5" t="n">
        <v>995</v>
      </c>
      <c r="N463" s="3" t="inlineStr">
        <is>
          <t>2</t>
        </is>
      </c>
      <c r="O463" s="3" t="inlineStr">
        <is>
          <t>-</t>
        </is>
      </c>
      <c r="P463" s="3" t="inlineStr">
        <is>
          <t>명학산단 인근, 입지 및 투자가치 A플러스 내판리 공장 매매</t>
        </is>
      </c>
      <c r="Q463" s="6">
        <f>HYPERLINK("https://fin.land.naver.com/articles/2654666148", "매물Link")</f>
        <v/>
      </c>
      <c r="R463" s="6">
        <f>HYPERLINK("https://map.naver.com/p/search/연동면 내판리 602", "지도Link")</f>
        <v/>
      </c>
      <c r="S463" s="6">
        <f>HYPERLINK("http://www.eum.go.kr/web/ar/lu/luLandDet.jsp?pnu=3611032021106020000&amp;isNoScr=script&amp;mode=search",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65.40000000000001</v>
      </c>
      <c r="W463" s="4" t="n">
        <v>3004</v>
      </c>
      <c r="X463" s="3" t="inlineStr">
        <is>
          <t>주건축물제1동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8.2m</t>
        </is>
      </c>
      <c r="AC463" s="3" t="inlineStr">
        <is>
          <t>2002-12</t>
        </is>
      </c>
      <c r="AD463" s="3" t="inlineStr">
        <is>
          <t>세로한면(가)</t>
        </is>
      </c>
    </row>
    <row r="464">
      <c r="A464" s="3" t="inlineStr">
        <is>
          <t>연동면 내판리 711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685000</v>
      </c>
      <c r="G464" s="4" t="n">
        <v>0</v>
      </c>
      <c r="H464" s="4" t="n">
        <v>4511</v>
      </c>
      <c r="I464" s="4" t="n">
        <v>1365</v>
      </c>
      <c r="J464" s="5" t="n">
        <v>501.8</v>
      </c>
      <c r="K464" s="4" t="n">
        <v>987</v>
      </c>
      <c r="L464" s="4" t="n">
        <v>299</v>
      </c>
      <c r="M464" s="5" t="n">
        <v>2291</v>
      </c>
      <c r="N464" s="3" t="inlineStr">
        <is>
          <t>2</t>
        </is>
      </c>
      <c r="O464" s="3" t="inlineStr">
        <is>
          <t>-</t>
        </is>
      </c>
      <c r="P464" s="3" t="inlineStr">
        <is>
          <t>명학산업단지 삼성전기 인근 귀한 공장 급매</t>
        </is>
      </c>
      <c r="Q464" s="6">
        <f>HYPERLINK("https://fin.land.naver.com/articles/2652597085", "매물Link")</f>
        <v/>
      </c>
      <c r="R464" s="6">
        <f>HYPERLINK("https://map.naver.com/p/search/연동면 내판리 711", "지도Link")</f>
        <v/>
      </c>
      <c r="S464" s="6">
        <f>HYPERLINK("http://www.eum.go.kr/web/ar/lu/luLandDet.jsp?pnu=3611032021107110000&amp;isNoScr=script&amp;mode=search",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106.6</v>
      </c>
      <c r="W464" s="4" t="n">
        <v>4511.2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9.5m</t>
        </is>
      </c>
      <c r="AC464" s="3" t="inlineStr">
        <is>
          <t>2017-12</t>
        </is>
      </c>
      <c r="AD464" s="3" t="inlineStr">
        <is>
          <t>중로한면</t>
        </is>
      </c>
    </row>
    <row r="465">
      <c r="A465" s="3" t="inlineStr">
        <is>
          <t>연동면 명학리 964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3500000</v>
      </c>
      <c r="G465" s="4" t="n">
        <v>0</v>
      </c>
      <c r="H465" s="4" t="n">
        <v>21393</v>
      </c>
      <c r="I465" s="4" t="n">
        <v>6471</v>
      </c>
      <c r="J465" s="5" t="n">
        <v>540.9</v>
      </c>
      <c r="K465" s="4" t="n">
        <v>11128</v>
      </c>
      <c r="L465" s="4" t="n">
        <v>3366</v>
      </c>
      <c r="M465" s="5" t="n">
        <v>1039.8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세종시 일반공업지역의 호이스트 및 층고 높은 대형공장</t>
        </is>
      </c>
      <c r="Q465" s="6">
        <f>HYPERLINK("https://fin.land.naver.com/articles/2653996587", "매물Link")</f>
        <v/>
      </c>
      <c r="R465" s="6">
        <f>HYPERLINK("https://map.naver.com/p/search/연동면 명학리 964", "지도Link")</f>
        <v/>
      </c>
      <c r="S465" s="6">
        <f>HYPERLINK("http://www.eum.go.kr/web/ar/lu/luLandDet.jsp?pnu=3611032023109640000&amp;isNoScr=script&amp;mode=search", "토지이음")</f>
        <v/>
      </c>
      <c r="T465" s="3" t="inlineStr">
        <is>
          <t>(주)미르</t>
        </is>
      </c>
      <c r="U465" s="4" t="n">
        <v>2</v>
      </c>
      <c r="V465" s="5" t="n">
        <v>113.9</v>
      </c>
      <c r="W465" s="4" t="n">
        <v>21393.3</v>
      </c>
      <c r="X465" s="3" t="inlineStr">
        <is>
          <t>미표기</t>
        </is>
      </c>
      <c r="Y465" s="7" t="inlineStr">
        <is>
          <t>3층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14.2m</t>
        </is>
      </c>
      <c r="AC465" s="3" t="inlineStr">
        <is>
          <t>2017-06</t>
        </is>
      </c>
      <c r="AD465" s="3" t="inlineStr">
        <is>
          <t>중로한면</t>
        </is>
      </c>
    </row>
    <row r="466">
      <c r="A466" s="3" t="inlineStr">
        <is>
          <t>연동면 송용리 254-1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200</v>
      </c>
      <c r="H466" s="4" t="n">
        <v>164</v>
      </c>
      <c r="I466" s="4" t="n">
        <v>50</v>
      </c>
      <c r="J466" s="5" t="n">
        <v>4</v>
      </c>
      <c r="K466" s="4" t="n">
        <v>330</v>
      </c>
      <c r="L466" s="4" t="n">
        <v>100</v>
      </c>
      <c r="M466" s="5" t="n">
        <v>2</v>
      </c>
      <c r="N466" s="3" t="inlineStr">
        <is>
          <t>1</t>
        </is>
      </c>
      <c r="O466" s="3" t="inlineStr">
        <is>
          <t>-</t>
        </is>
      </c>
      <c r="P466" s="3" t="inlineStr">
        <is>
          <t>카폐 및 창고사무실추천</t>
        </is>
      </c>
      <c r="Q466" s="6">
        <f>HYPERLINK("https://fin.land.naver.com/articles/2651027858", "매물Link")</f>
        <v/>
      </c>
      <c r="R466" s="6">
        <f>HYPERLINK("https://map.naver.com/p/search/연동면 송용리 254-1", "지도Link")</f>
        <v/>
      </c>
      <c r="S466" s="6">
        <f>HYPERLINK("http://www.eum.go.kr/web/ar/lu/luLandDet.jsp?pnu=3611032027102540001&amp;isNoScr=script&amp;mode=search", "토지이음")</f>
        <v/>
      </c>
      <c r="T466" s="3" t="inlineStr">
        <is>
          <t>연동스카이</t>
        </is>
      </c>
      <c r="U466" s="4" t="n">
        <v>1</v>
      </c>
      <c r="V466" s="5" t="n">
        <v>57.3</v>
      </c>
      <c r="W466" s="4" t="n">
        <v>1649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창고시설</t>
        </is>
      </c>
      <c r="AB466" s="3" t="inlineStr">
        <is>
          <t>-</t>
        </is>
      </c>
      <c r="AC466" s="3" t="inlineStr">
        <is>
          <t>1976-04</t>
        </is>
      </c>
      <c r="AD466" s="3" t="inlineStr">
        <is>
          <t>세로한면(가)</t>
        </is>
      </c>
    </row>
    <row r="467">
      <c r="A467" s="3" t="inlineStr">
        <is>
          <t>연동면 응암리 108-4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1600000</v>
      </c>
      <c r="G467" s="4" t="n">
        <v>0</v>
      </c>
      <c r="H467" s="4" t="n">
        <v>24760</v>
      </c>
      <c r="I467" s="4" t="n">
        <v>7490</v>
      </c>
      <c r="J467" s="5" t="n">
        <v>213.6</v>
      </c>
      <c r="K467" s="4" t="n">
        <v>4454</v>
      </c>
      <c r="L467" s="4" t="n">
        <v>1347</v>
      </c>
      <c r="M467" s="5" t="n">
        <v>1187.8</v>
      </c>
      <c r="N467" s="3" t="inlineStr">
        <is>
          <t>1</t>
        </is>
      </c>
      <c r="O467" s="3" t="inlineStr">
        <is>
          <t>-</t>
        </is>
      </c>
      <c r="P467" s="3" t="inlineStr">
        <is>
          <t>세종5생활권인근 대형공장 창고,남청주IC 10분거리 층고 13.45M</t>
        </is>
      </c>
      <c r="Q467" s="6">
        <f>HYPERLINK("https://fin.land.naver.com/articles/2652625576", "매물Link")</f>
        <v/>
      </c>
      <c r="R467" s="6">
        <f>HYPERLINK("https://map.naver.com/p/search/연동면 응암리 108-4", "지도Link")</f>
        <v/>
      </c>
      <c r="S467" s="6">
        <f>HYPERLINK("http://www.eum.go.kr/web/ar/lu/luLandDet.jsp?pnu=3611032024101080004&amp;isNoScr=script&amp;mode=search", "토지이음")</f>
        <v/>
      </c>
      <c r="T467" s="3" t="inlineStr">
        <is>
          <t>더원</t>
        </is>
      </c>
      <c r="U467" s="4" t="n">
        <v>1</v>
      </c>
      <c r="V467" s="5" t="n">
        <v>75.8</v>
      </c>
      <c r="W467" s="4" t="n">
        <v>24760</v>
      </c>
      <c r="X467" s="3" t="inlineStr">
        <is>
          <t>주1동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13.45m</t>
        </is>
      </c>
      <c r="AC467" s="3" t="inlineStr">
        <is>
          <t>2018-02</t>
        </is>
      </c>
      <c r="AD467" s="3" t="inlineStr">
        <is>
          <t>소로한면</t>
        </is>
      </c>
    </row>
    <row r="468">
      <c r="A468" s="3" t="inlineStr">
        <is>
          <t>연동면 응암리 108-4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1600000</v>
      </c>
      <c r="G468" s="4" t="n">
        <v>0</v>
      </c>
      <c r="H468" s="4" t="n">
        <v>24760</v>
      </c>
      <c r="I468" s="4" t="n">
        <v>7490</v>
      </c>
      <c r="J468" s="5" t="n">
        <v>213.6</v>
      </c>
      <c r="K468" s="4" t="n">
        <v>4454</v>
      </c>
      <c r="L468" s="4" t="n">
        <v>1347</v>
      </c>
      <c r="M468" s="5" t="n">
        <v>1187.8</v>
      </c>
      <c r="N468" s="3" t="inlineStr">
        <is>
          <t>1</t>
        </is>
      </c>
      <c r="O468" s="3" t="inlineStr">
        <is>
          <t>-</t>
        </is>
      </c>
      <c r="P468" s="3" t="inlineStr">
        <is>
          <t>세종시의 대형공장 및 창고,물류센터 추천, 남청주IC에서 7km 위치</t>
        </is>
      </c>
      <c r="Q468" s="6">
        <f>HYPERLINK("https://fin.land.naver.com/articles/2654726261", "매물Link")</f>
        <v/>
      </c>
      <c r="R468" s="6">
        <f>HYPERLINK("https://map.naver.com/p/search/연동면 응암리 108-4", "지도Link")</f>
        <v/>
      </c>
      <c r="S468" s="6">
        <f>HYPERLINK("http://www.eum.go.kr/web/ar/lu/luLandDet.jsp?pnu=3611032024101080004&amp;isNoScr=script&amp;mode=search", "토지이음")</f>
        <v/>
      </c>
      <c r="T468" s="3" t="inlineStr">
        <is>
          <t>금화랜드</t>
        </is>
      </c>
      <c r="U468" s="4" t="n">
        <v>2</v>
      </c>
      <c r="V468" s="5" t="n">
        <v>75.8</v>
      </c>
      <c r="W468" s="4" t="n">
        <v>24760</v>
      </c>
      <c r="X468" s="3" t="inlineStr">
        <is>
          <t>주1동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13.45m</t>
        </is>
      </c>
      <c r="AC468" s="3" t="inlineStr">
        <is>
          <t>2018-02</t>
        </is>
      </c>
      <c r="AD468" s="3" t="inlineStr">
        <is>
          <t>소로한면</t>
        </is>
      </c>
    </row>
    <row r="469">
      <c r="A469" s="3" t="inlineStr">
        <is>
          <t>연동면 응암리 561-1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300000</v>
      </c>
      <c r="G469" s="4" t="n">
        <v>0</v>
      </c>
      <c r="H469" s="4" t="n">
        <v>2277</v>
      </c>
      <c r="I469" s="4" t="n">
        <v>689</v>
      </c>
      <c r="J469" s="5" t="n">
        <v>435.4</v>
      </c>
      <c r="K469" s="4" t="n">
        <v>1150</v>
      </c>
      <c r="L469" s="4" t="n">
        <v>348</v>
      </c>
      <c r="M469" s="5" t="n">
        <v>862.1</v>
      </c>
      <c r="N469" s="3" t="inlineStr">
        <is>
          <t>2</t>
        </is>
      </c>
      <c r="O469" s="3" t="inlineStr">
        <is>
          <t>-</t>
        </is>
      </c>
      <c r="P469" s="3" t="inlineStr">
        <is>
          <t>nan</t>
        </is>
      </c>
      <c r="Q469" s="6">
        <f>HYPERLINK("https://fin.land.naver.com/articles/2650955285", "매물Link")</f>
        <v/>
      </c>
      <c r="R469" s="6">
        <f>HYPERLINK("https://map.naver.com/p/search/연동면 응암리 561-1", "지도Link")</f>
        <v/>
      </c>
      <c r="S469" s="6">
        <f>HYPERLINK("http://www.eum.go.kr/web/ar/lu/luLandDet.jsp?pnu=3611032024105610001&amp;isNoScr=script&amp;mode=search", "토지이음")</f>
        <v/>
      </c>
      <c r="T469" s="3" t="inlineStr">
        <is>
          <t>세종땅전문</t>
        </is>
      </c>
      <c r="U469" s="4" t="n">
        <v>1</v>
      </c>
      <c r="V469" s="5" t="n">
        <v>68.8</v>
      </c>
      <c r="W469" s="4" t="n">
        <v>2277</v>
      </c>
      <c r="X469" s="3" t="inlineStr">
        <is>
          <t>주건축물제1동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9.3m</t>
        </is>
      </c>
      <c r="AC469" s="3" t="inlineStr">
        <is>
          <t>2011-10</t>
        </is>
      </c>
      <c r="AD469" s="3" t="inlineStr">
        <is>
          <t>소로한면</t>
        </is>
      </c>
    </row>
    <row r="470">
      <c r="A470" s="3" t="inlineStr">
        <is>
          <t>연동면 응암리 561-1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2277</v>
      </c>
      <c r="I470" s="4" t="n">
        <v>689</v>
      </c>
      <c r="J470" s="5" t="n">
        <v>435.4</v>
      </c>
      <c r="K470" s="4" t="n">
        <v>1150</v>
      </c>
      <c r="L470" s="4" t="n">
        <v>348</v>
      </c>
      <c r="M470" s="5" t="n">
        <v>862.1</v>
      </c>
      <c r="N470" s="3" t="inlineStr">
        <is>
          <t>2</t>
        </is>
      </c>
      <c r="O470" s="3" t="inlineStr">
        <is>
          <t>-</t>
        </is>
      </c>
      <c r="P470" s="3" t="inlineStr">
        <is>
          <t>행복도시 도심1분 최인접 명학산업단지 건너편 6차선도로 바로옆</t>
        </is>
      </c>
      <c r="Q470" s="6">
        <f>HYPERLINK("https://fin.land.naver.com/articles/2651087083", "매물Link")</f>
        <v/>
      </c>
      <c r="R470" s="6">
        <f>HYPERLINK("https://map.naver.com/p/search/연동면 응암리 561-1", "지도Link")</f>
        <v/>
      </c>
      <c r="S470" s="6">
        <f>HYPERLINK("http://www.eum.go.kr/web/ar/lu/luLandDet.jsp?pnu=3611032024105610001&amp;isNoScr=script&amp;mode=search", "토지이음")</f>
        <v/>
      </c>
      <c r="T470" s="3" t="inlineStr">
        <is>
          <t>세종스타</t>
        </is>
      </c>
      <c r="U470" s="4" t="n">
        <v>2</v>
      </c>
      <c r="V470" s="5" t="n">
        <v>68.8</v>
      </c>
      <c r="W470" s="4" t="n">
        <v>2277</v>
      </c>
      <c r="X470" s="3" t="inlineStr">
        <is>
          <t>주건축물제1동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9.3m</t>
        </is>
      </c>
      <c r="AC470" s="3" t="inlineStr">
        <is>
          <t>2011-10</t>
        </is>
      </c>
      <c r="AD470" s="3" t="inlineStr">
        <is>
          <t>소로한면</t>
        </is>
      </c>
    </row>
    <row r="471">
      <c r="A471" s="3" t="inlineStr">
        <is>
          <t>연동면 응암리 666-1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</v>
      </c>
      <c r="G471" s="4" t="n">
        <v>360</v>
      </c>
      <c r="H471" s="4" t="n">
        <v>7015</v>
      </c>
      <c r="I471" s="4" t="n">
        <v>2122</v>
      </c>
      <c r="J471" s="5" t="n">
        <v>0.2</v>
      </c>
      <c r="K471" s="4" t="n">
        <v>991</v>
      </c>
      <c r="L471" s="4" t="n">
        <v>300</v>
      </c>
      <c r="M471" s="5" t="n">
        <v>1.2</v>
      </c>
      <c r="N471" s="3" t="inlineStr">
        <is>
          <t>2</t>
        </is>
      </c>
      <c r="O471" s="3" t="inlineStr">
        <is>
          <t>B1</t>
        </is>
      </c>
      <c r="P471" s="3" t="inlineStr">
        <is>
          <t>공장 임대</t>
        </is>
      </c>
      <c r="Q471" s="6">
        <f>HYPERLINK("https://fin.land.naver.com/articles/2653033385", "매물Link")</f>
        <v/>
      </c>
      <c r="R471" s="6">
        <f>HYPERLINK("https://map.naver.com/p/search/연동면 응암리 666-1", "지도Link")</f>
        <v/>
      </c>
      <c r="S471" s="6">
        <f>HYPERLINK("http://www.eum.go.kr/web/ar/lu/luLandDet.jsp?pnu=3611032024106660001&amp;isNoScr=script&amp;mode=search",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78.3</v>
      </c>
      <c r="W471" s="4" t="n">
        <v>6682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1999-11</t>
        </is>
      </c>
      <c r="AD471" s="3" t="inlineStr">
        <is>
          <t>소로한면</t>
        </is>
      </c>
    </row>
    <row r="472">
      <c r="A472" s="3" t="inlineStr">
        <is>
          <t>연동면 응암리 666-1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4000</v>
      </c>
      <c r="G472" s="4" t="n">
        <v>360</v>
      </c>
      <c r="H472" s="4" t="n">
        <v>7015</v>
      </c>
      <c r="I472" s="4" t="n">
        <v>2122</v>
      </c>
      <c r="J472" s="5" t="n">
        <v>0.2</v>
      </c>
      <c r="K472" s="4" t="n">
        <v>3266</v>
      </c>
      <c r="L472" s="4" t="n">
        <v>988</v>
      </c>
      <c r="M472" s="5" t="n">
        <v>0.4</v>
      </c>
      <c r="N472" s="3" t="inlineStr">
        <is>
          <t>2</t>
        </is>
      </c>
      <c r="O472" s="3" t="inlineStr">
        <is>
          <t>B1</t>
        </is>
      </c>
      <c r="P472" s="3" t="inlineStr">
        <is>
          <t>사통팔달세종시 창고 및 공장 임대</t>
        </is>
      </c>
      <c r="Q472" s="6">
        <f>HYPERLINK("https://fin.land.naver.com/articles/2652104001", "매물Link")</f>
        <v/>
      </c>
      <c r="R472" s="6">
        <f>HYPERLINK("https://map.naver.com/p/search/연동면 응암리 666-1", "지도Link")</f>
        <v/>
      </c>
      <c r="S472" s="6">
        <f>HYPERLINK("http://www.eum.go.kr/web/ar/lu/luLandDet.jsp?pnu=3611032024106660001&amp;isNoScr=script&amp;mode=search", "토지이음")</f>
        <v/>
      </c>
      <c r="T472" s="3" t="inlineStr">
        <is>
          <t>주식회사 써밋</t>
        </is>
      </c>
      <c r="U472" s="4" t="n">
        <v>1</v>
      </c>
      <c r="V472" s="5" t="n">
        <v>78.3</v>
      </c>
      <c r="W472" s="4" t="n">
        <v>6682</v>
      </c>
      <c r="X472" s="3" t="inlineStr">
        <is>
          <t>1동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1990</t>
        </is>
      </c>
      <c r="AD472" s="3" t="inlineStr">
        <is>
          <t>소로한면</t>
        </is>
      </c>
    </row>
    <row r="473">
      <c r="A473" s="3" t="inlineStr">
        <is>
          <t>연동면 응암리 666-1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4000</v>
      </c>
      <c r="G473" s="4" t="n">
        <v>360</v>
      </c>
      <c r="H473" s="4" t="n">
        <v>7015</v>
      </c>
      <c r="I473" s="4" t="n">
        <v>2122</v>
      </c>
      <c r="J473" s="5" t="n">
        <v>0.2</v>
      </c>
      <c r="K473" s="4" t="n">
        <v>4117</v>
      </c>
      <c r="L473" s="4" t="n">
        <v>1245</v>
      </c>
      <c r="M473" s="5" t="n">
        <v>0.3</v>
      </c>
      <c r="N473" s="3" t="inlineStr">
        <is>
          <t>2</t>
        </is>
      </c>
      <c r="O473" s="3" t="inlineStr">
        <is>
          <t>-</t>
        </is>
      </c>
      <c r="P473" s="3" t="inlineStr">
        <is>
          <t>공장 및 창고 가능, 즉시 입주 가능, 대형차 진출입 가능</t>
        </is>
      </c>
      <c r="Q473" s="6">
        <f>HYPERLINK("https://fin.land.naver.com/articles/2653062776", "매물Link")</f>
        <v/>
      </c>
      <c r="R473" s="6">
        <f>HYPERLINK("https://map.naver.com/p/search/연동면 응암리 666-1", "지도Link")</f>
        <v/>
      </c>
      <c r="S473" s="6">
        <f>HYPERLINK("http://www.eum.go.kr/web/ar/lu/luLandDet.jsp?pnu=3611032024106660001&amp;isNoScr=script&amp;mode=search", "토지이음")</f>
        <v/>
      </c>
      <c r="T473" s="3" t="inlineStr">
        <is>
          <t>주식회사 대기</t>
        </is>
      </c>
      <c r="U473" s="4" t="n">
        <v>1</v>
      </c>
      <c r="V473" s="5" t="n">
        <v>78.3</v>
      </c>
      <c r="W473" s="4" t="n">
        <v>6682</v>
      </c>
      <c r="X473" s="3" t="inlineStr">
        <is>
          <t>1동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1990</t>
        </is>
      </c>
      <c r="AD473" s="3" t="inlineStr">
        <is>
          <t>소로한면</t>
        </is>
      </c>
    </row>
    <row r="474">
      <c r="A474" s="3" t="inlineStr">
        <is>
          <t>연동면 응암리 666-1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3500</v>
      </c>
      <c r="G474" s="4" t="n">
        <v>240</v>
      </c>
      <c r="H474" s="4" t="n">
        <v>7015</v>
      </c>
      <c r="I474" s="4" t="n">
        <v>2122</v>
      </c>
      <c r="J474" s="5" t="n">
        <v>0.1</v>
      </c>
      <c r="K474" s="4" t="n">
        <v>4117</v>
      </c>
      <c r="L474" s="4" t="n">
        <v>1245</v>
      </c>
      <c r="M474" s="5" t="n">
        <v>0.2</v>
      </c>
      <c r="N474" s="3" t="inlineStr">
        <is>
          <t>2</t>
        </is>
      </c>
      <c r="O474" s="3" t="inlineStr">
        <is>
          <t>-</t>
        </is>
      </c>
      <c r="P474" s="3" t="inlineStr">
        <is>
          <t>공장 및 창고 가능, 즉시 입주 가능, 대형차 진출입 가능</t>
        </is>
      </c>
      <c r="Q474" s="6">
        <f>HYPERLINK("https://fin.land.naver.com/articles/2653065571", "매물Link")</f>
        <v/>
      </c>
      <c r="R474" s="6">
        <f>HYPERLINK("https://map.naver.com/p/search/연동면 응암리 666-1", "지도Link")</f>
        <v/>
      </c>
      <c r="S474" s="6">
        <f>HYPERLINK("http://www.eum.go.kr/web/ar/lu/luLandDet.jsp?pnu=3611032024106660001&amp;isNoScr=script&amp;mode=search", "토지이음")</f>
        <v/>
      </c>
      <c r="T474" s="3" t="inlineStr">
        <is>
          <t>주식회사 대기</t>
        </is>
      </c>
      <c r="U474" s="4" t="n">
        <v>1</v>
      </c>
      <c r="V474" s="5" t="n">
        <v>78.3</v>
      </c>
      <c r="W474" s="4" t="n">
        <v>6682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1990</t>
        </is>
      </c>
      <c r="AD474" s="3" t="inlineStr">
        <is>
          <t>소로한면</t>
        </is>
      </c>
    </row>
    <row r="475">
      <c r="A475" s="3" t="inlineStr">
        <is>
          <t>연동면 응암리 666-6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670000</v>
      </c>
      <c r="G475" s="4" t="n">
        <v>0</v>
      </c>
      <c r="H475" s="4" t="n">
        <v>10093</v>
      </c>
      <c r="I475" s="4" t="n">
        <v>3053</v>
      </c>
      <c r="J475" s="5" t="n">
        <v>219.5</v>
      </c>
      <c r="K475" s="4" t="n">
        <v>5677</v>
      </c>
      <c r="L475" s="4" t="n">
        <v>1717</v>
      </c>
      <c r="M475" s="5" t="n">
        <v>390.2</v>
      </c>
      <c r="N475" s="3" t="inlineStr">
        <is>
          <t>3</t>
        </is>
      </c>
      <c r="O475" s="3" t="inlineStr">
        <is>
          <t>B1</t>
        </is>
      </c>
      <c r="P475" s="3" t="inlineStr">
        <is>
          <t>세종 농공단지 의료기공장,남청주IC에서 가깝고, 대형차진출입이 편리함</t>
        </is>
      </c>
      <c r="Q475" s="6">
        <f>HYPERLINK("https://fin.land.naver.com/articles/2654295340", "매물Link")</f>
        <v/>
      </c>
      <c r="R475" s="6">
        <f>HYPERLINK("https://map.naver.com/p/search/연동면 응암리 666-6", "지도Link")</f>
        <v/>
      </c>
      <c r="S475" s="6">
        <f>HYPERLINK("http://www.eum.go.kr/web/ar/lu/luLandDet.jsp?pnu=3611032024106660006&amp;isNoScr=script&amp;mode=search", "토지이음")</f>
        <v/>
      </c>
      <c r="T475" s="3" t="inlineStr">
        <is>
          <t>(주)미르</t>
        </is>
      </c>
      <c r="U475" s="4" t="n">
        <v>2</v>
      </c>
      <c r="V475" s="5" t="n">
        <v>78.3</v>
      </c>
      <c r="W475" s="4" t="n">
        <v>9368</v>
      </c>
      <c r="X475" s="3" t="inlineStr">
        <is>
          <t>1동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/>
      <c r="AD475" s="3" t="inlineStr">
        <is>
          <t>소로한면</t>
        </is>
      </c>
    </row>
    <row r="476">
      <c r="A476" s="3" t="inlineStr">
        <is>
          <t>연동면 응암리 666-6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670000</v>
      </c>
      <c r="G476" s="4" t="n">
        <v>0</v>
      </c>
      <c r="H476" s="4" t="n">
        <v>10093</v>
      </c>
      <c r="I476" s="4" t="n">
        <v>3053</v>
      </c>
      <c r="J476" s="5" t="n">
        <v>219.5</v>
      </c>
      <c r="K476" s="4" t="n">
        <v>10093</v>
      </c>
      <c r="L476" s="4" t="n">
        <v>3053</v>
      </c>
      <c r="M476" s="5" t="n">
        <v>219.5</v>
      </c>
      <c r="N476" s="3" t="inlineStr">
        <is>
          <t>2</t>
        </is>
      </c>
      <c r="O476" s="3" t="inlineStr">
        <is>
          <t>B1</t>
        </is>
      </c>
      <c r="P476" s="3" t="inlineStr">
        <is>
          <t>세종시 5생활권 접 산업단지  공장매매</t>
        </is>
      </c>
      <c r="Q476" s="6">
        <f>HYPERLINK("https://fin.land.naver.com/articles/2652650620", "매물Link")</f>
        <v/>
      </c>
      <c r="R476" s="6">
        <f>HYPERLINK("https://map.naver.com/p/search/연동면 응암리 666-6", "지도Link")</f>
        <v/>
      </c>
      <c r="S476" s="6">
        <f>HYPERLINK("http://www.eum.go.kr/web/ar/lu/luLandDet.jsp?pnu=3611032024106660006&amp;isNoScr=script&amp;mode=search", "토지이음")</f>
        <v/>
      </c>
      <c r="T476" s="3" t="inlineStr">
        <is>
          <t>대박</t>
        </is>
      </c>
      <c r="U476" s="4" t="n">
        <v>1</v>
      </c>
      <c r="V476" s="5" t="n">
        <v>78.3</v>
      </c>
      <c r="W476" s="4" t="n">
        <v>9368</v>
      </c>
      <c r="X476" s="3" t="inlineStr">
        <is>
          <t>1동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/>
      <c r="AD476" s="3" t="inlineStr">
        <is>
          <t>소로한면</t>
        </is>
      </c>
    </row>
    <row r="477">
      <c r="A477" s="3" t="inlineStr">
        <is>
          <t>연동면 응암리 676-12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7000</v>
      </c>
      <c r="G477" s="4" t="n">
        <v>750</v>
      </c>
      <c r="H477" s="4" t="n">
        <v>5241</v>
      </c>
      <c r="I477" s="4" t="n">
        <v>1585</v>
      </c>
      <c r="J477" s="5" t="n">
        <v>0.5</v>
      </c>
      <c r="K477" s="4" t="n">
        <v>1096</v>
      </c>
      <c r="L477" s="4" t="n">
        <v>332</v>
      </c>
      <c r="M477" s="5" t="n">
        <v>2.3</v>
      </c>
      <c r="N477" s="3" t="inlineStr">
        <is>
          <t>1</t>
        </is>
      </c>
      <c r="O477" s="3" t="inlineStr">
        <is>
          <t>-</t>
        </is>
      </c>
      <c r="P477" s="3" t="inlineStr">
        <is>
          <t>2차선에 접한 접근성좋고 광고효과 좋은 공장입니다</t>
        </is>
      </c>
      <c r="Q477" s="6">
        <f>HYPERLINK("https://fin.land.naver.com/articles/2653790919", "매물Link")</f>
        <v/>
      </c>
      <c r="R477" s="6">
        <f>HYPERLINK("https://map.naver.com/p/search/연동면 응암리 676-12", "지도Link")</f>
        <v/>
      </c>
      <c r="S477" s="6">
        <f>HYPERLINK("http://www.eum.go.kr/web/ar/lu/luLandDet.jsp?pnu=3611032024106760012&amp;isNoScr=script&amp;mode=search", "토지이음")</f>
        <v/>
      </c>
      <c r="T477" s="3" t="inlineStr">
        <is>
          <t>복댕이</t>
        </is>
      </c>
      <c r="U477" s="4" t="n">
        <v>1</v>
      </c>
      <c r="V477" s="5" t="n">
        <v>63.9</v>
      </c>
      <c r="W477" s="4" t="n">
        <v>5241</v>
      </c>
      <c r="X477" s="3" t="inlineStr">
        <is>
          <t>2동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10.25m</t>
        </is>
      </c>
      <c r="AC477" s="3" t="inlineStr">
        <is>
          <t>2015-03</t>
        </is>
      </c>
      <c r="AD477" s="3" t="inlineStr">
        <is>
          <t>소로한면</t>
        </is>
      </c>
    </row>
    <row r="478">
      <c r="A478" s="3" t="inlineStr">
        <is>
          <t>연서면 국촌리 7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1057000</v>
      </c>
      <c r="G478" s="4" t="n">
        <v>0</v>
      </c>
      <c r="H478" s="4" t="n">
        <v>6989</v>
      </c>
      <c r="I478" s="4" t="n">
        <v>2114</v>
      </c>
      <c r="J478" s="5" t="n">
        <v>500</v>
      </c>
      <c r="K478" s="4" t="n">
        <v>1217</v>
      </c>
      <c r="L478" s="4" t="n">
        <v>368</v>
      </c>
      <c r="M478" s="5" t="n">
        <v>2872.3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HYPERLINK("https://fin.land.naver.com/articles/2653822298", "매물Link")</f>
        <v/>
      </c>
      <c r="R478" s="6">
        <f>HYPERLINK("https://map.naver.com/p/search/연서면 국촌리 7", "지도Link")</f>
        <v/>
      </c>
      <c r="S478" s="6">
        <f>HYPERLINK("http://www.eum.go.kr/web/ar/lu/luLandDet.jsp?pnu=3611036030100070000&amp;isNoScr=script&amp;mode=search", "토지이음")</f>
        <v/>
      </c>
      <c r="T478" s="3" t="inlineStr">
        <is>
          <t>푸른들</t>
        </is>
      </c>
      <c r="U478" s="4" t="n">
        <v>1</v>
      </c>
      <c r="V478" s="5" t="n">
        <v>102.1</v>
      </c>
      <c r="W478" s="4" t="n">
        <v>4723</v>
      </c>
      <c r="X478" s="3" t="inlineStr">
        <is>
          <t>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2002-07</t>
        </is>
      </c>
      <c r="AD478" s="3" t="inlineStr">
        <is>
          <t>소로한면</t>
        </is>
      </c>
    </row>
    <row r="479">
      <c r="A479" s="3" t="inlineStr">
        <is>
          <t>연서면 봉암리 620-133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창고</t>
        </is>
      </c>
      <c r="E479" s="3" t="inlineStr">
        <is>
          <t>월세</t>
        </is>
      </c>
      <c r="F479" s="4" t="n">
        <v>5000</v>
      </c>
      <c r="G479" s="4" t="n">
        <v>400</v>
      </c>
      <c r="H479" s="4" t="n">
        <v>2764</v>
      </c>
      <c r="I479" s="4" t="n">
        <v>836</v>
      </c>
      <c r="J479" s="5" t="n">
        <v>0.5</v>
      </c>
      <c r="K479" s="4" t="n">
        <v>655</v>
      </c>
      <c r="L479" s="4" t="n">
        <v>198</v>
      </c>
      <c r="M479" s="5" t="n">
        <v>2</v>
      </c>
      <c r="N479" s="3" t="inlineStr">
        <is>
          <t>1</t>
        </is>
      </c>
      <c r="O479" s="3" t="inlineStr">
        <is>
          <t>-</t>
        </is>
      </c>
      <c r="P479" s="3" t="inlineStr">
        <is>
          <t>월세조정가.6차선대로변접.화물차진입및회전가.대원네스트빌바로옆.SK주유소접</t>
        </is>
      </c>
      <c r="Q479" s="6">
        <f>HYPERLINK("https://fin.land.naver.com/articles/2655521459", "매물Link")</f>
        <v/>
      </c>
      <c r="R479" s="6">
        <f>HYPERLINK("https://map.naver.com/p/search/연서면 봉암리 620-133", "지도Link")</f>
        <v/>
      </c>
      <c r="S479" s="6">
        <f>HYPERLINK("http://www.eum.go.kr/web/ar/lu/luLandDet.jsp?pnu=3611036033106200133&amp;isNoScr=script&amp;mode=search", "토지이음")</f>
        <v/>
      </c>
      <c r="T479" s="3" t="inlineStr">
        <is>
          <t>돈방석</t>
        </is>
      </c>
      <c r="U479" s="4" t="n">
        <v>1</v>
      </c>
      <c r="V479" s="5" t="n">
        <v>171.6</v>
      </c>
      <c r="W479" s="4" t="n">
        <v>2764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제2종근생</t>
        </is>
      </c>
      <c r="AB479" s="3" t="inlineStr">
        <is>
          <t>6.0m</t>
        </is>
      </c>
      <c r="AC479" s="3" t="inlineStr">
        <is>
          <t>2007-04</t>
        </is>
      </c>
      <c r="AD479" s="3" t="inlineStr">
        <is>
          <t>세로한면(가)</t>
        </is>
      </c>
    </row>
    <row r="480">
      <c r="A480" s="3" t="inlineStr">
        <is>
          <t>연서면 부동리 148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3200000</v>
      </c>
      <c r="G480" s="4" t="n">
        <v>0</v>
      </c>
      <c r="H480" s="4" t="n">
        <v>39669</v>
      </c>
      <c r="I480" s="4" t="n">
        <v>12000</v>
      </c>
      <c r="J480" s="5" t="n">
        <v>266.7</v>
      </c>
      <c r="K480" s="4" t="n">
        <v>10430</v>
      </c>
      <c r="L480" s="4" t="n">
        <v>3155</v>
      </c>
      <c r="M480" s="5" t="n">
        <v>1014.3</v>
      </c>
      <c r="N480" s="3" t="inlineStr">
        <is>
          <t>2</t>
        </is>
      </c>
      <c r="O480" s="3" t="inlineStr">
        <is>
          <t>B1</t>
        </is>
      </c>
      <c r="P480" s="3" t="inlineStr">
        <is>
          <t>조치원 일반산업단지 대형공장매매, 최근 리모델링으로 시설 굿</t>
        </is>
      </c>
      <c r="Q480" s="6">
        <f>HYPERLINK("https://fin.land.naver.com/articles/2654940209", "매물Link")</f>
        <v/>
      </c>
      <c r="R480" s="6">
        <f>HYPERLINK("https://map.naver.com/p/search/연서면 부동리 148", "지도Link")</f>
        <v/>
      </c>
      <c r="S480" s="6">
        <f>HYPERLINK("http://www.eum.go.kr/web/ar/lu/luLandDet.jsp?pnu=3611036032101480000&amp;isNoScr=script&amp;mode=search", "토지이음")</f>
        <v/>
      </c>
      <c r="T480" s="3" t="inlineStr">
        <is>
          <t>명진</t>
        </is>
      </c>
      <c r="U480" s="4" t="n">
        <v>1</v>
      </c>
      <c r="V480" s="5" t="n">
        <v>119.4</v>
      </c>
      <c r="W480" s="4" t="n">
        <v>39669.5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17.1m</t>
        </is>
      </c>
      <c r="AC480" s="3" t="inlineStr">
        <is>
          <t>1993-12</t>
        </is>
      </c>
      <c r="AD480" s="3" t="inlineStr">
        <is>
          <t>소로각지</t>
        </is>
      </c>
    </row>
    <row r="481">
      <c r="A481" s="3" t="inlineStr">
        <is>
          <t>연서면 부동리 148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3200000</v>
      </c>
      <c r="G481" s="4" t="n">
        <v>0</v>
      </c>
      <c r="H481" s="4" t="n">
        <v>39669</v>
      </c>
      <c r="I481" s="4" t="n">
        <v>12000</v>
      </c>
      <c r="J481" s="5" t="n">
        <v>266.7</v>
      </c>
      <c r="K481" s="4" t="n">
        <v>10430</v>
      </c>
      <c r="L481" s="4" t="n">
        <v>3155</v>
      </c>
      <c r="M481" s="5" t="n">
        <v>1014.3</v>
      </c>
      <c r="N481" s="3" t="inlineStr">
        <is>
          <t>2</t>
        </is>
      </c>
      <c r="O481" s="3" t="inlineStr">
        <is>
          <t>B1</t>
        </is>
      </c>
      <c r="P481" s="3" t="inlineStr">
        <is>
          <t>nan</t>
        </is>
      </c>
      <c r="Q481" s="6">
        <f>HYPERLINK("https://fin.land.naver.com/articles/2652771129", "매물Link")</f>
        <v/>
      </c>
      <c r="R481" s="6">
        <f>HYPERLINK("https://map.naver.com/p/search/연서면 부동리 148", "지도Link")</f>
        <v/>
      </c>
      <c r="S481" s="6">
        <f>HYPERLINK("http://www.eum.go.kr/web/ar/lu/luLandDet.jsp?pnu=3611036032101480000&amp;isNoScr=script&amp;mode=search", "토지이음")</f>
        <v/>
      </c>
      <c r="T481" s="3" t="inlineStr">
        <is>
          <t>금화랜드</t>
        </is>
      </c>
      <c r="U481" s="4" t="n">
        <v>5</v>
      </c>
      <c r="V481" s="5" t="n">
        <v>119.4</v>
      </c>
      <c r="W481" s="4" t="n">
        <v>39669.5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17.1m</t>
        </is>
      </c>
      <c r="AC481" s="3" t="inlineStr">
        <is>
          <t>1993-12</t>
        </is>
      </c>
      <c r="AD481" s="3" t="inlineStr">
        <is>
          <t>소로각지</t>
        </is>
      </c>
    </row>
    <row r="482">
      <c r="A482" s="3" t="inlineStr">
        <is>
          <t>연서면 부동리 148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3200000</v>
      </c>
      <c r="G482" s="4" t="n">
        <v>0</v>
      </c>
      <c r="H482" s="4" t="n">
        <v>39669</v>
      </c>
      <c r="I482" s="4" t="n">
        <v>12000</v>
      </c>
      <c r="J482" s="5" t="n">
        <v>266.7</v>
      </c>
      <c r="K482" s="4" t="n">
        <v>10430</v>
      </c>
      <c r="L482" s="4" t="n">
        <v>3155</v>
      </c>
      <c r="M482" s="5" t="n">
        <v>1014.3</v>
      </c>
      <c r="N482" s="3" t="inlineStr">
        <is>
          <t>2</t>
        </is>
      </c>
      <c r="O482" s="3" t="inlineStr">
        <is>
          <t>-</t>
        </is>
      </c>
      <c r="P482" s="3" t="inlineStr">
        <is>
          <t>7동구조로 된 대형공장 컨디션 최상 고전력 다양한 유틸리티</t>
        </is>
      </c>
      <c r="Q482" s="6">
        <f>HYPERLINK("https://fin.land.naver.com/articles/2652437120", "매물Link")</f>
        <v/>
      </c>
      <c r="R482" s="6">
        <f>HYPERLINK("https://map.naver.com/p/search/연서면 부동리 148", "지도Link")</f>
        <v/>
      </c>
      <c r="S482" s="6">
        <f>HYPERLINK("http://www.eum.go.kr/web/ar/lu/luLandDet.jsp?pnu=3611036032101480000&amp;isNoScr=script&amp;mode=search", "토지이음")</f>
        <v/>
      </c>
      <c r="T482" s="3" t="inlineStr">
        <is>
          <t>공장플러스</t>
        </is>
      </c>
      <c r="U482" s="4" t="n">
        <v>1</v>
      </c>
      <c r="V482" s="5" t="n">
        <v>119.4</v>
      </c>
      <c r="W482" s="4" t="n">
        <v>39669.5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17.1m</t>
        </is>
      </c>
      <c r="AC482" s="3" t="inlineStr">
        <is>
          <t>1993-12</t>
        </is>
      </c>
      <c r="AD482" s="3" t="inlineStr">
        <is>
          <t>소로각지</t>
        </is>
      </c>
    </row>
    <row r="483">
      <c r="A483" s="3" t="inlineStr">
        <is>
          <t>연서면 부동리 148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3200000</v>
      </c>
      <c r="G483" s="4" t="n">
        <v>0</v>
      </c>
      <c r="H483" s="4" t="n">
        <v>39669</v>
      </c>
      <c r="I483" s="4" t="n">
        <v>12000</v>
      </c>
      <c r="J483" s="5" t="n">
        <v>266.7</v>
      </c>
      <c r="K483" s="4" t="n">
        <v>10430</v>
      </c>
      <c r="L483" s="4" t="n">
        <v>3155</v>
      </c>
      <c r="M483" s="5" t="n">
        <v>1014.3</v>
      </c>
      <c r="N483" s="3" t="inlineStr">
        <is>
          <t>2</t>
        </is>
      </c>
      <c r="O483" s="3" t="inlineStr">
        <is>
          <t>B1</t>
        </is>
      </c>
      <c r="P483" s="3" t="inlineStr">
        <is>
          <t>조치원 일반산업단지내 위치, 세종,대전,청주 등 중부권 공장, 창고 강추</t>
        </is>
      </c>
      <c r="Q483" s="6">
        <f>HYPERLINK("https://fin.land.naver.com/articles/2650797209", "매물Link")</f>
        <v/>
      </c>
      <c r="R483" s="6">
        <f>HYPERLINK("https://map.naver.com/p/search/연서면 부동리 148", "지도Link")</f>
        <v/>
      </c>
      <c r="S483" s="6">
        <f>HYPERLINK("http://www.eum.go.kr/web/ar/lu/luLandDet.jsp?pnu=3611036032101480000&amp;isNoScr=script&amp;mode=search",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119.4</v>
      </c>
      <c r="W483" s="4" t="n">
        <v>39669.5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17.1m</t>
        </is>
      </c>
      <c r="AC483" s="3" t="inlineStr">
        <is>
          <t>1993-12</t>
        </is>
      </c>
      <c r="AD483" s="3" t="inlineStr">
        <is>
          <t>소로각지</t>
        </is>
      </c>
    </row>
    <row r="484">
      <c r="A484" s="3" t="inlineStr">
        <is>
          <t>연서면 부동리 148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3200000</v>
      </c>
      <c r="G484" s="4" t="n">
        <v>0</v>
      </c>
      <c r="H484" s="4" t="n">
        <v>39669</v>
      </c>
      <c r="I484" s="4" t="n">
        <v>12000</v>
      </c>
      <c r="J484" s="5" t="n">
        <v>266.7</v>
      </c>
      <c r="K484" s="4" t="n">
        <v>10430</v>
      </c>
      <c r="L484" s="4" t="n">
        <v>3155</v>
      </c>
      <c r="M484" s="5" t="n">
        <v>1014.3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 조치원산업단지 대형 공장 매매</t>
        </is>
      </c>
      <c r="Q484" s="6">
        <f>HYPERLINK("https://fin.land.naver.com/articles/2651016586", "매물Link")</f>
        <v/>
      </c>
      <c r="R484" s="6">
        <f>HYPERLINK("https://map.naver.com/p/search/연서면 부동리 148", "지도Link")</f>
        <v/>
      </c>
      <c r="S484" s="6">
        <f>HYPERLINK("http://www.eum.go.kr/web/ar/lu/luLandDet.jsp?pnu=3611036032101480000&amp;isNoScr=script&amp;mode=search", "토지이음")</f>
        <v/>
      </c>
      <c r="T484" s="3" t="inlineStr">
        <is>
          <t>뉴대전</t>
        </is>
      </c>
      <c r="U484" s="4" t="n">
        <v>1</v>
      </c>
      <c r="V484" s="5" t="n">
        <v>119.4</v>
      </c>
      <c r="W484" s="4" t="n">
        <v>39669.5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17.1m</t>
        </is>
      </c>
      <c r="AC484" s="3" t="inlineStr">
        <is>
          <t>1993-12</t>
        </is>
      </c>
      <c r="AD484" s="3" t="inlineStr">
        <is>
          <t>소로각지</t>
        </is>
      </c>
    </row>
    <row r="485">
      <c r="A485" s="3" t="inlineStr">
        <is>
          <t>연서면 부동리 148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3200000</v>
      </c>
      <c r="G485" s="4" t="n">
        <v>0</v>
      </c>
      <c r="H485" s="4" t="n">
        <v>39669</v>
      </c>
      <c r="I485" s="4" t="n">
        <v>12000</v>
      </c>
      <c r="J485" s="5" t="n">
        <v>266.7</v>
      </c>
      <c r="K485" s="4" t="n">
        <v>10430</v>
      </c>
      <c r="L485" s="4" t="n">
        <v>3155</v>
      </c>
      <c r="M485" s="5" t="n">
        <v>1014.3</v>
      </c>
      <c r="N485" s="3" t="inlineStr">
        <is>
          <t>1</t>
        </is>
      </c>
      <c r="O485" s="3" t="inlineStr">
        <is>
          <t>-</t>
        </is>
      </c>
      <c r="P485" s="3" t="inlineStr">
        <is>
          <t>세종조치원일반산업단지 대형공장매매 최근리모델링완비로 컨디션좋음</t>
        </is>
      </c>
      <c r="Q485" s="6">
        <f>HYPERLINK("https://fin.land.naver.com/articles/2650956049", "매물Link")</f>
        <v/>
      </c>
      <c r="R485" s="6">
        <f>HYPERLINK("https://map.naver.com/p/search/연서면 부동리 148", "지도Link")</f>
        <v/>
      </c>
      <c r="S485" s="6">
        <f>HYPERLINK("http://www.eum.go.kr/web/ar/lu/luLandDet.jsp?pnu=3611036032101480000&amp;isNoScr=script&amp;mode=search", "토지이음")</f>
        <v/>
      </c>
      <c r="T485" s="3" t="inlineStr">
        <is>
          <t>더원</t>
        </is>
      </c>
      <c r="U485" s="4" t="n">
        <v>1</v>
      </c>
      <c r="V485" s="5" t="n">
        <v>119.4</v>
      </c>
      <c r="W485" s="4" t="n">
        <v>39669.5</v>
      </c>
      <c r="X485" s="3" t="inlineStr">
        <is>
          <t>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17.1m</t>
        </is>
      </c>
      <c r="AC485" s="3" t="inlineStr">
        <is>
          <t>1993-12</t>
        </is>
      </c>
      <c r="AD485" s="3" t="inlineStr">
        <is>
          <t>소로각지</t>
        </is>
      </c>
    </row>
    <row r="486">
      <c r="A486" s="3" t="inlineStr">
        <is>
          <t>연서면 부동리 148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3200000</v>
      </c>
      <c r="G486" s="4" t="n">
        <v>0</v>
      </c>
      <c r="H486" s="4" t="n">
        <v>39669</v>
      </c>
      <c r="I486" s="4" t="n">
        <v>12000</v>
      </c>
      <c r="J486" s="5" t="n">
        <v>266.7</v>
      </c>
      <c r="K486" s="4" t="n">
        <v>10430</v>
      </c>
      <c r="L486" s="4" t="n">
        <v>3155</v>
      </c>
      <c r="M486" s="5" t="n">
        <v>1014.3</v>
      </c>
      <c r="N486" s="3" t="inlineStr">
        <is>
          <t>1</t>
        </is>
      </c>
      <c r="O486" s="3" t="inlineStr">
        <is>
          <t>-</t>
        </is>
      </c>
      <c r="P486" s="3" t="inlineStr">
        <is>
          <t>화학물질 제조 가능</t>
        </is>
      </c>
      <c r="Q486" s="6">
        <f>HYPERLINK("https://fin.land.naver.com/articles/2652703353", "매물Link")</f>
        <v/>
      </c>
      <c r="R486" s="6">
        <f>HYPERLINK("https://map.naver.com/p/search/연서면 부동리 148", "지도Link")</f>
        <v/>
      </c>
      <c r="S486" s="6">
        <f>HYPERLINK("http://www.eum.go.kr/web/ar/lu/luLandDet.jsp?pnu=3611036032101480000&amp;isNoScr=script&amp;mode=search", "토지이음")</f>
        <v/>
      </c>
      <c r="T486" s="3" t="inlineStr">
        <is>
          <t>미더스</t>
        </is>
      </c>
      <c r="U486" s="4" t="n">
        <v>2</v>
      </c>
      <c r="V486" s="5" t="n">
        <v>119.4</v>
      </c>
      <c r="W486" s="4" t="n">
        <v>39669.5</v>
      </c>
      <c r="X486" s="3" t="inlineStr">
        <is>
          <t>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17.1m</t>
        </is>
      </c>
      <c r="AC486" s="3" t="inlineStr">
        <is>
          <t>1993-12</t>
        </is>
      </c>
      <c r="AD486" s="3" t="inlineStr">
        <is>
          <t>소로각지</t>
        </is>
      </c>
    </row>
    <row r="487">
      <c r="A487" s="3" t="inlineStr">
        <is>
          <t>연서면 성제리 405-1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300000</v>
      </c>
      <c r="G487" s="4" t="n">
        <v>0</v>
      </c>
      <c r="H487" s="4" t="n">
        <v>1616</v>
      </c>
      <c r="I487" s="4" t="n">
        <v>489</v>
      </c>
      <c r="J487" s="5" t="n">
        <v>613.5</v>
      </c>
      <c r="K487" s="4" t="n">
        <v>1254</v>
      </c>
      <c r="L487" s="4" t="n">
        <v>379</v>
      </c>
      <c r="M487" s="5" t="n">
        <v>791.6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매매</t>
        </is>
      </c>
      <c r="Q487" s="6">
        <f>HYPERLINK("https://fin.land.naver.com/articles/2653377371", "매물Link")</f>
        <v/>
      </c>
      <c r="R487" s="6">
        <f>HYPERLINK("https://map.naver.com/p/search/연서면 성제리 405-1", "지도Link")</f>
        <v/>
      </c>
      <c r="S487" s="6">
        <f>HYPERLINK("http://www.eum.go.kr/web/ar/lu/luLandDet.jsp?pnu=3611036023104050001&amp;isNoScr=script&amp;mode=search", "토지이음")</f>
        <v/>
      </c>
      <c r="T487" s="3" t="inlineStr">
        <is>
          <t>마니</t>
        </is>
      </c>
      <c r="U487" s="4" t="n">
        <v>1</v>
      </c>
      <c r="V487" s="5" t="n">
        <v>122.2</v>
      </c>
      <c r="W487" s="4" t="n">
        <v>910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1988-05</t>
        </is>
      </c>
      <c r="AD487" s="3" t="inlineStr">
        <is>
          <t>세로한면(가)</t>
        </is>
      </c>
    </row>
    <row r="488">
      <c r="A488" s="3" t="inlineStr">
        <is>
          <t>연서면 성제리 405-1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</v>
      </c>
      <c r="G488" s="4" t="n">
        <v>450</v>
      </c>
      <c r="H488" s="4" t="n">
        <v>910</v>
      </c>
      <c r="I488" s="4" t="n">
        <v>275</v>
      </c>
      <c r="J488" s="5" t="n">
        <v>1.6</v>
      </c>
      <c r="K488" s="4" t="n">
        <v>984</v>
      </c>
      <c r="L488" s="4" t="n">
        <v>298</v>
      </c>
      <c r="M488" s="5" t="n">
        <v>1.5</v>
      </c>
      <c r="N488" s="3" t="inlineStr">
        <is>
          <t>2</t>
        </is>
      </c>
      <c r="O488" s="3" t="inlineStr">
        <is>
          <t>-</t>
        </is>
      </c>
      <c r="P488" s="3" t="inlineStr">
        <is>
          <t>조치원과 고복저수지와 연서면 국가산업단지를 연결하는 성제사거리에 입지</t>
        </is>
      </c>
      <c r="Q488" s="6">
        <f>HYPERLINK("https://fin.land.naver.com/articles/2655219218", "매물Link")</f>
        <v/>
      </c>
      <c r="R488" s="6">
        <f>HYPERLINK("https://map.naver.com/p/search/연서면 성제리 405-1", "지도Link")</f>
        <v/>
      </c>
      <c r="S488" s="6">
        <f>HYPERLINK("http://www.eum.go.kr/web/ar/lu/luLandDet.jsp?pnu=3611036023104050001&amp;isNoScr=script&amp;mode=search", "토지이음")</f>
        <v/>
      </c>
      <c r="T488" s="3" t="inlineStr">
        <is>
          <t>세종베스트</t>
        </is>
      </c>
      <c r="U488" s="4" t="n">
        <v>1</v>
      </c>
      <c r="V488" s="5" t="n">
        <v>122.2</v>
      </c>
      <c r="W488" s="4" t="n">
        <v>910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1988-05</t>
        </is>
      </c>
      <c r="AD488" s="3" t="inlineStr">
        <is>
          <t>세로한면(가)</t>
        </is>
      </c>
    </row>
    <row r="489">
      <c r="A489" s="3" t="inlineStr">
        <is>
          <t>연서면 성제리 405-1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500</v>
      </c>
      <c r="H489" s="4" t="n">
        <v>1616</v>
      </c>
      <c r="I489" s="4" t="n">
        <v>489</v>
      </c>
      <c r="J489" s="5" t="n">
        <v>1</v>
      </c>
      <c r="K489" s="4" t="n">
        <v>1254</v>
      </c>
      <c r="L489" s="4" t="n">
        <v>379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공장  임대 입니다</t>
        </is>
      </c>
      <c r="Q489" s="6">
        <f>HYPERLINK("https://fin.land.naver.com/articles/2653377343", "매물Link")</f>
        <v/>
      </c>
      <c r="R489" s="6">
        <f>HYPERLINK("https://map.naver.com/p/search/연서면 성제리 405-1", "지도Link")</f>
        <v/>
      </c>
      <c r="S489" s="6">
        <f>HYPERLINK("http://www.eum.go.kr/web/ar/lu/luLandDet.jsp?pnu=3611036023104050001&amp;isNoScr=script&amp;mode=search", "토지이음")</f>
        <v/>
      </c>
      <c r="T489" s="3" t="inlineStr">
        <is>
          <t>마니</t>
        </is>
      </c>
      <c r="U489" s="4" t="n">
        <v>1</v>
      </c>
      <c r="V489" s="5" t="n">
        <v>122.2</v>
      </c>
      <c r="W489" s="4" t="n">
        <v>910</v>
      </c>
      <c r="X489" s="3" t="inlineStr">
        <is>
          <t>미표기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1988-05</t>
        </is>
      </c>
      <c r="AD489" s="3" t="inlineStr">
        <is>
          <t>세로한면(가)</t>
        </is>
      </c>
    </row>
    <row r="490">
      <c r="A490" s="3" t="inlineStr">
        <is>
          <t>연서면 성제리 405-1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310000</v>
      </c>
      <c r="G490" s="4" t="n">
        <v>0</v>
      </c>
      <c r="H490" s="4" t="n">
        <v>1857</v>
      </c>
      <c r="I490" s="4" t="n">
        <v>562</v>
      </c>
      <c r="J490" s="5" t="n">
        <v>551.6</v>
      </c>
      <c r="K490" s="4" t="n">
        <v>1254</v>
      </c>
      <c r="L490" s="4" t="n">
        <v>379</v>
      </c>
      <c r="M490" s="5" t="n">
        <v>817.9</v>
      </c>
      <c r="N490" s="3" t="inlineStr">
        <is>
          <t>2</t>
        </is>
      </c>
      <c r="O490" s="3" t="inlineStr">
        <is>
          <t>-</t>
        </is>
      </c>
      <c r="P490" s="3" t="inlineStr">
        <is>
          <t>월하천 뷰의 전망이 좋고 투자가치 탁월한 공장,창고 매매</t>
        </is>
      </c>
      <c r="Q490" s="6">
        <f>HYPERLINK("https://fin.land.naver.com/articles/2650985014", "매물Link")</f>
        <v/>
      </c>
      <c r="R490" s="6">
        <f>HYPERLINK("https://map.naver.com/p/search/연서면 성제리 405-1", "지도Link")</f>
        <v/>
      </c>
      <c r="S490" s="6">
        <f>HYPERLINK("http://www.eum.go.kr/web/ar/lu/luLandDet.jsp?pnu=3611036023104050001&amp;isNoScr=script&amp;mode=search", "토지이음")</f>
        <v/>
      </c>
      <c r="T490" s="3" t="inlineStr">
        <is>
          <t>비타민무소</t>
        </is>
      </c>
      <c r="U490" s="4" t="n">
        <v>1</v>
      </c>
      <c r="V490" s="5" t="n">
        <v>122.2</v>
      </c>
      <c r="W490" s="4" t="n">
        <v>910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1988-05</t>
        </is>
      </c>
      <c r="AD490" s="3" t="inlineStr">
        <is>
          <t>세로한면(가)</t>
        </is>
      </c>
    </row>
    <row r="491">
      <c r="A491" s="3" t="inlineStr">
        <is>
          <t>연서면 성제리 405-1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500</v>
      </c>
      <c r="H491" s="4" t="n">
        <v>1857</v>
      </c>
      <c r="I491" s="4" t="n">
        <v>562</v>
      </c>
      <c r="J491" s="5" t="n">
        <v>0.9</v>
      </c>
      <c r="K491" s="4" t="n">
        <v>1254</v>
      </c>
      <c r="L491" s="4" t="n">
        <v>379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전망 좋고 투자가치 높은 월하천 전망의 귀한 공장 창고 판매매장</t>
        </is>
      </c>
      <c r="Q491" s="6">
        <f>HYPERLINK("https://fin.land.naver.com/articles/2651831711", "매물Link")</f>
        <v/>
      </c>
      <c r="R491" s="6">
        <f>HYPERLINK("https://map.naver.com/p/search/연서면 성제리 405-1", "지도Link")</f>
        <v/>
      </c>
      <c r="S491" s="6">
        <f>HYPERLINK("http://www.eum.go.kr/web/ar/lu/luLandDet.jsp?pnu=3611036023104050001&amp;isNoScr=script&amp;mode=search", "토지이음")</f>
        <v/>
      </c>
      <c r="T491" s="3" t="inlineStr">
        <is>
          <t>번영</t>
        </is>
      </c>
      <c r="U491" s="4" t="n">
        <v>1</v>
      </c>
      <c r="V491" s="5" t="n">
        <v>122.2</v>
      </c>
      <c r="W491" s="4" t="n">
        <v>910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1988-05</t>
        </is>
      </c>
      <c r="AD491" s="3" t="inlineStr">
        <is>
          <t>세로한면(가)</t>
        </is>
      </c>
    </row>
    <row r="492">
      <c r="A492" s="3" t="inlineStr">
        <is>
          <t>연서면 성제리 405-1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310000</v>
      </c>
      <c r="G492" s="4" t="n">
        <v>0</v>
      </c>
      <c r="H492" s="4" t="n">
        <v>1857</v>
      </c>
      <c r="I492" s="4" t="n">
        <v>562</v>
      </c>
      <c r="J492" s="5" t="n">
        <v>551.6</v>
      </c>
      <c r="K492" s="4" t="n">
        <v>1254</v>
      </c>
      <c r="L492" s="4" t="n">
        <v>379</v>
      </c>
      <c r="M492" s="5" t="n">
        <v>817.9</v>
      </c>
      <c r="N492" s="3" t="inlineStr">
        <is>
          <t>2</t>
        </is>
      </c>
      <c r="O492" s="3" t="inlineStr">
        <is>
          <t>-</t>
        </is>
      </c>
      <c r="P492" s="3" t="inlineStr">
        <is>
          <t>전망 좋고 투자가치 높은 월하천 전망의 귀한 공장 창고 판매매장</t>
        </is>
      </c>
      <c r="Q492" s="6">
        <f>HYPERLINK("https://fin.land.naver.com/articles/2652571798", "매물Link")</f>
        <v/>
      </c>
      <c r="R492" s="6">
        <f>HYPERLINK("https://map.naver.com/p/search/연서면 성제리 405-1", "지도Link")</f>
        <v/>
      </c>
      <c r="S492" s="6">
        <f>HYPERLINK("http://www.eum.go.kr/web/ar/lu/luLandDet.jsp?pnu=3611036023104050001&amp;isNoScr=script&amp;mode=search", "토지이음")</f>
        <v/>
      </c>
      <c r="T492" s="3" t="inlineStr">
        <is>
          <t>번영</t>
        </is>
      </c>
      <c r="U492" s="4" t="n">
        <v>1</v>
      </c>
      <c r="V492" s="5" t="n">
        <v>122.2</v>
      </c>
      <c r="W492" s="4" t="n">
        <v>910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1988-05</t>
        </is>
      </c>
      <c r="AD492" s="3" t="inlineStr">
        <is>
          <t>세로한면(가)</t>
        </is>
      </c>
    </row>
    <row r="493">
      <c r="A493" s="3" t="inlineStr">
        <is>
          <t>연서면 신대리 197-1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5000</v>
      </c>
      <c r="G493" s="4" t="n">
        <v>450</v>
      </c>
      <c r="H493" s="4" t="n">
        <v>3170</v>
      </c>
      <c r="I493" s="4" t="n">
        <v>959</v>
      </c>
      <c r="J493" s="5" t="n">
        <v>0.5</v>
      </c>
      <c r="K493" s="4" t="n">
        <v>802</v>
      </c>
      <c r="L493" s="4" t="n">
        <v>243</v>
      </c>
      <c r="M493" s="5" t="n">
        <v>1.9</v>
      </c>
      <c r="N493" s="3" t="inlineStr">
        <is>
          <t>1</t>
        </is>
      </c>
      <c r="O493" s="3" t="inlineStr">
        <is>
          <t>-</t>
        </is>
      </c>
      <c r="P493" s="3" t="inlineStr">
        <is>
          <t>사진有 공장 임대</t>
        </is>
      </c>
      <c r="Q493" s="6">
        <f>HYPERLINK("https://fin.land.naver.com/articles/2653032812", "매물Link")</f>
        <v/>
      </c>
      <c r="R493" s="6">
        <f>HYPERLINK("https://map.naver.com/p/search/연서면 신대리 197-1", "지도Link")</f>
        <v/>
      </c>
      <c r="S493" s="6">
        <f>HYPERLINK("http://www.eum.go.kr/web/ar/lu/luLandDet.jsp?pnu=3611036029101970001&amp;isNoScr=script&amp;mode=search",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58.4</v>
      </c>
      <c r="W493" s="4" t="n">
        <v>3009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7.3m</t>
        </is>
      </c>
      <c r="AC493" s="3" t="inlineStr">
        <is>
          <t>2005-06</t>
        </is>
      </c>
      <c r="AD493" s="3" t="inlineStr">
        <is>
          <t>소로한면</t>
        </is>
      </c>
    </row>
    <row r="494">
      <c r="A494" s="3" t="inlineStr">
        <is>
          <t>연서면 신대리 242-2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60</v>
      </c>
      <c r="H494" s="4" t="n">
        <v>995</v>
      </c>
      <c r="I494" s="4" t="n">
        <v>301</v>
      </c>
      <c r="J494" s="5" t="n">
        <v>0.2</v>
      </c>
      <c r="K494" s="4" t="n">
        <v>330</v>
      </c>
      <c r="L494" s="4" t="n">
        <v>100</v>
      </c>
      <c r="M494" s="5" t="n">
        <v>0.6</v>
      </c>
      <c r="N494" s="3" t="inlineStr">
        <is>
          <t>1</t>
        </is>
      </c>
      <c r="O494" s="3" t="inlineStr">
        <is>
          <t>-</t>
        </is>
      </c>
      <c r="P494" s="3" t="inlineStr">
        <is>
          <t>nan</t>
        </is>
      </c>
      <c r="Q494" s="6">
        <f>HYPERLINK("https://fin.land.naver.com/articles/2655215391", "매물Link")</f>
        <v/>
      </c>
      <c r="R494" s="6">
        <f>HYPERLINK("https://map.naver.com/p/search/연서면 신대리 242-2", "지도Link")</f>
        <v/>
      </c>
      <c r="S494" s="6">
        <f>HYPERLINK("http://www.eum.go.kr/web/ar/lu/luLandDet.jsp?pnu=3611036029102420002&amp;isNoScr=script&amp;mode=search", "토지이음")</f>
        <v/>
      </c>
      <c r="T494" s="3" t="inlineStr">
        <is>
          <t>덕천</t>
        </is>
      </c>
      <c r="U494" s="4" t="n">
        <v>1</v>
      </c>
      <c r="V494" s="5" t="n">
        <v>93.5</v>
      </c>
      <c r="W494" s="4" t="n">
        <v>1005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창고시설</t>
        </is>
      </c>
      <c r="AB494" s="3" t="inlineStr">
        <is>
          <t>6.2m</t>
        </is>
      </c>
      <c r="AC494" s="3" t="inlineStr">
        <is>
          <t>1997-09</t>
        </is>
      </c>
      <c r="AD494" s="3" t="inlineStr">
        <is>
          <t>세로한면(가)</t>
        </is>
      </c>
    </row>
    <row r="495">
      <c r="A495" s="3" t="inlineStr">
        <is>
          <t>연서면 신대리 459-3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450000</v>
      </c>
      <c r="G495" s="4" t="n">
        <v>0</v>
      </c>
      <c r="H495" s="4" t="n">
        <v>9577</v>
      </c>
      <c r="I495" s="4" t="n">
        <v>2897</v>
      </c>
      <c r="J495" s="5" t="n">
        <v>155.3</v>
      </c>
      <c r="K495" s="4" t="n">
        <v>2697</v>
      </c>
      <c r="L495" s="4" t="n">
        <v>816</v>
      </c>
      <c r="M495" s="5" t="n">
        <v>551.5</v>
      </c>
      <c r="N495" s="3" t="inlineStr">
        <is>
          <t>3</t>
        </is>
      </c>
      <c r="O495" s="3" t="inlineStr">
        <is>
          <t>-</t>
        </is>
      </c>
      <c r="P495" s="3" t="inlineStr">
        <is>
          <t>세종스마트국가산업단지 인근 2차선 도로변 공장 매각</t>
        </is>
      </c>
      <c r="Q495" s="6">
        <f>HYPERLINK("https://fin.land.naver.com/articles/2651693675", "매물Link")</f>
        <v/>
      </c>
      <c r="R495" s="6">
        <f>HYPERLINK("https://map.naver.com/p/search/연서면 신대리 459-3", "지도Link")</f>
        <v/>
      </c>
      <c r="S495" s="6">
        <f>HYPERLINK("http://www.eum.go.kr/web/ar/lu/luLandDet.jsp?pnu=3611036029104590003&amp;isNoScr=script&amp;mode=search", "토지이음")</f>
        <v/>
      </c>
      <c r="T495" s="3" t="inlineStr">
        <is>
          <t>청담</t>
        </is>
      </c>
      <c r="U495" s="4" t="n">
        <v>1</v>
      </c>
      <c r="V495" s="5" t="n">
        <v>68.7</v>
      </c>
      <c r="W495" s="4" t="n">
        <v>9577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위험물저장및처리시설</t>
        </is>
      </c>
      <c r="AB495" s="3" t="inlineStr">
        <is>
          <t>6.85m</t>
        </is>
      </c>
      <c r="AC495" s="3" t="inlineStr">
        <is>
          <t>2002-12</t>
        </is>
      </c>
      <c r="AD495" s="3" t="inlineStr">
        <is>
          <t>소로한면</t>
        </is>
      </c>
    </row>
    <row r="496">
      <c r="A496" s="3" t="inlineStr">
        <is>
          <t>연서면 신대리 459-3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450000</v>
      </c>
      <c r="G496" s="4" t="n">
        <v>0</v>
      </c>
      <c r="H496" s="4" t="n">
        <v>9577</v>
      </c>
      <c r="I496" s="4" t="n">
        <v>2897</v>
      </c>
      <c r="J496" s="5" t="n">
        <v>155.3</v>
      </c>
      <c r="K496" s="4" t="n">
        <v>2697</v>
      </c>
      <c r="L496" s="4" t="n">
        <v>816</v>
      </c>
      <c r="M496" s="5" t="n">
        <v>551.5</v>
      </c>
      <c r="N496" s="3" t="inlineStr">
        <is>
          <t>3</t>
        </is>
      </c>
      <c r="O496" s="3" t="inlineStr">
        <is>
          <t>-</t>
        </is>
      </c>
      <c r="P496" s="3" t="inlineStr">
        <is>
          <t>연서면 신대리 사옥 및 공장, 냉동 상온창고 총 6동 매매</t>
        </is>
      </c>
      <c r="Q496" s="6">
        <f>HYPERLINK("https://fin.land.naver.com/articles/2652165001", "매물Link")</f>
        <v/>
      </c>
      <c r="R496" s="6">
        <f>HYPERLINK("https://map.naver.com/p/search/연서면 신대리 459-3", "지도Link")</f>
        <v/>
      </c>
      <c r="S496" s="6">
        <f>HYPERLINK("http://www.eum.go.kr/web/ar/lu/luLandDet.jsp?pnu=3611036029104590003&amp;isNoScr=script&amp;mode=search", "토지이음")</f>
        <v/>
      </c>
      <c r="T496" s="3" t="inlineStr">
        <is>
          <t>뉴스카이</t>
        </is>
      </c>
      <c r="U496" s="4" t="n">
        <v>1</v>
      </c>
      <c r="V496" s="5" t="n">
        <v>68.7</v>
      </c>
      <c r="W496" s="4" t="n">
        <v>9577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위험물저장및처리시설</t>
        </is>
      </c>
      <c r="AB496" s="3" t="inlineStr">
        <is>
          <t>6.85m</t>
        </is>
      </c>
      <c r="AC496" s="3" t="inlineStr">
        <is>
          <t>2002-12</t>
        </is>
      </c>
      <c r="AD496" s="3" t="inlineStr">
        <is>
          <t>소로한면</t>
        </is>
      </c>
    </row>
    <row r="497">
      <c r="A497" s="3" t="inlineStr">
        <is>
          <t>연서면 신대리 532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86700</v>
      </c>
      <c r="G497" s="4" t="n">
        <v>0</v>
      </c>
      <c r="H497" s="4" t="n">
        <v>957</v>
      </c>
      <c r="I497" s="4" t="n">
        <v>289</v>
      </c>
      <c r="J497" s="5" t="n">
        <v>300</v>
      </c>
      <c r="K497" s="4" t="n">
        <v>233</v>
      </c>
      <c r="L497" s="4" t="n">
        <v>70</v>
      </c>
      <c r="M497" s="5" t="n">
        <v>1238.6</v>
      </c>
      <c r="N497" s="3" t="inlineStr">
        <is>
          <t>1</t>
        </is>
      </c>
      <c r="O497" s="3" t="inlineStr">
        <is>
          <t>-</t>
        </is>
      </c>
      <c r="P497" s="3" t="inlineStr">
        <is>
          <t>2차선 도로접한 공장부지.근생용지로도 사용가능,카페,식당,창고추천</t>
        </is>
      </c>
      <c r="Q497" s="6">
        <f>HYPERLINK("https://fin.land.naver.com/articles/2652071695", "매물Link")</f>
        <v/>
      </c>
      <c r="R497" s="6">
        <f>HYPERLINK("https://map.naver.com/p/search/연서면 신대리 532", "지도Link")</f>
        <v/>
      </c>
      <c r="S497" s="6">
        <f>HYPERLINK("http://www.eum.go.kr/web/ar/lu/luLandDet.jsp?pnu=3611036029105320000&amp;isNoScr=script&amp;mode=search", "토지이음")</f>
        <v/>
      </c>
      <c r="T497" s="3" t="inlineStr">
        <is>
          <t>담뜰</t>
        </is>
      </c>
      <c r="U497" s="4" t="n">
        <v>1</v>
      </c>
      <c r="V497" s="5" t="n">
        <v>58.4</v>
      </c>
      <c r="W497" s="4" t="n">
        <v>957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5.4m</t>
        </is>
      </c>
      <c r="AC497" s="3" t="inlineStr">
        <is>
          <t>2002-10</t>
        </is>
      </c>
      <c r="AD497" s="3" t="inlineStr">
        <is>
          <t>소로한면</t>
        </is>
      </c>
    </row>
    <row r="498">
      <c r="A498" s="3" t="inlineStr">
        <is>
          <t>연서면 쌍류리 332-3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90</v>
      </c>
      <c r="H498" s="4" t="n">
        <v>1491</v>
      </c>
      <c r="I498" s="4" t="n">
        <v>451</v>
      </c>
      <c r="J498" s="5" t="n">
        <v>0.2</v>
      </c>
      <c r="K498" s="4" t="n">
        <v>199</v>
      </c>
      <c r="L498" s="4" t="n">
        <v>60</v>
      </c>
      <c r="M498" s="5" t="n">
        <v>1.5</v>
      </c>
      <c r="N498" s="3" t="inlineStr">
        <is>
          <t>1</t>
        </is>
      </c>
      <c r="O498" s="3" t="inlineStr">
        <is>
          <t>-</t>
        </is>
      </c>
      <c r="P498" s="3" t="inlineStr">
        <is>
          <t>도로에 접한 창고 임대카페,창고,시무실 등 용도</t>
        </is>
      </c>
      <c r="Q498" s="6">
        <f>HYPERLINK("https://fin.land.naver.com/articles/2650858536", "매물Link")</f>
        <v/>
      </c>
      <c r="R498" s="6">
        <f>HYPERLINK("https://map.naver.com/p/search/연서면 쌍류리 332-3", "지도Link")</f>
        <v/>
      </c>
      <c r="S498" s="6">
        <f>HYPERLINK("http://www.eum.go.kr/web/ar/lu/luLandDet.jsp?pnu=3611036026103320003&amp;isNoScr=script&amp;mode=search", "토지이음")</f>
        <v/>
      </c>
      <c r="T498" s="3" t="inlineStr">
        <is>
          <t>세종대박</t>
        </is>
      </c>
      <c r="U498" s="4" t="n">
        <v>1</v>
      </c>
      <c r="V498" s="5" t="n">
        <v>47.6</v>
      </c>
      <c r="W498" s="4" t="n">
        <v>1000</v>
      </c>
      <c r="X498" s="3" t="inlineStr">
        <is>
          <t>2동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제1종근생</t>
        </is>
      </c>
      <c r="AB498" s="3" t="inlineStr">
        <is>
          <t>4.7m</t>
        </is>
      </c>
      <c r="AC498" s="3" t="inlineStr">
        <is>
          <t>2011-12</t>
        </is>
      </c>
      <c r="AD498" s="3" t="inlineStr">
        <is>
          <t>세로한면(가)</t>
        </is>
      </c>
    </row>
    <row r="499">
      <c r="A499" s="3" t="inlineStr">
        <is>
          <t>연서면 와촌리 1119-2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5000</v>
      </c>
      <c r="G499" s="4" t="n">
        <v>600</v>
      </c>
      <c r="H499" s="4" t="n">
        <v>3250</v>
      </c>
      <c r="I499" s="4" t="n">
        <v>983</v>
      </c>
      <c r="J499" s="5" t="n">
        <v>0.6</v>
      </c>
      <c r="K499" s="4" t="n">
        <v>1552</v>
      </c>
      <c r="L499" s="4" t="n">
        <v>469</v>
      </c>
      <c r="M499" s="5" t="n">
        <v>1.3</v>
      </c>
      <c r="N499" s="3" t="inlineStr">
        <is>
          <t>2</t>
        </is>
      </c>
      <c r="O499" s="3" t="inlineStr">
        <is>
          <t>-</t>
        </is>
      </c>
      <c r="P499" s="3" t="inlineStr">
        <is>
          <t>호이스트, 사무동, 기숙사 있는 대형공장 아주 아주 저렴한 임대</t>
        </is>
      </c>
      <c r="Q499" s="6">
        <f>HYPERLINK("https://fin.land.naver.com/articles/2651531957", "매물Link")</f>
        <v/>
      </c>
      <c r="R499" s="6">
        <f>HYPERLINK("https://map.naver.com/p/search/연서면 와촌리 1119-2", "지도Link")</f>
        <v/>
      </c>
      <c r="S499" s="6">
        <f>HYPERLINK("http://www.eum.go.kr/web/ar/lu/luLandDet.jsp?pnu=3611036031111190002&amp;isNoScr=script&amp;mode=search", "토지이음")</f>
        <v/>
      </c>
      <c r="T499" s="3" t="inlineStr">
        <is>
          <t>더오름</t>
        </is>
      </c>
      <c r="U499" s="4" t="n">
        <v>1</v>
      </c>
      <c r="V499" s="5" t="n">
        <v>79.7</v>
      </c>
      <c r="W499" s="4" t="n">
        <v>3250</v>
      </c>
      <c r="X499" s="3" t="inlineStr">
        <is>
          <t>C동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1996-12</t>
        </is>
      </c>
      <c r="AD499" s="3" t="inlineStr">
        <is>
          <t>세로한면(가)</t>
        </is>
      </c>
    </row>
    <row r="500">
      <c r="A500" s="3" t="inlineStr">
        <is>
          <t>연서면 와촌리 1119-2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5000</v>
      </c>
      <c r="G500" s="4" t="n">
        <v>600</v>
      </c>
      <c r="H500" s="4" t="n">
        <v>3250</v>
      </c>
      <c r="I500" s="4" t="n">
        <v>983</v>
      </c>
      <c r="J500" s="5" t="n">
        <v>0.6</v>
      </c>
      <c r="K500" s="4" t="n">
        <v>1552</v>
      </c>
      <c r="L500" s="4" t="n">
        <v>469</v>
      </c>
      <c r="M500" s="5" t="n">
        <v>1.3</v>
      </c>
      <c r="N500" s="3" t="inlineStr">
        <is>
          <t>2</t>
        </is>
      </c>
      <c r="O500" s="3" t="inlineStr">
        <is>
          <t>-</t>
        </is>
      </c>
      <c r="P500" s="3" t="inlineStr">
        <is>
          <t>사진有 공장 임대</t>
        </is>
      </c>
      <c r="Q500" s="6">
        <f>HYPERLINK("https://fin.land.naver.com/articles/2653032582", "매물Link")</f>
        <v/>
      </c>
      <c r="R500" s="6">
        <f>HYPERLINK("https://map.naver.com/p/search/연서면 와촌리 1119-2", "지도Link")</f>
        <v/>
      </c>
      <c r="S500" s="6">
        <f>HYPERLINK("http://www.eum.go.kr/web/ar/lu/luLandDet.jsp?pnu=3611036031111190002&amp;isNoScr=script&amp;mode=search", "토지이음")</f>
        <v/>
      </c>
      <c r="T500" s="3" t="inlineStr">
        <is>
          <t>월드</t>
        </is>
      </c>
      <c r="U500" s="4" t="n">
        <v>1</v>
      </c>
      <c r="V500" s="5" t="n">
        <v>79.7</v>
      </c>
      <c r="W500" s="4" t="n">
        <v>3250</v>
      </c>
      <c r="X500" s="3" t="inlineStr">
        <is>
          <t>C동</t>
        </is>
      </c>
      <c r="Y500" s="7" t="inlineStr">
        <is>
          <t>2층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1996-12</t>
        </is>
      </c>
      <c r="AD500" s="3" t="inlineStr">
        <is>
          <t>세로한면(가)</t>
        </is>
      </c>
    </row>
    <row r="501">
      <c r="A501" s="3" t="inlineStr">
        <is>
          <t>연서면 와촌리 852-5</t>
        </is>
      </c>
      <c r="B501" s="3" t="inlineStr">
        <is>
          <t>계획관리지역</t>
        </is>
      </c>
      <c r="C501" s="3" t="inlineStr">
        <is>
          <t>잡종지</t>
        </is>
      </c>
      <c r="D501" s="3" t="inlineStr">
        <is>
          <t>창고</t>
        </is>
      </c>
      <c r="E501" s="3" t="inlineStr">
        <is>
          <t>월세</t>
        </is>
      </c>
      <c r="F501" s="4" t="n">
        <v>3000</v>
      </c>
      <c r="G501" s="4" t="n">
        <v>150</v>
      </c>
      <c r="H501" s="4" t="n">
        <v>928</v>
      </c>
      <c r="I501" s="4" t="n">
        <v>281</v>
      </c>
      <c r="J501" s="5" t="n">
        <v>0.5</v>
      </c>
      <c r="K501" s="4" t="n">
        <v>485</v>
      </c>
      <c r="L501" s="4" t="n">
        <v>147</v>
      </c>
      <c r="M501" s="5" t="n">
        <v>1</v>
      </c>
      <c r="N501" s="3" t="inlineStr">
        <is>
          <t>1</t>
        </is>
      </c>
      <c r="O501" s="3" t="inlineStr">
        <is>
          <t>-</t>
        </is>
      </c>
      <c r="P501" s="3" t="inlineStr">
        <is>
          <t>와촌리 창고임대 세종 초근접</t>
        </is>
      </c>
      <c r="Q501" s="6">
        <f>HYPERLINK("https://fin.land.naver.com/articles/2652499113", "매물Link")</f>
        <v/>
      </c>
      <c r="R501" s="6">
        <f>HYPERLINK("https://map.naver.com/p/search/연서면 와촌리 852-5", "지도Link")</f>
        <v/>
      </c>
      <c r="S501" s="6">
        <f>HYPERLINK("http://www.eum.go.kr/web/ar/lu/luLandDet.jsp?pnu=3611036031108520005&amp;isNoScr=script&amp;mode=search", "토지이음")</f>
        <v/>
      </c>
      <c r="T501" s="3" t="inlineStr">
        <is>
          <t>엄지척</t>
        </is>
      </c>
      <c r="U501" s="4" t="n">
        <v>1</v>
      </c>
      <c r="V501" s="5" t="n">
        <v>82.59999999999999</v>
      </c>
      <c r="W501" s="4" t="n">
        <v>932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제1종근생</t>
        </is>
      </c>
      <c r="AB501" s="3" t="inlineStr">
        <is>
          <t>6.15m</t>
        </is>
      </c>
      <c r="AC501" s="3" t="inlineStr">
        <is>
          <t>1997-05</t>
        </is>
      </c>
      <c r="AD501" s="3" t="inlineStr">
        <is>
          <t>세로한면(가)</t>
        </is>
      </c>
    </row>
    <row r="502">
      <c r="A502" s="3" t="inlineStr">
        <is>
          <t>연서면 와촌리 852-5</t>
        </is>
      </c>
      <c r="B502" s="3" t="inlineStr">
        <is>
          <t>계획관리지역</t>
        </is>
      </c>
      <c r="C502" s="3" t="inlineStr">
        <is>
          <t>잡종지</t>
        </is>
      </c>
      <c r="D502" s="3" t="inlineStr">
        <is>
          <t>창고</t>
        </is>
      </c>
      <c r="E502" s="3" t="inlineStr">
        <is>
          <t>월세</t>
        </is>
      </c>
      <c r="F502" s="4" t="n">
        <v>3000</v>
      </c>
      <c r="G502" s="4" t="n">
        <v>150</v>
      </c>
      <c r="H502" s="4" t="n">
        <v>932</v>
      </c>
      <c r="I502" s="4" t="n">
        <v>282</v>
      </c>
      <c r="J502" s="5" t="n">
        <v>0.5</v>
      </c>
      <c r="K502" s="4" t="n">
        <v>488</v>
      </c>
      <c r="L502" s="4" t="n">
        <v>148</v>
      </c>
      <c r="M502" s="5" t="n">
        <v>1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HYPERLINK("https://fin.land.naver.com/articles/2652467109", "매물Link")</f>
        <v/>
      </c>
      <c r="R502" s="6">
        <f>HYPERLINK("https://map.naver.com/p/search/연서면 와촌리 852-5", "지도Link")</f>
        <v/>
      </c>
      <c r="S502" s="6">
        <f>HYPERLINK("http://www.eum.go.kr/web/ar/lu/luLandDet.jsp?pnu=3611036031108520005&amp;isNoScr=script&amp;mode=search", "토지이음")</f>
        <v/>
      </c>
      <c r="T502" s="3" t="inlineStr">
        <is>
          <t>지성</t>
        </is>
      </c>
      <c r="U502" s="4" t="n">
        <v>1</v>
      </c>
      <c r="V502" s="5" t="n">
        <v>82.59999999999999</v>
      </c>
      <c r="W502" s="4" t="n">
        <v>932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제1종근생</t>
        </is>
      </c>
      <c r="AB502" s="3" t="inlineStr">
        <is>
          <t>6.15m</t>
        </is>
      </c>
      <c r="AC502" s="3" t="inlineStr">
        <is>
          <t>1997-05</t>
        </is>
      </c>
      <c r="AD502" s="3" t="inlineStr">
        <is>
          <t>세로한면(가)</t>
        </is>
      </c>
    </row>
    <row r="503">
      <c r="A503" s="3" t="inlineStr">
        <is>
          <t>연서면 와촌리 852-5</t>
        </is>
      </c>
      <c r="B503" s="3" t="inlineStr">
        <is>
          <t>계획관리지역</t>
        </is>
      </c>
      <c r="C503" s="3" t="inlineStr">
        <is>
          <t>잡종지</t>
        </is>
      </c>
      <c r="D503" s="3" t="inlineStr">
        <is>
          <t>창고</t>
        </is>
      </c>
      <c r="E503" s="3" t="inlineStr">
        <is>
          <t>월세</t>
        </is>
      </c>
      <c r="F503" s="4" t="n">
        <v>3000</v>
      </c>
      <c r="G503" s="4" t="n">
        <v>150</v>
      </c>
      <c r="H503" s="4" t="n">
        <v>932</v>
      </c>
      <c r="I503" s="4" t="n">
        <v>282</v>
      </c>
      <c r="J503" s="5" t="n">
        <v>0.5</v>
      </c>
      <c r="K503" s="4" t="n">
        <v>488</v>
      </c>
      <c r="L503" s="4" t="n">
        <v>148</v>
      </c>
      <c r="M503" s="5" t="n">
        <v>1</v>
      </c>
      <c r="N503" s="3" t="inlineStr">
        <is>
          <t>1</t>
        </is>
      </c>
      <c r="O503" s="3" t="inlineStr">
        <is>
          <t>-</t>
        </is>
      </c>
      <c r="P503" s="3" t="inlineStr">
        <is>
          <t>와촌리 창고월세,차량 진출입편리,창고내 지게차작업가능,주차편리,조율가능</t>
        </is>
      </c>
      <c r="Q503" s="6">
        <f>HYPERLINK("https://fin.land.naver.com/articles/2653116072", "매물Link")</f>
        <v/>
      </c>
      <c r="R503" s="6">
        <f>HYPERLINK("https://map.naver.com/p/search/연서면 와촌리 852-5", "지도Link")</f>
        <v/>
      </c>
      <c r="S503" s="6">
        <f>HYPERLINK("http://www.eum.go.kr/web/ar/lu/luLandDet.jsp?pnu=3611036031108520005&amp;isNoScr=script&amp;mode=search", "토지이음")</f>
        <v/>
      </c>
      <c r="T503" s="3" t="inlineStr">
        <is>
          <t>도안우미린사랑</t>
        </is>
      </c>
      <c r="U503" s="4" t="n">
        <v>1</v>
      </c>
      <c r="V503" s="5" t="n">
        <v>82.59999999999999</v>
      </c>
      <c r="W503" s="4" t="n">
        <v>932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제1종근생</t>
        </is>
      </c>
      <c r="AB503" s="3" t="inlineStr">
        <is>
          <t>6.15m</t>
        </is>
      </c>
      <c r="AC503" s="3" t="inlineStr">
        <is>
          <t>1997-05</t>
        </is>
      </c>
      <c r="AD503" s="3" t="inlineStr">
        <is>
          <t>세로한면(가)</t>
        </is>
      </c>
    </row>
    <row r="504">
      <c r="A504" s="3" t="inlineStr">
        <is>
          <t>연서면 월하리 902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창고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3224</v>
      </c>
      <c r="I504" s="4" t="n">
        <v>975</v>
      </c>
      <c r="J504" s="5" t="n">
        <v>0.5</v>
      </c>
      <c r="K504" s="4" t="n">
        <v>594</v>
      </c>
      <c r="L504" s="4" t="n">
        <v>180</v>
      </c>
      <c r="M504" s="5" t="n">
        <v>2.5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세종신도심, 조치원, 오송 접근성 좋은 2차선도로변 준신축 창고임대</t>
        </is>
      </c>
      <c r="Q504" s="6">
        <f>HYPERLINK("https://fin.land.naver.com/articles/2654666248", "매물Link")</f>
        <v/>
      </c>
      <c r="R504" s="6">
        <f>HYPERLINK("https://map.naver.com/p/search/연서면 월하리 902", "지도Link")</f>
        <v/>
      </c>
      <c r="S504" s="6">
        <f>HYPERLINK("http://www.eum.go.kr/web/ar/lu/luLandDet.jsp?pnu=3611036021109020000&amp;isNoScr=script&amp;mode=search", "토지이음")</f>
        <v/>
      </c>
      <c r="T504" s="3" t="inlineStr">
        <is>
          <t>청담</t>
        </is>
      </c>
      <c r="U504" s="4" t="n">
        <v>1</v>
      </c>
      <c r="V504" s="5" t="n">
        <v>156.1</v>
      </c>
      <c r="W504" s="4" t="n">
        <v>3244</v>
      </c>
      <c r="X504" s="3" t="inlineStr">
        <is>
          <t>주건축물제2동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제2종근생</t>
        </is>
      </c>
      <c r="AB504" s="3" t="inlineStr">
        <is>
          <t>7.0m</t>
        </is>
      </c>
      <c r="AC504" s="3" t="inlineStr">
        <is>
          <t>2022-04</t>
        </is>
      </c>
      <c r="AD504" s="3" t="inlineStr">
        <is>
          <t>소로한면</t>
        </is>
      </c>
    </row>
    <row r="505">
      <c r="A505" s="3" t="inlineStr">
        <is>
          <t>연서면 월하리 902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4000</v>
      </c>
      <c r="G505" s="4" t="n">
        <v>180</v>
      </c>
      <c r="H505" s="4" t="n">
        <v>3244</v>
      </c>
      <c r="I505" s="4" t="n">
        <v>981</v>
      </c>
      <c r="J505" s="5" t="n">
        <v>0.2</v>
      </c>
      <c r="K505" s="4" t="n">
        <v>53</v>
      </c>
      <c r="L505" s="4" t="n">
        <v>16</v>
      </c>
      <c r="M505" s="5" t="n">
        <v>11.2</v>
      </c>
      <c r="N505" s="3" t="inlineStr">
        <is>
          <t>1</t>
        </is>
      </c>
      <c r="O505" s="3" t="inlineStr">
        <is>
          <t>-</t>
        </is>
      </c>
      <c r="P505" s="3" t="inlineStr">
        <is>
          <t>즉시입주 신축 2종근생  활용도 높은 건물임대</t>
        </is>
      </c>
      <c r="Q505" s="6">
        <f>HYPERLINK("https://fin.land.naver.com/articles/2654518316", "매물Link")</f>
        <v/>
      </c>
      <c r="R505" s="6">
        <f>HYPERLINK("https://map.naver.com/p/search/연서면 월하리 902", "지도Link")</f>
        <v/>
      </c>
      <c r="S505" s="6">
        <f>HYPERLINK("http://www.eum.go.kr/web/ar/lu/luLandDet.jsp?pnu=3611036021109020000&amp;isNoScr=script&amp;mode=search", "토지이음")</f>
        <v/>
      </c>
      <c r="T505" s="3" t="inlineStr">
        <is>
          <t>THE행복</t>
        </is>
      </c>
      <c r="U505" s="4" t="n">
        <v>1</v>
      </c>
      <c r="V505" s="5" t="n">
        <v>156.1</v>
      </c>
      <c r="W505" s="4" t="n">
        <v>3244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단독주택</t>
        </is>
      </c>
      <c r="AB505" s="3" t="inlineStr">
        <is>
          <t>4.57m</t>
        </is>
      </c>
      <c r="AC505" s="3" t="inlineStr">
        <is>
          <t>2022-04</t>
        </is>
      </c>
      <c r="AD505" s="3" t="inlineStr">
        <is>
          <t>소로한면</t>
        </is>
      </c>
    </row>
    <row r="506">
      <c r="A506" s="3" t="inlineStr">
        <is>
          <t>연서면 월하리 973-2</t>
        </is>
      </c>
      <c r="B506" s="3" t="inlineStr">
        <is>
          <t>자연녹지지역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80000</v>
      </c>
      <c r="G506" s="4" t="n">
        <v>0</v>
      </c>
      <c r="H506" s="4" t="n">
        <v>644</v>
      </c>
      <c r="I506" s="4" t="n">
        <v>195</v>
      </c>
      <c r="J506" s="5" t="n">
        <v>410.3</v>
      </c>
      <c r="K506" s="4" t="n">
        <v>212</v>
      </c>
      <c r="L506" s="4" t="n">
        <v>64</v>
      </c>
      <c r="M506" s="5" t="n">
        <v>1250</v>
      </c>
      <c r="N506" s="3" t="inlineStr">
        <is>
          <t>2</t>
        </is>
      </c>
      <c r="O506" s="3" t="inlineStr">
        <is>
          <t>-</t>
        </is>
      </c>
      <c r="P506" s="3" t="inlineStr">
        <is>
          <t>연서면 2차선 대로변 바로 인접</t>
        </is>
      </c>
      <c r="Q506" s="6">
        <f>HYPERLINK("https://fin.land.naver.com/articles/2655392220", "매물Link")</f>
        <v/>
      </c>
      <c r="R506" s="6">
        <f>HYPERLINK("https://map.naver.com/p/search/연서면 월하리 973-2", "지도Link")</f>
        <v/>
      </c>
      <c r="S506" s="6">
        <f>HYPERLINK("http://www.eum.go.kr/web/ar/lu/luLandDet.jsp?pnu=3611036021109730002&amp;isNoScr=script&amp;mode=search", "토지이음")</f>
        <v/>
      </c>
      <c r="T506" s="3" t="inlineStr">
        <is>
          <t>KB세종</t>
        </is>
      </c>
      <c r="U506" s="4" t="n">
        <v>1</v>
      </c>
      <c r="V506" s="5" t="n">
        <v>158.3</v>
      </c>
      <c r="W506" s="4" t="n">
        <v>644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8.94m</t>
        </is>
      </c>
      <c r="AC506" s="3" t="inlineStr">
        <is>
          <t>2003-05</t>
        </is>
      </c>
      <c r="AD506" s="3" t="inlineStr">
        <is>
          <t>세로한면(가)</t>
        </is>
      </c>
    </row>
    <row r="507">
      <c r="A507" s="3" t="inlineStr">
        <is>
          <t>오송읍 공북리 271-4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150</v>
      </c>
      <c r="H507" s="4" t="n">
        <v>660</v>
      </c>
      <c r="I507" s="4" t="n">
        <v>200</v>
      </c>
      <c r="J507" s="5" t="n">
        <v>0.8</v>
      </c>
      <c r="K507" s="4" t="n">
        <v>330</v>
      </c>
      <c r="L507" s="4" t="n">
        <v>100</v>
      </c>
      <c r="M507" s="5" t="n">
        <v>1.5</v>
      </c>
      <c r="N507" s="3" t="inlineStr">
        <is>
          <t>1</t>
        </is>
      </c>
      <c r="O507" s="3" t="inlineStr">
        <is>
          <t>B1</t>
        </is>
      </c>
      <c r="P507" s="3" t="inlineStr">
        <is>
          <t>층고 높고 넓은 창고전용,2차선도로옆</t>
        </is>
      </c>
      <c r="Q507" s="6">
        <f>HYPERLINK("https://fin.land.naver.com/articles/2652903125", "매물Link")</f>
        <v/>
      </c>
      <c r="R507" s="6">
        <f>HYPERLINK("https://map.naver.com/p/search/오송읍 공북리 271-4", "지도Link")</f>
        <v/>
      </c>
      <c r="S507" s="6">
        <f>HYPERLINK("http://www.eum.go.kr/web/ar/lu/luLandDet.jsp?pnu=4311325023102710004&amp;isNoScr=script&amp;mode=search", "토지이음")</f>
        <v/>
      </c>
      <c r="T507" s="3" t="inlineStr">
        <is>
          <t>오송올래</t>
        </is>
      </c>
      <c r="U507" s="4" t="n">
        <v>2</v>
      </c>
      <c r="V507" s="5" t="n">
        <v>77</v>
      </c>
      <c r="W507" s="4" t="n">
        <v>660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창고시설</t>
        </is>
      </c>
      <c r="AB507" s="3" t="inlineStr">
        <is>
          <t>-</t>
        </is>
      </c>
      <c r="AC507" s="3" t="inlineStr">
        <is>
          <t>1979</t>
        </is>
      </c>
      <c r="AD507" s="3" t="inlineStr">
        <is>
          <t>세로한면(가)</t>
        </is>
      </c>
    </row>
    <row r="508">
      <c r="A508" s="3" t="inlineStr">
        <is>
          <t>오송읍 공북리 271-4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창고</t>
        </is>
      </c>
      <c r="E508" s="3" t="inlineStr">
        <is>
          <t>월세</t>
        </is>
      </c>
      <c r="F508" s="4" t="n">
        <v>1000</v>
      </c>
      <c r="G508" s="4" t="n">
        <v>150</v>
      </c>
      <c r="H508" s="4" t="n">
        <v>660</v>
      </c>
      <c r="I508" s="4" t="n">
        <v>200</v>
      </c>
      <c r="J508" s="5" t="n">
        <v>0.8</v>
      </c>
      <c r="K508" s="4" t="n">
        <v>330</v>
      </c>
      <c r="L508" s="4" t="n">
        <v>100</v>
      </c>
      <c r="M508" s="5" t="n">
        <v>1.5</v>
      </c>
      <c r="N508" s="3" t="inlineStr">
        <is>
          <t>1</t>
        </is>
      </c>
      <c r="O508" s="3" t="inlineStr">
        <is>
          <t>-</t>
        </is>
      </c>
      <c r="P508" s="3" t="inlineStr">
        <is>
          <t>저렴한 금액으로 대형 창고를 사용할수 있는 기회를 잡으세요</t>
        </is>
      </c>
      <c r="Q508" s="6">
        <f>HYPERLINK("https://fin.land.naver.com/articles/2651108355", "매물Link")</f>
        <v/>
      </c>
      <c r="R508" s="6">
        <f>HYPERLINK("https://map.naver.com/p/search/오송읍 공북리 271-4", "지도Link")</f>
        <v/>
      </c>
      <c r="S508" s="6">
        <f>HYPERLINK("http://www.eum.go.kr/web/ar/lu/luLandDet.jsp?pnu=4311325023102710004&amp;isNoScr=script&amp;mode=search", "토지이음")</f>
        <v/>
      </c>
      <c r="T508" s="3" t="inlineStr">
        <is>
          <t>오송2단지창조</t>
        </is>
      </c>
      <c r="U508" s="4" t="n">
        <v>1</v>
      </c>
      <c r="V508" s="5" t="n">
        <v>77</v>
      </c>
      <c r="W508" s="4" t="n">
        <v>660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철근콘크리트구조</t>
        </is>
      </c>
      <c r="AA508" s="3" t="inlineStr">
        <is>
          <t>창고시설</t>
        </is>
      </c>
      <c r="AB508" s="3" t="inlineStr">
        <is>
          <t>-</t>
        </is>
      </c>
      <c r="AC508" s="3" t="inlineStr">
        <is>
          <t>1979</t>
        </is>
      </c>
      <c r="AD508" s="3" t="inlineStr">
        <is>
          <t>세로한면(가)</t>
        </is>
      </c>
    </row>
    <row r="509">
      <c r="A509" s="3" t="inlineStr">
        <is>
          <t>오송읍 궁평리 308-4</t>
        </is>
      </c>
      <c r="B509" s="3" t="inlineStr">
        <is>
          <t>농림지역</t>
        </is>
      </c>
      <c r="C509" s="3" t="inlineStr">
        <is>
          <t>창고용지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100</v>
      </c>
      <c r="H509" s="4" t="n">
        <v>506</v>
      </c>
      <c r="I509" s="4" t="n">
        <v>153</v>
      </c>
      <c r="J509" s="5" t="n">
        <v>0.7</v>
      </c>
      <c r="K509" s="4" t="n">
        <v>100</v>
      </c>
      <c r="L509" s="4" t="n">
        <v>30</v>
      </c>
      <c r="M509" s="5" t="n">
        <v>3.3</v>
      </c>
      <c r="N509" s="3" t="inlineStr">
        <is>
          <t>1</t>
        </is>
      </c>
      <c r="O509" s="3" t="inlineStr">
        <is>
          <t>-</t>
        </is>
      </c>
      <c r="P509" s="3" t="inlineStr">
        <is>
          <t>오송역청주IC 인근 농업용창고 임대  농업용물류용 적합</t>
        </is>
      </c>
      <c r="Q509" s="6">
        <f>HYPERLINK("https://fin.land.naver.com/articles/2651828475", "매물Link")</f>
        <v/>
      </c>
      <c r="R509" s="6">
        <f>HYPERLINK("https://map.naver.com/p/search/오송읍 궁평리 308-4", "지도Link")</f>
        <v/>
      </c>
      <c r="S509" s="6">
        <f>HYPERLINK("http://www.eum.go.kr/web/ar/lu/luLandDet.jsp?pnu=4311325027103080004&amp;isNoScr=script&amp;mode=search", "토지이음")</f>
        <v/>
      </c>
      <c r="T509" s="3" t="inlineStr">
        <is>
          <t>오송시티</t>
        </is>
      </c>
      <c r="U509" s="4" t="n">
        <v>1</v>
      </c>
      <c r="V509" s="5" t="n">
        <v>41.8</v>
      </c>
      <c r="W509" s="4" t="n">
        <v>506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6.1m</t>
        </is>
      </c>
      <c r="AC509" s="3" t="inlineStr">
        <is>
          <t>2022-12</t>
        </is>
      </c>
      <c r="AD509" s="3" t="inlineStr">
        <is>
          <t>세로한면(가)</t>
        </is>
      </c>
    </row>
    <row r="510">
      <c r="A510" s="3" t="inlineStr">
        <is>
          <t>오송읍 만수리 301-4</t>
        </is>
      </c>
      <c r="B510" s="3" t="inlineStr">
        <is>
          <t>농림지역</t>
        </is>
      </c>
      <c r="C510" s="3" t="inlineStr">
        <is>
          <t>창고용지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2000</v>
      </c>
      <c r="G510" s="4" t="n">
        <v>150</v>
      </c>
      <c r="H510" s="4" t="n">
        <v>733</v>
      </c>
      <c r="I510" s="4" t="n">
        <v>222</v>
      </c>
      <c r="J510" s="5" t="n">
        <v>0.7</v>
      </c>
      <c r="K510" s="4" t="n">
        <v>160</v>
      </c>
      <c r="L510" s="4" t="n">
        <v>48</v>
      </c>
      <c r="M510" s="5" t="n">
        <v>3.1</v>
      </c>
      <c r="N510" s="3" t="inlineStr">
        <is>
          <t>1</t>
        </is>
      </c>
      <c r="O510" s="3" t="inlineStr">
        <is>
          <t>-</t>
        </is>
      </c>
      <c r="P510" s="3" t="inlineStr">
        <is>
          <t>대형 차량 진출입 가능하며,마당에 적재 가능한 창고,즉시사용가능</t>
        </is>
      </c>
      <c r="Q510" s="6">
        <f>HYPERLINK("https://fin.land.naver.com/articles/2654522835", "매물Link")</f>
        <v/>
      </c>
      <c r="R510" s="6">
        <f>HYPERLINK("https://map.naver.com/p/search/오송읍 만수리 301-4", "지도Link")</f>
        <v/>
      </c>
      <c r="S510" s="6">
        <f>HYPERLINK("http://www.eum.go.kr/web/ar/lu/luLandDet.jsp?pnu=4311325025103010004&amp;isNoScr=script&amp;mode=search", "토지이음")</f>
        <v/>
      </c>
      <c r="T510" s="3" t="inlineStr">
        <is>
          <t>오송2단지창조</t>
        </is>
      </c>
      <c r="U510" s="4" t="n">
        <v>1</v>
      </c>
      <c r="V510" s="5" t="n">
        <v>113.4</v>
      </c>
      <c r="W510" s="4" t="n">
        <v>733</v>
      </c>
      <c r="X510" s="3" t="inlineStr">
        <is>
          <t>1동</t>
        </is>
      </c>
      <c r="Y510" s="7" t="inlineStr">
        <is>
          <t>1층</t>
        </is>
      </c>
      <c r="Z510" s="3" t="inlineStr">
        <is>
          <t>경량철골구조</t>
        </is>
      </c>
      <c r="AA510" s="3" t="inlineStr">
        <is>
          <t>창고시설</t>
        </is>
      </c>
      <c r="AB510" s="3" t="inlineStr">
        <is>
          <t>5.0m</t>
        </is>
      </c>
      <c r="AC510" s="3" t="inlineStr">
        <is>
          <t>2005-12</t>
        </is>
      </c>
      <c r="AD510" s="3" t="inlineStr">
        <is>
          <t>소로각지</t>
        </is>
      </c>
    </row>
    <row r="511">
      <c r="A511" s="3" t="inlineStr">
        <is>
          <t>오송읍 쌍청리 108-11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140000</v>
      </c>
      <c r="G511" s="4" t="n">
        <v>0</v>
      </c>
      <c r="H511" s="4" t="n">
        <v>2382</v>
      </c>
      <c r="I511" s="4" t="n">
        <v>721</v>
      </c>
      <c r="J511" s="5" t="n">
        <v>194.2</v>
      </c>
      <c r="K511" s="4" t="n">
        <v>696</v>
      </c>
      <c r="L511" s="4" t="n">
        <v>211</v>
      </c>
      <c r="M511" s="5" t="n">
        <v>663.5</v>
      </c>
      <c r="N511" s="3" t="inlineStr">
        <is>
          <t>1</t>
        </is>
      </c>
      <c r="O511" s="3" t="inlineStr">
        <is>
          <t>B1</t>
        </is>
      </c>
      <c r="P511" s="3" t="inlineStr">
        <is>
          <t>진입로6미터도로.주택,빌라,연립주택적합,투자적지</t>
        </is>
      </c>
      <c r="Q511" s="6">
        <f>HYPERLINK("https://fin.land.naver.com/articles/2655122271", "매물Link")</f>
        <v/>
      </c>
      <c r="R511" s="6">
        <f>HYPERLINK("https://map.naver.com/p/search/오송읍 쌍청리 108-11", "지도Link")</f>
        <v/>
      </c>
      <c r="S511" s="6">
        <f>HYPERLINK("http://www.eum.go.kr/web/ar/lu/luLandDet.jsp?pnu=4311325024101080011&amp;isNoScr=script&amp;mode=search", "토지이음")</f>
        <v/>
      </c>
      <c r="T511" s="3" t="inlineStr">
        <is>
          <t>이박사</t>
        </is>
      </c>
      <c r="U511" s="4" t="n">
        <v>1</v>
      </c>
      <c r="V511" s="5" t="n">
        <v>70.09999999999999</v>
      </c>
      <c r="W511" s="4" t="n">
        <v>68</v>
      </c>
      <c r="X511" s="3" t="inlineStr">
        <is>
          <t>대장없음</t>
        </is>
      </c>
      <c r="Y511" s="7" t="inlineStr">
        <is>
          <t>대장없음</t>
        </is>
      </c>
      <c r="Z511" s="3" t="inlineStr">
        <is>
          <t>대장없음</t>
        </is>
      </c>
      <c r="AA511" s="3" t="inlineStr">
        <is>
          <t>대장없음</t>
        </is>
      </c>
      <c r="AB511" s="3" t="inlineStr">
        <is>
          <t>대장없음</t>
        </is>
      </c>
      <c r="AC511" s="3" t="inlineStr">
        <is>
          <t>대장없음</t>
        </is>
      </c>
      <c r="AD511" s="3" t="inlineStr">
        <is>
          <t>세로한면(가)</t>
        </is>
      </c>
    </row>
    <row r="512">
      <c r="A512" s="3" t="inlineStr">
        <is>
          <t>오송읍 쌍청리 131-6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공장</t>
        </is>
      </c>
      <c r="E512" s="3" t="inlineStr">
        <is>
          <t>매매</t>
        </is>
      </c>
      <c r="F512" s="4" t="n">
        <v>129600</v>
      </c>
      <c r="G512" s="4" t="n">
        <v>0</v>
      </c>
      <c r="H512" s="4" t="n">
        <v>2382</v>
      </c>
      <c r="I512" s="4" t="n">
        <v>721</v>
      </c>
      <c r="J512" s="5" t="n">
        <v>179.8</v>
      </c>
      <c r="K512" s="4" t="n">
        <v>7301</v>
      </c>
      <c r="L512" s="4" t="n">
        <v>2209</v>
      </c>
      <c r="M512" s="5" t="n">
        <v>58.7</v>
      </c>
      <c r="N512" s="3" t="inlineStr">
        <is>
          <t>1</t>
        </is>
      </c>
      <c r="O512" s="3" t="inlineStr">
        <is>
          <t>-</t>
        </is>
      </c>
      <c r="P512" s="3" t="inlineStr">
        <is>
          <t>오송 쌍청리 폐 공장 매매</t>
        </is>
      </c>
      <c r="Q512" s="6">
        <f>HYPERLINK("https://fin.land.naver.com/articles/2652510813", "매물Link")</f>
        <v/>
      </c>
      <c r="R512" s="6">
        <f>HYPERLINK("https://map.naver.com/p/search/오송읍 쌍청리 131-6", "지도Link")</f>
        <v/>
      </c>
      <c r="S512" s="6">
        <f>HYPERLINK("http://www.eum.go.kr/web/ar/lu/luLandDet.jsp?pnu=4311325024101310006&amp;isNoScr=script&amp;mode=search", "토지이음")</f>
        <v/>
      </c>
      <c r="T512" s="3" t="inlineStr">
        <is>
          <t>365</t>
        </is>
      </c>
      <c r="U512" s="4" t="n">
        <v>1</v>
      </c>
      <c r="V512" s="5" t="n">
        <v>70.09999999999999</v>
      </c>
      <c r="W512" s="4" t="n">
        <v>1458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벽돌구조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1991-05</t>
        </is>
      </c>
      <c r="AD512" s="3" t="inlineStr">
        <is>
          <t>세로한면(가)</t>
        </is>
      </c>
    </row>
    <row r="513">
      <c r="A513" s="3" t="inlineStr">
        <is>
          <t>오송읍 연제리 610-1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200000</v>
      </c>
      <c r="G513" s="4" t="n">
        <v>0</v>
      </c>
      <c r="H513" s="4" t="n">
        <v>2307</v>
      </c>
      <c r="I513" s="4" t="n">
        <v>698</v>
      </c>
      <c r="J513" s="5" t="n">
        <v>286.5</v>
      </c>
      <c r="K513" s="4" t="n">
        <v>410</v>
      </c>
      <c r="L513" s="4" t="n">
        <v>124</v>
      </c>
      <c r="M513" s="5" t="n">
        <v>1612.9</v>
      </c>
      <c r="N513" s="3" t="inlineStr">
        <is>
          <t>1</t>
        </is>
      </c>
      <c r="O513" s="3" t="inlineStr">
        <is>
          <t>-</t>
        </is>
      </c>
      <c r="P513" s="3" t="inlineStr">
        <is>
          <t>오송역인근 산업단지의 층고 10m. 증축 가능한 야드 넓은 공장매매</t>
        </is>
      </c>
      <c r="Q513" s="6">
        <f>HYPERLINK("https://fin.land.naver.com/articles/2652356580", "매물Link")</f>
        <v/>
      </c>
      <c r="R513" s="6">
        <f>HYPERLINK("https://map.naver.com/p/search/오송읍 연제리 610-1", "지도Link")</f>
        <v/>
      </c>
      <c r="S513" s="6">
        <f>HYPERLINK("http://www.eum.go.kr/web/ar/lu/luLandDet.jsp?pnu=4311325026106100001&amp;isNoScr=script&amp;mode=search",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70.3</v>
      </c>
      <c r="W513" s="4" t="n">
        <v>2307.9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10.15m</t>
        </is>
      </c>
      <c r="AC513" s="3" t="inlineStr">
        <is>
          <t>2013-10</t>
        </is>
      </c>
      <c r="AD513" s="3" t="inlineStr">
        <is>
          <t>중로한면</t>
        </is>
      </c>
    </row>
    <row r="514">
      <c r="A514" s="3" t="inlineStr">
        <is>
          <t>오송읍 연제리 610-1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199000</v>
      </c>
      <c r="G514" s="4" t="n">
        <v>0</v>
      </c>
      <c r="H514" s="4" t="n">
        <v>2307</v>
      </c>
      <c r="I514" s="4" t="n">
        <v>698</v>
      </c>
      <c r="J514" s="5" t="n">
        <v>285.1</v>
      </c>
      <c r="K514" s="4" t="n">
        <v>410</v>
      </c>
      <c r="L514" s="4" t="n">
        <v>124</v>
      </c>
      <c r="M514" s="5" t="n">
        <v>1604.8</v>
      </c>
      <c r="N514" s="3" t="inlineStr">
        <is>
          <t>1</t>
        </is>
      </c>
      <c r="O514" s="3" t="inlineStr">
        <is>
          <t>-</t>
        </is>
      </c>
      <c r="P514" s="3" t="inlineStr">
        <is>
          <t>오송제1생명과학단지내 저렴한 공장 급매</t>
        </is>
      </c>
      <c r="Q514" s="6">
        <f>HYPERLINK("https://fin.land.naver.com/articles/2654665741", "매물Link")</f>
        <v/>
      </c>
      <c r="R514" s="6">
        <f>HYPERLINK("https://map.naver.com/p/search/오송읍 연제리 610-1", "지도Link")</f>
        <v/>
      </c>
      <c r="S514" s="6">
        <f>HYPERLINK("http://www.eum.go.kr/web/ar/lu/luLandDet.jsp?pnu=4311325026106100001&amp;isNoScr=script&amp;mode=search", "토지이음")</f>
        <v/>
      </c>
      <c r="T514" s="3" t="inlineStr">
        <is>
          <t>청담</t>
        </is>
      </c>
      <c r="U514" s="4" t="n">
        <v>2</v>
      </c>
      <c r="V514" s="5" t="n">
        <v>70.3</v>
      </c>
      <c r="W514" s="4" t="n">
        <v>2307.9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10.15m</t>
        </is>
      </c>
      <c r="AC514" s="3" t="inlineStr">
        <is>
          <t>2013-10</t>
        </is>
      </c>
      <c r="AD514" s="3" t="inlineStr">
        <is>
          <t>중로한면</t>
        </is>
      </c>
    </row>
    <row r="515">
      <c r="A515" s="3" t="inlineStr">
        <is>
          <t>오송읍 연제리 610-2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550000</v>
      </c>
      <c r="G515" s="4" t="n">
        <v>0</v>
      </c>
      <c r="H515" s="4" t="n">
        <v>6481</v>
      </c>
      <c r="I515" s="4" t="n">
        <v>1961</v>
      </c>
      <c r="J515" s="5" t="n">
        <v>280.5</v>
      </c>
      <c r="K515" s="4" t="n">
        <v>996</v>
      </c>
      <c r="L515" s="4" t="n">
        <v>301</v>
      </c>
      <c r="M515" s="5" t="n">
        <v>1827.2</v>
      </c>
      <c r="N515" s="3" t="inlineStr">
        <is>
          <t>1</t>
        </is>
      </c>
      <c r="O515" s="3" t="inlineStr">
        <is>
          <t>-</t>
        </is>
      </c>
      <c r="P515" s="3" t="inlineStr">
        <is>
          <t>옥산IC인근, 화학코드, 화장품, 바이오, 첨단업종 가능, 야드 넓음</t>
        </is>
      </c>
      <c r="Q515" s="6">
        <f>HYPERLINK("https://fin.land.naver.com/articles/2654968959", "매물Link")</f>
        <v/>
      </c>
      <c r="R515" s="6">
        <f>HYPERLINK("https://map.naver.com/p/search/오송읍 연제리 610-2", "지도Link")</f>
        <v/>
      </c>
      <c r="S515" s="6">
        <f>HYPERLINK("http://www.eum.go.kr/web/ar/lu/luLandDet.jsp?pnu=4311325026106100002&amp;isNoScr=script&amp;mode=search",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70.40000000000001</v>
      </c>
      <c r="W515" s="4" t="n">
        <v>2165.9</v>
      </c>
      <c r="X515" s="3" t="inlineStr">
        <is>
          <t>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10.15m</t>
        </is>
      </c>
      <c r="AC515" s="3" t="inlineStr">
        <is>
          <t>2016-11</t>
        </is>
      </c>
      <c r="AD515" s="3" t="inlineStr">
        <is>
          <t>중로각지</t>
        </is>
      </c>
    </row>
    <row r="516">
      <c r="A516" s="3" t="inlineStr">
        <is>
          <t>오송읍 오송리 242-18</t>
        </is>
      </c>
      <c r="B516" s="3" t="inlineStr">
        <is>
          <t>계획관리지역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10000</v>
      </c>
      <c r="G516" s="4" t="n">
        <v>1500</v>
      </c>
      <c r="H516" s="4" t="n">
        <v>1807</v>
      </c>
      <c r="I516" s="4" t="n">
        <v>547</v>
      </c>
      <c r="J516" s="5" t="n">
        <v>2.7</v>
      </c>
      <c r="K516" s="4" t="n">
        <v>825</v>
      </c>
      <c r="L516" s="4" t="n">
        <v>250</v>
      </c>
      <c r="M516" s="5" t="n">
        <v>6</v>
      </c>
      <c r="N516" s="3" t="inlineStr">
        <is>
          <t>2</t>
        </is>
      </c>
      <c r="O516" s="3" t="inlineStr">
        <is>
          <t>-</t>
        </is>
      </c>
      <c r="P516" s="3" t="inlineStr">
        <is>
          <t>건물1층206형 2층 44형 대지1180형 택배하던자리</t>
        </is>
      </c>
      <c r="Q516" s="6">
        <f>HYPERLINK("https://fin.land.naver.com/articles/2655369344", "매물Link")</f>
        <v/>
      </c>
      <c r="R516" s="6">
        <f>HYPERLINK("https://map.naver.com/p/search/오송읍 오송리 242-18", "지도Link")</f>
        <v/>
      </c>
      <c r="S516" s="6">
        <f>HYPERLINK("http://www.eum.go.kr/web/ar/lu/luLandDet.jsp?pnu=4311325028102420018&amp;isNoScr=script&amp;mode=search", "토지이음")</f>
        <v/>
      </c>
      <c r="T516" s="3" t="inlineStr">
        <is>
          <t>위더스</t>
        </is>
      </c>
      <c r="U516" s="4" t="n">
        <v>1</v>
      </c>
      <c r="V516" s="5" t="n">
        <v>129.4</v>
      </c>
      <c r="W516" s="4" t="n">
        <v>1807</v>
      </c>
      <c r="X516" s="3" t="inlineStr">
        <is>
          <t>미표기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9.2m</t>
        </is>
      </c>
      <c r="AC516" s="3" t="inlineStr">
        <is>
          <t>2013-08</t>
        </is>
      </c>
      <c r="AD516" s="3" t="inlineStr">
        <is>
          <t>세로한면(가)</t>
        </is>
      </c>
    </row>
    <row r="517">
      <c r="A517" s="3" t="inlineStr">
        <is>
          <t>오송읍 오송리 242-18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</t>
        </is>
      </c>
      <c r="E517" s="3" t="inlineStr">
        <is>
          <t>월세</t>
        </is>
      </c>
      <c r="F517" s="4" t="n">
        <v>10000</v>
      </c>
      <c r="G517" s="4" t="n">
        <v>1500</v>
      </c>
      <c r="H517" s="4" t="n">
        <v>3888</v>
      </c>
      <c r="I517" s="4" t="n">
        <v>1176</v>
      </c>
      <c r="J517" s="5" t="n">
        <v>1.3</v>
      </c>
      <c r="K517" s="4" t="n">
        <v>825</v>
      </c>
      <c r="L517" s="4" t="n">
        <v>250</v>
      </c>
      <c r="M517" s="5" t="n">
        <v>6</v>
      </c>
      <c r="N517" s="3" t="inlineStr">
        <is>
          <t>2</t>
        </is>
      </c>
      <c r="O517" s="3" t="inlineStr">
        <is>
          <t>-</t>
        </is>
      </c>
      <c r="P517" s="3" t="inlineStr">
        <is>
          <t>오송생명과학단지 인근 대형 야드 완비된 물류창고 임대</t>
        </is>
      </c>
      <c r="Q517" s="6">
        <f>HYPERLINK("https://fin.land.naver.com/articles/2654666558", "매물Link")</f>
        <v/>
      </c>
      <c r="R517" s="6">
        <f>HYPERLINK("https://map.naver.com/p/search/오송읍 오송리 242-18", "지도Link")</f>
        <v/>
      </c>
      <c r="S517" s="6">
        <f>HYPERLINK("http://www.eum.go.kr/web/ar/lu/luLandDet.jsp?pnu=4311325028102420018&amp;isNoScr=script&amp;mode=search",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129.4</v>
      </c>
      <c r="W517" s="4" t="n">
        <v>1807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창고시설</t>
        </is>
      </c>
      <c r="AB517" s="3" t="inlineStr">
        <is>
          <t>9.2m</t>
        </is>
      </c>
      <c r="AC517" s="3" t="inlineStr">
        <is>
          <t>2013-08</t>
        </is>
      </c>
      <c r="AD517" s="3" t="inlineStr">
        <is>
          <t>세로한면(가)</t>
        </is>
      </c>
    </row>
    <row r="518">
      <c r="A518" s="3" t="inlineStr">
        <is>
          <t>오송읍 오송리 246-45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3000</v>
      </c>
      <c r="G518" s="4" t="n">
        <v>250</v>
      </c>
      <c r="H518" s="4" t="n">
        <v>1739</v>
      </c>
      <c r="I518" s="4" t="n">
        <v>526</v>
      </c>
      <c r="J518" s="5" t="n">
        <v>0.5</v>
      </c>
      <c r="K518" s="4" t="n">
        <v>440</v>
      </c>
      <c r="L518" s="4" t="n">
        <v>133</v>
      </c>
      <c r="M518" s="5" t="n">
        <v>1.9</v>
      </c>
      <c r="N518" s="3" t="inlineStr">
        <is>
          <t>1</t>
        </is>
      </c>
      <c r="O518" s="3" t="inlineStr">
        <is>
          <t>B1</t>
        </is>
      </c>
      <c r="P518" s="3" t="inlineStr">
        <is>
          <t>공장, 창고 l 교통 편리 l 6개동 일괄 임대</t>
        </is>
      </c>
      <c r="Q518" s="6">
        <f>HYPERLINK("https://fin.land.naver.com/articles/2650437203", "매물Link")</f>
        <v/>
      </c>
      <c r="R518" s="6">
        <f>HYPERLINK("https://map.naver.com/p/search/오송읍 오송리 246-45", "지도Link")</f>
        <v/>
      </c>
      <c r="S518" s="6">
        <f>HYPERLINK("http://www.eum.go.kr/web/ar/lu/luLandDet.jsp?pnu=4311325028102460045&amp;isNoScr=script&amp;mode=search", "토지이음")</f>
        <v/>
      </c>
      <c r="T518" s="3" t="inlineStr">
        <is>
          <t>에이스</t>
        </is>
      </c>
      <c r="U518" s="4" t="n">
        <v>1</v>
      </c>
      <c r="V518" s="5" t="n">
        <v>152.1</v>
      </c>
      <c r="W518" s="4" t="n">
        <v>1739</v>
      </c>
      <c r="X518" s="3" t="inlineStr">
        <is>
          <t>미표기</t>
        </is>
      </c>
      <c r="Y518" s="7" t="inlineStr">
        <is>
          <t>2층</t>
        </is>
      </c>
      <c r="Z518" s="3" t="inlineStr">
        <is>
          <t>벽돌구조</t>
        </is>
      </c>
      <c r="AA518" s="3" t="inlineStr">
        <is>
          <t>공장</t>
        </is>
      </c>
      <c r="AB518" s="3" t="inlineStr">
        <is>
          <t>-</t>
        </is>
      </c>
      <c r="AC518" s="3" t="inlineStr">
        <is>
          <t>1980</t>
        </is>
      </c>
      <c r="AD518" s="3" t="inlineStr">
        <is>
          <t>세로한면(가)</t>
        </is>
      </c>
    </row>
    <row r="519">
      <c r="A519" s="3" t="inlineStr">
        <is>
          <t>오송읍 오송리 246-51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월세</t>
        </is>
      </c>
      <c r="F519" s="4" t="n">
        <v>3000</v>
      </c>
      <c r="G519" s="4" t="n">
        <v>180</v>
      </c>
      <c r="H519" s="4" t="n">
        <v>1524</v>
      </c>
      <c r="I519" s="4" t="n">
        <v>461</v>
      </c>
      <c r="J519" s="5" t="n">
        <v>0.4</v>
      </c>
      <c r="K519" s="4" t="n">
        <v>536</v>
      </c>
      <c r="L519" s="4" t="n">
        <v>162</v>
      </c>
      <c r="M519" s="5" t="n">
        <v>1.1</v>
      </c>
      <c r="N519" s="3" t="inlineStr">
        <is>
          <t>1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HYPERLINK("https://fin.land.naver.com/articles/2652689876", "매물Link")</f>
        <v/>
      </c>
      <c r="R519" s="6">
        <f>HYPERLINK("https://map.naver.com/p/search/오송읍 오송리 246-51", "지도Link")</f>
        <v/>
      </c>
      <c r="S519" s="6">
        <f>HYPERLINK("http://www.eum.go.kr/web/ar/lu/luLandDet.jsp?pnu=4311325028102460051&amp;isNoScr=script&amp;mode=search",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163.6</v>
      </c>
      <c r="W519" s="4" t="n">
        <v>1447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블록구조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1981-11</t>
        </is>
      </c>
      <c r="AD519" s="3" t="inlineStr">
        <is>
          <t>세로한면(가)</t>
        </is>
      </c>
    </row>
    <row r="520">
      <c r="A520" s="3" t="inlineStr">
        <is>
          <t>오송읍 오송리 63-8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매매</t>
        </is>
      </c>
      <c r="F520" s="4" t="n">
        <v>155000</v>
      </c>
      <c r="G520" s="4" t="n">
        <v>0</v>
      </c>
      <c r="H520" s="4" t="n">
        <v>1100</v>
      </c>
      <c r="I520" s="4" t="n">
        <v>333</v>
      </c>
      <c r="J520" s="5" t="n">
        <v>465.5</v>
      </c>
      <c r="K520" s="4" t="n">
        <v>464</v>
      </c>
      <c r="L520" s="4" t="n">
        <v>140</v>
      </c>
      <c r="M520" s="5" t="n">
        <v>1107.1</v>
      </c>
      <c r="N520" s="3" t="inlineStr">
        <is>
          <t>1</t>
        </is>
      </c>
      <c r="O520" s="3" t="inlineStr">
        <is>
          <t>-</t>
        </is>
      </c>
      <c r="P520" s="3" t="inlineStr">
        <is>
          <t>오송 역세권 위치좋은 창고시설</t>
        </is>
      </c>
      <c r="Q520" s="6">
        <f>HYPERLINK("https://fin.land.naver.com/articles/2655242951", "매물Link")</f>
        <v/>
      </c>
      <c r="R520" s="6">
        <f>HYPERLINK("https://map.naver.com/p/search/오송읍 오송리 63-8", "지도Link")</f>
        <v/>
      </c>
      <c r="S520" s="6">
        <f>HYPERLINK("http://www.eum.go.kr/web/ar/lu/luLandDet.jsp?pnu=4311325028100630008&amp;isNoScr=script&amp;mode=search", "토지이음")</f>
        <v/>
      </c>
      <c r="T520" s="3" t="inlineStr">
        <is>
          <t>동남조은집</t>
        </is>
      </c>
      <c r="U520" s="4" t="n">
        <v>1</v>
      </c>
      <c r="V520" s="5" t="n">
        <v>283.4</v>
      </c>
      <c r="W520" s="4" t="n">
        <v>1041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창고시설</t>
        </is>
      </c>
      <c r="AB520" s="3" t="inlineStr">
        <is>
          <t>7.15m</t>
        </is>
      </c>
      <c r="AC520" s="3" t="inlineStr">
        <is>
          <t>2006-09</t>
        </is>
      </c>
      <c r="AD520" s="3" t="inlineStr">
        <is>
          <t>중로각지</t>
        </is>
      </c>
    </row>
    <row r="521">
      <c r="A521" s="3" t="inlineStr">
        <is>
          <t>오송읍 정중리 317-1</t>
        </is>
      </c>
      <c r="B521" s="3" t="inlineStr">
        <is>
          <t>농림지역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500</v>
      </c>
      <c r="G521" s="4" t="n">
        <v>40</v>
      </c>
      <c r="H521" s="4" t="n">
        <v>1220</v>
      </c>
      <c r="I521" s="4" t="n">
        <v>369</v>
      </c>
      <c r="J521" s="5" t="n">
        <v>0.1</v>
      </c>
      <c r="K521" s="4" t="n">
        <v>66</v>
      </c>
      <c r="L521" s="4" t="n">
        <v>20</v>
      </c>
      <c r="M521" s="5" t="n">
        <v>2</v>
      </c>
      <c r="N521" s="3" t="inlineStr">
        <is>
          <t>1</t>
        </is>
      </c>
      <c r="O521" s="3" t="inlineStr">
        <is>
          <t>-</t>
        </is>
      </c>
      <c r="P521" s="3" t="inlineStr">
        <is>
          <t>오송KTX역 및 오송바이오2산단 인근  2차선 도로접한 창고 임대</t>
        </is>
      </c>
      <c r="Q521" s="6">
        <f>HYPERLINK("https://fin.land.naver.com/articles/2654152544", "매물Link")</f>
        <v/>
      </c>
      <c r="R521" s="6">
        <f>HYPERLINK("https://map.naver.com/p/search/오송읍 정중리 317-1", "지도Link")</f>
        <v/>
      </c>
      <c r="S521" s="6">
        <f>HYPERLINK("http://www.eum.go.kr/web/ar/lu/luLandDet.jsp?pnu=4311325032103170001&amp;isNoScr=script&amp;mode=search", "토지이음")</f>
        <v/>
      </c>
      <c r="T521" s="3" t="inlineStr">
        <is>
          <t>번영</t>
        </is>
      </c>
      <c r="U521" s="4" t="n">
        <v>1</v>
      </c>
      <c r="V521" s="5" t="n">
        <v>25.2</v>
      </c>
      <c r="W521" s="4" t="n">
        <v>237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창고시설</t>
        </is>
      </c>
      <c r="AB521" s="3" t="inlineStr">
        <is>
          <t>5.6m</t>
        </is>
      </c>
      <c r="AC521" s="3" t="inlineStr">
        <is>
          <t>2001-10</t>
        </is>
      </c>
      <c r="AD521" s="3" t="inlineStr">
        <is>
          <t>세로한면(가)</t>
        </is>
      </c>
    </row>
    <row r="522">
      <c r="A522" s="3" t="inlineStr">
        <is>
          <t>오송읍 정중리 636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400000</v>
      </c>
      <c r="G522" s="4" t="n">
        <v>0</v>
      </c>
      <c r="H522" s="4" t="n">
        <v>2000</v>
      </c>
      <c r="I522" s="4" t="n">
        <v>605</v>
      </c>
      <c r="J522" s="5" t="n">
        <v>661.2</v>
      </c>
      <c r="K522" s="4" t="n">
        <v>501</v>
      </c>
      <c r="L522" s="4" t="n">
        <v>152</v>
      </c>
      <c r="M522" s="5" t="n">
        <v>2631.6</v>
      </c>
      <c r="N522" s="3" t="inlineStr">
        <is>
          <t>1</t>
        </is>
      </c>
      <c r="O522" s="3" t="inlineStr">
        <is>
          <t>-</t>
        </is>
      </c>
      <c r="P522" s="3" t="inlineStr">
        <is>
          <t>비금속광물,금속,기계,장비,자동차,운송장비 제조업 등 첨단관련 입주가능</t>
        </is>
      </c>
      <c r="Q522" s="6">
        <f>HYPERLINK("https://fin.land.naver.com/articles/2651580202", "매물Link")</f>
        <v/>
      </c>
      <c r="R522" s="6">
        <f>HYPERLINK("https://map.naver.com/p/search/오송읍 정중리 636", "지도Link")</f>
        <v/>
      </c>
      <c r="S522" s="6">
        <f>HYPERLINK("http://www.eum.go.kr/web/ar/lu/luLandDet.jsp?pnu=4311325032106360000&amp;isNoScr=script&amp;mode=search", "토지이음")</f>
        <v/>
      </c>
      <c r="T522" s="3" t="inlineStr">
        <is>
          <t>금화랜드</t>
        </is>
      </c>
      <c r="U522" s="4" t="n">
        <v>1</v>
      </c>
      <c r="V522" s="5" t="n">
        <v>66.90000000000001</v>
      </c>
      <c r="W522" s="4" t="n">
        <v>2000.1</v>
      </c>
      <c r="X522" s="3" t="inlineStr">
        <is>
          <t>주2동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9.1m</t>
        </is>
      </c>
      <c r="AC522" s="3" t="inlineStr">
        <is>
          <t>2021-10</t>
        </is>
      </c>
      <c r="AD522" s="3" t="inlineStr">
        <is>
          <t>중로한면</t>
        </is>
      </c>
    </row>
    <row r="523">
      <c r="A523" s="3" t="inlineStr">
        <is>
          <t>오송읍 정중리 651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</v>
      </c>
      <c r="G523" s="4" t="n">
        <v>300</v>
      </c>
      <c r="H523" s="4" t="n">
        <v>16494</v>
      </c>
      <c r="I523" s="4" t="n">
        <v>4989</v>
      </c>
      <c r="J523" s="5" t="n">
        <v>0.1</v>
      </c>
      <c r="K523" s="4" t="n">
        <v>337</v>
      </c>
      <c r="L523" s="4" t="n">
        <v>102</v>
      </c>
      <c r="M523" s="5" t="n">
        <v>2.9</v>
      </c>
      <c r="N523" s="3" t="inlineStr">
        <is>
          <t>2</t>
        </is>
      </c>
      <c r="O523" s="3" t="inlineStr">
        <is>
          <t>-</t>
        </is>
      </c>
      <c r="P523" s="3" t="inlineStr">
        <is>
          <t>오송바이오폴리스지구,식품관련업종,사무실,공장 다 가능</t>
        </is>
      </c>
      <c r="Q523" s="6">
        <f>HYPERLINK("https://fin.land.naver.com/articles/2653787418", "매물Link")</f>
        <v/>
      </c>
      <c r="R523" s="6">
        <f>HYPERLINK("https://map.naver.com/p/search/오송읍 정중리 651", "지도Link")</f>
        <v/>
      </c>
      <c r="S523" s="6">
        <f>HYPERLINK("http://www.eum.go.kr/web/ar/lu/luLandDet.jsp?pnu=4311325032106510000&amp;isNoScr=script&amp;mode=search", "토지이음")</f>
        <v/>
      </c>
      <c r="T523" s="3" t="inlineStr">
        <is>
          <t>오송올래</t>
        </is>
      </c>
      <c r="U523" s="4" t="n">
        <v>1</v>
      </c>
      <c r="V523" s="5" t="n">
        <v>68.40000000000001</v>
      </c>
      <c r="W523" s="4" t="n">
        <v>16494.5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3.79m</t>
        </is>
      </c>
      <c r="AC523" s="3" t="inlineStr">
        <is>
          <t>2020-06</t>
        </is>
      </c>
      <c r="AD523" s="3" t="inlineStr">
        <is>
          <t>광대로한면</t>
        </is>
      </c>
    </row>
    <row r="524">
      <c r="A524" s="3" t="inlineStr">
        <is>
          <t>오송읍 정중리 678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18000</v>
      </c>
      <c r="G524" s="4" t="n">
        <v>1000</v>
      </c>
      <c r="H524" s="4" t="n">
        <v>2169</v>
      </c>
      <c r="I524" s="4" t="n">
        <v>656</v>
      </c>
      <c r="J524" s="5" t="n">
        <v>1.5</v>
      </c>
      <c r="K524" s="4" t="n">
        <v>999</v>
      </c>
      <c r="L524" s="4" t="n">
        <v>302</v>
      </c>
      <c r="M524" s="5" t="n">
        <v>3.3</v>
      </c>
      <c r="N524" s="3" t="inlineStr">
        <is>
          <t>2</t>
        </is>
      </c>
      <c r="O524" s="3" t="inlineStr">
        <is>
          <t>B1</t>
        </is>
      </c>
      <c r="P524" s="3" t="inlineStr">
        <is>
          <t>오송 2산업단지 대로면 접한 공장으로 의료기기 관련업종 즉시 입주 가능</t>
        </is>
      </c>
      <c r="Q524" s="6">
        <f>HYPERLINK("https://fin.land.naver.com/articles/2650797461", "매물Link")</f>
        <v/>
      </c>
      <c r="R524" s="6">
        <f>HYPERLINK("https://map.naver.com/p/search/오송읍 정중리 678", "지도Link")</f>
        <v/>
      </c>
      <c r="S524" s="6">
        <f>HYPERLINK("http://www.eum.go.kr/web/ar/lu/luLandDet.jsp?pnu=4311325032106780000&amp;isNoScr=script&amp;mode=search", "토지이음")</f>
        <v/>
      </c>
      <c r="T524" s="3" t="inlineStr">
        <is>
          <t>우리</t>
        </is>
      </c>
      <c r="U524" s="4" t="n">
        <v>1</v>
      </c>
      <c r="V524" s="5" t="n">
        <v>67.40000000000001</v>
      </c>
      <c r="W524" s="4" t="n">
        <v>2169.9</v>
      </c>
      <c r="X524" s="3" t="inlineStr">
        <is>
          <t>주건축물제1동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6.9m</t>
        </is>
      </c>
      <c r="AC524" s="3" t="inlineStr">
        <is>
          <t>2019-12</t>
        </is>
      </c>
      <c r="AD524" s="3" t="inlineStr">
        <is>
          <t>중로각지</t>
        </is>
      </c>
    </row>
    <row r="525">
      <c r="A525" s="3" t="inlineStr">
        <is>
          <t>오송읍 정중리 678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350000</v>
      </c>
      <c r="G525" s="4" t="n">
        <v>0</v>
      </c>
      <c r="H525" s="4" t="n">
        <v>2169</v>
      </c>
      <c r="I525" s="4" t="n">
        <v>656</v>
      </c>
      <c r="J525" s="5" t="n">
        <v>533.5</v>
      </c>
      <c r="K525" s="4" t="n">
        <v>999</v>
      </c>
      <c r="L525" s="4" t="n">
        <v>302</v>
      </c>
      <c r="M525" s="5" t="n">
        <v>1158.9</v>
      </c>
      <c r="N525" s="3" t="inlineStr">
        <is>
          <t>2</t>
        </is>
      </c>
      <c r="O525" s="3" t="inlineStr">
        <is>
          <t>B1</t>
        </is>
      </c>
      <c r="P525" s="3" t="inlineStr">
        <is>
          <t>오송 2산업단지 대로면 접한 공장으로 의료기기 관련업종 즉시 입주 가능</t>
        </is>
      </c>
      <c r="Q525" s="6">
        <f>HYPERLINK("https://fin.land.naver.com/articles/2650796460", "매물Link")</f>
        <v/>
      </c>
      <c r="R525" s="6">
        <f>HYPERLINK("https://map.naver.com/p/search/오송읍 정중리 678", "지도Link")</f>
        <v/>
      </c>
      <c r="S525" s="6">
        <f>HYPERLINK("http://www.eum.go.kr/web/ar/lu/luLandDet.jsp?pnu=4311325032106780000&amp;isNoScr=script&amp;mode=search", "토지이음")</f>
        <v/>
      </c>
      <c r="T525" s="3" t="inlineStr">
        <is>
          <t>우리</t>
        </is>
      </c>
      <c r="U525" s="4" t="n">
        <v>1</v>
      </c>
      <c r="V525" s="5" t="n">
        <v>67.40000000000001</v>
      </c>
      <c r="W525" s="4" t="n">
        <v>2169.9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6.9m</t>
        </is>
      </c>
      <c r="AC525" s="3" t="inlineStr">
        <is>
          <t>2019-12</t>
        </is>
      </c>
      <c r="AD525" s="3" t="inlineStr">
        <is>
          <t>중로각지</t>
        </is>
      </c>
    </row>
    <row r="526">
      <c r="A526" s="3" t="inlineStr">
        <is>
          <t>오송읍 정중리 678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350000</v>
      </c>
      <c r="G526" s="4" t="n">
        <v>0</v>
      </c>
      <c r="H526" s="4" t="n">
        <v>2169</v>
      </c>
      <c r="I526" s="4" t="n">
        <v>656</v>
      </c>
      <c r="J526" s="5" t="n">
        <v>533.5</v>
      </c>
      <c r="K526" s="4" t="n">
        <v>999</v>
      </c>
      <c r="L526" s="4" t="n">
        <v>302</v>
      </c>
      <c r="M526" s="5" t="n">
        <v>1158.9</v>
      </c>
      <c r="N526" s="3" t="inlineStr">
        <is>
          <t>2</t>
        </is>
      </c>
      <c r="O526" s="3" t="inlineStr">
        <is>
          <t>-</t>
        </is>
      </c>
      <c r="P526" s="3" t="inlineStr">
        <is>
          <t>오송2산단 의료기기업종가능 사옥형 공장으로 추천</t>
        </is>
      </c>
      <c r="Q526" s="6">
        <f>HYPERLINK("https://fin.land.naver.com/articles/2655682737", "매물Link")</f>
        <v/>
      </c>
      <c r="R526" s="6">
        <f>HYPERLINK("https://map.naver.com/p/search/오송읍 정중리 678", "지도Link")</f>
        <v/>
      </c>
      <c r="S526" s="6">
        <f>HYPERLINK("http://www.eum.go.kr/web/ar/lu/luLandDet.jsp?pnu=4311325032106780000&amp;isNoScr=script&amp;mode=search",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67.40000000000001</v>
      </c>
      <c r="W526" s="4" t="n">
        <v>2169.9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6.9m</t>
        </is>
      </c>
      <c r="AC526" s="3" t="inlineStr">
        <is>
          <t>2019-12</t>
        </is>
      </c>
      <c r="AD526" s="3" t="inlineStr">
        <is>
          <t>중로각지</t>
        </is>
      </c>
    </row>
    <row r="527">
      <c r="A527" s="3" t="inlineStr">
        <is>
          <t>오송읍 정중리 678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18000</v>
      </c>
      <c r="G527" s="4" t="n">
        <v>1000</v>
      </c>
      <c r="H527" s="4" t="n">
        <v>2169</v>
      </c>
      <c r="I527" s="4" t="n">
        <v>656</v>
      </c>
      <c r="J527" s="5" t="n">
        <v>1.5</v>
      </c>
      <c r="K527" s="4" t="n">
        <v>999</v>
      </c>
      <c r="L527" s="4" t="n">
        <v>302</v>
      </c>
      <c r="M527" s="5" t="n">
        <v>3.3</v>
      </c>
      <c r="N527" s="3" t="inlineStr">
        <is>
          <t>2</t>
        </is>
      </c>
      <c r="O527" s="3" t="inlineStr">
        <is>
          <t>-</t>
        </is>
      </c>
      <c r="P527" s="3" t="inlineStr">
        <is>
          <t>오송바이오폴리스 산업단지 사옥형 공장 임대 입주협의</t>
        </is>
      </c>
      <c r="Q527" s="6">
        <f>HYPERLINK("https://fin.land.naver.com/articles/2650873410", "매물Link")</f>
        <v/>
      </c>
      <c r="R527" s="6">
        <f>HYPERLINK("https://map.naver.com/p/search/오송읍 정중리 678", "지도Link")</f>
        <v/>
      </c>
      <c r="S527" s="6">
        <f>HYPERLINK("http://www.eum.go.kr/web/ar/lu/luLandDet.jsp?pnu=4311325032106780000&amp;isNoScr=script&amp;mode=search",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67.40000000000001</v>
      </c>
      <c r="W527" s="4" t="n">
        <v>2169.9</v>
      </c>
      <c r="X527" s="3" t="inlineStr">
        <is>
          <t>주건축물제1동</t>
        </is>
      </c>
      <c r="Y527" s="7" t="inlineStr">
        <is>
          <t>1층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6.9m</t>
        </is>
      </c>
      <c r="AC527" s="3" t="inlineStr">
        <is>
          <t>2019-12</t>
        </is>
      </c>
      <c r="AD527" s="3" t="inlineStr">
        <is>
          <t>중로각지</t>
        </is>
      </c>
    </row>
    <row r="528">
      <c r="A528" s="3" t="inlineStr">
        <is>
          <t>오송읍 정중리 678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18000</v>
      </c>
      <c r="G528" s="4" t="n">
        <v>1000</v>
      </c>
      <c r="H528" s="4" t="n">
        <v>2169</v>
      </c>
      <c r="I528" s="4" t="n">
        <v>656</v>
      </c>
      <c r="J528" s="5" t="n">
        <v>1.5</v>
      </c>
      <c r="K528" s="4" t="n">
        <v>999</v>
      </c>
      <c r="L528" s="4" t="n">
        <v>302</v>
      </c>
      <c r="M528" s="5" t="n">
        <v>3.3</v>
      </c>
      <c r="N528" s="3" t="inlineStr">
        <is>
          <t>2</t>
        </is>
      </c>
      <c r="O528" s="3" t="inlineStr">
        <is>
          <t>-</t>
        </is>
      </c>
      <c r="P528" s="3" t="inlineStr">
        <is>
          <t>산업단지 코너에 위치한 관리 잘 된 준신축급 공장</t>
        </is>
      </c>
      <c r="Q528" s="6">
        <f>HYPERLINK("https://fin.land.naver.com/articles/2650586118", "매물Link")</f>
        <v/>
      </c>
      <c r="R528" s="6">
        <f>HYPERLINK("https://map.naver.com/p/search/오송읍 정중리 678", "지도Link")</f>
        <v/>
      </c>
      <c r="S528" s="6">
        <f>HYPERLINK("http://www.eum.go.kr/web/ar/lu/luLandDet.jsp?pnu=4311325032106780000&amp;isNoScr=script&amp;mode=search", "토지이음")</f>
        <v/>
      </c>
      <c r="T528" s="3" t="inlineStr">
        <is>
          <t>(주)미르</t>
        </is>
      </c>
      <c r="U528" s="4" t="n">
        <v>1</v>
      </c>
      <c r="V528" s="5" t="n">
        <v>67.40000000000001</v>
      </c>
      <c r="W528" s="4" t="n">
        <v>2169.9</v>
      </c>
      <c r="X528" s="3" t="inlineStr">
        <is>
          <t>주건축물제1동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6.9m</t>
        </is>
      </c>
      <c r="AC528" s="3" t="inlineStr">
        <is>
          <t>2019-12</t>
        </is>
      </c>
      <c r="AD528" s="3" t="inlineStr">
        <is>
          <t>중로각지</t>
        </is>
      </c>
    </row>
    <row r="529">
      <c r="A529" s="3" t="inlineStr">
        <is>
          <t>오송읍 정중리 678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350000</v>
      </c>
      <c r="G529" s="4" t="n">
        <v>0</v>
      </c>
      <c r="H529" s="4" t="n">
        <v>2169</v>
      </c>
      <c r="I529" s="4" t="n">
        <v>656</v>
      </c>
      <c r="J529" s="5" t="n">
        <v>533.5</v>
      </c>
      <c r="K529" s="4" t="n">
        <v>592</v>
      </c>
      <c r="L529" s="4" t="n">
        <v>179</v>
      </c>
      <c r="M529" s="5" t="n">
        <v>1955.3</v>
      </c>
      <c r="N529" s="3" t="inlineStr">
        <is>
          <t>1</t>
        </is>
      </c>
      <c r="O529" s="3" t="inlineStr">
        <is>
          <t>-</t>
        </is>
      </c>
      <c r="P529" s="3" t="inlineStr">
        <is>
          <t>창고부지제공, 공장 운영하기 좋은 구조 ,연구동,공장동</t>
        </is>
      </c>
      <c r="Q529" s="6">
        <f>HYPERLINK("https://fin.land.naver.com/articles/2652141929", "매물Link")</f>
        <v/>
      </c>
      <c r="R529" s="6">
        <f>HYPERLINK("https://map.naver.com/p/search/오송읍 정중리 678", "지도Link")</f>
        <v/>
      </c>
      <c r="S529" s="6">
        <f>HYPERLINK("http://www.eum.go.kr/web/ar/lu/luLandDet.jsp?pnu=4311325032106780000&amp;isNoScr=script&amp;mode=search", "토지이음")</f>
        <v/>
      </c>
      <c r="T529" s="3" t="inlineStr">
        <is>
          <t>오송2단지창조</t>
        </is>
      </c>
      <c r="U529" s="4" t="n">
        <v>1</v>
      </c>
      <c r="V529" s="5" t="n">
        <v>67.40000000000001</v>
      </c>
      <c r="W529" s="4" t="n">
        <v>2169.9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6.9m</t>
        </is>
      </c>
      <c r="AC529" s="3" t="inlineStr">
        <is>
          <t>2019-12</t>
        </is>
      </c>
      <c r="AD529" s="3" t="inlineStr">
        <is>
          <t>중로각지</t>
        </is>
      </c>
    </row>
    <row r="530">
      <c r="A530" s="3" t="inlineStr">
        <is>
          <t>오송읍 정중리 678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18000</v>
      </c>
      <c r="G530" s="4" t="n">
        <v>1000</v>
      </c>
      <c r="H530" s="4" t="n">
        <v>2169</v>
      </c>
      <c r="I530" s="4" t="n">
        <v>656</v>
      </c>
      <c r="J530" s="5" t="n">
        <v>1.5</v>
      </c>
      <c r="K530" s="4" t="n">
        <v>592</v>
      </c>
      <c r="L530" s="4" t="n">
        <v>179</v>
      </c>
      <c r="M530" s="5" t="n">
        <v>5.6</v>
      </c>
      <c r="N530" s="3" t="inlineStr">
        <is>
          <t>1</t>
        </is>
      </c>
      <c r="O530" s="3" t="inlineStr">
        <is>
          <t>-</t>
        </is>
      </c>
      <c r="P530" s="3" t="inlineStr">
        <is>
          <t>시설이 완벽하게 갖춰져 있는 건물,공장 월세 임대 가능한 매물입니다</t>
        </is>
      </c>
      <c r="Q530" s="6">
        <f>HYPERLINK("https://fin.land.naver.com/articles/2651110067", "매물Link")</f>
        <v/>
      </c>
      <c r="R530" s="6">
        <f>HYPERLINK("https://map.naver.com/p/search/오송읍 정중리 678", "지도Link")</f>
        <v/>
      </c>
      <c r="S530" s="6">
        <f>HYPERLINK("http://www.eum.go.kr/web/ar/lu/luLandDet.jsp?pnu=4311325032106780000&amp;isNoScr=script&amp;mode=search",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67.40000000000001</v>
      </c>
      <c r="W530" s="4" t="n">
        <v>2169.9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6.9m</t>
        </is>
      </c>
      <c r="AC530" s="3" t="inlineStr">
        <is>
          <t>2019-12</t>
        </is>
      </c>
      <c r="AD530" s="3" t="inlineStr">
        <is>
          <t>중로각지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350000</v>
      </c>
      <c r="G531" s="4" t="n">
        <v>0</v>
      </c>
      <c r="H531" s="4" t="n">
        <v>2169</v>
      </c>
      <c r="I531" s="4" t="n">
        <v>656</v>
      </c>
      <c r="J531" s="5" t="n">
        <v>533.5</v>
      </c>
      <c r="K531" s="4" t="n">
        <v>999</v>
      </c>
      <c r="L531" s="4" t="n">
        <v>302</v>
      </c>
      <c r="M531" s="5" t="n">
        <v>1158.9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HYPERLINK("https://fin.land.naver.com/articles/2654295052",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6.9m</t>
        </is>
      </c>
      <c r="AC531" s="3" t="inlineStr">
        <is>
          <t>2019-12</t>
        </is>
      </c>
      <c r="AD531" s="3" t="inlineStr">
        <is>
          <t>중로각지</t>
        </is>
      </c>
    </row>
    <row r="532">
      <c r="A532" s="3" t="inlineStr">
        <is>
          <t>오송읍 정중리 718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5000000</v>
      </c>
      <c r="G532" s="4" t="n">
        <v>0</v>
      </c>
      <c r="H532" s="4" t="n">
        <v>10798</v>
      </c>
      <c r="I532" s="4" t="n">
        <v>3266</v>
      </c>
      <c r="J532" s="5" t="n">
        <v>1530.9</v>
      </c>
      <c r="K532" s="4" t="n">
        <v>14761</v>
      </c>
      <c r="L532" s="4" t="n">
        <v>4465</v>
      </c>
      <c r="M532" s="5" t="n">
        <v>1119.8</v>
      </c>
      <c r="N532" s="3" t="inlineStr">
        <is>
          <t>5</t>
        </is>
      </c>
      <c r="O532" s="3" t="inlineStr">
        <is>
          <t>-</t>
        </is>
      </c>
      <c r="P532" s="3" t="inlineStr">
        <is>
          <t>킹 사진0 규모의 경제 가시성 탁월 여기만 보임 압도적 존재감 절대적</t>
        </is>
      </c>
      <c r="Q532" s="6">
        <f>HYPERLINK("https://fin.land.naver.com/articles/2651362845", "매물Link")</f>
        <v/>
      </c>
      <c r="R532" s="6">
        <f>HYPERLINK("https://map.naver.com/p/search/오송읍 정중리 718", "지도Link")</f>
        <v/>
      </c>
      <c r="S532" s="6">
        <f>HYPERLINK("http://www.eum.go.kr/web/ar/lu/luLandDet.jsp?pnu=4311325032107180000&amp;isNoScr=script&amp;mode=search", "토지이음")</f>
        <v/>
      </c>
      <c r="T532" s="3" t="inlineStr">
        <is>
          <t>킹</t>
        </is>
      </c>
      <c r="U532" s="4" t="n">
        <v>1</v>
      </c>
      <c r="V532" s="5" t="n">
        <v>74.40000000000001</v>
      </c>
      <c r="W532" s="4" t="n">
        <v>10798.4</v>
      </c>
      <c r="X532" s="3" t="inlineStr">
        <is>
          <t>주건축물제1동</t>
        </is>
      </c>
      <c r="Y532" s="7" t="inlineStr">
        <is>
          <t>5층</t>
        </is>
      </c>
      <c r="Z532" s="3" t="inlineStr">
        <is>
          <t>철근콘크리트구조</t>
        </is>
      </c>
      <c r="AA532" s="3" t="inlineStr">
        <is>
          <t>공장</t>
        </is>
      </c>
      <c r="AB532" s="3" t="inlineStr">
        <is>
          <t>26.9m</t>
        </is>
      </c>
      <c r="AC532" s="3" t="inlineStr">
        <is>
          <t>2023-10</t>
        </is>
      </c>
      <c r="AD532" s="3" t="inlineStr">
        <is>
          <t>광대소각</t>
        </is>
      </c>
    </row>
    <row r="533">
      <c r="A533" s="3" t="inlineStr">
        <is>
          <t>오송읍 정중리 718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3000</v>
      </c>
      <c r="H533" s="4" t="n">
        <v>10798</v>
      </c>
      <c r="I533" s="4" t="n">
        <v>3266</v>
      </c>
      <c r="J533" s="5" t="n">
        <v>0.9</v>
      </c>
      <c r="K533" s="4" t="n">
        <v>2314</v>
      </c>
      <c r="L533" s="4" t="n">
        <v>700</v>
      </c>
      <c r="M533" s="5" t="n">
        <v>4.3</v>
      </c>
      <c r="N533" s="3" t="inlineStr">
        <is>
          <t>5</t>
        </is>
      </c>
      <c r="O533" s="3" t="inlineStr">
        <is>
          <t>-</t>
        </is>
      </c>
      <c r="P533" s="3" t="inlineStr">
        <is>
          <t>항온항습시설, GMP인증 시설. 신축, 1층 2층 부문임대가능</t>
        </is>
      </c>
      <c r="Q533" s="6">
        <f>HYPERLINK("https://fin.land.naver.com/articles/2653575770", "매물Link")</f>
        <v/>
      </c>
      <c r="R533" s="6">
        <f>HYPERLINK("https://map.naver.com/p/search/오송읍 정중리 718", "지도Link")</f>
        <v/>
      </c>
      <c r="S533" s="6">
        <f>HYPERLINK("http://www.eum.go.kr/web/ar/lu/luLandDet.jsp?pnu=4311325032107180000&amp;isNoScr=script&amp;mode=search",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74.40000000000001</v>
      </c>
      <c r="W533" s="4" t="n">
        <v>10798.4</v>
      </c>
      <c r="X533" s="3" t="inlineStr">
        <is>
          <t>부속건축물제1동</t>
        </is>
      </c>
      <c r="Y533" s="7" t="inlineStr">
        <is>
          <t>1층</t>
        </is>
      </c>
      <c r="Z533" s="3" t="inlineStr">
        <is>
          <t>철근콘크리트구조</t>
        </is>
      </c>
      <c r="AA533" s="3" t="inlineStr">
        <is>
          <t>공장</t>
        </is>
      </c>
      <c r="AB533" s="3" t="inlineStr">
        <is>
          <t>8.0m</t>
        </is>
      </c>
      <c r="AC533" s="3" t="inlineStr">
        <is>
          <t>2023-10</t>
        </is>
      </c>
      <c r="AD533" s="3" t="inlineStr">
        <is>
          <t>광대소각</t>
        </is>
      </c>
    </row>
    <row r="534">
      <c r="A534" s="3" t="inlineStr">
        <is>
          <t>오송읍 정중리 718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35000</v>
      </c>
      <c r="G534" s="4" t="n">
        <v>3500</v>
      </c>
      <c r="H534" s="4" t="n">
        <v>10798</v>
      </c>
      <c r="I534" s="4" t="n">
        <v>3266</v>
      </c>
      <c r="J534" s="5" t="n">
        <v>1.1</v>
      </c>
      <c r="K534" s="4" t="n">
        <v>3616</v>
      </c>
      <c r="L534" s="4" t="n">
        <v>1094</v>
      </c>
      <c r="M534" s="5" t="n">
        <v>3.2</v>
      </c>
      <c r="N534" s="3" t="inlineStr">
        <is>
          <t>5</t>
        </is>
      </c>
      <c r="O534" s="3" t="inlineStr">
        <is>
          <t>-</t>
        </is>
      </c>
      <c r="P534" s="3" t="inlineStr">
        <is>
          <t>3층,4층 공장, 창고 임대.전층공조시설완비,바닥 콘크리트마감, 신축</t>
        </is>
      </c>
      <c r="Q534" s="6">
        <f>HYPERLINK("https://fin.land.naver.com/articles/2653996482", "매물Link")</f>
        <v/>
      </c>
      <c r="R534" s="6">
        <f>HYPERLINK("https://map.naver.com/p/search/오송읍 정중리 718", "지도Link")</f>
        <v/>
      </c>
      <c r="S534" s="6">
        <f>HYPERLINK("http://www.eum.go.kr/web/ar/lu/luLandDet.jsp?pnu=4311325032107180000&amp;isNoScr=script&amp;mode=search",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74.40000000000001</v>
      </c>
      <c r="W534" s="4" t="n">
        <v>10798.4</v>
      </c>
      <c r="X534" s="3" t="inlineStr">
        <is>
          <t>부속건축물제1동</t>
        </is>
      </c>
      <c r="Y534" s="7" t="inlineStr">
        <is>
          <t>1층</t>
        </is>
      </c>
      <c r="Z534" s="3" t="inlineStr">
        <is>
          <t>철근콘크리트구조</t>
        </is>
      </c>
      <c r="AA534" s="3" t="inlineStr">
        <is>
          <t>공장</t>
        </is>
      </c>
      <c r="AB534" s="3" t="inlineStr">
        <is>
          <t>8.0m</t>
        </is>
      </c>
      <c r="AC534" s="3" t="inlineStr">
        <is>
          <t>2023-10</t>
        </is>
      </c>
      <c r="AD534" s="3" t="inlineStr">
        <is>
          <t>광대소각</t>
        </is>
      </c>
    </row>
    <row r="535">
      <c r="A535" s="3" t="inlineStr">
        <is>
          <t>오송읍 정중리 718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월세</t>
        </is>
      </c>
      <c r="F535" s="4" t="n">
        <v>100000</v>
      </c>
      <c r="G535" s="4" t="n">
        <v>10000</v>
      </c>
      <c r="H535" s="4" t="n">
        <v>10798</v>
      </c>
      <c r="I535" s="4" t="n">
        <v>3266</v>
      </c>
      <c r="J535" s="5" t="n">
        <v>3.1</v>
      </c>
      <c r="K535" s="4" t="n">
        <v>15064</v>
      </c>
      <c r="L535" s="4" t="n">
        <v>4557</v>
      </c>
      <c r="M535" s="5" t="n">
        <v>2.2</v>
      </c>
      <c r="N535" s="3" t="inlineStr">
        <is>
          <t>5</t>
        </is>
      </c>
      <c r="O535" s="3" t="inlineStr">
        <is>
          <t>-</t>
        </is>
      </c>
      <c r="P535" s="3" t="inlineStr">
        <is>
          <t>분할 임대 가능,크린룸,폐수처리,위험물저장소,화물엘베 설치된 신축급 공장</t>
        </is>
      </c>
      <c r="Q535" s="6">
        <f>HYPERLINK("https://fin.land.naver.com/articles/2653681274", "매물Link")</f>
        <v/>
      </c>
      <c r="R535" s="6">
        <f>HYPERLINK("https://map.naver.com/p/search/오송읍 정중리 718", "지도Link")</f>
        <v/>
      </c>
      <c r="S535" s="6">
        <f>HYPERLINK("http://www.eum.go.kr/web/ar/lu/luLandDet.jsp?pnu=4311325032107180000&amp;isNoScr=script&amp;mode=search", "토지이음")</f>
        <v/>
      </c>
      <c r="T535" s="3" t="inlineStr">
        <is>
          <t>금화랜드</t>
        </is>
      </c>
      <c r="U535" s="4" t="n">
        <v>2</v>
      </c>
      <c r="V535" s="5" t="n">
        <v>74.40000000000001</v>
      </c>
      <c r="W535" s="4" t="n">
        <v>10798.4</v>
      </c>
      <c r="X535" s="3" t="inlineStr">
        <is>
          <t>주건축물제1동</t>
        </is>
      </c>
      <c r="Y535" s="7" t="inlineStr">
        <is>
          <t>5층</t>
        </is>
      </c>
      <c r="Z535" s="3" t="inlineStr">
        <is>
          <t>철근콘크리트구조</t>
        </is>
      </c>
      <c r="AA535" s="3" t="inlineStr">
        <is>
          <t>공장</t>
        </is>
      </c>
      <c r="AB535" s="3" t="inlineStr">
        <is>
          <t>26.9m</t>
        </is>
      </c>
      <c r="AC535" s="3" t="inlineStr">
        <is>
          <t>2023-10</t>
        </is>
      </c>
      <c r="AD535" s="3" t="inlineStr">
        <is>
          <t>광대소각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5000000</v>
      </c>
      <c r="G536" s="4" t="n">
        <v>0</v>
      </c>
      <c r="H536" s="4" t="n">
        <v>10798</v>
      </c>
      <c r="I536" s="4" t="n">
        <v>3266</v>
      </c>
      <c r="J536" s="5" t="n">
        <v>1530.9</v>
      </c>
      <c r="K536" s="4" t="n">
        <v>14761</v>
      </c>
      <c r="L536" s="4" t="n">
        <v>4465</v>
      </c>
      <c r="M536" s="5" t="n">
        <v>1119.8</v>
      </c>
      <c r="N536" s="3" t="inlineStr">
        <is>
          <t>5</t>
        </is>
      </c>
      <c r="O536" s="3" t="inlineStr">
        <is>
          <t>-</t>
        </is>
      </c>
      <c r="P536" s="3" t="inlineStr">
        <is>
          <t>청주ic 오송ktx 10분이내 오송산업단지공장 화학업종 가능</t>
        </is>
      </c>
      <c r="Q536" s="6">
        <f>HYPERLINK("https://fin.land.naver.com/articles/2654807124",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주건축물제1동</t>
        </is>
      </c>
      <c r="Y536" s="7" t="inlineStr">
        <is>
          <t>5층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26.9m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35000</v>
      </c>
      <c r="G537" s="4" t="n">
        <v>3500</v>
      </c>
      <c r="H537" s="4" t="n">
        <v>10798</v>
      </c>
      <c r="I537" s="4" t="n">
        <v>3266</v>
      </c>
      <c r="J537" s="5" t="n">
        <v>1.1</v>
      </c>
      <c r="K537" s="4" t="n">
        <v>3616</v>
      </c>
      <c r="L537" s="4" t="n">
        <v>1094</v>
      </c>
      <c r="M537" s="5" t="n">
        <v>3.2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HYPERLINK("https://fin.land.naver.com/articles/2654797161",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부속건축물제1동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8.0m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100000</v>
      </c>
      <c r="G538" s="4" t="n">
        <v>10000</v>
      </c>
      <c r="H538" s="4" t="n">
        <v>10798</v>
      </c>
      <c r="I538" s="4" t="n">
        <v>3266</v>
      </c>
      <c r="J538" s="5" t="n">
        <v>3.1</v>
      </c>
      <c r="K538" s="4" t="n">
        <v>15064</v>
      </c>
      <c r="L538" s="4" t="n">
        <v>4557</v>
      </c>
      <c r="M538" s="5" t="n">
        <v>2.2</v>
      </c>
      <c r="N538" s="3" t="inlineStr">
        <is>
          <t>5</t>
        </is>
      </c>
      <c r="O538" s="3" t="inlineStr">
        <is>
          <t>-</t>
        </is>
      </c>
      <c r="P538" s="3" t="inlineStr">
        <is>
          <t>오송산업단지 공장  오송역 ,청주ic 10분이내  분할 임대가능</t>
        </is>
      </c>
      <c r="Q538" s="6">
        <f>HYPERLINK("https://fin.land.naver.com/articles/2654798106",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주건축물제1동</t>
        </is>
      </c>
      <c r="Y538" s="7" t="inlineStr">
        <is>
          <t>5층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26.9m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HYPERLINK("https://fin.land.naver.com/articles/2650398819",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5000000</v>
      </c>
      <c r="G540" s="4" t="n">
        <v>0</v>
      </c>
      <c r="H540" s="4" t="n">
        <v>10798</v>
      </c>
      <c r="I540" s="4" t="n">
        <v>3266</v>
      </c>
      <c r="J540" s="5" t="n">
        <v>1530.9</v>
      </c>
      <c r="K540" s="4" t="n">
        <v>15064</v>
      </c>
      <c r="L540" s="4" t="n">
        <v>4557</v>
      </c>
      <c r="M540" s="5" t="n">
        <v>1097.2</v>
      </c>
      <c r="N540" s="3" t="inlineStr">
        <is>
          <t>5</t>
        </is>
      </c>
      <c r="O540" s="3" t="inlineStr">
        <is>
          <t>-</t>
        </is>
      </c>
      <c r="P540" s="3" t="inlineStr">
        <is>
          <t>화학,의료,의학,화장품 업종 입주가능,크린룸,폐수처리,위험물저장소 설치됨</t>
        </is>
      </c>
      <c r="Q540" s="6">
        <f>HYPERLINK("https://fin.land.naver.com/articles/2655233555",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금화랜드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주건축물제1동</t>
        </is>
      </c>
      <c r="Y540" s="7" t="inlineStr">
        <is>
          <t>5층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26.9m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797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1150000</v>
      </c>
      <c r="G541" s="4" t="n">
        <v>0</v>
      </c>
      <c r="H541" s="4" t="n">
        <v>5000</v>
      </c>
      <c r="I541" s="4" t="n">
        <v>1512</v>
      </c>
      <c r="J541" s="5" t="n">
        <v>760.6</v>
      </c>
      <c r="K541" s="4" t="n">
        <v>9900</v>
      </c>
      <c r="L541" s="4" t="n">
        <v>2995</v>
      </c>
      <c r="M541" s="5" t="n">
        <v>384</v>
      </c>
      <c r="N541" s="3" t="inlineStr">
        <is>
          <t>3</t>
        </is>
      </c>
      <c r="O541" s="3" t="inlineStr">
        <is>
          <t>-</t>
        </is>
      </c>
      <c r="P541" s="3" t="inlineStr">
        <is>
          <t>nan</t>
        </is>
      </c>
      <c r="Q541" s="6">
        <f>HYPERLINK("https://fin.land.naver.com/articles/2652985451", "매물Link")</f>
        <v/>
      </c>
      <c r="R541" s="6">
        <f>HYPERLINK("https://map.naver.com/p/search/오송읍 정중리 797", "지도Link")</f>
        <v/>
      </c>
      <c r="S541" s="6">
        <f>HYPERLINK("http://www.eum.go.kr/web/ar/lu/luLandDet.jsp?pnu=4311325032107970000&amp;isNoScr=script&amp;mode=search", "토지이음")</f>
        <v/>
      </c>
      <c r="T541" s="3" t="inlineStr">
        <is>
          <t>일오팔팔(주)</t>
        </is>
      </c>
      <c r="U541" s="4" t="n">
        <v>3</v>
      </c>
      <c r="V541" s="5" t="n">
        <v>72.90000000000001</v>
      </c>
      <c r="W541" s="4" t="n">
        <v>4999.8</v>
      </c>
      <c r="X541" s="3" t="inlineStr">
        <is>
          <t>주1</t>
        </is>
      </c>
      <c r="Y541" s="7" t="inlineStr">
        <is>
          <t>3층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16.68m</t>
        </is>
      </c>
      <c r="AC541" s="3" t="inlineStr">
        <is>
          <t>2019-10</t>
        </is>
      </c>
      <c r="AD541" s="3" t="inlineStr">
        <is>
          <t>광대로한면</t>
        </is>
      </c>
    </row>
    <row r="542">
      <c r="A542" s="3" t="inlineStr">
        <is>
          <t>오송읍 정중리 797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30000</v>
      </c>
      <c r="G542" s="4" t="n">
        <v>2800</v>
      </c>
      <c r="H542" s="4" t="n">
        <v>4999</v>
      </c>
      <c r="I542" s="4" t="n">
        <v>1512</v>
      </c>
      <c r="J542" s="5" t="n">
        <v>1.9</v>
      </c>
      <c r="K542" s="4" t="n">
        <v>9796</v>
      </c>
      <c r="L542" s="4" t="n">
        <v>2963</v>
      </c>
      <c r="M542" s="5" t="n">
        <v>0.9</v>
      </c>
      <c r="N542" s="3" t="inlineStr">
        <is>
          <t>3</t>
        </is>
      </c>
      <c r="O542" s="3" t="inlineStr">
        <is>
          <t>-</t>
        </is>
      </c>
      <c r="P542" s="3" t="inlineStr">
        <is>
          <t>신축급,전기,화학,화장품,의약품 등 입주가능,각층별 과 전체 임대가능</t>
        </is>
      </c>
      <c r="Q542" s="6">
        <f>HYPERLINK("https://fin.land.naver.com/articles/2650190812", "매물Link")</f>
        <v/>
      </c>
      <c r="R542" s="6">
        <f>HYPERLINK("https://map.naver.com/p/search/오송읍 정중리 797", "지도Link")</f>
        <v/>
      </c>
      <c r="S542" s="6">
        <f>HYPERLINK("http://www.eum.go.kr/web/ar/lu/luLandDet.jsp?pnu=4311325032107970000&amp;isNoScr=script&amp;mode=search", "토지이음")</f>
        <v/>
      </c>
      <c r="T542" s="3" t="inlineStr">
        <is>
          <t>금화랜드</t>
        </is>
      </c>
      <c r="U542" s="4" t="n">
        <v>1</v>
      </c>
      <c r="V542" s="5" t="n">
        <v>72.90000000000001</v>
      </c>
      <c r="W542" s="4" t="n">
        <v>4999.8</v>
      </c>
      <c r="X542" s="3" t="inlineStr">
        <is>
          <t>주1</t>
        </is>
      </c>
      <c r="Y542" s="7" t="inlineStr">
        <is>
          <t>3층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16.68m</t>
        </is>
      </c>
      <c r="AC542" s="3" t="inlineStr">
        <is>
          <t>2019-10</t>
        </is>
      </c>
      <c r="AD542" s="3" t="inlineStr">
        <is>
          <t>광대로한면</t>
        </is>
      </c>
    </row>
    <row r="543">
      <c r="A543" s="3" t="inlineStr">
        <is>
          <t>오송읍 정중리 797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2800</v>
      </c>
      <c r="H543" s="4" t="n">
        <v>4999</v>
      </c>
      <c r="I543" s="4" t="n">
        <v>1512</v>
      </c>
      <c r="J543" s="5" t="n">
        <v>1.9</v>
      </c>
      <c r="K543" s="4" t="n">
        <v>3163</v>
      </c>
      <c r="L543" s="4" t="n">
        <v>957</v>
      </c>
      <c r="M543" s="5" t="n">
        <v>2.9</v>
      </c>
      <c r="N543" s="3" t="inlineStr">
        <is>
          <t>3</t>
        </is>
      </c>
      <c r="O543" s="3" t="inlineStr">
        <is>
          <t>B1</t>
        </is>
      </c>
      <c r="P543" s="3" t="inlineStr">
        <is>
          <t>사진有 공장 임대</t>
        </is>
      </c>
      <c r="Q543" s="6">
        <f>HYPERLINK("https://fin.land.naver.com/articles/2654904283", "매물Link")</f>
        <v/>
      </c>
      <c r="R543" s="6">
        <f>HYPERLINK("https://map.naver.com/p/search/오송읍 정중리 797", "지도Link")</f>
        <v/>
      </c>
      <c r="S543" s="6">
        <f>HYPERLINK("http://www.eum.go.kr/web/ar/lu/luLandDet.jsp?pnu=4311325032107970000&amp;isNoScr=script&amp;mode=search", "토지이음")</f>
        <v/>
      </c>
      <c r="T543" s="3" t="inlineStr">
        <is>
          <t>월드</t>
        </is>
      </c>
      <c r="U543" s="4" t="n">
        <v>1</v>
      </c>
      <c r="V543" s="5" t="n">
        <v>72.90000000000001</v>
      </c>
      <c r="W543" s="4" t="n">
        <v>4999.8</v>
      </c>
      <c r="X543" s="3" t="inlineStr">
        <is>
          <t>부1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6.32m</t>
        </is>
      </c>
      <c r="AC543" s="3" t="inlineStr">
        <is>
          <t>2019-10</t>
        </is>
      </c>
      <c r="AD543" s="3" t="inlineStr">
        <is>
          <t>광대로한면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45000</v>
      </c>
      <c r="G544" s="4" t="n">
        <v>4500</v>
      </c>
      <c r="H544" s="4" t="n">
        <v>4999</v>
      </c>
      <c r="I544" s="4" t="n">
        <v>1512</v>
      </c>
      <c r="J544" s="5" t="n">
        <v>3</v>
      </c>
      <c r="K544" s="4" t="n">
        <v>9796</v>
      </c>
      <c r="L544" s="4" t="n">
        <v>2963</v>
      </c>
      <c r="M544" s="5" t="n">
        <v>1.5</v>
      </c>
      <c r="N544" s="3" t="inlineStr">
        <is>
          <t>3</t>
        </is>
      </c>
      <c r="O544" s="3" t="inlineStr">
        <is>
          <t>-</t>
        </is>
      </c>
      <c r="P544" s="3" t="inlineStr">
        <is>
          <t>오송산단에 위치한 도로접한 공장, 사무실 및 공장 임대</t>
        </is>
      </c>
      <c r="Q544" s="6">
        <f>HYPERLINK("https://fin.land.naver.com/articles/2652357578",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B1</t>
        </is>
      </c>
      <c r="P545" s="3" t="inlineStr">
        <is>
          <t>사진有 공장 매매</t>
        </is>
      </c>
      <c r="Q545" s="6">
        <f>HYPERLINK("https://fin.land.naver.com/articles/2654917110",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월드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-</t>
        </is>
      </c>
      <c r="P546" s="3" t="inlineStr">
        <is>
          <t>오송2산업단지 4차선도로변 접한 위치의 신축급공장</t>
        </is>
      </c>
      <c r="Q546" s="6">
        <f>HYPERLINK("https://fin.land.naver.com/articles/2655176776",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더원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장군면 금암리 99-1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창고</t>
        </is>
      </c>
      <c r="E547" s="3" t="inlineStr">
        <is>
          <t>월세</t>
        </is>
      </c>
      <c r="F547" s="4" t="n">
        <v>1000</v>
      </c>
      <c r="G547" s="4" t="n">
        <v>120</v>
      </c>
      <c r="H547" s="4" t="n">
        <v>988</v>
      </c>
      <c r="I547" s="4" t="n">
        <v>299</v>
      </c>
      <c r="J547" s="5" t="n">
        <v>0.4</v>
      </c>
      <c r="K547" s="4" t="n">
        <v>196</v>
      </c>
      <c r="L547" s="4" t="n">
        <v>59</v>
      </c>
      <c r="M547" s="5" t="n">
        <v>2</v>
      </c>
      <c r="N547" s="3" t="inlineStr">
        <is>
          <t>1</t>
        </is>
      </c>
      <c r="O547" s="3" t="inlineStr">
        <is>
          <t>-</t>
        </is>
      </c>
      <c r="P547" s="3" t="inlineStr">
        <is>
          <t>제2종근린생활시설 제조업소  2차선 도로와 연접되어 진.출입 원할합니다</t>
        </is>
      </c>
      <c r="Q547" s="6">
        <f>HYPERLINK("https://fin.land.naver.com/articles/2655277046", "매물Link")</f>
        <v/>
      </c>
      <c r="R547" s="6">
        <f>HYPERLINK("https://map.naver.com/p/search/장군면 금암리 99-1", "지도Link")</f>
        <v/>
      </c>
      <c r="S547" s="6">
        <f>HYPERLINK("http://www.eum.go.kr/web/ar/lu/luLandDet.jsp?pnu=3611035025100990001&amp;isNoScr=script&amp;mode=search", "토지이음")</f>
        <v/>
      </c>
      <c r="T547" s="3" t="inlineStr">
        <is>
          <t>세종공주원탑</t>
        </is>
      </c>
      <c r="U547" s="4" t="n">
        <v>1</v>
      </c>
      <c r="V547" s="5" t="n">
        <v>121.1</v>
      </c>
      <c r="W547" s="4" t="n">
        <v>988</v>
      </c>
      <c r="X547" s="3" t="inlineStr">
        <is>
          <t>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8.0m</t>
        </is>
      </c>
      <c r="AC547" s="3" t="inlineStr">
        <is>
          <t>2016-08</t>
        </is>
      </c>
      <c r="AD547" s="3" t="inlineStr">
        <is>
          <t>세로한면(가)</t>
        </is>
      </c>
    </row>
    <row r="548">
      <c r="A548" s="3" t="inlineStr">
        <is>
          <t>장군면 대교리 421-10</t>
        </is>
      </c>
      <c r="B548" s="3" t="inlineStr">
        <is>
          <t>농림지역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500</v>
      </c>
      <c r="G548" s="4" t="n">
        <v>70</v>
      </c>
      <c r="H548" s="4" t="n">
        <v>990</v>
      </c>
      <c r="I548" s="4" t="n">
        <v>299</v>
      </c>
      <c r="J548" s="5" t="n">
        <v>0.2</v>
      </c>
      <c r="K548" s="4" t="n">
        <v>130</v>
      </c>
      <c r="L548" s="4" t="n">
        <v>39</v>
      </c>
      <c r="M548" s="5" t="n">
        <v>1.8</v>
      </c>
      <c r="N548" s="3" t="inlineStr">
        <is>
          <t>1</t>
        </is>
      </c>
      <c r="O548" s="3" t="inlineStr">
        <is>
          <t>B1</t>
        </is>
      </c>
      <c r="P548" s="3" t="inlineStr">
        <is>
          <t>농업용 창고임</t>
        </is>
      </c>
      <c r="Q548" s="6">
        <f>HYPERLINK("https://fin.land.naver.com/articles/2652602141", "매물Link")</f>
        <v/>
      </c>
      <c r="R548" s="6">
        <f>HYPERLINK("https://map.naver.com/p/search/장군면 대교리 421-10", "지도Link")</f>
        <v/>
      </c>
      <c r="S548" s="6">
        <f>HYPERLINK("http://www.eum.go.kr/web/ar/lu/luLandDet.jsp?pnu=3611035023104210010&amp;isNoScr=script&amp;mode=search", "토지이음")</f>
        <v/>
      </c>
      <c r="T548" s="3" t="inlineStr">
        <is>
          <t>세종공주제일</t>
        </is>
      </c>
      <c r="U548" s="4" t="n">
        <v>1</v>
      </c>
      <c r="V548" s="5" t="n">
        <v>46.7</v>
      </c>
      <c r="W548" s="4" t="n">
        <v>990</v>
      </c>
      <c r="X548" s="3" t="inlineStr">
        <is>
          <t>주건축물제2동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9.8m</t>
        </is>
      </c>
      <c r="AC548" s="3" t="inlineStr">
        <is>
          <t>2020-12</t>
        </is>
      </c>
      <c r="AD548" s="3" t="inlineStr">
        <is>
          <t>세로한면(가)</t>
        </is>
      </c>
    </row>
    <row r="549">
      <c r="A549" s="3" t="inlineStr">
        <is>
          <t>장군면 대교리 79-169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60</v>
      </c>
      <c r="H549" s="4" t="n">
        <v>773</v>
      </c>
      <c r="I549" s="4" t="n">
        <v>234</v>
      </c>
      <c r="J549" s="5" t="n">
        <v>0.3</v>
      </c>
      <c r="K549" s="4" t="n">
        <v>99</v>
      </c>
      <c r="L549" s="4" t="n">
        <v>30</v>
      </c>
      <c r="M549" s="5" t="n">
        <v>2</v>
      </c>
      <c r="N549" s="3" t="inlineStr">
        <is>
          <t>1</t>
        </is>
      </c>
      <c r="O549" s="3" t="inlineStr">
        <is>
          <t>-</t>
        </is>
      </c>
      <c r="P549" s="3" t="inlineStr">
        <is>
          <t>전원주택 단지 신축 근린생활시설 힐링하며 사용하세요</t>
        </is>
      </c>
      <c r="Q549" s="6">
        <f>HYPERLINK("https://fin.land.naver.com/articles/2650893899", "매물Link")</f>
        <v/>
      </c>
      <c r="R549" s="6">
        <f>HYPERLINK("https://map.naver.com/p/search/장군면 대교리 79-169", "지도Link")</f>
        <v/>
      </c>
      <c r="S549" s="6">
        <f>HYPERLINK("http://www.eum.go.kr/web/ar/lu/luLandDet.jsp?pnu=3611035023100790169&amp;isNoScr=script&amp;mode=search",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115.1</v>
      </c>
      <c r="W549" s="4" t="n">
        <v>740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경량철골구조</t>
        </is>
      </c>
      <c r="AA549" s="3" t="inlineStr">
        <is>
          <t>제2종근생</t>
        </is>
      </c>
      <c r="AB549" s="3" t="inlineStr">
        <is>
          <t>4.63m</t>
        </is>
      </c>
      <c r="AC549" s="3" t="inlineStr">
        <is>
          <t>2026-06</t>
        </is>
      </c>
      <c r="AD549" s="3" t="inlineStr">
        <is>
          <t>소로한면</t>
        </is>
      </c>
    </row>
    <row r="550">
      <c r="A550" s="3" t="inlineStr">
        <is>
          <t>장군면 봉안리 131-2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공장</t>
        </is>
      </c>
      <c r="E550" s="3" t="inlineStr">
        <is>
          <t>매매</t>
        </is>
      </c>
      <c r="F550" s="4" t="n">
        <v>225000</v>
      </c>
      <c r="G550" s="4" t="n">
        <v>0</v>
      </c>
      <c r="H550" s="4" t="n">
        <v>3022</v>
      </c>
      <c r="I550" s="4" t="n">
        <v>914</v>
      </c>
      <c r="J550" s="5" t="n">
        <v>246.2</v>
      </c>
      <c r="K550" s="4" t="n">
        <v>554</v>
      </c>
      <c r="L550" s="4" t="n">
        <v>168</v>
      </c>
      <c r="M550" s="5" t="n">
        <v>1339.3</v>
      </c>
      <c r="N550" s="3" t="inlineStr">
        <is>
          <t>1</t>
        </is>
      </c>
      <c r="O550" s="3" t="inlineStr">
        <is>
          <t>B1</t>
        </is>
      </c>
      <c r="P550" s="3" t="inlineStr">
        <is>
          <t>민원 없는 위치 철구조물 제작 또는 물류 보관 창고 대형차량 입.출 원활</t>
        </is>
      </c>
      <c r="Q550" s="6">
        <f>HYPERLINK("https://fin.land.naver.com/articles/2651414020", "매물Link")</f>
        <v/>
      </c>
      <c r="R550" s="6">
        <f>HYPERLINK("https://map.naver.com/p/search/장군면 봉안리 131-2", "지도Link")</f>
        <v/>
      </c>
      <c r="S550" s="6">
        <f>HYPERLINK("http://www.eum.go.kr/web/ar/lu/luLandDet.jsp?pnu=3611035024101310002&amp;isNoScr=script&amp;mode=search",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116.3</v>
      </c>
      <c r="W550" s="4" t="n">
        <v>991</v>
      </c>
      <c r="X550" s="3" t="inlineStr">
        <is>
          <t>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7.6m</t>
        </is>
      </c>
      <c r="AC550" s="3" t="inlineStr">
        <is>
          <t>2013-04</t>
        </is>
      </c>
      <c r="AD550" s="3" t="inlineStr">
        <is>
          <t>세로한면(가)</t>
        </is>
      </c>
    </row>
    <row r="551">
      <c r="A551" s="3" t="inlineStr">
        <is>
          <t>장군면 봉안리 131-2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창고</t>
        </is>
      </c>
      <c r="E551" s="3" t="inlineStr">
        <is>
          <t>매매</t>
        </is>
      </c>
      <c r="F551" s="4" t="n">
        <v>225000</v>
      </c>
      <c r="G551" s="4" t="n">
        <v>0</v>
      </c>
      <c r="H551" s="4" t="n">
        <v>3022</v>
      </c>
      <c r="I551" s="4" t="n">
        <v>914</v>
      </c>
      <c r="J551" s="5" t="n">
        <v>246.2</v>
      </c>
      <c r="K551" s="4" t="n">
        <v>554</v>
      </c>
      <c r="L551" s="4" t="n">
        <v>168</v>
      </c>
      <c r="M551" s="5" t="n">
        <v>1339.3</v>
      </c>
      <c r="N551" s="3" t="inlineStr">
        <is>
          <t>2</t>
        </is>
      </c>
      <c r="O551" s="3" t="inlineStr">
        <is>
          <t>-</t>
        </is>
      </c>
      <c r="P551" s="3" t="inlineStr">
        <is>
          <t>고속도로인근 귀한 창고 매매</t>
        </is>
      </c>
      <c r="Q551" s="6">
        <f>HYPERLINK("https://fin.land.naver.com/articles/2652017964", "매물Link")</f>
        <v/>
      </c>
      <c r="R551" s="6">
        <f>HYPERLINK("https://map.naver.com/p/search/장군면 봉안리 131-2", "지도Link")</f>
        <v/>
      </c>
      <c r="S551" s="6">
        <f>HYPERLINK("http://www.eum.go.kr/web/ar/lu/luLandDet.jsp?pnu=3611035024101310002&amp;isNoScr=script&amp;mode=search", "토지이음")</f>
        <v/>
      </c>
      <c r="T551" s="3" t="inlineStr">
        <is>
          <t>드림사무소</t>
        </is>
      </c>
      <c r="U551" s="4" t="n">
        <v>1</v>
      </c>
      <c r="V551" s="5" t="n">
        <v>116.3</v>
      </c>
      <c r="W551" s="4" t="n">
        <v>991</v>
      </c>
      <c r="X551" s="3" t="inlineStr">
        <is>
          <t>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제1종근생</t>
        </is>
      </c>
      <c r="AB551" s="3" t="inlineStr">
        <is>
          <t>7.6m</t>
        </is>
      </c>
      <c r="AC551" s="3" t="inlineStr">
        <is>
          <t>2013-04</t>
        </is>
      </c>
      <c r="AD551" s="3" t="inlineStr">
        <is>
          <t>세로한면(가)</t>
        </is>
      </c>
    </row>
    <row r="552">
      <c r="A552" s="3" t="inlineStr">
        <is>
          <t>장군면 송문리 249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165000</v>
      </c>
      <c r="G552" s="4" t="n">
        <v>0</v>
      </c>
      <c r="H552" s="4" t="n">
        <v>2456</v>
      </c>
      <c r="I552" s="4" t="n">
        <v>743</v>
      </c>
      <c r="J552" s="5" t="n">
        <v>222.1</v>
      </c>
      <c r="K552" s="4" t="n">
        <v>648</v>
      </c>
      <c r="L552" s="4" t="n">
        <v>196</v>
      </c>
      <c r="M552" s="5" t="n">
        <v>841.8</v>
      </c>
      <c r="N552" s="3" t="inlineStr">
        <is>
          <t>2</t>
        </is>
      </c>
      <c r="O552" s="3" t="inlineStr">
        <is>
          <t>B1</t>
        </is>
      </c>
      <c r="P552" s="3" t="inlineStr">
        <is>
          <t>2개동, 공장 건물 매매, 조율가능</t>
        </is>
      </c>
      <c r="Q552" s="6">
        <f>HYPERLINK("https://fin.land.naver.com/articles/2654892775", "매물Link")</f>
        <v/>
      </c>
      <c r="R552" s="6">
        <f>HYPERLINK("https://map.naver.com/p/search/장군면 송문리 249", "지도Link")</f>
        <v/>
      </c>
      <c r="S552" s="6">
        <f>HYPERLINK("http://www.eum.go.kr/web/ar/lu/luLandDet.jsp?pnu=3611035029102490000&amp;isNoScr=script&amp;mode=search", "토지이음")</f>
        <v/>
      </c>
      <c r="T552" s="3" t="inlineStr">
        <is>
          <t>명진</t>
        </is>
      </c>
      <c r="U552" s="4" t="n">
        <v>1</v>
      </c>
      <c r="V552" s="5" t="n">
        <v>101.6</v>
      </c>
      <c r="W552" s="4" t="n">
        <v>2456</v>
      </c>
      <c r="X552" s="3" t="inlineStr">
        <is>
          <t>2동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7.94m</t>
        </is>
      </c>
      <c r="AC552" s="3" t="inlineStr">
        <is>
          <t>2014-12</t>
        </is>
      </c>
      <c r="AD552" s="3" t="inlineStr">
        <is>
          <t>세로한면(가)</t>
        </is>
      </c>
    </row>
    <row r="553">
      <c r="A553" s="3" t="inlineStr">
        <is>
          <t>장군면 송문리 249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165000</v>
      </c>
      <c r="G553" s="4" t="n">
        <v>0</v>
      </c>
      <c r="H553" s="4" t="n">
        <v>2456</v>
      </c>
      <c r="I553" s="4" t="n">
        <v>743</v>
      </c>
      <c r="J553" s="5" t="n">
        <v>222.1</v>
      </c>
      <c r="K553" s="4" t="n">
        <v>648</v>
      </c>
      <c r="L553" s="4" t="n">
        <v>196</v>
      </c>
      <c r="M553" s="5" t="n">
        <v>841.8</v>
      </c>
      <c r="N553" s="3" t="inlineStr">
        <is>
          <t>1</t>
        </is>
      </c>
      <c r="O553" s="3" t="inlineStr">
        <is>
          <t>-</t>
        </is>
      </c>
      <c r="P553" s="3" t="inlineStr">
        <is>
          <t>nan</t>
        </is>
      </c>
      <c r="Q553" s="6">
        <f>HYPERLINK("https://fin.land.naver.com/articles/2654025302", "매물Link")</f>
        <v/>
      </c>
      <c r="R553" s="6">
        <f>HYPERLINK("https://map.naver.com/p/search/장군면 송문리 249", "지도Link")</f>
        <v/>
      </c>
      <c r="S553" s="6">
        <f>HYPERLINK("http://www.eum.go.kr/web/ar/lu/luLandDet.jsp?pnu=3611035029102490000&amp;isNoScr=script&amp;mode=search", "토지이음")</f>
        <v/>
      </c>
      <c r="T553" s="3" t="inlineStr">
        <is>
          <t>세종지평</t>
        </is>
      </c>
      <c r="U553" s="4" t="n">
        <v>2</v>
      </c>
      <c r="V553" s="5" t="n">
        <v>101.6</v>
      </c>
      <c r="W553" s="4" t="n">
        <v>2456</v>
      </c>
      <c r="X553" s="3" t="inlineStr">
        <is>
          <t>2동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7.94m</t>
        </is>
      </c>
      <c r="AC553" s="3" t="inlineStr">
        <is>
          <t>2014-12</t>
        </is>
      </c>
      <c r="AD553" s="3" t="inlineStr">
        <is>
          <t>세로한면(가)</t>
        </is>
      </c>
    </row>
    <row r="554">
      <c r="A554" s="3" t="inlineStr">
        <is>
          <t>장군면 송학리 126-8</t>
        </is>
      </c>
      <c r="B554" s="3" t="inlineStr">
        <is>
          <t>계획관리지역</t>
        </is>
      </c>
      <c r="C554" s="3" t="inlineStr">
        <is>
          <t>창고용지</t>
        </is>
      </c>
      <c r="D554" s="3" t="inlineStr">
        <is>
          <t>창고</t>
        </is>
      </c>
      <c r="E554" s="3" t="inlineStr">
        <is>
          <t>월세</t>
        </is>
      </c>
      <c r="F554" s="4" t="n">
        <v>3000</v>
      </c>
      <c r="G554" s="4" t="n">
        <v>250</v>
      </c>
      <c r="H554" s="4" t="n">
        <v>1990</v>
      </c>
      <c r="I554" s="4" t="n">
        <v>602</v>
      </c>
      <c r="J554" s="5" t="n">
        <v>0.4</v>
      </c>
      <c r="K554" s="4" t="n">
        <v>596</v>
      </c>
      <c r="L554" s="4" t="n">
        <v>180</v>
      </c>
      <c r="M554" s="5" t="n">
        <v>1.4</v>
      </c>
      <c r="N554" s="3" t="inlineStr">
        <is>
          <t>1</t>
        </is>
      </c>
      <c r="O554" s="3" t="inlineStr">
        <is>
          <t>B1</t>
        </is>
      </c>
      <c r="P554" s="3" t="inlineStr">
        <is>
          <t>야드 넓은 창고 저온창고로 사용되는 곳으로 층고 높아요</t>
        </is>
      </c>
      <c r="Q554" s="6">
        <f>HYPERLINK("https://fin.land.naver.com/articles/2652933488", "매물Link")</f>
        <v/>
      </c>
      <c r="R554" s="6">
        <f>HYPERLINK("https://map.naver.com/p/search/장군면 송학리 126-8", "지도Link")</f>
        <v/>
      </c>
      <c r="S554" s="6">
        <f>HYPERLINK("http://www.eum.go.kr/web/ar/lu/luLandDet.jsp?pnu=3611035031101260008&amp;isNoScr=script&amp;mode=search",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93.90000000000001</v>
      </c>
      <c r="W554" s="4" t="n">
        <v>1908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8.5m</t>
        </is>
      </c>
      <c r="AC554" s="3" t="inlineStr">
        <is>
          <t>2007-11</t>
        </is>
      </c>
      <c r="AD554" s="3" t="inlineStr">
        <is>
          <t>세로한면(가)</t>
        </is>
      </c>
    </row>
    <row r="555">
      <c r="A555" s="3" t="inlineStr">
        <is>
          <t>장군면 송학리 468-19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창고</t>
        </is>
      </c>
      <c r="E555" s="3" t="inlineStr">
        <is>
          <t>매매</t>
        </is>
      </c>
      <c r="F555" s="4" t="n">
        <v>70000</v>
      </c>
      <c r="G555" s="4" t="n">
        <v>0</v>
      </c>
      <c r="H555" s="4" t="n">
        <v>446</v>
      </c>
      <c r="I555" s="4" t="n">
        <v>135</v>
      </c>
      <c r="J555" s="5" t="n">
        <v>518.5</v>
      </c>
      <c r="K555" s="4" t="n">
        <v>89</v>
      </c>
      <c r="L555" s="4" t="n">
        <v>27</v>
      </c>
      <c r="M555" s="5" t="n">
        <v>2592.6</v>
      </c>
      <c r="N555" s="3" t="inlineStr">
        <is>
          <t>1</t>
        </is>
      </c>
      <c r="O555" s="3" t="inlineStr">
        <is>
          <t>-</t>
        </is>
      </c>
      <c r="P555" s="3" t="inlineStr">
        <is>
          <t>도로접함. 주변토지와 함께 개발가능</t>
        </is>
      </c>
      <c r="Q555" s="6">
        <f>HYPERLINK("https://fin.land.naver.com/articles/2652493840", "매물Link")</f>
        <v/>
      </c>
      <c r="R555" s="6">
        <f>HYPERLINK("https://map.naver.com/p/search/장군면 송학리 468-19", "지도Link")</f>
        <v/>
      </c>
      <c r="S555" s="6">
        <f>HYPERLINK("http://www.eum.go.kr/web/ar/lu/luLandDet.jsp?pnu=3611035031104680019&amp;isNoScr=script&amp;mode=search", "토지이음")</f>
        <v/>
      </c>
      <c r="T555" s="3" t="inlineStr">
        <is>
          <t>터</t>
        </is>
      </c>
      <c r="U555" s="4" t="n">
        <v>1</v>
      </c>
      <c r="V555" s="5" t="n">
        <v>54.7</v>
      </c>
      <c r="W555" s="4" t="n">
        <v>446</v>
      </c>
      <c r="X555" s="3" t="inlineStr">
        <is>
          <t>주1동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제2종근생</t>
        </is>
      </c>
      <c r="AB555" s="3" t="inlineStr">
        <is>
          <t>5.2m</t>
        </is>
      </c>
      <c r="AC555" s="3" t="inlineStr">
        <is>
          <t>2023-09</t>
        </is>
      </c>
      <c r="AD555" s="3" t="inlineStr">
        <is>
          <t>세로한면(가)</t>
        </is>
      </c>
    </row>
    <row r="556">
      <c r="A556" s="3" t="inlineStr">
        <is>
          <t>장군면 평기리 173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창고</t>
        </is>
      </c>
      <c r="E556" s="3" t="inlineStr">
        <is>
          <t>월세</t>
        </is>
      </c>
      <c r="F556" s="4" t="n">
        <v>2000</v>
      </c>
      <c r="G556" s="4" t="n">
        <v>150</v>
      </c>
      <c r="H556" s="4" t="n">
        <v>1500</v>
      </c>
      <c r="I556" s="4" t="n">
        <v>454</v>
      </c>
      <c r="J556" s="5" t="n">
        <v>0.3</v>
      </c>
      <c r="K556" s="4" t="n">
        <v>199</v>
      </c>
      <c r="L556" s="4" t="n">
        <v>60</v>
      </c>
      <c r="M556" s="5" t="n">
        <v>2.5</v>
      </c>
      <c r="N556" s="3" t="inlineStr">
        <is>
          <t>1</t>
        </is>
      </c>
      <c r="O556" s="3" t="inlineStr">
        <is>
          <t>-</t>
        </is>
      </c>
      <c r="P556" s="3" t="inlineStr">
        <is>
          <t>서세종ic 10분, 2차로변으로 노출좋고 접근성 좋아요</t>
        </is>
      </c>
      <c r="Q556" s="6">
        <f>HYPERLINK("https://fin.land.naver.com/articles/2651623632", "매물Link")</f>
        <v/>
      </c>
      <c r="R556" s="6">
        <f>HYPERLINK("https://map.naver.com/p/search/장군면 평기리 173", "지도Link")</f>
        <v/>
      </c>
      <c r="S556" s="6">
        <f>HYPERLINK("http://www.eum.go.kr/web/ar/lu/luLandDet.jsp?pnu=3611035022101730000&amp;isNoScr=script&amp;mode=search", "토지이음")</f>
        <v/>
      </c>
      <c r="T556" s="3" t="inlineStr">
        <is>
          <t>세종다올</t>
        </is>
      </c>
      <c r="U556" s="4" t="n">
        <v>1</v>
      </c>
      <c r="V556" s="5" t="n">
        <v>124</v>
      </c>
      <c r="W556" s="4" t="n">
        <v>1500</v>
      </c>
      <c r="X556" s="3" t="inlineStr">
        <is>
          <t>제3동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제2종근생</t>
        </is>
      </c>
      <c r="AB556" s="3" t="inlineStr">
        <is>
          <t>7.6m</t>
        </is>
      </c>
      <c r="AC556" s="3" t="inlineStr">
        <is>
          <t>2019-12</t>
        </is>
      </c>
      <c r="AD556" s="3" t="inlineStr">
        <is>
          <t>소로각지</t>
        </is>
      </c>
    </row>
    <row r="557">
      <c r="A557" s="3" t="inlineStr">
        <is>
          <t>장군면 평기리 173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50</v>
      </c>
      <c r="H557" s="4" t="n">
        <v>1500</v>
      </c>
      <c r="I557" s="4" t="n">
        <v>454</v>
      </c>
      <c r="J557" s="5" t="n">
        <v>0.1</v>
      </c>
      <c r="K557" s="4" t="n">
        <v>50</v>
      </c>
      <c r="L557" s="4" t="n">
        <v>15</v>
      </c>
      <c r="M557" s="5" t="n">
        <v>3.3</v>
      </c>
      <c r="N557" s="3" t="inlineStr">
        <is>
          <t>1</t>
        </is>
      </c>
      <c r="O557" s="3" t="inlineStr">
        <is>
          <t>-</t>
        </is>
      </c>
      <c r="P557" s="3" t="inlineStr">
        <is>
          <t>서세종ic 10분, 2차로에 위치한 소형사무실이나 창고</t>
        </is>
      </c>
      <c r="Q557" s="6">
        <f>HYPERLINK("https://fin.land.naver.com/articles/2651632128", "매물Link")</f>
        <v/>
      </c>
      <c r="R557" s="6">
        <f>HYPERLINK("https://map.naver.com/p/search/장군면 평기리 173", "지도Link")</f>
        <v/>
      </c>
      <c r="S557" s="6">
        <f>HYPERLINK("http://www.eum.go.kr/web/ar/lu/luLandDet.jsp?pnu=3611035022101730000&amp;isNoScr=script&amp;mode=search", "토지이음")</f>
        <v/>
      </c>
      <c r="T557" s="3" t="inlineStr">
        <is>
          <t>세종다올</t>
        </is>
      </c>
      <c r="U557" s="4" t="n">
        <v>1</v>
      </c>
      <c r="V557" s="5" t="n">
        <v>124</v>
      </c>
      <c r="W557" s="4" t="n">
        <v>1500</v>
      </c>
      <c r="X557" s="3" t="inlineStr">
        <is>
          <t>제2동</t>
        </is>
      </c>
      <c r="Y557" s="7" t="inlineStr">
        <is>
          <t>2층</t>
        </is>
      </c>
      <c r="Z557" s="3" t="inlineStr">
        <is>
          <t>일반철골구조</t>
        </is>
      </c>
      <c r="AA557" s="3" t="inlineStr">
        <is>
          <t>제1종근생</t>
        </is>
      </c>
      <c r="AB557" s="3" t="inlineStr">
        <is>
          <t>8.5m</t>
        </is>
      </c>
      <c r="AC557" s="3" t="inlineStr">
        <is>
          <t>2019-12</t>
        </is>
      </c>
      <c r="AD557" s="3" t="inlineStr">
        <is>
          <t>소로각지</t>
        </is>
      </c>
    </row>
    <row r="558">
      <c r="A558" s="3" t="inlineStr">
        <is>
          <t>장군면 평기리 173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200</v>
      </c>
      <c r="H558" s="4" t="n">
        <v>1500</v>
      </c>
      <c r="I558" s="4" t="n">
        <v>454</v>
      </c>
      <c r="J558" s="5" t="n">
        <v>0.4</v>
      </c>
      <c r="K558" s="4" t="n">
        <v>249</v>
      </c>
      <c r="L558" s="4" t="n">
        <v>75</v>
      </c>
      <c r="M558" s="5" t="n">
        <v>2.7</v>
      </c>
      <c r="N558" s="3" t="inlineStr">
        <is>
          <t>1</t>
        </is>
      </c>
      <c r="O558" s="3" t="inlineStr">
        <is>
          <t>-</t>
        </is>
      </c>
      <c r="P558" s="3" t="inlineStr">
        <is>
          <t>평기리 냉장냉동 창고임대</t>
        </is>
      </c>
      <c r="Q558" s="6">
        <f>HYPERLINK("https://fin.land.naver.com/articles/2652590871", "매물Link")</f>
        <v/>
      </c>
      <c r="R558" s="6">
        <f>HYPERLINK("https://map.naver.com/p/search/장군면 평기리 173", "지도Link")</f>
        <v/>
      </c>
      <c r="S558" s="6">
        <f>HYPERLINK("http://www.eum.go.kr/web/ar/lu/luLandDet.jsp?pnu=3611035022101730000&amp;isNoScr=script&amp;mode=search", "토지이음")</f>
        <v/>
      </c>
      <c r="T558" s="3" t="inlineStr">
        <is>
          <t>대전신화</t>
        </is>
      </c>
      <c r="U558" s="4" t="n">
        <v>1</v>
      </c>
      <c r="V558" s="5" t="n">
        <v>124</v>
      </c>
      <c r="W558" s="4" t="n">
        <v>1500</v>
      </c>
      <c r="X558" s="3" t="inlineStr">
        <is>
          <t>미표기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제2종근생</t>
        </is>
      </c>
      <c r="AB558" s="3" t="inlineStr">
        <is>
          <t>7.6m</t>
        </is>
      </c>
      <c r="AC558" s="3" t="inlineStr">
        <is>
          <t>2013-03</t>
        </is>
      </c>
      <c r="AD558" s="3" t="inlineStr">
        <is>
          <t>소로각지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1000</v>
      </c>
      <c r="G559" s="4" t="n">
        <v>50</v>
      </c>
      <c r="H559" s="4" t="n">
        <v>1500</v>
      </c>
      <c r="I559" s="4" t="n">
        <v>454</v>
      </c>
      <c r="J559" s="5" t="n">
        <v>0.1</v>
      </c>
      <c r="K559" s="4" t="n">
        <v>50</v>
      </c>
      <c r="L559" s="4" t="n">
        <v>15</v>
      </c>
      <c r="M559" s="5" t="n">
        <v>3.3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접한 소형 창고 내부 화장실 있으며 주차 용이합니다</t>
        </is>
      </c>
      <c r="Q559" s="6">
        <f>HYPERLINK("https://fin.land.naver.com/articles/2650884073",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제1종근생</t>
        </is>
      </c>
      <c r="AB559" s="3" t="inlineStr">
        <is>
          <t>8.5m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2000</v>
      </c>
      <c r="G560" s="4" t="n">
        <v>150</v>
      </c>
      <c r="H560" s="4" t="n">
        <v>600</v>
      </c>
      <c r="I560" s="4" t="n">
        <v>182</v>
      </c>
      <c r="J560" s="5" t="n">
        <v>0.8</v>
      </c>
      <c r="K560" s="4" t="n">
        <v>199</v>
      </c>
      <c r="L560" s="4" t="n">
        <v>60</v>
      </c>
      <c r="M560" s="5" t="n">
        <v>2.5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도로와 연접한 위치 내부에 화장실및 사무실 있습니다</t>
        </is>
      </c>
      <c r="Q560" s="6">
        <f>HYPERLINK("https://fin.land.naver.com/articles/2651247786",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제3동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제2종근생</t>
        </is>
      </c>
      <c r="AB560" s="3" t="inlineStr">
        <is>
          <t>7.6m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2000</v>
      </c>
      <c r="G561" s="4" t="n">
        <v>150</v>
      </c>
      <c r="H561" s="4" t="n">
        <v>1500</v>
      </c>
      <c r="I561" s="4" t="n">
        <v>454</v>
      </c>
      <c r="J561" s="5" t="n">
        <v>0.3</v>
      </c>
      <c r="K561" s="4" t="n">
        <v>199</v>
      </c>
      <c r="L561" s="4" t="n">
        <v>60</v>
      </c>
      <c r="M561" s="5" t="n">
        <v>2.5</v>
      </c>
      <c r="N561" s="3" t="inlineStr">
        <is>
          <t>1</t>
        </is>
      </c>
      <c r="O561" s="3" t="inlineStr">
        <is>
          <t>-</t>
        </is>
      </c>
      <c r="P561" s="3" t="inlineStr">
        <is>
          <t>사진 有 워크인 냉장고 있는 상하차 편리한 창고</t>
        </is>
      </c>
      <c r="Q561" s="6">
        <f>HYPERLINK("https://fin.land.naver.com/articles/2651936647",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KS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287-25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2000</v>
      </c>
      <c r="G562" s="4" t="n">
        <v>135</v>
      </c>
      <c r="H562" s="4" t="n">
        <v>423</v>
      </c>
      <c r="I562" s="4" t="n">
        <v>128</v>
      </c>
      <c r="J562" s="5" t="n">
        <v>1.1</v>
      </c>
      <c r="K562" s="4" t="n">
        <v>168</v>
      </c>
      <c r="L562" s="4" t="n">
        <v>51</v>
      </c>
      <c r="M562" s="5" t="n">
        <v>2.6</v>
      </c>
      <c r="N562" s="3" t="inlineStr">
        <is>
          <t>1</t>
        </is>
      </c>
      <c r="O562" s="3" t="inlineStr">
        <is>
          <t>-</t>
        </is>
      </c>
      <c r="P562" s="3" t="inlineStr">
        <is>
          <t>서세종IC 10분거리 즉시 입주 가능 진.출입 원활한 위치입니다</t>
        </is>
      </c>
      <c r="Q562" s="6">
        <f>HYPERLINK("https://fin.land.naver.com/articles/2655279952", "매물Link")</f>
        <v/>
      </c>
      <c r="R562" s="6">
        <f>HYPERLINK("https://map.naver.com/p/search/장군면 평기리 287-25", "지도Link")</f>
        <v/>
      </c>
      <c r="S562" s="6">
        <f>HYPERLINK("http://www.eum.go.kr/web/ar/lu/luLandDet.jsp?pnu=3611035022102870025&amp;isNoScr=script&amp;mode=search", "토지이음")</f>
        <v/>
      </c>
      <c r="T562" s="3" t="inlineStr">
        <is>
          <t>세종공주원탑</t>
        </is>
      </c>
      <c r="U562" s="4" t="n">
        <v>2</v>
      </c>
      <c r="V562" s="5" t="n">
        <v>136</v>
      </c>
      <c r="W562" s="4" t="n">
        <v>423</v>
      </c>
      <c r="X562" s="3" t="inlineStr">
        <is>
          <t>주1동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7.05m</t>
        </is>
      </c>
      <c r="AC562" s="3" t="inlineStr">
        <is>
          <t>2018-12</t>
        </is>
      </c>
      <c r="AD562" s="3" t="inlineStr">
        <is>
          <t>세로한면(가)</t>
        </is>
      </c>
    </row>
    <row r="563">
      <c r="A563" s="3" t="inlineStr">
        <is>
          <t>장군면 평기리 288-4</t>
        </is>
      </c>
      <c r="B563" s="3" t="inlineStr">
        <is>
          <t>계획관리지역</t>
        </is>
      </c>
      <c r="C563" s="3" t="inlineStr">
        <is>
          <t>창고용지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160</v>
      </c>
      <c r="H563" s="4" t="n">
        <v>828</v>
      </c>
      <c r="I563" s="4" t="n">
        <v>250</v>
      </c>
      <c r="J563" s="5" t="n">
        <v>0.6</v>
      </c>
      <c r="K563" s="4" t="n">
        <v>199</v>
      </c>
      <c r="L563" s="4" t="n">
        <v>60</v>
      </c>
      <c r="M563" s="5" t="n">
        <v>2.7</v>
      </c>
      <c r="N563" s="3" t="inlineStr">
        <is>
          <t>1</t>
        </is>
      </c>
      <c r="O563" s="3" t="inlineStr">
        <is>
          <t>-</t>
        </is>
      </c>
      <c r="P563" s="3" t="inlineStr">
        <is>
          <t>2차선 도로와 연접 서세종IC 이용편리 사무실및 화장실 12월1일 입주</t>
        </is>
      </c>
      <c r="Q563" s="6">
        <f>HYPERLINK("https://fin.land.naver.com/articles/2652932599", "매물Link")</f>
        <v/>
      </c>
      <c r="R563" s="6">
        <f>HYPERLINK("https://map.naver.com/p/search/장군면 평기리 288-4", "지도Link")</f>
        <v/>
      </c>
      <c r="S563" s="6">
        <f>HYPERLINK("http://www.eum.go.kr/web/ar/lu/luLandDet.jsp?pnu=3611035022102880004&amp;isNoScr=script&amp;mode=search",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134.8</v>
      </c>
      <c r="W563" s="4" t="n">
        <v>727</v>
      </c>
      <c r="X563" s="3" t="inlineStr">
        <is>
          <t>주건축물제1동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창고시설</t>
        </is>
      </c>
      <c r="AB563" s="3" t="inlineStr">
        <is>
          <t>7.8m</t>
        </is>
      </c>
      <c r="AC563" s="3" t="inlineStr">
        <is>
          <t>2014-10</t>
        </is>
      </c>
      <c r="AD563" s="3" t="inlineStr">
        <is>
          <t>소로한면</t>
        </is>
      </c>
    </row>
    <row r="564">
      <c r="A564" s="3" t="inlineStr">
        <is>
          <t>장군면 평기리 288-4</t>
        </is>
      </c>
      <c r="B564" s="3" t="inlineStr">
        <is>
          <t>계획관리지역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1500</v>
      </c>
      <c r="G564" s="4" t="n">
        <v>110</v>
      </c>
      <c r="H564" s="4" t="n">
        <v>727</v>
      </c>
      <c r="I564" s="4" t="n">
        <v>220</v>
      </c>
      <c r="J564" s="5" t="n">
        <v>0.5</v>
      </c>
      <c r="K564" s="4" t="n">
        <v>150</v>
      </c>
      <c r="L564" s="4" t="n">
        <v>45</v>
      </c>
      <c r="M564" s="5" t="n">
        <v>2.4</v>
      </c>
      <c r="N564" s="3" t="inlineStr">
        <is>
          <t>1</t>
        </is>
      </c>
      <c r="O564" s="3" t="inlineStr">
        <is>
          <t>-</t>
        </is>
      </c>
      <c r="P564" s="3" t="inlineStr">
        <is>
          <t>2차선 도로와 연접 2층 구조 일정 면적 사무 공간으로 설치됨</t>
        </is>
      </c>
      <c r="Q564" s="6">
        <f>HYPERLINK("https://fin.land.naver.com/articles/2655039332", "매물Link")</f>
        <v/>
      </c>
      <c r="R564" s="6">
        <f>HYPERLINK("https://map.naver.com/p/search/장군면 평기리 288-4", "지도Link")</f>
        <v/>
      </c>
      <c r="S564" s="6">
        <f>HYPERLINK("http://www.eum.go.kr/web/ar/lu/luLandDet.jsp?pnu=3611035022102880004&amp;isNoScr=script&amp;mode=search",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134.8</v>
      </c>
      <c r="W564" s="4" t="n">
        <v>727</v>
      </c>
      <c r="X564" s="3" t="inlineStr">
        <is>
          <t>주건축물제3동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7.8m</t>
        </is>
      </c>
      <c r="AC564" s="3" t="inlineStr">
        <is>
          <t>2014-10</t>
        </is>
      </c>
      <c r="AD564" s="3" t="inlineStr">
        <is>
          <t>소로한면</t>
        </is>
      </c>
    </row>
    <row r="565">
      <c r="A565" s="3" t="inlineStr">
        <is>
          <t>장군면 하봉리 182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230000</v>
      </c>
      <c r="G565" s="4" t="n">
        <v>0</v>
      </c>
      <c r="H565" s="4" t="n">
        <v>3388</v>
      </c>
      <c r="I565" s="4" t="n">
        <v>1025</v>
      </c>
      <c r="J565" s="5" t="n">
        <v>224.4</v>
      </c>
      <c r="K565" s="4" t="n">
        <v>768</v>
      </c>
      <c r="L565" s="4" t="n">
        <v>232</v>
      </c>
      <c r="M565" s="5" t="n">
        <v>991.4</v>
      </c>
      <c r="N565" s="3" t="inlineStr">
        <is>
          <t>2</t>
        </is>
      </c>
      <c r="O565" s="3" t="inlineStr">
        <is>
          <t>-</t>
        </is>
      </c>
      <c r="P565" s="3" t="inlineStr">
        <is>
          <t>서세종IC 5분 세종시 장군면 귀한 공장 매매</t>
        </is>
      </c>
      <c r="Q565" s="6">
        <f>HYPERLINK("https://fin.land.naver.com/articles/2654666585", "매물Link")</f>
        <v/>
      </c>
      <c r="R565" s="6">
        <f>HYPERLINK("https://map.naver.com/p/search/장군면 하봉리 182", "지도Link")</f>
        <v/>
      </c>
      <c r="S565" s="6">
        <f>HYPERLINK("http://www.eum.go.kr/web/ar/lu/luLandDet.jsp?pnu=3611035026101820000&amp;isNoScr=script&amp;mode=search", "토지이음")</f>
        <v/>
      </c>
      <c r="T565" s="3" t="inlineStr">
        <is>
          <t>청담</t>
        </is>
      </c>
      <c r="U565" s="4" t="n">
        <v>2</v>
      </c>
      <c r="V565" s="5" t="n">
        <v>117.3</v>
      </c>
      <c r="W565" s="4" t="n">
        <v>1438</v>
      </c>
      <c r="X565" s="3" t="inlineStr">
        <is>
          <t>미표기</t>
        </is>
      </c>
      <c r="Y565" s="7" t="inlineStr">
        <is>
          <t>2층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11.35m</t>
        </is>
      </c>
      <c r="AC565" s="3" t="inlineStr">
        <is>
          <t>2011-04</t>
        </is>
      </c>
      <c r="AD565" s="3" t="inlineStr">
        <is>
          <t>세로한면(가)</t>
        </is>
      </c>
    </row>
    <row r="566">
      <c r="A566" s="3" t="inlineStr">
        <is>
          <t>장군면 하봉리 182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230000</v>
      </c>
      <c r="G566" s="4" t="n">
        <v>0</v>
      </c>
      <c r="H566" s="4" t="n">
        <v>3225</v>
      </c>
      <c r="I566" s="4" t="n">
        <v>976</v>
      </c>
      <c r="J566" s="5" t="n">
        <v>235.7</v>
      </c>
      <c r="K566" s="4" t="n">
        <v>768</v>
      </c>
      <c r="L566" s="4" t="n">
        <v>232</v>
      </c>
      <c r="M566" s="5" t="n">
        <v>991.4</v>
      </c>
      <c r="N566" s="3" t="inlineStr">
        <is>
          <t>2</t>
        </is>
      </c>
      <c r="O566" s="3" t="inlineStr">
        <is>
          <t>-</t>
        </is>
      </c>
      <c r="P566" s="3" t="inlineStr">
        <is>
          <t>서세종 IC 인접, 태양광설치, 민원소지 적은곳</t>
        </is>
      </c>
      <c r="Q566" s="6">
        <f>HYPERLINK("https://fin.land.naver.com/articles/2654118503", "매물Link")</f>
        <v/>
      </c>
      <c r="R566" s="6">
        <f>HYPERLINK("https://map.naver.com/p/search/장군면 하봉리 182", "지도Link")</f>
        <v/>
      </c>
      <c r="S566" s="6">
        <f>HYPERLINK("http://www.eum.go.kr/web/ar/lu/luLandDet.jsp?pnu=3611035026101820000&amp;isNoScr=script&amp;mode=search", "토지이음")</f>
        <v/>
      </c>
      <c r="T566" s="3" t="inlineStr">
        <is>
          <t>부원</t>
        </is>
      </c>
      <c r="U566" s="4" t="n">
        <v>1</v>
      </c>
      <c r="V566" s="5" t="n">
        <v>117.3</v>
      </c>
      <c r="W566" s="4" t="n">
        <v>1438</v>
      </c>
      <c r="X566" s="3" t="inlineStr">
        <is>
          <t>미표기</t>
        </is>
      </c>
      <c r="Y566" s="7" t="inlineStr">
        <is>
          <t>2층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11.35m</t>
        </is>
      </c>
      <c r="AC566" s="3" t="inlineStr">
        <is>
          <t>2011-04</t>
        </is>
      </c>
      <c r="AD566" s="3" t="inlineStr">
        <is>
          <t>세로한면(가)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전동면 노장리 327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105000</v>
      </c>
      <c r="G568" s="4" t="n">
        <v>0</v>
      </c>
      <c r="H568" s="4" t="n">
        <v>2165</v>
      </c>
      <c r="I568" s="4" t="n">
        <v>655</v>
      </c>
      <c r="J568" s="5" t="n">
        <v>160.3</v>
      </c>
      <c r="K568" s="4" t="n">
        <v>708</v>
      </c>
      <c r="L568" s="4" t="n">
        <v>214</v>
      </c>
      <c r="M568" s="5" t="n">
        <v>490.7</v>
      </c>
      <c r="N568" s="3" t="inlineStr">
        <is>
          <t>1</t>
        </is>
      </c>
      <c r="O568" s="3" t="inlineStr">
        <is>
          <t>-</t>
        </is>
      </c>
      <c r="P568" s="3" t="inlineStr">
        <is>
          <t>노장산업단지 인근 두필지 창고2동,주택</t>
        </is>
      </c>
      <c r="Q568" s="6">
        <f>HYPERLINK("https://fin.land.naver.com/articles/2655702841", "매물Link")</f>
        <v/>
      </c>
      <c r="R568" s="6">
        <f>HYPERLINK("https://map.naver.com/p/search/전동면 노장리 327", "지도Link")</f>
        <v/>
      </c>
      <c r="S568" s="6">
        <f>HYPERLINK("http://www.eum.go.kr/web/ar/lu/luLandDet.jsp?pnu=3611038021103270000&amp;isNoScr=script&amp;mode=search", "토지이음")</f>
        <v/>
      </c>
      <c r="T568" s="3" t="inlineStr">
        <is>
          <t>OK수</t>
        </is>
      </c>
      <c r="U568" s="4" t="n">
        <v>1</v>
      </c>
      <c r="V568" s="5" t="n">
        <v>45.8</v>
      </c>
      <c r="W568" s="4" t="n">
        <v>993</v>
      </c>
      <c r="X568" s="3" t="inlineStr">
        <is>
          <t>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6.0m</t>
        </is>
      </c>
      <c r="AC568" s="3" t="inlineStr">
        <is>
          <t>2002-08</t>
        </is>
      </c>
      <c r="AD568" s="3" t="inlineStr">
        <is>
          <t>세로한면(가)</t>
        </is>
      </c>
    </row>
    <row r="569">
      <c r="A569" s="3" t="inlineStr">
        <is>
          <t>전동면 노장리 512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공장</t>
        </is>
      </c>
      <c r="E569" s="3" t="inlineStr">
        <is>
          <t>매매</t>
        </is>
      </c>
      <c r="F569" s="4" t="n">
        <v>150000</v>
      </c>
      <c r="G569" s="4" t="n">
        <v>0</v>
      </c>
      <c r="H569" s="4" t="n">
        <v>346</v>
      </c>
      <c r="I569" s="4" t="n">
        <v>105</v>
      </c>
      <c r="J569" s="5" t="n">
        <v>1428.6</v>
      </c>
      <c r="K569" s="4" t="n">
        <v>346</v>
      </c>
      <c r="L569" s="4" t="n">
        <v>105</v>
      </c>
      <c r="M569" s="5" t="n">
        <v>1428.6</v>
      </c>
      <c r="N569" s="3" t="inlineStr">
        <is>
          <t>1</t>
        </is>
      </c>
      <c r="O569" s="3" t="inlineStr">
        <is>
          <t>B1</t>
        </is>
      </c>
      <c r="P569" s="3" t="inlineStr">
        <is>
          <t>2차선 도로와 연접한 철골제작 공장 임대도 가능</t>
        </is>
      </c>
      <c r="Q569" s="6">
        <f>HYPERLINK("https://fin.land.naver.com/articles/2654678711", "매물Link")</f>
        <v/>
      </c>
      <c r="R569" s="6">
        <f>HYPERLINK("https://map.naver.com/p/search/전동면 노장리 512", "지도Link")</f>
        <v/>
      </c>
      <c r="S569" s="6">
        <f>HYPERLINK("http://www.eum.go.kr/web/ar/lu/luLandDet.jsp?pnu=3611038021105120000&amp;isNoScr=script&amp;mode=search",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73</v>
      </c>
      <c r="W569" s="4" t="n">
        <v>996</v>
      </c>
      <c r="X569" s="3" t="inlineStr">
        <is>
          <t>미표기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단독주택</t>
        </is>
      </c>
      <c r="AB569" s="3" t="inlineStr">
        <is>
          <t>-</t>
        </is>
      </c>
      <c r="AC569" s="3" t="inlineStr">
        <is>
          <t>1989</t>
        </is>
      </c>
      <c r="AD569" s="3" t="inlineStr">
        <is>
          <t>소로한면</t>
        </is>
      </c>
    </row>
    <row r="570">
      <c r="A570" s="3" t="inlineStr">
        <is>
          <t>전동면 미곡리 450</t>
        </is>
      </c>
      <c r="B570" s="3" t="inlineStr">
        <is>
          <t>생산관리지역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72000</v>
      </c>
      <c r="G570" s="4" t="n">
        <v>0</v>
      </c>
      <c r="H570" s="4" t="n">
        <v>2377</v>
      </c>
      <c r="I570" s="4" t="n">
        <v>719</v>
      </c>
      <c r="J570" s="5" t="n">
        <v>100.1</v>
      </c>
      <c r="K570" s="4" t="n">
        <v>950</v>
      </c>
      <c r="L570" s="4" t="n">
        <v>287</v>
      </c>
      <c r="M570" s="5" t="n">
        <v>250.9</v>
      </c>
      <c r="N570" s="3" t="inlineStr">
        <is>
          <t>1</t>
        </is>
      </c>
      <c r="O570" s="3" t="inlineStr">
        <is>
          <t>-</t>
        </is>
      </c>
      <c r="P570" s="3" t="inlineStr">
        <is>
          <t>토지719,건물288,천고4미터, 단독공장</t>
        </is>
      </c>
      <c r="Q570" s="6">
        <f>HYPERLINK("https://fin.land.naver.com/articles/2653368728", "매물Link")</f>
        <v/>
      </c>
      <c r="R570" s="6">
        <f>HYPERLINK("https://map.naver.com/p/search/전동면 미곡리 450", "지도Link")</f>
        <v/>
      </c>
      <c r="S570" s="6">
        <f>HYPERLINK("http://www.eum.go.kr/web/ar/lu/luLandDet.jsp?pnu=3611038029104500000&amp;isNoScr=script&amp;mode=search", "토지이음")</f>
        <v/>
      </c>
      <c r="T570" s="3" t="inlineStr">
        <is>
          <t>복두꺼비</t>
        </is>
      </c>
      <c r="U570" s="4" t="n">
        <v>1</v>
      </c>
      <c r="V570" s="5" t="n">
        <v>37.9</v>
      </c>
      <c r="W570" s="4" t="n">
        <v>2377</v>
      </c>
      <c r="X570" s="3" t="inlineStr">
        <is>
          <t>미표기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10.0m</t>
        </is>
      </c>
      <c r="AC570" s="3" t="inlineStr">
        <is>
          <t>2002-04</t>
        </is>
      </c>
      <c r="AD570" s="3" t="inlineStr">
        <is>
          <t>세로한면(가)</t>
        </is>
      </c>
    </row>
    <row r="571">
      <c r="A571" s="3" t="inlineStr">
        <is>
          <t>전동면 봉대리 60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월세</t>
        </is>
      </c>
      <c r="F571" s="4" t="n">
        <v>20000</v>
      </c>
      <c r="G571" s="4" t="n">
        <v>2300</v>
      </c>
      <c r="H571" s="4" t="n">
        <v>7215</v>
      </c>
      <c r="I571" s="4" t="n">
        <v>2183</v>
      </c>
      <c r="J571" s="5" t="n">
        <v>1.1</v>
      </c>
      <c r="K571" s="4" t="n">
        <v>4462</v>
      </c>
      <c r="L571" s="4" t="n">
        <v>1350</v>
      </c>
      <c r="M571" s="5" t="n">
        <v>1.7</v>
      </c>
      <c r="N571" s="3" t="inlineStr">
        <is>
          <t>1</t>
        </is>
      </c>
      <c r="O571" s="3" t="inlineStr">
        <is>
          <t>-</t>
        </is>
      </c>
      <c r="P571" s="3" t="inlineStr">
        <is>
          <t>전동면 봉대리 대형 물류창고 및 공장,노장농공단지 인근, 넓은 마당</t>
        </is>
      </c>
      <c r="Q571" s="6">
        <f>HYPERLINK("https://fin.land.naver.com/articles/2652115526", "매물Link")</f>
        <v/>
      </c>
      <c r="R571" s="6">
        <f>HYPERLINK("https://map.naver.com/p/search/전동면 봉대리 60", "지도Link")</f>
        <v/>
      </c>
      <c r="S571" s="6">
        <f>HYPERLINK("http://www.eum.go.kr/web/ar/lu/luLandDet.jsp?pnu=3611038022100600000&amp;isNoScr=script&amp;mode=search", "토지이음")</f>
        <v/>
      </c>
      <c r="T571" s="3" t="inlineStr">
        <is>
          <t>(주)미르</t>
        </is>
      </c>
      <c r="U571" s="4" t="n">
        <v>1</v>
      </c>
      <c r="V571" s="5" t="n">
        <v>65.09999999999999</v>
      </c>
      <c r="W571" s="4" t="n">
        <v>7215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-</t>
        </is>
      </c>
      <c r="AC571" s="3" t="inlineStr">
        <is>
          <t>1991-03</t>
        </is>
      </c>
      <c r="AD571" s="3" t="inlineStr">
        <is>
          <t>소로각지</t>
        </is>
      </c>
    </row>
    <row r="572">
      <c r="A572" s="3" t="inlineStr">
        <is>
          <t>전동면 송곡리 285-42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919</v>
      </c>
      <c r="I572" s="4" t="n">
        <v>278</v>
      </c>
      <c r="J572" s="5" t="n">
        <v>251.8</v>
      </c>
      <c r="K572" s="4" t="n">
        <v>272</v>
      </c>
      <c r="L572" s="4" t="n">
        <v>82</v>
      </c>
      <c r="M572" s="5" t="n">
        <v>853.7</v>
      </c>
      <c r="N572" s="3" t="inlineStr">
        <is>
          <t>2</t>
        </is>
      </c>
      <c r="O572" s="3" t="inlineStr">
        <is>
          <t>-</t>
        </is>
      </c>
      <c r="P572" s="3" t="inlineStr">
        <is>
          <t>계약전력 17kw,상수도 및 지하수,2.톤 호이스트1대</t>
        </is>
      </c>
      <c r="Q572" s="6">
        <f>HYPERLINK("https://fin.land.naver.com/articles/2650316466", "매물Link")</f>
        <v/>
      </c>
      <c r="R572" s="6">
        <f>HYPERLINK("https://map.naver.com/p/search/전동면 송곡리 285-42", "지도Link")</f>
        <v/>
      </c>
      <c r="S572" s="6">
        <f>HYPERLINK("http://www.eum.go.kr/web/ar/lu/luLandDet.jsp?pnu=3611038026102850042&amp;isNoScr=script&amp;mode=search", "토지이음")</f>
        <v/>
      </c>
      <c r="T572" s="3" t="inlineStr">
        <is>
          <t>일품</t>
        </is>
      </c>
      <c r="U572" s="4" t="n">
        <v>1</v>
      </c>
      <c r="V572" s="5" t="n">
        <v>55</v>
      </c>
      <c r="W572" s="4" t="n">
        <v>664</v>
      </c>
      <c r="X572" s="3" t="inlineStr">
        <is>
          <t>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8.2m</t>
        </is>
      </c>
      <c r="AC572" s="3" t="inlineStr">
        <is>
          <t>2014-03</t>
        </is>
      </c>
      <c r="AD572" s="3" t="inlineStr">
        <is>
          <t>세로한면(가)</t>
        </is>
      </c>
    </row>
    <row r="573">
      <c r="A573" s="3" t="inlineStr">
        <is>
          <t>전동면 송곡리 285-42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80000</v>
      </c>
      <c r="G573" s="4" t="n">
        <v>0</v>
      </c>
      <c r="H573" s="4" t="n">
        <v>919</v>
      </c>
      <c r="I573" s="4" t="n">
        <v>278</v>
      </c>
      <c r="J573" s="5" t="n">
        <v>287.8</v>
      </c>
      <c r="K573" s="4" t="n">
        <v>272</v>
      </c>
      <c r="L573" s="4" t="n">
        <v>82</v>
      </c>
      <c r="M573" s="5" t="n">
        <v>975.6</v>
      </c>
      <c r="N573" s="3" t="inlineStr">
        <is>
          <t>2</t>
        </is>
      </c>
      <c r="O573" s="3" t="inlineStr">
        <is>
          <t>-</t>
        </is>
      </c>
      <c r="P573" s="3" t="inlineStr">
        <is>
          <t>2차선 인근에 있는 공장건물 1동과 사무실로 이용하는 2층건물 일괄매매</t>
        </is>
      </c>
      <c r="Q573" s="6">
        <f>HYPERLINK("https://fin.land.naver.com/articles/2653852073", "매물Link")</f>
        <v/>
      </c>
      <c r="R573" s="6">
        <f>HYPERLINK("https://map.naver.com/p/search/전동면 송곡리 285-42", "지도Link")</f>
        <v/>
      </c>
      <c r="S573" s="6">
        <f>HYPERLINK("http://www.eum.go.kr/web/ar/lu/luLandDet.jsp?pnu=3611038026102850042&amp;isNoScr=script&amp;mode=search", "토지이음")</f>
        <v/>
      </c>
      <c r="T573" s="3" t="inlineStr">
        <is>
          <t>스마일세종</t>
        </is>
      </c>
      <c r="U573" s="4" t="n">
        <v>1</v>
      </c>
      <c r="V573" s="5" t="n">
        <v>55</v>
      </c>
      <c r="W573" s="4" t="n">
        <v>664</v>
      </c>
      <c r="X573" s="3" t="inlineStr">
        <is>
          <t>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8.2m</t>
        </is>
      </c>
      <c r="AC573" s="3" t="inlineStr">
        <is>
          <t>2014-03</t>
        </is>
      </c>
      <c r="AD573" s="3" t="inlineStr">
        <is>
          <t>세로한면(가)</t>
        </is>
      </c>
    </row>
    <row r="574">
      <c r="A574" s="3" t="inlineStr">
        <is>
          <t>전동면 송성리 675-1</t>
        </is>
      </c>
      <c r="B574" s="3" t="inlineStr">
        <is>
          <t>생산관리지역</t>
        </is>
      </c>
      <c r="C574" s="3" t="inlineStr">
        <is>
          <t>공장용지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300</v>
      </c>
      <c r="H574" s="4" t="n">
        <v>4621</v>
      </c>
      <c r="I574" s="4" t="n">
        <v>1398</v>
      </c>
      <c r="J574" s="5" t="n">
        <v>0.2</v>
      </c>
      <c r="K574" s="4" t="n">
        <v>606</v>
      </c>
      <c r="L574" s="4" t="n">
        <v>183</v>
      </c>
      <c r="M574" s="5" t="n">
        <v>1.6</v>
      </c>
      <c r="N574" s="3" t="inlineStr">
        <is>
          <t>1</t>
        </is>
      </c>
      <c r="O574" s="3" t="inlineStr">
        <is>
          <t>-</t>
        </is>
      </c>
      <c r="P574" s="3" t="inlineStr">
        <is>
          <t>세종,천안,조치원,오송  접근성과 입지 좋은 공장창고입니다.</t>
        </is>
      </c>
      <c r="Q574" s="6">
        <f>HYPERLINK("https://fin.land.naver.com/articles/2651886616", "매물Link")</f>
        <v/>
      </c>
      <c r="R574" s="6">
        <f>HYPERLINK("https://map.naver.com/p/search/전동면 송성리 675-1", "지도Link")</f>
        <v/>
      </c>
      <c r="S574" s="6">
        <f>HYPERLINK("http://www.eum.go.kr/web/ar/lu/luLandDet.jsp?pnu=3611038030106750001&amp;isNoScr=script&amp;mode=search", "토지이음")</f>
        <v/>
      </c>
      <c r="T574" s="3" t="inlineStr">
        <is>
          <t>천안다온</t>
        </is>
      </c>
      <c r="U574" s="4" t="n">
        <v>1</v>
      </c>
      <c r="V574" s="5" t="n">
        <v>22</v>
      </c>
      <c r="W574" s="4" t="n">
        <v>4485</v>
      </c>
      <c r="X574" s="3" t="inlineStr">
        <is>
          <t>미표기</t>
        </is>
      </c>
      <c r="Y574" s="7" t="inlineStr">
        <is>
          <t>2층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-</t>
        </is>
      </c>
      <c r="AC574" s="3" t="inlineStr">
        <is>
          <t>1992-12</t>
        </is>
      </c>
      <c r="AD574" s="3" t="inlineStr">
        <is>
          <t>세로한면(가)</t>
        </is>
      </c>
    </row>
    <row r="575">
      <c r="A575" s="3" t="inlineStr">
        <is>
          <t>전동면 심중리 466-3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85000</v>
      </c>
      <c r="G575" s="4" t="n">
        <v>0</v>
      </c>
      <c r="H575" s="4" t="n">
        <v>578</v>
      </c>
      <c r="I575" s="4" t="n">
        <v>175</v>
      </c>
      <c r="J575" s="5" t="n">
        <v>485.7</v>
      </c>
      <c r="K575" s="4" t="n">
        <v>208</v>
      </c>
      <c r="L575" s="4" t="n">
        <v>63</v>
      </c>
      <c r="M575" s="5" t="n">
        <v>1349.2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도로에 접한 계획관리지역의 대지와 공장 및 호이스트 5톤과 3톤</t>
        </is>
      </c>
      <c r="Q575" s="6">
        <f>HYPERLINK("https://fin.land.naver.com/articles/2655062460", "매물Link")</f>
        <v/>
      </c>
      <c r="R575" s="6">
        <f>HYPERLINK("https://map.naver.com/p/search/전동면 심중리 466-3", "지도Link")</f>
        <v/>
      </c>
      <c r="S575" s="6">
        <f>HYPERLINK("http://www.eum.go.kr/web/ar/lu/luLandDet.jsp?pnu=3611038031104660003&amp;isNoScr=script&amp;mode=search", "토지이음")</f>
        <v/>
      </c>
      <c r="T575" s="3" t="inlineStr">
        <is>
          <t>스마일세종</t>
        </is>
      </c>
      <c r="U575" s="4" t="n">
        <v>1</v>
      </c>
      <c r="V575" s="5" t="n">
        <v>81.40000000000001</v>
      </c>
      <c r="W575" s="4" t="n">
        <v>185</v>
      </c>
      <c r="X575" s="3" t="inlineStr">
        <is>
          <t>미표기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7.4m</t>
        </is>
      </c>
      <c r="AC575" s="3" t="inlineStr">
        <is>
          <t>2002-12</t>
        </is>
      </c>
      <c r="AD575" s="3" t="inlineStr">
        <is>
          <t>소로한면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 연접 대형 차량 진.출입 원활 호이스트 3기 설치</t>
        </is>
      </c>
      <c r="Q576" s="6">
        <f>HYPERLINK("https://fin.land.naver.com/articles/2654678844",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487-17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225000</v>
      </c>
      <c r="G577" s="4" t="n">
        <v>0</v>
      </c>
      <c r="H577" s="4" t="n">
        <v>2314</v>
      </c>
      <c r="I577" s="4" t="n">
        <v>700</v>
      </c>
      <c r="J577" s="5" t="n">
        <v>321.4</v>
      </c>
      <c r="K577" s="4" t="n">
        <v>628</v>
      </c>
      <c r="L577" s="4" t="n">
        <v>190</v>
      </c>
      <c r="M577" s="5" t="n">
        <v>1184.2</v>
      </c>
      <c r="N577" s="3" t="inlineStr">
        <is>
          <t>2</t>
        </is>
      </c>
      <c r="O577" s="3" t="inlineStr">
        <is>
          <t>-</t>
        </is>
      </c>
      <c r="P577" s="3" t="inlineStr">
        <is>
          <t>전동면 심중리 계획관리지역 공장용지 매매</t>
        </is>
      </c>
      <c r="Q577" s="6">
        <f>HYPERLINK("https://fin.land.naver.com/articles/2653160108", "매물Link")</f>
        <v/>
      </c>
      <c r="R577" s="6">
        <f>HYPERLINK("https://map.naver.com/p/search/전동면 심중리 487-17", "지도Link")</f>
        <v/>
      </c>
      <c r="S577" s="6">
        <f>HYPERLINK("http://www.eum.go.kr/web/ar/lu/luLandDet.jsp?pnu=3611038031104870017&amp;isNoScr=script&amp;mode=search", "토지이음")</f>
        <v/>
      </c>
      <c r="T577" s="3" t="inlineStr">
        <is>
          <t>스타트</t>
        </is>
      </c>
      <c r="U577" s="4" t="n">
        <v>1</v>
      </c>
      <c r="V577" s="5" t="n">
        <v>68</v>
      </c>
      <c r="W577" s="4" t="n">
        <v>2314</v>
      </c>
      <c r="X577" s="3" t="inlineStr">
        <is>
          <t>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8.9m</t>
        </is>
      </c>
      <c r="AC577" s="3" t="inlineStr">
        <is>
          <t>2005-12</t>
        </is>
      </c>
      <c r="AD577" s="3" t="inlineStr">
        <is>
          <t>세로한면(가)</t>
        </is>
      </c>
    </row>
    <row r="578">
      <c r="A578" s="3" t="inlineStr">
        <is>
          <t>전의면 신정리 476-12</t>
        </is>
      </c>
      <c r="B578" s="3" t="inlineStr">
        <is>
          <t>농림지역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260000</v>
      </c>
      <c r="G578" s="4" t="n">
        <v>0</v>
      </c>
      <c r="H578" s="4" t="n">
        <v>8431</v>
      </c>
      <c r="I578" s="4" t="n">
        <v>2550</v>
      </c>
      <c r="J578" s="5" t="n">
        <v>102</v>
      </c>
      <c r="K578" s="4" t="n">
        <v>1228</v>
      </c>
      <c r="L578" s="4" t="n">
        <v>371</v>
      </c>
      <c r="M578" s="5" t="n">
        <v>700.8</v>
      </c>
      <c r="N578" s="3" t="inlineStr">
        <is>
          <t>2</t>
        </is>
      </c>
      <c r="O578" s="3" t="inlineStr">
        <is>
          <t>-</t>
        </is>
      </c>
      <c r="P578" s="3" t="inlineStr">
        <is>
          <t>세종시 전의면 신정리  계획관리지역내 폐기물재활용시설 제조공장 매도</t>
        </is>
      </c>
      <c r="Q578" s="6">
        <f>HYPERLINK("https://fin.land.naver.com/articles/2650901688", "매물Link")</f>
        <v/>
      </c>
      <c r="R578" s="6">
        <f>HYPERLINK("https://map.naver.com/p/search/전의면 신정리 476-12", "지도Link")</f>
        <v/>
      </c>
      <c r="S578" s="6">
        <f>HYPERLINK("http://www.eum.go.kr/web/ar/lu/luLandDet.jsp?pnu=3611037028104760012&amp;isNoScr=script&amp;mode=search", "토지이음")</f>
        <v/>
      </c>
      <c r="T578" s="3" t="inlineStr">
        <is>
          <t>리얼바인</t>
        </is>
      </c>
      <c r="U578" s="4" t="n">
        <v>1</v>
      </c>
      <c r="V578" s="5" t="n">
        <v>27</v>
      </c>
      <c r="W578" s="4" t="n">
        <v>6209</v>
      </c>
      <c r="X578" s="3" t="inlineStr">
        <is>
          <t>1동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자원순환관련시설</t>
        </is>
      </c>
      <c r="AB578" s="3" t="inlineStr">
        <is>
          <t>13.2m</t>
        </is>
      </c>
      <c r="AC578" s="3" t="inlineStr">
        <is>
          <t>2008-09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3동</t>
        </is>
      </c>
      <c r="Y579" s="7" t="inlineStr">
        <is>
          <t>2층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10.2m</t>
        </is>
      </c>
      <c r="AC579" s="3" t="inlineStr">
        <is>
          <t>2013-04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2014-07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474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단독 공장 창고 제조업 2종근생 임대</t>
        </is>
      </c>
      <c r="Q583" s="6">
        <f>HYPERLINK("https://fin.land.naver.com/articles/2651733829",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THE행복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공장임대</t>
        </is>
      </c>
      <c r="Q584" s="6">
        <f>HYPERLINK("https://fin.land.naver.com/articles/2652599291",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김준희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HYPERLINK("https://fin.land.naver.com/articles/2651341207",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상희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1동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창고시설</t>
        </is>
      </c>
      <c r="AB586" s="3" t="inlineStr">
        <is>
          <t>9.47m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673</v>
      </c>
      <c r="I587" s="4" t="n">
        <v>204</v>
      </c>
      <c r="J587" s="5" t="n">
        <v>686.3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조치원 시내 4차선 도로변 사무실 완비된 컨디션 좋은 창고 매매</t>
        </is>
      </c>
      <c r="Q587" s="6">
        <f>HYPERLINK("https://fin.land.naver.com/articles/2654666015",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청담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666</v>
      </c>
      <c r="I588" s="4" t="n">
        <v>201</v>
      </c>
      <c r="J588" s="5" t="n">
        <v>696.5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단독사용  2종근생  하수 직관  근생 창고 매매</t>
        </is>
      </c>
      <c r="Q588" s="6">
        <f>HYPERLINK("https://fin.land.naver.com/articles/2651733853",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THE행복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HYPERLINK("https://fin.land.naver.com/articles/2650822447",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HYPERLINK("https://fin.land.naver.com/articles/2650482875",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450000</v>
      </c>
      <c r="G591" s="4" t="n">
        <v>0</v>
      </c>
      <c r="H591" s="4" t="n">
        <v>3174</v>
      </c>
      <c r="I591" s="4" t="n">
        <v>960</v>
      </c>
      <c r="J591" s="5" t="n">
        <v>468.8</v>
      </c>
      <c r="K591" s="4" t="n">
        <v>812</v>
      </c>
      <c r="L591" s="4" t="n">
        <v>246</v>
      </c>
      <c r="M591" s="5" t="n">
        <v>1829.3</v>
      </c>
      <c r="N591" s="3" t="inlineStr">
        <is>
          <t>2</t>
        </is>
      </c>
      <c r="O591" s="3" t="inlineStr">
        <is>
          <t>-</t>
        </is>
      </c>
      <c r="P591" s="3" t="inlineStr">
        <is>
          <t>사진有 창고 공장 매매</t>
        </is>
      </c>
      <c r="Q591" s="6">
        <f>HYPERLINK("https://fin.land.naver.com/articles/2650527256",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월드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420000</v>
      </c>
      <c r="G592" s="4" t="n">
        <v>0</v>
      </c>
      <c r="H592" s="4" t="n">
        <v>3240</v>
      </c>
      <c r="I592" s="4" t="n">
        <v>980</v>
      </c>
      <c r="J592" s="5" t="n">
        <v>428.6</v>
      </c>
      <c r="K592" s="4" t="n">
        <v>812</v>
      </c>
      <c r="L592" s="4" t="n">
        <v>246</v>
      </c>
      <c r="M592" s="5" t="n">
        <v>1707.3</v>
      </c>
      <c r="N592" s="3" t="inlineStr">
        <is>
          <t>2</t>
        </is>
      </c>
      <c r="O592" s="3" t="inlineStr">
        <is>
          <t>-</t>
        </is>
      </c>
      <c r="P592" s="3" t="inlineStr">
        <is>
          <t>층고8m 전력18kw 호이스트3톤 경부고속도로옆 6차선대로변인근</t>
        </is>
      </c>
      <c r="Q592" s="6">
        <f>HYPERLINK("https://fin.land.naver.com/articles/2653347378",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에이피엔주식회사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마당 넓은 단독 공장 도크 시설 있어 물류창고 추천 대형 공장 및 창고</t>
        </is>
      </c>
      <c r="Q593" s="6">
        <f>HYPERLINK("https://fin.land.naver.com/articles/2650885089",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대전토지로무소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남청주ic인접 야적장넓은 단독공장 도크시설있고 대형차 진출입용이</t>
        </is>
      </c>
      <c r="Q594" s="6">
        <f>HYPERLINK("https://fin.land.naver.com/articles/2650940963",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더원</t>
        </is>
      </c>
      <c r="U594" s="4" t="n">
        <v>2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5160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단독공장  대형차량 진입가능  민원없는곳</t>
        </is>
      </c>
      <c r="Q595" s="6">
        <f>HYPERLINK("https://fin.land.naver.com/articles/2651774105",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대박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5159</v>
      </c>
      <c r="I596" s="4" t="n">
        <v>1561</v>
      </c>
      <c r="J596" s="5" t="n">
        <v>0.5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남청주IC 인근 단독으로 사용하는 대형공장임대 진출입용이</t>
        </is>
      </c>
      <c r="Q596" s="6">
        <f>HYPERLINK("https://fin.land.naver.com/articles/2651993511",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태광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210-2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월세</t>
        </is>
      </c>
      <c r="F597" s="4" t="n">
        <v>10000</v>
      </c>
      <c r="G597" s="4" t="n">
        <v>780</v>
      </c>
      <c r="H597" s="4" t="n">
        <v>7287</v>
      </c>
      <c r="I597" s="4" t="n">
        <v>2204</v>
      </c>
      <c r="J597" s="5" t="n">
        <v>0.4</v>
      </c>
      <c r="K597" s="4" t="n">
        <v>1039</v>
      </c>
      <c r="L597" s="4" t="n">
        <v>314</v>
      </c>
      <c r="M597" s="5" t="n">
        <v>2.5</v>
      </c>
      <c r="N597" s="3" t="inlineStr">
        <is>
          <t>1</t>
        </is>
      </c>
      <c r="O597" s="3" t="inlineStr">
        <is>
          <t>-</t>
        </is>
      </c>
      <c r="P597" s="3" t="inlineStr">
        <is>
          <t>사진有 공장 임대</t>
        </is>
      </c>
      <c r="Q597" s="6">
        <f>HYPERLINK("https://fin.land.naver.com/articles/2652988736", "매물Link")</f>
        <v/>
      </c>
      <c r="R597" s="6">
        <f>HYPERLINK("https://map.naver.com/p/search/현도면 상삼리 210-2", "지도Link")</f>
        <v/>
      </c>
      <c r="S597" s="6">
        <f>HYPERLINK("http://www.eum.go.kr/web/ar/lu/luLandDet.jsp?pnu=4311232021102100002&amp;isNoScr=script&amp;mode=search", "토지이음")</f>
        <v/>
      </c>
      <c r="T597" s="3" t="inlineStr">
        <is>
          <t>월드</t>
        </is>
      </c>
      <c r="U597" s="4" t="n">
        <v>1</v>
      </c>
      <c r="V597" s="5" t="n">
        <v>63.5</v>
      </c>
      <c r="W597" s="4" t="n">
        <v>5159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629</v>
      </c>
      <c r="L598" s="4" t="n">
        <v>190</v>
      </c>
      <c r="M598" s="5" t="n">
        <v>526.3</v>
      </c>
      <c r="N598" s="3" t="inlineStr">
        <is>
          <t>1</t>
        </is>
      </c>
      <c r="O598" s="3" t="inlineStr">
        <is>
          <t>-</t>
        </is>
      </c>
      <c r="P598" s="3" t="inlineStr">
        <is>
          <t>식품가공업 공장,남청주IC 와 가까운곳으로 진출입이 편리한곳,계획관리지역</t>
        </is>
      </c>
      <c r="Q598" s="6">
        <f>HYPERLINK("https://fin.land.naver.com/articles/2652906004",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금화랜드</t>
        </is>
      </c>
      <c r="U598" s="4" t="n">
        <v>2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436</v>
      </c>
      <c r="L599" s="4" t="n">
        <v>132</v>
      </c>
      <c r="M599" s="5" t="n">
        <v>757.6</v>
      </c>
      <c r="N599" s="3" t="inlineStr">
        <is>
          <t>1</t>
        </is>
      </c>
      <c r="O599" s="3" t="inlineStr">
        <is>
          <t>-</t>
        </is>
      </c>
      <c r="P599" s="3" t="inlineStr">
        <is>
          <t>2차선 도로에 접한 전면이 넓음 남청주 IC 인접 접근성 최고</t>
        </is>
      </c>
      <c r="Q599" s="6">
        <f>HYPERLINK("https://fin.land.naver.com/articles/2650692895",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HYPERLINK("https://fin.land.naver.com/articles/2653328422",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다온팩토리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실사진0k 층고8.5m 단독 근생창고 무권리 공장등록가능</t>
        </is>
      </c>
      <c r="Q602" s="6">
        <f>HYPERLINK("https://fin.land.naver.com/articles/2655034601",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이음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즉시 사용 가능 접근성 좋고 노출효과 좋음 층고 높은 공장 창고</t>
        </is>
      </c>
      <c r="Q603" s="6">
        <f>HYPERLINK("https://fin.land.naver.com/articles/2655405780",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대전토지로무소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남청주ic 4분 츄레라 진입 가능한 준신축 대형 창고</t>
        </is>
      </c>
      <c r="Q606" s="6">
        <f>HYPERLINK("https://fin.land.naver.com/articles/2654849028",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KS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시동리 369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1000000</v>
      </c>
      <c r="G607" s="4" t="n">
        <v>0</v>
      </c>
      <c r="H607" s="4" t="n">
        <v>21592</v>
      </c>
      <c r="I607" s="4" t="n">
        <v>6532</v>
      </c>
      <c r="J607" s="5" t="n">
        <v>153.1</v>
      </c>
      <c r="K607" s="4" t="n">
        <v>2080</v>
      </c>
      <c r="L607" s="4" t="n">
        <v>629</v>
      </c>
      <c r="M607" s="5" t="n">
        <v>1589.8</v>
      </c>
      <c r="N607" s="3" t="inlineStr">
        <is>
          <t>2</t>
        </is>
      </c>
      <c r="O607" s="3" t="inlineStr">
        <is>
          <t>-</t>
        </is>
      </c>
      <c r="P607" s="3" t="inlineStr">
        <is>
          <t>사진有 공장 매매</t>
        </is>
      </c>
      <c r="Q607" s="6">
        <f>HYPERLINK("https://fin.land.naver.com/articles/2650528176", "매물Link")</f>
        <v/>
      </c>
      <c r="R607" s="6">
        <f>HYPERLINK("https://map.naver.com/p/search/현도면 시동리 369", "지도Link")</f>
        <v/>
      </c>
      <c r="S607" s="6">
        <f>HYPERLINK("http://www.eum.go.kr/web/ar/lu/luLandDet.jsp?pnu=4311232025103690000&amp;isNoScr=script&amp;mode=search", "토지이음")</f>
        <v/>
      </c>
      <c r="T607" s="3" t="inlineStr">
        <is>
          <t>월드</t>
        </is>
      </c>
      <c r="U607" s="4" t="n">
        <v>1</v>
      </c>
      <c r="V607" s="5" t="n">
        <v>62.5</v>
      </c>
      <c r="W607" s="4" t="n">
        <v>2484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16743</v>
      </c>
      <c r="I608" s="4" t="n">
        <v>5065</v>
      </c>
      <c r="J608" s="5" t="n">
        <v>197.4</v>
      </c>
      <c r="K608" s="4" t="n">
        <v>10631</v>
      </c>
      <c r="L608" s="4" t="n">
        <v>3216</v>
      </c>
      <c r="M608" s="5" t="n">
        <v>310.9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 IC 인근 넓은 마당 및 대지가 넓은 대형 공장 창고 매매</t>
        </is>
      </c>
      <c r="Q608" s="6">
        <f>HYPERLINK("https://fin.land.naver.com/articles/2654969770",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대전토지로무소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20145</v>
      </c>
      <c r="I609" s="4" t="n">
        <v>6094</v>
      </c>
      <c r="J609" s="5" t="n">
        <v>164.1</v>
      </c>
      <c r="K609" s="4" t="n">
        <v>3278</v>
      </c>
      <c r="L609" s="4" t="n">
        <v>992</v>
      </c>
      <c r="M609" s="5" t="n">
        <v>1008.1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남청주IC 인근,2차선 접한 공장,대지가 넓어 공장,물류센터로 추천,</t>
        </is>
      </c>
      <c r="Q609" s="6">
        <f>HYPERLINK("https://fin.land.naver.com/articles/2651575968",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금화랜드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1500000</v>
      </c>
      <c r="G610" s="4" t="n">
        <v>0</v>
      </c>
      <c r="H610" s="4" t="n">
        <v>18597</v>
      </c>
      <c r="I610" s="4" t="n">
        <v>5626</v>
      </c>
      <c r="J610" s="5" t="n">
        <v>266.6</v>
      </c>
      <c r="K610" s="4" t="n">
        <v>10465</v>
      </c>
      <c r="L610" s="4" t="n">
        <v>3166</v>
      </c>
      <c r="M610" s="5" t="n">
        <v>473.8</v>
      </c>
      <c r="N610" s="3" t="inlineStr">
        <is>
          <t>2</t>
        </is>
      </c>
      <c r="O610" s="3" t="inlineStr">
        <is>
          <t>-</t>
        </is>
      </c>
      <c r="P610" s="3" t="inlineStr">
        <is>
          <t>현도면의 대규모 물류창고 매매</t>
        </is>
      </c>
      <c r="Q610" s="6">
        <f>HYPERLINK("https://fin.land.naver.com/articles/2654660101",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금화랜드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500000</v>
      </c>
      <c r="G611" s="4" t="n">
        <v>0</v>
      </c>
      <c r="H611" s="4" t="n">
        <v>4954</v>
      </c>
      <c r="I611" s="4" t="n">
        <v>1499</v>
      </c>
      <c r="J611" s="5" t="n">
        <v>333.6</v>
      </c>
      <c r="K611" s="4" t="n">
        <v>3390</v>
      </c>
      <c r="L611" s="4" t="n">
        <v>1025</v>
      </c>
      <c r="M611" s="5" t="n">
        <v>487.8</v>
      </c>
      <c r="N611" s="3" t="inlineStr">
        <is>
          <t>2</t>
        </is>
      </c>
      <c r="O611" s="3" t="inlineStr">
        <is>
          <t>-</t>
        </is>
      </c>
      <c r="P611" s="3" t="inlineStr">
        <is>
          <t>남청주IC에서 가까워 대형차 진출입이 용이한 대규모 물류창고</t>
        </is>
      </c>
      <c r="Q611" s="6">
        <f>HYPERLINK("https://fin.land.naver.com/articles/2655095778",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(주)미르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고속도로 바로 옆에 위치하여 광고효과 좋고, 호이스트 설치된 창고</t>
        </is>
      </c>
      <c r="Q612" s="6">
        <f>HYPERLINK("https://fin.land.naver.com/articles/2654296576",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월세</t>
        </is>
      </c>
      <c r="F613" s="4" t="n">
        <v>10000</v>
      </c>
      <c r="G613" s="4" t="n">
        <v>1000</v>
      </c>
      <c r="H613" s="4" t="n">
        <v>4954</v>
      </c>
      <c r="I613" s="4" t="n">
        <v>1499</v>
      </c>
      <c r="J613" s="5" t="n">
        <v>0.7</v>
      </c>
      <c r="K613" s="4" t="n">
        <v>1718</v>
      </c>
      <c r="L613" s="4" t="n">
        <v>520</v>
      </c>
      <c r="M613" s="5" t="n">
        <v>1.9</v>
      </c>
      <c r="N613" s="3" t="inlineStr">
        <is>
          <t>2</t>
        </is>
      </c>
      <c r="O613" s="3" t="inlineStr">
        <is>
          <t>-</t>
        </is>
      </c>
      <c r="P613" s="3" t="inlineStr">
        <is>
          <t>사진有 창고 임대</t>
        </is>
      </c>
      <c r="Q613" s="6">
        <f>HYPERLINK("https://fin.land.naver.com/articles/2652988720",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월드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월세</t>
        </is>
      </c>
      <c r="F614" s="4" t="n">
        <v>10000</v>
      </c>
      <c r="G614" s="4" t="n">
        <v>1000</v>
      </c>
      <c r="H614" s="4" t="n">
        <v>4954</v>
      </c>
      <c r="I614" s="4" t="n">
        <v>1499</v>
      </c>
      <c r="J614" s="5" t="n">
        <v>0.7</v>
      </c>
      <c r="K614" s="4" t="n">
        <v>1718</v>
      </c>
      <c r="L614" s="4" t="n">
        <v>520</v>
      </c>
      <c r="M614" s="5" t="n">
        <v>1.9</v>
      </c>
      <c r="N614" s="3" t="inlineStr">
        <is>
          <t>1</t>
        </is>
      </c>
      <c r="O614" s="3" t="inlineStr">
        <is>
          <t>-</t>
        </is>
      </c>
      <c r="P614" s="3" t="inlineStr">
        <is>
          <t>경부고속도로 옆 광고효과최상 단독사용 호이스트2대 남청주ic 5분거리</t>
        </is>
      </c>
      <c r="Q614" s="6">
        <f>HYPERLINK("https://fin.land.naver.com/articles/2650948034",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5600</v>
      </c>
      <c r="G615" s="4" t="n">
        <v>560</v>
      </c>
      <c r="H615" s="4" t="n">
        <v>4954</v>
      </c>
      <c r="I615" s="4" t="n">
        <v>1499</v>
      </c>
      <c r="J615" s="5" t="n">
        <v>0.4</v>
      </c>
      <c r="K615" s="4" t="n">
        <v>925</v>
      </c>
      <c r="L615" s="4" t="n">
        <v>280</v>
      </c>
      <c r="M615" s="5" t="n">
        <v>2</v>
      </c>
      <c r="N615" s="3" t="inlineStr">
        <is>
          <t>1</t>
        </is>
      </c>
      <c r="O615" s="3" t="inlineStr">
        <is>
          <t>-</t>
        </is>
      </c>
      <c r="P615" s="3" t="inlineStr">
        <is>
          <t>즉시 사용 가능 남청주 IC 인근 , 호이스트, 대형차 진출입 원활</t>
        </is>
      </c>
      <c r="Q615" s="6">
        <f>HYPERLINK("https://fin.land.naver.com/articles/2652174883",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1500000</v>
      </c>
      <c r="G616" s="4" t="n">
        <v>0</v>
      </c>
      <c r="H616" s="4" t="n">
        <v>15907</v>
      </c>
      <c r="I616" s="4" t="n">
        <v>4812</v>
      </c>
      <c r="J616" s="5" t="n">
        <v>311.7</v>
      </c>
      <c r="K616" s="4" t="n">
        <v>10462</v>
      </c>
      <c r="L616" s="4" t="n">
        <v>3165</v>
      </c>
      <c r="M616" s="5" t="n">
        <v>473.9</v>
      </c>
      <c r="N616" s="3" t="inlineStr">
        <is>
          <t>2</t>
        </is>
      </c>
      <c r="O616" s="3" t="inlineStr">
        <is>
          <t>-</t>
        </is>
      </c>
      <c r="P616" s="3" t="inlineStr">
        <is>
          <t>남청주IC에서 가까워 대형차 진출입이 용이한 대규모 물류창고</t>
        </is>
      </c>
      <c r="Q616" s="6">
        <f>HYPERLINK("https://fin.land.naver.com/articles/2654300805",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(주)미르</t>
        </is>
      </c>
      <c r="U616" s="4" t="n">
        <v>2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1500000</v>
      </c>
      <c r="G617" s="4" t="n">
        <v>0</v>
      </c>
      <c r="H617" s="4" t="n">
        <v>15907</v>
      </c>
      <c r="I617" s="4" t="n">
        <v>4812</v>
      </c>
      <c r="J617" s="5" t="n">
        <v>311.7</v>
      </c>
      <c r="K617" s="4" t="n">
        <v>10465</v>
      </c>
      <c r="L617" s="4" t="n">
        <v>3166</v>
      </c>
      <c r="M617" s="5" t="n">
        <v>473.8</v>
      </c>
      <c r="N617" s="3" t="inlineStr">
        <is>
          <t>3</t>
        </is>
      </c>
      <c r="O617" s="3" t="inlineStr">
        <is>
          <t>-</t>
        </is>
      </c>
      <c r="P617" s="3" t="inlineStr">
        <is>
          <t>사진有 공장 창고 매매</t>
        </is>
      </c>
      <c r="Q617" s="6">
        <f>HYPERLINK("https://fin.land.naver.com/articles/2650526044",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월드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500000</v>
      </c>
      <c r="G618" s="4" t="n">
        <v>0</v>
      </c>
      <c r="H618" s="4" t="n">
        <v>4954</v>
      </c>
      <c r="I618" s="4" t="n">
        <v>1499</v>
      </c>
      <c r="J618" s="5" t="n">
        <v>333.6</v>
      </c>
      <c r="K618" s="4" t="n">
        <v>3390</v>
      </c>
      <c r="L618" s="4" t="n">
        <v>1025</v>
      </c>
      <c r="M618" s="5" t="n">
        <v>487.8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 고속도로 옆 광고효과 가시성 좋은 물류창고 호이스트설치</t>
        </is>
      </c>
      <c r="Q618" s="6">
        <f>HYPERLINK("https://fin.land.naver.com/articles/2654184518",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더원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500000</v>
      </c>
      <c r="G619" s="4" t="n">
        <v>0</v>
      </c>
      <c r="H619" s="4" t="n">
        <v>4954</v>
      </c>
      <c r="I619" s="4" t="n">
        <v>1499</v>
      </c>
      <c r="J619" s="5" t="n">
        <v>333.6</v>
      </c>
      <c r="K619" s="4" t="n">
        <v>3390</v>
      </c>
      <c r="L619" s="4" t="n">
        <v>1025</v>
      </c>
      <c r="M619" s="5" t="n">
        <v>487.8</v>
      </c>
      <c r="N619" s="3" t="inlineStr">
        <is>
          <t>1</t>
        </is>
      </c>
      <c r="O619" s="3" t="inlineStr">
        <is>
          <t>-</t>
        </is>
      </c>
      <c r="P619" s="3" t="inlineStr">
        <is>
          <t>고속도로 광고효과 좋은 대형 물류창고, 호이스트, 대형차 진출입 원활</t>
        </is>
      </c>
      <c r="Q619" s="6">
        <f>HYPERLINK("https://fin.land.naver.com/articles/2652882825",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1000000</v>
      </c>
      <c r="G620" s="4" t="n">
        <v>0</v>
      </c>
      <c r="H620" s="4" t="n">
        <v>9164</v>
      </c>
      <c r="I620" s="4" t="n">
        <v>2772</v>
      </c>
      <c r="J620" s="5" t="n">
        <v>360.8</v>
      </c>
      <c r="K620" s="4" t="n">
        <v>6783</v>
      </c>
      <c r="L620" s="4" t="n">
        <v>2052</v>
      </c>
      <c r="M620" s="5" t="n">
        <v>487.3</v>
      </c>
      <c r="N620" s="3" t="inlineStr">
        <is>
          <t>3</t>
        </is>
      </c>
      <c r="O620" s="3" t="inlineStr">
        <is>
          <t>-</t>
        </is>
      </c>
      <c r="P620" s="3" t="inlineStr">
        <is>
          <t>남청주IC에서 가까워 대형차 진출입이 용이한 대규모 물류창고</t>
        </is>
      </c>
      <c r="Q620" s="6">
        <f>HYPERLINK("https://fin.land.naver.com/articles/2651033406",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(주)미르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1500000</v>
      </c>
      <c r="G621" s="4" t="n">
        <v>0</v>
      </c>
      <c r="H621" s="4" t="n">
        <v>18597</v>
      </c>
      <c r="I621" s="4" t="n">
        <v>5626</v>
      </c>
      <c r="J621" s="5" t="n">
        <v>266.6</v>
      </c>
      <c r="K621" s="4" t="n">
        <v>10465</v>
      </c>
      <c r="L621" s="4" t="n">
        <v>3166</v>
      </c>
      <c r="M621" s="5" t="n">
        <v>473.8</v>
      </c>
      <c r="N621" s="3" t="inlineStr">
        <is>
          <t>2</t>
        </is>
      </c>
      <c r="O621" s="3" t="inlineStr">
        <is>
          <t>-</t>
        </is>
      </c>
      <c r="P621" s="3" t="inlineStr">
        <is>
          <t>고속도로 광고 효과 최고 대형 공장 물류 창고, 호이스트  대형차 진출</t>
        </is>
      </c>
      <c r="Q621" s="6">
        <f>HYPERLINK("https://fin.land.naver.com/articles/2652885559",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대전토지로무소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1500000</v>
      </c>
      <c r="G622" s="4" t="n">
        <v>0</v>
      </c>
      <c r="H622" s="4" t="n">
        <v>18597</v>
      </c>
      <c r="I622" s="4" t="n">
        <v>5626</v>
      </c>
      <c r="J622" s="5" t="n">
        <v>266.6</v>
      </c>
      <c r="K622" s="4" t="n">
        <v>10465</v>
      </c>
      <c r="L622" s="4" t="n">
        <v>3166</v>
      </c>
      <c r="M622" s="5" t="n">
        <v>473.8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 고속도로 옆 광고효과 가시성 좋은 대형공장이나 물류창고</t>
        </is>
      </c>
      <c r="Q622" s="6">
        <f>HYPERLINK("https://fin.land.naver.com/articles/2652625183",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20000</v>
      </c>
      <c r="G623" s="4" t="n">
        <v>2000</v>
      </c>
      <c r="H623" s="4" t="n">
        <v>3322</v>
      </c>
      <c r="I623" s="4" t="n">
        <v>1005</v>
      </c>
      <c r="J623" s="5" t="n">
        <v>2</v>
      </c>
      <c r="K623" s="4" t="n">
        <v>3306</v>
      </c>
      <c r="L623" s="4" t="n">
        <v>1000</v>
      </c>
      <c r="M623" s="5" t="n">
        <v>2</v>
      </c>
      <c r="N623" s="3" t="inlineStr">
        <is>
          <t>2</t>
        </is>
      </c>
      <c r="O623" s="3" t="inlineStr">
        <is>
          <t>-</t>
        </is>
      </c>
      <c r="P623" s="3" t="inlineStr">
        <is>
          <t>남청주IC약 8분거리 대형차 진입용이한 공장 및 창고 입니다</t>
        </is>
      </c>
      <c r="Q623" s="6">
        <f>HYPERLINK("https://fin.land.naver.com/articles/2652020785",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더행복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매매</t>
        </is>
      </c>
      <c r="F624" s="4" t="n">
        <v>1000000</v>
      </c>
      <c r="G624" s="4" t="n">
        <v>0</v>
      </c>
      <c r="H624" s="4" t="n">
        <v>9146</v>
      </c>
      <c r="I624" s="4" t="n">
        <v>2767</v>
      </c>
      <c r="J624" s="5" t="n">
        <v>361.4</v>
      </c>
      <c r="K624" s="4" t="n">
        <v>6783</v>
      </c>
      <c r="L624" s="4" t="n">
        <v>2052</v>
      </c>
      <c r="M624" s="5" t="n">
        <v>487.3</v>
      </c>
      <c r="N624" s="3" t="inlineStr">
        <is>
          <t>3</t>
        </is>
      </c>
      <c r="O624" s="3" t="inlineStr">
        <is>
          <t>-</t>
        </is>
      </c>
      <c r="P624" s="3" t="inlineStr">
        <is>
          <t>남청주ic 고속도로 옆  광고. 전시효과 좋은 대형공장이나 물류창고</t>
        </is>
      </c>
      <c r="Q624" s="6">
        <f>HYPERLINK("https://fin.land.naver.com/articles/2654182761",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6000</v>
      </c>
      <c r="G625" s="4" t="n">
        <v>600</v>
      </c>
      <c r="H625" s="4" t="n">
        <v>30294</v>
      </c>
      <c r="I625" s="4" t="n">
        <v>9164</v>
      </c>
      <c r="J625" s="5" t="n">
        <v>0.1</v>
      </c>
      <c r="K625" s="4" t="n">
        <v>925</v>
      </c>
      <c r="L625" s="4" t="n">
        <v>280</v>
      </c>
      <c r="M625" s="5" t="n">
        <v>2.1</v>
      </c>
      <c r="N625" s="3" t="inlineStr">
        <is>
          <t>3</t>
        </is>
      </c>
      <c r="O625" s="3" t="inlineStr">
        <is>
          <t>-</t>
        </is>
      </c>
      <c r="P625" s="3" t="inlineStr">
        <is>
          <t>신탄진 현도교에서  8분거리 위치한 공장 및 창고 입니다</t>
        </is>
      </c>
      <c r="Q625" s="6">
        <f>HYPERLINK("https://fin.land.naver.com/articles/2654292750",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월세</t>
        </is>
      </c>
      <c r="F626" s="4" t="n">
        <v>20000</v>
      </c>
      <c r="G626" s="4" t="n">
        <v>2000</v>
      </c>
      <c r="H626" s="4" t="n">
        <v>9164</v>
      </c>
      <c r="I626" s="4" t="n">
        <v>2772</v>
      </c>
      <c r="J626" s="5" t="n">
        <v>0.7</v>
      </c>
      <c r="K626" s="4" t="n">
        <v>3322</v>
      </c>
      <c r="L626" s="4" t="n">
        <v>1005</v>
      </c>
      <c r="M626" s="5" t="n">
        <v>2</v>
      </c>
      <c r="N626" s="3" t="inlineStr">
        <is>
          <t>1</t>
        </is>
      </c>
      <c r="O626" s="3" t="inlineStr">
        <is>
          <t>-</t>
        </is>
      </c>
      <c r="P626" s="3" t="inlineStr">
        <is>
          <t>경부고속도로옆 광고효과 좋고 남청주ic 5분거리로 공장이나 물류창고</t>
        </is>
      </c>
      <c r="Q626" s="6">
        <f>HYPERLINK("https://fin.land.naver.com/articles/2650873464",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730-1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200000</v>
      </c>
      <c r="G628" s="4" t="n">
        <v>0</v>
      </c>
      <c r="H628" s="4" t="n">
        <v>3599</v>
      </c>
      <c r="I628" s="4" t="n">
        <v>1089</v>
      </c>
      <c r="J628" s="5" t="n">
        <v>183.7</v>
      </c>
      <c r="K628" s="4" t="n">
        <v>2145</v>
      </c>
      <c r="L628" s="4" t="n">
        <v>649</v>
      </c>
      <c r="M628" s="5" t="n">
        <v>308.2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남청주IC인근으로 대형차진출입이 편리한 공장 매매,넓은 마당 보유</t>
        </is>
      </c>
      <c r="Q628" s="6">
        <f>HYPERLINK("https://fin.land.naver.com/articles/2654296517", "매물Link")</f>
        <v/>
      </c>
      <c r="R628" s="6">
        <f>HYPERLINK("https://map.naver.com/p/search/현도면 우록리 730-1", "지도Link")</f>
        <v/>
      </c>
      <c r="S628" s="6">
        <f>HYPERLINK("http://www.eum.go.kr/web/ar/lu/luLandDet.jsp?pnu=4311232024107300001&amp;isNoScr=script&amp;mode=search", "토지이음")</f>
        <v/>
      </c>
      <c r="T628" s="3" t="inlineStr">
        <is>
          <t>(주)미르</t>
        </is>
      </c>
      <c r="U628" s="4" t="n">
        <v>2</v>
      </c>
      <c r="V628" s="5" t="n">
        <v>72.09999999999999</v>
      </c>
      <c r="W628" s="4" t="n">
        <v>2985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740-3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750000</v>
      </c>
      <c r="G630" s="4" t="n">
        <v>0</v>
      </c>
      <c r="H630" s="4" t="n">
        <v>12086</v>
      </c>
      <c r="I630" s="4" t="n">
        <v>3656</v>
      </c>
      <c r="J630" s="5" t="n">
        <v>205.1</v>
      </c>
      <c r="K630" s="4" t="n">
        <v>2216</v>
      </c>
      <c r="L630" s="4" t="n">
        <v>670</v>
      </c>
      <c r="M630" s="5" t="n">
        <v>1119.4</v>
      </c>
      <c r="N630" s="3" t="inlineStr">
        <is>
          <t>3</t>
        </is>
      </c>
      <c r="O630" s="3" t="inlineStr">
        <is>
          <t>-</t>
        </is>
      </c>
      <c r="P630" s="3" t="inlineStr">
        <is>
          <t>대지가 넓은 공장으로 민원소지가 없으며 광고 효과가 좋음</t>
        </is>
      </c>
      <c r="Q630" s="6">
        <f>HYPERLINK("https://fin.land.naver.com/articles/2655487194", "매물Link")</f>
        <v/>
      </c>
      <c r="R630" s="6">
        <f>HYPERLINK("https://map.naver.com/p/search/현도면 우록리 740-3", "지도Link")</f>
        <v/>
      </c>
      <c r="S630" s="6">
        <f>HYPERLINK("http://www.eum.go.kr/web/ar/lu/luLandDet.jsp?pnu=4311232024107400003&amp;isNoScr=script&amp;mode=search",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59.8</v>
      </c>
      <c r="W630" s="4" t="n">
        <v>11365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740-3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750000</v>
      </c>
      <c r="G631" s="4" t="n">
        <v>0</v>
      </c>
      <c r="H631" s="4" t="n">
        <v>11836</v>
      </c>
      <c r="I631" s="4" t="n">
        <v>3580</v>
      </c>
      <c r="J631" s="5" t="n">
        <v>209.5</v>
      </c>
      <c r="K631" s="4" t="n">
        <v>2216</v>
      </c>
      <c r="L631" s="4" t="n">
        <v>670</v>
      </c>
      <c r="M631" s="5" t="n">
        <v>1119.4</v>
      </c>
      <c r="N631" s="3" t="inlineStr">
        <is>
          <t>3</t>
        </is>
      </c>
      <c r="O631" s="3" t="inlineStr">
        <is>
          <t>-</t>
        </is>
      </c>
      <c r="P631" s="3" t="inlineStr">
        <is>
          <t>사진有 공장 매매</t>
        </is>
      </c>
      <c r="Q631" s="6">
        <f>HYPERLINK("https://fin.land.naver.com/articles/2650522115", "매물Link")</f>
        <v/>
      </c>
      <c r="R631" s="6">
        <f>HYPERLINK("https://map.naver.com/p/search/현도면 우록리 740-3", "지도Link")</f>
        <v/>
      </c>
      <c r="S631" s="6">
        <f>HYPERLINK("http://www.eum.go.kr/web/ar/lu/luLandDet.jsp?pnu=4311232024107400003&amp;isNoScr=script&amp;mode=search", "토지이음")</f>
        <v/>
      </c>
      <c r="T631" s="3" t="inlineStr">
        <is>
          <t>월드</t>
        </is>
      </c>
      <c r="U631" s="4" t="n">
        <v>1</v>
      </c>
      <c r="V631" s="5" t="n">
        <v>59.8</v>
      </c>
      <c r="W631" s="4" t="n">
        <v>11365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753-13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8829</v>
      </c>
      <c r="I632" s="4" t="n">
        <v>2671</v>
      </c>
      <c r="J632" s="5" t="n">
        <v>262.1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남청주IC 인근, 가구마을옆, 활용도 좋은 넓은 토지가있는 신축공장</t>
        </is>
      </c>
      <c r="Q632" s="6">
        <f>HYPERLINK("https://fin.land.naver.com/articles/2650586546", "매물Link")</f>
        <v/>
      </c>
      <c r="R632" s="6">
        <f>HYPERLINK("https://map.naver.com/p/search/현도면 우록리 753-13", "지도Link")</f>
        <v/>
      </c>
      <c r="S632" s="6">
        <f>HYPERLINK("http://www.eum.go.kr/web/ar/lu/luLandDet.jsp?pnu=4311232024107530013&amp;isNoScr=script&amp;mode=search", "토지이음")</f>
        <v/>
      </c>
      <c r="T632" s="3" t="inlineStr">
        <is>
          <t>(주)미르</t>
        </is>
      </c>
      <c r="U632" s="4" t="n">
        <v>1</v>
      </c>
      <c r="V632" s="5" t="n">
        <v>15.6</v>
      </c>
      <c r="W632" s="4" t="n">
        <v>6268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753-14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700000</v>
      </c>
      <c r="G633" s="4" t="n">
        <v>0</v>
      </c>
      <c r="H633" s="4" t="n">
        <v>9821</v>
      </c>
      <c r="I633" s="4" t="n">
        <v>2971</v>
      </c>
      <c r="J633" s="5" t="n">
        <v>235.6</v>
      </c>
      <c r="K633" s="4" t="n">
        <v>1109</v>
      </c>
      <c r="L633" s="4" t="n">
        <v>335</v>
      </c>
      <c r="M633" s="5" t="n">
        <v>2089.6</v>
      </c>
      <c r="N633" s="3" t="inlineStr">
        <is>
          <t>1</t>
        </is>
      </c>
      <c r="O633" s="3" t="inlineStr">
        <is>
          <t>-</t>
        </is>
      </c>
      <c r="P633" s="3" t="inlineStr">
        <is>
          <t>대지 넓어 증축 가능한 신축급 공장,민원 걱정 없고 대형차량 진출입 용이</t>
        </is>
      </c>
      <c r="Q633" s="6">
        <f>HYPERLINK("https://fin.land.naver.com/articles/2650946317", "매물Link")</f>
        <v/>
      </c>
      <c r="R633" s="6">
        <f>HYPERLINK("https://map.naver.com/p/search/현도면 우록리 753-14", "지도Link")</f>
        <v/>
      </c>
      <c r="S633" s="6">
        <f>HYPERLINK("http://www.eum.go.kr/web/ar/lu/luLandDet.jsp?pnu=4311232024107530014&amp;isNoScr=script&amp;mode=search", "토지이음")</f>
        <v/>
      </c>
      <c r="T633" s="3" t="inlineStr">
        <is>
          <t>금화랜드</t>
        </is>
      </c>
      <c r="U633" s="4" t="n">
        <v>1</v>
      </c>
      <c r="V633" s="5" t="n">
        <v>58.9</v>
      </c>
      <c r="W633" s="4" t="n">
        <v>2561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1222</v>
      </c>
      <c r="L634" s="4" t="n">
        <v>370</v>
      </c>
      <c r="M634" s="5" t="n">
        <v>0.9</v>
      </c>
      <c r="N634" s="3" t="inlineStr">
        <is>
          <t>2</t>
        </is>
      </c>
      <c r="O634" s="3" t="inlineStr">
        <is>
          <t>-</t>
        </is>
      </c>
      <c r="P634" s="3" t="inlineStr">
        <is>
          <t>현도면 민원소지 없는 공장, 창고 임대, 즉시입주</t>
        </is>
      </c>
      <c r="Q634" s="6">
        <f>HYPERLINK("https://fin.land.naver.com/articles/2650613308",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신탄진다온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903</v>
      </c>
      <c r="L635" s="4" t="n">
        <v>273</v>
      </c>
      <c r="M635" s="5" t="n">
        <v>1.3</v>
      </c>
      <c r="N635" s="3" t="inlineStr">
        <is>
          <t>2</t>
        </is>
      </c>
      <c r="O635" s="3" t="inlineStr">
        <is>
          <t>-</t>
        </is>
      </c>
      <c r="P635" s="3" t="inlineStr">
        <is>
          <t>즉시 사용 가능한 공장 및 창고 민원 소지 없음 2개동으로 분리 되어있음</t>
        </is>
      </c>
      <c r="Q635" s="6">
        <f>HYPERLINK("https://fin.land.naver.com/articles/2652881066",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184-9</t>
        </is>
      </c>
      <c r="B636" s="3" t="inlineStr">
        <is>
          <t>계획관리지역</t>
        </is>
      </c>
      <c r="C636" s="3" t="inlineStr">
        <is>
          <t>잡종지</t>
        </is>
      </c>
      <c r="D636" s="3" t="inlineStr">
        <is>
          <t>공장</t>
        </is>
      </c>
      <c r="E636" s="3" t="inlineStr">
        <is>
          <t>매매</t>
        </is>
      </c>
      <c r="F636" s="4" t="n">
        <v>265000</v>
      </c>
      <c r="G636" s="4" t="n">
        <v>0</v>
      </c>
      <c r="H636" s="4" t="n">
        <v>6744</v>
      </c>
      <c r="I636" s="4" t="n">
        <v>2040</v>
      </c>
      <c r="J636" s="5" t="n">
        <v>129.9</v>
      </c>
      <c r="K636" s="4" t="n">
        <v>193</v>
      </c>
      <c r="L636" s="4" t="n">
        <v>58</v>
      </c>
      <c r="M636" s="5" t="n">
        <v>4569</v>
      </c>
      <c r="N636" s="3" t="inlineStr">
        <is>
          <t>2</t>
        </is>
      </c>
      <c r="O636" s="3" t="inlineStr">
        <is>
          <t>-</t>
        </is>
      </c>
      <c r="P636" s="3" t="inlineStr">
        <is>
          <t>대지사무동 포함, 자동차매매상사공장창고,야적장 부지매매</t>
        </is>
      </c>
      <c r="Q636" s="6">
        <f>HYPERLINK("https://fin.land.naver.com/articles/2650612346", "매물Link")</f>
        <v/>
      </c>
      <c r="R636" s="6">
        <f>HYPERLINK("https://map.naver.com/p/search/현도면 죽암리 184-9", "지도Link")</f>
        <v/>
      </c>
      <c r="S636" s="6">
        <f>HYPERLINK("http://www.eum.go.kr/web/ar/lu/luLandDet.jsp?pnu=4311232034101840009&amp;isNoScr=script&amp;mode=search", "토지이음")</f>
        <v/>
      </c>
      <c r="T636" s="3" t="inlineStr">
        <is>
          <t>신탄진다온</t>
        </is>
      </c>
      <c r="U636" s="4" t="n">
        <v>1</v>
      </c>
      <c r="V636" s="5" t="n">
        <v>63</v>
      </c>
      <c r="W636" s="4" t="n">
        <v>6514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221-3</t>
        </is>
      </c>
      <c r="B637" s="3" t="inlineStr">
        <is>
          <t>보전관리지역</t>
        </is>
      </c>
      <c r="C637" s="3" t="inlineStr">
        <is>
          <t>대</t>
        </is>
      </c>
      <c r="D637" s="3" t="inlineStr">
        <is>
          <t>창고</t>
        </is>
      </c>
      <c r="E637" s="3" t="inlineStr">
        <is>
          <t>매매</t>
        </is>
      </c>
      <c r="F637" s="4" t="n">
        <v>300000</v>
      </c>
      <c r="G637" s="4" t="n">
        <v>0</v>
      </c>
      <c r="H637" s="4" t="n">
        <v>6016</v>
      </c>
      <c r="I637" s="4" t="n">
        <v>1820</v>
      </c>
      <c r="J637" s="5" t="n">
        <v>164.8</v>
      </c>
      <c r="K637" s="4" t="n">
        <v>837</v>
      </c>
      <c r="L637" s="4" t="n">
        <v>253</v>
      </c>
      <c r="M637" s="5" t="n">
        <v>1185.8</v>
      </c>
      <c r="N637" s="3" t="inlineStr">
        <is>
          <t>1</t>
        </is>
      </c>
      <c r="O637" s="3" t="inlineStr">
        <is>
          <t>-</t>
        </is>
      </c>
      <c r="P637" s="3" t="inlineStr">
        <is>
          <t>대전, 세종, 청주 접근성 우수 남청주IC 7분, 부지 넓은 신축창고 매</t>
        </is>
      </c>
      <c r="Q637" s="6">
        <f>HYPERLINK("https://fin.land.naver.com/articles/2654665859", "매물Link")</f>
        <v/>
      </c>
      <c r="R637" s="6">
        <f>HYPERLINK("https://map.naver.com/p/search/현도면 죽암리 221-3", "지도Link")</f>
        <v/>
      </c>
      <c r="S637" s="6">
        <f>HYPERLINK("http://www.eum.go.kr/web/ar/lu/luLandDet.jsp?pnu=4311232034102210003&amp;isNoScr=script&amp;mode=search", "토지이음")</f>
        <v/>
      </c>
      <c r="T637" s="3" t="inlineStr">
        <is>
          <t>청담</t>
        </is>
      </c>
      <c r="U637" s="4" t="n">
        <v>1</v>
      </c>
      <c r="V637" s="5" t="n">
        <v>44.6</v>
      </c>
      <c r="W637" s="4" t="n">
        <v>4202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월세</t>
        </is>
      </c>
      <c r="F638" s="4" t="n">
        <v>7500</v>
      </c>
      <c r="G638" s="4" t="n">
        <v>750</v>
      </c>
      <c r="H638" s="4" t="n">
        <v>6016</v>
      </c>
      <c r="I638" s="4" t="n">
        <v>1820</v>
      </c>
      <c r="J638" s="5" t="n">
        <v>0.4</v>
      </c>
      <c r="K638" s="4" t="n">
        <v>837</v>
      </c>
      <c r="L638" s="4" t="n">
        <v>253</v>
      </c>
      <c r="M638" s="5" t="n">
        <v>3</v>
      </c>
      <c r="N638" s="3" t="inlineStr">
        <is>
          <t>1</t>
        </is>
      </c>
      <c r="O638" s="3" t="inlineStr">
        <is>
          <t>-</t>
        </is>
      </c>
      <c r="P638" s="3" t="inlineStr">
        <is>
          <t>남청주IC 7분, 2차선도로변 넓은 야드 단독사용 중형 신축창고 임대</t>
        </is>
      </c>
      <c r="Q638" s="6">
        <f>HYPERLINK("https://fin.land.naver.com/articles/2654665842",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청담</t>
        </is>
      </c>
      <c r="U638" s="4" t="n">
        <v>2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4598</v>
      </c>
      <c r="I639" s="4" t="n">
        <v>1391</v>
      </c>
      <c r="J639" s="5" t="n">
        <v>0.5</v>
      </c>
      <c r="K639" s="4" t="n">
        <v>838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즉시 사용 가능한 신축 창고 남청주 IC 인근 접근성 좋음, 넓은 주차장</t>
        </is>
      </c>
      <c r="Q639" s="6">
        <f>HYPERLINK("https://fin.land.naver.com/articles/2654970408",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353-2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매매</t>
        </is>
      </c>
      <c r="F640" s="4" t="n">
        <v>21000</v>
      </c>
      <c r="G640" s="4" t="n">
        <v>0</v>
      </c>
      <c r="H640" s="4" t="n">
        <v>327</v>
      </c>
      <c r="I640" s="4" t="n">
        <v>99</v>
      </c>
      <c r="J640" s="5" t="n">
        <v>212.1</v>
      </c>
      <c r="K640" s="4" t="n">
        <v>167</v>
      </c>
      <c r="L640" s="4" t="n">
        <v>51</v>
      </c>
      <c r="M640" s="5" t="n">
        <v>411.8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3분거리이며 층고5m  저렴한 소형창고매매</t>
        </is>
      </c>
      <c r="Q640" s="6">
        <f>HYPERLINK("https://fin.land.naver.com/articles/2650936228", "매물Link")</f>
        <v/>
      </c>
      <c r="R640" s="6">
        <f>HYPERLINK("https://map.naver.com/p/search/현도면 죽암리 353-2", "지도Link")</f>
        <v/>
      </c>
      <c r="S640" s="6">
        <f>HYPERLINK("http://www.eum.go.kr/web/ar/lu/luLandDet.jsp?pnu=4311232034103530002&amp;isNoScr=script&amp;mode=search",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57.4</v>
      </c>
      <c r="W640" s="4" t="n">
        <v>281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죽암리 390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10000</v>
      </c>
      <c r="G641" s="4" t="n">
        <v>900</v>
      </c>
      <c r="H641" s="4" t="n">
        <v>5631</v>
      </c>
      <c r="I641" s="4" t="n">
        <v>1703</v>
      </c>
      <c r="J641" s="5" t="n">
        <v>0.5</v>
      </c>
      <c r="K641" s="4" t="n">
        <v>1622</v>
      </c>
      <c r="L641" s="4" t="n">
        <v>491</v>
      </c>
      <c r="M641" s="5" t="n">
        <v>1.8</v>
      </c>
      <c r="N641" s="3" t="inlineStr">
        <is>
          <t>1</t>
        </is>
      </c>
      <c r="O641" s="3" t="inlineStr">
        <is>
          <t>-</t>
        </is>
      </c>
      <c r="P641" s="3" t="inlineStr">
        <is>
          <t>nan</t>
        </is>
      </c>
      <c r="Q641" s="6">
        <f>HYPERLINK("https://fin.land.naver.com/articles/2654779216", "매물Link")</f>
        <v/>
      </c>
      <c r="R641" s="6">
        <f>HYPERLINK("https://map.naver.com/p/search/현도면 죽암리 390", "지도Link")</f>
        <v/>
      </c>
      <c r="S641" s="6">
        <f>HYPERLINK("http://www.eum.go.kr/web/ar/lu/luLandDet.jsp?pnu=4311232034103900000&amp;isNoScr=script&amp;mode=search", "토지이음")</f>
        <v/>
      </c>
      <c r="T641" s="3" t="inlineStr">
        <is>
          <t>(주)동행에셋</t>
        </is>
      </c>
      <c r="U641" s="4" t="n">
        <v>1</v>
      </c>
      <c r="V641" s="5" t="n">
        <v>60.8</v>
      </c>
      <c r="W641" s="4" t="n">
        <v>5631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390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5000</v>
      </c>
      <c r="G642" s="4" t="n">
        <v>480</v>
      </c>
      <c r="H642" s="4" t="n">
        <v>5631</v>
      </c>
      <c r="I642" s="4" t="n">
        <v>1703</v>
      </c>
      <c r="J642" s="5" t="n">
        <v>0.3</v>
      </c>
      <c r="K642" s="4" t="n">
        <v>668</v>
      </c>
      <c r="L642" s="4" t="n">
        <v>202</v>
      </c>
      <c r="M642" s="5" t="n">
        <v>2.4</v>
      </c>
      <c r="N642" s="3" t="inlineStr">
        <is>
          <t>1</t>
        </is>
      </c>
      <c r="O642" s="3" t="inlineStr">
        <is>
          <t>-</t>
        </is>
      </c>
      <c r="P642" s="3" t="inlineStr">
        <is>
          <t>nan</t>
        </is>
      </c>
      <c r="Q642" s="6">
        <f>HYPERLINK("https://fin.land.naver.com/articles/2651352381", "매물Link")</f>
        <v/>
      </c>
      <c r="R642" s="6">
        <f>HYPERLINK("https://map.naver.com/p/search/현도면 죽암리 390", "지도Link")</f>
        <v/>
      </c>
      <c r="S642" s="6">
        <f>HYPERLINK("http://www.eum.go.kr/web/ar/lu/luLandDet.jsp?pnu=4311232034103900000&amp;isNoScr=script&amp;mode=search", "토지이음")</f>
        <v/>
      </c>
      <c r="T642" s="3" t="inlineStr">
        <is>
          <t>(주)동행에셋</t>
        </is>
      </c>
      <c r="U642" s="4" t="n">
        <v>1</v>
      </c>
      <c r="V642" s="5" t="n">
        <v>60.8</v>
      </c>
      <c r="W642" s="4" t="n">
        <v>5631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408-1</t>
        </is>
      </c>
      <c r="B643" s="3" t="inlineStr">
        <is>
          <t>보전관리지역</t>
        </is>
      </c>
      <c r="C643" s="3" t="inlineStr">
        <is>
          <t>주유소용지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18000</v>
      </c>
      <c r="G643" s="4" t="n">
        <v>1800</v>
      </c>
      <c r="H643" s="4" t="n">
        <v>14876</v>
      </c>
      <c r="I643" s="4" t="n">
        <v>4500</v>
      </c>
      <c r="J643" s="5" t="n">
        <v>0.4</v>
      </c>
      <c r="K643" s="4" t="n">
        <v>991</v>
      </c>
      <c r="L643" s="4" t="n">
        <v>300</v>
      </c>
      <c r="M643" s="5" t="n">
        <v>6</v>
      </c>
      <c r="N643" s="3" t="inlineStr">
        <is>
          <t>1</t>
        </is>
      </c>
      <c r="O643" s="3" t="inlineStr">
        <is>
          <t>-</t>
        </is>
      </c>
      <c r="P643" s="3" t="inlineStr">
        <is>
          <t>위험물 보관 창고 고압 가스, 특수가스 보관 창고 , 분할 임대 가능</t>
        </is>
      </c>
      <c r="Q643" s="6">
        <f>HYPERLINK("https://fin.land.naver.com/articles/2652879956", "매물Link")</f>
        <v/>
      </c>
      <c r="R643" s="6">
        <f>HYPERLINK("https://map.naver.com/p/search/현도면 죽암리 408-1", "지도Link")</f>
        <v/>
      </c>
      <c r="S643" s="6">
        <f>HYPERLINK("http://www.eum.go.kr/web/ar/lu/luLandDet.jsp?pnu=4311232034104080001&amp;isNoScr=script&amp;mode=search",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43.8</v>
      </c>
      <c r="W643" s="4" t="n">
        <v>14876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2</t>
        </is>
      </c>
      <c r="O645" s="3" t="inlineStr">
        <is>
          <t>-</t>
        </is>
      </c>
      <c r="P645" s="3" t="inlineStr">
        <is>
          <t>위험물 저장 및 처리시설 고압 가스 보관 신축 창고 임대</t>
        </is>
      </c>
      <c r="Q645" s="6">
        <f>HYPERLINK("https://fin.land.naver.com/articles/2653576498",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(주)미르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990</v>
      </c>
      <c r="L646" s="4" t="n">
        <v>299</v>
      </c>
      <c r="M646" s="5" t="n">
        <v>6</v>
      </c>
      <c r="N646" s="3" t="inlineStr">
        <is>
          <t>1</t>
        </is>
      </c>
      <c r="O646" s="3" t="inlineStr">
        <is>
          <t>-</t>
        </is>
      </c>
      <c r="P646" s="3" t="inlineStr">
        <is>
          <t>남청주IC인근 귀한 고압가스신축창고 에어로졸 제품 저장창고</t>
        </is>
      </c>
      <c r="Q646" s="6">
        <f>HYPERLINK("https://fin.land.naver.com/articles/2655605320",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태광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11000</v>
      </c>
      <c r="G647" s="4" t="n">
        <v>1100</v>
      </c>
      <c r="H647" s="4" t="n">
        <v>19215</v>
      </c>
      <c r="I647" s="4" t="n">
        <v>5813</v>
      </c>
      <c r="J647" s="5" t="n">
        <v>0.2</v>
      </c>
      <c r="K647" s="4" t="n">
        <v>628</v>
      </c>
      <c r="L647" s="4" t="n">
        <v>190</v>
      </c>
      <c r="M647" s="5" t="n">
        <v>5.8</v>
      </c>
      <c r="N647" s="3" t="inlineStr">
        <is>
          <t>3</t>
        </is>
      </c>
      <c r="O647" s="3" t="inlineStr">
        <is>
          <t>B1</t>
        </is>
      </c>
      <c r="P647" s="3" t="inlineStr">
        <is>
          <t>남청주ic4분거리 고속도로 접근성 최상냉동창고임대 대형컨테이너차량접안가능</t>
        </is>
      </c>
      <c r="Q647" s="6">
        <f>HYPERLINK("https://fin.land.naver.com/articles/2652625417", "매물Link")</f>
        <v/>
      </c>
      <c r="R647" s="6">
        <f>HYPERLINK("https://map.naver.com/p/search/현도면 죽암리 415-1", "지도Link")</f>
        <v/>
      </c>
      <c r="S647" s="6">
        <f>HYPERLINK("http://www.eum.go.kr/web/ar/lu/luLandDet.jsp?pnu=4311232034104150001&amp;isNoScr=script&amp;mode=search", "토지이음")</f>
        <v/>
      </c>
      <c r="T647" s="3" t="inlineStr">
        <is>
          <t>더원</t>
        </is>
      </c>
      <c r="U647" s="4" t="n">
        <v>1</v>
      </c>
      <c r="V647" s="5" t="n">
        <v>52.9</v>
      </c>
      <c r="W647" s="4" t="n">
        <v>17908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11000</v>
      </c>
      <c r="G648" s="4" t="n">
        <v>1100</v>
      </c>
      <c r="H648" s="4" t="n">
        <v>63520</v>
      </c>
      <c r="I648" s="4" t="n">
        <v>19215</v>
      </c>
      <c r="J648" s="5" t="n">
        <v>0.1</v>
      </c>
      <c r="K648" s="4" t="n">
        <v>628</v>
      </c>
      <c r="L648" s="4" t="n">
        <v>190</v>
      </c>
      <c r="M648" s="5" t="n">
        <v>5.8</v>
      </c>
      <c r="N648" s="3" t="inlineStr">
        <is>
          <t>3</t>
        </is>
      </c>
      <c r="O648" s="3" t="inlineStr">
        <is>
          <t>B1</t>
        </is>
      </c>
      <c r="P648" s="3" t="inlineStr">
        <is>
          <t>즉시 사용 가능한 남청주 IC 인근 냉장 냉동 창고 및 유통 창고 임대</t>
        </is>
      </c>
      <c r="Q648" s="6">
        <f>HYPERLINK("https://fin.land.naver.com/articles/2652883410",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대전토지로무소</t>
        </is>
      </c>
      <c r="U648" s="4" t="n">
        <v>1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25000</v>
      </c>
      <c r="G649" s="4" t="n">
        <v>2500</v>
      </c>
      <c r="H649" s="4" t="n">
        <v>19215</v>
      </c>
      <c r="I649" s="4" t="n">
        <v>5813</v>
      </c>
      <c r="J649" s="5" t="n">
        <v>0.4</v>
      </c>
      <c r="K649" s="4" t="n">
        <v>1373</v>
      </c>
      <c r="L649" s="4" t="n">
        <v>415</v>
      </c>
      <c r="M649" s="5" t="n">
        <v>6</v>
      </c>
      <c r="N649" s="3" t="inlineStr">
        <is>
          <t>3</t>
        </is>
      </c>
      <c r="O649" s="3" t="inlineStr">
        <is>
          <t>B1</t>
        </is>
      </c>
      <c r="P649" s="3" t="inlineStr">
        <is>
          <t>즉시 사용 가능한 냉동, 냉장 창고 임대, 도크시설 남청주IC 인접</t>
        </is>
      </c>
      <c r="Q649" s="6">
        <f>HYPERLINK("https://fin.land.naver.com/articles/2651936825",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26000</v>
      </c>
      <c r="G650" s="4" t="n">
        <v>2600</v>
      </c>
      <c r="H650" s="4" t="n">
        <v>19215</v>
      </c>
      <c r="I650" s="4" t="n">
        <v>5813</v>
      </c>
      <c r="J650" s="5" t="n">
        <v>0.4</v>
      </c>
      <c r="K650" s="4" t="n">
        <v>2948</v>
      </c>
      <c r="L650" s="4" t="n">
        <v>892</v>
      </c>
      <c r="M650" s="5" t="n">
        <v>2.9</v>
      </c>
      <c r="N650" s="3" t="inlineStr">
        <is>
          <t>3</t>
        </is>
      </c>
      <c r="O650" s="3" t="inlineStr">
        <is>
          <t>-</t>
        </is>
      </c>
      <c r="P650" s="3" t="inlineStr">
        <is>
          <t>사진有 창고 임대</t>
        </is>
      </c>
      <c r="Q650" s="6">
        <f>HYPERLINK("https://fin.land.naver.com/articles/2652988691",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월드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517</v>
      </c>
      <c r="L651" s="4" t="n">
        <v>156</v>
      </c>
      <c r="M651" s="5" t="n">
        <v>6</v>
      </c>
      <c r="N651" s="3" t="inlineStr">
        <is>
          <t>3</t>
        </is>
      </c>
      <c r="O651" s="3" t="inlineStr">
        <is>
          <t>-</t>
        </is>
      </c>
      <c r="P651" s="3" t="inlineStr">
        <is>
          <t>사진有 저온 창고 임대</t>
        </is>
      </c>
      <c r="Q651" s="6">
        <f>HYPERLINK("https://fin.land.naver.com/articles/2652988644",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월드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9400</v>
      </c>
      <c r="G652" s="4" t="n">
        <v>940</v>
      </c>
      <c r="H652" s="4" t="n">
        <v>19215</v>
      </c>
      <c r="I652" s="4" t="n">
        <v>5813</v>
      </c>
      <c r="J652" s="5" t="n">
        <v>0.2</v>
      </c>
      <c r="K652" s="4" t="n">
        <v>7120</v>
      </c>
      <c r="L652" s="4" t="n">
        <v>2154</v>
      </c>
      <c r="M652" s="5" t="n">
        <v>0.4</v>
      </c>
      <c r="N652" s="3" t="inlineStr">
        <is>
          <t>3</t>
        </is>
      </c>
      <c r="O652" s="3" t="inlineStr">
        <is>
          <t>-</t>
        </is>
      </c>
      <c r="P652" s="3" t="inlineStr">
        <is>
          <t>대형차 진출입이 편리한 냉장, 냉동 창고 임대,  남청주IC인근</t>
        </is>
      </c>
      <c r="Q652" s="6">
        <f>HYPERLINK("https://fin.land.naver.com/articles/2653660248",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(주)미르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56000</v>
      </c>
      <c r="G653" s="4" t="n">
        <v>5600</v>
      </c>
      <c r="H653" s="4" t="n">
        <v>19215</v>
      </c>
      <c r="I653" s="4" t="n">
        <v>5813</v>
      </c>
      <c r="J653" s="5" t="n">
        <v>1</v>
      </c>
      <c r="K653" s="4" t="n">
        <v>6343</v>
      </c>
      <c r="L653" s="4" t="n">
        <v>1919</v>
      </c>
      <c r="M653" s="5" t="n">
        <v>2.9</v>
      </c>
      <c r="N653" s="3" t="inlineStr">
        <is>
          <t>3</t>
        </is>
      </c>
      <c r="O653" s="3" t="inlineStr">
        <is>
          <t>-</t>
        </is>
      </c>
      <c r="P653" s="3" t="inlineStr">
        <is>
          <t>사진有 창고 임대</t>
        </is>
      </c>
      <c r="Q653" s="6">
        <f>HYPERLINK("https://fin.land.naver.com/articles/2652988667",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월드</t>
        </is>
      </c>
      <c r="U653" s="4" t="n">
        <v>2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517</v>
      </c>
      <c r="L654" s="4" t="n">
        <v>156</v>
      </c>
      <c r="M654" s="5" t="n">
        <v>6</v>
      </c>
      <c r="N654" s="3" t="inlineStr">
        <is>
          <t>3</t>
        </is>
      </c>
      <c r="O654" s="3" t="inlineStr">
        <is>
          <t>B1</t>
        </is>
      </c>
      <c r="P654" s="3" t="inlineStr">
        <is>
          <t>남청주ic 4분거리로 고속도로 접근성좋은위치의냉동창고임대</t>
        </is>
      </c>
      <c r="Q654" s="6">
        <f>HYPERLINK("https://fin.land.naver.com/articles/2652625528",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더원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7120</v>
      </c>
      <c r="L655" s="4" t="n">
        <v>2154</v>
      </c>
      <c r="M655" s="5" t="n">
        <v>0.4</v>
      </c>
      <c r="N655" s="3" t="inlineStr">
        <is>
          <t>3</t>
        </is>
      </c>
      <c r="O655" s="3" t="inlineStr">
        <is>
          <t>B1</t>
        </is>
      </c>
      <c r="P655" s="3" t="inlineStr">
        <is>
          <t>대형냉동냉장창고 다양한 평수가능 남청주IC인근 진출입용이 상세내용 확인</t>
        </is>
      </c>
      <c r="Q655" s="6">
        <f>HYPERLINK("https://fin.land.naver.com/articles/2654872944",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태광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20000</v>
      </c>
      <c r="G656" s="4" t="n">
        <v>2000</v>
      </c>
      <c r="H656" s="4" t="n">
        <v>19215</v>
      </c>
      <c r="I656" s="4" t="n">
        <v>5813</v>
      </c>
      <c r="J656" s="5" t="n">
        <v>0.3</v>
      </c>
      <c r="K656" s="4" t="n">
        <v>7120</v>
      </c>
      <c r="L656" s="4" t="n">
        <v>2154</v>
      </c>
      <c r="M656" s="5" t="n">
        <v>0.9</v>
      </c>
      <c r="N656" s="3" t="inlineStr">
        <is>
          <t>3</t>
        </is>
      </c>
      <c r="O656" s="3" t="inlineStr">
        <is>
          <t>B1</t>
        </is>
      </c>
      <c r="P656" s="3" t="inlineStr">
        <is>
          <t>진출입 편리한 대형 냉동냉장창고 다양한 평수 가능 상세정보 확인요망</t>
        </is>
      </c>
      <c r="Q656" s="6">
        <f>HYPERLINK("https://fin.land.naver.com/articles/2655616952",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태광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0.5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인근 대형 냉동 냉장창고 임대 다양한 평수 상세정보 확인요망</t>
        </is>
      </c>
      <c r="Q657" s="6">
        <f>HYPERLINK("https://fin.land.naver.com/articles/2654877131",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매매</t>
        </is>
      </c>
      <c r="F658" s="4" t="n">
        <v>3500000</v>
      </c>
      <c r="G658" s="4" t="n">
        <v>0</v>
      </c>
      <c r="H658" s="4" t="n">
        <v>19215</v>
      </c>
      <c r="I658" s="4" t="n">
        <v>5813</v>
      </c>
      <c r="J658" s="5" t="n">
        <v>602.1</v>
      </c>
      <c r="K658" s="4" t="n">
        <v>7120</v>
      </c>
      <c r="L658" s="4" t="n">
        <v>2154</v>
      </c>
      <c r="M658" s="5" t="n">
        <v>1624.9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냉장,냉동,상온창고 도크시설완비 남청주IC인근, 층고6m</t>
        </is>
      </c>
      <c r="Q658" s="6">
        <f>HYPERLINK("https://fin.land.naver.com/articles/2654296503",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35000</v>
      </c>
      <c r="G659" s="4" t="n">
        <v>3500</v>
      </c>
      <c r="H659" s="4" t="n">
        <v>19215</v>
      </c>
      <c r="I659" s="4" t="n">
        <v>5813</v>
      </c>
      <c r="J659" s="5" t="n">
        <v>0.6</v>
      </c>
      <c r="K659" s="4" t="n">
        <v>2269</v>
      </c>
      <c r="L659" s="4" t="n">
        <v>686</v>
      </c>
      <c r="M659" s="5" t="n">
        <v>5.1</v>
      </c>
      <c r="N659" s="3" t="inlineStr">
        <is>
          <t>3</t>
        </is>
      </c>
      <c r="O659" s="3" t="inlineStr">
        <is>
          <t>B1</t>
        </is>
      </c>
      <c r="P659" s="3" t="inlineStr">
        <is>
          <t>남청주ic4분거리 대형컨테이너차량 접안가능 냉동냉장상온창고임대</t>
        </is>
      </c>
      <c r="Q659" s="6">
        <f>HYPERLINK("https://fin.land.naver.com/articles/2652625565",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죽전리 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10000</v>
      </c>
      <c r="G660" s="4" t="n">
        <v>1000</v>
      </c>
      <c r="H660" s="4" t="n">
        <v>4819</v>
      </c>
      <c r="I660" s="4" t="n">
        <v>1458</v>
      </c>
      <c r="J660" s="5" t="n">
        <v>0.7</v>
      </c>
      <c r="K660" s="4" t="n">
        <v>1751</v>
      </c>
      <c r="L660" s="4" t="n">
        <v>530</v>
      </c>
      <c r="M660" s="5" t="n">
        <v>1.9</v>
      </c>
      <c r="N660" s="3" t="inlineStr">
        <is>
          <t>2</t>
        </is>
      </c>
      <c r="O660" s="3" t="inlineStr">
        <is>
          <t>-</t>
        </is>
      </c>
      <c r="P660" s="3" t="inlineStr">
        <is>
          <t>도크 시설, 화물 엘리베이터 있는 남청주 IC 인근 물류창고 사무실 있음</t>
        </is>
      </c>
      <c r="Q660" s="6">
        <f>HYPERLINK("https://fin.land.naver.com/articles/2652879648", "매물Link")</f>
        <v/>
      </c>
      <c r="R660" s="6">
        <f>HYPERLINK("https://map.naver.com/p/search/현도면 죽전리 15-1", "지도Link")</f>
        <v/>
      </c>
      <c r="S660" s="6">
        <f>HYPERLINK("http://www.eum.go.kr/web/ar/lu/luLandDet.jsp?pnu=4311232023100150001&amp;isNoScr=script&amp;mode=search",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70.40000000000001</v>
      </c>
      <c r="W660" s="4" t="n">
        <v>4819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세로각지(가)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매매</t>
        </is>
      </c>
      <c r="F661" s="4" t="n">
        <v>450000</v>
      </c>
      <c r="G661" s="4" t="n">
        <v>0</v>
      </c>
      <c r="H661" s="4" t="n">
        <v>4870</v>
      </c>
      <c r="I661" s="4" t="n">
        <v>1473</v>
      </c>
      <c r="J661" s="5" t="n">
        <v>305.5</v>
      </c>
      <c r="K661" s="4" t="n">
        <v>3752</v>
      </c>
      <c r="L661" s="4" t="n">
        <v>1135</v>
      </c>
      <c r="M661" s="5" t="n">
        <v>396.5</v>
      </c>
      <c r="N661" s="3" t="inlineStr">
        <is>
          <t>2</t>
        </is>
      </c>
      <c r="O661" s="3" t="inlineStr">
        <is>
          <t>-</t>
        </is>
      </c>
      <c r="P661" s="3" t="inlineStr">
        <is>
          <t>도크 시설 있는 물류창고 남청주 IC 인근 대형차 진출입 원활,</t>
        </is>
      </c>
      <c r="Q661" s="6">
        <f>HYPERLINK("https://fin.land.naver.com/articles/2655488468",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4819</v>
      </c>
      <c r="I662" s="4" t="n">
        <v>1458</v>
      </c>
      <c r="J662" s="5" t="n">
        <v>308.6</v>
      </c>
      <c r="K662" s="4" t="n">
        <v>3752</v>
      </c>
      <c r="L662" s="4" t="n">
        <v>1135</v>
      </c>
      <c r="M662" s="5" t="n">
        <v>396.5</v>
      </c>
      <c r="N662" s="3" t="inlineStr">
        <is>
          <t>2</t>
        </is>
      </c>
      <c r="O662" s="3" t="inlineStr">
        <is>
          <t>-</t>
        </is>
      </c>
      <c r="P662" s="3" t="inlineStr">
        <is>
          <t>남청주IC인근으로 대형차진출입 용이,대로에서 약300m,사무동 보유</t>
        </is>
      </c>
      <c r="Q662" s="6">
        <f>HYPERLINK("https://fin.land.naver.com/articles/2654990711",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22000</v>
      </c>
      <c r="G663" s="4" t="n">
        <v>2200</v>
      </c>
      <c r="H663" s="4" t="n">
        <v>4819</v>
      </c>
      <c r="I663" s="4" t="n">
        <v>1458</v>
      </c>
      <c r="J663" s="5" t="n">
        <v>1.5</v>
      </c>
      <c r="K663" s="4" t="n">
        <v>3572</v>
      </c>
      <c r="L663" s="4" t="n">
        <v>1081</v>
      </c>
      <c r="M663" s="5" t="n">
        <v>2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남청주IC인근 진출입용이 매우 저렴한 깔끔한 대형창고 임대</t>
        </is>
      </c>
      <c r="Q663" s="6">
        <f>HYPERLINK("https://fin.land.naver.com/articles/2654874017",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태광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인근으로 대형차 진출입이 편리한 창고 임대</t>
        </is>
      </c>
      <c r="Q664" s="6">
        <f>HYPERLINK("https://fin.land.naver.com/articles/2652114936",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(주)미르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공장</t>
        </is>
      </c>
      <c r="E665" s="3" t="inlineStr">
        <is>
          <t>월세</t>
        </is>
      </c>
      <c r="F665" s="4" t="n">
        <v>10000</v>
      </c>
      <c r="G665" s="4" t="n">
        <v>1000</v>
      </c>
      <c r="H665" s="4" t="n">
        <v>4819</v>
      </c>
      <c r="I665" s="4" t="n">
        <v>1458</v>
      </c>
      <c r="J665" s="5" t="n">
        <v>0.7</v>
      </c>
      <c r="K665" s="4" t="n">
        <v>1751</v>
      </c>
      <c r="L665" s="4" t="n">
        <v>530</v>
      </c>
      <c r="M665" s="5" t="n">
        <v>1.9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5분, 도크시설 있음 2톤 화물리프트 신설, 물류창고 최적</t>
        </is>
      </c>
      <c r="Q665" s="6">
        <f>HYPERLINK("https://fin.land.naver.com/articles/2653810240",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대성오투그란데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4819</v>
      </c>
      <c r="I666" s="4" t="n">
        <v>1458</v>
      </c>
      <c r="J666" s="5" t="n">
        <v>308.6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현도면 산업단지 창고 시설 매매 대형 화물차 진출입 용이 ic근접</t>
        </is>
      </c>
      <c r="Q666" s="6">
        <f>HYPERLINK("https://fin.land.naver.com/articles/2653689719",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은행나무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500000</v>
      </c>
      <c r="G667" s="4" t="n">
        <v>0</v>
      </c>
      <c r="H667" s="4" t="n">
        <v>4819</v>
      </c>
      <c r="I667" s="4" t="n">
        <v>1458</v>
      </c>
      <c r="J667" s="5" t="n">
        <v>342.9</v>
      </c>
      <c r="K667" s="4" t="n">
        <v>3752</v>
      </c>
      <c r="L667" s="4" t="n">
        <v>1135</v>
      </c>
      <c r="M667" s="5" t="n">
        <v>440.5</v>
      </c>
      <c r="N667" s="3" t="inlineStr">
        <is>
          <t>2</t>
        </is>
      </c>
      <c r="O667" s="3" t="inlineStr">
        <is>
          <t>-</t>
        </is>
      </c>
      <c r="P667" s="3" t="inlineStr">
        <is>
          <t>죽암휴게소 대형 물류창고,남청주ic인접,교통편리,태양광300kw</t>
        </is>
      </c>
      <c r="Q667" s="6">
        <f>HYPERLINK("https://fin.land.naver.com/articles/2651893139",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금강이편한</t>
        </is>
      </c>
      <c r="U667" s="4" t="n">
        <v>3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 7분거리 이며 죽암휴게소인근으로 경부고속도로 인접한 물류창고</t>
        </is>
      </c>
      <c r="Q668" s="6">
        <f>HYPERLINK("https://fin.land.naver.com/articles/2654178454",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360-1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공장</t>
        </is>
      </c>
      <c r="E669" s="3" t="inlineStr">
        <is>
          <t>매매</t>
        </is>
      </c>
      <c r="F669" s="4" t="n">
        <v>350000</v>
      </c>
      <c r="G669" s="4" t="n">
        <v>0</v>
      </c>
      <c r="H669" s="4" t="n">
        <v>8464</v>
      </c>
      <c r="I669" s="4" t="n">
        <v>2560</v>
      </c>
      <c r="J669" s="5" t="n">
        <v>136.7</v>
      </c>
      <c r="K669" s="4" t="n">
        <v>3290</v>
      </c>
      <c r="L669" s="4" t="n">
        <v>995</v>
      </c>
      <c r="M669" s="5" t="n">
        <v>351.8</v>
      </c>
      <c r="N669" s="3" t="inlineStr">
        <is>
          <t>3</t>
        </is>
      </c>
      <c r="O669" s="3" t="inlineStr">
        <is>
          <t>B1</t>
        </is>
      </c>
      <c r="P669" s="3" t="inlineStr">
        <is>
          <t>층고7m 전력3kw 호이스트2.8톤2기 남청주IC 경부고속도로 현도산단인</t>
        </is>
      </c>
      <c r="Q669" s="6">
        <f>HYPERLINK("https://fin.land.naver.com/articles/2653347280", "매물Link")</f>
        <v/>
      </c>
      <c r="R669" s="6">
        <f>HYPERLINK("https://map.naver.com/p/search/현도면 죽전리 360-1", "지도Link")</f>
        <v/>
      </c>
      <c r="S669" s="6">
        <f>HYPERLINK("http://www.eum.go.kr/web/ar/lu/luLandDet.jsp?pnu=4311232023103600001&amp;isNoScr=script&amp;mode=search", "토지이음")</f>
        <v/>
      </c>
      <c r="T669" s="3" t="inlineStr">
        <is>
          <t>에이피엔주식회사</t>
        </is>
      </c>
      <c r="U669" s="4" t="n">
        <v>1</v>
      </c>
      <c r="V669" s="5" t="n">
        <v>56.5</v>
      </c>
      <c r="W669" s="4" t="n">
        <v>8464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300000</v>
      </c>
      <c r="G670" s="4" t="n">
        <v>0</v>
      </c>
      <c r="H670" s="4" t="n">
        <v>8464</v>
      </c>
      <c r="I670" s="4" t="n">
        <v>2560</v>
      </c>
      <c r="J670" s="5" t="n">
        <v>117.2</v>
      </c>
      <c r="K670" s="4" t="n">
        <v>3290</v>
      </c>
      <c r="L670" s="4" t="n">
        <v>995</v>
      </c>
      <c r="M670" s="5" t="n">
        <v>301.5</v>
      </c>
      <c r="N670" s="3" t="inlineStr">
        <is>
          <t>3</t>
        </is>
      </c>
      <c r="O670" s="3" t="inlineStr">
        <is>
          <t>-</t>
        </is>
      </c>
      <c r="P670" s="3" t="inlineStr">
        <is>
          <t>남청주IC 인근, 화물엘리베이터, 호이스트, 도크시설 완비</t>
        </is>
      </c>
      <c r="Q670" s="6">
        <f>HYPERLINK("https://fin.land.naver.com/articles/2654295332",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10000</v>
      </c>
      <c r="G671" s="4" t="n">
        <v>1000</v>
      </c>
      <c r="H671" s="4" t="n">
        <v>8464</v>
      </c>
      <c r="I671" s="4" t="n">
        <v>2560</v>
      </c>
      <c r="J671" s="5" t="n">
        <v>0.4</v>
      </c>
      <c r="K671" s="4" t="n">
        <v>3290</v>
      </c>
      <c r="L671" s="4" t="n">
        <v>995</v>
      </c>
      <c r="M671" s="5" t="n">
        <v>1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HYPERLINK("https://fin.land.naver.com/articles/2654295356",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325000</v>
      </c>
      <c r="G672" s="4" t="n">
        <v>0</v>
      </c>
      <c r="H672" s="4" t="n">
        <v>8464</v>
      </c>
      <c r="I672" s="4" t="n">
        <v>2560</v>
      </c>
      <c r="J672" s="5" t="n">
        <v>127</v>
      </c>
      <c r="K672" s="4" t="n">
        <v>3290</v>
      </c>
      <c r="L672" s="4" t="n">
        <v>995</v>
      </c>
      <c r="M672" s="5" t="n">
        <v>326.6</v>
      </c>
      <c r="N672" s="3" t="inlineStr">
        <is>
          <t>3</t>
        </is>
      </c>
      <c r="O672" s="3" t="inlineStr">
        <is>
          <t>-</t>
        </is>
      </c>
      <c r="P672" s="3" t="inlineStr">
        <is>
          <t>광고효과 좋은 공장 창고 매매, 화물엘베 있고 호이스트  도크시설 있음</t>
        </is>
      </c>
      <c r="Q672" s="6">
        <f>HYPERLINK("https://fin.land.naver.com/articles/2654904343",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620-3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매매</t>
        </is>
      </c>
      <c r="F673" s="4" t="n">
        <v>120000</v>
      </c>
      <c r="G673" s="4" t="n">
        <v>0</v>
      </c>
      <c r="H673" s="4" t="n">
        <v>1937</v>
      </c>
      <c r="I673" s="4" t="n">
        <v>586</v>
      </c>
      <c r="J673" s="5" t="n">
        <v>204.8</v>
      </c>
      <c r="K673" s="4" t="n">
        <v>383</v>
      </c>
      <c r="L673" s="4" t="n">
        <v>116</v>
      </c>
      <c r="M673" s="5" t="n">
        <v>1034.5</v>
      </c>
      <c r="N673" s="3" t="inlineStr">
        <is>
          <t>1</t>
        </is>
      </c>
      <c r="O673" s="3" t="inlineStr">
        <is>
          <t>-</t>
        </is>
      </c>
      <c r="P673" s="3" t="inlineStr">
        <is>
          <t>계획관리지역, 사무동,창고로 구성된 3개동 창고 토지 매매</t>
        </is>
      </c>
      <c r="Q673" s="6">
        <f>HYPERLINK("https://fin.land.naver.com/articles/2652769960", "매물Link")</f>
        <v/>
      </c>
      <c r="R673" s="6">
        <f>HYPERLINK("https://map.naver.com/p/search/현도면 죽전리 620-3", "지도Link")</f>
        <v/>
      </c>
      <c r="S673" s="6">
        <f>HYPERLINK("http://www.eum.go.kr/web/ar/lu/luLandDet.jsp?pnu=4311232023106200003&amp;isNoScr=script&amp;mode=search", "토지이음")</f>
        <v/>
      </c>
      <c r="T673" s="3" t="inlineStr">
        <is>
          <t>금화랜드</t>
        </is>
      </c>
      <c r="U673" s="4" t="n">
        <v>1</v>
      </c>
      <c r="V673" s="5" t="n">
        <v>54.3</v>
      </c>
      <c r="W673" s="4" t="n">
        <v>1937.1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12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공장</t>
        </is>
      </c>
      <c r="E675" s="3" t="inlineStr">
        <is>
          <t>매매</t>
        </is>
      </c>
      <c r="F675" s="4" t="n">
        <v>206000</v>
      </c>
      <c r="G675" s="4" t="n">
        <v>0</v>
      </c>
      <c r="H675" s="4" t="n">
        <v>4545</v>
      </c>
      <c r="I675" s="4" t="n">
        <v>1375</v>
      </c>
      <c r="J675" s="5" t="n">
        <v>149.8</v>
      </c>
      <c r="K675" s="4" t="n">
        <v>803</v>
      </c>
      <c r="L675" s="4" t="n">
        <v>243</v>
      </c>
      <c r="M675" s="5" t="n">
        <v>847.7</v>
      </c>
      <c r="N675" s="3" t="inlineStr">
        <is>
          <t>2</t>
        </is>
      </c>
      <c r="O675" s="3" t="inlineStr">
        <is>
          <t>-</t>
        </is>
      </c>
      <c r="P675" s="3" t="inlineStr">
        <is>
          <t>남청주IC인근, 현도일반산업단지 바로 옆 저렴한 공장매매</t>
        </is>
      </c>
      <c r="Q675" s="6">
        <f>HYPERLINK("https://fin.land.naver.com/articles/2654778642", "매물Link")</f>
        <v/>
      </c>
      <c r="R675" s="6">
        <f>HYPERLINK("https://map.naver.com/p/search/현도면 중삼리 12", "지도Link")</f>
        <v/>
      </c>
      <c r="S675" s="6">
        <f>HYPERLINK("http://www.eum.go.kr/web/ar/lu/luLandDet.jsp?pnu=4311232022100120000&amp;isNoScr=script&amp;mode=search",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56.1</v>
      </c>
      <c r="W675" s="4" t="n">
        <v>2418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514500</v>
      </c>
      <c r="G676" s="4" t="n">
        <v>0</v>
      </c>
      <c r="H676" s="4" t="n">
        <v>11336</v>
      </c>
      <c r="I676" s="4" t="n">
        <v>3429</v>
      </c>
      <c r="J676" s="5" t="n">
        <v>150</v>
      </c>
      <c r="K676" s="4" t="n">
        <v>2794</v>
      </c>
      <c r="L676" s="4" t="n">
        <v>845</v>
      </c>
      <c r="M676" s="5" t="n">
        <v>608.9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남청주IC인근,도시가스인입,현도일반산업단지 바로 옆 저렴한 공장매매</t>
        </is>
      </c>
      <c r="Q676" s="6">
        <f>HYPERLINK("https://fin.land.naver.com/articles/2655092999", "매물Link")</f>
        <v/>
      </c>
      <c r="R676" s="6">
        <f>HYPERLINK("https://map.naver.com/p/search/현도면 중삼리 12-1", "지도Link")</f>
        <v/>
      </c>
      <c r="S676" s="6">
        <f>HYPERLINK("http://www.eum.go.kr/web/ar/lu/luLandDet.jsp?pnu=4311232022100120001&amp;isNoScr=script&amp;mode=search",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53.5</v>
      </c>
      <c r="W676" s="4" t="n">
        <v>2748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125000</v>
      </c>
      <c r="G677" s="4" t="n">
        <v>0</v>
      </c>
      <c r="H677" s="4" t="n">
        <v>2748</v>
      </c>
      <c r="I677" s="4" t="n">
        <v>831</v>
      </c>
      <c r="J677" s="5" t="n">
        <v>150.4</v>
      </c>
      <c r="K677" s="4" t="n">
        <v>451</v>
      </c>
      <c r="L677" s="4" t="n">
        <v>136</v>
      </c>
      <c r="M677" s="5" t="n">
        <v>919.1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  도시가스 인입 투자가치 좋은 공장매매</t>
        </is>
      </c>
      <c r="Q677" s="6">
        <f>HYPERLINK("https://fin.land.naver.com/articles/2654181576",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더원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13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206000</v>
      </c>
      <c r="G678" s="4" t="n">
        <v>0</v>
      </c>
      <c r="H678" s="4" t="n">
        <v>4545</v>
      </c>
      <c r="I678" s="4" t="n">
        <v>1375</v>
      </c>
      <c r="J678" s="5" t="n">
        <v>149.8</v>
      </c>
      <c r="K678" s="4" t="n">
        <v>803</v>
      </c>
      <c r="L678" s="4" t="n">
        <v>243</v>
      </c>
      <c r="M678" s="5" t="n">
        <v>847.7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 접근성 좋은 위치의 토지가격으로 책정한 투자가치좋은 공장매매</t>
        </is>
      </c>
      <c r="Q678" s="6">
        <f>HYPERLINK("https://fin.land.naver.com/articles/2654180030", "매물Link")</f>
        <v/>
      </c>
      <c r="R678" s="6">
        <f>HYPERLINK("https://map.naver.com/p/search/현도면 중삼리 13", "지도Link")</f>
        <v/>
      </c>
      <c r="S678" s="6">
        <f>HYPERLINK("http://www.eum.go.kr/web/ar/lu/luLandDet.jsp?pnu=4311232022100130000&amp;isNoScr=script&amp;mode=search",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2127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144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창고</t>
        </is>
      </c>
      <c r="E679" s="3" t="inlineStr">
        <is>
          <t>월세</t>
        </is>
      </c>
      <c r="F679" s="4" t="n">
        <v>3000</v>
      </c>
      <c r="G679" s="4" t="n">
        <v>250</v>
      </c>
      <c r="H679" s="4" t="n">
        <v>717</v>
      </c>
      <c r="I679" s="4" t="n">
        <v>217</v>
      </c>
      <c r="J679" s="5" t="n">
        <v>1.2</v>
      </c>
      <c r="K679" s="4" t="n">
        <v>330</v>
      </c>
      <c r="L679" s="4" t="n">
        <v>100</v>
      </c>
      <c r="M679" s="5" t="n">
        <v>2.5</v>
      </c>
      <c r="N679" s="3" t="inlineStr">
        <is>
          <t>2</t>
        </is>
      </c>
      <c r="O679" s="3" t="inlineStr">
        <is>
          <t>-</t>
        </is>
      </c>
      <c r="P679" s="3" t="inlineStr">
        <is>
          <t>nan</t>
        </is>
      </c>
      <c r="Q679" s="6">
        <f>HYPERLINK("https://fin.land.naver.com/articles/2651863359", "매물Link")</f>
        <v/>
      </c>
      <c r="R679" s="6">
        <f>HYPERLINK("https://map.naver.com/p/search/현도면 중삼리 144", "지도Link")</f>
        <v/>
      </c>
      <c r="S679" s="6">
        <f>HYPERLINK("http://www.eum.go.kr/web/ar/lu/luLandDet.jsp?pnu=4311232022101440000&amp;isNoScr=script&amp;mode=search", "토지이음")</f>
        <v/>
      </c>
      <c r="T679" s="3" t="inlineStr">
        <is>
          <t>KS</t>
        </is>
      </c>
      <c r="U679" s="4" t="n">
        <v>1</v>
      </c>
      <c r="V679" s="5" t="n">
        <v>58</v>
      </c>
      <c r="W679" s="4" t="n">
        <v>717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소로한면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실사진0k 층고9m 깔끔하게 관리잘된 근생창고 대형트럭 진입가능</t>
        </is>
      </c>
      <c r="Q680" s="6">
        <f>HYPERLINK("https://fin.land.naver.com/articles/2655035107",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이음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18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360000</v>
      </c>
      <c r="G682" s="4" t="n">
        <v>0</v>
      </c>
      <c r="H682" s="4" t="n">
        <v>6329</v>
      </c>
      <c r="I682" s="4" t="n">
        <v>1915</v>
      </c>
      <c r="J682" s="5" t="n">
        <v>188</v>
      </c>
      <c r="K682" s="4" t="n">
        <v>887</v>
      </c>
      <c r="L682" s="4" t="n">
        <v>268</v>
      </c>
      <c r="M682" s="5" t="n">
        <v>1343.3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7분 2차선접 넓은대지</t>
        </is>
      </c>
      <c r="Q682" s="6">
        <f>HYPERLINK("https://fin.land.naver.com/articles/2651500763", "매물Link")</f>
        <v/>
      </c>
      <c r="R682" s="6">
        <f>HYPERLINK("https://map.naver.com/p/search/현도면 중삼리 18", "지도Link")</f>
        <v/>
      </c>
      <c r="S682" s="6">
        <f>HYPERLINK("http://www.eum.go.kr/web/ar/lu/luLandDet.jsp?pnu=4311232022100180000&amp;isNoScr=script&amp;mode=search", "토지이음")</f>
        <v/>
      </c>
      <c r="T682" s="3" t="inlineStr">
        <is>
          <t>학사</t>
        </is>
      </c>
      <c r="U682" s="4" t="n">
        <v>1</v>
      </c>
      <c r="V682" s="5" t="n">
        <v>61.7</v>
      </c>
      <c r="W682" s="4" t="n">
        <v>4088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즉시 사용가능한 마당넓고 층고높고 2차선 접해 있고 호이스트2대인 공장</t>
        </is>
      </c>
      <c r="Q683" s="6">
        <f>HYPERLINK("https://fin.land.naver.com/articles/2655489733",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2930</v>
      </c>
      <c r="L684" s="4" t="n">
        <v>886</v>
      </c>
      <c r="M684" s="5" t="n">
        <v>406.3</v>
      </c>
      <c r="N684" s="3" t="inlineStr">
        <is>
          <t>3</t>
        </is>
      </c>
      <c r="O684" s="3" t="inlineStr">
        <is>
          <t>-</t>
        </is>
      </c>
      <c r="P684" s="3" t="inlineStr">
        <is>
          <t>남청주 IC인근, 호이스트, 높은층고, 주요도시 이동 편리</t>
        </is>
      </c>
      <c r="Q684" s="6">
        <f>HYPERLINK("https://fin.land.naver.com/articles/2655093041",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(주)미르</t>
        </is>
      </c>
      <c r="U684" s="4" t="n">
        <v>2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19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183500</v>
      </c>
      <c r="G685" s="4" t="n">
        <v>0</v>
      </c>
      <c r="H685" s="4" t="n">
        <v>4043</v>
      </c>
      <c r="I685" s="4" t="n">
        <v>1223</v>
      </c>
      <c r="J685" s="5" t="n">
        <v>150</v>
      </c>
      <c r="K685" s="4" t="n">
        <v>1539</v>
      </c>
      <c r="L685" s="4" t="n">
        <v>466</v>
      </c>
      <c r="M685" s="5" t="n">
        <v>393.8</v>
      </c>
      <c r="N685" s="3" t="inlineStr">
        <is>
          <t>1</t>
        </is>
      </c>
      <c r="O685" s="3" t="inlineStr">
        <is>
          <t>-</t>
        </is>
      </c>
      <c r="P685" s="3" t="inlineStr">
        <is>
          <t>남청주ic 7분거리 토지가격으로 저렴하게 책정하여 매매</t>
        </is>
      </c>
      <c r="Q685" s="6">
        <f>HYPERLINK("https://fin.land.naver.com/articles/2654177800", "매물Link")</f>
        <v/>
      </c>
      <c r="R685" s="6">
        <f>HYPERLINK("https://map.naver.com/p/search/현도면 중삼리 19", "지도Link")</f>
        <v/>
      </c>
      <c r="S685" s="6">
        <f>HYPERLINK("http://www.eum.go.kr/web/ar/lu/luLandDet.jsp?pnu=4311232022100190000&amp;isNoScr=script&amp;mode=search", "토지이음")</f>
        <v/>
      </c>
      <c r="T685" s="3" t="inlineStr">
        <is>
          <t>더원</t>
        </is>
      </c>
      <c r="U685" s="4" t="n">
        <v>1</v>
      </c>
      <c r="V685" s="5" t="n">
        <v>53.5</v>
      </c>
      <c r="W685" s="4" t="n">
        <v>3904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514500</v>
      </c>
      <c r="G686" s="4" t="n">
        <v>0</v>
      </c>
      <c r="H686" s="4" t="n">
        <v>11336</v>
      </c>
      <c r="I686" s="4" t="n">
        <v>3429</v>
      </c>
      <c r="J686" s="5" t="n">
        <v>150</v>
      </c>
      <c r="K686" s="4" t="n">
        <v>2794</v>
      </c>
      <c r="L686" s="4" t="n">
        <v>845</v>
      </c>
      <c r="M686" s="5" t="n">
        <v>608.9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남청주ic7분거리 토지가격으로 책정하여 가치있는 저렴한 공장매매</t>
        </is>
      </c>
      <c r="Q686" s="6">
        <f>HYPERLINK("https://fin.land.naver.com/articles/2654150239",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193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7000</v>
      </c>
      <c r="G687" s="4" t="n">
        <v>660</v>
      </c>
      <c r="H687" s="4" t="n">
        <v>2461</v>
      </c>
      <c r="I687" s="4" t="n">
        <v>744</v>
      </c>
      <c r="J687" s="5" t="n">
        <v>0.9</v>
      </c>
      <c r="K687" s="4" t="n">
        <v>978</v>
      </c>
      <c r="L687" s="4" t="n">
        <v>296</v>
      </c>
      <c r="M687" s="5" t="n">
        <v>2.2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HYPERLINK("https://fin.land.naver.com/articles/2653911084", "매물Link")</f>
        <v/>
      </c>
      <c r="R687" s="6">
        <f>HYPERLINK("https://map.naver.com/p/search/현도면 중삼리 193", "지도Link")</f>
        <v/>
      </c>
      <c r="S687" s="6">
        <f>HYPERLINK("http://www.eum.go.kr/web/ar/lu/luLandDet.jsp?pnu=4311232022101930000&amp;isNoScr=script&amp;mode=search", "토지이음")</f>
        <v/>
      </c>
      <c r="T687" s="3" t="inlineStr">
        <is>
          <t>KS</t>
        </is>
      </c>
      <c r="U687" s="4" t="n">
        <v>1</v>
      </c>
      <c r="V687" s="5" t="n">
        <v>57.8</v>
      </c>
      <c r="W687" s="4" t="n">
        <v>1240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660</v>
      </c>
      <c r="H688" s="4" t="n">
        <v>2461</v>
      </c>
      <c r="I688" s="4" t="n">
        <v>744</v>
      </c>
      <c r="J688" s="5" t="n">
        <v>0.9</v>
      </c>
      <c r="K688" s="4" t="n">
        <v>979</v>
      </c>
      <c r="L688" s="4" t="n">
        <v>296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현도면 남청주톨게이트 5분거리 2차선 접한 마당넓은 공장 및 창고</t>
        </is>
      </c>
      <c r="Q688" s="6">
        <f>HYPERLINK("https://fin.land.naver.com/articles/2654151842",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신탄진다온</t>
        </is>
      </c>
      <c r="U688" s="4" t="n">
        <v>2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3500</v>
      </c>
      <c r="G689" s="4" t="n">
        <v>330</v>
      </c>
      <c r="H689" s="4" t="n">
        <v>1240</v>
      </c>
      <c r="I689" s="4" t="n">
        <v>375</v>
      </c>
      <c r="J689" s="5" t="n">
        <v>0.9</v>
      </c>
      <c r="K689" s="4" t="n">
        <v>491</v>
      </c>
      <c r="L689" s="4" t="n">
        <v>149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주차편리하고 2차선접한 공장입니다</t>
        </is>
      </c>
      <c r="Q689" s="6">
        <f>HYPERLINK("https://fin.land.naver.com/articles/2653096286",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복댕이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978</v>
      </c>
      <c r="I690" s="4" t="n">
        <v>296</v>
      </c>
      <c r="J690" s="5" t="n">
        <v>2.2</v>
      </c>
      <c r="K690" s="4" t="n">
        <v>2461</v>
      </c>
      <c r="L690" s="4" t="n">
        <v>744</v>
      </c>
      <c r="M690" s="5" t="n">
        <v>0.9</v>
      </c>
      <c r="N690" s="3" t="inlineStr">
        <is>
          <t>1</t>
        </is>
      </c>
      <c r="O690" s="3" t="inlineStr">
        <is>
          <t>-</t>
        </is>
      </c>
      <c r="P690" s="3" t="inlineStr">
        <is>
          <t>실사진0k 층고9.5m 착한 임대료 대형평수 즉시입주가능</t>
        </is>
      </c>
      <c r="Q690" s="6">
        <f>HYPERLINK("https://fin.land.naver.com/articles/2655034984",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이음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193-2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3500</v>
      </c>
      <c r="G691" s="4" t="n">
        <v>330</v>
      </c>
      <c r="H691" s="4" t="n">
        <v>1221</v>
      </c>
      <c r="I691" s="4" t="n">
        <v>369</v>
      </c>
      <c r="J691" s="5" t="n">
        <v>0.9</v>
      </c>
      <c r="K691" s="4" t="n">
        <v>487</v>
      </c>
      <c r="L691" s="4" t="n">
        <v>147</v>
      </c>
      <c r="M691" s="5" t="n">
        <v>2.2</v>
      </c>
      <c r="N691" s="3" t="inlineStr">
        <is>
          <t>1</t>
        </is>
      </c>
      <c r="O691" s="3" t="inlineStr">
        <is>
          <t>-</t>
        </is>
      </c>
      <c r="P691" s="3" t="inlineStr">
        <is>
          <t>nan</t>
        </is>
      </c>
      <c r="Q691" s="6">
        <f>HYPERLINK("https://fin.land.naver.com/articles/2651887707", "매물Link")</f>
        <v/>
      </c>
      <c r="R691" s="6">
        <f>HYPERLINK("https://map.naver.com/p/search/현도면 중삼리 193-2", "지도Link")</f>
        <v/>
      </c>
      <c r="S691" s="6">
        <f>HYPERLINK("http://www.eum.go.kr/web/ar/lu/luLandDet.jsp?pnu=4311232022101930002&amp;isNoScr=script&amp;mode=search", "토지이음")</f>
        <v/>
      </c>
      <c r="T691" s="3" t="inlineStr">
        <is>
          <t>KS</t>
        </is>
      </c>
      <c r="U691" s="4" t="n">
        <v>1</v>
      </c>
      <c r="V691" s="5" t="n">
        <v>50</v>
      </c>
      <c r="W691" s="4" t="n">
        <v>1221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213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650000</v>
      </c>
      <c r="G692" s="4" t="n">
        <v>0</v>
      </c>
      <c r="H692" s="4" t="n">
        <v>5702</v>
      </c>
      <c r="I692" s="4" t="n">
        <v>1725</v>
      </c>
      <c r="J692" s="5" t="n">
        <v>376.8</v>
      </c>
      <c r="K692" s="4" t="n">
        <v>890</v>
      </c>
      <c r="L692" s="4" t="n">
        <v>269</v>
      </c>
      <c r="M692" s="5" t="n">
        <v>2416.4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 현도면에 위치한 신축 공장 매매</t>
        </is>
      </c>
      <c r="Q692" s="6">
        <f>HYPERLINK("https://fin.land.naver.com/articles/2651107587", "매물Link")</f>
        <v/>
      </c>
      <c r="R692" s="6">
        <f>HYPERLINK("https://map.naver.com/p/search/현도면 중삼리 213", "지도Link")</f>
        <v/>
      </c>
      <c r="S692" s="6">
        <f>HYPERLINK("http://www.eum.go.kr/web/ar/lu/luLandDet.jsp?pnu=4311232022102130000&amp;isNoScr=script&amp;mode=search", "토지이음")</f>
        <v/>
      </c>
      <c r="T692" s="3" t="inlineStr">
        <is>
          <t>대지</t>
        </is>
      </c>
      <c r="U692" s="4" t="n">
        <v>1</v>
      </c>
      <c r="V692" s="5" t="n">
        <v>48.1</v>
      </c>
      <c r="W692" s="4" t="n">
        <v>5702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213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650000</v>
      </c>
      <c r="G693" s="4" t="n">
        <v>0</v>
      </c>
      <c r="H693" s="4" t="n">
        <v>5702</v>
      </c>
      <c r="I693" s="4" t="n">
        <v>1725</v>
      </c>
      <c r="J693" s="5" t="n">
        <v>376.8</v>
      </c>
      <c r="K693" s="4" t="n">
        <v>2354</v>
      </c>
      <c r="L693" s="4" t="n">
        <v>712</v>
      </c>
      <c r="M693" s="5" t="n">
        <v>912.9</v>
      </c>
      <c r="N693" s="3" t="inlineStr">
        <is>
          <t>2</t>
        </is>
      </c>
      <c r="O693" s="3" t="inlineStr">
        <is>
          <t>B1</t>
        </is>
      </c>
      <c r="P693" s="3" t="inlineStr">
        <is>
          <t>신축 공장 건물4개동 사무실 별도 민원없는 지역 층고 높고 전력300K</t>
        </is>
      </c>
      <c r="Q693" s="6">
        <f>HYPERLINK("https://fin.land.naver.com/articles/2651935397", "매물Link")</f>
        <v/>
      </c>
      <c r="R693" s="6">
        <f>HYPERLINK("https://map.naver.com/p/search/현도면 중삼리 213", "지도Link")</f>
        <v/>
      </c>
      <c r="S693" s="6">
        <f>HYPERLINK("http://www.eum.go.kr/web/ar/lu/luLandDet.jsp?pnu=4311232022102130000&amp;isNoScr=script&amp;mode=search", "토지이음")</f>
        <v/>
      </c>
      <c r="T693" s="3" t="inlineStr">
        <is>
          <t>대전토지로무소</t>
        </is>
      </c>
      <c r="U693" s="4" t="n">
        <v>1</v>
      </c>
      <c r="V693" s="5" t="n">
        <v>48.1</v>
      </c>
      <c r="W693" s="4" t="n">
        <v>5702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5분, 주요도시로 이동이 편리한 층고 높은 신축공장</t>
        </is>
      </c>
      <c r="Q694" s="6">
        <f>HYPERLINK("https://fin.land.naver.com/articles/2653576391",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22-1</t>
        </is>
      </c>
      <c r="B695" s="3" t="inlineStr">
        <is>
          <t>계획관리지역</t>
        </is>
      </c>
      <c r="C695" s="3" t="inlineStr">
        <is>
          <t>창고용지</t>
        </is>
      </c>
      <c r="D695" s="3" t="inlineStr">
        <is>
          <t>창고</t>
        </is>
      </c>
      <c r="E695" s="3" t="inlineStr">
        <is>
          <t>매매</t>
        </is>
      </c>
      <c r="F695" s="4" t="n">
        <v>100000</v>
      </c>
      <c r="G695" s="4" t="n">
        <v>0</v>
      </c>
      <c r="H695" s="4" t="n">
        <v>1464</v>
      </c>
      <c r="I695" s="4" t="n">
        <v>443</v>
      </c>
      <c r="J695" s="5" t="n">
        <v>225.7</v>
      </c>
      <c r="K695" s="4" t="n">
        <v>423</v>
      </c>
      <c r="L695" s="4" t="n">
        <v>128</v>
      </c>
      <c r="M695" s="5" t="n">
        <v>781.2</v>
      </c>
      <c r="N695" s="3" t="inlineStr">
        <is>
          <t>1</t>
        </is>
      </c>
      <c r="O695" s="3" t="inlineStr">
        <is>
          <t>-</t>
        </is>
      </c>
      <c r="P695" s="3" t="inlineStr">
        <is>
          <t>현도면 하이트진로 공장 뒷편 2차선 접한 창고</t>
        </is>
      </c>
      <c r="Q695" s="6">
        <f>HYPERLINK("https://fin.land.naver.com/articles/2650727101", "매물Link")</f>
        <v/>
      </c>
      <c r="R695" s="6">
        <f>HYPERLINK("https://map.naver.com/p/search/현도면 중삼리 22-1", "지도Link")</f>
        <v/>
      </c>
      <c r="S695" s="6">
        <f>HYPERLINK("http://www.eum.go.kr/web/ar/lu/luLandDet.jsp?pnu=4311232022100220001&amp;isNoScr=script&amp;mode=search", "토지이음")</f>
        <v/>
      </c>
      <c r="T695" s="3" t="inlineStr">
        <is>
          <t>고은</t>
        </is>
      </c>
      <c r="U695" s="4" t="n">
        <v>1</v>
      </c>
      <c r="V695" s="5" t="n">
        <v>61.7</v>
      </c>
      <c r="W695" s="4" t="n">
        <v>1464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245-1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월세</t>
        </is>
      </c>
      <c r="F696" s="4" t="n">
        <v>2000</v>
      </c>
      <c r="G696" s="4" t="n">
        <v>300</v>
      </c>
      <c r="H696" s="4" t="n">
        <v>1987</v>
      </c>
      <c r="I696" s="4" t="n">
        <v>601</v>
      </c>
      <c r="J696" s="5" t="n">
        <v>0.5</v>
      </c>
      <c r="K696" s="4" t="n">
        <v>424</v>
      </c>
      <c r="L696" s="4" t="n">
        <v>128</v>
      </c>
      <c r="M696" s="5" t="n">
        <v>2.3</v>
      </c>
      <c r="N696" s="3" t="inlineStr">
        <is>
          <t>1</t>
        </is>
      </c>
      <c r="O696" s="3" t="inlineStr">
        <is>
          <t>-</t>
        </is>
      </c>
      <c r="P696" s="3" t="inlineStr">
        <is>
          <t>건물 129형 대지600형 단독건물 2종근생제조업</t>
        </is>
      </c>
      <c r="Q696" s="6">
        <f>HYPERLINK("https://fin.land.naver.com/articles/2652949751", "매물Link")</f>
        <v/>
      </c>
      <c r="R696" s="6">
        <f>HYPERLINK("https://map.naver.com/p/search/현도면 중삼리 245-1", "지도Link")</f>
        <v/>
      </c>
      <c r="S696" s="6">
        <f>HYPERLINK("http://www.eum.go.kr/web/ar/lu/luLandDet.jsp?pnu=4311232022102450001&amp;isNoScr=script&amp;mode=search", "토지이음")</f>
        <v/>
      </c>
      <c r="T696" s="3" t="inlineStr">
        <is>
          <t>위더스</t>
        </is>
      </c>
      <c r="U696" s="4" t="n">
        <v>1</v>
      </c>
      <c r="V696" s="5" t="n">
        <v>52.9</v>
      </c>
      <c r="W696" s="4" t="n">
        <v>1860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창고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nan</t>
        </is>
      </c>
      <c r="Q697" s="6">
        <f>HYPERLINK("https://fin.land.naver.com/articles/2651895291",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KS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290-1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300000</v>
      </c>
      <c r="G699" s="4" t="n">
        <v>0</v>
      </c>
      <c r="H699" s="4" t="n">
        <v>4298</v>
      </c>
      <c r="I699" s="4" t="n">
        <v>1300</v>
      </c>
      <c r="J699" s="5" t="n">
        <v>230.8</v>
      </c>
      <c r="K699" s="4" t="n">
        <v>986</v>
      </c>
      <c r="L699" s="4" t="n">
        <v>298</v>
      </c>
      <c r="M699" s="5" t="n">
        <v>1006.7</v>
      </c>
      <c r="N699" s="3" t="inlineStr">
        <is>
          <t>1</t>
        </is>
      </c>
      <c r="O699" s="3" t="inlineStr">
        <is>
          <t>-</t>
        </is>
      </c>
      <c r="P699" s="3" t="inlineStr">
        <is>
          <t>사진有 공장 매매</t>
        </is>
      </c>
      <c r="Q699" s="6">
        <f>HYPERLINK("https://fin.land.naver.com/articles/2650524247", "매물Link")</f>
        <v/>
      </c>
      <c r="R699" s="6">
        <f>HYPERLINK("https://map.naver.com/p/search/현도면 중삼리 290-1", "지도Link")</f>
        <v/>
      </c>
      <c r="S699" s="6">
        <f>HYPERLINK("http://www.eum.go.kr/web/ar/lu/luLandDet.jsp?pnu=4311232022102900001&amp;isNoScr=script&amp;mode=search", "토지이음")</f>
        <v/>
      </c>
      <c r="T699" s="3" t="inlineStr">
        <is>
          <t>월드</t>
        </is>
      </c>
      <c r="U699" s="4" t="n">
        <v>1</v>
      </c>
      <c r="V699" s="5" t="n">
        <v>48.9</v>
      </c>
      <c r="W699" s="4" t="n">
        <v>4298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4606</v>
      </c>
      <c r="I700" s="4" t="n">
        <v>1393</v>
      </c>
      <c r="J700" s="5" t="n">
        <v>215.4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남청주IC와 가까워대형차 진출입편리한곳, 자유로운업종가능,호이스트있음</t>
        </is>
      </c>
      <c r="Q700" s="6">
        <f>HYPERLINK("https://fin.land.naver.com/articles/2654942552",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(주)미르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4563</v>
      </c>
      <c r="I701" s="4" t="n">
        <v>1380</v>
      </c>
      <c r="J701" s="5" t="n">
        <v>217.4</v>
      </c>
      <c r="K701" s="4" t="n">
        <v>986</v>
      </c>
      <c r="L701" s="4" t="n">
        <v>298</v>
      </c>
      <c r="M701" s="5" t="n">
        <v>1006.7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7분거리 공장2동 넓은 마당 호이스트설치 층고10.9m</t>
        </is>
      </c>
      <c r="Q701" s="6">
        <f>HYPERLINK("https://fin.land.naver.com/articles/2651782064",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매매</t>
        </is>
      </c>
      <c r="F702" s="4" t="n">
        <v>151000</v>
      </c>
      <c r="G702" s="4" t="n">
        <v>0</v>
      </c>
      <c r="H702" s="4" t="n">
        <v>2525</v>
      </c>
      <c r="I702" s="4" t="n">
        <v>764</v>
      </c>
      <c r="J702" s="5" t="n">
        <v>197.6</v>
      </c>
      <c r="K702" s="4" t="n">
        <v>382</v>
      </c>
      <c r="L702" s="4" t="n">
        <v>116</v>
      </c>
      <c r="M702" s="5" t="n">
        <v>1301.7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HYPERLINK("https://fin.land.naver.com/articles/2655448587",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297-5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180000</v>
      </c>
      <c r="G704" s="4" t="n">
        <v>0</v>
      </c>
      <c r="H704" s="4" t="n">
        <v>4959</v>
      </c>
      <c r="I704" s="4" t="n">
        <v>1500</v>
      </c>
      <c r="J704" s="5" t="n">
        <v>120</v>
      </c>
      <c r="K704" s="4" t="n">
        <v>745</v>
      </c>
      <c r="L704" s="4" t="n">
        <v>225</v>
      </c>
      <c r="M704" s="5" t="n">
        <v>800</v>
      </c>
      <c r="N704" s="3" t="inlineStr">
        <is>
          <t>1</t>
        </is>
      </c>
      <c r="O704" s="3" t="inlineStr">
        <is>
          <t>-</t>
        </is>
      </c>
      <c r="P704" s="3" t="inlineStr">
        <is>
          <t>사진O,현도면공장매매.크레인설치.고압100kw.진입로문제해결완료</t>
        </is>
      </c>
      <c r="Q704" s="6">
        <f>HYPERLINK("https://fin.land.naver.com/articles/2652109972", "매물Link")</f>
        <v/>
      </c>
      <c r="R704" s="6">
        <f>HYPERLINK("https://map.naver.com/p/search/현도면 중삼리 297-5", "지도Link")</f>
        <v/>
      </c>
      <c r="S704" s="6">
        <f>HYPERLINK("http://www.eum.go.kr/web/ar/lu/luLandDet.jsp?pnu=4311232022102970005&amp;isNoScr=script&amp;mode=search", "토지이음")</f>
        <v/>
      </c>
      <c r="T704" s="3" t="inlineStr">
        <is>
          <t>월드</t>
        </is>
      </c>
      <c r="U704" s="4" t="n">
        <v>1</v>
      </c>
      <c r="V704" s="5" t="n">
        <v>48.9</v>
      </c>
      <c r="W704" s="4" t="n">
        <v>4959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298-4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230000</v>
      </c>
      <c r="G705" s="4" t="n">
        <v>0</v>
      </c>
      <c r="H705" s="4" t="n">
        <v>3471</v>
      </c>
      <c r="I705" s="4" t="n">
        <v>1050</v>
      </c>
      <c r="J705" s="5" t="n">
        <v>219</v>
      </c>
      <c r="K705" s="4" t="n">
        <v>1256</v>
      </c>
      <c r="L705" s="4" t="n">
        <v>380</v>
      </c>
      <c r="M705" s="5" t="n">
        <v>605.3</v>
      </c>
      <c r="N705" s="3" t="inlineStr">
        <is>
          <t>1</t>
        </is>
      </c>
      <c r="O705" s="3" t="inlineStr">
        <is>
          <t>-</t>
        </is>
      </c>
      <c r="P705" s="3" t="inlineStr">
        <is>
          <t>1. 남청주IC 4k, 진입도로 6m 2. 공장 380p</t>
        </is>
      </c>
      <c r="Q705" s="6">
        <f>HYPERLINK("https://fin.land.naver.com/articles/2651358267", "매물Link")</f>
        <v/>
      </c>
      <c r="R705" s="6">
        <f>HYPERLINK("https://map.naver.com/p/search/현도면 중삼리 298-4", "지도Link")</f>
        <v/>
      </c>
      <c r="S705" s="6">
        <f>HYPERLINK("http://www.eum.go.kr/web/ar/lu/luLandDet.jsp?pnu=4311232022102980004&amp;isNoScr=script&amp;mode=search", "토지이음")</f>
        <v/>
      </c>
      <c r="T705" s="3" t="inlineStr">
        <is>
          <t>성공</t>
        </is>
      </c>
      <c r="U705" s="4" t="n">
        <v>1</v>
      </c>
      <c r="V705" s="5" t="n">
        <v>46.5</v>
      </c>
      <c r="W705" s="4" t="n">
        <v>2692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240000</v>
      </c>
      <c r="G707" s="4" t="n">
        <v>0</v>
      </c>
      <c r="H707" s="4" t="n">
        <v>4168</v>
      </c>
      <c r="I707" s="4" t="n">
        <v>1261</v>
      </c>
      <c r="J707" s="5" t="n">
        <v>190.3</v>
      </c>
      <c r="K707" s="4" t="n">
        <v>1310</v>
      </c>
      <c r="L707" s="4" t="n">
        <v>396</v>
      </c>
      <c r="M707" s="5" t="n">
        <v>606.1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매매</t>
        </is>
      </c>
      <c r="Q707" s="6">
        <f>HYPERLINK("https://fin.land.naver.com/articles/2650523746",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38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230000</v>
      </c>
      <c r="G708" s="4" t="n">
        <v>0</v>
      </c>
      <c r="H708" s="4" t="n">
        <v>4168</v>
      </c>
      <c r="I708" s="4" t="n">
        <v>1261</v>
      </c>
      <c r="J708" s="5" t="n">
        <v>182.4</v>
      </c>
      <c r="K708" s="4" t="n">
        <v>1310</v>
      </c>
      <c r="L708" s="4" t="n">
        <v>396</v>
      </c>
      <c r="M708" s="5" t="n">
        <v>580.8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HYPERLINK("https://fin.land.naver.com/articles/2651246024", "매물Link")</f>
        <v/>
      </c>
      <c r="R708" s="6">
        <f>HYPERLINK("https://map.naver.com/p/search/현도면 중삼리 38", "지도Link")</f>
        <v/>
      </c>
      <c r="S708" s="6">
        <f>HYPERLINK("http://www.eum.go.kr/web/ar/lu/luLandDet.jsp?pnu=4311232022100380000&amp;isNoScr=script&amp;mode=search", "토지이음")</f>
        <v/>
      </c>
      <c r="T708" s="3" t="inlineStr">
        <is>
          <t>대웅</t>
        </is>
      </c>
      <c r="U708" s="4" t="n">
        <v>1</v>
      </c>
      <c r="V708" s="5" t="n">
        <v>52.7</v>
      </c>
      <c r="W708" s="4" t="n">
        <v>2107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38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월세</t>
        </is>
      </c>
      <c r="F709" s="4" t="n">
        <v>7000</v>
      </c>
      <c r="G709" s="4" t="n">
        <v>700</v>
      </c>
      <c r="H709" s="4" t="n">
        <v>4168</v>
      </c>
      <c r="I709" s="4" t="n">
        <v>1261</v>
      </c>
      <c r="J709" s="5" t="n">
        <v>0.6</v>
      </c>
      <c r="K709" s="4" t="n">
        <v>1310</v>
      </c>
      <c r="L709" s="4" t="n">
        <v>396</v>
      </c>
      <c r="M709" s="5" t="n">
        <v>1.8</v>
      </c>
      <c r="N709" s="3" t="inlineStr">
        <is>
          <t>1</t>
        </is>
      </c>
      <c r="O709" s="3" t="inlineStr">
        <is>
          <t>-</t>
        </is>
      </c>
      <c r="P709" s="3" t="inlineStr">
        <is>
          <t>사진有 공장 임대</t>
        </is>
      </c>
      <c r="Q709" s="6">
        <f>HYPERLINK("https://fin.land.naver.com/articles/2652988753", "매물Link")</f>
        <v/>
      </c>
      <c r="R709" s="6">
        <f>HYPERLINK("https://map.naver.com/p/search/현도면 중삼리 38", "지도Link")</f>
        <v/>
      </c>
      <c r="S709" s="6">
        <f>HYPERLINK("http://www.eum.go.kr/web/ar/lu/luLandDet.jsp?pnu=4311232022100380000&amp;isNoScr=script&amp;mode=search", "토지이음")</f>
        <v/>
      </c>
      <c r="T709" s="3" t="inlineStr">
        <is>
          <t>월드</t>
        </is>
      </c>
      <c r="U709" s="4" t="n">
        <v>1</v>
      </c>
      <c r="V709" s="5" t="n">
        <v>52.7</v>
      </c>
      <c r="W709" s="4" t="n">
        <v>2107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</sheetData>
  <autoFilter ref="A1:AD70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1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727</v>
      </c>
      <c r="J8" s="4" t="n">
        <v>220</v>
      </c>
      <c r="K8" s="5" t="n">
        <v>227.3</v>
      </c>
      <c r="L8" s="4" t="n">
        <v>144</v>
      </c>
      <c r="M8" s="4" t="n">
        <v>44</v>
      </c>
      <c r="N8" s="5" t="n">
        <v>1136.4</v>
      </c>
      <c r="O8" s="3" t="inlineStr">
        <is>
          <t>강내면 전원주택 219 대지, 700 임야포함 가성비최고</t>
        </is>
      </c>
      <c r="P8" s="6">
        <f>HYPERLINK("https://fin.land.naver.com/articles/2650315692",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세종공감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세종,오송,청주 근접거리 전원생활하기 좋은 마을 가성비 좋음</t>
        </is>
      </c>
      <c r="P10" s="6">
        <f>HYPERLINK("https://fin.land.naver.com/articles/2653306130",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스마트랜드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199</v>
      </c>
      <c r="M11" s="4" t="n">
        <v>60</v>
      </c>
      <c r="N11" s="5" t="n">
        <v>750</v>
      </c>
      <c r="O11" s="3" t="inlineStr">
        <is>
          <t>충청대 근교 궁현리 전원주택 단지내 관리잘된 전원주택</t>
        </is>
      </c>
      <c r="P11" s="6">
        <f>HYPERLINK("https://fin.land.naver.com/articles/2654964579",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원</t>
        </is>
      </c>
      <c r="T11" s="4" t="n">
        <v>2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217-35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36000</v>
      </c>
      <c r="H12" s="4" t="n">
        <v>0</v>
      </c>
      <c r="I12" s="4" t="n">
        <v>295</v>
      </c>
      <c r="J12" s="4" t="n">
        <v>89</v>
      </c>
      <c r="K12" s="5" t="n">
        <v>404.5</v>
      </c>
      <c r="L12" s="4" t="n">
        <v>98</v>
      </c>
      <c r="M12" s="4" t="n">
        <v>30</v>
      </c>
      <c r="N12" s="5" t="n">
        <v>1200</v>
      </c>
      <c r="O12" s="3" t="inlineStr">
        <is>
          <t>1층테크설치. 2층 드레스룸있음. 마당뒷쪽텃밭있음.</t>
        </is>
      </c>
      <c r="P12" s="6">
        <f>HYPERLINK("https://fin.land.naver.com/articles/2651099067", "매물Link")</f>
        <v/>
      </c>
      <c r="Q12" s="6">
        <f>HYPERLINK("https://map.naver.com/p/search/강내면 궁현리 217-35", "지도Link")</f>
        <v/>
      </c>
      <c r="R12" s="6">
        <f>HYPERLINK("http://www.eum.go.kr/web/ar/lu/luLandDet.jsp?pnu=4311331022102170035&amp;isNoScr=script&amp;mode=search", "토지이음")</f>
        <v/>
      </c>
      <c r="S12" s="3" t="inlineStr">
        <is>
          <t>하나로</t>
        </is>
      </c>
      <c r="T12" s="4" t="n">
        <v>1</v>
      </c>
      <c r="U12" s="5" t="n">
        <v>36.1</v>
      </c>
      <c r="V12" s="4" t="n">
        <v>295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세로장방</t>
        </is>
      </c>
      <c r="AA12" s="3" t="inlineStr">
        <is>
          <t>세로한면(가)</t>
        </is>
      </c>
    </row>
    <row r="13">
      <c r="A13" s="3" t="inlineStr">
        <is>
          <t>강내면 궁현리 217-43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60000</v>
      </c>
      <c r="H13" s="4" t="n">
        <v>0</v>
      </c>
      <c r="I13" s="4" t="n">
        <v>553</v>
      </c>
      <c r="J13" s="4" t="n">
        <v>167</v>
      </c>
      <c r="K13" s="5" t="n">
        <v>359.3</v>
      </c>
      <c r="L13" s="4" t="n">
        <v>196</v>
      </c>
      <c r="M13" s="4" t="n">
        <v>59</v>
      </c>
      <c r="N13" s="5" t="n">
        <v>1016.9</v>
      </c>
      <c r="O13" s="3" t="inlineStr">
        <is>
          <t>마을초입에 위치 벙커식주차 복층 관리상태우수 잔디정원  협의입주</t>
        </is>
      </c>
      <c r="P13" s="6">
        <f>HYPERLINK("https://fin.land.naver.com/articles/2654990832", "매물Link")</f>
        <v/>
      </c>
      <c r="Q13" s="6">
        <f>HYPERLINK("https://map.naver.com/p/search/강내면 궁현리 217-43", "지도Link")</f>
        <v/>
      </c>
      <c r="R13" s="6">
        <f>HYPERLINK("http://www.eum.go.kr/web/ar/lu/luLandDet.jsp?pnu=4311331022102170043&amp;isNoScr=script&amp;mode=search", "토지이음")</f>
        <v/>
      </c>
      <c r="S13" s="3" t="inlineStr">
        <is>
          <t>세종참</t>
        </is>
      </c>
      <c r="T13" s="4" t="n">
        <v>1</v>
      </c>
      <c r="U13" s="5" t="n">
        <v>35.8</v>
      </c>
      <c r="V13" s="4" t="n">
        <v>553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세로한면(가)</t>
        </is>
      </c>
    </row>
    <row r="14">
      <c r="A14" s="3" t="inlineStr">
        <is>
          <t>강내면 궁현리 217-45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104</v>
      </c>
      <c r="M14" s="4" t="n">
        <v>31</v>
      </c>
      <c r="N14" s="5" t="n">
        <v>1290.3</v>
      </c>
      <c r="O14" s="3" t="inlineStr">
        <is>
          <t>은적산 전원마을 철근콘크리트 구조</t>
        </is>
      </c>
      <c r="P14" s="6">
        <f>HYPERLINK("https://fin.land.naver.com/articles/2654267074", "매물Link")</f>
        <v/>
      </c>
      <c r="Q14" s="6">
        <f>HYPERLINK("https://map.naver.com/p/search/강내면 궁현리 217-45", "지도Link")</f>
        <v/>
      </c>
      <c r="R14" s="6">
        <f>HYPERLINK("http://www.eum.go.kr/web/ar/lu/luLandDet.jsp?pnu=4311331022102170045&amp;isNoScr=script&amp;mode=search", "토지이음")</f>
        <v/>
      </c>
      <c r="S14" s="3" t="inlineStr">
        <is>
          <t>학사</t>
        </is>
      </c>
      <c r="T14" s="4" t="n">
        <v>2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217-51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43000</v>
      </c>
      <c r="H15" s="4" t="n">
        <v>0</v>
      </c>
      <c r="I15" s="4" t="n">
        <v>404</v>
      </c>
      <c r="J15" s="4" t="n">
        <v>122</v>
      </c>
      <c r="K15" s="5" t="n">
        <v>352.5</v>
      </c>
      <c r="L15" s="4" t="n">
        <v>94</v>
      </c>
      <c r="M15" s="4" t="n">
        <v>28</v>
      </c>
      <c r="N15" s="5" t="n">
        <v>1535.7</v>
      </c>
      <c r="O15" s="3" t="inlineStr">
        <is>
          <t>연꽃마을 근처 주택단지, 협의입주</t>
        </is>
      </c>
      <c r="P15" s="6">
        <f>HYPERLINK("https://fin.land.naver.com/articles/2653576671", "매물Link")</f>
        <v/>
      </c>
      <c r="Q15" s="6">
        <f>HYPERLINK("https://map.naver.com/p/search/강내면 궁현리 217-51", "지도Link")</f>
        <v/>
      </c>
      <c r="R15" s="6">
        <f>HYPERLINK("http://www.eum.go.kr/web/ar/lu/luLandDet.jsp?pnu=4311331022102170051&amp;isNoScr=script&amp;mode=search", "토지이음")</f>
        <v/>
      </c>
      <c r="S15" s="3" t="inlineStr">
        <is>
          <t>하경</t>
        </is>
      </c>
      <c r="T15" s="4" t="n">
        <v>1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세로장방</t>
        </is>
      </c>
      <c r="AA15" s="3" t="inlineStr">
        <is>
          <t>세로한면(가)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47-7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4</t>
        </is>
      </c>
      <c r="E18" s="3" t="inlineStr">
        <is>
          <t>전원주택</t>
        </is>
      </c>
      <c r="F18" s="3" t="inlineStr">
        <is>
          <t>월세</t>
        </is>
      </c>
      <c r="G18" s="4" t="n">
        <v>2000</v>
      </c>
      <c r="H18" s="4" t="n">
        <v>75</v>
      </c>
      <c r="I18" s="4" t="n">
        <v>696</v>
      </c>
      <c r="J18" s="4" t="n">
        <v>211</v>
      </c>
      <c r="K18" s="5" t="n">
        <v>0.4</v>
      </c>
      <c r="L18" s="4" t="n">
        <v>82</v>
      </c>
      <c r="M18" s="4" t="n">
        <v>25</v>
      </c>
      <c r="N18" s="5" t="n">
        <v>3</v>
      </c>
      <c r="O18" s="3" t="inlineStr">
        <is>
          <t>4층중 4층 시스템 에어컨 .신축급 방3화2</t>
        </is>
      </c>
      <c r="P18" s="6">
        <f>HYPERLINK("https://fin.land.naver.com/articles/2653306209", "매물Link")</f>
        <v/>
      </c>
      <c r="Q18" s="6">
        <f>HYPERLINK("https://map.naver.com/p/search/강내면 궁현리 47-7", "지도Link")</f>
        <v/>
      </c>
      <c r="R18" s="6">
        <f>HYPERLINK("http://www.eum.go.kr/web/ar/lu/luLandDet.jsp?pnu=4311331022100470007&amp;isNoScr=script&amp;mode=search", "토지이음")</f>
        <v/>
      </c>
      <c r="S18" s="3" t="inlineStr">
        <is>
          <t>위더스</t>
        </is>
      </c>
      <c r="T18" s="4" t="n">
        <v>1</v>
      </c>
      <c r="U18" s="5" t="n">
        <v>55.1</v>
      </c>
      <c r="V18" s="4" t="n">
        <v>696</v>
      </c>
      <c r="W18" s="3" t="inlineStr">
        <is>
          <t>지정되지않음</t>
        </is>
      </c>
      <c r="X18" s="3" t="inlineStr">
        <is>
          <t>다세대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세로한면(가)</t>
        </is>
      </c>
    </row>
    <row r="19">
      <c r="A19" s="3" t="inlineStr">
        <is>
          <t>강내면 다락리 16-16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40000</v>
      </c>
      <c r="H19" s="4" t="n">
        <v>0</v>
      </c>
      <c r="I19" s="4" t="n">
        <v>777</v>
      </c>
      <c r="J19" s="4" t="n">
        <v>235</v>
      </c>
      <c r="K19" s="5" t="n">
        <v>170.2</v>
      </c>
      <c r="L19" s="4" t="n">
        <v>143</v>
      </c>
      <c r="M19" s="4" t="n">
        <v>43</v>
      </c>
      <c r="N19" s="5" t="n">
        <v>930.2</v>
      </c>
      <c r="O19" s="3" t="inlineStr">
        <is>
          <t>다락리 딘독주택  대지 넓고 내부도 넓어요</t>
        </is>
      </c>
      <c r="P19" s="6">
        <f>HYPERLINK("https://fin.land.naver.com/articles/2650923580", "매물Link")</f>
        <v/>
      </c>
      <c r="Q19" s="6">
        <f>HYPERLINK("https://map.naver.com/p/search/강내면 다락리 16-16", "지도Link")</f>
        <v/>
      </c>
      <c r="R19" s="6">
        <f>HYPERLINK("http://www.eum.go.kr/web/ar/lu/luLandDet.jsp?pnu=4311331026100160016&amp;isNoScr=script&amp;mode=search", "토지이음")</f>
        <v/>
      </c>
      <c r="S19" s="3" t="inlineStr">
        <is>
          <t>복터</t>
        </is>
      </c>
      <c r="T19" s="4" t="n">
        <v>1</v>
      </c>
      <c r="U19" s="5" t="n">
        <v>53</v>
      </c>
      <c r="V19" s="4" t="n">
        <v>777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강내면 다락리 24-6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65000</v>
      </c>
      <c r="H20" s="4" t="n">
        <v>0</v>
      </c>
      <c r="I20" s="4" t="n">
        <v>615</v>
      </c>
      <c r="J20" s="4" t="n">
        <v>186</v>
      </c>
      <c r="K20" s="5" t="n">
        <v>349.5</v>
      </c>
      <c r="L20" s="4" t="n">
        <v>139</v>
      </c>
      <c r="M20" s="4" t="n">
        <v>42</v>
      </c>
      <c r="N20" s="5" t="n">
        <v>1547.6</v>
      </c>
      <c r="O20" s="3" t="inlineStr">
        <is>
          <t>남향 잘 지어진 2층 단독주택</t>
        </is>
      </c>
      <c r="P20" s="6">
        <f>HYPERLINK("https://fin.land.naver.com/articles/2650904459", "매물Link")</f>
        <v/>
      </c>
      <c r="Q20" s="6">
        <f>HYPERLINK("https://map.naver.com/p/search/강내면 다락리 24-6", "지도Link")</f>
        <v/>
      </c>
      <c r="R20" s="6">
        <f>HYPERLINK("http://www.eum.go.kr/web/ar/lu/luLandDet.jsp?pnu=4311331026100240006&amp;isNoScr=script&amp;mode=search", "토지이음")</f>
        <v/>
      </c>
      <c r="S20" s="3" t="inlineStr">
        <is>
          <t>옥산금정</t>
        </is>
      </c>
      <c r="T20" s="4" t="n">
        <v>1</v>
      </c>
      <c r="U20" s="5" t="n">
        <v>53</v>
      </c>
      <c r="V20" s="4" t="n">
        <v>615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HYPERLINK("https://fin.land.naver.com/articles/2650569915",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99000</v>
      </c>
      <c r="H24" s="4" t="n">
        <v>0</v>
      </c>
      <c r="I24" s="4" t="n">
        <v>548</v>
      </c>
      <c r="J24" s="4" t="n">
        <v>166</v>
      </c>
      <c r="K24" s="5" t="n">
        <v>596.4</v>
      </c>
      <c r="L24" s="4" t="n">
        <v>166</v>
      </c>
      <c r="M24" s="4" t="n">
        <v>50</v>
      </c>
      <c r="N24" s="5" t="n">
        <v>1980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69000</v>
      </c>
      <c r="H25" s="4" t="n">
        <v>0</v>
      </c>
      <c r="I25" s="4" t="n">
        <v>594</v>
      </c>
      <c r="J25" s="4" t="n">
        <v>180</v>
      </c>
      <c r="K25" s="5" t="n">
        <v>383.3</v>
      </c>
      <c r="L25" s="4" t="n">
        <v>97</v>
      </c>
      <c r="M25" s="4" t="n">
        <v>29</v>
      </c>
      <c r="N25" s="5" t="n">
        <v>2379.3</v>
      </c>
      <c r="O25" s="3" t="inlineStr">
        <is>
          <t>급매 신축 첫입주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공실 않나는 위치의 상가 주택, 충청대학교 정문 앞, 접근성 좋음</t>
        </is>
      </c>
      <c r="P33" s="6">
        <f>HYPERLINK("https://fin.land.naver.com/articles/2653561849",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제이</t>
        </is>
      </c>
      <c r="T33" s="4" t="n">
        <v>2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HYPERLINK("https://fin.land.naver.com/articles/2652127300",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307-3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상가주택</t>
        </is>
      </c>
      <c r="F36" s="3" t="inlineStr">
        <is>
          <t>매매</t>
        </is>
      </c>
      <c r="G36" s="4" t="n">
        <v>90000</v>
      </c>
      <c r="H36" s="4" t="n">
        <v>0</v>
      </c>
      <c r="I36" s="4" t="n">
        <v>643</v>
      </c>
      <c r="J36" s="4" t="n">
        <v>195</v>
      </c>
      <c r="K36" s="5" t="n">
        <v>461.5</v>
      </c>
      <c r="L36" s="4" t="n">
        <v>1626</v>
      </c>
      <c r="M36" s="4" t="n">
        <v>492</v>
      </c>
      <c r="N36" s="5" t="n">
        <v>182.9</v>
      </c>
      <c r="O36" s="3" t="inlineStr">
        <is>
          <t>충청대학교 앞 초입 건물
지하와 4층주택 현공실상태로 임대료에 포함</t>
        </is>
      </c>
      <c r="P36" s="6">
        <f>HYPERLINK("https://fin.land.naver.com/articles/2650614301", "매물Link")</f>
        <v/>
      </c>
      <c r="Q36" s="6">
        <f>HYPERLINK("https://map.naver.com/p/search/강내면 월곡리 307-3", "지도Link")</f>
        <v/>
      </c>
      <c r="R36" s="6">
        <f>HYPERLINK("http://www.eum.go.kr/web/ar/lu/luLandDet.jsp?pnu=4311331034103070003&amp;isNoScr=script&amp;mode=search", "토지이음")</f>
        <v/>
      </c>
      <c r="S36" s="3" t="inlineStr">
        <is>
          <t>제우스</t>
        </is>
      </c>
      <c r="T36" s="4" t="n">
        <v>1</v>
      </c>
      <c r="U36" s="5" t="n">
        <v>327.7</v>
      </c>
      <c r="V36" s="4" t="n">
        <v>643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중로한면</t>
        </is>
      </c>
    </row>
    <row r="37">
      <c r="A37" s="3" t="inlineStr">
        <is>
          <t>강내면 월곡리 331-14</t>
        </is>
      </c>
      <c r="B37" s="3" t="inlineStr">
        <is>
          <t>제1종일반주거지역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월세</t>
        </is>
      </c>
      <c r="G37" s="4" t="n">
        <v>300</v>
      </c>
      <c r="H37" s="4" t="n">
        <v>30</v>
      </c>
      <c r="I37" s="4" t="n">
        <v>25</v>
      </c>
      <c r="J37" s="4" t="n">
        <v>8</v>
      </c>
      <c r="K37" s="5" t="n">
        <v>3.8</v>
      </c>
      <c r="L37" s="4" t="n">
        <v>24</v>
      </c>
      <c r="M37" s="4" t="n">
        <v>7</v>
      </c>
      <c r="N37" s="5" t="n">
        <v>4.3</v>
      </c>
      <c r="O37" s="3" t="inlineStr">
        <is>
          <t>최신트랜드 원룸, 충청대 후문위치, 오송, 오창, 직장인 출퇴근 최적</t>
        </is>
      </c>
      <c r="P37" s="6">
        <f>HYPERLINK("https://fin.land.naver.com/articles/2654627886", "매물Link")</f>
        <v/>
      </c>
      <c r="Q37" s="6">
        <f>HYPERLINK("https://map.naver.com/p/search/강내면 월곡리 331-14", "지도Link")</f>
        <v/>
      </c>
      <c r="R37" s="6">
        <f>HYPERLINK("http://www.eum.go.kr/web/ar/lu/luLandDet.jsp?pnu=4311331034103310014&amp;isNoScr=script&amp;mode=search", "토지이음")</f>
        <v/>
      </c>
      <c r="S37" s="3" t="inlineStr">
        <is>
          <t>대한</t>
        </is>
      </c>
      <c r="T37" s="4" t="n">
        <v>1</v>
      </c>
      <c r="U37" s="5" t="n">
        <v>168.5</v>
      </c>
      <c r="V37" s="4" t="n">
        <v>407</v>
      </c>
      <c r="W37" s="3" t="inlineStr">
        <is>
          <t>지정되지않음</t>
        </is>
      </c>
      <c r="X37" s="3" t="inlineStr">
        <is>
          <t>주거기타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소로한면</t>
        </is>
      </c>
    </row>
    <row r="38">
      <c r="A38" s="3" t="inlineStr">
        <is>
          <t>강내면 월곡리 334-19</t>
        </is>
      </c>
      <c r="B38" s="3" t="inlineStr">
        <is>
          <t>자연녹지지역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월세</t>
        </is>
      </c>
      <c r="G38" s="4" t="n">
        <v>1000</v>
      </c>
      <c r="H38" s="4" t="n">
        <v>40</v>
      </c>
      <c r="I38" s="4" t="n">
        <v>56</v>
      </c>
      <c r="J38" s="4" t="n">
        <v>17</v>
      </c>
      <c r="K38" s="5" t="n">
        <v>2.4</v>
      </c>
      <c r="L38" s="4" t="n">
        <v>56</v>
      </c>
      <c r="M38" s="4" t="n">
        <v>17</v>
      </c>
      <c r="N38" s="5" t="n">
        <v>2.4</v>
      </c>
      <c r="O38" s="3" t="inlineStr">
        <is>
          <t>협의 입주 가능</t>
        </is>
      </c>
      <c r="P38" s="6">
        <f>HYPERLINK("https://fin.land.naver.com/articles/2651109166", "매물Link")</f>
        <v/>
      </c>
      <c r="Q38" s="6">
        <f>HYPERLINK("https://map.naver.com/p/search/강내면 월곡리 334-19", "지도Link")</f>
        <v/>
      </c>
      <c r="R38" s="6">
        <f>HYPERLINK("http://www.eum.go.kr/web/ar/lu/luLandDet.jsp?pnu=4311331034103340019&amp;isNoScr=script&amp;mode=search", "토지이음")</f>
        <v/>
      </c>
      <c r="S38" s="3" t="inlineStr">
        <is>
          <t>하나로</t>
        </is>
      </c>
      <c r="T38" s="4" t="n">
        <v>2</v>
      </c>
      <c r="U38" s="5" t="n">
        <v>95.5</v>
      </c>
      <c r="V38" s="4" t="n">
        <v>283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소로한면</t>
        </is>
      </c>
    </row>
    <row r="39">
      <c r="A39" s="3" t="inlineStr">
        <is>
          <t>강내면 월탄리 100-16</t>
        </is>
      </c>
      <c r="B39" s="3" t="inlineStr">
        <is>
          <t>계획관리지역</t>
        </is>
      </c>
      <c r="C39" s="3" t="inlineStr">
        <is>
          <t>임야</t>
        </is>
      </c>
      <c r="D39" s="3" t="inlineStr">
        <is>
          <t>3</t>
        </is>
      </c>
      <c r="E39" s="3" t="inlineStr">
        <is>
          <t>일반원룸</t>
        </is>
      </c>
      <c r="F39" s="3" t="inlineStr">
        <is>
          <t>월세</t>
        </is>
      </c>
      <c r="G39" s="4" t="n">
        <v>500</v>
      </c>
      <c r="H39" s="4" t="n">
        <v>46</v>
      </c>
      <c r="I39" s="4" t="n">
        <v>57</v>
      </c>
      <c r="J39" s="4" t="n">
        <v>17</v>
      </c>
      <c r="K39" s="5" t="n">
        <v>2.7</v>
      </c>
      <c r="L39" s="4" t="n">
        <v>24</v>
      </c>
      <c r="M39" s="4" t="n">
        <v>7</v>
      </c>
      <c r="N39" s="5" t="n">
        <v>6.6</v>
      </c>
      <c r="O39" s="3" t="inlineStr">
        <is>
          <t>신축 투베이 ,9월 입주 가능</t>
        </is>
      </c>
      <c r="P39" s="6">
        <f>HYPERLINK("https://fin.land.naver.com/articles/2650306809", "매물Link")</f>
        <v/>
      </c>
      <c r="Q39" s="6">
        <f>HYPERLINK("https://map.naver.com/p/search/강내면 월탄리 100-16", "지도Link")</f>
        <v/>
      </c>
      <c r="R39" s="6">
        <f>HYPERLINK("http://www.eum.go.kr/web/ar/lu/luLandDet.jsp?pnu=4311331030101000016&amp;isNoScr=script&amp;mode=search", "토지이음")</f>
        <v/>
      </c>
      <c r="S39" s="3" t="inlineStr">
        <is>
          <t>프로</t>
        </is>
      </c>
      <c r="T39" s="4" t="n">
        <v>1</v>
      </c>
      <c r="U39" s="5" t="n">
        <v>12.3</v>
      </c>
      <c r="V39" s="4" t="n">
        <v>259</v>
      </c>
      <c r="W39" s="3" t="inlineStr">
        <is>
          <t>지정되지않음</t>
        </is>
      </c>
      <c r="X39" s="3" t="inlineStr">
        <is>
          <t>전기타</t>
        </is>
      </c>
      <c r="Y39" s="3" t="inlineStr">
        <is>
          <t>완경사</t>
        </is>
      </c>
      <c r="Z39" s="3" t="inlineStr">
        <is>
          <t>부정형</t>
        </is>
      </c>
      <c r="AA39" s="3" t="inlineStr">
        <is>
          <t>세로한면(가)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월세</t>
        </is>
      </c>
      <c r="G47" s="4" t="n">
        <v>250</v>
      </c>
      <c r="H47" s="4" t="n">
        <v>25</v>
      </c>
      <c r="I47" s="4" t="n">
        <v>116</v>
      </c>
      <c r="J47" s="4" t="n">
        <v>35</v>
      </c>
      <c r="K47" s="5" t="n">
        <v>0.7</v>
      </c>
      <c r="L47" s="4" t="n">
        <v>16</v>
      </c>
      <c r="M47" s="4" t="n">
        <v>5</v>
      </c>
      <c r="N47" s="5" t="n">
        <v>5</v>
      </c>
      <c r="O47" s="3" t="inlineStr">
        <is>
          <t>a한국교원대 인근 관리잘된 분리형 풀옵원룸</t>
        </is>
      </c>
      <c r="P47" s="6">
        <f>HYPERLINK("https://fin.land.naver.com/articles/2650032243", "매물Link")</f>
        <v/>
      </c>
      <c r="Q47" s="6">
        <f>HYPERLINK("https://map.naver.com/p/search/강내면 월탄리 63-4", "지도Link")</f>
        <v/>
      </c>
      <c r="R47" s="6">
        <f>HYPERLINK("http://www.eum.go.kr/web/ar/lu/luLandDet.jsp?pnu=4311331030100630004&amp;isNoScr=script&amp;mode=search", "토지이음")</f>
        <v/>
      </c>
      <c r="S47" s="3" t="inlineStr">
        <is>
          <t>메가캐슬</t>
        </is>
      </c>
      <c r="T47" s="4" t="n">
        <v>1</v>
      </c>
      <c r="U47" s="5" t="n">
        <v>87.40000000000001</v>
      </c>
      <c r="V47" s="4" t="n">
        <v>300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23</v>
      </c>
      <c r="I48" s="4" t="n">
        <v>16</v>
      </c>
      <c r="J48" s="4" t="n">
        <v>5</v>
      </c>
      <c r="K48" s="5" t="n">
        <v>4.6</v>
      </c>
      <c r="L48" s="4" t="n">
        <v>16</v>
      </c>
      <c r="M48" s="4" t="n">
        <v>5</v>
      </c>
      <c r="N48" s="5" t="n">
        <v>4.6</v>
      </c>
      <c r="O48" s="3" t="inlineStr">
        <is>
          <t>a한국교원대 인접  실내컨디션좋은 분리형 풀옵원룸</t>
        </is>
      </c>
      <c r="P48" s="6">
        <f>HYPERLINK("https://fin.land.naver.com/articles/2650682811", "매물Link")</f>
        <v/>
      </c>
      <c r="Q48" s="6">
        <f>HYPERLINK("https://map.naver.com/p/search/강내면 월탄리 63-5", "지도Link")</f>
        <v/>
      </c>
      <c r="R48" s="6">
        <f>HYPERLINK("http://www.eum.go.kr/web/ar/lu/luLandDet.jsp?pnu=4311331030100630005&amp;isNoScr=script&amp;mode=search",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83.90000000000001</v>
      </c>
      <c r="V48" s="4" t="n">
        <v>322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자루형</t>
        </is>
      </c>
      <c r="AA48" s="3" t="inlineStr">
        <is>
          <t>세로한면(가)</t>
        </is>
      </c>
    </row>
    <row r="49">
      <c r="A49" s="3" t="inlineStr">
        <is>
          <t>강내면 월탄리 64-9</t>
        </is>
      </c>
      <c r="B49" s="3" t="inlineStr">
        <is>
          <t>계획관리지역</t>
        </is>
      </c>
      <c r="C49" s="3" t="inlineStr"/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90000</v>
      </c>
      <c r="H49" s="4" t="n">
        <v>0</v>
      </c>
      <c r="I49" s="4" t="n">
        <v>620</v>
      </c>
      <c r="J49" s="4" t="n">
        <v>188</v>
      </c>
      <c r="K49" s="5" t="n">
        <v>478.7</v>
      </c>
      <c r="L49" s="4" t="n">
        <v>620</v>
      </c>
      <c r="M49" s="4" t="n">
        <v>188</v>
      </c>
      <c r="N49" s="5" t="n">
        <v>478.7</v>
      </c>
      <c r="O49" s="3" t="inlineStr">
        <is>
          <t>교원대 옆 위치좋고 공실없고 옥상 방수공사 새로 한 다가구 주택 매매</t>
        </is>
      </c>
      <c r="P49" s="6">
        <f>HYPERLINK("https://fin.land.naver.com/articles/2655577651", "매물Link")</f>
        <v/>
      </c>
      <c r="Q49" s="6">
        <f>HYPERLINK("https://map.naver.com/p/search/강내면 월탄리 64-9", "지도Link")</f>
        <v/>
      </c>
      <c r="R49" s="6">
        <f>HYPERLINK("http://www.eum.go.kr/web/ar/lu/luLandDet.jsp?pnu=4311331030100640009&amp;isNoScr=script&amp;mode=search", "토지이음")</f>
        <v/>
      </c>
      <c r="S49" s="3" t="inlineStr">
        <is>
          <t>이로운 사무소</t>
        </is>
      </c>
      <c r="T49" s="4" t="n">
        <v>1</v>
      </c>
      <c r="U49" s="5" t="n">
        <v>87.40000000000001</v>
      </c>
      <c r="V49" s="4" t="n">
        <v>0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/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0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68-8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100</v>
      </c>
      <c r="H51" s="4" t="n">
        <v>26</v>
      </c>
      <c r="I51" s="4" t="n">
        <v>21</v>
      </c>
      <c r="J51" s="4" t="n">
        <v>6</v>
      </c>
      <c r="K51" s="5" t="n">
        <v>4.3</v>
      </c>
      <c r="L51" s="4" t="n">
        <v>21</v>
      </c>
      <c r="M51" s="4" t="n">
        <v>6</v>
      </c>
      <c r="N51" s="5" t="n">
        <v>4.3</v>
      </c>
      <c r="O51" s="3" t="inlineStr">
        <is>
          <t>a한국교원대 인접  밝고넓은 베란다 풀옵원룸</t>
        </is>
      </c>
      <c r="P51" s="6">
        <f>HYPERLINK("https://fin.land.naver.com/articles/2650683616", "매물Link")</f>
        <v/>
      </c>
      <c r="Q51" s="6">
        <f>HYPERLINK("https://map.naver.com/p/search/강내면 월탄리 68-8", "지도Link")</f>
        <v/>
      </c>
      <c r="R51" s="6">
        <f>HYPERLINK("http://www.eum.go.kr/web/ar/lu/luLandDet.jsp?pnu=4311331030100680008&amp;isNoScr=script&amp;mode=search",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495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1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65000</v>
      </c>
      <c r="H55" s="4" t="n">
        <v>0</v>
      </c>
      <c r="I55" s="4" t="n">
        <v>330</v>
      </c>
      <c r="J55" s="4" t="n">
        <v>100</v>
      </c>
      <c r="K55" s="5" t="n">
        <v>650</v>
      </c>
      <c r="L55" s="4" t="n">
        <v>328</v>
      </c>
      <c r="M55" s="4" t="n">
        <v>99</v>
      </c>
      <c r="N55" s="5" t="n">
        <v>656.6</v>
      </c>
      <c r="O55" s="3" t="inlineStr">
        <is>
          <t>임대수익률우수,노후대책,</t>
        </is>
      </c>
      <c r="P55" s="6">
        <f>HYPERLINK("https://fin.land.naver.com/articles/2652057515",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호반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L 투자하기 좋고수익율높은 교원대정문 공실없는 원룸다가구 저렴히 매매</t>
        </is>
      </c>
      <c r="P56" s="6">
        <f>HYPERLINK("https://fin.land.naver.com/articles/2654610305",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아임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일반원룸</t>
        </is>
      </c>
      <c r="F57" s="3" t="inlineStr">
        <is>
          <t>월세</t>
        </is>
      </c>
      <c r="G57" s="4" t="n">
        <v>200</v>
      </c>
      <c r="H57" s="4" t="n">
        <v>20</v>
      </c>
      <c r="I57" s="4" t="n">
        <v>0</v>
      </c>
      <c r="J57" s="4" t="n">
        <v>0</v>
      </c>
      <c r="K57" s="5" t="n">
        <v>0</v>
      </c>
      <c r="L57" s="4" t="n">
        <v>23</v>
      </c>
      <c r="M57" s="4" t="n">
        <v>7</v>
      </c>
      <c r="N57" s="5" t="n">
        <v>2.9</v>
      </c>
      <c r="O57" s="3" t="inlineStr">
        <is>
          <t>즉시 입주 가능, 가성비갑 원룸</t>
        </is>
      </c>
      <c r="P57" s="6">
        <f>HYPERLINK("https://fin.land.naver.com/articles/2650807949",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프로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86-11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4</t>
        </is>
      </c>
      <c r="E58" s="3" t="inlineStr">
        <is>
          <t>다가구</t>
        </is>
      </c>
      <c r="F58" s="3" t="inlineStr">
        <is>
          <t>매매</t>
        </is>
      </c>
      <c r="G58" s="4" t="n">
        <v>63000</v>
      </c>
      <c r="H58" s="4" t="n">
        <v>0</v>
      </c>
      <c r="I58" s="4" t="n">
        <v>330</v>
      </c>
      <c r="J58" s="4" t="n">
        <v>100</v>
      </c>
      <c r="K58" s="5" t="n">
        <v>630</v>
      </c>
      <c r="L58" s="4" t="n">
        <v>328</v>
      </c>
      <c r="M58" s="4" t="n">
        <v>99</v>
      </c>
      <c r="N58" s="5" t="n">
        <v>636.4</v>
      </c>
      <c r="O58" s="3" t="inlineStr">
        <is>
          <t>교원대 입구에 있는 공실걱정 없고 월세 잘 나오는 수익율 좋은 다가구주택</t>
        </is>
      </c>
      <c r="P58" s="6">
        <f>HYPERLINK("https://fin.land.naver.com/articles/2651236524", "매물Link")</f>
        <v/>
      </c>
      <c r="Q58" s="6">
        <f>HYPERLINK("https://map.naver.com/p/search/강내면 월탄리 86-11", "지도Link")</f>
        <v/>
      </c>
      <c r="R58" s="6">
        <f>HYPERLINK("http://www.eum.go.kr/web/ar/lu/luLandDet.jsp?pnu=4311331030100860011&amp;isNoScr=script&amp;mode=search", "토지이음")</f>
        <v/>
      </c>
      <c r="S58" s="3" t="inlineStr">
        <is>
          <t>스마일세종</t>
        </is>
      </c>
      <c r="T58" s="4" t="n">
        <v>2</v>
      </c>
      <c r="U58" s="5" t="n">
        <v>87.40000000000001</v>
      </c>
      <c r="V58" s="4" t="n">
        <v>330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강내면 월탄리 89-1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21</v>
      </c>
      <c r="I59" s="4" t="n">
        <v>22</v>
      </c>
      <c r="J59" s="4" t="n">
        <v>7</v>
      </c>
      <c r="K59" s="5" t="n">
        <v>3</v>
      </c>
      <c r="L59" s="4" t="n">
        <v>22</v>
      </c>
      <c r="M59" s="4" t="n">
        <v>7</v>
      </c>
      <c r="N59" s="5" t="n">
        <v>3</v>
      </c>
      <c r="O59" s="3" t="inlineStr">
        <is>
          <t>a한국교원대 인근 넓고밝은 분리형  풀옵원룸</t>
        </is>
      </c>
      <c r="P59" s="6">
        <f>HYPERLINK("https://fin.land.naver.com/articles/2654884660", "매물Link")</f>
        <v/>
      </c>
      <c r="Q59" s="6">
        <f>HYPERLINK("https://map.naver.com/p/search/강내면 월탄리 89-1", "지도Link")</f>
        <v/>
      </c>
      <c r="R59" s="6">
        <f>HYPERLINK("http://www.eum.go.kr/web/ar/lu/luLandDet.jsp?pnu=4311331030100890001&amp;isNoScr=script&amp;mode=search",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87.40000000000001</v>
      </c>
      <c r="V59" s="4" t="n">
        <v>441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저산리 100-12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69000</v>
      </c>
      <c r="H62" s="4" t="n">
        <v>0</v>
      </c>
      <c r="I62" s="4" t="n">
        <v>629</v>
      </c>
      <c r="J62" s="4" t="n">
        <v>190</v>
      </c>
      <c r="K62" s="5" t="n">
        <v>363.2</v>
      </c>
      <c r="L62" s="4" t="n">
        <v>183</v>
      </c>
      <c r="M62" s="4" t="n">
        <v>55</v>
      </c>
      <c r="N62" s="5" t="n">
        <v>1254.5</v>
      </c>
      <c r="O62" s="3" t="inlineStr">
        <is>
          <t>세종 10분,오송역 15분 거리 전원주택매매</t>
        </is>
      </c>
      <c r="P62" s="6">
        <f>HYPERLINK("https://fin.land.naver.com/articles/2651099785", "매물Link")</f>
        <v/>
      </c>
      <c r="Q62" s="6">
        <f>HYPERLINK("https://map.naver.com/p/search/강내면 저산리 100-12", "지도Link")</f>
        <v/>
      </c>
      <c r="R62" s="6">
        <f>HYPERLINK("http://www.eum.go.kr/web/ar/lu/luLandDet.jsp?pnu=4311331023101000012&amp;isNoScr=script&amp;mode=search", "토지이음")</f>
        <v/>
      </c>
      <c r="S62" s="3" t="inlineStr">
        <is>
          <t>새로이</t>
        </is>
      </c>
      <c r="T62" s="4" t="n">
        <v>1</v>
      </c>
      <c r="U62" s="5" t="n">
        <v>43.5</v>
      </c>
      <c r="V62" s="4" t="n">
        <v>629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100-13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70000</v>
      </c>
      <c r="H64" s="4" t="n">
        <v>0</v>
      </c>
      <c r="I64" s="4" t="n">
        <v>538</v>
      </c>
      <c r="J64" s="4" t="n">
        <v>163</v>
      </c>
      <c r="K64" s="5" t="n">
        <v>429.4</v>
      </c>
      <c r="L64" s="4" t="n">
        <v>183</v>
      </c>
      <c r="M64" s="4" t="n">
        <v>55</v>
      </c>
      <c r="N64" s="5" t="n">
        <v>1272.7</v>
      </c>
      <c r="O64" s="3" t="inlineStr">
        <is>
          <t>급매 고급 전원주택 관리최상 벙커형주차2대 정남향 탁트인조망 방4개</t>
        </is>
      </c>
      <c r="P64" s="6">
        <f>HYPERLINK("https://fin.land.naver.com/articles/2654416001", "매물Link")</f>
        <v/>
      </c>
      <c r="Q64" s="6">
        <f>HYPERLINK("https://map.naver.com/p/search/강내면 저산리 100-13", "지도Link")</f>
        <v/>
      </c>
      <c r="R64" s="6">
        <f>HYPERLINK("http://www.eum.go.kr/web/ar/lu/luLandDet.jsp?pnu=4311331023101000013&amp;isNoScr=script&amp;mode=search",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39.2</v>
      </c>
      <c r="V64" s="4" t="n">
        <v>538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정방형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100-3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65000</v>
      </c>
      <c r="H66" s="4" t="n">
        <v>0</v>
      </c>
      <c r="I66" s="4" t="n">
        <v>543</v>
      </c>
      <c r="J66" s="4" t="n">
        <v>164</v>
      </c>
      <c r="K66" s="5" t="n">
        <v>396.3</v>
      </c>
      <c r="L66" s="4" t="n">
        <v>137</v>
      </c>
      <c r="M66" s="4" t="n">
        <v>41</v>
      </c>
      <c r="N66" s="5" t="n">
        <v>1585.4</v>
      </c>
      <c r="O66" s="3" t="inlineStr">
        <is>
          <t>프라이빗한 주택 청주,세종 중간지점 접근성 좋음</t>
        </is>
      </c>
      <c r="P66" s="6">
        <f>HYPERLINK("https://fin.land.naver.com/articles/2651497867", "매물Link")</f>
        <v/>
      </c>
      <c r="Q66" s="6">
        <f>HYPERLINK("https://map.naver.com/p/search/강내면 저산리 100-3", "지도Link")</f>
        <v/>
      </c>
      <c r="R66" s="6">
        <f>HYPERLINK("http://www.eum.go.kr/web/ar/lu/luLandDet.jsp?pnu=4311331023101000003&amp;isNoScr=script&amp;mode=search", "토지이음")</f>
        <v/>
      </c>
      <c r="S66" s="3" t="inlineStr">
        <is>
          <t>학사</t>
        </is>
      </c>
      <c r="T66" s="4" t="n">
        <v>1</v>
      </c>
      <c r="U66" s="5" t="n">
        <v>57.5</v>
      </c>
      <c r="V66" s="4" t="n">
        <v>543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12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60000</v>
      </c>
      <c r="H68" s="4" t="n">
        <v>0</v>
      </c>
      <c r="I68" s="4" t="n">
        <v>528</v>
      </c>
      <c r="J68" s="4" t="n">
        <v>160</v>
      </c>
      <c r="K68" s="5" t="n">
        <v>375</v>
      </c>
      <c r="L68" s="4" t="n">
        <v>1312</v>
      </c>
      <c r="M68" s="4" t="n">
        <v>397</v>
      </c>
      <c r="N68" s="5" t="n">
        <v>151.1</v>
      </c>
      <c r="O68" s="3" t="inlineStr">
        <is>
          <t>nan</t>
        </is>
      </c>
      <c r="P68" s="6">
        <f>HYPERLINK("https://fin.land.naver.com/articles/2654889417", "매물Link")</f>
        <v/>
      </c>
      <c r="Q68" s="6">
        <f>HYPERLINK("https://map.naver.com/p/search/강내면 저산리 12", "지도Link")</f>
        <v/>
      </c>
      <c r="R68" s="6">
        <f>HYPERLINK("http://www.eum.go.kr/web/ar/lu/luLandDet.jsp?pnu=4311331023100120000&amp;isNoScr=script&amp;mode=search", "토지이음")</f>
        <v/>
      </c>
      <c r="S68" s="3" t="inlineStr">
        <is>
          <t>아주</t>
        </is>
      </c>
      <c r="T68" s="4" t="n">
        <v>1</v>
      </c>
      <c r="U68" s="5" t="n">
        <v>41.7</v>
      </c>
      <c r="V68" s="4" t="n">
        <v>530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224-1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65000</v>
      </c>
      <c r="H69" s="4" t="n">
        <v>0</v>
      </c>
      <c r="I69" s="4" t="n">
        <v>495</v>
      </c>
      <c r="J69" s="4" t="n">
        <v>150</v>
      </c>
      <c r="K69" s="5" t="n">
        <v>433.3</v>
      </c>
      <c r="L69" s="4" t="n">
        <v>126</v>
      </c>
      <c r="M69" s="4" t="n">
        <v>38</v>
      </c>
      <c r="N69" s="5" t="n">
        <v>1710.5</v>
      </c>
      <c r="O69" s="3" t="inlineStr">
        <is>
          <t>nan</t>
        </is>
      </c>
      <c r="P69" s="6">
        <f>HYPERLINK("https://fin.land.naver.com/articles/2651478258", "매물Link")</f>
        <v/>
      </c>
      <c r="Q69" s="6">
        <f>HYPERLINK("https://map.naver.com/p/search/강내면 저산리 224-1", "지도Link")</f>
        <v/>
      </c>
      <c r="R69" s="6">
        <f>HYPERLINK("http://www.eum.go.kr/web/ar/lu/luLandDet.jsp?pnu=4311331023102240001&amp;isNoScr=script&amp;mode=search", "토지이음")</f>
        <v/>
      </c>
      <c r="S69" s="3" t="inlineStr">
        <is>
          <t>제이</t>
        </is>
      </c>
      <c r="T69" s="4" t="n">
        <v>1</v>
      </c>
      <c r="U69" s="5" t="n">
        <v>44.5</v>
      </c>
      <c r="V69" s="4" t="n">
        <v>495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저산리 81-8</t>
        </is>
      </c>
      <c r="B71" s="3" t="inlineStr">
        <is>
          <t>보전관리지역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전원주택</t>
        </is>
      </c>
      <c r="F71" s="3" t="inlineStr">
        <is>
          <t>매매</t>
        </is>
      </c>
      <c r="G71" s="4" t="n">
        <v>43000</v>
      </c>
      <c r="H71" s="4" t="n">
        <v>0</v>
      </c>
      <c r="I71" s="4" t="n">
        <v>559</v>
      </c>
      <c r="J71" s="4" t="n">
        <v>169</v>
      </c>
      <c r="K71" s="5" t="n">
        <v>254.4</v>
      </c>
      <c r="L71" s="4" t="n">
        <v>148</v>
      </c>
      <c r="M71" s="4" t="n">
        <v>45</v>
      </c>
      <c r="N71" s="5" t="n">
        <v>955.6</v>
      </c>
      <c r="O71" s="3" t="inlineStr">
        <is>
          <t>사진 속 탁 트인 잔디 마당과 산 조망을 가진 강내면 저산리 전원주택매매</t>
        </is>
      </c>
      <c r="P71" s="6">
        <f>HYPERLINK("https://fin.land.naver.com/articles/2650047209", "매물Link")</f>
        <v/>
      </c>
      <c r="Q71" s="6">
        <f>HYPERLINK("https://map.naver.com/p/search/강내면 저산리 81-8", "지도Link")</f>
        <v/>
      </c>
      <c r="R71" s="6">
        <f>HYPERLINK("http://www.eum.go.kr/web/ar/lu/luLandDet.jsp?pnu=4311331023100810008&amp;isNoScr=script&amp;mode=search", "토지이음")</f>
        <v/>
      </c>
      <c r="S71" s="3" t="inlineStr">
        <is>
          <t>대지</t>
        </is>
      </c>
      <c r="T71" s="4" t="n">
        <v>1</v>
      </c>
      <c r="U71" s="5" t="n">
        <v>39.2</v>
      </c>
      <c r="V71" s="4" t="n">
        <v>559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완경사</t>
        </is>
      </c>
      <c r="Z71" s="3" t="inlineStr">
        <is>
          <t>세로장방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단독주택 급매, 두루고 인근, 사유지 사용가능, 태양광</t>
        </is>
      </c>
      <c r="P76" s="6">
        <f>HYPERLINK("https://fin.land.naver.com/articles/2654050110",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급매 방6, 욕실3, 넓은 잔디마당, 금액조율가능</t>
        </is>
      </c>
      <c r="P78" s="6">
        <f>HYPERLINK("https://fin.land.naver.com/articles/2655726855",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백프로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신축 단독주택, 화이트톤 깔끔, 올에어컨, 친환경 ACL주택</t>
        </is>
      </c>
      <c r="P85" s="6">
        <f>HYPERLINK("https://fin.land.naver.com/articles/2653689527",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조율가능 실개천인근 신축 ALC블럭 주택</t>
        </is>
      </c>
      <c r="P86" s="6">
        <f>HYPERLINK("https://fin.land.naver.com/articles/2654022072",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세종스타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1499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335</v>
      </c>
      <c r="J90" s="4" t="n">
        <v>101</v>
      </c>
      <c r="K90" s="5" t="n">
        <v>1782.2</v>
      </c>
      <c r="L90" s="4" t="n">
        <v>197</v>
      </c>
      <c r="M90" s="4" t="n">
        <v>60</v>
      </c>
      <c r="N90" s="5" t="n">
        <v>3000</v>
      </c>
      <c r="O90" s="3" t="inlineStr">
        <is>
          <t>연면적 71.2p, 고급 단독주택, 내부 인테리어 굿, 사생활 보호</t>
        </is>
      </c>
      <c r="P90" s="6">
        <f>HYPERLINK("https://fin.land.naver.com/articles/2651351636", "매물Link")</f>
        <v/>
      </c>
      <c r="Q90" s="6">
        <f>HYPERLINK("https://map.naver.com/p/search/고운동 1499", "지도Link")</f>
        <v/>
      </c>
      <c r="R90" s="6">
        <f>HYPERLINK("http://www.eum.go.kr/web/ar/lu/luLandDet.jsp?pnu=3611011200114990000&amp;isNoScr=script&amp;mode=search",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334.9</v>
      </c>
      <c r="V90" s="4" t="n">
        <v>335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방5개, 욕실4개, 고급 단독주택, 마당넓고 카페같은 썬큰</t>
        </is>
      </c>
      <c r="P92" s="6">
        <f>HYPERLINK("https://fin.land.naver.com/articles/2654231676",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1537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337</v>
      </c>
      <c r="J93" s="4" t="n">
        <v>102</v>
      </c>
      <c r="K93" s="5" t="n">
        <v>1470.6</v>
      </c>
      <c r="L93" s="4" t="n">
        <v>241</v>
      </c>
      <c r="M93" s="4" t="n">
        <v>73</v>
      </c>
      <c r="N93" s="5" t="n">
        <v>2054.8</v>
      </c>
      <c r="O93" s="3" t="inlineStr">
        <is>
          <t>2층  복층 ,방5,욕실2,화장실4,정원이 넓은 마당,2층  넓은 테라스</t>
        </is>
      </c>
      <c r="P93" s="6">
        <f>HYPERLINK("https://fin.land.naver.com/articles/2654978856", "매물Link")</f>
        <v/>
      </c>
      <c r="Q93" s="6">
        <f>HYPERLINK("https://map.naver.com/p/search/고운동 1537", "지도Link")</f>
        <v/>
      </c>
      <c r="R93" s="6">
        <f>HYPERLINK("http://www.eum.go.kr/web/ar/lu/luLandDet.jsp?pnu=3611011200115370000&amp;isNoScr=script&amp;mode=search", "토지이음")</f>
        <v/>
      </c>
      <c r="S93" s="3" t="inlineStr">
        <is>
          <t>오케이세종</t>
        </is>
      </c>
      <c r="T93" s="4" t="n">
        <v>1</v>
      </c>
      <c r="U93" s="5" t="n">
        <v>322.6</v>
      </c>
      <c r="V93" s="4" t="n">
        <v>337.1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중로한면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입주협의가능, 정남향, 학교인근, 방4개</t>
        </is>
      </c>
      <c r="P95" s="6">
        <f>HYPERLINK("https://fin.land.naver.com/articles/2652837282",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1646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165000</v>
      </c>
      <c r="H96" s="4" t="n">
        <v>0</v>
      </c>
      <c r="I96" s="4" t="n">
        <v>374</v>
      </c>
      <c r="J96" s="4" t="n">
        <v>113</v>
      </c>
      <c r="K96" s="5" t="n">
        <v>1460.2</v>
      </c>
      <c r="L96" s="4" t="n">
        <v>182</v>
      </c>
      <c r="M96" s="4" t="n">
        <v>55</v>
      </c>
      <c r="N96" s="5" t="n">
        <v>3000</v>
      </c>
      <c r="O96" s="3" t="inlineStr">
        <is>
          <t>초.중.고인근, 방4개, 정남향</t>
        </is>
      </c>
      <c r="P96" s="6">
        <f>HYPERLINK("https://fin.land.naver.com/articles/2651905297", "매물Link")</f>
        <v/>
      </c>
      <c r="Q96" s="6">
        <f>HYPERLINK("https://map.naver.com/p/search/고운동 1646", "지도Link")</f>
        <v/>
      </c>
      <c r="R96" s="6">
        <f>HYPERLINK("http://www.eum.go.kr/web/ar/lu/luLandDet.jsp?pnu=3611011200116460000&amp;isNoScr=script&amp;mode=search",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270.9</v>
      </c>
      <c r="V96" s="4" t="n">
        <v>374.1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세로한면(가)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HYPERLINK("https://fin.land.naver.com/articles/2650252307",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남향. 잘지어진집. 철근콘크리트. 구조 좋아요.</t>
        </is>
      </c>
      <c r="P99" s="6">
        <f>HYPERLINK("https://fin.land.naver.com/articles/2655689645",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세종삼촌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nan</t>
        </is>
      </c>
      <c r="P103" s="6">
        <f>HYPERLINK("https://fin.land.naver.com/articles/2654855553",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코너 남향 조경및내부시설 최상  다이닝룸 마당과 공원연결</t>
        </is>
      </c>
      <c r="P104" s="6">
        <f>HYPERLINK("https://fin.land.naver.com/articles/2653746780",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백프로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코너자리 위치좋은 단독주택 남향 관리상태굿 가격조정가능 입주협의</t>
        </is>
      </c>
      <c r="P107" s="6">
        <f>HYPERLINK("https://fin.land.naver.com/articles/2653552093",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코너집 .남향 햇살 좋은집</t>
        </is>
      </c>
      <c r="P108" s="6">
        <f>HYPERLINK("https://fin.land.naver.com/articles/2650322263",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HYPERLINK("https://fin.land.naver.com/articles/2650322292",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127600</v>
      </c>
      <c r="H117" s="4" t="n">
        <v>0</v>
      </c>
      <c r="I117" s="4" t="n">
        <v>356</v>
      </c>
      <c r="J117" s="4" t="n">
        <v>108</v>
      </c>
      <c r="K117" s="5" t="n">
        <v>1181.5</v>
      </c>
      <c r="L117" s="4" t="n">
        <v>224</v>
      </c>
      <c r="M117" s="4" t="n">
        <v>68</v>
      </c>
      <c r="N117" s="5" t="n">
        <v>1876.5</v>
      </c>
      <c r="O117" s="3" t="inlineStr">
        <is>
          <t>아르티엠 더블랙 선임대 완료 급매</t>
        </is>
      </c>
      <c r="P117" s="6">
        <f>HYPERLINK("https://fin.land.naver.com/articles/2651673384",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인기C타입 마당넓음 탁트인조망 넓은3층면적</t>
        </is>
      </c>
      <c r="P118" s="6">
        <f>HYPERLINK("https://fin.land.naver.com/articles/2651086449",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131400</v>
      </c>
      <c r="H119" s="4" t="n">
        <v>0</v>
      </c>
      <c r="I119" s="4" t="n">
        <v>370</v>
      </c>
      <c r="J119" s="4" t="n">
        <v>112</v>
      </c>
      <c r="K119" s="5" t="n">
        <v>1173.2</v>
      </c>
      <c r="L119" s="4" t="n">
        <v>224</v>
      </c>
      <c r="M119" s="4" t="n">
        <v>68</v>
      </c>
      <c r="N119" s="5" t="n">
        <v>1932.4</v>
      </c>
      <c r="O119" s="3" t="inlineStr">
        <is>
          <t>아르티엠 더블랙 선임대 완료 급매</t>
        </is>
      </c>
      <c r="P119" s="6">
        <f>HYPERLINK("https://fin.land.naver.com/articles/2651673423",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404</v>
      </c>
      <c r="J120" s="4" t="n">
        <v>122</v>
      </c>
      <c r="K120" s="5" t="n">
        <v>1311.5</v>
      </c>
      <c r="L120" s="4" t="n">
        <v>253</v>
      </c>
      <c r="M120" s="4" t="n">
        <v>77</v>
      </c>
      <c r="N120" s="5" t="n">
        <v>2077.9</v>
      </c>
      <c r="O120" s="3" t="inlineStr">
        <is>
          <t>프라이빗 코너 호수의 완벽한 유럽풍 라이프</t>
        </is>
      </c>
      <c r="P120" s="6">
        <f>HYPERLINK("https://fin.land.naver.com/articles/2654054184",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유럽마을 C타입  관리상태좋음  학교 근린생활시설가까운 입지 최고 단지</t>
        </is>
      </c>
      <c r="P121" s="6">
        <f>HYPERLINK("https://fin.land.naver.com/articles/2652588602",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고운힐스테이트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323</v>
      </c>
      <c r="J122" s="4" t="n">
        <v>98</v>
      </c>
      <c r="K122" s="5" t="n">
        <v>1632.7</v>
      </c>
      <c r="L122" s="4" t="n">
        <v>253</v>
      </c>
      <c r="M122" s="4" t="n">
        <v>77</v>
      </c>
      <c r="N122" s="5" t="n">
        <v>2077.9</v>
      </c>
      <c r="O122" s="3" t="inlineStr">
        <is>
          <t>아르티엠 더블랙  초품아 프리미엄과 풀옵션이 만난 완벽한 타운하우스</t>
        </is>
      </c>
      <c r="P122" s="6">
        <f>HYPERLINK("https://fin.land.naver.com/articles/2651672445",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158000</v>
      </c>
      <c r="H123" s="4" t="n">
        <v>0</v>
      </c>
      <c r="I123" s="4" t="n">
        <v>418</v>
      </c>
      <c r="J123" s="4" t="n">
        <v>126</v>
      </c>
      <c r="K123" s="5" t="n">
        <v>1254</v>
      </c>
      <c r="L123" s="4" t="n">
        <v>253</v>
      </c>
      <c r="M123" s="4" t="n">
        <v>77</v>
      </c>
      <c r="N123" s="5" t="n">
        <v>2051.9</v>
      </c>
      <c r="O123" s="3" t="inlineStr">
        <is>
          <t>아르티엠 더블랙 C타입 선임대 완료 급매</t>
        </is>
      </c>
      <c r="P123" s="6">
        <f>HYPERLINK("https://fin.land.naver.com/articles/2651673445",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C타입 타운하우스, 급매, 입지 굿, 학교 인접, 협의입주</t>
        </is>
      </c>
      <c r="P125" s="6">
        <f>HYPERLINK("https://fin.land.naver.com/articles/2654939086",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명진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140000</v>
      </c>
      <c r="H127" s="4" t="n">
        <v>0</v>
      </c>
      <c r="I127" s="4" t="n">
        <v>297</v>
      </c>
      <c r="J127" s="4" t="n">
        <v>90</v>
      </c>
      <c r="K127" s="5" t="n">
        <v>1555.6</v>
      </c>
      <c r="L127" s="4" t="n">
        <v>253</v>
      </c>
      <c r="M127" s="4" t="n">
        <v>77</v>
      </c>
      <c r="N127" s="5" t="n">
        <v>1818.2</v>
      </c>
      <c r="O127" s="3" t="inlineStr">
        <is>
          <t>급매,C타입,주인거주로집상태좋음.</t>
        </is>
      </c>
      <c r="P127" s="6">
        <f>HYPERLINK("https://fin.land.naver.com/articles/2653085610",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세종황소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초품아, 거주 만족도 높은  관리최상  매물, 협의입주</t>
        </is>
      </c>
      <c r="P129" s="6">
        <f>HYPERLINK("https://fin.land.naver.com/articles/2654558667",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백프로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협의입주, 시스템에어컨풀, 풀옵션, 조용한동으로 뷰좋은집</t>
        </is>
      </c>
      <c r="P130" s="6">
        <f>HYPERLINK("https://fin.land.naver.com/articles/2654798829",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리브</t>
        </is>
      </c>
      <c r="T130" s="4" t="n">
        <v>2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HYPERLINK("https://fin.land.naver.com/articles/2650887284",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140000</v>
      </c>
      <c r="H132" s="4" t="n">
        <v>0</v>
      </c>
      <c r="I132" s="4" t="n">
        <v>297</v>
      </c>
      <c r="J132" s="4" t="n">
        <v>90</v>
      </c>
      <c r="K132" s="5" t="n">
        <v>1555.6</v>
      </c>
      <c r="L132" s="4" t="n">
        <v>253</v>
      </c>
      <c r="M132" s="4" t="n">
        <v>77</v>
      </c>
      <c r="N132" s="5" t="n">
        <v>1818.2</v>
      </c>
      <c r="O132" s="3" t="inlineStr">
        <is>
          <t>입지좋은 타운하우스매매, C타입, 온빛초, 정남향</t>
        </is>
      </c>
      <c r="P132" s="6">
        <f>HYPERLINK("https://fin.land.naver.com/articles/2655132311",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192</v>
      </c>
      <c r="J134" s="4" t="n">
        <v>58</v>
      </c>
      <c r="K134" s="5" t="n">
        <v>1379.3</v>
      </c>
      <c r="L134" s="4" t="n">
        <v>192</v>
      </c>
      <c r="M134" s="4" t="n">
        <v>58</v>
      </c>
      <c r="N134" s="5" t="n">
        <v>1379.3</v>
      </c>
      <c r="O134" s="3" t="inlineStr">
        <is>
          <t>고급 타운하우스 전세, 월세도 가능, 협의 입주 가능</t>
        </is>
      </c>
      <c r="P134" s="6">
        <f>HYPERLINK("https://fin.land.naver.com/articles/2654220722",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200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3.4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보5억200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급매가격조율지하 멀티룸과 성큰 테라스를 품은 명품 한옥 매매</t>
        </is>
      </c>
      <c r="P137" s="6">
        <f>HYPERLINK("https://fin.land.naver.com/articles/2655488973",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찬스</t>
        </is>
      </c>
      <c r="T137" s="4" t="n">
        <v>2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 추가조율가능 단층 한옥주택 방2개 지하있음</t>
        </is>
      </c>
      <c r="P138" s="6">
        <f>HYPERLINK("https://fin.land.naver.com/articles/2653676438",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한옥매매, 방2개, 화장실2개, 지하 방으로 사용가능</t>
        </is>
      </c>
      <c r="P140" s="6">
        <f>HYPERLINK("https://fin.land.naver.com/articles/2653889844",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희소성 높은 한옥 매매, 학군과 입지 좋은 위치</t>
        </is>
      </c>
      <c r="P142" s="6">
        <f>HYPERLINK("https://fin.land.naver.com/articles/2650893231",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한옥마을매매, 시립도서관, 온빛유.초 인접, 급매</t>
        </is>
      </c>
      <c r="P144" s="6">
        <f>HYPERLINK("https://fin.land.naver.com/articles/2651945527",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한옥마을 품격있는 한옥주택매매</t>
        </is>
      </c>
      <c r="P145" s="6">
        <f>HYPERLINK("https://fin.land.naver.com/articles/2653948243",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중앙센트럴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위치좋은 한옥주택</t>
        </is>
      </c>
      <c r="P146" s="6">
        <f>HYPERLINK("https://fin.land.naver.com/articles/2651771270",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한대역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벙커주차장대형멀티룸 포함22년 신축</t>
        </is>
      </c>
      <c r="P147" s="6">
        <f>HYPERLINK("https://fin.land.naver.com/articles/2654652329",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찬스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조율가능 2층한옥 벙커주차장 지하있음 방3개 욕실3개 홈바</t>
        </is>
      </c>
      <c r="P148" s="6">
        <f>HYPERLINK("https://fin.land.naver.com/articles/2653672599",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전세</t>
        </is>
      </c>
      <c r="G149" s="4" t="n">
        <v>47000</v>
      </c>
      <c r="H149" s="4" t="n">
        <v>0</v>
      </c>
      <c r="I149" s="4" t="n">
        <v>194</v>
      </c>
      <c r="J149" s="4" t="n">
        <v>59</v>
      </c>
      <c r="K149" s="5" t="n">
        <v>796.6</v>
      </c>
      <c r="L149" s="4" t="n">
        <v>194</v>
      </c>
      <c r="M149" s="4" t="n">
        <v>59</v>
      </c>
      <c r="N149" s="5" t="n">
        <v>796.6</v>
      </c>
      <c r="O149" s="3" t="inlineStr">
        <is>
          <t>조율가능,급매, 고운동 타운하우스</t>
        </is>
      </c>
      <c r="P149" s="6">
        <f>HYPERLINK("https://fin.land.naver.com/articles/2652790063",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86000</v>
      </c>
      <c r="H150" s="4" t="n">
        <v>0</v>
      </c>
      <c r="I150" s="4" t="n">
        <v>15314</v>
      </c>
      <c r="J150" s="4" t="n">
        <v>4632</v>
      </c>
      <c r="K150" s="5" t="n">
        <v>18.6</v>
      </c>
      <c r="L150" s="4" t="n">
        <v>141</v>
      </c>
      <c r="M150" s="4" t="n">
        <v>43</v>
      </c>
      <c r="N150" s="5" t="n">
        <v>2000</v>
      </c>
      <c r="O150" s="3" t="inlineStr">
        <is>
          <t>협의입주 고운동리치먼드힐타운하우스급매</t>
        </is>
      </c>
      <c r="P150" s="6">
        <f>HYPERLINK("https://fin.land.naver.com/articles/2651811295",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고운동리치세종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75</v>
      </c>
      <c r="J151" s="4" t="n">
        <v>23</v>
      </c>
      <c r="K151" s="5" t="n">
        <v>3469.6</v>
      </c>
      <c r="L151" s="4" t="n">
        <v>73</v>
      </c>
      <c r="M151" s="4" t="n">
        <v>22</v>
      </c>
      <c r="N151" s="5" t="n">
        <v>3627.3</v>
      </c>
      <c r="O151" s="3" t="inlineStr">
        <is>
          <t>급매,입주협의,고운동 단독주택,숲속 힐링 타운하우스</t>
        </is>
      </c>
      <c r="P151" s="6">
        <f>HYPERLINK("https://fin.land.naver.com/articles/2653212973",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세종현대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86000</v>
      </c>
      <c r="H152" s="4" t="n">
        <v>0</v>
      </c>
      <c r="I152" s="4" t="n">
        <v>15314</v>
      </c>
      <c r="J152" s="4" t="n">
        <v>4632</v>
      </c>
      <c r="K152" s="5" t="n">
        <v>18.6</v>
      </c>
      <c r="L152" s="4" t="n">
        <v>141</v>
      </c>
      <c r="M152" s="4" t="n">
        <v>43</v>
      </c>
      <c r="N152" s="5" t="n">
        <v>2000</v>
      </c>
      <c r="O152" s="3" t="inlineStr">
        <is>
          <t>추천급매 I 고운동  타운하우스 리치먼드힐1차 귀한매물 I 잔금협의</t>
        </is>
      </c>
      <c r="P152" s="6">
        <f>HYPERLINK("https://fin.land.naver.com/articles/2653180419",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힐스테이트으뜸원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o서초만땅o급매,협의입주,복층다락</t>
        </is>
      </c>
      <c r="P153" s="6">
        <f>HYPERLINK("https://fin.land.naver.com/articles/2650272816",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서초만땅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141</v>
      </c>
      <c r="J154" s="4" t="n">
        <v>43</v>
      </c>
      <c r="K154" s="5" t="n">
        <v>1855.8</v>
      </c>
      <c r="L154" s="4" t="n">
        <v>141</v>
      </c>
      <c r="M154" s="4" t="n">
        <v>43</v>
      </c>
      <c r="N154" s="5" t="n">
        <v>1855.8</v>
      </c>
      <c r="O154" s="3" t="inlineStr">
        <is>
          <t>고운동 단독주택 급매, 정원, 다락, 금액조절가능</t>
        </is>
      </c>
      <c r="P154" s="6">
        <f>HYPERLINK("https://fin.land.naver.com/articles/2651472215",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이즈 세종백화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nan</t>
        </is>
      </c>
      <c r="P155" s="6">
        <f>HYPERLINK("https://fin.land.naver.com/articles/2653118606",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다정가온TOP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48000</v>
      </c>
      <c r="H156" s="4" t="n">
        <v>0</v>
      </c>
      <c r="I156" s="4" t="n">
        <v>141</v>
      </c>
      <c r="J156" s="4" t="n">
        <v>43</v>
      </c>
      <c r="K156" s="5" t="n">
        <v>1116.3</v>
      </c>
      <c r="L156" s="4" t="n">
        <v>141</v>
      </c>
      <c r="M156" s="4" t="n">
        <v>43</v>
      </c>
      <c r="N156" s="5" t="n">
        <v>1116.3</v>
      </c>
      <c r="O156" s="3" t="inlineStr">
        <is>
          <t>세종백화, 에어컨4, 오븐, 인덕션1, 하이라이트1, 금액조정 가능</t>
        </is>
      </c>
      <c r="P156" s="6">
        <f>HYPERLINK("https://fin.land.naver.com/articles/2651471708",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이즈 세종백화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월세</t>
        </is>
      </c>
      <c r="G158" s="4" t="n">
        <v>50000</v>
      </c>
      <c r="H158" s="4" t="n">
        <v>350</v>
      </c>
      <c r="I158" s="4" t="n">
        <v>0</v>
      </c>
      <c r="J158" s="4" t="n">
        <v>0</v>
      </c>
      <c r="K158" s="5" t="n">
        <v>0</v>
      </c>
      <c r="L158" s="4" t="n">
        <v>405</v>
      </c>
      <c r="M158" s="4" t="n">
        <v>123</v>
      </c>
      <c r="N158" s="5" t="n">
        <v>2.8</v>
      </c>
      <c r="O158" s="3" t="inlineStr">
        <is>
          <t>엘리베이터 있는 3층 타운하우스,공기좋고 조용한곳 찿으시는 분께 추천</t>
        </is>
      </c>
      <c r="P158" s="6">
        <f>HYPERLINK("https://fin.land.naver.com/articles/2651126636",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세종대승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고운동타운하우스 엘리베이터0 층별독립 공간과 프라이빗한 라이프스타일</t>
        </is>
      </c>
      <c r="P159" s="6">
        <f>HYPERLINK("https://fin.land.naver.com/articles/2650507306",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고운동리치세종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289</v>
      </c>
      <c r="J160" s="4" t="n">
        <v>87</v>
      </c>
      <c r="K160" s="5" t="n">
        <v>917.2</v>
      </c>
      <c r="L160" s="4" t="n">
        <v>15314</v>
      </c>
      <c r="M160" s="4" t="n">
        <v>4632</v>
      </c>
      <c r="N160" s="5" t="n">
        <v>17.2</v>
      </c>
      <c r="O160" s="3" t="inlineStr">
        <is>
          <t>급매,리치먼드힐1차,타운하우스, 테라스,복층</t>
        </is>
      </c>
      <c r="P160" s="6">
        <f>HYPERLINK("https://fin.land.naver.com/articles/2654152272",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확실한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급매, 입주협의가능, 고운동 타운하우스</t>
        </is>
      </c>
      <c r="P161" s="6">
        <f>HYPERLINK("https://fin.land.naver.com/articles/2655487478",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세대내 엘리베이터 있는 단독세대, 고급 타운하우스, 월세도가능 ,즉시입주</t>
        </is>
      </c>
      <c r="P162" s="6">
        <f>HYPERLINK("https://fin.land.naver.com/articles/2655436145",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힐스테이트으뜸원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141</v>
      </c>
      <c r="M163" s="4" t="n">
        <v>43</v>
      </c>
      <c r="N163" s="5" t="n">
        <v>1093</v>
      </c>
      <c r="O163" s="3" t="inlineStr">
        <is>
          <t>e루다 융유,리치먼드1차,협의입주,탄력적조율,테라스,마당,복층,다락</t>
        </is>
      </c>
      <c r="P163" s="6">
        <f>HYPERLINK("https://fin.land.naver.com/articles/2654927686",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이루다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894-41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99000</v>
      </c>
      <c r="H164" s="4" t="n">
        <v>0</v>
      </c>
      <c r="I164" s="4" t="n">
        <v>231</v>
      </c>
      <c r="J164" s="4" t="n">
        <v>70</v>
      </c>
      <c r="K164" s="5" t="n">
        <v>1414.3</v>
      </c>
      <c r="L164" s="4" t="n">
        <v>143</v>
      </c>
      <c r="M164" s="4" t="n">
        <v>43</v>
      </c>
      <c r="N164" s="5" t="n">
        <v>2302.3</v>
      </c>
      <c r="O164" s="3" t="inlineStr">
        <is>
          <t>현재 전세 5억 임차인 거주중, 27년 9월 만기</t>
        </is>
      </c>
      <c r="P164" s="6">
        <f>HYPERLINK("https://fin.land.naver.com/articles/2654710010", "매물Link")</f>
        <v/>
      </c>
      <c r="Q164" s="6">
        <f>HYPERLINK("https://map.naver.com/p/search/고운동 894-41", "지도Link")</f>
        <v/>
      </c>
      <c r="R164" s="6">
        <f>HYPERLINK("http://www.eum.go.kr/web/ar/lu/luLandDet.jsp?pnu=3611011200108940041&amp;isNoScr=script&amp;mode=search",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319.6</v>
      </c>
      <c r="V164" s="4" t="n">
        <v>463.1</v>
      </c>
      <c r="W164" s="3" t="inlineStr">
        <is>
          <t>지정되지않음</t>
        </is>
      </c>
      <c r="X164" s="3" t="inlineStr">
        <is>
          <t>주거나지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고운동 895-14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145000</v>
      </c>
      <c r="H165" s="4" t="n">
        <v>0</v>
      </c>
      <c r="I165" s="4" t="n">
        <v>256</v>
      </c>
      <c r="J165" s="4" t="n">
        <v>77</v>
      </c>
      <c r="K165" s="5" t="n">
        <v>1883.1</v>
      </c>
      <c r="L165" s="4" t="n">
        <v>188</v>
      </c>
      <c r="M165" s="4" t="n">
        <v>57</v>
      </c>
      <c r="N165" s="5" t="n">
        <v>2543.9</v>
      </c>
      <c r="O165" s="3" t="inlineStr">
        <is>
          <t>고급주택단지,넓은마당과데크,2층테라스,시스템에어컨7대,단지커뮤니티시설</t>
        </is>
      </c>
      <c r="P165" s="6">
        <f>HYPERLINK("https://fin.land.naver.com/articles/2653447420", "매물Link")</f>
        <v/>
      </c>
      <c r="Q165" s="6">
        <f>HYPERLINK("https://map.naver.com/p/search/고운동 895-14", "지도Link")</f>
        <v/>
      </c>
      <c r="R165" s="6">
        <f>HYPERLINK("http://www.eum.go.kr/web/ar/lu/luLandDet.jsp?pnu=3611011200108950014&amp;isNoScr=script&amp;mode=search", "토지이음")</f>
        <v/>
      </c>
      <c r="S165" s="3" t="inlineStr">
        <is>
          <t>산울탑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포스힐타운하우스 단독주택매매 가격조정가능</t>
        </is>
      </c>
      <c r="P166" s="6">
        <f>HYPERLINK("https://fin.land.naver.com/articles/2650510542",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급매 포스힐내 가장 예쁜정원 전세도가능</t>
        </is>
      </c>
      <c r="P167" s="6">
        <f>HYPERLINK("https://fin.land.naver.com/articles/2652942703",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895-24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256</v>
      </c>
      <c r="J168" s="4" t="n">
        <v>77</v>
      </c>
      <c r="K168" s="5" t="n">
        <v>1493.5</v>
      </c>
      <c r="L168" s="4" t="n">
        <v>185</v>
      </c>
      <c r="M168" s="4" t="n">
        <v>56</v>
      </c>
      <c r="N168" s="5" t="n">
        <v>2053.6</v>
      </c>
      <c r="O168" s="3" t="inlineStr">
        <is>
          <t>채광좋은위치 관리최상 방3개 욕실2개 다락있음</t>
        </is>
      </c>
      <c r="P168" s="6">
        <f>HYPERLINK("https://fin.land.naver.com/articles/2650660875", "매물Link")</f>
        <v/>
      </c>
      <c r="Q168" s="6">
        <f>HYPERLINK("https://map.naver.com/p/search/고운동 895-24", "지도Link")</f>
        <v/>
      </c>
      <c r="R168" s="6">
        <f>HYPERLINK("http://www.eum.go.kr/web/ar/lu/luLandDet.jsp?pnu=3611011200108950024&amp;isNoScr=script&amp;mode=search",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포스힐 단독주택, 에어컨풀, 인테리어완료, 주인거주</t>
        </is>
      </c>
      <c r="P170" s="6">
        <f>HYPERLINK("https://fin.land.naver.com/articles/2654219546",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명진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풀에어컨, 단독주택, 인테리어 완료된 주인거주로 관리잘된집</t>
        </is>
      </c>
      <c r="P171" s="6">
        <f>HYPERLINK("https://fin.land.naver.com/articles/2652843664",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115580</v>
      </c>
      <c r="H172" s="4" t="n">
        <v>0</v>
      </c>
      <c r="I172" s="4" t="n">
        <v>299</v>
      </c>
      <c r="J172" s="4" t="n">
        <v>90</v>
      </c>
      <c r="K172" s="5" t="n">
        <v>1284.2</v>
      </c>
      <c r="L172" s="4" t="n">
        <v>171</v>
      </c>
      <c r="M172" s="4" t="n">
        <v>52</v>
      </c>
      <c r="N172" s="5" t="n">
        <v>2222.7</v>
      </c>
      <c r="O172" s="3" t="inlineStr">
        <is>
          <t>인기 있는 타운하우스 , 매매추천, 적극조율</t>
        </is>
      </c>
      <c r="P172" s="6">
        <f>HYPERLINK("https://fin.land.naver.com/articles/2654725621",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세종무지개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단독</t>
        </is>
      </c>
      <c r="F173" s="3" t="inlineStr">
        <is>
          <t>월세</t>
        </is>
      </c>
      <c r="G173" s="4" t="n">
        <v>5000</v>
      </c>
      <c r="H173" s="4" t="n">
        <v>300</v>
      </c>
      <c r="I173" s="4" t="n">
        <v>196</v>
      </c>
      <c r="J173" s="4" t="n">
        <v>59</v>
      </c>
      <c r="K173" s="5" t="n">
        <v>5.1</v>
      </c>
      <c r="L173" s="4" t="n">
        <v>196</v>
      </c>
      <c r="M173" s="4" t="n">
        <v>59</v>
      </c>
      <c r="N173" s="5" t="n">
        <v>5.1</v>
      </c>
      <c r="O173" s="3" t="inlineStr">
        <is>
          <t>귀한 타운하우스 월세, 협의입주</t>
        </is>
      </c>
      <c r="P173" s="6">
        <f>HYPERLINK("https://fin.land.naver.com/articles/2655488427",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105000</v>
      </c>
      <c r="H174" s="4" t="n">
        <v>0</v>
      </c>
      <c r="I174" s="4" t="n">
        <v>299</v>
      </c>
      <c r="J174" s="4" t="n">
        <v>90</v>
      </c>
      <c r="K174" s="5" t="n">
        <v>1166.7</v>
      </c>
      <c r="L174" s="4" t="n">
        <v>171</v>
      </c>
      <c r="M174" s="4" t="n">
        <v>52</v>
      </c>
      <c r="N174" s="5" t="n">
        <v>2019.2</v>
      </c>
      <c r="O174" s="3" t="inlineStr">
        <is>
          <t>급매 마피 신축 첫입주 추가조율협의가능</t>
        </is>
      </c>
      <c r="P174" s="6">
        <f>HYPERLINK("https://fin.land.naver.com/articles/2652943442",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129734</v>
      </c>
      <c r="H175" s="4" t="n">
        <v>0</v>
      </c>
      <c r="I175" s="4" t="n">
        <v>328</v>
      </c>
      <c r="J175" s="4" t="n">
        <v>99</v>
      </c>
      <c r="K175" s="5" t="n">
        <v>1310.4</v>
      </c>
      <c r="L175" s="4" t="n">
        <v>196</v>
      </c>
      <c r="M175" s="4" t="n">
        <v>59</v>
      </c>
      <c r="N175" s="5" t="n">
        <v>2198.9</v>
      </c>
      <c r="O175" s="3" t="inlineStr">
        <is>
          <t>고운동 타운하우스 매매, 조율가능, 풀옵션, 다락서비스면적</t>
        </is>
      </c>
      <c r="P175" s="6">
        <f>HYPERLINK("https://fin.land.naver.com/articles/2654870702",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129734</v>
      </c>
      <c r="H176" s="4" t="n">
        <v>0</v>
      </c>
      <c r="I176" s="4" t="n">
        <v>328</v>
      </c>
      <c r="J176" s="4" t="n">
        <v>99</v>
      </c>
      <c r="K176" s="5" t="n">
        <v>1310.4</v>
      </c>
      <c r="L176" s="4" t="n">
        <v>196</v>
      </c>
      <c r="M176" s="4" t="n">
        <v>59</v>
      </c>
      <c r="N176" s="5" t="n">
        <v>2198.9</v>
      </c>
      <c r="O176" s="3" t="inlineStr">
        <is>
          <t>즉시입주 가능,  인기많은 D타입,  총86p</t>
        </is>
      </c>
      <c r="P176" s="6">
        <f>HYPERLINK("https://fin.land.naver.com/articles/2651190293",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HYPERLINK("https://fin.land.naver.com/articles/2650653657",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102000</v>
      </c>
      <c r="H180" s="4" t="n">
        <v>0</v>
      </c>
      <c r="I180" s="4" t="n">
        <v>299</v>
      </c>
      <c r="J180" s="4" t="n">
        <v>90</v>
      </c>
      <c r="K180" s="5" t="n">
        <v>1133.3</v>
      </c>
      <c r="L180" s="4" t="n">
        <v>171</v>
      </c>
      <c r="M180" s="4" t="n">
        <v>52</v>
      </c>
      <c r="N180" s="5" t="n">
        <v>1961.5</v>
      </c>
      <c r="O180" s="3" t="inlineStr">
        <is>
          <t>마이너스 급매 추천매물. 전세끼고매매</t>
        </is>
      </c>
      <c r="P180" s="6">
        <f>HYPERLINK("https://fin.land.naver.com/articles/2654400912",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세종올리브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127000</v>
      </c>
      <c r="H181" s="4" t="n">
        <v>0</v>
      </c>
      <c r="I181" s="4" t="n">
        <v>328</v>
      </c>
      <c r="J181" s="4" t="n">
        <v>99</v>
      </c>
      <c r="K181" s="5" t="n">
        <v>1282.8</v>
      </c>
      <c r="L181" s="4" t="n">
        <v>196</v>
      </c>
      <c r="M181" s="4" t="n">
        <v>59</v>
      </c>
      <c r="N181" s="5" t="n">
        <v>2152.5</v>
      </c>
      <c r="O181" s="3" t="inlineStr">
        <is>
          <t>타운하우스매매 가격조정가능 상태좋음 방3개 테라스 다락있음 옵션풀</t>
        </is>
      </c>
      <c r="P181" s="6">
        <f>HYPERLINK("https://fin.land.naver.com/articles/2654272968",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새롬스마트</t>
        </is>
      </c>
      <c r="T181" s="4" t="n">
        <v>2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고급주택 실면적 86p, 방3개 욕실3개, 벙커주자창4대, 태양광6kw</t>
        </is>
      </c>
      <c r="P184" s="6">
        <f>HYPERLINK("https://fin.land.naver.com/articles/2654658052",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세종스타</t>
        </is>
      </c>
      <c r="T184" s="4" t="n">
        <v>2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전원주택</t>
        </is>
      </c>
      <c r="F185" s="3" t="inlineStr">
        <is>
          <t>월세</t>
        </is>
      </c>
      <c r="G185" s="4" t="n">
        <v>2000</v>
      </c>
      <c r="H185" s="4" t="n">
        <v>45</v>
      </c>
      <c r="I185" s="4" t="n">
        <v>155</v>
      </c>
      <c r="J185" s="4" t="n">
        <v>47</v>
      </c>
      <c r="K185" s="5" t="n">
        <v>1</v>
      </c>
      <c r="L185" s="4" t="n">
        <v>66</v>
      </c>
      <c r="M185" s="4" t="n">
        <v>20</v>
      </c>
      <c r="N185" s="5" t="n">
        <v>2.2</v>
      </c>
      <c r="O185" s="3" t="inlineStr">
        <is>
          <t>귀한 월세 매물입니다. 8월말 입주가능</t>
        </is>
      </c>
      <c r="P185" s="6">
        <f>HYPERLINK("https://fin.land.naver.com/articles/2653962101",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골드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학마을,감성초등학교 부근 소형 단독주택 매매</t>
        </is>
      </c>
      <c r="P187" s="6">
        <f>HYPERLINK("https://fin.land.naver.com/articles/2654596160",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천재원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도시속 예쁜 단독주택 매매,리모델링 완료,세종 대전 가까운 거리</t>
        </is>
      </c>
      <c r="P188" s="6">
        <f>HYPERLINK("https://fin.land.naver.com/articles/2652734917",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천재원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HYPERLINK("https://fin.land.naver.com/articles/2650189652",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이름처럼 예쁜 감성마을 전원주택, 감성초 도보권, 대전에서 10분</t>
        </is>
      </c>
      <c r="P190" s="6">
        <f>HYPERLINK("https://fin.land.naver.com/articles/2653745022",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굿모닝아이파크시티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HYPERLINK("https://fin.land.naver.com/articles/2650428085",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HYPERLINK("https://fin.land.naver.com/articles/2650616789",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546</v>
      </c>
      <c r="J200" s="4" t="n">
        <v>165</v>
      </c>
      <c r="K200" s="5" t="n">
        <v>272.7</v>
      </c>
      <c r="L200" s="4" t="n">
        <v>118</v>
      </c>
      <c r="M200" s="4" t="n">
        <v>36</v>
      </c>
      <c r="N200" s="5" t="n">
        <v>1250</v>
      </c>
      <c r="O200" s="3" t="inlineStr">
        <is>
          <t>세종시근접,즉시입주가능,전원주택과 텃밭있음,</t>
        </is>
      </c>
      <c r="P200" s="6">
        <f>HYPERLINK("https://fin.land.naver.com/articles/2653906997",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HYPERLINK("https://fin.land.naver.com/articles/2650653281",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2층 단독주택 매매, 텃밭, 즉시입주가능</t>
        </is>
      </c>
      <c r="P202" s="6">
        <f>HYPERLINK("https://fin.land.naver.com/articles/2654713807",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492</v>
      </c>
      <c r="J203" s="4" t="n">
        <v>149</v>
      </c>
      <c r="K203" s="5" t="n">
        <v>771.8</v>
      </c>
      <c r="L203" s="4" t="n">
        <v>189</v>
      </c>
      <c r="M203" s="4" t="n">
        <v>57</v>
      </c>
      <c r="N203" s="5" t="n">
        <v>2017.5</v>
      </c>
      <c r="O203" s="3" t="inlineStr">
        <is>
          <t>l여기로l 202 P l 조용한 단독주택 금강수목원 인근</t>
        </is>
      </c>
      <c r="P203" s="6">
        <f>HYPERLINK("https://fin.land.naver.com/articles/2653501500",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여기로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24년도 올인테리어 했어요 전원주택 금강 급매물 내부 수리 산뜻해요</t>
        </is>
      </c>
      <c r="P206" s="6">
        <f>HYPERLINK("https://fin.land.naver.com/articles/2652936852",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세종골드삼성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올수리 프리미엄 전원주택,행복도시 매우 근접한 최상의 단독주택</t>
        </is>
      </c>
      <c r="P207" s="6">
        <f>HYPERLINK("https://fin.land.naver.com/articles/2650160970",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세종신한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2년전 전체리모델링, 풀옵션, 방4개, 화장실3개, 창고</t>
        </is>
      </c>
      <c r="P208" s="6">
        <f>HYPERLINK("https://fin.land.naver.com/articles/2653583999",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세종무지개</t>
        </is>
      </c>
      <c r="T208" s="4" t="n">
        <v>2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제2종 근린생활시설, 단독주택, 넓은 대지, 세컨하우스 추천, 텃밭O</t>
        </is>
      </c>
      <c r="P209" s="6">
        <f>HYPERLINK("https://fin.land.naver.com/articles/2653180026",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광장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77</v>
      </c>
      <c r="M211" s="4" t="n">
        <v>23</v>
      </c>
      <c r="N211" s="5" t="n">
        <v>2391.3</v>
      </c>
      <c r="O211" s="3" t="inlineStr">
        <is>
          <t>단독주택매매 리모델링 텃밭가꾸기 주차공간넉넉</t>
        </is>
      </c>
      <c r="P211" s="6">
        <f>HYPERLINK("https://fin.land.naver.com/articles/2651706569",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알찬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97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23000</v>
      </c>
      <c r="H212" s="4" t="n">
        <v>0</v>
      </c>
      <c r="I212" s="4" t="n">
        <v>98</v>
      </c>
      <c r="J212" s="4" t="n">
        <v>30</v>
      </c>
      <c r="K212" s="5" t="n">
        <v>766.7</v>
      </c>
      <c r="L212" s="4" t="n">
        <v>54</v>
      </c>
      <c r="M212" s="4" t="n">
        <v>16</v>
      </c>
      <c r="N212" s="5" t="n">
        <v>1437.5</v>
      </c>
      <c r="O212" s="3" t="inlineStr">
        <is>
          <t>복층구조로 협의 입주가능 단독세대로 편하게 사용가능 합니다</t>
        </is>
      </c>
      <c r="P212" s="6">
        <f>HYPERLINK("https://fin.land.naver.com/articles/2651214190", "매물Link")</f>
        <v/>
      </c>
      <c r="Q212" s="6">
        <f>HYPERLINK("https://map.naver.com/p/search/금남면 도남리 97", "지도Link")</f>
        <v/>
      </c>
      <c r="R212" s="6">
        <f>HYPERLINK("http://www.eum.go.kr/web/ar/lu/luLandDet.jsp?pnu=3611034046100970000&amp;isNoScr=script&amp;mode=search", "토지이음")</f>
        <v/>
      </c>
      <c r="S212" s="3" t="inlineStr">
        <is>
          <t>은성</t>
        </is>
      </c>
      <c r="T212" s="4" t="n">
        <v>1</v>
      </c>
      <c r="U212" s="5" t="n">
        <v>134.8</v>
      </c>
      <c r="V212" s="4" t="n">
        <v>528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빌라</t>
        </is>
      </c>
      <c r="F213" s="3" t="inlineStr">
        <is>
          <t>매매</t>
        </is>
      </c>
      <c r="G213" s="4" t="n">
        <v>21000</v>
      </c>
      <c r="H213" s="4" t="n">
        <v>0</v>
      </c>
      <c r="I213" s="4" t="n">
        <v>98</v>
      </c>
      <c r="J213" s="4" t="n">
        <v>30</v>
      </c>
      <c r="K213" s="5" t="n">
        <v>700</v>
      </c>
      <c r="L213" s="4" t="n">
        <v>54</v>
      </c>
      <c r="M213" s="4" t="n">
        <v>16</v>
      </c>
      <c r="N213" s="5" t="n">
        <v>1312.5</v>
      </c>
      <c r="O213" s="3" t="inlineStr">
        <is>
          <t>세종시 금남면도남리 다세대주택 급매매 방3 금강수목원앞 엘리베이터·주차장</t>
        </is>
      </c>
      <c r="P213" s="6">
        <f>HYPERLINK("https://fin.land.naver.com/articles/2650869054",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세종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30000</v>
      </c>
      <c r="H216" s="4" t="n">
        <v>0</v>
      </c>
      <c r="I216" s="4" t="n">
        <v>309</v>
      </c>
      <c r="J216" s="4" t="n">
        <v>93</v>
      </c>
      <c r="K216" s="5" t="n">
        <v>322.6</v>
      </c>
      <c r="L216" s="4" t="n">
        <v>81</v>
      </c>
      <c r="M216" s="4" t="n">
        <v>25</v>
      </c>
      <c r="N216" s="5" t="n">
        <v>1200</v>
      </c>
      <c r="O216" s="3" t="inlineStr">
        <is>
          <t>대전 세종 10분 거리 역세권형 전원주택, 넓은 텃밭, 넓은 주거 공</t>
        </is>
      </c>
      <c r="P216" s="6">
        <f>HYPERLINK("https://fin.land.naver.com/articles/2650173051",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세종 대전 접근성과  텃밭에서  힐링까지 모두 누릴수있는 집</t>
        </is>
      </c>
      <c r="P217" s="6">
        <f>HYPERLINK("https://fin.land.naver.com/articles/2654909285",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가치잇는</t>
        </is>
      </c>
      <c r="T217" s="4" t="n">
        <v>1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대전세종 중간. 넓은 대지와 흑벽돌로 리모델링한 주택.</t>
        </is>
      </c>
      <c r="P218" s="6">
        <f>HYPERLINK("https://fin.land.naver.com/articles/2651848762",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세종소담114</t>
        </is>
      </c>
      <c r="T218" s="4" t="n">
        <v>1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급매,제1종일반주거지역,평당293만원</t>
        </is>
      </c>
      <c r="P220" s="6">
        <f>HYPERLINK("https://fin.land.naver.com/articles/2650848725",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찬스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건물 리모델링. 주인거주.단층.뒤는 야산 지대 살짝 높고 앞이트인뷰.</t>
        </is>
      </c>
      <c r="P221" s="6">
        <f>HYPERLINK("https://fin.land.naver.com/articles/2655180625",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생생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HYPERLINK("https://fin.land.naver.com/articles/2650427421",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HYPERLINK("https://fin.land.naver.com/articles/2651161358",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봉암리 205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39000</v>
      </c>
      <c r="H229" s="4" t="n">
        <v>0</v>
      </c>
      <c r="I229" s="4" t="n">
        <v>436</v>
      </c>
      <c r="J229" s="4" t="n">
        <v>132</v>
      </c>
      <c r="K229" s="5" t="n">
        <v>295.5</v>
      </c>
      <c r="L229" s="4" t="n">
        <v>73</v>
      </c>
      <c r="M229" s="4" t="n">
        <v>22</v>
      </c>
      <c r="N229" s="5" t="n">
        <v>1772.7</v>
      </c>
      <c r="O229" s="3" t="inlineStr">
        <is>
          <t>급매, 치유와 힐링이 될수있는  좋은 기운의 전원주택입니다</t>
        </is>
      </c>
      <c r="P229" s="6">
        <f>HYPERLINK("https://fin.land.naver.com/articles/2650916298", "매물Link")</f>
        <v/>
      </c>
      <c r="Q229" s="6">
        <f>HYPERLINK("https://map.naver.com/p/search/금남면 봉암리 205", "지도Link")</f>
        <v/>
      </c>
      <c r="R229" s="6">
        <f>HYPERLINK("http://www.eum.go.kr/web/ar/lu/luLandDet.jsp?pnu=3611034043102050000&amp;isNoScr=script&amp;mode=search", "토지이음")</f>
        <v/>
      </c>
      <c r="S229" s="3" t="inlineStr">
        <is>
          <t>세종복댕이</t>
        </is>
      </c>
      <c r="T229" s="4" t="n">
        <v>1</v>
      </c>
      <c r="U229" s="5" t="n">
        <v>121.6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522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393</v>
      </c>
      <c r="J230" s="4" t="n">
        <v>119</v>
      </c>
      <c r="K230" s="5" t="n">
        <v>420.2</v>
      </c>
      <c r="L230" s="4" t="n">
        <v>72</v>
      </c>
      <c r="M230" s="4" t="n">
        <v>22</v>
      </c>
      <c r="N230" s="5" t="n">
        <v>2272.7</v>
      </c>
      <c r="O230" s="3" t="inlineStr">
        <is>
          <t>단독주택 ,즉시입주,태양광설치</t>
        </is>
      </c>
      <c r="P230" s="6">
        <f>HYPERLINK("https://fin.land.naver.com/articles/2653217220", "매물Link")</f>
        <v/>
      </c>
      <c r="Q230" s="6">
        <f>HYPERLINK("https://map.naver.com/p/search/금남면 부용리 522", "지도Link")</f>
        <v/>
      </c>
      <c r="R230" s="6">
        <f>HYPERLINK("http://www.eum.go.kr/web/ar/lu/luLandDet.jsp?pnu=3611034035105220000&amp;isNoScr=script&amp;mode=search", "토지이음")</f>
        <v/>
      </c>
      <c r="S230" s="3" t="inlineStr">
        <is>
          <t>두진</t>
        </is>
      </c>
      <c r="T230" s="4" t="n">
        <v>1</v>
      </c>
      <c r="U230" s="5" t="n">
        <v>223</v>
      </c>
      <c r="V230" s="4" t="n">
        <v>393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19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62000</v>
      </c>
      <c r="H231" s="4" t="n">
        <v>0</v>
      </c>
      <c r="I231" s="4" t="n">
        <v>664</v>
      </c>
      <c r="J231" s="4" t="n">
        <v>201</v>
      </c>
      <c r="K231" s="5" t="n">
        <v>308.5</v>
      </c>
      <c r="L231" s="4" t="n">
        <v>181</v>
      </c>
      <c r="M231" s="4" t="n">
        <v>55</v>
      </c>
      <c r="N231" s="5" t="n">
        <v>1127.3</v>
      </c>
      <c r="O231" s="3" t="inlineStr">
        <is>
          <t>ok강추매물.주인거주로관리잘된전원주택.사계절이아름다운집.로망이현실로</t>
        </is>
      </c>
      <c r="P231" s="6">
        <f>HYPERLINK("https://fin.land.naver.com/articles/2650055408", "매물Link")</f>
        <v/>
      </c>
      <c r="Q231" s="6">
        <f>HYPERLINK("https://map.naver.com/p/search/금남면 성강리 19", "지도Link")</f>
        <v/>
      </c>
      <c r="R231" s="6">
        <f>HYPERLINK("http://www.eum.go.kr/web/ar/lu/luLandDet.jsp?pnu=3611034042100190000&amp;isNoScr=script&amp;mode=search", "토지이음")</f>
        <v/>
      </c>
      <c r="S231" s="3" t="inlineStr">
        <is>
          <t>세종OK</t>
        </is>
      </c>
      <c r="T231" s="4" t="n">
        <v>1</v>
      </c>
      <c r="U231" s="5" t="n">
        <v>76.5</v>
      </c>
      <c r="V231" s="4" t="n">
        <v>664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나성동에서 15km이내 세종시와 공주시의 중간지역의 단독주택</t>
        </is>
      </c>
      <c r="P232" s="6">
        <f>HYPERLINK("https://fin.land.naver.com/articles/2653857245",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에이원</t>
        </is>
      </c>
      <c r="T232" s="4" t="n">
        <v>3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489</v>
      </c>
      <c r="J233" s="4" t="n">
        <v>148</v>
      </c>
      <c r="K233" s="5" t="n">
        <v>202.7</v>
      </c>
      <c r="L233" s="4" t="n">
        <v>113</v>
      </c>
      <c r="M233" s="4" t="n">
        <v>34</v>
      </c>
      <c r="N233" s="5" t="n">
        <v>882.4</v>
      </c>
      <c r="O233" s="3" t="inlineStr">
        <is>
          <t>nan</t>
        </is>
      </c>
      <c r="P233" s="6">
        <f>HYPERLINK("https://fin.land.naver.com/articles/2654532937",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다산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성덕리 465-9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76000</v>
      </c>
      <c r="H234" s="4" t="n">
        <v>0</v>
      </c>
      <c r="I234" s="4" t="n">
        <v>757</v>
      </c>
      <c r="J234" s="4" t="n">
        <v>229</v>
      </c>
      <c r="K234" s="5" t="n">
        <v>331.9</v>
      </c>
      <c r="L234" s="4" t="n">
        <v>119</v>
      </c>
      <c r="M234" s="4" t="n">
        <v>36</v>
      </c>
      <c r="N234" s="5" t="n">
        <v>2111.1</v>
      </c>
      <c r="O234" s="3" t="inlineStr">
        <is>
          <t>신축단독주택, 시스템에어컨5대, 민박.펜션도 추천</t>
        </is>
      </c>
      <c r="P234" s="6">
        <f>HYPERLINK("https://fin.land.naver.com/articles/2655488352", "매물Link")</f>
        <v/>
      </c>
      <c r="Q234" s="6">
        <f>HYPERLINK("https://map.naver.com/p/search/금남면 성덕리 465-9", "지도Link")</f>
        <v/>
      </c>
      <c r="R234" s="6">
        <f>HYPERLINK("http://www.eum.go.kr/web/ar/lu/luLandDet.jsp?pnu=3611034040104650009&amp;isNoScr=script&amp;mode=search", "토지이음")</f>
        <v/>
      </c>
      <c r="S234" s="3" t="inlineStr">
        <is>
          <t>세종무지개</t>
        </is>
      </c>
      <c r="T234" s="4" t="n">
        <v>1</v>
      </c>
      <c r="U234" s="5" t="n">
        <v>111.6</v>
      </c>
      <c r="V234" s="4" t="n">
        <v>682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신촌리 100-4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50000</v>
      </c>
      <c r="H235" s="4" t="n">
        <v>0</v>
      </c>
      <c r="I235" s="4" t="n">
        <v>242</v>
      </c>
      <c r="J235" s="4" t="n">
        <v>73</v>
      </c>
      <c r="K235" s="5" t="n">
        <v>684.9</v>
      </c>
      <c r="L235" s="4" t="n">
        <v>98</v>
      </c>
      <c r="M235" s="4" t="n">
        <v>30</v>
      </c>
      <c r="N235" s="5" t="n">
        <v>1666.7</v>
      </c>
      <c r="O235" s="3" t="inlineStr">
        <is>
          <t>행복도시 인접, 단층 경량철골조, 단독주택, 근린생활시설 2개동</t>
        </is>
      </c>
      <c r="P235" s="6">
        <f>HYPERLINK("https://fin.land.naver.com/articles/2651162321", "매물Link")</f>
        <v/>
      </c>
      <c r="Q235" s="6">
        <f>HYPERLINK("https://map.naver.com/p/search/금남면 신촌리 100-4", "지도Link")</f>
        <v/>
      </c>
      <c r="R235" s="6">
        <f>HYPERLINK("http://www.eum.go.kr/web/ar/lu/luLandDet.jsp?pnu=3611034038101000004&amp;isNoScr=script&amp;mode=search",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292.7</v>
      </c>
      <c r="V235" s="4" t="n">
        <v>325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신촌리 106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60000</v>
      </c>
      <c r="H236" s="4" t="n">
        <v>0</v>
      </c>
      <c r="I236" s="4" t="n">
        <v>242</v>
      </c>
      <c r="J236" s="4" t="n">
        <v>73</v>
      </c>
      <c r="K236" s="5" t="n">
        <v>821.9</v>
      </c>
      <c r="L236" s="4" t="n">
        <v>109</v>
      </c>
      <c r="M236" s="4" t="n">
        <v>33</v>
      </c>
      <c r="N236" s="5" t="n">
        <v>1818.2</v>
      </c>
      <c r="O236" s="3" t="inlineStr">
        <is>
          <t>도심과 가까운 위치, 투자로도 추천</t>
        </is>
      </c>
      <c r="P236" s="6">
        <f>HYPERLINK("https://fin.land.naver.com/articles/2652740157", "매물Link")</f>
        <v/>
      </c>
      <c r="Q236" s="6">
        <f>HYPERLINK("https://map.naver.com/p/search/금남면 신촌리 106", "지도Link")</f>
        <v/>
      </c>
      <c r="R236" s="6">
        <f>HYPERLINK("http://www.eum.go.kr/web/ar/lu/luLandDet.jsp?pnu=3611034038101060000&amp;isNoScr=script&amp;mode=search", "토지이음")</f>
        <v/>
      </c>
      <c r="S236" s="3" t="inlineStr">
        <is>
          <t>세종대평</t>
        </is>
      </c>
      <c r="T236" s="4" t="n">
        <v>2</v>
      </c>
      <c r="U236" s="5" t="n">
        <v>346.4</v>
      </c>
      <c r="V236" s="4" t="n">
        <v>242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행복도시와 차량으로 10분 내외의 거리에 위치, 투자하기 좋은 위치</t>
        </is>
      </c>
      <c r="P237" s="6">
        <f>HYPERLINK("https://fin.land.naver.com/articles/2651420916",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해들일번지</t>
        </is>
      </c>
      <c r="T237" s="4" t="n">
        <v>1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영곡리 106-19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43000</v>
      </c>
      <c r="H238" s="4" t="n">
        <v>0</v>
      </c>
      <c r="I238" s="4" t="n">
        <v>783</v>
      </c>
      <c r="J238" s="4" t="n">
        <v>237</v>
      </c>
      <c r="K238" s="5" t="n">
        <v>181.4</v>
      </c>
      <c r="L238" s="4" t="n">
        <v>162</v>
      </c>
      <c r="M238" s="4" t="n">
        <v>49</v>
      </c>
      <c r="N238" s="5" t="n">
        <v>877.6</v>
      </c>
      <c r="O238" s="3" t="inlineStr">
        <is>
          <t>급매 주변 택지개발한 토지보다 저렴한 신축 전원주택을 급매합니다</t>
        </is>
      </c>
      <c r="P238" s="6">
        <f>HYPERLINK("https://fin.land.naver.com/articles/2654809419", "매물Link")</f>
        <v/>
      </c>
      <c r="Q238" s="6">
        <f>HYPERLINK("https://map.naver.com/p/search/금남면 영곡리 106-19", "지도Link")</f>
        <v/>
      </c>
      <c r="R238" s="6">
        <f>HYPERLINK("http://www.eum.go.kr/web/ar/lu/luLandDet.jsp?pnu=3611034041101060019&amp;isNoScr=script&amp;mode=search", "토지이음")</f>
        <v/>
      </c>
      <c r="S238" s="3" t="inlineStr">
        <is>
          <t>스마일세종</t>
        </is>
      </c>
      <c r="T238" s="4" t="n">
        <v>1</v>
      </c>
      <c r="U238" s="5" t="n">
        <v>96.2</v>
      </c>
      <c r="V238" s="4" t="n">
        <v>660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금남면 영곡리 106-4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50000</v>
      </c>
      <c r="H239" s="4" t="n">
        <v>0</v>
      </c>
      <c r="I239" s="4" t="n">
        <v>663</v>
      </c>
      <c r="J239" s="4" t="n">
        <v>201</v>
      </c>
      <c r="K239" s="5" t="n">
        <v>248.8</v>
      </c>
      <c r="L239" s="4" t="n">
        <v>85</v>
      </c>
      <c r="M239" s="4" t="n">
        <v>26</v>
      </c>
      <c r="N239" s="5" t="n">
        <v>1923.1</v>
      </c>
      <c r="O239" s="3" t="inlineStr">
        <is>
          <t>조용하고 살기좋은, 컨테이너 창고 있음, 다용도실1,투자하기 좋은 위치</t>
        </is>
      </c>
      <c r="P239" s="6">
        <f>HYPERLINK("https://fin.land.naver.com/articles/2653539090", "매물Link")</f>
        <v/>
      </c>
      <c r="Q239" s="6">
        <f>HYPERLINK("https://map.naver.com/p/search/금남면 영곡리 106-4", "지도Link")</f>
        <v/>
      </c>
      <c r="R239" s="6">
        <f>HYPERLINK("http://www.eum.go.kr/web/ar/lu/luLandDet.jsp?pnu=3611034041101060004&amp;isNoScr=script&amp;mode=search", "토지이음")</f>
        <v/>
      </c>
      <c r="S239" s="3" t="inlineStr">
        <is>
          <t>은성</t>
        </is>
      </c>
      <c r="T239" s="4" t="n">
        <v>1</v>
      </c>
      <c r="U239" s="5" t="n">
        <v>96.59999999999999</v>
      </c>
      <c r="V239" s="4" t="n">
        <v>633</v>
      </c>
      <c r="W239" s="3" t="inlineStr">
        <is>
          <t>계획관리지역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524-1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55000</v>
      </c>
      <c r="H241" s="4" t="n">
        <v>0</v>
      </c>
      <c r="I241" s="4" t="n">
        <v>533</v>
      </c>
      <c r="J241" s="4" t="n">
        <v>161</v>
      </c>
      <c r="K241" s="5" t="n">
        <v>341.6</v>
      </c>
      <c r="L241" s="4" t="n">
        <v>84</v>
      </c>
      <c r="M241" s="4" t="n">
        <v>25</v>
      </c>
      <c r="N241" s="5" t="n">
        <v>2200</v>
      </c>
      <c r="O241" s="3" t="inlineStr">
        <is>
          <t>nan</t>
        </is>
      </c>
      <c r="P241" s="6">
        <f>HYPERLINK("https://fin.land.naver.com/articles/2652065284", "매물Link")</f>
        <v/>
      </c>
      <c r="Q241" s="6">
        <f>HYPERLINK("https://map.naver.com/p/search/금남면 영곡리 524-1", "지도Link")</f>
        <v/>
      </c>
      <c r="R241" s="6">
        <f>HYPERLINK("http://www.eum.go.kr/web/ar/lu/luLandDet.jsp?pnu=3611034041105240001&amp;isNoScr=script&amp;mode=search", "토지이음")</f>
        <v/>
      </c>
      <c r="S241" s="3" t="inlineStr">
        <is>
          <t>다정현대</t>
        </is>
      </c>
      <c r="T241" s="4" t="n">
        <v>1</v>
      </c>
      <c r="U241" s="5" t="n">
        <v>121.9</v>
      </c>
      <c r="V241" s="4" t="n">
        <v>533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금남면 영곡리 586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31000</v>
      </c>
      <c r="H242" s="4" t="n">
        <v>0</v>
      </c>
      <c r="I242" s="4" t="n">
        <v>367</v>
      </c>
      <c r="J242" s="4" t="n">
        <v>111</v>
      </c>
      <c r="K242" s="5" t="n">
        <v>279.3</v>
      </c>
      <c r="L242" s="4" t="n">
        <v>85</v>
      </c>
      <c r="M242" s="4" t="n">
        <v>26</v>
      </c>
      <c r="N242" s="5" t="n">
        <v>1192.3</v>
      </c>
      <c r="O242" s="3" t="inlineStr">
        <is>
          <t>전원속의 전원주택이며 또랑이 집앞을 흐르고 있음</t>
        </is>
      </c>
      <c r="P242" s="6">
        <f>HYPERLINK("https://fin.land.naver.com/articles/2652103571", "매물Link")</f>
        <v/>
      </c>
      <c r="Q242" s="6">
        <f>HYPERLINK("https://map.naver.com/p/search/금남면 영곡리 586", "지도Link")</f>
        <v/>
      </c>
      <c r="R242" s="6">
        <f>HYPERLINK("http://www.eum.go.kr/web/ar/lu/luLandDet.jsp?pnu=3611034041105860000&amp;isNoScr=script&amp;mode=search", "토지이음")</f>
        <v/>
      </c>
      <c r="S242" s="3" t="inlineStr">
        <is>
          <t>세종웅진</t>
        </is>
      </c>
      <c r="T242" s="4" t="n">
        <v>1</v>
      </c>
      <c r="U242" s="5" t="n">
        <v>125.7</v>
      </c>
      <c r="V242" s="4" t="n">
        <v>335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영곡리 587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50490</v>
      </c>
      <c r="H243" s="4" t="n">
        <v>0</v>
      </c>
      <c r="I243" s="4" t="n">
        <v>490</v>
      </c>
      <c r="J243" s="4" t="n">
        <v>148</v>
      </c>
      <c r="K243" s="5" t="n">
        <v>341.1</v>
      </c>
      <c r="L243" s="4" t="n">
        <v>70</v>
      </c>
      <c r="M243" s="4" t="n">
        <v>21</v>
      </c>
      <c r="N243" s="5" t="n">
        <v>2404.3</v>
      </c>
      <c r="O243" s="3" t="inlineStr">
        <is>
          <t>토지 148.4p, 주택1층 21.2p</t>
        </is>
      </c>
      <c r="P243" s="6">
        <f>HYPERLINK("https://fin.land.naver.com/articles/2650429428", "매물Link")</f>
        <v/>
      </c>
      <c r="Q243" s="6">
        <f>HYPERLINK("https://map.naver.com/p/search/금남면 영곡리 587", "지도Link")</f>
        <v/>
      </c>
      <c r="R243" s="6">
        <f>HYPERLINK("http://www.eum.go.kr/web/ar/lu/luLandDet.jsp?pnu=3611034041105870000&amp;isNoScr=script&amp;mode=search",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125.7</v>
      </c>
      <c r="V243" s="4" t="n">
        <v>490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63-14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35000</v>
      </c>
      <c r="H244" s="4" t="n">
        <v>0</v>
      </c>
      <c r="I244" s="4" t="n">
        <v>496</v>
      </c>
      <c r="J244" s="4" t="n">
        <v>150</v>
      </c>
      <c r="K244" s="5" t="n">
        <v>233.3</v>
      </c>
      <c r="L244" s="4" t="n">
        <v>21</v>
      </c>
      <c r="M244" s="4" t="n">
        <v>6</v>
      </c>
      <c r="N244" s="5" t="n">
        <v>5833.3</v>
      </c>
      <c r="O244" s="3" t="inlineStr">
        <is>
          <t>가격 최대 조절 , 전화주셔요</t>
        </is>
      </c>
      <c r="P244" s="6">
        <f>HYPERLINK("https://fin.land.naver.com/articles/2655697532", "매물Link")</f>
        <v/>
      </c>
      <c r="Q244" s="6">
        <f>HYPERLINK("https://map.naver.com/p/search/금남면 영곡리 63-14", "지도Link")</f>
        <v/>
      </c>
      <c r="R244" s="6">
        <f>HYPERLINK("http://www.eum.go.kr/web/ar/lu/luLandDet.jsp?pnu=3611034041100630014&amp;isNoScr=script&amp;mode=search", "토지이음")</f>
        <v/>
      </c>
      <c r="S244" s="3" t="inlineStr">
        <is>
          <t>최무연</t>
        </is>
      </c>
      <c r="T244" s="4" t="n">
        <v>1</v>
      </c>
      <c r="U244" s="5" t="n">
        <v>105.2</v>
      </c>
      <c r="V244" s="4" t="n">
        <v>496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금남면 영치리 273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1197</v>
      </c>
      <c r="J245" s="4" t="n">
        <v>362</v>
      </c>
      <c r="K245" s="5" t="n">
        <v>221</v>
      </c>
      <c r="L245" s="4" t="n">
        <v>101</v>
      </c>
      <c r="M245" s="4" t="n">
        <v>31</v>
      </c>
      <c r="N245" s="5" t="n">
        <v>2580.6</v>
      </c>
      <c r="O245" s="3" t="inlineStr">
        <is>
          <t>세종 금남면 투자가치 높은 주택 토지 3필지 일괄매매</t>
        </is>
      </c>
      <c r="P245" s="6">
        <f>HYPERLINK("https://fin.land.naver.com/articles/2652300417", "매물Link")</f>
        <v/>
      </c>
      <c r="Q245" s="6">
        <f>HYPERLINK("https://map.naver.com/p/search/금남면 영치리 273", "지도Link")</f>
        <v/>
      </c>
      <c r="R245" s="6">
        <f>HYPERLINK("http://www.eum.go.kr/web/ar/lu/luLandDet.jsp?pnu=3611034028102730000&amp;isNoScr=script&amp;mode=search", "토지이음")</f>
        <v/>
      </c>
      <c r="S245" s="3" t="inlineStr">
        <is>
          <t>로또</t>
        </is>
      </c>
      <c r="T245" s="4" t="n">
        <v>1</v>
      </c>
      <c r="U245" s="5" t="n">
        <v>110.6</v>
      </c>
      <c r="V245" s="4" t="n">
        <v>411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금남면 영치리 346-1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전세</t>
        </is>
      </c>
      <c r="G246" s="4" t="n">
        <v>25000</v>
      </c>
      <c r="H246" s="4" t="n">
        <v>0</v>
      </c>
      <c r="I246" s="4" t="n">
        <v>424</v>
      </c>
      <c r="J246" s="4" t="n">
        <v>128</v>
      </c>
      <c r="K246" s="5" t="n">
        <v>195.3</v>
      </c>
      <c r="L246" s="4" t="n">
        <v>95</v>
      </c>
      <c r="M246" s="4" t="n">
        <v>29</v>
      </c>
      <c r="N246" s="5" t="n">
        <v>862.1</v>
      </c>
      <c r="O246" s="3" t="inlineStr">
        <is>
          <t>nan</t>
        </is>
      </c>
      <c r="P246" s="6">
        <f>HYPERLINK("https://fin.land.naver.com/articles/2651380675", "매물Link")</f>
        <v/>
      </c>
      <c r="Q246" s="6">
        <f>HYPERLINK("https://map.naver.com/p/search/금남면 영치리 346-1", "지도Link")</f>
        <v/>
      </c>
      <c r="R246" s="6">
        <f>HYPERLINK("http://www.eum.go.kr/web/ar/lu/luLandDet.jsp?pnu=3611034028103460001&amp;isNoScr=script&amp;mode=search", "토지이음")</f>
        <v/>
      </c>
      <c r="S246" s="3" t="inlineStr">
        <is>
          <t>성신</t>
        </is>
      </c>
      <c r="T246" s="4" t="n">
        <v>1</v>
      </c>
      <c r="U246" s="5" t="n">
        <v>114</v>
      </c>
      <c r="V246" s="4" t="n">
        <v>424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HYPERLINK("https://fin.land.naver.com/articles/2650176359",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관리상태최상 복층구조 넓은 텃밭 전원생활 모든조건 적극협의</t>
        </is>
      </c>
      <c r="P248" s="6">
        <f>HYPERLINK("https://fin.land.naver.com/articles/2653795897",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홍기표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전세</t>
        </is>
      </c>
      <c r="G249" s="4" t="n">
        <v>40000</v>
      </c>
      <c r="H249" s="4" t="n">
        <v>0</v>
      </c>
      <c r="I249" s="4" t="n">
        <v>0</v>
      </c>
      <c r="J249" s="4" t="n">
        <v>0</v>
      </c>
      <c r="K249" s="5" t="n">
        <v>0</v>
      </c>
      <c r="L249" s="4" t="n">
        <v>96</v>
      </c>
      <c r="M249" s="4" t="n">
        <v>29</v>
      </c>
      <c r="N249" s="5" t="n">
        <v>1379.3</v>
      </c>
      <c r="O249" s="3" t="inlineStr">
        <is>
          <t>좋은 깔끔한 단독주택 전세로 정남향과 다락방 및 미니텃밭, 전원생활</t>
        </is>
      </c>
      <c r="P249" s="6">
        <f>HYPERLINK("https://fin.land.naver.com/articles/2654822267",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좋은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영치리 353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59000</v>
      </c>
      <c r="H250" s="4" t="n">
        <v>0</v>
      </c>
      <c r="I250" s="4" t="n">
        <v>426</v>
      </c>
      <c r="J250" s="4" t="n">
        <v>129</v>
      </c>
      <c r="K250" s="5" t="n">
        <v>457.4</v>
      </c>
      <c r="L250" s="4" t="n">
        <v>96</v>
      </c>
      <c r="M250" s="4" t="n">
        <v>29</v>
      </c>
      <c r="N250" s="5" t="n">
        <v>2034.5</v>
      </c>
      <c r="O250" s="3" t="inlineStr">
        <is>
          <t>좋은 손델곳 없이 입주가능 정남향단독,작은카페도 어울리는 그림같은 집</t>
        </is>
      </c>
      <c r="P250" s="6">
        <f>HYPERLINK("https://fin.land.naver.com/articles/2650727441", "매물Link")</f>
        <v/>
      </c>
      <c r="Q250" s="6">
        <f>HYPERLINK("https://map.naver.com/p/search/금남면 영치리 353", "지도Link")</f>
        <v/>
      </c>
      <c r="R250" s="6">
        <f>HYPERLINK("http://www.eum.go.kr/web/ar/lu/luLandDet.jsp?pnu=3611034028103530000&amp;isNoScr=script&amp;mode=search", "토지이음")</f>
        <v/>
      </c>
      <c r="S250" s="3" t="inlineStr">
        <is>
          <t>좋은</t>
        </is>
      </c>
      <c r="T250" s="4" t="n">
        <v>1</v>
      </c>
      <c r="U250" s="5" t="n">
        <v>114</v>
      </c>
      <c r="V250" s="4" t="n">
        <v>426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완경사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HYPERLINK("https://fin.land.naver.com/articles/2650208537",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104-2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92000</v>
      </c>
      <c r="H252" s="4" t="n">
        <v>0</v>
      </c>
      <c r="I252" s="4" t="n">
        <v>518</v>
      </c>
      <c r="J252" s="4" t="n">
        <v>157</v>
      </c>
      <c r="K252" s="5" t="n">
        <v>586</v>
      </c>
      <c r="L252" s="4" t="n">
        <v>199</v>
      </c>
      <c r="M252" s="4" t="n">
        <v>60</v>
      </c>
      <c r="N252" s="5" t="n">
        <v>1533.3</v>
      </c>
      <c r="O252" s="3" t="inlineStr">
        <is>
          <t>신축 단독주택 매매, 가격조율도가능, 방3개, 화장실2개</t>
        </is>
      </c>
      <c r="P252" s="6">
        <f>HYPERLINK("https://fin.land.naver.com/articles/2651192377", "매물Link")</f>
        <v/>
      </c>
      <c r="Q252" s="6">
        <f>HYPERLINK("https://map.naver.com/p/search/금남면 용담리 104-2", "지도Link")</f>
        <v/>
      </c>
      <c r="R252" s="6">
        <f>HYPERLINK("http://www.eum.go.kr/web/ar/lu/luLandDet.jsp?pnu=3611034025101040002&amp;isNoScr=script&amp;mode=search", "토지이음")</f>
        <v/>
      </c>
      <c r="S252" s="3" t="inlineStr">
        <is>
          <t>명진</t>
        </is>
      </c>
      <c r="T252" s="4" t="n">
        <v>2</v>
      </c>
      <c r="U252" s="5" t="n">
        <v>135.5</v>
      </c>
      <c r="V252" s="4" t="n">
        <v>518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용담리 108-3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80000</v>
      </c>
      <c r="H253" s="4" t="n">
        <v>0</v>
      </c>
      <c r="I253" s="4" t="n">
        <v>463</v>
      </c>
      <c r="J253" s="4" t="n">
        <v>140</v>
      </c>
      <c r="K253" s="5" t="n">
        <v>571.4</v>
      </c>
      <c r="L253" s="4" t="n">
        <v>96</v>
      </c>
      <c r="M253" s="4" t="n">
        <v>29</v>
      </c>
      <c r="N253" s="5" t="n">
        <v>2758.6</v>
      </c>
      <c r="O253" s="3" t="inlineStr">
        <is>
          <t>마당 넓은 리모델링 완료된 단독주택 매매, 내부 인테리어 굿</t>
        </is>
      </c>
      <c r="P253" s="6">
        <f>HYPERLINK("https://fin.land.naver.com/articles/2653667776", "매물Link")</f>
        <v/>
      </c>
      <c r="Q253" s="6">
        <f>HYPERLINK("https://map.naver.com/p/search/금남면 용담리 108-3", "지도Link")</f>
        <v/>
      </c>
      <c r="R253" s="6">
        <f>HYPERLINK("http://www.eum.go.kr/web/ar/lu/luLandDet.jsp?pnu=3611034025101080003&amp;isNoScr=script&amp;mode=search", "토지이음")</f>
        <v/>
      </c>
      <c r="S253" s="3" t="inlineStr">
        <is>
          <t>세종무지개</t>
        </is>
      </c>
      <c r="T253" s="4" t="n">
        <v>1</v>
      </c>
      <c r="U253" s="5" t="n">
        <v>137.4</v>
      </c>
      <c r="V253" s="4" t="n">
        <v>437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연립</t>
        </is>
      </c>
      <c r="F260" s="3" t="inlineStr">
        <is>
          <t>매매</t>
        </is>
      </c>
      <c r="G260" s="4" t="n">
        <v>8500</v>
      </c>
      <c r="H260" s="4" t="n">
        <v>0</v>
      </c>
      <c r="I260" s="4" t="n">
        <v>63</v>
      </c>
      <c r="J260" s="4" t="n">
        <v>19</v>
      </c>
      <c r="K260" s="5" t="n">
        <v>447.4</v>
      </c>
      <c r="L260" s="4" t="n">
        <v>57</v>
      </c>
      <c r="M260" s="4" t="n">
        <v>17</v>
      </c>
      <c r="N260" s="5" t="n">
        <v>500</v>
      </c>
      <c r="O260" s="3" t="inlineStr">
        <is>
          <t>급 매매,즉시입주,도배장판깨끗 ,관공서 병원 복지센터 ,생활편의 시설</t>
        </is>
      </c>
      <c r="P260" s="6">
        <f>HYPERLINK("https://fin.land.naver.com/articles/2654708446",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572</v>
      </c>
      <c r="J261" s="4" t="n">
        <v>173</v>
      </c>
      <c r="K261" s="5" t="n">
        <v>57.8</v>
      </c>
      <c r="L261" s="4" t="n">
        <v>57</v>
      </c>
      <c r="M261" s="4" t="n">
        <v>17</v>
      </c>
      <c r="N261" s="5" t="n">
        <v>588.2</v>
      </c>
      <c r="O261" s="3" t="inlineStr">
        <is>
          <t>교통편리,대평시장 근접,농협마트근접,대전 출퇴근 용이.</t>
        </is>
      </c>
      <c r="P261" s="6">
        <f>HYPERLINK("https://fin.land.naver.com/articles/2655049103",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홍자매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빌라</t>
        </is>
      </c>
      <c r="F262" s="3" t="inlineStr">
        <is>
          <t>매매</t>
        </is>
      </c>
      <c r="G262" s="4" t="n">
        <v>10000</v>
      </c>
      <c r="H262" s="4" t="n">
        <v>0</v>
      </c>
      <c r="I262" s="4" t="n">
        <v>62</v>
      </c>
      <c r="J262" s="4" t="n">
        <v>19</v>
      </c>
      <c r="K262" s="5" t="n">
        <v>526.3</v>
      </c>
      <c r="L262" s="4" t="n">
        <v>56</v>
      </c>
      <c r="M262" s="4" t="n">
        <v>17</v>
      </c>
      <c r="N262" s="5" t="n">
        <v>588.2</v>
      </c>
      <c r="O262" s="3" t="inlineStr">
        <is>
          <t>생활하기좋은 2층, 즉시입주, 생활편이시설 인접</t>
        </is>
      </c>
      <c r="P262" s="6">
        <f>HYPERLINK("https://fin.land.naver.com/articles/2652537640",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19000</v>
      </c>
      <c r="H263" s="4" t="n">
        <v>0</v>
      </c>
      <c r="I263" s="4" t="n">
        <v>111</v>
      </c>
      <c r="J263" s="4" t="n">
        <v>34</v>
      </c>
      <c r="K263" s="5" t="n">
        <v>558.8</v>
      </c>
      <c r="L263" s="4" t="n">
        <v>59</v>
      </c>
      <c r="M263" s="4" t="n">
        <v>18</v>
      </c>
      <c r="N263" s="5" t="n">
        <v>1055.6</v>
      </c>
      <c r="O263" s="3" t="inlineStr">
        <is>
          <t>협의 기간을 두고 입주가능한 주택입니다.</t>
        </is>
      </c>
      <c r="P263" s="6">
        <f>HYPERLINK("https://fin.land.naver.com/articles/2653962715",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20000</v>
      </c>
      <c r="H264" s="4" t="n">
        <v>0</v>
      </c>
      <c r="I264" s="4" t="n">
        <v>111</v>
      </c>
      <c r="J264" s="4" t="n">
        <v>34</v>
      </c>
      <c r="K264" s="5" t="n">
        <v>588.2</v>
      </c>
      <c r="L264" s="4" t="n">
        <v>59</v>
      </c>
      <c r="M264" s="4" t="n">
        <v>18</v>
      </c>
      <c r="N264" s="5" t="n">
        <v>1111.1</v>
      </c>
      <c r="O264" s="3" t="inlineStr">
        <is>
          <t>대평 시장 근접한 단독 주택,면소재지,농협 마트근접 생활편리함.</t>
        </is>
      </c>
      <c r="P264" s="6">
        <f>HYPERLINK("https://fin.land.naver.com/articles/2655536009",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홍자매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공실없고, 위치좋음, 대평시장 인근, 수요많음</t>
        </is>
      </c>
      <c r="P265" s="6">
        <f>HYPERLINK("https://fin.land.naver.com/articles/2653006777",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세종온정성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전세</t>
        </is>
      </c>
      <c r="G266" s="4" t="n">
        <v>5500</v>
      </c>
      <c r="H266" s="4" t="n">
        <v>0</v>
      </c>
      <c r="I266" s="4" t="n">
        <v>0</v>
      </c>
      <c r="J266" s="4" t="n">
        <v>0</v>
      </c>
      <c r="K266" s="5" t="n">
        <v>0</v>
      </c>
      <c r="L266" s="4" t="n">
        <v>20</v>
      </c>
      <c r="M266" s="4" t="n">
        <v>6</v>
      </c>
      <c r="N266" s="5" t="n">
        <v>916.7</v>
      </c>
      <c r="O266" s="3" t="inlineStr">
        <is>
          <t>복층형 귀한 전세, 무융자</t>
        </is>
      </c>
      <c r="P266" s="6">
        <f>HYPERLINK("https://fin.land.naver.com/articles/2653961808",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수익성 좋은 다가구주택 매매, 대평시장 인접한 세입자 선호 입지</t>
        </is>
      </c>
      <c r="P267" s="6">
        <f>HYPERLINK("https://fin.land.naver.com/articles/2650062997",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공실 걱정없는 대평시장 터미널 인접한 수익형 다가구</t>
        </is>
      </c>
      <c r="P268" s="6">
        <f>HYPERLINK("https://fin.land.naver.com/articles/2655557110",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뉴엘리트탑</t>
        </is>
      </c>
      <c r="T268" s="4" t="n">
        <v>2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19</v>
      </c>
      <c r="J271" s="4" t="n">
        <v>6</v>
      </c>
      <c r="K271" s="5" t="n">
        <v>5.8</v>
      </c>
      <c r="L271" s="4" t="n">
        <v>19</v>
      </c>
      <c r="M271" s="4" t="n">
        <v>6</v>
      </c>
      <c r="N271" s="5" t="n">
        <v>5.8</v>
      </c>
      <c r="O271" s="3" t="inlineStr">
        <is>
          <t>즉시입주 조용한 원룸  융자무</t>
        </is>
      </c>
      <c r="P271" s="6">
        <f>HYPERLINK("https://fin.land.naver.com/articles/2655712921", "매물Link")</f>
        <v/>
      </c>
      <c r="Q271" s="6">
        <f>HYPERLINK("https://map.naver.com/p/search/금남면 용포리 51-4", "지도Link")</f>
        <v/>
      </c>
      <c r="R271" s="6">
        <f>HYPERLINK("http://www.eum.go.kr/web/ar/lu/luLandDet.jsp?pnu=3611034021100510004&amp;isNoScr=script&amp;mode=search", "토지이음")</f>
        <v/>
      </c>
      <c r="S271" s="3" t="inlineStr">
        <is>
          <t>세계로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52-1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다가구</t>
        </is>
      </c>
      <c r="F272" s="3" t="inlineStr">
        <is>
          <t>월세</t>
        </is>
      </c>
      <c r="G272" s="4" t="n">
        <v>1000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18</v>
      </c>
      <c r="M272" s="4" t="n">
        <v>5</v>
      </c>
      <c r="N272" s="5" t="n">
        <v>7</v>
      </c>
      <c r="O272" s="3" t="inlineStr">
        <is>
          <t>남향, 깔끔한 분리형 풀옵션 원룸, 버스정류장 도보 4분</t>
        </is>
      </c>
      <c r="P272" s="6">
        <f>HYPERLINK("https://fin.land.naver.com/articles/2654719078", "매물Link")</f>
        <v/>
      </c>
      <c r="Q272" s="6">
        <f>HYPERLINK("https://map.naver.com/p/search/금남면 용포리 52-1", "지도Link")</f>
        <v/>
      </c>
      <c r="R272" s="6">
        <f>HYPERLINK("http://www.eum.go.kr/web/ar/lu/luLandDet.jsp?pnu=3611034021100520001&amp;isNoScr=script&amp;mode=search", "토지이음")</f>
        <v/>
      </c>
      <c r="S272" s="3" t="inlineStr">
        <is>
          <t>한빛</t>
        </is>
      </c>
      <c r="T272" s="4" t="n">
        <v>1</v>
      </c>
      <c r="U272" s="5" t="n">
        <v>335.9</v>
      </c>
      <c r="V272" s="4" t="n">
        <v>300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62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37</v>
      </c>
      <c r="I273" s="4" t="n">
        <v>26</v>
      </c>
      <c r="J273" s="4" t="n">
        <v>8</v>
      </c>
      <c r="K273" s="5" t="n">
        <v>4.6</v>
      </c>
      <c r="L273" s="4" t="n">
        <v>23</v>
      </c>
      <c r="M273" s="4" t="n">
        <v>7</v>
      </c>
      <c r="N273" s="5" t="n">
        <v>5.3</v>
      </c>
      <c r="O273" s="3" t="inlineStr">
        <is>
          <t>깔끔한 풀옵션 원룸11월 3일 부터  입주예요</t>
        </is>
      </c>
      <c r="P273" s="6">
        <f>HYPERLINK("https://fin.land.naver.com/articles/2650918228", "매물Link")</f>
        <v/>
      </c>
      <c r="Q273" s="6">
        <f>HYPERLINK("https://map.naver.com/p/search/금남면 용포리 62", "지도Link")</f>
        <v/>
      </c>
      <c r="R273" s="6">
        <f>HYPERLINK("http://www.eum.go.kr/web/ar/lu/luLandDet.jsp?pnu=3611034021100620000&amp;isNoScr=script&amp;mode=search", "토지이음")</f>
        <v/>
      </c>
      <c r="S273" s="3" t="inlineStr">
        <is>
          <t>에이스</t>
        </is>
      </c>
      <c r="T273" s="4" t="n">
        <v>1</v>
      </c>
      <c r="U273" s="5" t="n">
        <v>326.2</v>
      </c>
      <c r="V273" s="4" t="n">
        <v>308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금남면 용포리 81-10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188</v>
      </c>
      <c r="J274" s="4" t="n">
        <v>57</v>
      </c>
      <c r="K274" s="5" t="n">
        <v>1491.2</v>
      </c>
      <c r="L274" s="4" t="n">
        <v>296</v>
      </c>
      <c r="M274" s="4" t="n">
        <v>90</v>
      </c>
      <c r="N274" s="5" t="n">
        <v>944.4</v>
      </c>
      <c r="O274" s="3" t="inlineStr">
        <is>
          <t>공실없이 수익율 좋은 수익형 다중주택 매매 타지역에서도 관리가능 금액협의</t>
        </is>
      </c>
      <c r="P274" s="6">
        <f>HYPERLINK("https://fin.land.naver.com/articles/2650232603", "매물Link")</f>
        <v/>
      </c>
      <c r="Q274" s="6">
        <f>HYPERLINK("https://map.naver.com/p/search/금남면 용포리 81-10", "지도Link")</f>
        <v/>
      </c>
      <c r="R274" s="6">
        <f>HYPERLINK("http://www.eum.go.kr/web/ar/lu/luLandDet.jsp?pnu=3611034021100810010&amp;isNoScr=script&amp;mode=search", "토지이음")</f>
        <v/>
      </c>
      <c r="S274" s="3" t="inlineStr">
        <is>
          <t>센트라스탑</t>
        </is>
      </c>
      <c r="T274" s="4" t="n">
        <v>1</v>
      </c>
      <c r="U274" s="5" t="n">
        <v>472.7</v>
      </c>
      <c r="V274" s="4" t="n">
        <v>188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소로한면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30</v>
      </c>
      <c r="J275" s="4" t="n">
        <v>9</v>
      </c>
      <c r="K275" s="5" t="n">
        <v>3.9</v>
      </c>
      <c r="L275" s="4" t="n">
        <v>23</v>
      </c>
      <c r="M275" s="4" t="n">
        <v>7</v>
      </c>
      <c r="N275" s="5" t="n">
        <v>5</v>
      </c>
      <c r="O275" s="3" t="inlineStr">
        <is>
          <t>1인거주추천, 깔끔한 풀옵션원룸,편리합니다</t>
        </is>
      </c>
      <c r="P275" s="6">
        <f>HYPERLINK("https://fin.land.naver.com/articles/2653159077",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세종금탑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100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11월 입주가능한 풀옵션 원룸입니다.</t>
        </is>
      </c>
      <c r="P276" s="6">
        <f>HYPERLINK("https://fin.land.naver.com/articles/2654269912",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0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50</v>
      </c>
      <c r="I277" s="4" t="n">
        <v>38</v>
      </c>
      <c r="J277" s="4" t="n">
        <v>11</v>
      </c>
      <c r="K277" s="5" t="n">
        <v>4.5</v>
      </c>
      <c r="L277" s="4" t="n">
        <v>26</v>
      </c>
      <c r="M277" s="4" t="n">
        <v>8</v>
      </c>
      <c r="N277" s="5" t="n">
        <v>6.2</v>
      </c>
      <c r="O277" s="3" t="inlineStr">
        <is>
          <t>깔끔한 구조 풀옵션 원룸,주차편리해요,즉시입주</t>
        </is>
      </c>
      <c r="P277" s="6">
        <f>HYPERLINK("https://fin.land.naver.com/articles/2653165720", "매물Link")</f>
        <v/>
      </c>
      <c r="Q277" s="6">
        <f>HYPERLINK("https://map.naver.com/p/search/금남면 용포리 81-5", "지도Link")</f>
        <v/>
      </c>
      <c r="R277" s="6">
        <f>HYPERLINK("http://www.eum.go.kr/web/ar/lu/luLandDet.jsp?pnu=3611034021100810005&amp;isNoScr=script&amp;mode=search",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449.6</v>
      </c>
      <c r="V277" s="4" t="n">
        <v>273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세로각지(가)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너ㅏㄼ고 깨끗하며 대평시장 버스정류장 가까워 교통 생활편리 입주협의</t>
        </is>
      </c>
      <c r="P278" s="6">
        <f>HYPERLINK("https://fin.land.naver.com/articles/2655716434",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나성행복주는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풀옵션 터미널 재래시장  청사가까워요</t>
        </is>
      </c>
      <c r="P279" s="6">
        <f>HYPERLINK("https://fin.land.naver.com/articles/2655222350",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성신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36</v>
      </c>
      <c r="J280" s="4" t="n">
        <v>11</v>
      </c>
      <c r="K280" s="5" t="n">
        <v>4.5</v>
      </c>
      <c r="L280" s="4" t="n">
        <v>34</v>
      </c>
      <c r="M280" s="4" t="n">
        <v>10</v>
      </c>
      <c r="N280" s="5" t="n">
        <v>5</v>
      </c>
      <c r="O280" s="3" t="inlineStr">
        <is>
          <t>전용 넓은  풀옵션1.5룸 12월 2일 부터 입주</t>
        </is>
      </c>
      <c r="P280" s="6">
        <f>HYPERLINK("https://fin.land.naver.com/articles/2655208987", "매물Link")</f>
        <v/>
      </c>
      <c r="Q280" s="6">
        <f>HYPERLINK("https://map.naver.com/p/search/금남면 용포리 81-6", "지도Link")</f>
        <v/>
      </c>
      <c r="R280" s="6">
        <f>HYPERLINK("http://www.eum.go.kr/web/ar/lu/luLandDet.jsp?pnu=3611034021100810006&amp;isNoScr=script&amp;mode=search", "토지이음")</f>
        <v/>
      </c>
      <c r="S280" s="3" t="inlineStr">
        <is>
          <t>에이스</t>
        </is>
      </c>
      <c r="T280" s="4" t="n">
        <v>1</v>
      </c>
      <c r="U280" s="5" t="n">
        <v>449.6</v>
      </c>
      <c r="V280" s="4" t="n">
        <v>246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81-8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23</v>
      </c>
      <c r="J281" s="4" t="n">
        <v>7</v>
      </c>
      <c r="K281" s="5" t="n">
        <v>5.4</v>
      </c>
      <c r="L281" s="4" t="n">
        <v>23</v>
      </c>
      <c r="M281" s="4" t="n">
        <v>7</v>
      </c>
      <c r="N281" s="5" t="n">
        <v>5.4</v>
      </c>
      <c r="O281" s="3" t="inlineStr">
        <is>
          <t>10월말 입주,풀옵션  분리형 원룸,청소 도배깨끗</t>
        </is>
      </c>
      <c r="P281" s="6">
        <f>HYPERLINK("https://fin.land.naver.com/articles/2653007466", "매물Link")</f>
        <v/>
      </c>
      <c r="Q281" s="6">
        <f>HYPERLINK("https://map.naver.com/p/search/금남면 용포리 81-8", "지도Link")</f>
        <v/>
      </c>
      <c r="R281" s="6">
        <f>HYPERLINK("http://www.eum.go.kr/web/ar/lu/luLandDet.jsp?pnu=3611034021100810008&amp;isNoScr=script&amp;mode=search",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487.6</v>
      </c>
      <c r="V281" s="4" t="n">
        <v>289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소로한면</t>
        </is>
      </c>
    </row>
    <row r="282">
      <c r="A282" s="3" t="inlineStr">
        <is>
          <t>금남면 용포리 81-8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40</v>
      </c>
      <c r="I282" s="4" t="n">
        <v>38</v>
      </c>
      <c r="J282" s="4" t="n">
        <v>11</v>
      </c>
      <c r="K282" s="5" t="n">
        <v>3.6</v>
      </c>
      <c r="L282" s="4" t="n">
        <v>25</v>
      </c>
      <c r="M282" s="4" t="n">
        <v>8</v>
      </c>
      <c r="N282" s="5" t="n">
        <v>5</v>
      </c>
      <c r="O282" s="3" t="inlineStr">
        <is>
          <t>컬러풀한 실내.풀옵션 원룸, 주차도 편리해요</t>
        </is>
      </c>
      <c r="P282" s="6">
        <f>HYPERLINK("https://fin.land.naver.com/articles/2653162404", "매물Link")</f>
        <v/>
      </c>
      <c r="Q282" s="6">
        <f>HYPERLINK("https://map.naver.com/p/search/금남면 용포리 81-8", "지도Link")</f>
        <v/>
      </c>
      <c r="R282" s="6">
        <f>HYPERLINK("http://www.eum.go.kr/web/ar/lu/luLandDet.jsp?pnu=3611034021100810008&amp;isNoScr=script&amp;mode=search",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487.6</v>
      </c>
      <c r="V282" s="4" t="n">
        <v>289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소로한면</t>
        </is>
      </c>
    </row>
    <row r="283">
      <c r="A283" s="3" t="inlineStr">
        <is>
          <t>금남면 용포리 81-9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36</v>
      </c>
      <c r="I283" s="4" t="n">
        <v>25</v>
      </c>
      <c r="J283" s="4" t="n">
        <v>8</v>
      </c>
      <c r="K283" s="5" t="n">
        <v>4.5</v>
      </c>
      <c r="L283" s="4" t="n">
        <v>22</v>
      </c>
      <c r="M283" s="4" t="n">
        <v>7</v>
      </c>
      <c r="N283" s="5" t="n">
        <v>5.1</v>
      </c>
      <c r="O283" s="3" t="inlineStr">
        <is>
          <t>남향 풀옵션 터미널 청사 시청가까워요</t>
        </is>
      </c>
      <c r="P283" s="6">
        <f>HYPERLINK("https://fin.land.naver.com/articles/2653333173", "매물Link")</f>
        <v/>
      </c>
      <c r="Q283" s="6">
        <f>HYPERLINK("https://map.naver.com/p/search/금남면 용포리 81-9", "지도Link")</f>
        <v/>
      </c>
      <c r="R283" s="6">
        <f>HYPERLINK("http://www.eum.go.kr/web/ar/lu/luLandDet.jsp?pnu=3611034021100810009&amp;isNoScr=script&amp;mode=search", "토지이음")</f>
        <v/>
      </c>
      <c r="S283" s="3" t="inlineStr">
        <is>
          <t>성신</t>
        </is>
      </c>
      <c r="T283" s="4" t="n">
        <v>1</v>
      </c>
      <c r="U283" s="5" t="n">
        <v>472.7</v>
      </c>
      <c r="V283" s="4" t="n">
        <v>180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소로한면</t>
        </is>
      </c>
    </row>
    <row r="284">
      <c r="A284" s="3" t="inlineStr">
        <is>
          <t>금남면 용포리 81-9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36</v>
      </c>
      <c r="I284" s="4" t="n">
        <v>22</v>
      </c>
      <c r="J284" s="4" t="n">
        <v>7</v>
      </c>
      <c r="K284" s="5" t="n">
        <v>5.1</v>
      </c>
      <c r="L284" s="4" t="n">
        <v>20</v>
      </c>
      <c r="M284" s="4" t="n">
        <v>6</v>
      </c>
      <c r="N284" s="5" t="n">
        <v>6</v>
      </c>
      <c r="O284" s="3" t="inlineStr">
        <is>
          <t>깔끔한 풀옵션 원룸 10월 15일 부터 입주</t>
        </is>
      </c>
      <c r="P284" s="6">
        <f>HYPERLINK("https://fin.land.naver.com/articles/2653401631", "매물Link")</f>
        <v/>
      </c>
      <c r="Q284" s="6">
        <f>HYPERLINK("https://map.naver.com/p/search/금남면 용포리 81-9", "지도Link")</f>
        <v/>
      </c>
      <c r="R284" s="6">
        <f>HYPERLINK("http://www.eum.go.kr/web/ar/lu/luLandDet.jsp?pnu=3611034021100810009&amp;isNoScr=script&amp;mode=search",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472.7</v>
      </c>
      <c r="V284" s="4" t="n">
        <v>180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33</v>
      </c>
      <c r="J285" s="4" t="n">
        <v>10</v>
      </c>
      <c r="K285" s="5" t="n">
        <v>3.6</v>
      </c>
      <c r="L285" s="4" t="n">
        <v>23</v>
      </c>
      <c r="M285" s="4" t="n">
        <v>7</v>
      </c>
      <c r="N285" s="5" t="n">
        <v>5.1</v>
      </c>
      <c r="O285" s="3" t="inlineStr">
        <is>
          <t>밝고 깔끔한 풀옵션원룸, 주차 편리, 1인거주추천</t>
        </is>
      </c>
      <c r="P285" s="6">
        <f>HYPERLINK("https://fin.land.naver.com/articles/2653324513",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87-5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37</v>
      </c>
      <c r="I286" s="4" t="n">
        <v>25</v>
      </c>
      <c r="J286" s="4" t="n">
        <v>8</v>
      </c>
      <c r="K286" s="5" t="n">
        <v>4.6</v>
      </c>
      <c r="L286" s="4" t="n">
        <v>23</v>
      </c>
      <c r="M286" s="4" t="n">
        <v>7</v>
      </c>
      <c r="N286" s="5" t="n">
        <v>5.3</v>
      </c>
      <c r="O286" s="3" t="inlineStr">
        <is>
          <t>깔끔한 풀옵션원룸 11월 3일 부터 입주</t>
        </is>
      </c>
      <c r="P286" s="6">
        <f>HYPERLINK("https://fin.land.naver.com/articles/2651743491", "매물Link")</f>
        <v/>
      </c>
      <c r="Q286" s="6">
        <f>HYPERLINK("https://map.naver.com/p/search/금남면 용포리 87-5", "지도Link")</f>
        <v/>
      </c>
      <c r="R286" s="6">
        <f>HYPERLINK("http://www.eum.go.kr/web/ar/lu/luLandDet.jsp?pnu=3611034021100870005&amp;isNoScr=script&amp;mode=search",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419.2</v>
      </c>
      <c r="V286" s="4" t="n">
        <v>454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금남면 용포리 88-14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54000</v>
      </c>
      <c r="H287" s="4" t="n">
        <v>0</v>
      </c>
      <c r="I287" s="4" t="n">
        <v>121</v>
      </c>
      <c r="J287" s="4" t="n">
        <v>37</v>
      </c>
      <c r="K287" s="5" t="n">
        <v>1459.5</v>
      </c>
      <c r="L287" s="4" t="n">
        <v>208</v>
      </c>
      <c r="M287" s="4" t="n">
        <v>63</v>
      </c>
      <c r="N287" s="5" t="n">
        <v>857.1</v>
      </c>
      <c r="O287" s="3" t="inlineStr">
        <is>
          <t>nan</t>
        </is>
      </c>
      <c r="P287" s="6">
        <f>HYPERLINK("https://fin.land.naver.com/articles/2653325078", "매물Link")</f>
        <v/>
      </c>
      <c r="Q287" s="6">
        <f>HYPERLINK("https://map.naver.com/p/search/금남면 용포리 88-14", "지도Link")</f>
        <v/>
      </c>
      <c r="R287" s="6">
        <f>HYPERLINK("http://www.eum.go.kr/web/ar/lu/luLandDet.jsp?pnu=3611034021100880014&amp;isNoScr=script&amp;mode=search", "토지이음")</f>
        <v/>
      </c>
      <c r="S287" s="3" t="inlineStr">
        <is>
          <t>세종</t>
        </is>
      </c>
      <c r="T287" s="4" t="n">
        <v>1</v>
      </c>
      <c r="U287" s="5" t="n">
        <v>667.1</v>
      </c>
      <c r="V287" s="4" t="n">
        <v>119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중로한면</t>
        </is>
      </c>
    </row>
    <row r="288">
      <c r="A288" s="3" t="inlineStr">
        <is>
          <t>금남면 원봉리 380-5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70000</v>
      </c>
      <c r="H288" s="4" t="n">
        <v>0</v>
      </c>
      <c r="I288" s="4" t="n">
        <v>708</v>
      </c>
      <c r="J288" s="4" t="n">
        <v>214</v>
      </c>
      <c r="K288" s="5" t="n">
        <v>327.1</v>
      </c>
      <c r="L288" s="4" t="n">
        <v>198</v>
      </c>
      <c r="M288" s="4" t="n">
        <v>60</v>
      </c>
      <c r="N288" s="5" t="n">
        <v>1166.7</v>
      </c>
      <c r="O288" s="3" t="inlineStr">
        <is>
          <t>대지708 m2이뿐 카페가능한 전원주택계획관리전퀼트카페운영</t>
        </is>
      </c>
      <c r="P288" s="6">
        <f>HYPERLINK("https://fin.land.naver.com/articles/2652321444", "매물Link")</f>
        <v/>
      </c>
      <c r="Q288" s="6">
        <f>HYPERLINK("https://map.naver.com/p/search/금남면 원봉리 380-5", "지도Link")</f>
        <v/>
      </c>
      <c r="R288" s="6">
        <f>HYPERLINK("http://www.eum.go.kr/web/ar/lu/luLandDet.jsp?pnu=3611034045103800005&amp;isNoScr=script&amp;mode=search", "토지이음")</f>
        <v/>
      </c>
      <c r="S288" s="3" t="inlineStr">
        <is>
          <t>세종부부</t>
        </is>
      </c>
      <c r="T288" s="4" t="n">
        <v>1</v>
      </c>
      <c r="U288" s="5" t="n">
        <v>117.4</v>
      </c>
      <c r="V288" s="4" t="n">
        <v>686</v>
      </c>
      <c r="W288" s="3" t="inlineStr">
        <is>
          <t>보전관리지역</t>
        </is>
      </c>
      <c r="X288" s="3" t="inlineStr">
        <is>
          <t>주거기타</t>
        </is>
      </c>
      <c r="Y288" s="3" t="inlineStr">
        <is>
          <t>완경사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원봉리 548-20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85000</v>
      </c>
      <c r="H289" s="4" t="n">
        <v>0</v>
      </c>
      <c r="I289" s="4" t="n">
        <v>995</v>
      </c>
      <c r="J289" s="4" t="n">
        <v>301</v>
      </c>
      <c r="K289" s="5" t="n">
        <v>282.4</v>
      </c>
      <c r="L289" s="4" t="n">
        <v>215</v>
      </c>
      <c r="M289" s="4" t="n">
        <v>65</v>
      </c>
      <c r="N289" s="5" t="n">
        <v>1307.7</v>
      </c>
      <c r="O289" s="3" t="inlineStr">
        <is>
          <t>nan</t>
        </is>
      </c>
      <c r="P289" s="6">
        <f>HYPERLINK("https://fin.land.naver.com/articles/2652143572", "매물Link")</f>
        <v/>
      </c>
      <c r="Q289" s="6">
        <f>HYPERLINK("https://map.naver.com/p/search/금남면 원봉리 548-20", "지도Link")</f>
        <v/>
      </c>
      <c r="R289" s="6">
        <f>HYPERLINK("http://www.eum.go.kr/web/ar/lu/luLandDet.jsp?pnu=3611034045105480020&amp;isNoScr=script&amp;mode=search", "토지이음")</f>
        <v/>
      </c>
      <c r="S289" s="3" t="inlineStr">
        <is>
          <t>광장</t>
        </is>
      </c>
      <c r="T289" s="4" t="n">
        <v>1</v>
      </c>
      <c r="U289" s="5" t="n">
        <v>124.1</v>
      </c>
      <c r="V289" s="4" t="n">
        <v>510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원봉리 575-20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0</t>
        </is>
      </c>
      <c r="E290" s="3" t="inlineStr">
        <is>
          <t>단독</t>
        </is>
      </c>
      <c r="F290" s="3" t="inlineStr">
        <is>
          <t>전세</t>
        </is>
      </c>
      <c r="G290" s="4" t="n">
        <v>65000</v>
      </c>
      <c r="H290" s="4" t="n">
        <v>0</v>
      </c>
      <c r="I290" s="4" t="n">
        <v>354</v>
      </c>
      <c r="J290" s="4" t="n">
        <v>107</v>
      </c>
      <c r="K290" s="5" t="n">
        <v>607.5</v>
      </c>
      <c r="L290" s="4" t="n">
        <v>354</v>
      </c>
      <c r="M290" s="4" t="n">
        <v>107</v>
      </c>
      <c r="N290" s="5" t="n">
        <v>607.5</v>
      </c>
      <c r="O290" s="3" t="inlineStr">
        <is>
          <t>고급 단독주택 전세, 1.2층 개별전세가능, 즉시입주</t>
        </is>
      </c>
      <c r="P290" s="6">
        <f>HYPERLINK("https://fin.land.naver.com/articles/2654965447", "매물Link")</f>
        <v/>
      </c>
      <c r="Q290" s="6">
        <f>HYPERLINK("https://map.naver.com/p/search/금남면 원봉리 575-20", "지도Link")</f>
        <v/>
      </c>
      <c r="R290" s="6">
        <f>HYPERLINK("http://www.eum.go.kr/web/ar/lu/luLandDet.jsp?pnu=3611034045105750020&amp;isNoScr=script&amp;mode=search",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123.6</v>
      </c>
      <c r="V290" s="4" t="n">
        <v>724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81-11</t>
        </is>
      </c>
      <c r="B291" s="3" t="inlineStr">
        <is>
          <t>보전관리지역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52000</v>
      </c>
      <c r="H291" s="4" t="n">
        <v>0</v>
      </c>
      <c r="I291" s="4" t="n">
        <v>442</v>
      </c>
      <c r="J291" s="4" t="n">
        <v>134</v>
      </c>
      <c r="K291" s="5" t="n">
        <v>388.1</v>
      </c>
      <c r="L291" s="4" t="n">
        <v>87</v>
      </c>
      <c r="M291" s="4" t="n">
        <v>26</v>
      </c>
      <c r="N291" s="5" t="n">
        <v>2000</v>
      </c>
      <c r="O291" s="3" t="inlineStr">
        <is>
          <t>nan</t>
        </is>
      </c>
      <c r="P291" s="6">
        <f>HYPERLINK("https://fin.land.naver.com/articles/2652692781", "매물Link")</f>
        <v/>
      </c>
      <c r="Q291" s="6">
        <f>HYPERLINK("https://map.naver.com/p/search/금남면 원봉리 81-11", "지도Link")</f>
        <v/>
      </c>
      <c r="R291" s="6">
        <f>HYPERLINK("http://www.eum.go.kr/web/ar/lu/luLandDet.jsp?pnu=3611034045100810011&amp;isNoScr=script&amp;mode=search", "토지이음")</f>
        <v/>
      </c>
      <c r="S291" s="3" t="inlineStr">
        <is>
          <t>반곡황금더샵</t>
        </is>
      </c>
      <c r="T291" s="4" t="n">
        <v>1</v>
      </c>
      <c r="U291" s="5" t="n">
        <v>81</v>
      </c>
      <c r="V291" s="4" t="n">
        <v>442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완경사</t>
        </is>
      </c>
      <c r="Z291" s="3" t="inlineStr">
        <is>
          <t>세로장방</t>
        </is>
      </c>
      <c r="AA291" s="3" t="inlineStr">
        <is>
          <t>세로한면(가)</t>
        </is>
      </c>
    </row>
    <row r="292">
      <c r="A292" s="3" t="inlineStr">
        <is>
          <t>금남면 원봉리 99-31</t>
        </is>
      </c>
      <c r="B292" s="3" t="inlineStr">
        <is>
          <t>보전관리지역</t>
        </is>
      </c>
      <c r="C292" s="3" t="inlineStr">
        <is>
          <t>임야</t>
        </is>
      </c>
      <c r="D292" s="3" t="inlineStr">
        <is>
          <t>1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48000</v>
      </c>
      <c r="H292" s="4" t="n">
        <v>0</v>
      </c>
      <c r="I292" s="4" t="n">
        <v>855</v>
      </c>
      <c r="J292" s="4" t="n">
        <v>259</v>
      </c>
      <c r="K292" s="5" t="n">
        <v>185.3</v>
      </c>
      <c r="L292" s="4" t="n">
        <v>87</v>
      </c>
      <c r="M292" s="4" t="n">
        <v>26</v>
      </c>
      <c r="N292" s="5" t="n">
        <v>1846.2</v>
      </c>
      <c r="O292" s="3" t="inlineStr">
        <is>
          <t>마당넓은 근생주택</t>
        </is>
      </c>
      <c r="P292" s="6">
        <f>HYPERLINK("https://fin.land.naver.com/articles/2651113314", "매물Link")</f>
        <v/>
      </c>
      <c r="Q292" s="6">
        <f>HYPERLINK("https://map.naver.com/p/search/금남면 원봉리 99-31", "지도Link")</f>
        <v/>
      </c>
      <c r="R292" s="6">
        <f>HYPERLINK("http://www.eum.go.kr/web/ar/lu/luLandDet.jsp?pnu=3611034045100990031&amp;isNoScr=script&amp;mode=search", "토지이음")</f>
        <v/>
      </c>
      <c r="S292" s="3" t="inlineStr">
        <is>
          <t>세계로</t>
        </is>
      </c>
      <c r="T292" s="4" t="n">
        <v>1</v>
      </c>
      <c r="U292" s="5" t="n">
        <v>14.3</v>
      </c>
      <c r="V292" s="4" t="n">
        <v>855</v>
      </c>
      <c r="W292" s="3" t="inlineStr">
        <is>
          <t>지정되지않음</t>
        </is>
      </c>
      <c r="X292" s="3" t="inlineStr">
        <is>
          <t>자연림</t>
        </is>
      </c>
      <c r="Y292" s="3" t="inlineStr">
        <is>
          <t>급경사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장재리 347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75000</v>
      </c>
      <c r="H293" s="4" t="n">
        <v>0</v>
      </c>
      <c r="I293" s="4" t="n">
        <v>293</v>
      </c>
      <c r="J293" s="4" t="n">
        <v>89</v>
      </c>
      <c r="K293" s="5" t="n">
        <v>842.7</v>
      </c>
      <c r="L293" s="4" t="n">
        <v>99</v>
      </c>
      <c r="M293" s="4" t="n">
        <v>30</v>
      </c>
      <c r="N293" s="5" t="n">
        <v>2500</v>
      </c>
      <c r="O293" s="3" t="inlineStr">
        <is>
          <t>소담동 인근 도심속 전원,1층 창고처럼 넓은 공간 활용,탁트인별장 전망</t>
        </is>
      </c>
      <c r="P293" s="6">
        <f>HYPERLINK("https://fin.land.naver.com/articles/2651652148", "매물Link")</f>
        <v/>
      </c>
      <c r="Q293" s="6">
        <f>HYPERLINK("https://map.naver.com/p/search/금남면 장재리 347", "지도Link")</f>
        <v/>
      </c>
      <c r="R293" s="6">
        <f>HYPERLINK("http://www.eum.go.kr/web/ar/lu/luLandDet.jsp?pnu=3611034036103470000&amp;isNoScr=script&amp;mode=search", "토지이음")</f>
        <v/>
      </c>
      <c r="S293" s="3" t="inlineStr">
        <is>
          <t>강남뜰</t>
        </is>
      </c>
      <c r="T293" s="4" t="n">
        <v>1</v>
      </c>
      <c r="U293" s="5" t="n">
        <v>287.2</v>
      </c>
      <c r="V293" s="4" t="n">
        <v>293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세로각지(가)</t>
        </is>
      </c>
    </row>
    <row r="294">
      <c r="A294" s="3" t="inlineStr">
        <is>
          <t>금남면 축산리 340-1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44500</v>
      </c>
      <c r="H294" s="4" t="n">
        <v>0</v>
      </c>
      <c r="I294" s="4" t="n">
        <v>435</v>
      </c>
      <c r="J294" s="4" t="n">
        <v>132</v>
      </c>
      <c r="K294" s="5" t="n">
        <v>337.1</v>
      </c>
      <c r="L294" s="4" t="n">
        <v>85</v>
      </c>
      <c r="M294" s="4" t="n">
        <v>26</v>
      </c>
      <c r="N294" s="5" t="n">
        <v>1711.5</v>
      </c>
      <c r="O294" s="3" t="inlineStr">
        <is>
          <t>전원생활   집뒤 넓은텃밭 태양광설치</t>
        </is>
      </c>
      <c r="P294" s="6">
        <f>HYPERLINK("https://fin.land.naver.com/articles/2652594496", "매물Link")</f>
        <v/>
      </c>
      <c r="Q294" s="6">
        <f>HYPERLINK("https://map.naver.com/p/search/금남면 축산리 340-1", "지도Link")</f>
        <v/>
      </c>
      <c r="R294" s="6">
        <f>HYPERLINK("http://www.eum.go.kr/web/ar/lu/luLandDet.jsp?pnu=3611034026103400001&amp;isNoScr=script&amp;mode=search", "토지이음")</f>
        <v/>
      </c>
      <c r="S294" s="3" t="inlineStr">
        <is>
          <t>마스터태성</t>
        </is>
      </c>
      <c r="T294" s="4" t="n">
        <v>1</v>
      </c>
      <c r="U294" s="5" t="n">
        <v>97.3</v>
      </c>
      <c r="V294" s="4" t="n">
        <v>435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금남면 축산리 340-7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40000</v>
      </c>
      <c r="H295" s="4" t="n">
        <v>0</v>
      </c>
      <c r="I295" s="4" t="n">
        <v>346</v>
      </c>
      <c r="J295" s="4" t="n">
        <v>105</v>
      </c>
      <c r="K295" s="5" t="n">
        <v>381</v>
      </c>
      <c r="L295" s="4" t="n">
        <v>93</v>
      </c>
      <c r="M295" s="4" t="n">
        <v>28</v>
      </c>
      <c r="N295" s="5" t="n">
        <v>1428.6</v>
      </c>
      <c r="O295" s="3" t="inlineStr">
        <is>
          <t>세종생활권 인접한 신축급단독주택 넉넉한텃밭가꾸기</t>
        </is>
      </c>
      <c r="P295" s="6">
        <f>HYPERLINK("https://fin.land.naver.com/articles/2652604994", "매물Link")</f>
        <v/>
      </c>
      <c r="Q295" s="6">
        <f>HYPERLINK("https://map.naver.com/p/search/금남면 축산리 340-7", "지도Link")</f>
        <v/>
      </c>
      <c r="R295" s="6">
        <f>HYPERLINK("http://www.eum.go.kr/web/ar/lu/luLandDet.jsp?pnu=3611034026103400007&amp;isNoScr=script&amp;mode=search",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94.40000000000001</v>
      </c>
      <c r="V295" s="4" t="n">
        <v>346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금남면 호탄리 152-2</t>
        </is>
      </c>
      <c r="B296" s="3" t="inlineStr">
        <is>
          <t>제1종일반주거지역</t>
        </is>
      </c>
      <c r="C296" s="3" t="inlineStr">
        <is>
          <t>창고용지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2000</v>
      </c>
      <c r="H296" s="4" t="n">
        <v>60</v>
      </c>
      <c r="I296" s="4" t="n">
        <v>0</v>
      </c>
      <c r="J296" s="4" t="n">
        <v>0</v>
      </c>
      <c r="K296" s="5" t="n">
        <v>0</v>
      </c>
      <c r="L296" s="4" t="n">
        <v>96</v>
      </c>
      <c r="M296" s="4" t="n">
        <v>29</v>
      </c>
      <c r="N296" s="5" t="n">
        <v>2.1</v>
      </c>
      <c r="O296" s="3" t="inlineStr">
        <is>
          <t>금남면 호탄리 단독주택 월세</t>
        </is>
      </c>
      <c r="P296" s="6">
        <f>HYPERLINK("https://fin.land.naver.com/articles/2652390584", "매물Link")</f>
        <v/>
      </c>
      <c r="Q296" s="6">
        <f>HYPERLINK("https://map.naver.com/p/search/금남면 호탄리 152-2", "지도Link")</f>
        <v/>
      </c>
      <c r="R296" s="6">
        <f>HYPERLINK("http://www.eum.go.kr/web/ar/lu/luLandDet.jsp?pnu=3611034037101520002&amp;isNoScr=script&amp;mode=search", "토지이음")</f>
        <v/>
      </c>
      <c r="S296" s="3" t="inlineStr">
        <is>
          <t>강아지풀</t>
        </is>
      </c>
      <c r="T296" s="4" t="n">
        <v>1</v>
      </c>
      <c r="U296" s="5" t="n">
        <v>272.9</v>
      </c>
      <c r="V296" s="4" t="n">
        <v>334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황용리 118-3</t>
        </is>
      </c>
      <c r="B297" s="3" t="inlineStr">
        <is>
          <t>개발제한구역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16000</v>
      </c>
      <c r="H297" s="4" t="n">
        <v>0</v>
      </c>
      <c r="I297" s="4" t="n">
        <v>319</v>
      </c>
      <c r="J297" s="4" t="n">
        <v>96</v>
      </c>
      <c r="K297" s="5" t="n">
        <v>166.7</v>
      </c>
      <c r="L297" s="4" t="n">
        <v>52</v>
      </c>
      <c r="M297" s="4" t="n">
        <v>16</v>
      </c>
      <c r="N297" s="5" t="n">
        <v>1000</v>
      </c>
      <c r="O297" s="3" t="inlineStr">
        <is>
          <t>목조.시멘벽돌조  농가주택</t>
        </is>
      </c>
      <c r="P297" s="6">
        <f>HYPERLINK("https://fin.land.naver.com/articles/2654380151", "매물Link")</f>
        <v/>
      </c>
      <c r="Q297" s="6">
        <f>HYPERLINK("https://map.naver.com/p/search/금남면 황용리 118-3", "지도Link")</f>
        <v/>
      </c>
      <c r="R297" s="6">
        <f>HYPERLINK("http://www.eum.go.kr/web/ar/lu/luLandDet.jsp?pnu=3611034030101180003&amp;isNoScr=script&amp;mode=search", "토지이음")</f>
        <v/>
      </c>
      <c r="S297" s="3" t="inlineStr">
        <is>
          <t>보람최고</t>
        </is>
      </c>
      <c r="T297" s="4" t="n">
        <v>1</v>
      </c>
      <c r="U297" s="5" t="n">
        <v>105.7</v>
      </c>
      <c r="V297" s="4" t="n">
        <v>319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황용리 254-4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43500</v>
      </c>
      <c r="H298" s="4" t="n">
        <v>0</v>
      </c>
      <c r="I298" s="4" t="n">
        <v>478</v>
      </c>
      <c r="J298" s="4" t="n">
        <v>145</v>
      </c>
      <c r="K298" s="5" t="n">
        <v>300</v>
      </c>
      <c r="L298" s="4" t="n">
        <v>114</v>
      </c>
      <c r="M298" s="4" t="n">
        <v>34</v>
      </c>
      <c r="N298" s="5" t="n">
        <v>1279.4</v>
      </c>
      <c r="O298" s="3" t="inlineStr">
        <is>
          <t>저렴한 황용리 구옥집터</t>
        </is>
      </c>
      <c r="P298" s="6">
        <f>HYPERLINK("https://fin.land.naver.com/articles/2651993863", "매물Link")</f>
        <v/>
      </c>
      <c r="Q298" s="6">
        <f>HYPERLINK("https://map.naver.com/p/search/금남면 황용리 254-4", "지도Link")</f>
        <v/>
      </c>
      <c r="R298" s="6">
        <f>HYPERLINK("http://www.eum.go.kr/web/ar/lu/luLandDet.jsp?pnu=3611034030102540004&amp;isNoScr=script&amp;mode=search", "토지이음")</f>
        <v/>
      </c>
      <c r="S298" s="3" t="inlineStr">
        <is>
          <t>강아지풀</t>
        </is>
      </c>
      <c r="T298" s="4" t="n">
        <v>1</v>
      </c>
      <c r="U298" s="5" t="n">
        <v>133.9</v>
      </c>
      <c r="V298" s="4" t="n">
        <v>478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남이면 가마리 385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상가주택</t>
        </is>
      </c>
      <c r="F299" s="3" t="inlineStr">
        <is>
          <t>월세</t>
        </is>
      </c>
      <c r="G299" s="4" t="n">
        <v>1000</v>
      </c>
      <c r="H299" s="4" t="n">
        <v>55</v>
      </c>
      <c r="I299" s="4" t="n">
        <v>65</v>
      </c>
      <c r="J299" s="4" t="n">
        <v>20</v>
      </c>
      <c r="K299" s="5" t="n">
        <v>2.8</v>
      </c>
      <c r="L299" s="4" t="n">
        <v>60</v>
      </c>
      <c r="M299" s="4" t="n">
        <v>18</v>
      </c>
      <c r="N299" s="5" t="n">
        <v>3.1</v>
      </c>
      <c r="O299" s="3" t="inlineStr">
        <is>
          <t>교통좋고 살기편리함,엘베있음.별도 관리비없음</t>
        </is>
      </c>
      <c r="P299" s="6">
        <f>HYPERLINK("https://fin.land.naver.com/articles/2654950083", "매물Link")</f>
        <v/>
      </c>
      <c r="Q299" s="6">
        <f>HYPERLINK("https://map.naver.com/p/search/남이면 가마리 385", "지도Link")</f>
        <v/>
      </c>
      <c r="R299" s="6">
        <f>HYPERLINK("http://www.eum.go.kr/web/ar/lu/luLandDet.jsp?pnu=4311231038103850000&amp;isNoScr=script&amp;mode=search", "토지이음")</f>
        <v/>
      </c>
      <c r="S299" s="3" t="inlineStr">
        <is>
          <t>대일</t>
        </is>
      </c>
      <c r="T299" s="4" t="n">
        <v>1</v>
      </c>
      <c r="U299" s="5" t="n">
        <v>367.9</v>
      </c>
      <c r="V299" s="4" t="n">
        <v>341.2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가로장방</t>
        </is>
      </c>
      <c r="AA299" s="3" t="inlineStr">
        <is>
          <t>중로각지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4000</v>
      </c>
      <c r="H300" s="4" t="n">
        <v>60</v>
      </c>
      <c r="I300" s="4" t="n">
        <v>50</v>
      </c>
      <c r="J300" s="4" t="n">
        <v>15</v>
      </c>
      <c r="K300" s="5" t="n">
        <v>4</v>
      </c>
      <c r="L300" s="4" t="n">
        <v>45</v>
      </c>
      <c r="M300" s="4" t="n">
        <v>14</v>
      </c>
      <c r="N300" s="5" t="n">
        <v>4.3</v>
      </c>
      <c r="O300" s="3" t="inlineStr">
        <is>
          <t>깨끗한 쓰리룸 즉시입주</t>
        </is>
      </c>
      <c r="P300" s="6">
        <f>HYPERLINK("https://fin.land.naver.com/articles/2652400355",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힐데스하임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가좌리 134-1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41000</v>
      </c>
      <c r="H301" s="4" t="n">
        <v>0</v>
      </c>
      <c r="I301" s="4" t="n">
        <v>518</v>
      </c>
      <c r="J301" s="4" t="n">
        <v>157</v>
      </c>
      <c r="K301" s="5" t="n">
        <v>261.1</v>
      </c>
      <c r="L301" s="4" t="n">
        <v>146</v>
      </c>
      <c r="M301" s="4" t="n">
        <v>44</v>
      </c>
      <c r="N301" s="5" t="n">
        <v>931.8</v>
      </c>
      <c r="O301" s="3" t="inlineStr">
        <is>
          <t>남향 단층 전원주택 태양광 있어 편리 입주협의 가능</t>
        </is>
      </c>
      <c r="P301" s="6">
        <f>HYPERLINK("https://fin.land.naver.com/articles/2655493745", "매물Link")</f>
        <v/>
      </c>
      <c r="Q301" s="6">
        <f>HYPERLINK("https://map.naver.com/p/search/남이면 가좌리 134-1", "지도Link")</f>
        <v/>
      </c>
      <c r="R301" s="6">
        <f>HYPERLINK("http://www.eum.go.kr/web/ar/lu/luLandDet.jsp?pnu=4311231036101340001&amp;isNoScr=script&amp;mode=search", "토지이음")</f>
        <v/>
      </c>
      <c r="S301" s="3" t="inlineStr">
        <is>
          <t>테크노조은</t>
        </is>
      </c>
      <c r="T301" s="4" t="n">
        <v>1</v>
      </c>
      <c r="U301" s="5" t="n">
        <v>72.40000000000001</v>
      </c>
      <c r="V301" s="4" t="n">
        <v>518</v>
      </c>
      <c r="W301" s="3" t="inlineStr">
        <is>
          <t>보전녹지지역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남이면 가좌리 134-25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35000</v>
      </c>
      <c r="H302" s="4" t="n">
        <v>0</v>
      </c>
      <c r="I302" s="4" t="n">
        <v>651</v>
      </c>
      <c r="J302" s="4" t="n">
        <v>197</v>
      </c>
      <c r="K302" s="5" t="n">
        <v>177.7</v>
      </c>
      <c r="L302" s="4" t="n">
        <v>76</v>
      </c>
      <c r="M302" s="4" t="n">
        <v>23</v>
      </c>
      <c r="N302" s="5" t="n">
        <v>1521.7</v>
      </c>
      <c r="O302" s="3" t="inlineStr">
        <is>
          <t>남향, 전원주택복층, 방2, 욕실2, 태양광3K, 입주협의가능</t>
        </is>
      </c>
      <c r="P302" s="6">
        <f>HYPERLINK("https://fin.land.naver.com/articles/2651866891", "매물Link")</f>
        <v/>
      </c>
      <c r="Q302" s="6">
        <f>HYPERLINK("https://map.naver.com/p/search/남이면 가좌리 134-25", "지도Link")</f>
        <v/>
      </c>
      <c r="R302" s="6">
        <f>HYPERLINK("http://www.eum.go.kr/web/ar/lu/luLandDet.jsp?pnu=4311231036101340025&amp;isNoScr=script&amp;mode=search", "토지이음")</f>
        <v/>
      </c>
      <c r="S302" s="3" t="inlineStr">
        <is>
          <t>길</t>
        </is>
      </c>
      <c r="T302" s="4" t="n">
        <v>1</v>
      </c>
      <c r="U302" s="5" t="n">
        <v>66.2</v>
      </c>
      <c r="V302" s="4" t="n">
        <v>651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남이면 가좌리 134-28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전세</t>
        </is>
      </c>
      <c r="G303" s="4" t="n">
        <v>33000</v>
      </c>
      <c r="H303" s="4" t="n">
        <v>0</v>
      </c>
      <c r="I303" s="4" t="n">
        <v>507</v>
      </c>
      <c r="J303" s="4" t="n">
        <v>153</v>
      </c>
      <c r="K303" s="5" t="n">
        <v>215.7</v>
      </c>
      <c r="L303" s="4" t="n">
        <v>152</v>
      </c>
      <c r="M303" s="4" t="n">
        <v>46</v>
      </c>
      <c r="N303" s="5" t="n">
        <v>717.4</v>
      </c>
      <c r="O303" s="3" t="inlineStr">
        <is>
          <t>남이면 가좌리 2층전원주택 전세</t>
        </is>
      </c>
      <c r="P303" s="6">
        <f>HYPERLINK("https://fin.land.naver.com/articles/2650200157", "매물Link")</f>
        <v/>
      </c>
      <c r="Q303" s="6">
        <f>HYPERLINK("https://map.naver.com/p/search/남이면 가좌리 134-28", "지도Link")</f>
        <v/>
      </c>
      <c r="R303" s="6">
        <f>HYPERLINK("http://www.eum.go.kr/web/ar/lu/luLandDet.jsp?pnu=4311231036101340028&amp;isNoScr=script&amp;mode=search", "토지이음")</f>
        <v/>
      </c>
      <c r="S303" s="3" t="inlineStr">
        <is>
          <t>온나라</t>
        </is>
      </c>
      <c r="T303" s="4" t="n">
        <v>1</v>
      </c>
      <c r="U303" s="5" t="n">
        <v>74</v>
      </c>
      <c r="V303" s="4" t="n">
        <v>507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사다리형</t>
        </is>
      </c>
      <c r="AA303" s="3" t="inlineStr">
        <is>
          <t>세로각지(가)</t>
        </is>
      </c>
    </row>
    <row r="304">
      <c r="A304" s="3" t="inlineStr">
        <is>
          <t>남이면 가좌리 134-28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39000</v>
      </c>
      <c r="H304" s="4" t="n">
        <v>0</v>
      </c>
      <c r="I304" s="4" t="n">
        <v>507</v>
      </c>
      <c r="J304" s="4" t="n">
        <v>153</v>
      </c>
      <c r="K304" s="5" t="n">
        <v>254.9</v>
      </c>
      <c r="L304" s="4" t="n">
        <v>152</v>
      </c>
      <c r="M304" s="4" t="n">
        <v>46</v>
      </c>
      <c r="N304" s="5" t="n">
        <v>847.8</v>
      </c>
      <c r="O304" s="3" t="inlineStr">
        <is>
          <t>도심과 가까운 전원주택 즉시입주가능 작은 텃밥도 있어요</t>
        </is>
      </c>
      <c r="P304" s="6">
        <f>HYPERLINK("https://fin.land.naver.com/articles/2651004762", "매물Link")</f>
        <v/>
      </c>
      <c r="Q304" s="6">
        <f>HYPERLINK("https://map.naver.com/p/search/남이면 가좌리 134-28", "지도Link")</f>
        <v/>
      </c>
      <c r="R304" s="6">
        <f>HYPERLINK("http://www.eum.go.kr/web/ar/lu/luLandDet.jsp?pnu=4311231036101340028&amp;isNoScr=script&amp;mode=search", "토지이음")</f>
        <v/>
      </c>
      <c r="S304" s="3" t="inlineStr">
        <is>
          <t>이로운 사무소</t>
        </is>
      </c>
      <c r="T304" s="4" t="n">
        <v>1</v>
      </c>
      <c r="U304" s="5" t="n">
        <v>74</v>
      </c>
      <c r="V304" s="4" t="n">
        <v>507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가좌리 134-33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465</v>
      </c>
      <c r="J305" s="4" t="n">
        <v>141</v>
      </c>
      <c r="K305" s="5" t="n">
        <v>248.2</v>
      </c>
      <c r="L305" s="4" t="n">
        <v>103</v>
      </c>
      <c r="M305" s="4" t="n">
        <v>31</v>
      </c>
      <c r="N305" s="5" t="n">
        <v>1129</v>
      </c>
      <c r="O305" s="3" t="inlineStr">
        <is>
          <t>남이면 가좌리 늘품마을 전원주택매매</t>
        </is>
      </c>
      <c r="P305" s="6">
        <f>HYPERLINK("https://fin.land.naver.com/articles/2652563282", "매물Link")</f>
        <v/>
      </c>
      <c r="Q305" s="6">
        <f>HYPERLINK("https://map.naver.com/p/search/남이면 가좌리 134-33", "지도Link")</f>
        <v/>
      </c>
      <c r="R305" s="6">
        <f>HYPERLINK("http://www.eum.go.kr/web/ar/lu/luLandDet.jsp?pnu=4311231036101340033&amp;isNoScr=script&amp;mode=search", "토지이음")</f>
        <v/>
      </c>
      <c r="S305" s="3" t="inlineStr">
        <is>
          <t>세원</t>
        </is>
      </c>
      <c r="T305" s="4" t="n">
        <v>2</v>
      </c>
      <c r="U305" s="5" t="n">
        <v>71.8</v>
      </c>
      <c r="V305" s="4" t="n">
        <v>465</v>
      </c>
      <c r="W305" s="3" t="inlineStr">
        <is>
          <t>보전녹지지역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134-36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39900</v>
      </c>
      <c r="H306" s="4" t="n">
        <v>0</v>
      </c>
      <c r="I306" s="4" t="n">
        <v>472</v>
      </c>
      <c r="J306" s="4" t="n">
        <v>143</v>
      </c>
      <c r="K306" s="5" t="n">
        <v>279</v>
      </c>
      <c r="L306" s="4" t="n">
        <v>143</v>
      </c>
      <c r="M306" s="4" t="n">
        <v>43</v>
      </c>
      <c r="N306" s="5" t="n">
        <v>927.9</v>
      </c>
      <c r="O306" s="3" t="inlineStr">
        <is>
          <t>가좌리 인테리어 한 깔끔한 매물 즉시입주가능</t>
        </is>
      </c>
      <c r="P306" s="6">
        <f>HYPERLINK("https://fin.land.naver.com/articles/2654841993", "매물Link")</f>
        <v/>
      </c>
      <c r="Q306" s="6">
        <f>HYPERLINK("https://map.naver.com/p/search/남이면 가좌리 134-36", "지도Link")</f>
        <v/>
      </c>
      <c r="R306" s="6">
        <f>HYPERLINK("http://www.eum.go.kr/web/ar/lu/luLandDet.jsp?pnu=4311231036101340036&amp;isNoScr=script&amp;mode=search", "토지이음")</f>
        <v/>
      </c>
      <c r="S306" s="3" t="inlineStr">
        <is>
          <t>학사</t>
        </is>
      </c>
      <c r="T306" s="4" t="n">
        <v>1</v>
      </c>
      <c r="U306" s="5" t="n">
        <v>66.8</v>
      </c>
      <c r="V306" s="4" t="n">
        <v>472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세로장방</t>
        </is>
      </c>
      <c r="AA306" s="3" t="inlineStr">
        <is>
          <t>세로한면(가)</t>
        </is>
      </c>
    </row>
    <row r="307">
      <c r="A307" s="3" t="inlineStr">
        <is>
          <t>남이면 가좌리 223-4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39000</v>
      </c>
      <c r="H307" s="4" t="n">
        <v>0</v>
      </c>
      <c r="I307" s="4" t="n">
        <v>510</v>
      </c>
      <c r="J307" s="4" t="n">
        <v>154</v>
      </c>
      <c r="K307" s="5" t="n">
        <v>253.2</v>
      </c>
      <c r="L307" s="4" t="n">
        <v>97</v>
      </c>
      <c r="M307" s="4" t="n">
        <v>29</v>
      </c>
      <c r="N307" s="5" t="n">
        <v>1344.8</v>
      </c>
      <c r="O307" s="3" t="inlineStr">
        <is>
          <t>청주시 인근 마당과 정원이 예쁜 1층 단독주택</t>
        </is>
      </c>
      <c r="P307" s="6">
        <f>HYPERLINK("https://fin.land.naver.com/articles/2655454095", "매물Link")</f>
        <v/>
      </c>
      <c r="Q307" s="6">
        <f>HYPERLINK("https://map.naver.com/p/search/남이면 가좌리 223-4", "지도Link")</f>
        <v/>
      </c>
      <c r="R307" s="6">
        <f>HYPERLINK("http://www.eum.go.kr/web/ar/lu/luLandDet.jsp?pnu=4311231036102230004&amp;isNoScr=script&amp;mode=search", "토지이음")</f>
        <v/>
      </c>
      <c r="S307" s="3" t="inlineStr">
        <is>
          <t>청주원</t>
        </is>
      </c>
      <c r="T307" s="4" t="n">
        <v>1</v>
      </c>
      <c r="U307" s="5" t="n">
        <v>69</v>
      </c>
      <c r="V307" s="4" t="n">
        <v>510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어덕마을 전원주택단지내 막힘없는뷰</t>
        </is>
      </c>
      <c r="P308" s="6">
        <f>HYPERLINK("https://fin.land.naver.com/articles/2654838947",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학사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갈원리 137-8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68000</v>
      </c>
      <c r="H310" s="4" t="n">
        <v>0</v>
      </c>
      <c r="I310" s="4" t="n">
        <v>656</v>
      </c>
      <c r="J310" s="4" t="n">
        <v>198</v>
      </c>
      <c r="K310" s="5" t="n">
        <v>343.4</v>
      </c>
      <c r="L310" s="4" t="n">
        <v>184</v>
      </c>
      <c r="M310" s="4" t="n">
        <v>56</v>
      </c>
      <c r="N310" s="5" t="n">
        <v>1214.3</v>
      </c>
      <c r="O310" s="3" t="inlineStr">
        <is>
          <t>초등학교 바로 옆 전원주택 매매</t>
        </is>
      </c>
      <c r="P310" s="6">
        <f>HYPERLINK("https://fin.land.naver.com/articles/2654268122", "매물Link")</f>
        <v/>
      </c>
      <c r="Q310" s="6">
        <f>HYPERLINK("https://map.naver.com/p/search/남이면 갈원리 137-8", "지도Link")</f>
        <v/>
      </c>
      <c r="R310" s="6">
        <f>HYPERLINK("http://www.eum.go.kr/web/ar/lu/luLandDet.jsp?pnu=4311231029101370008&amp;isNoScr=script&amp;mode=search", "토지이음")</f>
        <v/>
      </c>
      <c r="S310" s="3" t="inlineStr">
        <is>
          <t>학사</t>
        </is>
      </c>
      <c r="T310" s="4" t="n">
        <v>2</v>
      </c>
      <c r="U310" s="5" t="n">
        <v>37.5</v>
      </c>
      <c r="V310" s="4" t="n">
        <v>656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세로각지(가)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143-10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180000</v>
      </c>
      <c r="H312" s="4" t="n">
        <v>0</v>
      </c>
      <c r="I312" s="4" t="n">
        <v>1789</v>
      </c>
      <c r="J312" s="4" t="n">
        <v>541</v>
      </c>
      <c r="K312" s="5" t="n">
        <v>332.7</v>
      </c>
      <c r="L312" s="4" t="n">
        <v>390</v>
      </c>
      <c r="M312" s="4" t="n">
        <v>118</v>
      </c>
      <c r="N312" s="5" t="n">
        <v>1525.4</v>
      </c>
      <c r="O312" s="3" t="inlineStr">
        <is>
          <t>대가족가능 대지542p 신축급 전원주택 2동 일괄매매 가격조율협의가능</t>
        </is>
      </c>
      <c r="P312" s="6">
        <f>HYPERLINK("https://fin.land.naver.com/articles/2652943213", "매물Link")</f>
        <v/>
      </c>
      <c r="Q312" s="6">
        <f>HYPERLINK("https://map.naver.com/p/search/남이면 갈원리 143-10", "지도Link")</f>
        <v/>
      </c>
      <c r="R312" s="6">
        <f>HYPERLINK("http://www.eum.go.kr/web/ar/lu/luLandDet.jsp?pnu=4311231029101430010&amp;isNoScr=script&amp;mode=search", "토지이음")</f>
        <v/>
      </c>
      <c r="S312" s="3" t="inlineStr">
        <is>
          <t>세종스타</t>
        </is>
      </c>
      <c r="T312" s="4" t="n">
        <v>1</v>
      </c>
      <c r="U312" s="5" t="n">
        <v>36.7</v>
      </c>
      <c r="V312" s="4" t="n">
        <v>1171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세로한면(가)</t>
        </is>
      </c>
    </row>
    <row r="313">
      <c r="A313" s="3" t="inlineStr">
        <is>
          <t>남이면 문동리 21-2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55000</v>
      </c>
      <c r="H313" s="4" t="n">
        <v>0</v>
      </c>
      <c r="I313" s="4" t="n">
        <v>561</v>
      </c>
      <c r="J313" s="4" t="n">
        <v>170</v>
      </c>
      <c r="K313" s="5" t="n">
        <v>323.5</v>
      </c>
      <c r="L313" s="4" t="n">
        <v>165</v>
      </c>
      <c r="M313" s="4" t="n">
        <v>50</v>
      </c>
      <c r="N313" s="5" t="n">
        <v>1100</v>
      </c>
      <c r="O313" s="3" t="inlineStr">
        <is>
          <t>넓은토지 높은층고 저렴한 매물</t>
        </is>
      </c>
      <c r="P313" s="6">
        <f>HYPERLINK("https://fin.land.naver.com/articles/2651872408", "매물Link")</f>
        <v/>
      </c>
      <c r="Q313" s="6">
        <f>HYPERLINK("https://map.naver.com/p/search/남이면 문동리 21-2", "지도Link")</f>
        <v/>
      </c>
      <c r="R313" s="6">
        <f>HYPERLINK("http://www.eum.go.kr/web/ar/lu/luLandDet.jsp?pnu=4311231023100210002&amp;isNoScr=script&amp;mode=search",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37.3</v>
      </c>
      <c r="V313" s="4" t="n">
        <v>561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남이면 부용외천리 1066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30000</v>
      </c>
      <c r="H314" s="4" t="n">
        <v>0</v>
      </c>
      <c r="I314" s="4" t="n">
        <v>529</v>
      </c>
      <c r="J314" s="4" t="n">
        <v>160</v>
      </c>
      <c r="K314" s="5" t="n">
        <v>187.5</v>
      </c>
      <c r="L314" s="4" t="n">
        <v>86</v>
      </c>
      <c r="M314" s="4" t="n">
        <v>26</v>
      </c>
      <c r="N314" s="5" t="n">
        <v>1153.8</v>
      </c>
      <c r="O314" s="3" t="inlineStr">
        <is>
          <t>내,외부샤시 교체, 내부 올수리함, 시스템에어컨설치,조용한전원생활을원하시</t>
        </is>
      </c>
      <c r="P314" s="6">
        <f>HYPERLINK("https://fin.land.naver.com/articles/2654923530", "매물Link")</f>
        <v/>
      </c>
      <c r="Q314" s="6">
        <f>HYPERLINK("https://map.naver.com/p/search/남이면 부용외천리 1066", "지도Link")</f>
        <v/>
      </c>
      <c r="R314" s="6">
        <f>HYPERLINK("http://www.eum.go.kr/web/ar/lu/luLandDet.jsp?pnu=4311231040110660000&amp;isNoScr=script&amp;mode=search", "토지이음")</f>
        <v/>
      </c>
      <c r="S314" s="3" t="inlineStr">
        <is>
          <t>건영</t>
        </is>
      </c>
      <c r="T314" s="4" t="n">
        <v>1</v>
      </c>
      <c r="U314" s="5" t="n">
        <v>57.7</v>
      </c>
      <c r="V314" s="4" t="n">
        <v>529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남이면 부용외천리 414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30000</v>
      </c>
      <c r="H315" s="4" t="n">
        <v>0</v>
      </c>
      <c r="I315" s="4" t="n">
        <v>574</v>
      </c>
      <c r="J315" s="4" t="n">
        <v>174</v>
      </c>
      <c r="K315" s="5" t="n">
        <v>172.4</v>
      </c>
      <c r="L315" s="4" t="n">
        <v>99</v>
      </c>
      <c r="M315" s="4" t="n">
        <v>30</v>
      </c>
      <c r="N315" s="5" t="n">
        <v>1000</v>
      </c>
      <c r="O315" s="3" t="inlineStr">
        <is>
          <t>nan</t>
        </is>
      </c>
      <c r="P315" s="6">
        <f>HYPERLINK("https://fin.land.naver.com/articles/2651678918", "매물Link")</f>
        <v/>
      </c>
      <c r="Q315" s="6">
        <f>HYPERLINK("https://map.naver.com/p/search/남이면 부용외천리 414", "지도Link")</f>
        <v/>
      </c>
      <c r="R315" s="6">
        <f>HYPERLINK("http://www.eum.go.kr/web/ar/lu/luLandDet.jsp?pnu=4311231040104140000&amp;isNoScr=script&amp;mode=search", "토지이음")</f>
        <v/>
      </c>
      <c r="S315" s="3" t="inlineStr">
        <is>
          <t>거상</t>
        </is>
      </c>
      <c r="T315" s="4" t="n">
        <v>1</v>
      </c>
      <c r="U315" s="5" t="n">
        <v>32.8</v>
      </c>
      <c r="V315" s="4" t="n">
        <v>574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남이면 부용외천리 748-3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28000</v>
      </c>
      <c r="H316" s="4" t="n">
        <v>0</v>
      </c>
      <c r="I316" s="4" t="n">
        <v>566</v>
      </c>
      <c r="J316" s="4" t="n">
        <v>171</v>
      </c>
      <c r="K316" s="5" t="n">
        <v>163.7</v>
      </c>
      <c r="L316" s="4" t="n">
        <v>98</v>
      </c>
      <c r="M316" s="4" t="n">
        <v>30</v>
      </c>
      <c r="N316" s="5" t="n">
        <v>933.3</v>
      </c>
      <c r="O316" s="3" t="inlineStr">
        <is>
          <t>전원주택 급매매,  즉시입주 가능</t>
        </is>
      </c>
      <c r="P316" s="6">
        <f>HYPERLINK("https://fin.land.naver.com/articles/2650983192", "매물Link")</f>
        <v/>
      </c>
      <c r="Q316" s="6">
        <f>HYPERLINK("https://map.naver.com/p/search/남이면 부용외천리 748-3", "지도Link")</f>
        <v/>
      </c>
      <c r="R316" s="6">
        <f>HYPERLINK("http://www.eum.go.kr/web/ar/lu/luLandDet.jsp?pnu=4311231040107480003&amp;isNoScr=script&amp;mode=search", "토지이음")</f>
        <v/>
      </c>
      <c r="S316" s="3" t="inlineStr">
        <is>
          <t>산남태강</t>
        </is>
      </c>
      <c r="T316" s="4" t="n">
        <v>1</v>
      </c>
      <c r="U316" s="5" t="n">
        <v>32</v>
      </c>
      <c r="V316" s="4" t="n">
        <v>566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비룡리 162-1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14000</v>
      </c>
      <c r="H317" s="4" t="n">
        <v>0</v>
      </c>
      <c r="I317" s="4" t="n">
        <v>451</v>
      </c>
      <c r="J317" s="4" t="n">
        <v>136</v>
      </c>
      <c r="K317" s="5" t="n">
        <v>102.9</v>
      </c>
      <c r="L317" s="4" t="n">
        <v>103</v>
      </c>
      <c r="M317" s="4" t="n">
        <v>31</v>
      </c>
      <c r="N317" s="5" t="n">
        <v>451.6</v>
      </c>
      <c r="O317" s="3" t="inlineStr">
        <is>
          <t>nan</t>
        </is>
      </c>
      <c r="P317" s="6">
        <f>HYPERLINK("https://fin.land.naver.com/articles/2651641280", "매물Link")</f>
        <v/>
      </c>
      <c r="Q317" s="6">
        <f>HYPERLINK("https://map.naver.com/p/search/남이면 비룡리 162-1", "지도Link")</f>
        <v/>
      </c>
      <c r="R317" s="6">
        <f>HYPERLINK("http://www.eum.go.kr/web/ar/lu/luLandDet.jsp?pnu=4311231026101620001&amp;isNoScr=script&amp;mode=search", "토지이음")</f>
        <v/>
      </c>
      <c r="S317" s="3" t="inlineStr">
        <is>
          <t>(뉴)늘푸른</t>
        </is>
      </c>
      <c r="T317" s="4" t="n">
        <v>1</v>
      </c>
      <c r="U317" s="5" t="n">
        <v>33</v>
      </c>
      <c r="V317" s="4" t="n">
        <v>451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세로한면(불)</t>
        </is>
      </c>
    </row>
    <row r="318">
      <c r="A318" s="3" t="inlineStr">
        <is>
          <t>남이면 사동리 35-2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27000</v>
      </c>
      <c r="H318" s="4" t="n">
        <v>0</v>
      </c>
      <c r="I318" s="4" t="n">
        <v>845</v>
      </c>
      <c r="J318" s="4" t="n">
        <v>256</v>
      </c>
      <c r="K318" s="5" t="n">
        <v>105.5</v>
      </c>
      <c r="L318" s="4" t="n">
        <v>98</v>
      </c>
      <c r="M318" s="4" t="n">
        <v>30</v>
      </c>
      <c r="N318" s="5" t="n">
        <v>900</v>
      </c>
      <c r="O318" s="3" t="inlineStr">
        <is>
          <t>사동리 접근성이 용이하고 조용한 위치의 잘 지어진 전원주택이예요</t>
        </is>
      </c>
      <c r="P318" s="6">
        <f>HYPERLINK("https://fin.land.naver.com/articles/2650725274", "매물Link")</f>
        <v/>
      </c>
      <c r="Q318" s="6">
        <f>HYPERLINK("https://map.naver.com/p/search/남이면 사동리 35-2", "지도Link")</f>
        <v/>
      </c>
      <c r="R318" s="6">
        <f>HYPERLINK("http://www.eum.go.kr/web/ar/lu/luLandDet.jsp?pnu=4311231028100350002&amp;isNoScr=script&amp;mode=search", "토지이음")</f>
        <v/>
      </c>
      <c r="S318" s="3" t="inlineStr">
        <is>
          <t>4989명품</t>
        </is>
      </c>
      <c r="T318" s="4" t="n">
        <v>1</v>
      </c>
      <c r="U318" s="5" t="n">
        <v>44.2</v>
      </c>
      <c r="V318" s="4" t="n">
        <v>635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산막리 387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상가주택</t>
        </is>
      </c>
      <c r="F320" s="3" t="inlineStr">
        <is>
          <t>매매</t>
        </is>
      </c>
      <c r="G320" s="4" t="n">
        <v>53000</v>
      </c>
      <c r="H320" s="4" t="n">
        <v>0</v>
      </c>
      <c r="I320" s="4" t="n">
        <v>3633</v>
      </c>
      <c r="J320" s="4" t="n">
        <v>1099</v>
      </c>
      <c r="K320" s="5" t="n">
        <v>48.2</v>
      </c>
      <c r="L320" s="4" t="n">
        <v>121</v>
      </c>
      <c r="M320" s="4" t="n">
        <v>37</v>
      </c>
      <c r="N320" s="5" t="n">
        <v>1432.4</v>
      </c>
      <c r="O320" s="3" t="inlineStr">
        <is>
          <t>청정지역 양지바른 낮은산자락접 근생음식점주택 농장 급매 5.3억</t>
        </is>
      </c>
      <c r="P320" s="6">
        <f>HYPERLINK("https://fin.land.naver.com/articles/2654634484", "매물Link")</f>
        <v/>
      </c>
      <c r="Q320" s="6">
        <f>HYPERLINK("https://map.naver.com/p/search/남이면 산막리 387", "지도Link")</f>
        <v/>
      </c>
      <c r="R320" s="6">
        <f>HYPERLINK("http://www.eum.go.kr/web/ar/lu/luLandDet.jsp?pnu=4311231025103870000&amp;isNoScr=script&amp;mode=search", "토지이음")</f>
        <v/>
      </c>
      <c r="S320" s="3" t="inlineStr">
        <is>
          <t>알짜</t>
        </is>
      </c>
      <c r="T320" s="4" t="n">
        <v>1</v>
      </c>
      <c r="U320" s="5" t="n">
        <v>37.8</v>
      </c>
      <c r="V320" s="4" t="n">
        <v>650</v>
      </c>
      <c r="W320" s="3" t="inlineStr">
        <is>
          <t>지정되지않음</t>
        </is>
      </c>
      <c r="X320" s="3" t="inlineStr">
        <is>
          <t>주상용</t>
        </is>
      </c>
      <c r="Y320" s="3" t="inlineStr">
        <is>
          <t>완경사</t>
        </is>
      </c>
      <c r="Z320" s="3" t="inlineStr">
        <is>
          <t>사다리형</t>
        </is>
      </c>
      <c r="AA320" s="3" t="inlineStr">
        <is>
          <t>세로한면(가)</t>
        </is>
      </c>
    </row>
    <row r="321">
      <c r="A321" s="3" t="inlineStr">
        <is>
          <t>남이면 산막리 52-2</t>
        </is>
      </c>
      <c r="B321" s="3" t="inlineStr">
        <is>
          <t>생산관리지역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25000</v>
      </c>
      <c r="H321" s="4" t="n">
        <v>0</v>
      </c>
      <c r="I321" s="4" t="n">
        <v>980</v>
      </c>
      <c r="J321" s="4" t="n">
        <v>296</v>
      </c>
      <c r="K321" s="5" t="n">
        <v>84.5</v>
      </c>
      <c r="L321" s="4" t="n">
        <v>178</v>
      </c>
      <c r="M321" s="4" t="n">
        <v>54</v>
      </c>
      <c r="N321" s="5" t="n">
        <v>463</v>
      </c>
      <c r="O321" s="3" t="inlineStr">
        <is>
          <t>상태좋은 전원주택 부속창고도 잘 되어 있어요</t>
        </is>
      </c>
      <c r="P321" s="6">
        <f>HYPERLINK("https://fin.land.naver.com/articles/2652399833", "매물Link")</f>
        <v/>
      </c>
      <c r="Q321" s="6">
        <f>HYPERLINK("https://map.naver.com/p/search/남이면 산막리 52-2", "지도Link")</f>
        <v/>
      </c>
      <c r="R321" s="6">
        <f>HYPERLINK("http://www.eum.go.kr/web/ar/lu/luLandDet.jsp?pnu=4311231025100520002&amp;isNoScr=script&amp;mode=search", "토지이음")</f>
        <v/>
      </c>
      <c r="S321" s="3" t="inlineStr">
        <is>
          <t>힐데스하임</t>
        </is>
      </c>
      <c r="T321" s="4" t="n">
        <v>1</v>
      </c>
      <c r="U321" s="5" t="n">
        <v>16.5</v>
      </c>
      <c r="V321" s="4" t="n">
        <v>980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상발리 107-7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433</v>
      </c>
      <c r="J322" s="4" t="n">
        <v>131</v>
      </c>
      <c r="K322" s="5" t="n">
        <v>297.7</v>
      </c>
      <c r="L322" s="4" t="n">
        <v>148</v>
      </c>
      <c r="M322" s="4" t="n">
        <v>45</v>
      </c>
      <c r="N322" s="5" t="n">
        <v>866.7</v>
      </c>
      <c r="O322" s="3" t="inlineStr">
        <is>
          <t>남이면 전원마을,남향,햇빛따뜻,일반철골구조,빠른입주협의,난방LPG</t>
        </is>
      </c>
      <c r="P322" s="6">
        <f>HYPERLINK("https://fin.land.naver.com/articles/2651719985", "매물Link")</f>
        <v/>
      </c>
      <c r="Q322" s="6">
        <f>HYPERLINK("https://map.naver.com/p/search/남이면 상발리 107-7", "지도Link")</f>
        <v/>
      </c>
      <c r="R322" s="6">
        <f>HYPERLINK("http://www.eum.go.kr/web/ar/lu/luLandDet.jsp?pnu=4311231031101070007&amp;isNoScr=script&amp;mode=search", "토지이음")</f>
        <v/>
      </c>
      <c r="S322" s="3" t="inlineStr">
        <is>
          <t>금호무소</t>
        </is>
      </c>
      <c r="T322" s="4" t="n">
        <v>1</v>
      </c>
      <c r="U322" s="5" t="n">
        <v>52.6</v>
      </c>
      <c r="V322" s="4" t="n">
        <v>433</v>
      </c>
      <c r="W322" s="3" t="inlineStr">
        <is>
          <t>자연녹지지역</t>
        </is>
      </c>
      <c r="X322" s="3" t="inlineStr">
        <is>
          <t>주거나지</t>
        </is>
      </c>
      <c r="Y322" s="3" t="inlineStr">
        <is>
          <t>완경사</t>
        </is>
      </c>
      <c r="Z322" s="3" t="inlineStr">
        <is>
          <t>자루형</t>
        </is>
      </c>
      <c r="AA322" s="3" t="inlineStr">
        <is>
          <t>세로한면(가)</t>
        </is>
      </c>
    </row>
    <row r="323">
      <c r="A323" s="3" t="inlineStr">
        <is>
          <t>남이면 석판리 11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상가주택</t>
        </is>
      </c>
      <c r="F323" s="3" t="inlineStr">
        <is>
          <t>매매</t>
        </is>
      </c>
      <c r="G323" s="4" t="n">
        <v>50000</v>
      </c>
      <c r="H323" s="4" t="n">
        <v>0</v>
      </c>
      <c r="I323" s="4" t="n">
        <v>322</v>
      </c>
      <c r="J323" s="4" t="n">
        <v>97</v>
      </c>
      <c r="K323" s="5" t="n">
        <v>515.5</v>
      </c>
      <c r="L323" s="4" t="n">
        <v>119</v>
      </c>
      <c r="M323" s="4" t="n">
        <v>36</v>
      </c>
      <c r="N323" s="5" t="n">
        <v>1388.9</v>
      </c>
      <c r="O323" s="3" t="inlineStr">
        <is>
          <t>4차선도로접</t>
        </is>
      </c>
      <c r="P323" s="6">
        <f>HYPERLINK("https://fin.land.naver.com/articles/2654657293", "매물Link")</f>
        <v/>
      </c>
      <c r="Q323" s="6">
        <f>HYPERLINK("https://map.naver.com/p/search/남이면 석판리 11", "지도Link")</f>
        <v/>
      </c>
      <c r="R323" s="6">
        <f>HYPERLINK("http://www.eum.go.kr/web/ar/lu/luLandDet.jsp?pnu=4311231034100110000&amp;isNoScr=script&amp;mode=search", "토지이음")</f>
        <v/>
      </c>
      <c r="S323" s="3" t="inlineStr">
        <is>
          <t>청주합동</t>
        </is>
      </c>
      <c r="T323" s="4" t="n">
        <v>1</v>
      </c>
      <c r="U323" s="5" t="n">
        <v>216.5</v>
      </c>
      <c r="V323" s="4" t="n">
        <v>266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남이면 석판리 25-37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75000</v>
      </c>
      <c r="H324" s="4" t="n">
        <v>0</v>
      </c>
      <c r="I324" s="4" t="n">
        <v>600</v>
      </c>
      <c r="J324" s="4" t="n">
        <v>182</v>
      </c>
      <c r="K324" s="5" t="n">
        <v>412.1</v>
      </c>
      <c r="L324" s="4" t="n">
        <v>222</v>
      </c>
      <c r="M324" s="4" t="n">
        <v>67</v>
      </c>
      <c r="N324" s="5" t="n">
        <v>1119.4</v>
      </c>
      <c r="O324" s="3" t="inlineStr">
        <is>
          <t>청주시내권  석판리  귀한 전원주택  복층형구조  아주 관리 잘된집</t>
        </is>
      </c>
      <c r="P324" s="6">
        <f>HYPERLINK("https://fin.land.naver.com/articles/2652735230", "매물Link")</f>
        <v/>
      </c>
      <c r="Q324" s="6">
        <f>HYPERLINK("https://map.naver.com/p/search/남이면 석판리 25-37", "지도Link")</f>
        <v/>
      </c>
      <c r="R324" s="6">
        <f>HYPERLINK("http://www.eum.go.kr/web/ar/lu/luLandDet.jsp?pnu=4311231034100250037&amp;isNoScr=script&amp;mode=search", "토지이음")</f>
        <v/>
      </c>
      <c r="S324" s="3" t="inlineStr">
        <is>
          <t>산남현진에버빌</t>
        </is>
      </c>
      <c r="T324" s="4" t="n">
        <v>1</v>
      </c>
      <c r="U324" s="5" t="n">
        <v>106.4</v>
      </c>
      <c r="V324" s="4" t="n">
        <v>600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석판리 305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95000</v>
      </c>
      <c r="H325" s="4" t="n">
        <v>0</v>
      </c>
      <c r="I325" s="4" t="n">
        <v>902</v>
      </c>
      <c r="J325" s="4" t="n">
        <v>273</v>
      </c>
      <c r="K325" s="5" t="n">
        <v>348</v>
      </c>
      <c r="L325" s="4" t="n">
        <v>228</v>
      </c>
      <c r="M325" s="4" t="n">
        <v>69</v>
      </c>
      <c r="N325" s="5" t="n">
        <v>1376.8</v>
      </c>
      <c r="O325" s="3" t="inlineStr">
        <is>
          <t>파격급매 력셔리한 신축 전원주택 매매</t>
        </is>
      </c>
      <c r="P325" s="6">
        <f>HYPERLINK("https://fin.land.naver.com/articles/2654776576", "매물Link")</f>
        <v/>
      </c>
      <c r="Q325" s="6">
        <f>HYPERLINK("https://map.naver.com/p/search/남이면 석판리 305", "지도Link")</f>
        <v/>
      </c>
      <c r="R325" s="6">
        <f>HYPERLINK("http://www.eum.go.kr/web/ar/lu/luLandDet.jsp?pnu=4311231034103050000&amp;isNoScr=script&amp;mode=search", "토지이음")</f>
        <v/>
      </c>
      <c r="S325" s="3" t="inlineStr">
        <is>
          <t>청주 합동</t>
        </is>
      </c>
      <c r="T325" s="4" t="n">
        <v>1</v>
      </c>
      <c r="U325" s="5" t="n">
        <v>75.90000000000001</v>
      </c>
      <c r="V325" s="4" t="n">
        <v>902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95000</v>
      </c>
      <c r="H326" s="4" t="n">
        <v>0</v>
      </c>
      <c r="I326" s="4" t="n">
        <v>902</v>
      </c>
      <c r="J326" s="4" t="n">
        <v>273</v>
      </c>
      <c r="K326" s="5" t="n">
        <v>348</v>
      </c>
      <c r="L326" s="4" t="n">
        <v>226</v>
      </c>
      <c r="M326" s="4" t="n">
        <v>68</v>
      </c>
      <c r="N326" s="5" t="n">
        <v>1397.1</v>
      </c>
      <c r="O326" s="3" t="inlineStr">
        <is>
          <t>사진有 급매 남이면 석판리 고급전원주택매매.시스템에어컨.도심접근성좋은곳</t>
        </is>
      </c>
      <c r="P326" s="6">
        <f>HYPERLINK("https://fin.land.naver.com/articles/2651216398",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행복도시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110000</v>
      </c>
      <c r="H327" s="4" t="n">
        <v>0</v>
      </c>
      <c r="I327" s="4" t="n">
        <v>902</v>
      </c>
      <c r="J327" s="4" t="n">
        <v>273</v>
      </c>
      <c r="K327" s="5" t="n">
        <v>402.9</v>
      </c>
      <c r="L327" s="4" t="n">
        <v>226</v>
      </c>
      <c r="M327" s="4" t="n">
        <v>68</v>
      </c>
      <c r="N327" s="5" t="n">
        <v>1617.6</v>
      </c>
      <c r="O327" s="3" t="inlineStr">
        <is>
          <t>급매 접근성 좋은 지중해풍 멋진주택</t>
        </is>
      </c>
      <c r="P327" s="6">
        <f>HYPERLINK("https://fin.land.naver.com/articles/2654837912",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382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39000</v>
      </c>
      <c r="H328" s="4" t="n">
        <v>0</v>
      </c>
      <c r="I328" s="4" t="n">
        <v>483</v>
      </c>
      <c r="J328" s="4" t="n">
        <v>146</v>
      </c>
      <c r="K328" s="5" t="n">
        <v>267.1</v>
      </c>
      <c r="L328" s="4" t="n">
        <v>149</v>
      </c>
      <c r="M328" s="4" t="n">
        <v>45</v>
      </c>
      <c r="N328" s="5" t="n">
        <v>866.7</v>
      </c>
      <c r="O328" s="3" t="inlineStr">
        <is>
          <t>석판리 2층단독주택매매</t>
        </is>
      </c>
      <c r="P328" s="6">
        <f>HYPERLINK("https://fin.land.naver.com/articles/2655522337", "매물Link")</f>
        <v/>
      </c>
      <c r="Q328" s="6">
        <f>HYPERLINK("https://map.naver.com/p/search/남이면 석판리 382", "지도Link")</f>
        <v/>
      </c>
      <c r="R328" s="6">
        <f>HYPERLINK("http://www.eum.go.kr/web/ar/lu/luLandDet.jsp?pnu=4311231034103820000&amp;isNoScr=script&amp;mode=search", "토지이음")</f>
        <v/>
      </c>
      <c r="S328" s="3" t="inlineStr">
        <is>
          <t>원탑</t>
        </is>
      </c>
      <c r="T328" s="4" t="n">
        <v>1</v>
      </c>
      <c r="U328" s="5" t="n">
        <v>77.40000000000001</v>
      </c>
      <c r="V328" s="4" t="n">
        <v>483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석판리 47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73000</v>
      </c>
      <c r="H329" s="4" t="n">
        <v>0</v>
      </c>
      <c r="I329" s="4" t="n">
        <v>427</v>
      </c>
      <c r="J329" s="4" t="n">
        <v>129</v>
      </c>
      <c r="K329" s="5" t="n">
        <v>565.9</v>
      </c>
      <c r="L329" s="4" t="n">
        <v>205</v>
      </c>
      <c r="M329" s="4" t="n">
        <v>62</v>
      </c>
      <c r="N329" s="5" t="n">
        <v>1177.4</v>
      </c>
      <c r="O329" s="3" t="inlineStr">
        <is>
          <t>상태굿   입주협의   그림같은 전원주택</t>
        </is>
      </c>
      <c r="P329" s="6">
        <f>HYPERLINK("https://fin.land.naver.com/articles/2652389858", "매물Link")</f>
        <v/>
      </c>
      <c r="Q329" s="6">
        <f>HYPERLINK("https://map.naver.com/p/search/남이면 석판리 47", "지도Link")</f>
        <v/>
      </c>
      <c r="R329" s="6">
        <f>HYPERLINK("http://www.eum.go.kr/web/ar/lu/luLandDet.jsp?pnu=4311231034100470000&amp;isNoScr=script&amp;mode=search", "토지이음")</f>
        <v/>
      </c>
      <c r="S329" s="3" t="inlineStr">
        <is>
          <t>지웰시티합동</t>
        </is>
      </c>
      <c r="T329" s="4" t="n">
        <v>1</v>
      </c>
      <c r="U329" s="5" t="n">
        <v>82.2</v>
      </c>
      <c r="V329" s="4" t="n">
        <v>427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세로각지(가)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65-1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82000</v>
      </c>
      <c r="H331" s="4" t="n">
        <v>0</v>
      </c>
      <c r="I331" s="4" t="n">
        <v>1011</v>
      </c>
      <c r="J331" s="4" t="n">
        <v>306</v>
      </c>
      <c r="K331" s="5" t="n">
        <v>268</v>
      </c>
      <c r="L331" s="4" t="n">
        <v>97</v>
      </c>
      <c r="M331" s="4" t="n">
        <v>29</v>
      </c>
      <c r="N331" s="5" t="n">
        <v>2827.6</v>
      </c>
      <c r="O331" s="3" t="inlineStr">
        <is>
          <t>조경 잘되있고 마당 넓은집</t>
        </is>
      </c>
      <c r="P331" s="6">
        <f>HYPERLINK("https://fin.land.naver.com/articles/2653024347", "매물Link")</f>
        <v/>
      </c>
      <c r="Q331" s="6">
        <f>HYPERLINK("https://map.naver.com/p/search/남이면 석판리 65-1", "지도Link")</f>
        <v/>
      </c>
      <c r="R331" s="6">
        <f>HYPERLINK("http://www.eum.go.kr/web/ar/lu/luLandDet.jsp?pnu=4311231034100650001&amp;isNoScr=script&amp;mode=search", "토지이음")</f>
        <v/>
      </c>
      <c r="S331" s="3" t="inlineStr">
        <is>
          <t>대성합동사무소</t>
        </is>
      </c>
      <c r="T331" s="4" t="n">
        <v>1</v>
      </c>
      <c r="U331" s="5" t="n">
        <v>95.90000000000001</v>
      </c>
      <c r="V331" s="4" t="n">
        <v>160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65-5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60000</v>
      </c>
      <c r="H332" s="4" t="n">
        <v>0</v>
      </c>
      <c r="I332" s="4" t="n">
        <v>460</v>
      </c>
      <c r="J332" s="4" t="n">
        <v>139</v>
      </c>
      <c r="K332" s="5" t="n">
        <v>431.7</v>
      </c>
      <c r="L332" s="4" t="n">
        <v>142</v>
      </c>
      <c r="M332" s="4" t="n">
        <v>43</v>
      </c>
      <c r="N332" s="5" t="n">
        <v>1395.3</v>
      </c>
      <c r="O332" s="3" t="inlineStr">
        <is>
          <t>석판리 숲세권 힐링 하우스, 벽난로가 있는 모던 인테리어 최고급 주택</t>
        </is>
      </c>
      <c r="P332" s="6">
        <f>HYPERLINK("https://fin.land.naver.com/articles/2650047972", "매물Link")</f>
        <v/>
      </c>
      <c r="Q332" s="6">
        <f>HYPERLINK("https://map.naver.com/p/search/남이면 석판리 65-5", "지도Link")</f>
        <v/>
      </c>
      <c r="R332" s="6">
        <f>HYPERLINK("http://www.eum.go.kr/web/ar/lu/luLandDet.jsp?pnu=4311231034100650005&amp;isNoScr=script&amp;mode=search", "토지이음")</f>
        <v/>
      </c>
      <c r="S332" s="3" t="inlineStr">
        <is>
          <t>대지</t>
        </is>
      </c>
      <c r="T332" s="4" t="n">
        <v>1</v>
      </c>
      <c r="U332" s="5" t="n">
        <v>94.90000000000001</v>
      </c>
      <c r="V332" s="4" t="n">
        <v>460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자루형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수대리 1-22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65000</v>
      </c>
      <c r="H334" s="4" t="n">
        <v>0</v>
      </c>
      <c r="I334" s="4" t="n">
        <v>887</v>
      </c>
      <c r="J334" s="4" t="n">
        <v>268</v>
      </c>
      <c r="K334" s="5" t="n">
        <v>242.5</v>
      </c>
      <c r="L334" s="4" t="n">
        <v>99</v>
      </c>
      <c r="M334" s="4" t="n">
        <v>30</v>
      </c>
      <c r="N334" s="5" t="n">
        <v>2166.7</v>
      </c>
      <c r="O334" s="3" t="inlineStr">
        <is>
          <t>남이초등학교앞   전원주택단지</t>
        </is>
      </c>
      <c r="P334" s="6">
        <f>HYPERLINK("https://fin.land.naver.com/articles/2655224441", "매물Link")</f>
        <v/>
      </c>
      <c r="Q334" s="6">
        <f>HYPERLINK("https://map.naver.com/p/search/남이면 수대리 1-22", "지도Link")</f>
        <v/>
      </c>
      <c r="R334" s="6">
        <f>HYPERLINK("http://www.eum.go.kr/web/ar/lu/luLandDet.jsp?pnu=4311231039100010022&amp;isNoScr=script&amp;mode=search", "토지이음")</f>
        <v/>
      </c>
      <c r="S334" s="3" t="inlineStr">
        <is>
          <t>금슬</t>
        </is>
      </c>
      <c r="T334" s="4" t="n">
        <v>1</v>
      </c>
      <c r="U334" s="5" t="n">
        <v>69.2</v>
      </c>
      <c r="V334" s="4" t="n">
        <v>887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가격조정가능, 단독주택거주하시면서 카페운영 추천</t>
        </is>
      </c>
      <c r="P335" s="6">
        <f>HYPERLINK("https://fin.land.naver.com/articles/2654171088",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명진</t>
        </is>
      </c>
      <c r="T335" s="4" t="n">
        <v>2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5년차준신축,수대리위치좋은2층주택,방3,화장실2,이사협의</t>
        </is>
      </c>
      <c r="P336" s="6">
        <f>HYPERLINK("https://fin.land.naver.com/articles/2651927684",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금호스마트</t>
        </is>
      </c>
      <c r="T336" s="4" t="n">
        <v>1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1-45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404</v>
      </c>
      <c r="J337" s="4" t="n">
        <v>122</v>
      </c>
      <c r="K337" s="5" t="n">
        <v>368.9</v>
      </c>
      <c r="L337" s="4" t="n">
        <v>99</v>
      </c>
      <c r="M337" s="4" t="n">
        <v>30</v>
      </c>
      <c r="N337" s="5" t="n">
        <v>1500</v>
      </c>
      <c r="O337" s="3" t="inlineStr">
        <is>
          <t>조용하고 멋진 전원주택 폴딩도어 설치 협의입주</t>
        </is>
      </c>
      <c r="P337" s="6">
        <f>HYPERLINK("https://fin.land.naver.com/articles/2653432610", "매물Link")</f>
        <v/>
      </c>
      <c r="Q337" s="6">
        <f>HYPERLINK("https://map.naver.com/p/search/남이면 수대리 1-45", "지도Link")</f>
        <v/>
      </c>
      <c r="R337" s="6">
        <f>HYPERLINK("http://www.eum.go.kr/web/ar/lu/luLandDet.jsp?pnu=4311231039100010045&amp;isNoScr=script&amp;mode=search", "토지이음")</f>
        <v/>
      </c>
      <c r="S337" s="3" t="inlineStr">
        <is>
          <t>힐데스하임</t>
        </is>
      </c>
      <c r="T337" s="4" t="n">
        <v>1</v>
      </c>
      <c r="U337" s="5" t="n">
        <v>67.09999999999999</v>
      </c>
      <c r="V337" s="4" t="n">
        <v>404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137-2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39000</v>
      </c>
      <c r="H338" s="4" t="n">
        <v>0</v>
      </c>
      <c r="I338" s="4" t="n">
        <v>532</v>
      </c>
      <c r="J338" s="4" t="n">
        <v>161</v>
      </c>
      <c r="K338" s="5" t="n">
        <v>242.2</v>
      </c>
      <c r="L338" s="4" t="n">
        <v>220</v>
      </c>
      <c r="M338" s="4" t="n">
        <v>67</v>
      </c>
      <c r="N338" s="5" t="n">
        <v>582.1</v>
      </c>
      <c r="O338" s="3" t="inlineStr">
        <is>
          <t>탁트인전망 햇빛잘들고 텃밭과 넓은 지하주차장을 겸비한 살기좋은집</t>
        </is>
      </c>
      <c r="P338" s="6">
        <f>HYPERLINK("https://fin.land.naver.com/articles/2655518915", "매물Link")</f>
        <v/>
      </c>
      <c r="Q338" s="6">
        <f>HYPERLINK("https://map.naver.com/p/search/남이면 수대리 137-2", "지도Link")</f>
        <v/>
      </c>
      <c r="R338" s="6">
        <f>HYPERLINK("http://www.eum.go.kr/web/ar/lu/luLandDet.jsp?pnu=4311231039101370002&amp;isNoScr=script&amp;mode=search", "토지이음")</f>
        <v/>
      </c>
      <c r="S338" s="3" t="inlineStr">
        <is>
          <t>신두꺼비</t>
        </is>
      </c>
      <c r="T338" s="4" t="n">
        <v>1</v>
      </c>
      <c r="U338" s="5" t="n">
        <v>52.9</v>
      </c>
      <c r="V338" s="4" t="n">
        <v>488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137-2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39000</v>
      </c>
      <c r="H339" s="4" t="n">
        <v>0</v>
      </c>
      <c r="I339" s="4" t="n">
        <v>482</v>
      </c>
      <c r="J339" s="4" t="n">
        <v>146</v>
      </c>
      <c r="K339" s="5" t="n">
        <v>267.1</v>
      </c>
      <c r="L339" s="4" t="n">
        <v>220</v>
      </c>
      <c r="M339" s="4" t="n">
        <v>67</v>
      </c>
      <c r="N339" s="5" t="n">
        <v>582.1</v>
      </c>
      <c r="O339" s="3" t="inlineStr">
        <is>
          <t>텃밭 있고 상태 양호한 전원주택</t>
        </is>
      </c>
      <c r="P339" s="6">
        <f>HYPERLINK("https://fin.land.naver.com/articles/2655039846", "매물Link")</f>
        <v/>
      </c>
      <c r="Q339" s="6">
        <f>HYPERLINK("https://map.naver.com/p/search/남이면 수대리 137-2", "지도Link")</f>
        <v/>
      </c>
      <c r="R339" s="6">
        <f>HYPERLINK("http://www.eum.go.kr/web/ar/lu/luLandDet.jsp?pnu=4311231039101370002&amp;isNoScr=script&amp;mode=search", "토지이음")</f>
        <v/>
      </c>
      <c r="S339" s="3" t="inlineStr">
        <is>
          <t>옥산금정</t>
        </is>
      </c>
      <c r="T339" s="4" t="n">
        <v>1</v>
      </c>
      <c r="U339" s="5" t="n">
        <v>52.9</v>
      </c>
      <c r="V339" s="4" t="n">
        <v>488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482</v>
      </c>
      <c r="J340" s="4" t="n">
        <v>146</v>
      </c>
      <c r="K340" s="5" t="n">
        <v>267.1</v>
      </c>
      <c r="L340" s="4" t="n">
        <v>220</v>
      </c>
      <c r="M340" s="4" t="n">
        <v>67</v>
      </c>
      <c r="N340" s="5" t="n">
        <v>582.1</v>
      </c>
      <c r="O340" s="3" t="inlineStr">
        <is>
          <t>가격절충가능, 남이면 햇살 잘드는 전원주택,가경동에서 20분 이내</t>
        </is>
      </c>
      <c r="P340" s="6">
        <f>HYPERLINK("https://fin.land.naver.com/articles/2654522037",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소원</t>
        </is>
      </c>
      <c r="T340" s="4" t="n">
        <v>3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남이초 인근 두껍게 잘지은2층단독매매,태양광 설치,지하수공사됨.</t>
        </is>
      </c>
      <c r="P341" s="6">
        <f>HYPERLINK("https://fin.land.naver.com/articles/2654414183",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주공그린빌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양촌리 161-28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65000</v>
      </c>
      <c r="H343" s="4" t="n">
        <v>0</v>
      </c>
      <c r="I343" s="4" t="n">
        <v>1092</v>
      </c>
      <c r="J343" s="4" t="n">
        <v>330</v>
      </c>
      <c r="K343" s="5" t="n">
        <v>197</v>
      </c>
      <c r="L343" s="4" t="n">
        <v>178</v>
      </c>
      <c r="M343" s="4" t="n">
        <v>54</v>
      </c>
      <c r="N343" s="5" t="n">
        <v>1203.7</v>
      </c>
      <c r="O343" s="3" t="inlineStr">
        <is>
          <t>양촌리 넓은대지 2세대 거주가능 세대분리 막힘없는 뷰</t>
        </is>
      </c>
      <c r="P343" s="6">
        <f>HYPERLINK("https://fin.land.naver.com/articles/2653624358", "매물Link")</f>
        <v/>
      </c>
      <c r="Q343" s="6">
        <f>HYPERLINK("https://map.naver.com/p/search/남이면 양촌리 161-28", "지도Link")</f>
        <v/>
      </c>
      <c r="R343" s="6">
        <f>HYPERLINK("http://www.eum.go.kr/web/ar/lu/luLandDet.jsp?pnu=4311231037101610028&amp;isNoScr=script&amp;mode=search", "토지이음")</f>
        <v/>
      </c>
      <c r="S343" s="3" t="inlineStr">
        <is>
          <t>학사</t>
        </is>
      </c>
      <c r="T343" s="4" t="n">
        <v>1</v>
      </c>
      <c r="U343" s="5" t="n">
        <v>65.40000000000001</v>
      </c>
      <c r="V343" s="4" t="n">
        <v>397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양촌리 245-1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140000</v>
      </c>
      <c r="H344" s="4" t="n">
        <v>0</v>
      </c>
      <c r="I344" s="4" t="n">
        <v>854</v>
      </c>
      <c r="J344" s="4" t="n">
        <v>258</v>
      </c>
      <c r="K344" s="5" t="n">
        <v>542.6</v>
      </c>
      <c r="L344" s="4" t="n">
        <v>135</v>
      </c>
      <c r="M344" s="4" t="n">
        <v>41</v>
      </c>
      <c r="N344" s="5" t="n">
        <v>3414.6</v>
      </c>
      <c r="O344" s="3" t="inlineStr">
        <is>
          <t>4차선 대로 접한 토지로 철거후 근생부지로 적합함</t>
        </is>
      </c>
      <c r="P344" s="6">
        <f>HYPERLINK("https://fin.land.naver.com/articles/2652139499", "매물Link")</f>
        <v/>
      </c>
      <c r="Q344" s="6">
        <f>HYPERLINK("https://map.naver.com/p/search/남이면 양촌리 245-1", "지도Link")</f>
        <v/>
      </c>
      <c r="R344" s="6">
        <f>HYPERLINK("http://www.eum.go.kr/web/ar/lu/luLandDet.jsp?pnu=4311231037102450001&amp;isNoScr=script&amp;mode=search", "토지이음")</f>
        <v/>
      </c>
      <c r="S344" s="3" t="inlineStr">
        <is>
          <t>청주원</t>
        </is>
      </c>
      <c r="T344" s="4" t="n">
        <v>1</v>
      </c>
      <c r="U344" s="5" t="n">
        <v>116</v>
      </c>
      <c r="V344" s="4" t="n">
        <v>854</v>
      </c>
      <c r="W344" s="3" t="inlineStr">
        <is>
          <t>지정되지않음</t>
        </is>
      </c>
      <c r="X344" s="3" t="inlineStr">
        <is>
          <t>상업기타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중로한면</t>
        </is>
      </c>
    </row>
    <row r="345">
      <c r="A345" s="3" t="inlineStr">
        <is>
          <t>남이면 양촌리 3-16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59000</v>
      </c>
      <c r="H345" s="4" t="n">
        <v>0</v>
      </c>
      <c r="I345" s="4" t="n">
        <v>686</v>
      </c>
      <c r="J345" s="4" t="n">
        <v>208</v>
      </c>
      <c r="K345" s="5" t="n">
        <v>283.7</v>
      </c>
      <c r="L345" s="4" t="n">
        <v>209</v>
      </c>
      <c r="M345" s="4" t="n">
        <v>63</v>
      </c>
      <c r="N345" s="5" t="n">
        <v>936.5</v>
      </c>
      <c r="O345" s="3" t="inlineStr">
        <is>
          <t>분평동 3분거리 생활편리하고 투자가치 있는 가성비 고급 전원주택</t>
        </is>
      </c>
      <c r="P345" s="6">
        <f>HYPERLINK("https://fin.land.naver.com/articles/2654659488", "매물Link")</f>
        <v/>
      </c>
      <c r="Q345" s="6">
        <f>HYPERLINK("https://map.naver.com/p/search/남이면 양촌리 3-16", "지도Link")</f>
        <v/>
      </c>
      <c r="R345" s="6">
        <f>HYPERLINK("http://www.eum.go.kr/web/ar/lu/luLandDet.jsp?pnu=4311231037100030016&amp;isNoScr=script&amp;mode=search", "토지이음")</f>
        <v/>
      </c>
      <c r="S345" s="3" t="inlineStr">
        <is>
          <t>세종</t>
        </is>
      </c>
      <c r="T345" s="4" t="n">
        <v>1</v>
      </c>
      <c r="U345" s="5" t="n">
        <v>101.6</v>
      </c>
      <c r="V345" s="4" t="n">
        <v>686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양촌리 3-7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55000</v>
      </c>
      <c r="H346" s="4" t="n">
        <v>0</v>
      </c>
      <c r="I346" s="4" t="n">
        <v>512</v>
      </c>
      <c r="J346" s="4" t="n">
        <v>155</v>
      </c>
      <c r="K346" s="5" t="n">
        <v>354.8</v>
      </c>
      <c r="L346" s="4" t="n">
        <v>99</v>
      </c>
      <c r="M346" s="4" t="n">
        <v>30</v>
      </c>
      <c r="N346" s="5" t="n">
        <v>1833.3</v>
      </c>
      <c r="O346" s="3" t="inlineStr">
        <is>
          <t>양촌리 가장 저렴한 매물</t>
        </is>
      </c>
      <c r="P346" s="6">
        <f>HYPERLINK("https://fin.land.naver.com/articles/2654273331", "매물Link")</f>
        <v/>
      </c>
      <c r="Q346" s="6">
        <f>HYPERLINK("https://map.naver.com/p/search/남이면 양촌리 3-7", "지도Link")</f>
        <v/>
      </c>
      <c r="R346" s="6">
        <f>HYPERLINK("http://www.eum.go.kr/web/ar/lu/luLandDet.jsp?pnu=4311231037100030007&amp;isNoScr=script&amp;mode=search",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103.6</v>
      </c>
      <c r="V346" s="4" t="n">
        <v>512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세로각지(가)</t>
        </is>
      </c>
    </row>
    <row r="347">
      <c r="A347" s="3" t="inlineStr">
        <is>
          <t>남이면 양촌리 392-1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63000</v>
      </c>
      <c r="H347" s="4" t="n">
        <v>0</v>
      </c>
      <c r="I347" s="4" t="n">
        <v>660</v>
      </c>
      <c r="J347" s="4" t="n">
        <v>200</v>
      </c>
      <c r="K347" s="5" t="n">
        <v>315</v>
      </c>
      <c r="L347" s="4" t="n">
        <v>122</v>
      </c>
      <c r="M347" s="4" t="n">
        <v>37</v>
      </c>
      <c r="N347" s="5" t="n">
        <v>1702.7</v>
      </c>
      <c r="O347" s="3" t="inlineStr">
        <is>
          <t>nan</t>
        </is>
      </c>
      <c r="P347" s="6">
        <f>HYPERLINK("https://fin.land.naver.com/articles/2654530510", "매물Link")</f>
        <v/>
      </c>
      <c r="Q347" s="6">
        <f>HYPERLINK("https://map.naver.com/p/search/남이면 양촌리 392-1", "지도Link")</f>
        <v/>
      </c>
      <c r="R347" s="6">
        <f>HYPERLINK("http://www.eum.go.kr/web/ar/lu/luLandDet.jsp?pnu=4311231037103920001&amp;isNoScr=script&amp;mode=search", "토지이음")</f>
        <v/>
      </c>
      <c r="S347" s="3" t="inlineStr">
        <is>
          <t>에이스</t>
        </is>
      </c>
      <c r="T347" s="4" t="n">
        <v>1</v>
      </c>
      <c r="U347" s="5" t="n">
        <v>80.3</v>
      </c>
      <c r="V347" s="4" t="n">
        <v>660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부정형</t>
        </is>
      </c>
      <c r="AA347" s="3" t="inlineStr">
        <is>
          <t>세로한면(가)</t>
        </is>
      </c>
    </row>
    <row r="348">
      <c r="A348" s="3" t="inlineStr">
        <is>
          <t>남이면 양촌리 392-2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46000</v>
      </c>
      <c r="H348" s="4" t="n">
        <v>0</v>
      </c>
      <c r="I348" s="4" t="n">
        <v>640</v>
      </c>
      <c r="J348" s="4" t="n">
        <v>194</v>
      </c>
      <c r="K348" s="5" t="n">
        <v>237.1</v>
      </c>
      <c r="L348" s="4" t="n">
        <v>122</v>
      </c>
      <c r="M348" s="4" t="n">
        <v>37</v>
      </c>
      <c r="N348" s="5" t="n">
        <v>1243.2</v>
      </c>
      <c r="O348" s="3" t="inlineStr">
        <is>
          <t>청주 시내 접근성 우수한 양촌리 전원주택</t>
        </is>
      </c>
      <c r="P348" s="6">
        <f>HYPERLINK("https://fin.land.naver.com/articles/2652452047", "매물Link")</f>
        <v/>
      </c>
      <c r="Q348" s="6">
        <f>HYPERLINK("https://map.naver.com/p/search/남이면 양촌리 392-2", "지도Link")</f>
        <v/>
      </c>
      <c r="R348" s="6">
        <f>HYPERLINK("http://www.eum.go.kr/web/ar/lu/luLandDet.jsp?pnu=4311231037103920002&amp;isNoScr=script&amp;mode=search", "토지이음")</f>
        <v/>
      </c>
      <c r="S348" s="3" t="inlineStr">
        <is>
          <t>좋은선택</t>
        </is>
      </c>
      <c r="T348" s="4" t="n">
        <v>1</v>
      </c>
      <c r="U348" s="5" t="n">
        <v>83.59999999999999</v>
      </c>
      <c r="V348" s="4" t="n">
        <v>640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세로각지(가)</t>
        </is>
      </c>
    </row>
    <row r="349">
      <c r="A349" s="3" t="inlineStr">
        <is>
          <t>남이면 외천리 343</t>
        </is>
      </c>
      <c r="B349" s="3" t="inlineStr">
        <is>
          <t>농림지역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36000</v>
      </c>
      <c r="H349" s="4" t="n">
        <v>0</v>
      </c>
      <c r="I349" s="4" t="n">
        <v>660</v>
      </c>
      <c r="J349" s="4" t="n">
        <v>200</v>
      </c>
      <c r="K349" s="5" t="n">
        <v>180</v>
      </c>
      <c r="L349" s="4" t="n">
        <v>97</v>
      </c>
      <c r="M349" s="4" t="n">
        <v>29</v>
      </c>
      <c r="N349" s="5" t="n">
        <v>1241.4</v>
      </c>
      <c r="O349" s="3" t="inlineStr">
        <is>
          <t>외천리 잘관리된 단독주택 진입로 좋아요,남청주ic,부강물류기지 가까움.</t>
        </is>
      </c>
      <c r="P349" s="6">
        <f>HYPERLINK("https://fin.land.naver.com/articles/2651517078", "매물Link")</f>
        <v/>
      </c>
      <c r="Q349" s="6">
        <f>HYPERLINK("https://map.naver.com/p/search/남이면 외천리 343", "지도Link")</f>
        <v/>
      </c>
      <c r="R349" s="6">
        <f>HYPERLINK("http://www.eum.go.kr/web/ar/lu/luLandDet.jsp?pnu=4311231022103430000&amp;isNoScr=script&amp;mode=search", "토지이음")</f>
        <v/>
      </c>
      <c r="S349" s="3" t="inlineStr">
        <is>
          <t>마루</t>
        </is>
      </c>
      <c r="T349" s="4" t="n">
        <v>1</v>
      </c>
      <c r="U349" s="5" t="n">
        <v>48.4</v>
      </c>
      <c r="V349" s="4" t="n">
        <v>660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외천리 343-2</t>
        </is>
      </c>
      <c r="B350" s="3" t="inlineStr">
        <is>
          <t>농림지역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35000</v>
      </c>
      <c r="H350" s="4" t="n">
        <v>0</v>
      </c>
      <c r="I350" s="4" t="n">
        <v>660</v>
      </c>
      <c r="J350" s="4" t="n">
        <v>200</v>
      </c>
      <c r="K350" s="5" t="n">
        <v>175</v>
      </c>
      <c r="L350" s="4" t="n">
        <v>131</v>
      </c>
      <c r="M350" s="4" t="n">
        <v>40</v>
      </c>
      <c r="N350" s="5" t="n">
        <v>875</v>
      </c>
      <c r="O350" s="3" t="inlineStr">
        <is>
          <t>프라임공인 외천리 전원주택 조용하고 공기좋은 고속국도인접</t>
        </is>
      </c>
      <c r="P350" s="6">
        <f>HYPERLINK("https://fin.land.naver.com/articles/2652434203", "매물Link")</f>
        <v/>
      </c>
      <c r="Q350" s="6">
        <f>HYPERLINK("https://map.naver.com/p/search/남이면 외천리 343-2", "지도Link")</f>
        <v/>
      </c>
      <c r="R350" s="6">
        <f>HYPERLINK("http://www.eum.go.kr/web/ar/lu/luLandDet.jsp?pnu=4311231022103430002&amp;isNoScr=script&amp;mode=search", "토지이음")</f>
        <v/>
      </c>
      <c r="S350" s="3" t="inlineStr">
        <is>
          <t>프라임</t>
        </is>
      </c>
      <c r="T350" s="4" t="n">
        <v>1</v>
      </c>
      <c r="U350" s="5" t="n">
        <v>48.4</v>
      </c>
      <c r="V350" s="4" t="n">
        <v>660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외천리 469-6</t>
        </is>
      </c>
      <c r="B351" s="3" t="inlineStr">
        <is>
          <t>보전관리지역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42000</v>
      </c>
      <c r="H351" s="4" t="n">
        <v>0</v>
      </c>
      <c r="I351" s="4" t="n">
        <v>1345</v>
      </c>
      <c r="J351" s="4" t="n">
        <v>407</v>
      </c>
      <c r="K351" s="5" t="n">
        <v>103.2</v>
      </c>
      <c r="L351" s="4" t="n">
        <v>149</v>
      </c>
      <c r="M351" s="4" t="n">
        <v>45</v>
      </c>
      <c r="N351" s="5" t="n">
        <v>933.3</v>
      </c>
      <c r="O351" s="3" t="inlineStr">
        <is>
          <t>전원주택텃밭 같이 매매 합니다.</t>
        </is>
      </c>
      <c r="P351" s="6">
        <f>HYPERLINK("https://fin.land.naver.com/articles/2650991002", "매물Link")</f>
        <v/>
      </c>
      <c r="Q351" s="6">
        <f>HYPERLINK("https://map.naver.com/p/search/남이면 외천리 469-6", "지도Link")</f>
        <v/>
      </c>
      <c r="R351" s="6">
        <f>HYPERLINK("http://www.eum.go.kr/web/ar/lu/luLandDet.jsp?pnu=4311231022104690006&amp;isNoScr=script&amp;mode=search", "토지이음")</f>
        <v/>
      </c>
      <c r="S351" s="3" t="inlineStr">
        <is>
          <t>청주솔로몬합동</t>
        </is>
      </c>
      <c r="T351" s="4" t="n">
        <v>1</v>
      </c>
      <c r="U351" s="5" t="n">
        <v>43.2</v>
      </c>
      <c r="V351" s="4" t="n">
        <v>641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외천리 615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25000</v>
      </c>
      <c r="H352" s="4" t="n">
        <v>0</v>
      </c>
      <c r="I352" s="4" t="n">
        <v>705</v>
      </c>
      <c r="J352" s="4" t="n">
        <v>213</v>
      </c>
      <c r="K352" s="5" t="n">
        <v>117.4</v>
      </c>
      <c r="L352" s="4" t="n">
        <v>77</v>
      </c>
      <c r="M352" s="4" t="n">
        <v>23</v>
      </c>
      <c r="N352" s="5" t="n">
        <v>1087</v>
      </c>
      <c r="O352" s="3" t="inlineStr">
        <is>
          <t>오래된주택  땅값만 받고 팔아요</t>
        </is>
      </c>
      <c r="P352" s="6">
        <f>HYPERLINK("https://fin.land.naver.com/articles/2652233511", "매물Link")</f>
        <v/>
      </c>
      <c r="Q352" s="6">
        <f>HYPERLINK("https://map.naver.com/p/search/남이면 외천리 615", "지도Link")</f>
        <v/>
      </c>
      <c r="R352" s="6">
        <f>HYPERLINK("http://www.eum.go.kr/web/ar/lu/luLandDet.jsp?pnu=4311231022106150000&amp;isNoScr=script&amp;mode=search", "토지이음")</f>
        <v/>
      </c>
      <c r="S352" s="3" t="inlineStr">
        <is>
          <t>김창수</t>
        </is>
      </c>
      <c r="T352" s="4" t="n">
        <v>1</v>
      </c>
      <c r="U352" s="5" t="n">
        <v>60.6</v>
      </c>
      <c r="V352" s="4" t="n">
        <v>298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척북리 74-7</t>
        </is>
      </c>
      <c r="B353" s="3" t="inlineStr">
        <is>
          <t>계획관리지역</t>
        </is>
      </c>
      <c r="C353" s="3" t="inlineStr">
        <is>
          <t>임야</t>
        </is>
      </c>
      <c r="D353" s="3" t="inlineStr">
        <is>
          <t>7</t>
        </is>
      </c>
      <c r="E353" s="3" t="inlineStr">
        <is>
          <t>연립</t>
        </is>
      </c>
      <c r="F353" s="3" t="inlineStr">
        <is>
          <t>매매</t>
        </is>
      </c>
      <c r="G353" s="4" t="n">
        <v>6700</v>
      </c>
      <c r="H353" s="4" t="n">
        <v>0</v>
      </c>
      <c r="I353" s="4" t="n">
        <v>56</v>
      </c>
      <c r="J353" s="4" t="n">
        <v>17</v>
      </c>
      <c r="K353" s="5" t="n">
        <v>394.1</v>
      </c>
      <c r="L353" s="4" t="n">
        <v>55</v>
      </c>
      <c r="M353" s="4" t="n">
        <v>17</v>
      </c>
      <c r="N353" s="5" t="n">
        <v>394.1</v>
      </c>
      <c r="O353" s="3" t="inlineStr">
        <is>
          <t>척산삼포그린 깔끔세대 최대한조율</t>
        </is>
      </c>
      <c r="P353" s="6">
        <f>HYPERLINK("https://fin.land.naver.com/articles/2650784210", "매물Link")</f>
        <v/>
      </c>
      <c r="Q353" s="6">
        <f>HYPERLINK("https://map.naver.com/p/search/남이면 척북리 74-7", "지도Link")</f>
        <v/>
      </c>
      <c r="R353" s="6">
        <f>HYPERLINK("http://www.eum.go.kr/web/ar/lu/luLandDet.jsp?pnu=4311231024100740007&amp;isNoScr=script&amp;mode=search", "토지이음")</f>
        <v/>
      </c>
      <c r="S353" s="3" t="inlineStr">
        <is>
          <t>조은</t>
        </is>
      </c>
      <c r="T353" s="4" t="n">
        <v>1</v>
      </c>
      <c r="U353" s="5" t="n">
        <v>89.5</v>
      </c>
      <c r="V353" s="4" t="n">
        <v>24362</v>
      </c>
      <c r="W353" s="3" t="inlineStr">
        <is>
          <t>지정되지않음</t>
        </is>
      </c>
      <c r="X353" s="3" t="inlineStr">
        <is>
          <t>아파트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남이면 척북리 74-7</t>
        </is>
      </c>
      <c r="B354" s="3" t="inlineStr">
        <is>
          <t>계획관리지역</t>
        </is>
      </c>
      <c r="C354" s="3" t="inlineStr">
        <is>
          <t>임야</t>
        </is>
      </c>
      <c r="D354" s="3" t="inlineStr">
        <is>
          <t>8</t>
        </is>
      </c>
      <c r="E354" s="3" t="inlineStr">
        <is>
          <t>빌라</t>
        </is>
      </c>
      <c r="F354" s="3" t="inlineStr">
        <is>
          <t>월세</t>
        </is>
      </c>
      <c r="G354" s="4" t="n">
        <v>250</v>
      </c>
      <c r="H354" s="4" t="n">
        <v>25</v>
      </c>
      <c r="I354" s="4" t="n">
        <v>35</v>
      </c>
      <c r="J354" s="4" t="n">
        <v>11</v>
      </c>
      <c r="K354" s="5" t="n">
        <v>2.3</v>
      </c>
      <c r="L354" s="4" t="n">
        <v>36</v>
      </c>
      <c r="M354" s="4" t="n">
        <v>11</v>
      </c>
      <c r="N354" s="5" t="n">
        <v>2.3</v>
      </c>
      <c r="O354" s="3" t="inlineStr">
        <is>
          <t>화장실수리 조배 장판 새로 해줌</t>
        </is>
      </c>
      <c r="P354" s="6">
        <f>HYPERLINK("https://fin.land.naver.com/articles/2655624658", "매물Link")</f>
        <v/>
      </c>
      <c r="Q354" s="6">
        <f>HYPERLINK("https://map.naver.com/p/search/남이면 척북리 74-7", "지도Link")</f>
        <v/>
      </c>
      <c r="R354" s="6">
        <f>HYPERLINK("http://www.eum.go.kr/web/ar/lu/luLandDet.jsp?pnu=4311231024100740007&amp;isNoScr=script&amp;mode=search", "토지이음")</f>
        <v/>
      </c>
      <c r="S354" s="3" t="inlineStr">
        <is>
          <t>성진</t>
        </is>
      </c>
      <c r="T354" s="4" t="n">
        <v>1</v>
      </c>
      <c r="U354" s="5" t="n">
        <v>89.5</v>
      </c>
      <c r="V354" s="4" t="n">
        <v>24362</v>
      </c>
      <c r="W354" s="3" t="inlineStr">
        <is>
          <t>지정되지않음</t>
        </is>
      </c>
      <c r="X354" s="3" t="inlineStr">
        <is>
          <t>아파트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소로한면</t>
        </is>
      </c>
    </row>
    <row r="355">
      <c r="A355" s="3" t="inlineStr">
        <is>
          <t>남이면 척산리 109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47000</v>
      </c>
      <c r="H355" s="4" t="n">
        <v>0</v>
      </c>
      <c r="I355" s="4" t="n">
        <v>2794</v>
      </c>
      <c r="J355" s="4" t="n">
        <v>845</v>
      </c>
      <c r="K355" s="5" t="n">
        <v>55.6</v>
      </c>
      <c r="L355" s="4" t="n">
        <v>189</v>
      </c>
      <c r="M355" s="4" t="n">
        <v>57</v>
      </c>
      <c r="N355" s="5" t="n">
        <v>824.6</v>
      </c>
      <c r="O355" s="3" t="inlineStr">
        <is>
          <t>청주시내와 접근성 좋은 위치 정원이 크고 잘 조성된 전원주택</t>
        </is>
      </c>
      <c r="P355" s="6">
        <f>HYPERLINK("https://fin.land.naver.com/articles/2653851732", "매물Link")</f>
        <v/>
      </c>
      <c r="Q355" s="6">
        <f>HYPERLINK("https://map.naver.com/p/search/남이면 척산리 109", "지도Link")</f>
        <v/>
      </c>
      <c r="R355" s="6">
        <f>HYPERLINK("http://www.eum.go.kr/web/ar/lu/luLandDet.jsp?pnu=4311231021101090000&amp;isNoScr=script&amp;mode=search",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42.3</v>
      </c>
      <c r="V355" s="4" t="n">
        <v>581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자루형</t>
        </is>
      </c>
      <c r="AA355" s="3" t="inlineStr">
        <is>
          <t>세로한면(불)</t>
        </is>
      </c>
    </row>
    <row r="356">
      <c r="A356" s="3" t="inlineStr">
        <is>
          <t>남이면 척산리 514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35000</v>
      </c>
      <c r="H356" s="4" t="n">
        <v>0</v>
      </c>
      <c r="I356" s="4" t="n">
        <v>846</v>
      </c>
      <c r="J356" s="4" t="n">
        <v>256</v>
      </c>
      <c r="K356" s="5" t="n">
        <v>136.7</v>
      </c>
      <c r="L356" s="4" t="n">
        <v>161</v>
      </c>
      <c r="M356" s="4" t="n">
        <v>49</v>
      </c>
      <c r="N356" s="5" t="n">
        <v>714.3</v>
      </c>
      <c r="O356" s="3" t="inlineStr">
        <is>
          <t>척산 단독주택, 조용하고 한적한 집, 현재세입자거주중</t>
        </is>
      </c>
      <c r="P356" s="6">
        <f>HYPERLINK("https://fin.land.naver.com/articles/2654158226", "매물Link")</f>
        <v/>
      </c>
      <c r="Q356" s="6">
        <f>HYPERLINK("https://map.naver.com/p/search/남이면 척산리 514", "지도Link")</f>
        <v/>
      </c>
      <c r="R356" s="6">
        <f>HYPERLINK("http://www.eum.go.kr/web/ar/lu/luLandDet.jsp?pnu=4311231021105140000&amp;isNoScr=script&amp;mode=search", "토지이음")</f>
        <v/>
      </c>
      <c r="S356" s="3" t="inlineStr">
        <is>
          <t>금손</t>
        </is>
      </c>
      <c r="T356" s="4" t="n">
        <v>1</v>
      </c>
      <c r="U356" s="5" t="n">
        <v>58.5</v>
      </c>
      <c r="V356" s="4" t="n">
        <v>846</v>
      </c>
      <c r="W356" s="3" t="inlineStr">
        <is>
          <t>보전녹지지역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척산리 533-3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20000</v>
      </c>
      <c r="H357" s="4" t="n">
        <v>0</v>
      </c>
      <c r="I357" s="4" t="n">
        <v>348</v>
      </c>
      <c r="J357" s="4" t="n">
        <v>105</v>
      </c>
      <c r="K357" s="5" t="n">
        <v>190.5</v>
      </c>
      <c r="L357" s="4" t="n">
        <v>102</v>
      </c>
      <c r="M357" s="4" t="n">
        <v>31</v>
      </c>
      <c r="N357" s="5" t="n">
        <v>645.2</v>
      </c>
      <c r="O357" s="3" t="inlineStr">
        <is>
          <t>마당이 넓은 단독주택. 주차편리. 입주협의 가능</t>
        </is>
      </c>
      <c r="P357" s="6">
        <f>HYPERLINK("https://fin.land.naver.com/articles/2652697791", "매물Link")</f>
        <v/>
      </c>
      <c r="Q357" s="6">
        <f>HYPERLINK("https://map.naver.com/p/search/남이면 척산리 533-3", "지도Link")</f>
        <v/>
      </c>
      <c r="R357" s="6">
        <f>HYPERLINK("http://www.eum.go.kr/web/ar/lu/luLandDet.jsp?pnu=4311231021105330003&amp;isNoScr=script&amp;mode=search", "토지이음")</f>
        <v/>
      </c>
      <c r="S357" s="3" t="inlineStr">
        <is>
          <t>태산</t>
        </is>
      </c>
      <c r="T357" s="4" t="n">
        <v>1</v>
      </c>
      <c r="U357" s="5" t="n">
        <v>54.9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남이면 팔봉리 100-3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32000</v>
      </c>
      <c r="H358" s="4" t="n">
        <v>0</v>
      </c>
      <c r="I358" s="4" t="n">
        <v>483</v>
      </c>
      <c r="J358" s="4" t="n">
        <v>146</v>
      </c>
      <c r="K358" s="5" t="n">
        <v>219.2</v>
      </c>
      <c r="L358" s="4" t="n">
        <v>169</v>
      </c>
      <c r="M358" s="4" t="n">
        <v>51</v>
      </c>
      <c r="N358" s="5" t="n">
        <v>627.5</v>
      </c>
      <c r="O358" s="3" t="inlineStr">
        <is>
          <t>남이면 팔봉리 전원주택</t>
        </is>
      </c>
      <c r="P358" s="6">
        <f>HYPERLINK("https://fin.land.naver.com/articles/2653258726", "매물Link")</f>
        <v/>
      </c>
      <c r="Q358" s="6">
        <f>HYPERLINK("https://map.naver.com/p/search/남이면 팔봉리 100-3", "지도Link")</f>
        <v/>
      </c>
      <c r="R358" s="6">
        <f>HYPERLINK("http://www.eum.go.kr/web/ar/lu/luLandDet.jsp?pnu=4311231030101000003&amp;isNoScr=script&amp;mode=search", "토지이음")</f>
        <v/>
      </c>
      <c r="S358" s="3" t="inlineStr">
        <is>
          <t>중흥</t>
        </is>
      </c>
      <c r="T358" s="4" t="n">
        <v>1</v>
      </c>
      <c r="U358" s="5" t="n">
        <v>46.1</v>
      </c>
      <c r="V358" s="4" t="n">
        <v>496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남이면 팔봉리 174-3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40000</v>
      </c>
      <c r="H359" s="4" t="n">
        <v>0</v>
      </c>
      <c r="I359" s="4" t="n">
        <v>559</v>
      </c>
      <c r="J359" s="4" t="n">
        <v>169</v>
      </c>
      <c r="K359" s="5" t="n">
        <v>236.7</v>
      </c>
      <c r="L359" s="4" t="n">
        <v>84</v>
      </c>
      <c r="M359" s="4" t="n">
        <v>25</v>
      </c>
      <c r="N359" s="5" t="n">
        <v>1600</v>
      </c>
      <c r="O359" s="3" t="inlineStr">
        <is>
          <t>접근성 좋음 남향배치 막힘없는 전망</t>
        </is>
      </c>
      <c r="P359" s="6">
        <f>HYPERLINK("https://fin.land.naver.com/articles/2654267569", "매물Link")</f>
        <v/>
      </c>
      <c r="Q359" s="6">
        <f>HYPERLINK("https://map.naver.com/p/search/남이면 팔봉리 174-3", "지도Link")</f>
        <v/>
      </c>
      <c r="R359" s="6">
        <f>HYPERLINK("http://www.eum.go.kr/web/ar/lu/luLandDet.jsp?pnu=4311231030101740003&amp;isNoScr=script&amp;mode=search",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41.5</v>
      </c>
      <c r="V359" s="4" t="n">
        <v>559</v>
      </c>
      <c r="W359" s="3" t="inlineStr">
        <is>
          <t>보전녹지지역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부정형</t>
        </is>
      </c>
      <c r="AA359" s="3" t="inlineStr">
        <is>
          <t>세로한면(가)</t>
        </is>
      </c>
    </row>
    <row r="360">
      <c r="A360" s="3" t="inlineStr">
        <is>
          <t>남이면 팔봉리 178-6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40000</v>
      </c>
      <c r="H360" s="4" t="n">
        <v>0</v>
      </c>
      <c r="I360" s="4" t="n">
        <v>600</v>
      </c>
      <c r="J360" s="4" t="n">
        <v>182</v>
      </c>
      <c r="K360" s="5" t="n">
        <v>219.8</v>
      </c>
      <c r="L360" s="4" t="n">
        <v>84</v>
      </c>
      <c r="M360" s="4" t="n">
        <v>25</v>
      </c>
      <c r="N360" s="5" t="n">
        <v>1600</v>
      </c>
      <c r="O360" s="3" t="inlineStr">
        <is>
          <t>맑고 쾌적한 청정지역의 아담한 전원주택</t>
        </is>
      </c>
      <c r="P360" s="6">
        <f>HYPERLINK("https://fin.land.naver.com/articles/2650492386", "매물Link")</f>
        <v/>
      </c>
      <c r="Q360" s="6">
        <f>HYPERLINK("https://map.naver.com/p/search/남이면 팔봉리 178-6", "지도Link")</f>
        <v/>
      </c>
      <c r="R360" s="6">
        <f>HYPERLINK("http://www.eum.go.kr/web/ar/lu/luLandDet.jsp?pnu=4311231030101780006&amp;isNoScr=script&amp;mode=search", "토지이음")</f>
        <v/>
      </c>
      <c r="S360" s="3" t="inlineStr">
        <is>
          <t>마루</t>
        </is>
      </c>
      <c r="T360" s="4" t="n">
        <v>1</v>
      </c>
      <c r="U360" s="5" t="n">
        <v>43.2</v>
      </c>
      <c r="V360" s="4" t="n">
        <v>600</v>
      </c>
      <c r="W360" s="3" t="inlineStr">
        <is>
          <t>보전녹지지역</t>
        </is>
      </c>
      <c r="X360" s="3" t="inlineStr">
        <is>
          <t>주거나지</t>
        </is>
      </c>
      <c r="Y360" s="3" t="inlineStr">
        <is>
          <t>완경사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남이면 팔봉리 218-10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47900</v>
      </c>
      <c r="H361" s="4" t="n">
        <v>0</v>
      </c>
      <c r="I361" s="4" t="n">
        <v>702</v>
      </c>
      <c r="J361" s="4" t="n">
        <v>212</v>
      </c>
      <c r="K361" s="5" t="n">
        <v>225.9</v>
      </c>
      <c r="L361" s="4" t="n">
        <v>116</v>
      </c>
      <c r="M361" s="4" t="n">
        <v>35</v>
      </c>
      <c r="N361" s="5" t="n">
        <v>1368.6</v>
      </c>
      <c r="O361" s="3" t="inlineStr">
        <is>
          <t>정남향의 단층 단독주택 마당의 잔듸와 공연장 등 전원생활의 최적화</t>
        </is>
      </c>
      <c r="P361" s="6">
        <f>HYPERLINK("https://fin.land.naver.com/articles/2654473896", "매물Link")</f>
        <v/>
      </c>
      <c r="Q361" s="6">
        <f>HYPERLINK("https://map.naver.com/p/search/남이면 팔봉리 218-10", "지도Link")</f>
        <v/>
      </c>
      <c r="R361" s="6">
        <f>HYPERLINK("http://www.eum.go.kr/web/ar/lu/luLandDet.jsp?pnu=4311231030102180010&amp;isNoScr=script&amp;mode=search", "토지이음")</f>
        <v/>
      </c>
      <c r="S361" s="3" t="inlineStr">
        <is>
          <t>복대시원</t>
        </is>
      </c>
      <c r="T361" s="4" t="n">
        <v>1</v>
      </c>
      <c r="U361" s="5" t="n">
        <v>44.8</v>
      </c>
      <c r="V361" s="4" t="n">
        <v>702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218-20</t>
        </is>
      </c>
      <c r="B362" s="3" t="inlineStr">
        <is>
          <t>보전관리지역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매매</t>
        </is>
      </c>
      <c r="G362" s="4" t="n">
        <v>43000</v>
      </c>
      <c r="H362" s="4" t="n">
        <v>0</v>
      </c>
      <c r="I362" s="4" t="n">
        <v>631</v>
      </c>
      <c r="J362" s="4" t="n">
        <v>191</v>
      </c>
      <c r="K362" s="5" t="n">
        <v>225.1</v>
      </c>
      <c r="L362" s="4" t="n">
        <v>99</v>
      </c>
      <c r="M362" s="4" t="n">
        <v>30</v>
      </c>
      <c r="N362" s="5" t="n">
        <v>1433.3</v>
      </c>
      <c r="O362" s="3" t="inlineStr">
        <is>
          <t>전원주택촌,조용함과 공기가 맑고 텃밭까지 준비된 정서생활에 딱 좋은집</t>
        </is>
      </c>
      <c r="P362" s="6">
        <f>HYPERLINK("https://fin.land.naver.com/articles/2654917884", "매물Link")</f>
        <v/>
      </c>
      <c r="Q362" s="6">
        <f>HYPERLINK("https://map.naver.com/p/search/남이면 팔봉리 218-20", "지도Link")</f>
        <v/>
      </c>
      <c r="R362" s="6">
        <f>HYPERLINK("http://www.eum.go.kr/web/ar/lu/luLandDet.jsp?pnu=4311231030102180020&amp;isNoScr=script&amp;mode=search", "토지이음")</f>
        <v/>
      </c>
      <c r="S362" s="3" t="inlineStr">
        <is>
          <t>복대시원</t>
        </is>
      </c>
      <c r="T362" s="4" t="n">
        <v>1</v>
      </c>
      <c r="U362" s="5" t="n">
        <v>36</v>
      </c>
      <c r="V362" s="4" t="n">
        <v>631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218-3</t>
        </is>
      </c>
      <c r="B363" s="3" t="inlineStr">
        <is>
          <t>보전관리지역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30000</v>
      </c>
      <c r="H363" s="4" t="n">
        <v>0</v>
      </c>
      <c r="I363" s="4" t="n">
        <v>714</v>
      </c>
      <c r="J363" s="4" t="n">
        <v>216</v>
      </c>
      <c r="K363" s="5" t="n">
        <v>138.9</v>
      </c>
      <c r="L363" s="4" t="n">
        <v>136</v>
      </c>
      <c r="M363" s="4" t="n">
        <v>41</v>
      </c>
      <c r="N363" s="5" t="n">
        <v>731.7</v>
      </c>
      <c r="O363" s="3" t="inlineStr">
        <is>
          <t>팔봉리 예쁜 단독주택 즉시입주 가능 내부수리 필요</t>
        </is>
      </c>
      <c r="P363" s="6">
        <f>HYPERLINK("https://fin.land.naver.com/articles/2654840590", "매물Link")</f>
        <v/>
      </c>
      <c r="Q363" s="6">
        <f>HYPERLINK("https://map.naver.com/p/search/남이면 팔봉리 218-3", "지도Link")</f>
        <v/>
      </c>
      <c r="R363" s="6">
        <f>HYPERLINK("http://www.eum.go.kr/web/ar/lu/luLandDet.jsp?pnu=4311231030102180003&amp;isNoScr=script&amp;mode=search", "토지이음")</f>
        <v/>
      </c>
      <c r="S363" s="3" t="inlineStr">
        <is>
          <t>복터</t>
        </is>
      </c>
      <c r="T363" s="4" t="n">
        <v>1</v>
      </c>
      <c r="U363" s="5" t="n">
        <v>37.5</v>
      </c>
      <c r="V363" s="4" t="n">
        <v>714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세로장방</t>
        </is>
      </c>
      <c r="AA363" s="3" t="inlineStr">
        <is>
          <t>세로한면(가)</t>
        </is>
      </c>
    </row>
    <row r="364">
      <c r="A364" s="3" t="inlineStr">
        <is>
          <t>남이면 팔봉리 218-30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50000</v>
      </c>
      <c r="H364" s="4" t="n">
        <v>0</v>
      </c>
      <c r="I364" s="4" t="n">
        <v>733</v>
      </c>
      <c r="J364" s="4" t="n">
        <v>222</v>
      </c>
      <c r="K364" s="5" t="n">
        <v>225.2</v>
      </c>
      <c r="L364" s="4" t="n">
        <v>98</v>
      </c>
      <c r="M364" s="4" t="n">
        <v>30</v>
      </c>
      <c r="N364" s="5" t="n">
        <v>1666.7</v>
      </c>
      <c r="O364" s="3" t="inlineStr">
        <is>
          <t>팔봉리 신축급 전원주택 매매  즉시입주</t>
        </is>
      </c>
      <c r="P364" s="6">
        <f>HYPERLINK("https://fin.land.naver.com/articles/2655403630", "매물Link")</f>
        <v/>
      </c>
      <c r="Q364" s="6">
        <f>HYPERLINK("https://map.naver.com/p/search/남이면 팔봉리 218-30", "지도Link")</f>
        <v/>
      </c>
      <c r="R364" s="6">
        <f>HYPERLINK("http://www.eum.go.kr/web/ar/lu/luLandDet.jsp?pnu=4311231030102180030&amp;isNoScr=script&amp;mode=search", "토지이음")</f>
        <v/>
      </c>
      <c r="S364" s="3" t="inlineStr">
        <is>
          <t>금호사랑</t>
        </is>
      </c>
      <c r="T364" s="4" t="n">
        <v>1</v>
      </c>
      <c r="U364" s="5" t="n">
        <v>42.1</v>
      </c>
      <c r="V364" s="4" t="n">
        <v>733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팔봉리 218-30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50000</v>
      </c>
      <c r="H365" s="4" t="n">
        <v>0</v>
      </c>
      <c r="I365" s="4" t="n">
        <v>733</v>
      </c>
      <c r="J365" s="4" t="n">
        <v>222</v>
      </c>
      <c r="K365" s="5" t="n">
        <v>225.2</v>
      </c>
      <c r="L365" s="4" t="n">
        <v>98</v>
      </c>
      <c r="M365" s="4" t="n">
        <v>30</v>
      </c>
      <c r="N365" s="5" t="n">
        <v>1666.7</v>
      </c>
      <c r="O365" s="3" t="inlineStr">
        <is>
          <t>팔봉리 신축급 전원주택 매매</t>
        </is>
      </c>
      <c r="P365" s="6">
        <f>HYPERLINK("https://fin.land.naver.com/articles/2655408824", "매물Link")</f>
        <v/>
      </c>
      <c r="Q365" s="6">
        <f>HYPERLINK("https://map.naver.com/p/search/남이면 팔봉리 218-30", "지도Link")</f>
        <v/>
      </c>
      <c r="R365" s="6">
        <f>HYPERLINK("http://www.eum.go.kr/web/ar/lu/luLandDet.jsp?pnu=4311231030102180030&amp;isNoScr=script&amp;mode=search", "토지이음")</f>
        <v/>
      </c>
      <c r="S365" s="3" t="inlineStr">
        <is>
          <t>금호사랑</t>
        </is>
      </c>
      <c r="T365" s="4" t="n">
        <v>2</v>
      </c>
      <c r="U365" s="5" t="n">
        <v>42.1</v>
      </c>
      <c r="V365" s="4" t="n">
        <v>733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팔봉리 218-33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월세</t>
        </is>
      </c>
      <c r="G366" s="4" t="n">
        <v>3000</v>
      </c>
      <c r="H366" s="4" t="n">
        <v>120</v>
      </c>
      <c r="I366" s="4" t="n">
        <v>534</v>
      </c>
      <c r="J366" s="4" t="n">
        <v>162</v>
      </c>
      <c r="K366" s="5" t="n">
        <v>0.7</v>
      </c>
      <c r="L366" s="4" t="n">
        <v>185</v>
      </c>
      <c r="M366" s="4" t="n">
        <v>56</v>
      </c>
      <c r="N366" s="5" t="n">
        <v>2.1</v>
      </c>
      <c r="O366" s="3" t="inlineStr">
        <is>
          <t>팔봉리 남향 깔끔한 구조 프라이빗한 주택 귀한월세</t>
        </is>
      </c>
      <c r="P366" s="6">
        <f>HYPERLINK("https://fin.land.naver.com/articles/2650590093", "매물Link")</f>
        <v/>
      </c>
      <c r="Q366" s="6">
        <f>HYPERLINK("https://map.naver.com/p/search/남이면 팔봉리 218-33", "지도Link")</f>
        <v/>
      </c>
      <c r="R366" s="6">
        <f>HYPERLINK("http://www.eum.go.kr/web/ar/lu/luLandDet.jsp?pnu=4311231030102180033&amp;isNoScr=script&amp;mode=search",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37.7</v>
      </c>
      <c r="V366" s="4" t="n">
        <v>534</v>
      </c>
      <c r="W366" s="3" t="inlineStr">
        <is>
          <t>자연녹지지역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팔봉리 218-44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533</v>
      </c>
      <c r="J367" s="4" t="n">
        <v>161</v>
      </c>
      <c r="K367" s="5" t="n">
        <v>279.5</v>
      </c>
      <c r="L367" s="4" t="n">
        <v>181</v>
      </c>
      <c r="M367" s="4" t="n">
        <v>55</v>
      </c>
      <c r="N367" s="5" t="n">
        <v>818.2</v>
      </c>
      <c r="O367" s="3" t="inlineStr">
        <is>
          <t>4년차. 예쁜정원있슴.2층전원주택.주변이 전원주택지.지하주차장이1층높</t>
        </is>
      </c>
      <c r="P367" s="6">
        <f>HYPERLINK("https://fin.land.naver.com/articles/2652005640", "매물Link")</f>
        <v/>
      </c>
      <c r="Q367" s="6">
        <f>HYPERLINK("https://map.naver.com/p/search/남이면 팔봉리 218-44", "지도Link")</f>
        <v/>
      </c>
      <c r="R367" s="6">
        <f>HYPERLINK("http://www.eum.go.kr/web/ar/lu/luLandDet.jsp?pnu=4311231030102180044&amp;isNoScr=script&amp;mode=search", "토지이음")</f>
        <v/>
      </c>
      <c r="S367" s="3" t="inlineStr">
        <is>
          <t>정은경</t>
        </is>
      </c>
      <c r="T367" s="4" t="n">
        <v>1</v>
      </c>
      <c r="U367" s="5" t="n">
        <v>41.6</v>
      </c>
      <c r="V367" s="4" t="n">
        <v>533</v>
      </c>
      <c r="W367" s="3" t="inlineStr">
        <is>
          <t>보전관리지역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팔봉리 39-42</t>
        </is>
      </c>
      <c r="B368" s="3" t="inlineStr">
        <is>
          <t>보전녹지지역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95000</v>
      </c>
      <c r="H368" s="4" t="n">
        <v>0</v>
      </c>
      <c r="I368" s="4" t="n">
        <v>897</v>
      </c>
      <c r="J368" s="4" t="n">
        <v>271</v>
      </c>
      <c r="K368" s="5" t="n">
        <v>350.6</v>
      </c>
      <c r="L368" s="4" t="n">
        <v>218</v>
      </c>
      <c r="M368" s="4" t="n">
        <v>66</v>
      </c>
      <c r="N368" s="5" t="n">
        <v>1439.4</v>
      </c>
      <c r="O368" s="3" t="inlineStr">
        <is>
          <t>남이면 팔봉리 전원주택 매매</t>
        </is>
      </c>
      <c r="P368" s="6">
        <f>HYPERLINK("https://fin.land.naver.com/articles/2654247456", "매물Link")</f>
        <v/>
      </c>
      <c r="Q368" s="6">
        <f>HYPERLINK("https://map.naver.com/p/search/남이면 팔봉리 39-42", "지도Link")</f>
        <v/>
      </c>
      <c r="R368" s="6">
        <f>HYPERLINK("http://www.eum.go.kr/web/ar/lu/luLandDet.jsp?pnu=4311231030100390042&amp;isNoScr=script&amp;mode=search", "토지이음")</f>
        <v/>
      </c>
      <c r="S368" s="3" t="inlineStr">
        <is>
          <t>금호사랑</t>
        </is>
      </c>
      <c r="T368" s="4" t="n">
        <v>1</v>
      </c>
      <c r="U368" s="5" t="n">
        <v>54.5</v>
      </c>
      <c r="V368" s="4" t="n">
        <v>897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51-20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59500</v>
      </c>
      <c r="H369" s="4" t="n">
        <v>0</v>
      </c>
      <c r="I369" s="4" t="n">
        <v>701</v>
      </c>
      <c r="J369" s="4" t="n">
        <v>212</v>
      </c>
      <c r="K369" s="5" t="n">
        <v>280.7</v>
      </c>
      <c r="L369" s="4" t="n">
        <v>99</v>
      </c>
      <c r="M369" s="4" t="n">
        <v>30</v>
      </c>
      <c r="N369" s="5" t="n">
        <v>1983.3</v>
      </c>
      <c r="O369" s="3" t="inlineStr">
        <is>
          <t>정원이 예쁜 집 팔봉리 전망좋은 주택매매</t>
        </is>
      </c>
      <c r="P369" s="6">
        <f>HYPERLINK("https://fin.land.naver.com/articles/2654272667", "매물Link")</f>
        <v/>
      </c>
      <c r="Q369" s="6">
        <f>HYPERLINK("https://map.naver.com/p/search/남이면 팔봉리 51-20", "지도Link")</f>
        <v/>
      </c>
      <c r="R369" s="6">
        <f>HYPERLINK("http://www.eum.go.kr/web/ar/lu/luLandDet.jsp?pnu=4311231030100510020&amp;isNoScr=script&amp;mode=search", "토지이음")</f>
        <v/>
      </c>
      <c r="S369" s="3" t="inlineStr">
        <is>
          <t>학사</t>
        </is>
      </c>
      <c r="T369" s="4" t="n">
        <v>1</v>
      </c>
      <c r="U369" s="5" t="n">
        <v>57.6</v>
      </c>
      <c r="V369" s="4" t="n">
        <v>701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다정동 798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200000</v>
      </c>
      <c r="H370" s="4" t="n">
        <v>0</v>
      </c>
      <c r="I370" s="4" t="n">
        <v>357</v>
      </c>
      <c r="J370" s="4" t="n">
        <v>108</v>
      </c>
      <c r="K370" s="5" t="n">
        <v>1851.9</v>
      </c>
      <c r="L370" s="4" t="n">
        <v>199</v>
      </c>
      <c r="M370" s="4" t="n">
        <v>60</v>
      </c>
      <c r="N370" s="5" t="n">
        <v>3333.3</v>
      </c>
      <c r="O370" s="3" t="inlineStr">
        <is>
          <t>팬트하우스 형 주택 최고급</t>
        </is>
      </c>
      <c r="P370" s="6">
        <f>HYPERLINK("https://fin.land.naver.com/articles/2652832579", "매물Link")</f>
        <v/>
      </c>
      <c r="Q370" s="6">
        <f>HYPERLINK("https://map.naver.com/p/search/다정동 798", "지도Link")</f>
        <v/>
      </c>
      <c r="R370" s="6">
        <f>HYPERLINK("http://www.eum.go.kr/web/ar/lu/luLandDet.jsp?pnu=3611010900107980000&amp;isNoScr=script&amp;mode=search", "토지이음")</f>
        <v/>
      </c>
      <c r="S370" s="3" t="inlineStr">
        <is>
          <t>세종삼촌</t>
        </is>
      </c>
      <c r="T370" s="4" t="n">
        <v>2</v>
      </c>
      <c r="U370" s="5" t="n">
        <v>319.2</v>
      </c>
      <c r="V370" s="4" t="n">
        <v>356.8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중로한면</t>
        </is>
      </c>
    </row>
    <row r="371">
      <c r="A371" s="3" t="inlineStr">
        <is>
          <t>다정동 798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200000</v>
      </c>
      <c r="H371" s="4" t="n">
        <v>0</v>
      </c>
      <c r="I371" s="4" t="n">
        <v>356</v>
      </c>
      <c r="J371" s="4" t="n">
        <v>108</v>
      </c>
      <c r="K371" s="5" t="n">
        <v>1851.9</v>
      </c>
      <c r="L371" s="4" t="n">
        <v>199</v>
      </c>
      <c r="M371" s="4" t="n">
        <v>60</v>
      </c>
      <c r="N371" s="5" t="n">
        <v>3333.3</v>
      </c>
      <c r="O371" s="3" t="inlineStr">
        <is>
          <t>조율가능 판교급 하이엔드 럭셔리주택 프라이빗한설계 자재최상 창호최상급</t>
        </is>
      </c>
      <c r="P371" s="6">
        <f>HYPERLINK("https://fin.land.naver.com/articles/2652917993", "매물Link")</f>
        <v/>
      </c>
      <c r="Q371" s="6">
        <f>HYPERLINK("https://map.naver.com/p/search/다정동 798", "지도Link")</f>
        <v/>
      </c>
      <c r="R371" s="6">
        <f>HYPERLINK("http://www.eum.go.kr/web/ar/lu/luLandDet.jsp?pnu=3611010900107980000&amp;isNoScr=script&amp;mode=search", "토지이음")</f>
        <v/>
      </c>
      <c r="S371" s="3" t="inlineStr">
        <is>
          <t>세종스타</t>
        </is>
      </c>
      <c r="T371" s="4" t="n">
        <v>1</v>
      </c>
      <c r="U371" s="5" t="n">
        <v>319.2</v>
      </c>
      <c r="V371" s="4" t="n">
        <v>356.8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다정동 831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120000</v>
      </c>
      <c r="H372" s="4" t="n">
        <v>0</v>
      </c>
      <c r="I372" s="4" t="n">
        <v>289</v>
      </c>
      <c r="J372" s="4" t="n">
        <v>87</v>
      </c>
      <c r="K372" s="5" t="n">
        <v>1379.3</v>
      </c>
      <c r="L372" s="4" t="n">
        <v>199</v>
      </c>
      <c r="M372" s="4" t="n">
        <v>60</v>
      </c>
      <c r="N372" s="5" t="n">
        <v>2000</v>
      </c>
      <c r="O372" s="3" t="inlineStr">
        <is>
          <t>1년차 최신축 방4개 모던한 단독주택</t>
        </is>
      </c>
      <c r="P372" s="6">
        <f>HYPERLINK("https://fin.land.naver.com/articles/2652917981", "매물Link")</f>
        <v/>
      </c>
      <c r="Q372" s="6">
        <f>HYPERLINK("https://map.naver.com/p/search/다정동 831", "지도Link")</f>
        <v/>
      </c>
      <c r="R372" s="6">
        <f>HYPERLINK("http://www.eum.go.kr/web/ar/lu/luLandDet.jsp?pnu=3611010900108310000&amp;isNoScr=script&amp;mode=search", "토지이음")</f>
        <v/>
      </c>
      <c r="S372" s="3" t="inlineStr">
        <is>
          <t>세종스타</t>
        </is>
      </c>
      <c r="T372" s="4" t="n">
        <v>4</v>
      </c>
      <c r="U372" s="5" t="n">
        <v>341.2</v>
      </c>
      <c r="V372" s="4" t="n">
        <v>289</v>
      </c>
      <c r="W372" s="3" t="inlineStr">
        <is>
          <t>지정되지않음</t>
        </is>
      </c>
      <c r="X372" s="3" t="inlineStr">
        <is>
          <t>주거나지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중로한면</t>
        </is>
      </c>
    </row>
    <row r="373">
      <c r="A373" s="3" t="inlineStr">
        <is>
          <t>다정동 890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매매</t>
        </is>
      </c>
      <c r="G373" s="4" t="n">
        <v>79800</v>
      </c>
      <c r="H373" s="4" t="n">
        <v>0</v>
      </c>
      <c r="I373" s="4" t="n">
        <v>15314</v>
      </c>
      <c r="J373" s="4" t="n">
        <v>4632</v>
      </c>
      <c r="K373" s="5" t="n">
        <v>17.2</v>
      </c>
      <c r="L373" s="4" t="n">
        <v>181</v>
      </c>
      <c r="M373" s="4" t="n">
        <v>55</v>
      </c>
      <c r="N373" s="5" t="n">
        <v>1450.9</v>
      </c>
      <c r="O373" s="3" t="inlineStr">
        <is>
          <t>12월11일협의입주,모두의로망전원주택에 살아보아요</t>
        </is>
      </c>
      <c r="P373" s="6">
        <f>HYPERLINK("https://fin.land.naver.com/articles/2654839381", "매물Link")</f>
        <v/>
      </c>
      <c r="Q373" s="6">
        <f>HYPERLINK("https://map.naver.com/p/search/다정동 890", "지도Link")</f>
        <v/>
      </c>
      <c r="R373" s="6">
        <f>HYPERLINK("http://www.eum.go.kr/web/ar/lu/luLandDet.jsp?pnu=3611010900108900000&amp;isNoScr=script&amp;mode=search", "토지이음")</f>
        <v/>
      </c>
      <c r="S373" s="3" t="inlineStr">
        <is>
          <t>확실한</t>
        </is>
      </c>
      <c r="T373" s="4" t="n">
        <v>1</v>
      </c>
      <c r="U373" s="5" t="n">
        <v>353.7</v>
      </c>
      <c r="V373" s="4" t="n">
        <v>374</v>
      </c>
      <c r="W373" s="3" t="inlineStr">
        <is>
          <t>지정되지않음</t>
        </is>
      </c>
      <c r="X373" s="3" t="inlineStr">
        <is>
          <t>주거나지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중로각지</t>
        </is>
      </c>
    </row>
    <row r="374">
      <c r="A374" s="3" t="inlineStr">
        <is>
          <t>도담동 426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178000</v>
      </c>
      <c r="H374" s="4" t="n">
        <v>0</v>
      </c>
      <c r="I374" s="4" t="n">
        <v>303</v>
      </c>
      <c r="J374" s="4" t="n">
        <v>92</v>
      </c>
      <c r="K374" s="5" t="n">
        <v>1934.8</v>
      </c>
      <c r="L374" s="4" t="n">
        <v>193</v>
      </c>
      <c r="M374" s="4" t="n">
        <v>58</v>
      </c>
      <c r="N374" s="5" t="n">
        <v>3069</v>
      </c>
      <c r="O374" s="3" t="inlineStr">
        <is>
          <t>최신축 위치최상 말발굽 귀한주택 매물 추가협의가능</t>
        </is>
      </c>
      <c r="P374" s="6">
        <f>HYPERLINK("https://fin.land.naver.com/articles/2653750680", "매물Link")</f>
        <v/>
      </c>
      <c r="Q374" s="6">
        <f>HYPERLINK("https://map.naver.com/p/search/도담동 426", "지도Link")</f>
        <v/>
      </c>
      <c r="R374" s="6">
        <f>HYPERLINK("http://www.eum.go.kr/web/ar/lu/luLandDet.jsp?pnu=3611011400104260000&amp;isNoScr=script&amp;mode=search", "토지이음")</f>
        <v/>
      </c>
      <c r="S374" s="3" t="inlineStr">
        <is>
          <t>세종스타</t>
        </is>
      </c>
      <c r="T374" s="4" t="n">
        <v>4</v>
      </c>
      <c r="U374" s="5" t="n">
        <v>358.3</v>
      </c>
      <c r="V374" s="4" t="n">
        <v>303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427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매매</t>
        </is>
      </c>
      <c r="G375" s="4" t="n">
        <v>169000</v>
      </c>
      <c r="H375" s="4" t="n">
        <v>0</v>
      </c>
      <c r="I375" s="4" t="n">
        <v>304</v>
      </c>
      <c r="J375" s="4" t="n">
        <v>92</v>
      </c>
      <c r="K375" s="5" t="n">
        <v>1837</v>
      </c>
      <c r="L375" s="4" t="n">
        <v>304</v>
      </c>
      <c r="M375" s="4" t="n">
        <v>92</v>
      </c>
      <c r="N375" s="5" t="n">
        <v>1837</v>
      </c>
      <c r="O375" s="3" t="inlineStr">
        <is>
          <t>협의입주.방4개,화장실3개.테라스.넓은 정원까지 튼튼하고 예쁜 집</t>
        </is>
      </c>
      <c r="P375" s="6">
        <f>HYPERLINK("https://fin.land.naver.com/articles/2653318803", "매물Link")</f>
        <v/>
      </c>
      <c r="Q375" s="6">
        <f>HYPERLINK("https://map.naver.com/p/search/도담동 427", "지도Link")</f>
        <v/>
      </c>
      <c r="R375" s="6">
        <f>HYPERLINK("http://www.eum.go.kr/web/ar/lu/luLandDet.jsp?pnu=3611011400104270000&amp;isNoScr=script&amp;mode=search", "토지이음")</f>
        <v/>
      </c>
      <c r="S375" s="3" t="inlineStr">
        <is>
          <t>수자인</t>
        </is>
      </c>
      <c r="T375" s="4" t="n">
        <v>1</v>
      </c>
      <c r="U375" s="5" t="n">
        <v>358.3</v>
      </c>
      <c r="V375" s="4" t="n">
        <v>304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도담동 427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매매</t>
        </is>
      </c>
      <c r="G376" s="4" t="n">
        <v>169000</v>
      </c>
      <c r="H376" s="4" t="n">
        <v>0</v>
      </c>
      <c r="I376" s="4" t="n">
        <v>304</v>
      </c>
      <c r="J376" s="4" t="n">
        <v>92</v>
      </c>
      <c r="K376" s="5" t="n">
        <v>1837</v>
      </c>
      <c r="L376" s="4" t="n">
        <v>176</v>
      </c>
      <c r="M376" s="4" t="n">
        <v>53</v>
      </c>
      <c r="N376" s="5" t="n">
        <v>3188.7</v>
      </c>
      <c r="O376" s="3" t="inlineStr">
        <is>
          <t>테라스, 공원 인접, 인근 충남대병원, 방축천, 로컬푸드, 6생활권 근접</t>
        </is>
      </c>
      <c r="P376" s="6">
        <f>HYPERLINK("https://fin.land.naver.com/articles/2655652107", "매물Link")</f>
        <v/>
      </c>
      <c r="Q376" s="6">
        <f>HYPERLINK("https://map.naver.com/p/search/도담동 427", "지도Link")</f>
        <v/>
      </c>
      <c r="R376" s="6">
        <f>HYPERLINK("http://www.eum.go.kr/web/ar/lu/luLandDet.jsp?pnu=3611011400104270000&amp;isNoScr=script&amp;mode=search", "토지이음")</f>
        <v/>
      </c>
      <c r="S376" s="3" t="inlineStr">
        <is>
          <t>온뜰</t>
        </is>
      </c>
      <c r="T376" s="4" t="n">
        <v>1</v>
      </c>
      <c r="U376" s="5" t="n">
        <v>358.3</v>
      </c>
      <c r="V376" s="4" t="n">
        <v>304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도담동 427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169000</v>
      </c>
      <c r="H377" s="4" t="n">
        <v>0</v>
      </c>
      <c r="I377" s="4" t="n">
        <v>304</v>
      </c>
      <c r="J377" s="4" t="n">
        <v>92</v>
      </c>
      <c r="K377" s="5" t="n">
        <v>1837</v>
      </c>
      <c r="L377" s="4" t="n">
        <v>176</v>
      </c>
      <c r="M377" s="4" t="n">
        <v>53</v>
      </c>
      <c r="N377" s="5" t="n">
        <v>3188.7</v>
      </c>
      <c r="O377" s="3" t="inlineStr">
        <is>
          <t>조율가능 넓은공원접한위치 테라스 조망최상</t>
        </is>
      </c>
      <c r="P377" s="6">
        <f>HYPERLINK("https://fin.land.naver.com/articles/2651086326", "매물Link")</f>
        <v/>
      </c>
      <c r="Q377" s="6">
        <f>HYPERLINK("https://map.naver.com/p/search/도담동 427", "지도Link")</f>
        <v/>
      </c>
      <c r="R377" s="6">
        <f>HYPERLINK("http://www.eum.go.kr/web/ar/lu/luLandDet.jsp?pnu=3611011400104270000&amp;isNoScr=script&amp;mode=search", "토지이음")</f>
        <v/>
      </c>
      <c r="S377" s="3" t="inlineStr">
        <is>
          <t>세종스타</t>
        </is>
      </c>
      <c r="T377" s="4" t="n">
        <v>2</v>
      </c>
      <c r="U377" s="5" t="n">
        <v>358.3</v>
      </c>
      <c r="V377" s="4" t="n">
        <v>304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176</v>
      </c>
      <c r="M378" s="4" t="n">
        <v>53</v>
      </c>
      <c r="N378" s="5" t="n">
        <v>3188.7</v>
      </c>
      <c r="O378" s="3" t="inlineStr">
        <is>
          <t>전용 53.4p, 층고 높고 조망 좋은집, 테라스, 공원인근</t>
        </is>
      </c>
      <c r="P378" s="6">
        <f>HYPERLINK("https://fin.land.naver.com/articles/2654924033",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명진</t>
        </is>
      </c>
      <c r="T378" s="4" t="n">
        <v>2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176</v>
      </c>
      <c r="M379" s="4" t="n">
        <v>53</v>
      </c>
      <c r="N379" s="5" t="n">
        <v>3188.7</v>
      </c>
      <c r="O379" s="3" t="inlineStr">
        <is>
          <t>2층 테라스, 전망 좋은집, 방4개, 화장실3개</t>
        </is>
      </c>
      <c r="P379" s="6">
        <f>HYPERLINK("https://fin.land.naver.com/articles/2654692677",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세종무지개</t>
        </is>
      </c>
      <c r="T379" s="4" t="n">
        <v>1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169000</v>
      </c>
      <c r="H380" s="4" t="n">
        <v>0</v>
      </c>
      <c r="I380" s="4" t="n">
        <v>304</v>
      </c>
      <c r="J380" s="4" t="n">
        <v>92</v>
      </c>
      <c r="K380" s="5" t="n">
        <v>1837</v>
      </c>
      <c r="L380" s="4" t="n">
        <v>176</v>
      </c>
      <c r="M380" s="4" t="n">
        <v>53</v>
      </c>
      <c r="N380" s="5" t="n">
        <v>3188.7</v>
      </c>
      <c r="O380" s="3" t="inlineStr">
        <is>
          <t>도담동 신축주택. 공원인접</t>
        </is>
      </c>
      <c r="P380" s="6">
        <f>HYPERLINK("https://fin.land.naver.com/articles/2655648064",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최무연</t>
        </is>
      </c>
      <c r="T380" s="4" t="n">
        <v>1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공원 인접한 숲세권 단독주택, 충남대 병원 도보로 가능</t>
        </is>
      </c>
      <c r="P381" s="6">
        <f>HYPERLINK("https://fin.land.naver.com/articles/2652665481",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오케이태복</t>
        </is>
      </c>
      <c r="T381" s="4" t="n">
        <v>2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518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130000</v>
      </c>
      <c r="H382" s="4" t="n">
        <v>0</v>
      </c>
      <c r="I382" s="4" t="n">
        <v>373</v>
      </c>
      <c r="J382" s="4" t="n">
        <v>113</v>
      </c>
      <c r="K382" s="5" t="n">
        <v>1150.4</v>
      </c>
      <c r="L382" s="4" t="n">
        <v>95</v>
      </c>
      <c r="M382" s="4" t="n">
        <v>29</v>
      </c>
      <c r="N382" s="5" t="n">
        <v>4482.8</v>
      </c>
      <c r="O382" s="3" t="inlineStr">
        <is>
          <t>협의입주,말발굽자리,남향,마당넓은 예쁜집입니다.</t>
        </is>
      </c>
      <c r="P382" s="6">
        <f>HYPERLINK("https://fin.land.naver.com/articles/2654154469", "매물Link")</f>
        <v/>
      </c>
      <c r="Q382" s="6">
        <f>HYPERLINK("https://map.naver.com/p/search/도담동 518", "지도Link")</f>
        <v/>
      </c>
      <c r="R382" s="6">
        <f>HYPERLINK("http://www.eum.go.kr/web/ar/lu/luLandDet.jsp?pnu=3611011400105180000&amp;isNoScr=script&amp;mode=search", "토지이음")</f>
        <v/>
      </c>
      <c r="S382" s="3" t="inlineStr">
        <is>
          <t>마마</t>
        </is>
      </c>
      <c r="T382" s="4" t="n">
        <v>1</v>
      </c>
      <c r="U382" s="5" t="n">
        <v>366.9</v>
      </c>
      <c r="V382" s="4" t="n">
        <v>373.8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도담동 518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130000</v>
      </c>
      <c r="H383" s="4" t="n">
        <v>0</v>
      </c>
      <c r="I383" s="4" t="n">
        <v>373</v>
      </c>
      <c r="J383" s="4" t="n">
        <v>113</v>
      </c>
      <c r="K383" s="5" t="n">
        <v>1150.4</v>
      </c>
      <c r="L383" s="4" t="n">
        <v>95</v>
      </c>
      <c r="M383" s="4" t="n">
        <v>29</v>
      </c>
      <c r="N383" s="5" t="n">
        <v>4482.8</v>
      </c>
      <c r="O383" s="3" t="inlineStr">
        <is>
          <t>도담동 마당넓은 단독주택, 초등학교 인근</t>
        </is>
      </c>
      <c r="P383" s="6">
        <f>HYPERLINK("https://fin.land.naver.com/articles/2650963994", "매물Link")</f>
        <v/>
      </c>
      <c r="Q383" s="6">
        <f>HYPERLINK("https://map.naver.com/p/search/도담동 518", "지도Link")</f>
        <v/>
      </c>
      <c r="R383" s="6">
        <f>HYPERLINK("http://www.eum.go.kr/web/ar/lu/luLandDet.jsp?pnu=3611011400105180000&amp;isNoScr=script&amp;mode=search", "토지이음")</f>
        <v/>
      </c>
      <c r="S383" s="3" t="inlineStr">
        <is>
          <t>OK세종</t>
        </is>
      </c>
      <c r="T383" s="4" t="n">
        <v>1</v>
      </c>
      <c r="U383" s="5" t="n">
        <v>366.9</v>
      </c>
      <c r="V383" s="4" t="n">
        <v>373.8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정방형</t>
        </is>
      </c>
      <c r="AA383" s="3" t="inlineStr">
        <is>
          <t>소로한면</t>
        </is>
      </c>
    </row>
    <row r="384">
      <c r="A384" s="3" t="inlineStr">
        <is>
          <t>도담동 601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월세</t>
        </is>
      </c>
      <c r="G384" s="4" t="n">
        <v>20000</v>
      </c>
      <c r="H384" s="4" t="n">
        <v>50</v>
      </c>
      <c r="I384" s="4" t="n">
        <v>116</v>
      </c>
      <c r="J384" s="4" t="n">
        <v>35</v>
      </c>
      <c r="K384" s="5" t="n">
        <v>1.4</v>
      </c>
      <c r="L384" s="4" t="n">
        <v>79</v>
      </c>
      <c r="M384" s="4" t="n">
        <v>24</v>
      </c>
      <c r="N384" s="5" t="n">
        <v>2.1</v>
      </c>
      <c r="O384" s="3" t="inlineStr">
        <is>
          <t>2층만,3억전세가능,2층전용출입문,다락방,테라스,방축천 충대병원 도보</t>
        </is>
      </c>
      <c r="P384" s="6">
        <f>HYPERLINK("https://fin.land.naver.com/articles/2653270299", "매물Link")</f>
        <v/>
      </c>
      <c r="Q384" s="6">
        <f>HYPERLINK("https://map.naver.com/p/search/도담동 601", "지도Link")</f>
        <v/>
      </c>
      <c r="R384" s="6">
        <f>HYPERLINK("http://www.eum.go.kr/web/ar/lu/luLandDet.jsp?pnu=3611011400106010000&amp;isNoScr=script&amp;mode=search", "토지이음")</f>
        <v/>
      </c>
      <c r="S384" s="3" t="inlineStr">
        <is>
          <t>태복</t>
        </is>
      </c>
      <c r="T384" s="4" t="n">
        <v>2</v>
      </c>
      <c r="U384" s="5" t="n">
        <v>433.7</v>
      </c>
      <c r="V384" s="4" t="n">
        <v>294.8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도담동 601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월세</t>
        </is>
      </c>
      <c r="G385" s="4" t="n">
        <v>20000</v>
      </c>
      <c r="H385" s="4" t="n">
        <v>50</v>
      </c>
      <c r="I385" s="4" t="n">
        <v>116</v>
      </c>
      <c r="J385" s="4" t="n">
        <v>35</v>
      </c>
      <c r="K385" s="5" t="n">
        <v>1.4</v>
      </c>
      <c r="L385" s="4" t="n">
        <v>79</v>
      </c>
      <c r="M385" s="4" t="n">
        <v>24</v>
      </c>
      <c r="N385" s="5" t="n">
        <v>2.1</v>
      </c>
      <c r="O385" s="3" t="inlineStr">
        <is>
          <t>2층과 다락방사용, 외부계단이용, 전기태양광설치, 전세로 가능</t>
        </is>
      </c>
      <c r="P385" s="6">
        <f>HYPERLINK("https://fin.land.naver.com/articles/2651701809", "매물Link")</f>
        <v/>
      </c>
      <c r="Q385" s="6">
        <f>HYPERLINK("https://map.naver.com/p/search/도담동 601", "지도Link")</f>
        <v/>
      </c>
      <c r="R385" s="6">
        <f>HYPERLINK("http://www.eum.go.kr/web/ar/lu/luLandDet.jsp?pnu=3611011400106010000&amp;isNoScr=script&amp;mode=search", "토지이음")</f>
        <v/>
      </c>
      <c r="S385" s="3" t="inlineStr">
        <is>
          <t>OK세종</t>
        </is>
      </c>
      <c r="T385" s="4" t="n">
        <v>1</v>
      </c>
      <c r="U385" s="5" t="n">
        <v>433.7</v>
      </c>
      <c r="V385" s="4" t="n">
        <v>294.8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도담동 697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170000</v>
      </c>
      <c r="H386" s="4" t="n">
        <v>0</v>
      </c>
      <c r="I386" s="4" t="n">
        <v>324</v>
      </c>
      <c r="J386" s="4" t="n">
        <v>98</v>
      </c>
      <c r="K386" s="5" t="n">
        <v>1734.7</v>
      </c>
      <c r="L386" s="4" t="n">
        <v>293</v>
      </c>
      <c r="M386" s="4" t="n">
        <v>89</v>
      </c>
      <c r="N386" s="5" t="n">
        <v>1910.1</v>
      </c>
      <c r="O386" s="3" t="inlineStr">
        <is>
          <t>급매 추가조율가능 전세가능8억 대형주택 2세대거주가능</t>
        </is>
      </c>
      <c r="P386" s="6">
        <f>HYPERLINK("https://fin.land.naver.com/articles/2655254355", "매물Link")</f>
        <v/>
      </c>
      <c r="Q386" s="6">
        <f>HYPERLINK("https://map.naver.com/p/search/도담동 697", "지도Link")</f>
        <v/>
      </c>
      <c r="R386" s="6">
        <f>HYPERLINK("http://www.eum.go.kr/web/ar/lu/luLandDet.jsp?pnu=3611011400106970000&amp;isNoScr=script&amp;mode=search", "토지이음")</f>
        <v/>
      </c>
      <c r="S386" s="3" t="inlineStr">
        <is>
          <t>세종스타</t>
        </is>
      </c>
      <c r="T386" s="4" t="n">
        <v>3</v>
      </c>
      <c r="U386" s="5" t="n">
        <v>378.2</v>
      </c>
      <c r="V386" s="4" t="n">
        <v>324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697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170000</v>
      </c>
      <c r="H387" s="4" t="n">
        <v>0</v>
      </c>
      <c r="I387" s="4" t="n">
        <v>324</v>
      </c>
      <c r="J387" s="4" t="n">
        <v>98</v>
      </c>
      <c r="K387" s="5" t="n">
        <v>1734.7</v>
      </c>
      <c r="L387" s="4" t="n">
        <v>293</v>
      </c>
      <c r="M387" s="4" t="n">
        <v>89</v>
      </c>
      <c r="N387" s="5" t="n">
        <v>1910.1</v>
      </c>
      <c r="O387" s="3" t="inlineStr">
        <is>
          <t>전용 89p, 조율가능, 급매물, 2세대가능, 전세도가능</t>
        </is>
      </c>
      <c r="P387" s="6">
        <f>HYPERLINK("https://fin.land.naver.com/articles/2654709247", "매물Link")</f>
        <v/>
      </c>
      <c r="Q387" s="6">
        <f>HYPERLINK("https://map.naver.com/p/search/도담동 697", "지도Link")</f>
        <v/>
      </c>
      <c r="R387" s="6">
        <f>HYPERLINK("http://www.eum.go.kr/web/ar/lu/luLandDet.jsp?pnu=3611011400106970000&amp;isNoScr=script&amp;mode=search", "토지이음")</f>
        <v/>
      </c>
      <c r="S387" s="3" t="inlineStr">
        <is>
          <t>세종무지개</t>
        </is>
      </c>
      <c r="T387" s="4" t="n">
        <v>2</v>
      </c>
      <c r="U387" s="5" t="n">
        <v>378.2</v>
      </c>
      <c r="V387" s="4" t="n">
        <v>324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698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225000</v>
      </c>
      <c r="H388" s="4" t="n">
        <v>0</v>
      </c>
      <c r="I388" s="4" t="n">
        <v>324</v>
      </c>
      <c r="J388" s="4" t="n">
        <v>98</v>
      </c>
      <c r="K388" s="5" t="n">
        <v>2295.9</v>
      </c>
      <c r="L388" s="4" t="n">
        <v>199</v>
      </c>
      <c r="M388" s="4" t="n">
        <v>60</v>
      </c>
      <c r="N388" s="5" t="n">
        <v>3750</v>
      </c>
      <c r="O388" s="3" t="inlineStr">
        <is>
          <t>도담동 최고입지 귀한 단독주택 넓은평수 목조주택</t>
        </is>
      </c>
      <c r="P388" s="6">
        <f>HYPERLINK("https://fin.land.naver.com/articles/2654038763", "매물Link")</f>
        <v/>
      </c>
      <c r="Q388" s="6">
        <f>HYPERLINK("https://map.naver.com/p/search/도담동 698", "지도Link")</f>
        <v/>
      </c>
      <c r="R388" s="6">
        <f>HYPERLINK("http://www.eum.go.kr/web/ar/lu/luLandDet.jsp?pnu=3611011400106980000&amp;isNoScr=script&amp;mode=search", "토지이음")</f>
        <v/>
      </c>
      <c r="S388" s="3" t="inlineStr">
        <is>
          <t>세종스타</t>
        </is>
      </c>
      <c r="T388" s="4" t="n">
        <v>1</v>
      </c>
      <c r="U388" s="5" t="n">
        <v>382.1</v>
      </c>
      <c r="V388" s="4" t="n">
        <v>324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소로한면</t>
        </is>
      </c>
    </row>
    <row r="389">
      <c r="A389" s="3" t="inlineStr">
        <is>
          <t>도담동 698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230000</v>
      </c>
      <c r="H389" s="4" t="n">
        <v>0</v>
      </c>
      <c r="I389" s="4" t="n">
        <v>324</v>
      </c>
      <c r="J389" s="4" t="n">
        <v>98</v>
      </c>
      <c r="K389" s="5" t="n">
        <v>2346.9</v>
      </c>
      <c r="L389" s="4" t="n">
        <v>199</v>
      </c>
      <c r="M389" s="4" t="n">
        <v>60</v>
      </c>
      <c r="N389" s="5" t="n">
        <v>3833.3</v>
      </c>
      <c r="O389" s="3" t="inlineStr">
        <is>
          <t>명성공인, 방4, 화4, 풀에어컨, 다락까지 있는 위치 좋은 추천 매물</t>
        </is>
      </c>
      <c r="P389" s="6">
        <f>HYPERLINK("https://fin.land.naver.com/articles/2650066777", "매물Link")</f>
        <v/>
      </c>
      <c r="Q389" s="6">
        <f>HYPERLINK("https://map.naver.com/p/search/도담동 698", "지도Link")</f>
        <v/>
      </c>
      <c r="R389" s="6">
        <f>HYPERLINK("http://www.eum.go.kr/web/ar/lu/luLandDet.jsp?pnu=3611011400106980000&amp;isNoScr=script&amp;mode=search", "토지이음")</f>
        <v/>
      </c>
      <c r="S389" s="3" t="inlineStr">
        <is>
          <t>명성</t>
        </is>
      </c>
      <c r="T389" s="4" t="n">
        <v>1</v>
      </c>
      <c r="U389" s="5" t="n">
        <v>382.1</v>
      </c>
      <c r="V389" s="4" t="n">
        <v>324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가로장방</t>
        </is>
      </c>
      <c r="AA389" s="3" t="inlineStr">
        <is>
          <t>소로한면</t>
        </is>
      </c>
    </row>
    <row r="390">
      <c r="A390" s="3" t="inlineStr">
        <is>
          <t>도담동 698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225000</v>
      </c>
      <c r="H390" s="4" t="n">
        <v>0</v>
      </c>
      <c r="I390" s="4" t="n">
        <v>324</v>
      </c>
      <c r="J390" s="4" t="n">
        <v>98</v>
      </c>
      <c r="K390" s="5" t="n">
        <v>2295.9</v>
      </c>
      <c r="L390" s="4" t="n">
        <v>199</v>
      </c>
      <c r="M390" s="4" t="n">
        <v>60</v>
      </c>
      <c r="N390" s="5" t="n">
        <v>3750</v>
      </c>
      <c r="O390" s="3" t="inlineStr">
        <is>
          <t>전용60.3p, 방4개, 화장실4개, 입지 좋은 단독주택</t>
        </is>
      </c>
      <c r="P390" s="6">
        <f>HYPERLINK("https://fin.land.naver.com/articles/2654696423", "매물Link")</f>
        <v/>
      </c>
      <c r="Q390" s="6">
        <f>HYPERLINK("https://map.naver.com/p/search/도담동 698", "지도Link")</f>
        <v/>
      </c>
      <c r="R390" s="6">
        <f>HYPERLINK("http://www.eum.go.kr/web/ar/lu/luLandDet.jsp?pnu=3611011400106980000&amp;isNoScr=script&amp;mode=search", "토지이음")</f>
        <v/>
      </c>
      <c r="S390" s="3" t="inlineStr">
        <is>
          <t>세종무지개</t>
        </is>
      </c>
      <c r="T390" s="4" t="n">
        <v>1</v>
      </c>
      <c r="U390" s="5" t="n">
        <v>382.1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소로한면</t>
        </is>
      </c>
    </row>
    <row r="391">
      <c r="A391" s="3" t="inlineStr">
        <is>
          <t>도담동 698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230000</v>
      </c>
      <c r="H391" s="4" t="n">
        <v>0</v>
      </c>
      <c r="I391" s="4" t="n">
        <v>324</v>
      </c>
      <c r="J391" s="4" t="n">
        <v>98</v>
      </c>
      <c r="K391" s="5" t="n">
        <v>2346.9</v>
      </c>
      <c r="L391" s="4" t="n">
        <v>199</v>
      </c>
      <c r="M391" s="4" t="n">
        <v>60</v>
      </c>
      <c r="N391" s="5" t="n">
        <v>3833.3</v>
      </c>
      <c r="O391" s="3" t="inlineStr">
        <is>
          <t>nan</t>
        </is>
      </c>
      <c r="P391" s="6">
        <f>HYPERLINK("https://fin.land.naver.com/articles/2655659815", "매물Link")</f>
        <v/>
      </c>
      <c r="Q391" s="6">
        <f>HYPERLINK("https://map.naver.com/p/search/도담동 698", "지도Link")</f>
        <v/>
      </c>
      <c r="R391" s="6">
        <f>HYPERLINK("http://www.eum.go.kr/web/ar/lu/luLandDet.jsp?pnu=3611011400106980000&amp;isNoScr=script&amp;mode=search", "토지이음")</f>
        <v/>
      </c>
      <c r="S391" s="3" t="inlineStr">
        <is>
          <t>세종삼촌</t>
        </is>
      </c>
      <c r="T391" s="4" t="n">
        <v>2</v>
      </c>
      <c r="U391" s="5" t="n">
        <v>382.1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225000</v>
      </c>
      <c r="H392" s="4" t="n">
        <v>0</v>
      </c>
      <c r="I392" s="4" t="n">
        <v>324</v>
      </c>
      <c r="J392" s="4" t="n">
        <v>98</v>
      </c>
      <c r="K392" s="5" t="n">
        <v>2295.9</v>
      </c>
      <c r="L392" s="4" t="n">
        <v>199</v>
      </c>
      <c r="M392" s="4" t="n">
        <v>60</v>
      </c>
      <c r="N392" s="5" t="n">
        <v>3750</v>
      </c>
      <c r="O392" s="3" t="inlineStr">
        <is>
          <t>자재 하나 하나 고급진  단독 매매</t>
        </is>
      </c>
      <c r="P392" s="6">
        <f>HYPERLINK("https://fin.land.naver.com/articles/2650613196",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THE행복</t>
        </is>
      </c>
      <c r="T392" s="4" t="n">
        <v>1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750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302</v>
      </c>
      <c r="J393" s="4" t="n">
        <v>91</v>
      </c>
      <c r="K393" s="5" t="n">
        <v>934.1</v>
      </c>
      <c r="L393" s="4" t="n">
        <v>52</v>
      </c>
      <c r="M393" s="4" t="n">
        <v>16</v>
      </c>
      <c r="N393" s="5" t="n">
        <v>5312.5</v>
      </c>
      <c r="O393" s="3" t="inlineStr">
        <is>
          <t>도담동 입지 좋은 단독주택</t>
        </is>
      </c>
      <c r="P393" s="6">
        <f>HYPERLINK("https://fin.land.naver.com/articles/2653531118", "매물Link")</f>
        <v/>
      </c>
      <c r="Q393" s="6">
        <f>HYPERLINK("https://map.naver.com/p/search/도담동 750", "지도Link")</f>
        <v/>
      </c>
      <c r="R393" s="6">
        <f>HYPERLINK("http://www.eum.go.kr/web/ar/lu/luLandDet.jsp?pnu=3611011400107500000&amp;isNoScr=script&amp;mode=search", "토지이음")</f>
        <v/>
      </c>
      <c r="S393" s="3" t="inlineStr">
        <is>
          <t>어반나래</t>
        </is>
      </c>
      <c r="T393" s="4" t="n">
        <v>1</v>
      </c>
      <c r="U393" s="5" t="n">
        <v>382.1</v>
      </c>
      <c r="V393" s="4" t="n">
        <v>302.8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도담동 753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230000</v>
      </c>
      <c r="H394" s="4" t="n">
        <v>0</v>
      </c>
      <c r="I394" s="4" t="n">
        <v>344</v>
      </c>
      <c r="J394" s="4" t="n">
        <v>104</v>
      </c>
      <c r="K394" s="5" t="n">
        <v>2211.5</v>
      </c>
      <c r="L394" s="4" t="n">
        <v>233</v>
      </c>
      <c r="M394" s="4" t="n">
        <v>70</v>
      </c>
      <c r="N394" s="5" t="n">
        <v>3285.7</v>
      </c>
      <c r="O394" s="3" t="inlineStr">
        <is>
          <t>도시 속의 자연을 품은 주택,편리한 주거환경,BRT,방축천 라인 중심상권</t>
        </is>
      </c>
      <c r="P394" s="6">
        <f>HYPERLINK("https://fin.land.naver.com/articles/2650847837", "매물Link")</f>
        <v/>
      </c>
      <c r="Q394" s="6">
        <f>HYPERLINK("https://map.naver.com/p/search/도담동 753", "지도Link")</f>
        <v/>
      </c>
      <c r="R394" s="6">
        <f>HYPERLINK("http://www.eum.go.kr/web/ar/lu/luLandDet.jsp?pnu=3611011400107530000&amp;isNoScr=script&amp;mode=search", "토지이음")</f>
        <v/>
      </c>
      <c r="S394" s="3" t="inlineStr">
        <is>
          <t>세종웅진</t>
        </is>
      </c>
      <c r="T394" s="4" t="n">
        <v>1</v>
      </c>
      <c r="U394" s="5" t="n">
        <v>382.1</v>
      </c>
      <c r="V394" s="4" t="n">
        <v>344.1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도담동 782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82000</v>
      </c>
      <c r="H395" s="4" t="n">
        <v>0</v>
      </c>
      <c r="I395" s="4" t="n">
        <v>333</v>
      </c>
      <c r="J395" s="4" t="n">
        <v>101</v>
      </c>
      <c r="K395" s="5" t="n">
        <v>811.9</v>
      </c>
      <c r="L395" s="4" t="n">
        <v>35</v>
      </c>
      <c r="M395" s="4" t="n">
        <v>11</v>
      </c>
      <c r="N395" s="5" t="n">
        <v>7454.5</v>
      </c>
      <c r="O395" s="3" t="inlineStr">
        <is>
          <t>생명나무,도담동 아담한 모듈하우스 경작가능 주말쉼터로도 좋아요</t>
        </is>
      </c>
      <c r="P395" s="6">
        <f>HYPERLINK("https://fin.land.naver.com/articles/2651373721", "매물Link")</f>
        <v/>
      </c>
      <c r="Q395" s="6">
        <f>HYPERLINK("https://map.naver.com/p/search/도담동 782", "지도Link")</f>
        <v/>
      </c>
      <c r="R395" s="6">
        <f>HYPERLINK("http://www.eum.go.kr/web/ar/lu/luLandDet.jsp?pnu=3611011400107820000&amp;isNoScr=script&amp;mode=search", "토지이음")</f>
        <v/>
      </c>
      <c r="S395" s="3" t="inlineStr">
        <is>
          <t>생명나무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782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82000</v>
      </c>
      <c r="H396" s="4" t="n">
        <v>0</v>
      </c>
      <c r="I396" s="4" t="n">
        <v>333</v>
      </c>
      <c r="J396" s="4" t="n">
        <v>101</v>
      </c>
      <c r="K396" s="5" t="n">
        <v>811.9</v>
      </c>
      <c r="L396" s="4" t="n">
        <v>35</v>
      </c>
      <c r="M396" s="4" t="n">
        <v>11</v>
      </c>
      <c r="N396" s="5" t="n">
        <v>7454.5</v>
      </c>
      <c r="O396" s="3" t="inlineStr">
        <is>
          <t>넓은 마당, 정남향, 세컨하우스, 공방, 작업실 추천</t>
        </is>
      </c>
      <c r="P396" s="6">
        <f>HYPERLINK("https://fin.land.naver.com/articles/2651949513", "매물Link")</f>
        <v/>
      </c>
      <c r="Q396" s="6">
        <f>HYPERLINK("https://map.naver.com/p/search/도담동 782", "지도Link")</f>
        <v/>
      </c>
      <c r="R396" s="6">
        <f>HYPERLINK("http://www.eum.go.kr/web/ar/lu/luLandDet.jsp?pnu=3611011400107820000&amp;isNoScr=script&amp;mode=search", "토지이음")</f>
        <v/>
      </c>
      <c r="S396" s="3" t="inlineStr">
        <is>
          <t>명진</t>
        </is>
      </c>
      <c r="T396" s="4" t="n">
        <v>1</v>
      </c>
      <c r="U396" s="5" t="n">
        <v>391.1</v>
      </c>
      <c r="V396" s="4" t="n">
        <v>333.7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782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82000</v>
      </c>
      <c r="H397" s="4" t="n">
        <v>0</v>
      </c>
      <c r="I397" s="4" t="n">
        <v>333</v>
      </c>
      <c r="J397" s="4" t="n">
        <v>101</v>
      </c>
      <c r="K397" s="5" t="n">
        <v>811.9</v>
      </c>
      <c r="L397" s="4" t="n">
        <v>35</v>
      </c>
      <c r="M397" s="4" t="n">
        <v>11</v>
      </c>
      <c r="N397" s="5" t="n">
        <v>7454.5</v>
      </c>
      <c r="O397" s="3" t="inlineStr">
        <is>
          <t>nan</t>
        </is>
      </c>
      <c r="P397" s="6">
        <f>HYPERLINK("https://fin.land.naver.com/articles/2652442121", "매물Link")</f>
        <v/>
      </c>
      <c r="Q397" s="6">
        <f>HYPERLINK("https://map.naver.com/p/search/도담동 782", "지도Link")</f>
        <v/>
      </c>
      <c r="R397" s="6">
        <f>HYPERLINK("http://www.eum.go.kr/web/ar/lu/luLandDet.jsp?pnu=3611011400107820000&amp;isNoScr=script&amp;mode=search",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391.1</v>
      </c>
      <c r="V397" s="4" t="n">
        <v>333.7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782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전원주택</t>
        </is>
      </c>
      <c r="F398" s="3" t="inlineStr">
        <is>
          <t>매매</t>
        </is>
      </c>
      <c r="G398" s="4" t="n">
        <v>82000</v>
      </c>
      <c r="H398" s="4" t="n">
        <v>0</v>
      </c>
      <c r="I398" s="4" t="n">
        <v>333</v>
      </c>
      <c r="J398" s="4" t="n">
        <v>101</v>
      </c>
      <c r="K398" s="5" t="n">
        <v>811.9</v>
      </c>
      <c r="L398" s="4" t="n">
        <v>35</v>
      </c>
      <c r="M398" s="4" t="n">
        <v>11</v>
      </c>
      <c r="N398" s="5" t="n">
        <v>7454.5</v>
      </c>
      <c r="O398" s="3" t="inlineStr">
        <is>
          <t>청사와홈플인근 입지좋고 세컨하우스로 사용할수있는 모듈하우스</t>
        </is>
      </c>
      <c r="P398" s="6">
        <f>HYPERLINK("https://fin.land.naver.com/articles/2653841691", "매물Link")</f>
        <v/>
      </c>
      <c r="Q398" s="6">
        <f>HYPERLINK("https://map.naver.com/p/search/도담동 782", "지도Link")</f>
        <v/>
      </c>
      <c r="R398" s="6">
        <f>HYPERLINK("http://www.eum.go.kr/web/ar/lu/luLandDet.jsp?pnu=3611011400107820000&amp;isNoScr=script&amp;mode=search", "토지이음")</f>
        <v/>
      </c>
      <c r="S398" s="3" t="inlineStr">
        <is>
          <t>웅진스타</t>
        </is>
      </c>
      <c r="T398" s="4" t="n">
        <v>1</v>
      </c>
      <c r="U398" s="5" t="n">
        <v>391.1</v>
      </c>
      <c r="V398" s="4" t="n">
        <v>333.7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도담동 782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82000</v>
      </c>
      <c r="H399" s="4" t="n">
        <v>0</v>
      </c>
      <c r="I399" s="4" t="n">
        <v>333</v>
      </c>
      <c r="J399" s="4" t="n">
        <v>101</v>
      </c>
      <c r="K399" s="5" t="n">
        <v>811.9</v>
      </c>
      <c r="L399" s="4" t="n">
        <v>35</v>
      </c>
      <c r="M399" s="4" t="n">
        <v>11</v>
      </c>
      <c r="N399" s="5" t="n">
        <v>7454.5</v>
      </c>
      <c r="O399" s="3" t="inlineStr">
        <is>
          <t>마당이 넓은 1층 단독주택, 세컨하우스, 공방, 주말쉼터 추천</t>
        </is>
      </c>
      <c r="P399" s="6">
        <f>HYPERLINK("https://fin.land.naver.com/articles/2651188895", "매물Link")</f>
        <v/>
      </c>
      <c r="Q399" s="6">
        <f>HYPERLINK("https://map.naver.com/p/search/도담동 782", "지도Link")</f>
        <v/>
      </c>
      <c r="R399" s="6">
        <f>HYPERLINK("http://www.eum.go.kr/web/ar/lu/luLandDet.jsp?pnu=3611011400107820000&amp;isNoScr=script&amp;mode=search", "토지이음")</f>
        <v/>
      </c>
      <c r="S399" s="3" t="inlineStr">
        <is>
          <t>세종무지개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795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150000</v>
      </c>
      <c r="H400" s="4" t="n">
        <v>0</v>
      </c>
      <c r="I400" s="4" t="n">
        <v>316</v>
      </c>
      <c r="J400" s="4" t="n">
        <v>96</v>
      </c>
      <c r="K400" s="5" t="n">
        <v>1562.5</v>
      </c>
      <c r="L400" s="4" t="n">
        <v>145</v>
      </c>
      <c r="M400" s="4" t="n">
        <v>44</v>
      </c>
      <c r="N400" s="5" t="n">
        <v>3409.1</v>
      </c>
      <c r="O400" s="3" t="inlineStr">
        <is>
          <t>조율가능 즉시입주협의 홈플 늘봄초 BRT 도보</t>
        </is>
      </c>
      <c r="P400" s="6">
        <f>HYPERLINK("https://fin.land.naver.com/articles/2652441890", "매물Link")</f>
        <v/>
      </c>
      <c r="Q400" s="6">
        <f>HYPERLINK("https://map.naver.com/p/search/도담동 795", "지도Link")</f>
        <v/>
      </c>
      <c r="R400" s="6">
        <f>HYPERLINK("http://www.eum.go.kr/web/ar/lu/luLandDet.jsp?pnu=3611011400107950000&amp;isNoScr=script&amp;mode=search",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410.6</v>
      </c>
      <c r="V400" s="4" t="n">
        <v>316.5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소로각지</t>
        </is>
      </c>
    </row>
    <row r="401">
      <c r="A401" s="3" t="inlineStr">
        <is>
          <t>도담동 795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150000</v>
      </c>
      <c r="H401" s="4" t="n">
        <v>0</v>
      </c>
      <c r="I401" s="4" t="n">
        <v>316</v>
      </c>
      <c r="J401" s="4" t="n">
        <v>96</v>
      </c>
      <c r="K401" s="5" t="n">
        <v>1562.5</v>
      </c>
      <c r="L401" s="4" t="n">
        <v>145</v>
      </c>
      <c r="M401" s="4" t="n">
        <v>44</v>
      </c>
      <c r="N401" s="5" t="n">
        <v>3409.1</v>
      </c>
      <c r="O401" s="3" t="inlineStr">
        <is>
          <t>도담동 예쁜 단독주택, 홈플과 충대병원 사이, 초등학교 유치원 인접</t>
        </is>
      </c>
      <c r="P401" s="6">
        <f>HYPERLINK("https://fin.land.naver.com/articles/2650962880", "매물Link")</f>
        <v/>
      </c>
      <c r="Q401" s="6">
        <f>HYPERLINK("https://map.naver.com/p/search/도담동 795", "지도Link")</f>
        <v/>
      </c>
      <c r="R401" s="6">
        <f>HYPERLINK("http://www.eum.go.kr/web/ar/lu/luLandDet.jsp?pnu=3611011400107950000&amp;isNoScr=script&amp;mode=search", "토지이음")</f>
        <v/>
      </c>
      <c r="S401" s="3" t="inlineStr">
        <is>
          <t>OK세종</t>
        </is>
      </c>
      <c r="T401" s="4" t="n">
        <v>1</v>
      </c>
      <c r="U401" s="5" t="n">
        <v>410.6</v>
      </c>
      <c r="V401" s="4" t="n">
        <v>316.5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소로각지</t>
        </is>
      </c>
    </row>
    <row r="402">
      <c r="A402" s="3" t="inlineStr">
        <is>
          <t>도담동 812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101000</v>
      </c>
      <c r="H402" s="4" t="n">
        <v>0</v>
      </c>
      <c r="I402" s="4" t="n">
        <v>333</v>
      </c>
      <c r="J402" s="4" t="n">
        <v>101</v>
      </c>
      <c r="K402" s="5" t="n">
        <v>1000</v>
      </c>
      <c r="L402" s="4" t="n">
        <v>72</v>
      </c>
      <c r="M402" s="4" t="n">
        <v>22</v>
      </c>
      <c r="N402" s="5" t="n">
        <v>4590.9</v>
      </c>
      <c r="O402" s="3" t="inlineStr">
        <is>
          <t>도담동 위치 좋은 단독주택, 저렴하게 매수해서 세컨하우스로 이용하세요</t>
        </is>
      </c>
      <c r="P402" s="6">
        <f>HYPERLINK("https://fin.land.naver.com/articles/2653369461", "매물Link")</f>
        <v/>
      </c>
      <c r="Q402" s="6">
        <f>HYPERLINK("https://map.naver.com/p/search/도담동 812", "지도Link")</f>
        <v/>
      </c>
      <c r="R402" s="6">
        <f>HYPERLINK("http://www.eum.go.kr/web/ar/lu/luLandDet.jsp?pnu=3611011400108120000&amp;isNoScr=script&amp;mode=search", "토지이음")</f>
        <v/>
      </c>
      <c r="S402" s="3" t="inlineStr">
        <is>
          <t>OK세종 사무소</t>
        </is>
      </c>
      <c r="T402" s="4" t="n">
        <v>1</v>
      </c>
      <c r="U402" s="5" t="n">
        <v>391.1</v>
      </c>
      <c r="V402" s="4" t="n">
        <v>333.7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882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125000</v>
      </c>
      <c r="H403" s="4" t="n">
        <v>0</v>
      </c>
      <c r="I403" s="4" t="n">
        <v>314</v>
      </c>
      <c r="J403" s="4" t="n">
        <v>95</v>
      </c>
      <c r="K403" s="5" t="n">
        <v>1315.8</v>
      </c>
      <c r="L403" s="4" t="n">
        <v>64</v>
      </c>
      <c r="M403" s="4" t="n">
        <v>19</v>
      </c>
      <c r="N403" s="5" t="n">
        <v>6578.9</v>
      </c>
      <c r="O403" s="3" t="inlineStr">
        <is>
          <t>조율가능 가장안쪽 최고위치 철거용이 모듈러주택</t>
        </is>
      </c>
      <c r="P403" s="6">
        <f>HYPERLINK("https://fin.land.naver.com/articles/2651086986", "매물Link")</f>
        <v/>
      </c>
      <c r="Q403" s="6">
        <f>HYPERLINK("https://map.naver.com/p/search/도담동 882", "지도Link")</f>
        <v/>
      </c>
      <c r="R403" s="6">
        <f>HYPERLINK("http://www.eum.go.kr/web/ar/lu/luLandDet.jsp?pnu=3611011400108820000&amp;isNoScr=script&amp;mode=search", "토지이음")</f>
        <v/>
      </c>
      <c r="S403" s="3" t="inlineStr">
        <is>
          <t>세종스타</t>
        </is>
      </c>
      <c r="T403" s="4" t="n">
        <v>1</v>
      </c>
      <c r="U403" s="5" t="n">
        <v>390.1</v>
      </c>
      <c r="V403" s="4" t="n">
        <v>314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897-44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230000</v>
      </c>
      <c r="H404" s="4" t="n">
        <v>0</v>
      </c>
      <c r="I404" s="4" t="n">
        <v>400</v>
      </c>
      <c r="J404" s="4" t="n">
        <v>121</v>
      </c>
      <c r="K404" s="5" t="n">
        <v>1900.8</v>
      </c>
      <c r="L404" s="4" t="n">
        <v>245</v>
      </c>
      <c r="M404" s="4" t="n">
        <v>74</v>
      </c>
      <c r="N404" s="5" t="n">
        <v>3108.1</v>
      </c>
      <c r="O404" s="3" t="inlineStr">
        <is>
          <t>명품 타운하우스 트로아힐스 맨앞라인 ㄷ자형</t>
        </is>
      </c>
      <c r="P404" s="6">
        <f>HYPERLINK("https://fin.land.naver.com/articles/2652288526", "매물Link")</f>
        <v/>
      </c>
      <c r="Q404" s="6">
        <f>HYPERLINK("https://map.naver.com/p/search/도담동 897-44", "지도Link")</f>
        <v/>
      </c>
      <c r="R404" s="6">
        <f>HYPERLINK("http://www.eum.go.kr/web/ar/lu/luLandDet.jsp?pnu=3611011400108970044&amp;isNoScr=script&amp;mode=search", "토지이음")</f>
        <v/>
      </c>
      <c r="S404" s="3" t="inlineStr">
        <is>
          <t>세종스타</t>
        </is>
      </c>
      <c r="T404" s="4" t="n">
        <v>2</v>
      </c>
      <c r="U404" s="5" t="n">
        <v>385.1</v>
      </c>
      <c r="V404" s="4" t="n">
        <v>400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중로한면</t>
        </is>
      </c>
    </row>
    <row r="405">
      <c r="A405" s="3" t="inlineStr">
        <is>
          <t>반곡동 1047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230000</v>
      </c>
      <c r="H405" s="4" t="n">
        <v>0</v>
      </c>
      <c r="I405" s="4" t="n">
        <v>649</v>
      </c>
      <c r="J405" s="4" t="n">
        <v>196</v>
      </c>
      <c r="K405" s="5" t="n">
        <v>1173.5</v>
      </c>
      <c r="L405" s="4" t="n">
        <v>329</v>
      </c>
      <c r="M405" s="4" t="n">
        <v>100</v>
      </c>
      <c r="N405" s="5" t="n">
        <v>2300</v>
      </c>
      <c r="O405" s="3" t="inlineStr">
        <is>
          <t>nan</t>
        </is>
      </c>
      <c r="P405" s="6">
        <f>HYPERLINK("https://fin.land.naver.com/articles/2652769528", "매물Link")</f>
        <v/>
      </c>
      <c r="Q405" s="6">
        <f>HYPERLINK("https://map.naver.com/p/search/반곡동 1047", "지도Link")</f>
        <v/>
      </c>
      <c r="R405" s="6">
        <f>HYPERLINK("http://www.eum.go.kr/web/ar/lu/luLandDet.jsp?pnu=3611010100110470000&amp;isNoScr=script&amp;mode=search", "토지이음")</f>
        <v/>
      </c>
      <c r="S405" s="3" t="inlineStr">
        <is>
          <t>세종로또</t>
        </is>
      </c>
      <c r="T405" s="4" t="n">
        <v>1</v>
      </c>
      <c r="U405" s="5" t="n">
        <v>299.2</v>
      </c>
      <c r="V405" s="4" t="n">
        <v>649.4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반곡동 987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200000</v>
      </c>
      <c r="H406" s="4" t="n">
        <v>0</v>
      </c>
      <c r="I406" s="4" t="n">
        <v>404</v>
      </c>
      <c r="J406" s="4" t="n">
        <v>122</v>
      </c>
      <c r="K406" s="5" t="n">
        <v>1639.3</v>
      </c>
      <c r="L406" s="4" t="n">
        <v>59</v>
      </c>
      <c r="M406" s="4" t="n">
        <v>18</v>
      </c>
      <c r="N406" s="5" t="n">
        <v>11111.1</v>
      </c>
      <c r="O406" s="3" t="inlineStr">
        <is>
          <t>I 신한 I 국회의사당 호재,교통,초품아인 고급 단독주택 강력 추천</t>
        </is>
      </c>
      <c r="P406" s="6">
        <f>HYPERLINK("https://fin.land.naver.com/articles/2650184851", "매물Link")</f>
        <v/>
      </c>
      <c r="Q406" s="6">
        <f>HYPERLINK("https://map.naver.com/p/search/반곡동 987", "지도Link")</f>
        <v/>
      </c>
      <c r="R406" s="6">
        <f>HYPERLINK("http://www.eum.go.kr/web/ar/lu/luLandDet.jsp?pnu=3611010100109870000&amp;isNoScr=script&amp;mode=search", "토지이음")</f>
        <v/>
      </c>
      <c r="S406" s="3" t="inlineStr">
        <is>
          <t>세종신한</t>
        </is>
      </c>
      <c r="T406" s="4" t="n">
        <v>1</v>
      </c>
      <c r="U406" s="5" t="n">
        <v>262.3</v>
      </c>
      <c r="V406" s="4" t="n">
        <v>404.8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소로한면</t>
        </is>
      </c>
    </row>
    <row r="407">
      <c r="A407" s="3" t="inlineStr">
        <is>
          <t>반곡동 987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200000</v>
      </c>
      <c r="H407" s="4" t="n">
        <v>0</v>
      </c>
      <c r="I407" s="4" t="n">
        <v>404</v>
      </c>
      <c r="J407" s="4" t="n">
        <v>122</v>
      </c>
      <c r="K407" s="5" t="n">
        <v>1639.3</v>
      </c>
      <c r="L407" s="4" t="n">
        <v>244</v>
      </c>
      <c r="M407" s="4" t="n">
        <v>74</v>
      </c>
      <c r="N407" s="5" t="n">
        <v>2702.7</v>
      </c>
      <c r="O407" s="3" t="inlineStr">
        <is>
          <t>안마당 중정주택 실면적74p 본채별채 방3개 욕실2개</t>
        </is>
      </c>
      <c r="P407" s="6">
        <f>HYPERLINK("https://fin.land.naver.com/articles/2655180287", "매물Link")</f>
        <v/>
      </c>
      <c r="Q407" s="6">
        <f>HYPERLINK("https://map.naver.com/p/search/반곡동 987", "지도Link")</f>
        <v/>
      </c>
      <c r="R407" s="6">
        <f>HYPERLINK("http://www.eum.go.kr/web/ar/lu/luLandDet.jsp?pnu=3611010100109870000&amp;isNoScr=script&amp;mode=search", "토지이음")</f>
        <v/>
      </c>
      <c r="S407" s="3" t="inlineStr">
        <is>
          <t>세종스타</t>
        </is>
      </c>
      <c r="T407" s="4" t="n">
        <v>1</v>
      </c>
      <c r="U407" s="5" t="n">
        <v>262.3</v>
      </c>
      <c r="V407" s="4" t="n">
        <v>404.8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소로한면</t>
        </is>
      </c>
    </row>
    <row r="408">
      <c r="A408" s="3" t="inlineStr">
        <is>
          <t>부강면 금호리 234-5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120000</v>
      </c>
      <c r="H408" s="4" t="n">
        <v>0</v>
      </c>
      <c r="I408" s="4" t="n">
        <v>939</v>
      </c>
      <c r="J408" s="4" t="n">
        <v>284</v>
      </c>
      <c r="K408" s="5" t="n">
        <v>422.5</v>
      </c>
      <c r="L408" s="4" t="n">
        <v>108</v>
      </c>
      <c r="M408" s="4" t="n">
        <v>33</v>
      </c>
      <c r="N408" s="5" t="n">
        <v>3636.4</v>
      </c>
      <c r="O408" s="3" t="inlineStr">
        <is>
          <t>카페운영 넓은정원카페와 넓은 주차장 세종시4생활권 진출입용이</t>
        </is>
      </c>
      <c r="P408" s="6">
        <f>HYPERLINK("https://fin.land.naver.com/articles/2650542038", "매물Link")</f>
        <v/>
      </c>
      <c r="Q408" s="6">
        <f>HYPERLINK("https://map.naver.com/p/search/부강면 금호리 234-5", "지도Link")</f>
        <v/>
      </c>
      <c r="R408" s="6">
        <f>HYPERLINK("http://www.eum.go.kr/web/ar/lu/luLandDet.jsp?pnu=3611033028102340005&amp;isNoScr=script&amp;mode=search", "토지이음")</f>
        <v/>
      </c>
      <c r="S408" s="3" t="inlineStr">
        <is>
          <t>한얼</t>
        </is>
      </c>
      <c r="T408" s="4" t="n">
        <v>1</v>
      </c>
      <c r="U408" s="5" t="n">
        <v>89.90000000000001</v>
      </c>
      <c r="V408" s="4" t="n">
        <v>939</v>
      </c>
      <c r="W408" s="3" t="inlineStr">
        <is>
          <t>지정되지않음</t>
        </is>
      </c>
      <c r="X408" s="3" t="inlineStr">
        <is>
          <t>주거기타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부강면 금호리 372-1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12500</v>
      </c>
      <c r="H409" s="4" t="n">
        <v>0</v>
      </c>
      <c r="I409" s="4" t="n">
        <v>205</v>
      </c>
      <c r="J409" s="4" t="n">
        <v>62</v>
      </c>
      <c r="K409" s="5" t="n">
        <v>201.6</v>
      </c>
      <c r="L409" s="4" t="n">
        <v>30</v>
      </c>
      <c r="M409" s="4" t="n">
        <v>9</v>
      </c>
      <c r="N409" s="5" t="n">
        <v>1388.9</v>
      </c>
      <c r="O409" s="3" t="inlineStr">
        <is>
          <t>탁트인 남향 금강변 소형단독주택지 리모델링 즉시입주</t>
        </is>
      </c>
      <c r="P409" s="6">
        <f>HYPERLINK("https://fin.land.naver.com/articles/2651072599", "매물Link")</f>
        <v/>
      </c>
      <c r="Q409" s="6">
        <f>HYPERLINK("https://map.naver.com/p/search/부강면 금호리 372-1", "지도Link")</f>
        <v/>
      </c>
      <c r="R409" s="6">
        <f>HYPERLINK("http://www.eum.go.kr/web/ar/lu/luLandDet.jsp?pnu=3611033028103720001&amp;isNoScr=script&amp;mode=search", "토지이음")</f>
        <v/>
      </c>
      <c r="S409" s="3" t="inlineStr">
        <is>
          <t>큰터</t>
        </is>
      </c>
      <c r="T409" s="4" t="n">
        <v>1</v>
      </c>
      <c r="U409" s="5" t="n">
        <v>75.09999999999999</v>
      </c>
      <c r="V409" s="4" t="n">
        <v>205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금호리 390-8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전원주택</t>
        </is>
      </c>
      <c r="F410" s="3" t="inlineStr">
        <is>
          <t>매매</t>
        </is>
      </c>
      <c r="G410" s="4" t="n">
        <v>55000</v>
      </c>
      <c r="H410" s="4" t="n">
        <v>0</v>
      </c>
      <c r="I410" s="4" t="n">
        <v>448</v>
      </c>
      <c r="J410" s="4" t="n">
        <v>136</v>
      </c>
      <c r="K410" s="5" t="n">
        <v>404.4</v>
      </c>
      <c r="L410" s="4" t="n">
        <v>142</v>
      </c>
      <c r="M410" s="4" t="n">
        <v>43</v>
      </c>
      <c r="N410" s="5" t="n">
        <v>1279.1</v>
      </c>
      <c r="O410" s="3" t="inlineStr">
        <is>
          <t>금강변  복층전원주택(관리 최상)</t>
        </is>
      </c>
      <c r="P410" s="6">
        <f>HYPERLINK("https://fin.land.naver.com/articles/2653362510", "매물Link")</f>
        <v/>
      </c>
      <c r="Q410" s="6">
        <f>HYPERLINK("https://map.naver.com/p/search/부강면 금호리 390-8", "지도Link")</f>
        <v/>
      </c>
      <c r="R410" s="6">
        <f>HYPERLINK("http://www.eum.go.kr/web/ar/lu/luLandDet.jsp?pnu=3611033028103900008&amp;isNoScr=script&amp;mode=search", "토지이음")</f>
        <v/>
      </c>
      <c r="S410" s="3" t="inlineStr">
        <is>
          <t>이레</t>
        </is>
      </c>
      <c r="T410" s="4" t="n">
        <v>1</v>
      </c>
      <c r="U410" s="5" t="n">
        <v>80.7</v>
      </c>
      <c r="V410" s="4" t="n">
        <v>448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부강면 금호리 390-8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55000</v>
      </c>
      <c r="H411" s="4" t="n">
        <v>0</v>
      </c>
      <c r="I411" s="4" t="n">
        <v>448</v>
      </c>
      <c r="J411" s="4" t="n">
        <v>136</v>
      </c>
      <c r="K411" s="5" t="n">
        <v>404.4</v>
      </c>
      <c r="L411" s="4" t="n">
        <v>142</v>
      </c>
      <c r="M411" s="4" t="n">
        <v>43</v>
      </c>
      <c r="N411" s="5" t="n">
        <v>1279.1</v>
      </c>
      <c r="O411" s="3" t="inlineStr">
        <is>
          <t>금강뷰 전원주택, 금호교 개통으로 4생활권에서 5분거리</t>
        </is>
      </c>
      <c r="P411" s="6">
        <f>HYPERLINK("https://fin.land.naver.com/articles/2655632602", "매물Link")</f>
        <v/>
      </c>
      <c r="Q411" s="6">
        <f>HYPERLINK("https://map.naver.com/p/search/부강면 금호리 390-8", "지도Link")</f>
        <v/>
      </c>
      <c r="R411" s="6">
        <f>HYPERLINK("http://www.eum.go.kr/web/ar/lu/luLandDet.jsp?pnu=3611033028103900008&amp;isNoScr=script&amp;mode=search", "토지이음")</f>
        <v/>
      </c>
      <c r="S411" s="3" t="inlineStr">
        <is>
          <t>세종삼촌</t>
        </is>
      </c>
      <c r="T411" s="4" t="n">
        <v>3</v>
      </c>
      <c r="U411" s="5" t="n">
        <v>80.7</v>
      </c>
      <c r="V411" s="4" t="n">
        <v>448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금호리 390-8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55000</v>
      </c>
      <c r="H412" s="4" t="n">
        <v>0</v>
      </c>
      <c r="I412" s="4" t="n">
        <v>448</v>
      </c>
      <c r="J412" s="4" t="n">
        <v>136</v>
      </c>
      <c r="K412" s="5" t="n">
        <v>404.4</v>
      </c>
      <c r="L412" s="4" t="n">
        <v>142</v>
      </c>
      <c r="M412" s="4" t="n">
        <v>43</v>
      </c>
      <c r="N412" s="5" t="n">
        <v>1279.1</v>
      </c>
      <c r="O412" s="3" t="inlineStr">
        <is>
          <t>탁트인 전망 별장같은 멋진주택</t>
        </is>
      </c>
      <c r="P412" s="6">
        <f>HYPERLINK("https://fin.land.naver.com/articles/2654261184", "매물Link")</f>
        <v/>
      </c>
      <c r="Q412" s="6">
        <f>HYPERLINK("https://map.naver.com/p/search/부강면 금호리 390-8", "지도Link")</f>
        <v/>
      </c>
      <c r="R412" s="6">
        <f>HYPERLINK("http://www.eum.go.kr/web/ar/lu/luLandDet.jsp?pnu=3611033028103900008&amp;isNoScr=script&amp;mode=search", "토지이음")</f>
        <v/>
      </c>
      <c r="S412" s="3" t="inlineStr">
        <is>
          <t>학사</t>
        </is>
      </c>
      <c r="T412" s="4" t="n">
        <v>1</v>
      </c>
      <c r="U412" s="5" t="n">
        <v>80.7</v>
      </c>
      <c r="V412" s="4" t="n">
        <v>448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부강면 금호리 613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55000</v>
      </c>
      <c r="H413" s="4" t="n">
        <v>0</v>
      </c>
      <c r="I413" s="4" t="n">
        <v>679</v>
      </c>
      <c r="J413" s="4" t="n">
        <v>205</v>
      </c>
      <c r="K413" s="5" t="n">
        <v>268.3</v>
      </c>
      <c r="L413" s="4" t="n">
        <v>92</v>
      </c>
      <c r="M413" s="4" t="n">
        <v>28</v>
      </c>
      <c r="N413" s="5" t="n">
        <v>1964.3</v>
      </c>
      <c r="O413" s="3" t="inlineStr">
        <is>
          <t>행복도시4생활권 인접, 부강산업단지에 근접한 주택으로 상태 좋음</t>
        </is>
      </c>
      <c r="P413" s="6">
        <f>HYPERLINK("https://fin.land.naver.com/articles/2651169911", "매물Link")</f>
        <v/>
      </c>
      <c r="Q413" s="6">
        <f>HYPERLINK("https://map.naver.com/p/search/부강면 금호리 613", "지도Link")</f>
        <v/>
      </c>
      <c r="R413" s="6">
        <f>HYPERLINK("http://www.eum.go.kr/web/ar/lu/luLandDet.jsp?pnu=3611033028106130000&amp;isNoScr=script&amp;mode=search", "토지이음")</f>
        <v/>
      </c>
      <c r="S413" s="3" t="inlineStr">
        <is>
          <t>드림</t>
        </is>
      </c>
      <c r="T413" s="4" t="n">
        <v>1</v>
      </c>
      <c r="U413" s="5" t="n">
        <v>88</v>
      </c>
      <c r="V413" s="4" t="n">
        <v>679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부정형</t>
        </is>
      </c>
      <c r="AA413" s="3" t="inlineStr">
        <is>
          <t>세로한면(가)</t>
        </is>
      </c>
    </row>
    <row r="414">
      <c r="A414" s="3" t="inlineStr">
        <is>
          <t>부강면 금호리 712-16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35000</v>
      </c>
      <c r="H414" s="4" t="n">
        <v>0</v>
      </c>
      <c r="I414" s="4" t="n">
        <v>379</v>
      </c>
      <c r="J414" s="4" t="n">
        <v>115</v>
      </c>
      <c r="K414" s="5" t="n">
        <v>304.3</v>
      </c>
      <c r="L414" s="4" t="n">
        <v>71</v>
      </c>
      <c r="M414" s="4" t="n">
        <v>21</v>
      </c>
      <c r="N414" s="5" t="n">
        <v>1666.7</v>
      </c>
      <c r="O414" s="3" t="inlineStr">
        <is>
          <t>세종시 행복도심 5분 생활권 I 금강변 산책과 텃밭이 있는 전원생활 추천</t>
        </is>
      </c>
      <c r="P414" s="6">
        <f>HYPERLINK("https://fin.land.naver.com/articles/2655051269", "매물Link")</f>
        <v/>
      </c>
      <c r="Q414" s="6">
        <f>HYPERLINK("https://map.naver.com/p/search/부강면 금호리 712-16", "지도Link")</f>
        <v/>
      </c>
      <c r="R414" s="6">
        <f>HYPERLINK("http://www.eum.go.kr/web/ar/lu/luLandDet.jsp?pnu=3611033028107120016&amp;isNoScr=script&amp;mode=search", "토지이음")</f>
        <v/>
      </c>
      <c r="S414" s="3" t="inlineStr">
        <is>
          <t>세종신한</t>
        </is>
      </c>
      <c r="T414" s="4" t="n">
        <v>1</v>
      </c>
      <c r="U414" s="5" t="n">
        <v>94.5</v>
      </c>
      <c r="V414" s="4" t="n">
        <v>379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부강면 금호리 712-16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35000</v>
      </c>
      <c r="H415" s="4" t="n">
        <v>0</v>
      </c>
      <c r="I415" s="4" t="n">
        <v>379</v>
      </c>
      <c r="J415" s="4" t="n">
        <v>115</v>
      </c>
      <c r="K415" s="5" t="n">
        <v>304.3</v>
      </c>
      <c r="L415" s="4" t="n">
        <v>71</v>
      </c>
      <c r="M415" s="4" t="n">
        <v>21</v>
      </c>
      <c r="N415" s="5" t="n">
        <v>1666.7</v>
      </c>
      <c r="O415" s="3" t="inlineStr">
        <is>
          <t>흙벽돌구조 1층 주택매매, 창고별도있음</t>
        </is>
      </c>
      <c r="P415" s="6">
        <f>HYPERLINK("https://fin.land.naver.com/articles/2650428762", "매물Link")</f>
        <v/>
      </c>
      <c r="Q415" s="6">
        <f>HYPERLINK("https://map.naver.com/p/search/부강면 금호리 712-16", "지도Link")</f>
        <v/>
      </c>
      <c r="R415" s="6">
        <f>HYPERLINK("http://www.eum.go.kr/web/ar/lu/luLandDet.jsp?pnu=3611033028107120016&amp;isNoScr=script&amp;mode=search",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94.5</v>
      </c>
      <c r="V415" s="4" t="n">
        <v>379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노호리 307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60000</v>
      </c>
      <c r="H416" s="4" t="n">
        <v>0</v>
      </c>
      <c r="I416" s="4" t="n">
        <v>340</v>
      </c>
      <c r="J416" s="4" t="n">
        <v>103</v>
      </c>
      <c r="K416" s="5" t="n">
        <v>582.5</v>
      </c>
      <c r="L416" s="4" t="n">
        <v>90</v>
      </c>
      <c r="M416" s="4" t="n">
        <v>27</v>
      </c>
      <c r="N416" s="5" t="n">
        <v>2222.2</v>
      </c>
      <c r="O416" s="3" t="inlineStr">
        <is>
          <t>nan</t>
        </is>
      </c>
      <c r="P416" s="6">
        <f>HYPERLINK("https://fin.land.naver.com/articles/2653120425", "매물Link")</f>
        <v/>
      </c>
      <c r="Q416" s="6">
        <f>HYPERLINK("https://map.naver.com/p/search/부강면 노호리 307", "지도Link")</f>
        <v/>
      </c>
      <c r="R416" s="6">
        <f>HYPERLINK("http://www.eum.go.kr/web/ar/lu/luLandDet.jsp?pnu=3611033027103070000&amp;isNoScr=script&amp;mode=search", "토지이음")</f>
        <v/>
      </c>
      <c r="S416" s="3" t="inlineStr">
        <is>
          <t>좋은</t>
        </is>
      </c>
      <c r="T416" s="4" t="n">
        <v>1</v>
      </c>
      <c r="U416" s="5" t="n">
        <v>40.6</v>
      </c>
      <c r="V416" s="4" t="n">
        <v>340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자루형</t>
        </is>
      </c>
      <c r="AA416" s="3" t="inlineStr">
        <is>
          <t>세로한면(가)</t>
        </is>
      </c>
    </row>
    <row r="417">
      <c r="A417" s="3" t="inlineStr">
        <is>
          <t>부강면 노호리 354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63000</v>
      </c>
      <c r="H417" s="4" t="n">
        <v>0</v>
      </c>
      <c r="I417" s="4" t="n">
        <v>1785</v>
      </c>
      <c r="J417" s="4" t="n">
        <v>540</v>
      </c>
      <c r="K417" s="5" t="n">
        <v>116.7</v>
      </c>
      <c r="L417" s="4" t="n">
        <v>147</v>
      </c>
      <c r="M417" s="4" t="n">
        <v>44</v>
      </c>
      <c r="N417" s="5" t="n">
        <v>1431.8</v>
      </c>
      <c r="O417" s="3" t="inlineStr">
        <is>
          <t>nan</t>
        </is>
      </c>
      <c r="P417" s="6">
        <f>HYPERLINK("https://fin.land.naver.com/articles/2650322763", "매물Link")</f>
        <v/>
      </c>
      <c r="Q417" s="6">
        <f>HYPERLINK("https://map.naver.com/p/search/부강면 노호리 354", "지도Link")</f>
        <v/>
      </c>
      <c r="R417" s="6">
        <f>HYPERLINK("http://www.eum.go.kr/web/ar/lu/luLandDet.jsp?pnu=3611033027103540000&amp;isNoScr=script&amp;mode=search", "토지이음")</f>
        <v/>
      </c>
      <c r="S417" s="3" t="inlineStr">
        <is>
          <t>세종신한</t>
        </is>
      </c>
      <c r="T417" s="4" t="n">
        <v>1</v>
      </c>
      <c r="U417" s="5" t="n">
        <v>45.9</v>
      </c>
      <c r="V417" s="4" t="n">
        <v>1785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부정형</t>
        </is>
      </c>
      <c r="AA417" s="3" t="inlineStr">
        <is>
          <t>세로한면(가)</t>
        </is>
      </c>
    </row>
    <row r="418">
      <c r="A418" s="3" t="inlineStr">
        <is>
          <t>부강면 등곡리 68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35000</v>
      </c>
      <c r="H418" s="4" t="n">
        <v>0</v>
      </c>
      <c r="I418" s="4" t="n">
        <v>732</v>
      </c>
      <c r="J418" s="4" t="n">
        <v>221</v>
      </c>
      <c r="K418" s="5" t="n">
        <v>158.4</v>
      </c>
      <c r="L418" s="4" t="n">
        <v>132</v>
      </c>
      <c r="M418" s="4" t="n">
        <v>40</v>
      </c>
      <c r="N418" s="5" t="n">
        <v>875</v>
      </c>
      <c r="O418" s="3" t="inlineStr">
        <is>
          <t>좋은 더 조율해 드려요, 현재 주인분 거주하고 계심</t>
        </is>
      </c>
      <c r="P418" s="6">
        <f>HYPERLINK("https://fin.land.naver.com/articles/2650942009", "매물Link")</f>
        <v/>
      </c>
      <c r="Q418" s="6">
        <f>HYPERLINK("https://map.naver.com/p/search/부강면 등곡리 68", "지도Link")</f>
        <v/>
      </c>
      <c r="R418" s="6">
        <f>HYPERLINK("http://www.eum.go.kr/web/ar/lu/luLandDet.jsp?pnu=3611033026100680000&amp;isNoScr=script&amp;mode=search", "토지이음")</f>
        <v/>
      </c>
      <c r="S418" s="3" t="inlineStr">
        <is>
          <t>좋은</t>
        </is>
      </c>
      <c r="T418" s="4" t="n">
        <v>1</v>
      </c>
      <c r="U418" s="5" t="n">
        <v>36.1</v>
      </c>
      <c r="V418" s="4" t="n">
        <v>732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완경사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문곡리 227-1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75000</v>
      </c>
      <c r="H419" s="4" t="n">
        <v>0</v>
      </c>
      <c r="I419" s="4" t="n">
        <v>1322</v>
      </c>
      <c r="J419" s="4" t="n">
        <v>400</v>
      </c>
      <c r="K419" s="5" t="n">
        <v>187.5</v>
      </c>
      <c r="L419" s="4" t="n">
        <v>145</v>
      </c>
      <c r="M419" s="4" t="n">
        <v>44</v>
      </c>
      <c r="N419" s="5" t="n">
        <v>1704.5</v>
      </c>
      <c r="O419" s="3" t="inlineStr">
        <is>
          <t>주택과 주변 텃밭포함, 전망확틔여 전원생활하기좋음</t>
        </is>
      </c>
      <c r="P419" s="6">
        <f>HYPERLINK("https://fin.land.naver.com/articles/2650178792", "매물Link")</f>
        <v/>
      </c>
      <c r="Q419" s="6">
        <f>HYPERLINK("https://map.naver.com/p/search/부강면 문곡리 227-1", "지도Link")</f>
        <v/>
      </c>
      <c r="R419" s="6">
        <f>HYPERLINK("http://www.eum.go.kr/web/ar/lu/luLandDet.jsp?pnu=3611033025102270001&amp;isNoScr=script&amp;mode=search", "토지이음")</f>
        <v/>
      </c>
      <c r="S419" s="3" t="inlineStr">
        <is>
          <t>연동스카이</t>
        </is>
      </c>
      <c r="T419" s="4" t="n">
        <v>1</v>
      </c>
      <c r="U419" s="5" t="n">
        <v>47.9</v>
      </c>
      <c r="V419" s="4" t="n">
        <v>970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문곡리 294-2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전원주택</t>
        </is>
      </c>
      <c r="F420" s="3" t="inlineStr">
        <is>
          <t>매매</t>
        </is>
      </c>
      <c r="G420" s="4" t="n">
        <v>83000</v>
      </c>
      <c r="H420" s="4" t="n">
        <v>0</v>
      </c>
      <c r="I420" s="4" t="n">
        <v>660</v>
      </c>
      <c r="J420" s="4" t="n">
        <v>200</v>
      </c>
      <c r="K420" s="5" t="n">
        <v>415</v>
      </c>
      <c r="L420" s="4" t="n">
        <v>192</v>
      </c>
      <c r="M420" s="4" t="n">
        <v>58</v>
      </c>
      <c r="N420" s="5" t="n">
        <v>1431</v>
      </c>
      <c r="O420" s="3" t="inlineStr">
        <is>
          <t>남청주ic에서 부강방면 남쪽 산기슭에 위치한 그림같은 전원주택</t>
        </is>
      </c>
      <c r="P420" s="6">
        <f>HYPERLINK("https://fin.land.naver.com/articles/2652660732", "매물Link")</f>
        <v/>
      </c>
      <c r="Q420" s="6">
        <f>HYPERLINK("https://map.naver.com/p/search/부강면 문곡리 294-2", "지도Link")</f>
        <v/>
      </c>
      <c r="R420" s="6">
        <f>HYPERLINK("http://www.eum.go.kr/web/ar/lu/luLandDet.jsp?pnu=3611033025102940002&amp;isNoScr=script&amp;mode=search", "토지이음")</f>
        <v/>
      </c>
      <c r="S420" s="3" t="inlineStr">
        <is>
          <t>주식회사정원</t>
        </is>
      </c>
      <c r="T420" s="4" t="n">
        <v>1</v>
      </c>
      <c r="U420" s="5" t="n">
        <v>66.90000000000001</v>
      </c>
      <c r="V420" s="4" t="n">
        <v>660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세로각지(가)</t>
        </is>
      </c>
    </row>
    <row r="421">
      <c r="A421" s="3" t="inlineStr">
        <is>
          <t>부강면 부강리 1013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32</v>
      </c>
      <c r="I421" s="4" t="n">
        <v>36</v>
      </c>
      <c r="J421" s="4" t="n">
        <v>11</v>
      </c>
      <c r="K421" s="5" t="n">
        <v>2.9</v>
      </c>
      <c r="L421" s="4" t="n">
        <v>30</v>
      </c>
      <c r="M421" s="4" t="n">
        <v>9</v>
      </c>
      <c r="N421" s="5" t="n">
        <v>3.6</v>
      </c>
      <c r="O421" s="3" t="inlineStr">
        <is>
          <t>대박 단기 가능한 분리형 원룸 베란다 굿</t>
        </is>
      </c>
      <c r="P421" s="6">
        <f>HYPERLINK("https://fin.land.naver.com/articles/2652542648", "매물Link")</f>
        <v/>
      </c>
      <c r="Q421" s="6">
        <f>HYPERLINK("https://map.naver.com/p/search/부강면 부강리 1013", "지도Link")</f>
        <v/>
      </c>
      <c r="R421" s="6">
        <f>HYPERLINK("http://www.eum.go.kr/web/ar/lu/luLandDet.jsp?pnu=3611033021110130000&amp;isNoScr=script&amp;mode=search", "토지이음")</f>
        <v/>
      </c>
      <c r="S421" s="3" t="inlineStr">
        <is>
          <t>부강대박</t>
        </is>
      </c>
      <c r="T421" s="4" t="n">
        <v>1</v>
      </c>
      <c r="U421" s="5" t="n">
        <v>208</v>
      </c>
      <c r="V421" s="4" t="n">
        <v>340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세로한면(가)</t>
        </is>
      </c>
    </row>
    <row r="422">
      <c r="A422" s="3" t="inlineStr">
        <is>
          <t>부강면 부강리 1013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32</v>
      </c>
      <c r="I422" s="4" t="n">
        <v>36</v>
      </c>
      <c r="J422" s="4" t="n">
        <v>11</v>
      </c>
      <c r="K422" s="5" t="n">
        <v>2.9</v>
      </c>
      <c r="L422" s="4" t="n">
        <v>30</v>
      </c>
      <c r="M422" s="4" t="n">
        <v>9</v>
      </c>
      <c r="N422" s="5" t="n">
        <v>3.6</v>
      </c>
      <c r="O422" s="3" t="inlineStr">
        <is>
          <t>대박 분리형 원룸 베란다 굿</t>
        </is>
      </c>
      <c r="P422" s="6">
        <f>HYPERLINK("https://fin.land.naver.com/articles/2652542744", "매물Link")</f>
        <v/>
      </c>
      <c r="Q422" s="6">
        <f>HYPERLINK("https://map.naver.com/p/search/부강면 부강리 1013", "지도Link")</f>
        <v/>
      </c>
      <c r="R422" s="6">
        <f>HYPERLINK("http://www.eum.go.kr/web/ar/lu/luLandDet.jsp?pnu=3611033021110130000&amp;isNoScr=script&amp;mode=search", "토지이음")</f>
        <v/>
      </c>
      <c r="S422" s="3" t="inlineStr">
        <is>
          <t>부강대박</t>
        </is>
      </c>
      <c r="T422" s="4" t="n">
        <v>1</v>
      </c>
      <c r="U422" s="5" t="n">
        <v>208</v>
      </c>
      <c r="V422" s="4" t="n">
        <v>340</v>
      </c>
      <c r="W422" s="3" t="inlineStr">
        <is>
          <t>지정되지않음</t>
        </is>
      </c>
      <c r="X422" s="3" t="inlineStr">
        <is>
          <t>다세대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부강면 부강리 112-5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매매</t>
        </is>
      </c>
      <c r="G423" s="4" t="n">
        <v>135000</v>
      </c>
      <c r="H423" s="4" t="n">
        <v>0</v>
      </c>
      <c r="I423" s="4" t="n">
        <v>390</v>
      </c>
      <c r="J423" s="4" t="n">
        <v>118</v>
      </c>
      <c r="K423" s="5" t="n">
        <v>1144.1</v>
      </c>
      <c r="L423" s="4" t="n">
        <v>510</v>
      </c>
      <c r="M423" s="4" t="n">
        <v>154</v>
      </c>
      <c r="N423" s="5" t="n">
        <v>876.6</v>
      </c>
      <c r="O423" s="3" t="inlineStr">
        <is>
          <t>임대수요 풍부하고 공실 걱정없는 세종시 부강면 저렴한 다가구주택</t>
        </is>
      </c>
      <c r="P423" s="6">
        <f>HYPERLINK("https://fin.land.naver.com/articles/2650694892", "매물Link")</f>
        <v/>
      </c>
      <c r="Q423" s="6">
        <f>HYPERLINK("https://map.naver.com/p/search/부강면 부강리 112-5", "지도Link")</f>
        <v/>
      </c>
      <c r="R423" s="6">
        <f>HYPERLINK("http://www.eum.go.kr/web/ar/lu/luLandDet.jsp?pnu=3611033021101120005&amp;isNoScr=script&amp;mode=search", "토지이음")</f>
        <v/>
      </c>
      <c r="S423" s="3" t="inlineStr">
        <is>
          <t>세종행복한</t>
        </is>
      </c>
      <c r="T423" s="4" t="n">
        <v>1</v>
      </c>
      <c r="U423" s="5" t="n">
        <v>171.6</v>
      </c>
      <c r="V423" s="4" t="n">
        <v>390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부강면 부강리 112-7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35</v>
      </c>
      <c r="I424" s="4" t="n">
        <v>36</v>
      </c>
      <c r="J424" s="4" t="n">
        <v>11</v>
      </c>
      <c r="K424" s="5" t="n">
        <v>3.2</v>
      </c>
      <c r="L424" s="4" t="n">
        <v>30</v>
      </c>
      <c r="M424" s="4" t="n">
        <v>9</v>
      </c>
      <c r="N424" s="5" t="n">
        <v>3.9</v>
      </c>
      <c r="O424" s="3" t="inlineStr">
        <is>
          <t>지원l분리형1룸l버정바로앞l비디오폰l엘베</t>
        </is>
      </c>
      <c r="P424" s="6">
        <f>HYPERLINK("https://fin.land.naver.com/articles/2654880839", "매물Link")</f>
        <v/>
      </c>
      <c r="Q424" s="6">
        <f>HYPERLINK("https://map.naver.com/p/search/부강면 부강리 112-7", "지도Link")</f>
        <v/>
      </c>
      <c r="R424" s="6">
        <f>HYPERLINK("http://www.eum.go.kr/web/ar/lu/luLandDet.jsp?pnu=3611033021101120007&amp;isNoScr=script&amp;mode=search", "토지이음")</f>
        <v/>
      </c>
      <c r="S424" s="3" t="inlineStr">
        <is>
          <t>지원</t>
        </is>
      </c>
      <c r="T424" s="4" t="n">
        <v>1</v>
      </c>
      <c r="U424" s="5" t="n">
        <v>254.1</v>
      </c>
      <c r="V424" s="4" t="n">
        <v>424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소로한면</t>
        </is>
      </c>
    </row>
    <row r="425">
      <c r="A425" s="3" t="inlineStr">
        <is>
          <t>부강면 부강리 125-4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다가구</t>
        </is>
      </c>
      <c r="F425" s="3" t="inlineStr">
        <is>
          <t>매매</t>
        </is>
      </c>
      <c r="G425" s="4" t="n">
        <v>210000</v>
      </c>
      <c r="H425" s="4" t="n">
        <v>0</v>
      </c>
      <c r="I425" s="4" t="n">
        <v>625</v>
      </c>
      <c r="J425" s="4" t="n">
        <v>189</v>
      </c>
      <c r="K425" s="5" t="n">
        <v>1111.1</v>
      </c>
      <c r="L425" s="4" t="n">
        <v>747</v>
      </c>
      <c r="M425" s="4" t="n">
        <v>226</v>
      </c>
      <c r="N425" s="5" t="n">
        <v>929.2</v>
      </c>
      <c r="O425" s="3" t="inlineStr">
        <is>
          <t>현재 공실 없으며 임대 수요가 매우 좋습니다.</t>
        </is>
      </c>
      <c r="P425" s="6">
        <f>HYPERLINK("https://fin.land.naver.com/articles/2653015196", "매물Link")</f>
        <v/>
      </c>
      <c r="Q425" s="6">
        <f>HYPERLINK("https://map.naver.com/p/search/부강면 부강리 125-4", "지도Link")</f>
        <v/>
      </c>
      <c r="R425" s="6">
        <f>HYPERLINK("http://www.eum.go.kr/web/ar/lu/luLandDet.jsp?pnu=3611033021101250004&amp;isNoScr=script&amp;mode=search", "토지이음")</f>
        <v/>
      </c>
      <c r="S425" s="3" t="inlineStr">
        <is>
          <t>진영</t>
        </is>
      </c>
      <c r="T425" s="4" t="n">
        <v>1</v>
      </c>
      <c r="U425" s="5" t="n">
        <v>196.4</v>
      </c>
      <c r="V425" s="4" t="n">
        <v>625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세로한면(가)</t>
        </is>
      </c>
    </row>
    <row r="426">
      <c r="A426" s="3" t="inlineStr">
        <is>
          <t>부강면 부강리 126-8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33</v>
      </c>
      <c r="J426" s="4" t="n">
        <v>10</v>
      </c>
      <c r="K426" s="5" t="n">
        <v>3.5</v>
      </c>
      <c r="L426" s="4" t="n">
        <v>29</v>
      </c>
      <c r="M426" s="4" t="n">
        <v>9</v>
      </c>
      <c r="N426" s="5" t="n">
        <v>3.9</v>
      </c>
      <c r="O426" s="3" t="inlineStr">
        <is>
          <t>넓고 베란다있는  풀옵션 원룸</t>
        </is>
      </c>
      <c r="P426" s="6">
        <f>HYPERLINK("https://fin.land.naver.com/articles/2653277546", "매물Link")</f>
        <v/>
      </c>
      <c r="Q426" s="6">
        <f>HYPERLINK("https://map.naver.com/p/search/부강면 부강리 126-8", "지도Link")</f>
        <v/>
      </c>
      <c r="R426" s="6">
        <f>HYPERLINK("http://www.eum.go.kr/web/ar/lu/luLandDet.jsp?pnu=3611033021101260008&amp;isNoScr=script&amp;mode=search", "토지이음")</f>
        <v/>
      </c>
      <c r="S426" s="3" t="inlineStr">
        <is>
          <t>세종행복한</t>
        </is>
      </c>
      <c r="T426" s="4" t="n">
        <v>1</v>
      </c>
      <c r="U426" s="5" t="n">
        <v>209.7</v>
      </c>
      <c r="V426" s="4" t="n">
        <v>378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소로한면</t>
        </is>
      </c>
    </row>
    <row r="427">
      <c r="A427" s="3" t="inlineStr">
        <is>
          <t>부강면 부강리 333-3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19140</v>
      </c>
      <c r="H427" s="4" t="n">
        <v>0</v>
      </c>
      <c r="I427" s="4" t="n">
        <v>469</v>
      </c>
      <c r="J427" s="4" t="n">
        <v>142</v>
      </c>
      <c r="K427" s="5" t="n">
        <v>134.8</v>
      </c>
      <c r="L427" s="4" t="n">
        <v>117</v>
      </c>
      <c r="M427" s="4" t="n">
        <v>35</v>
      </c>
      <c r="N427" s="5" t="n">
        <v>546.9</v>
      </c>
      <c r="O427" s="3" t="inlineStr">
        <is>
          <t>주택 매매. 부강역 도보 15분. 신축 가능</t>
        </is>
      </c>
      <c r="P427" s="6">
        <f>HYPERLINK("https://fin.land.naver.com/articles/2652151478", "매물Link")</f>
        <v/>
      </c>
      <c r="Q427" s="6">
        <f>HYPERLINK("https://map.naver.com/p/search/부강면 부강리 333-3", "지도Link")</f>
        <v/>
      </c>
      <c r="R427" s="6">
        <f>HYPERLINK("http://www.eum.go.kr/web/ar/lu/luLandDet.jsp?pnu=3611033021103330003&amp;isNoScr=script&amp;mode=search", "토지이음")</f>
        <v/>
      </c>
      <c r="S427" s="3" t="inlineStr">
        <is>
          <t>미소</t>
        </is>
      </c>
      <c r="T427" s="4" t="n">
        <v>1</v>
      </c>
      <c r="U427" s="5" t="n">
        <v>91.09999999999999</v>
      </c>
      <c r="V427" s="4" t="n">
        <v>469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부강면 부강리 432-45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5100</v>
      </c>
      <c r="H428" s="4" t="n">
        <v>0</v>
      </c>
      <c r="I428" s="4" t="n">
        <v>40</v>
      </c>
      <c r="J428" s="4" t="n">
        <v>12</v>
      </c>
      <c r="K428" s="5" t="n">
        <v>425</v>
      </c>
      <c r="L428" s="4" t="n">
        <v>33</v>
      </c>
      <c r="M428" s="4" t="n">
        <v>10</v>
      </c>
      <c r="N428" s="5" t="n">
        <v>510</v>
      </c>
      <c r="O428" s="3" t="inlineStr">
        <is>
          <t>대박 1.5룸 마트 10초</t>
        </is>
      </c>
      <c r="P428" s="6">
        <f>HYPERLINK("https://fin.land.naver.com/articles/2654987321", "매물Link")</f>
        <v/>
      </c>
      <c r="Q428" s="6">
        <f>HYPERLINK("https://map.naver.com/p/search/부강면 부강리 432-45", "지도Link")</f>
        <v/>
      </c>
      <c r="R428" s="6">
        <f>HYPERLINK("http://www.eum.go.kr/web/ar/lu/luLandDet.jsp?pnu=3611033021104320045&amp;isNoScr=script&amp;mode=search", "토지이음")</f>
        <v/>
      </c>
      <c r="S428" s="3" t="inlineStr">
        <is>
          <t>부강대박</t>
        </is>
      </c>
      <c r="T428" s="4" t="n">
        <v>1</v>
      </c>
      <c r="U428" s="5" t="n">
        <v>232.9</v>
      </c>
      <c r="V428" s="4" t="n">
        <v>305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정방형</t>
        </is>
      </c>
      <c r="AA428" s="3" t="inlineStr">
        <is>
          <t>소로한면</t>
        </is>
      </c>
    </row>
    <row r="429">
      <c r="A429" s="3" t="inlineStr">
        <is>
          <t>부강면 부강리 448-7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200</v>
      </c>
      <c r="H429" s="4" t="n">
        <v>33</v>
      </c>
      <c r="I429" s="4" t="n">
        <v>23</v>
      </c>
      <c r="J429" s="4" t="n">
        <v>7</v>
      </c>
      <c r="K429" s="5" t="n">
        <v>4.7</v>
      </c>
      <c r="L429" s="4" t="n">
        <v>18</v>
      </c>
      <c r="M429" s="4" t="n">
        <v>5</v>
      </c>
      <c r="N429" s="5" t="n">
        <v>6.6</v>
      </c>
      <c r="O429" s="3" t="inlineStr">
        <is>
          <t>부강역 인근 풀옵션 소형원룸</t>
        </is>
      </c>
      <c r="P429" s="6">
        <f>HYPERLINK("https://fin.land.naver.com/articles/2652929753", "매물Link")</f>
        <v/>
      </c>
      <c r="Q429" s="6">
        <f>HYPERLINK("https://map.naver.com/p/search/부강면 부강리 448-7", "지도Link")</f>
        <v/>
      </c>
      <c r="R429" s="6">
        <f>HYPERLINK("http://www.eum.go.kr/web/ar/lu/luLandDet.jsp?pnu=3611033021104480007&amp;isNoScr=script&amp;mode=search", "토지이음")</f>
        <v/>
      </c>
      <c r="S429" s="3" t="inlineStr">
        <is>
          <t>세종시</t>
        </is>
      </c>
      <c r="T429" s="4" t="n">
        <v>1</v>
      </c>
      <c r="U429" s="5" t="n">
        <v>401.3</v>
      </c>
      <c r="V429" s="4" t="n">
        <v>260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소로한면</t>
        </is>
      </c>
    </row>
    <row r="430">
      <c r="A430" s="3" t="inlineStr">
        <is>
          <t>부강면 부강리 449-1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500</v>
      </c>
      <c r="H430" s="4" t="n">
        <v>50</v>
      </c>
      <c r="I430" s="4" t="n">
        <v>33</v>
      </c>
      <c r="J430" s="4" t="n">
        <v>10</v>
      </c>
      <c r="K430" s="5" t="n">
        <v>5</v>
      </c>
      <c r="L430" s="4" t="n">
        <v>29</v>
      </c>
      <c r="M430" s="4" t="n">
        <v>9</v>
      </c>
      <c r="N430" s="5" t="n">
        <v>5.6</v>
      </c>
      <c r="O430" s="3" t="inlineStr">
        <is>
          <t>부강역과 중심상권 가깝고 넓은 대형 풀옵션 1.5룸</t>
        </is>
      </c>
      <c r="P430" s="6">
        <f>HYPERLINK("https://fin.land.naver.com/articles/2653277296", "매물Link")</f>
        <v/>
      </c>
      <c r="Q430" s="6">
        <f>HYPERLINK("https://map.naver.com/p/search/부강면 부강리 449-1", "지도Link")</f>
        <v/>
      </c>
      <c r="R430" s="6">
        <f>HYPERLINK("http://www.eum.go.kr/web/ar/lu/luLandDet.jsp?pnu=3611033021104490001&amp;isNoScr=script&amp;mode=search",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429.1</v>
      </c>
      <c r="V430" s="4" t="n">
        <v>320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부강면 부강리 463-10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50</v>
      </c>
      <c r="I431" s="4" t="n">
        <v>45</v>
      </c>
      <c r="J431" s="4" t="n">
        <v>14</v>
      </c>
      <c r="K431" s="5" t="n">
        <v>3.6</v>
      </c>
      <c r="L431" s="4" t="n">
        <v>33</v>
      </c>
      <c r="M431" s="4" t="n">
        <v>10</v>
      </c>
      <c r="N431" s="5" t="n">
        <v>5</v>
      </c>
      <c r="O431" s="3" t="inlineStr">
        <is>
          <t>편의시설 초근접 풀옵션 1.5룸</t>
        </is>
      </c>
      <c r="P431" s="6">
        <f>HYPERLINK("https://fin.land.naver.com/articles/2652929725", "매물Link")</f>
        <v/>
      </c>
      <c r="Q431" s="6">
        <f>HYPERLINK("https://map.naver.com/p/search/부강면 부강리 463-10", "지도Link")</f>
        <v/>
      </c>
      <c r="R431" s="6">
        <f>HYPERLINK("http://www.eum.go.kr/web/ar/lu/luLandDet.jsp?pnu=3611033021104630010&amp;isNoScr=script&amp;mode=search",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212.4</v>
      </c>
      <c r="V431" s="4" t="n">
        <v>932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482-1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4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284</v>
      </c>
      <c r="J433" s="4" t="n">
        <v>86</v>
      </c>
      <c r="K433" s="5" t="n">
        <v>1337.2</v>
      </c>
      <c r="L433" s="4" t="n">
        <v>565</v>
      </c>
      <c r="M433" s="4" t="n">
        <v>171</v>
      </c>
      <c r="N433" s="5" t="n">
        <v>672.5</v>
      </c>
      <c r="O433" s="3" t="inlineStr">
        <is>
          <t>부강초 인근 수익률 좋은 수익형 건물로 관리 잘된 다가구주택 매매이예요</t>
        </is>
      </c>
      <c r="P433" s="6">
        <f>HYPERLINK("https://fin.land.naver.com/articles/2654862528", "매물Link")</f>
        <v/>
      </c>
      <c r="Q433" s="6">
        <f>HYPERLINK("https://map.naver.com/p/search/부강면 부강리 482-1", "지도Link")</f>
        <v/>
      </c>
      <c r="R433" s="6">
        <f>HYPERLINK("http://www.eum.go.kr/web/ar/lu/luLandDet.jsp?pnu=3611033021104820001&amp;isNoScr=script&amp;mode=search", "토지이음")</f>
        <v/>
      </c>
      <c r="S433" s="3" t="inlineStr">
        <is>
          <t>4989명품</t>
        </is>
      </c>
      <c r="T433" s="4" t="n">
        <v>2</v>
      </c>
      <c r="U433" s="5" t="n">
        <v>359.3</v>
      </c>
      <c r="V433" s="4" t="n">
        <v>284</v>
      </c>
      <c r="W433" s="3" t="inlineStr">
        <is>
          <t>지정되지않음</t>
        </is>
      </c>
      <c r="X433" s="3" t="inlineStr">
        <is>
          <t>상업기타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284</v>
      </c>
      <c r="J434" s="4" t="n">
        <v>86</v>
      </c>
      <c r="K434" s="5" t="n">
        <v>1337.2</v>
      </c>
      <c r="L434" s="4" t="n">
        <v>565</v>
      </c>
      <c r="M434" s="4" t="n">
        <v>171</v>
      </c>
      <c r="N434" s="5" t="n">
        <v>672.5</v>
      </c>
      <c r="O434" s="3" t="inlineStr">
        <is>
          <t>직장인들에게 인기 있고 관리가 잘된 원룸입니다.</t>
        </is>
      </c>
      <c r="P434" s="6">
        <f>HYPERLINK("https://fin.land.naver.com/articles/2650315661",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39</v>
      </c>
      <c r="J435" s="4" t="n">
        <v>12</v>
      </c>
      <c r="K435" s="5" t="n">
        <v>9583.299999999999</v>
      </c>
      <c r="L435" s="4" t="n">
        <v>182</v>
      </c>
      <c r="M435" s="4" t="n">
        <v>55</v>
      </c>
      <c r="N435" s="5" t="n">
        <v>2090.9</v>
      </c>
      <c r="O435" s="3" t="inlineStr">
        <is>
          <t>세종빌 특가 매물 빠른 계약 추천</t>
        </is>
      </c>
      <c r="P435" s="6">
        <f>HYPERLINK("https://fin.land.naver.com/articles/2653282559",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SK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580-13</t>
        </is>
      </c>
      <c r="B436" s="3" t="inlineStr">
        <is>
          <t>생산녹지지역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빌라</t>
        </is>
      </c>
      <c r="F436" s="3" t="inlineStr">
        <is>
          <t>월세</t>
        </is>
      </c>
      <c r="G436" s="4" t="n">
        <v>300</v>
      </c>
      <c r="H436" s="4" t="n">
        <v>48</v>
      </c>
      <c r="I436" s="4" t="n">
        <v>40</v>
      </c>
      <c r="J436" s="4" t="n">
        <v>12</v>
      </c>
      <c r="K436" s="5" t="n">
        <v>4</v>
      </c>
      <c r="L436" s="4" t="n">
        <v>27</v>
      </c>
      <c r="M436" s="4" t="n">
        <v>8</v>
      </c>
      <c r="N436" s="5" t="n">
        <v>6</v>
      </c>
      <c r="O436" s="3" t="inlineStr">
        <is>
          <t>지원l첫입주 1룸l완전신상l즉시입주l남동향l수납장대박</t>
        </is>
      </c>
      <c r="P436" s="6">
        <f>HYPERLINK("https://fin.land.naver.com/articles/2654883258", "매물Link")</f>
        <v/>
      </c>
      <c r="Q436" s="6">
        <f>HYPERLINK("https://map.naver.com/p/search/부강면 부강리 580-13", "지도Link")</f>
        <v/>
      </c>
      <c r="R436" s="6">
        <f>HYPERLINK("http://www.eum.go.kr/web/ar/lu/luLandDet.jsp?pnu=3611033021105800013&amp;isNoScr=script&amp;mode=search", "토지이음")</f>
        <v/>
      </c>
      <c r="S436" s="3" t="inlineStr">
        <is>
          <t>지원</t>
        </is>
      </c>
      <c r="T436" s="4" t="n">
        <v>1</v>
      </c>
      <c r="U436" s="5" t="n">
        <v>175.5</v>
      </c>
      <c r="V436" s="4" t="n">
        <v>1550</v>
      </c>
      <c r="W436" s="3" t="inlineStr">
        <is>
          <t>지정되지않음</t>
        </is>
      </c>
      <c r="X436" s="3" t="inlineStr">
        <is>
          <t>연립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부강면 부강리 937-1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다가구</t>
        </is>
      </c>
      <c r="F437" s="3" t="inlineStr">
        <is>
          <t>월세</t>
        </is>
      </c>
      <c r="G437" s="4" t="n">
        <v>300</v>
      </c>
      <c r="H437" s="4" t="n">
        <v>50</v>
      </c>
      <c r="I437" s="4" t="n">
        <v>50</v>
      </c>
      <c r="J437" s="4" t="n">
        <v>15</v>
      </c>
      <c r="K437" s="5" t="n">
        <v>3.3</v>
      </c>
      <c r="L437" s="4" t="n">
        <v>43</v>
      </c>
      <c r="M437" s="4" t="n">
        <v>13</v>
      </c>
      <c r="N437" s="5" t="n">
        <v>3.8</v>
      </c>
      <c r="O437" s="3" t="inlineStr">
        <is>
          <t>대박 투룸</t>
        </is>
      </c>
      <c r="P437" s="6">
        <f>HYPERLINK("https://fin.land.naver.com/articles/2654274127", "매물Link")</f>
        <v/>
      </c>
      <c r="Q437" s="6">
        <f>HYPERLINK("https://map.naver.com/p/search/부강면 부강리 937-1", "지도Link")</f>
        <v/>
      </c>
      <c r="R437" s="6">
        <f>HYPERLINK("http://www.eum.go.kr/web/ar/lu/luLandDet.jsp?pnu=3611033021109370001&amp;isNoScr=script&amp;mode=search",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210.1</v>
      </c>
      <c r="V437" s="4" t="n">
        <v>395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다가구</t>
        </is>
      </c>
      <c r="F438" s="3" t="inlineStr">
        <is>
          <t>월세</t>
        </is>
      </c>
      <c r="G438" s="4" t="n">
        <v>500</v>
      </c>
      <c r="H438" s="4" t="n">
        <v>70</v>
      </c>
      <c r="I438" s="4" t="n">
        <v>60</v>
      </c>
      <c r="J438" s="4" t="n">
        <v>18</v>
      </c>
      <c r="K438" s="5" t="n">
        <v>3.9</v>
      </c>
      <c r="L438" s="4" t="n">
        <v>50</v>
      </c>
      <c r="M438" s="4" t="n">
        <v>15</v>
      </c>
      <c r="N438" s="5" t="n">
        <v>4.7</v>
      </c>
      <c r="O438" s="3" t="inlineStr">
        <is>
          <t>대박 신축 투룸</t>
        </is>
      </c>
      <c r="P438" s="6">
        <f>HYPERLINK("https://fin.land.naver.com/articles/2652551499",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4000</v>
      </c>
      <c r="H439" s="4" t="n">
        <v>20</v>
      </c>
      <c r="I439" s="4" t="n">
        <v>40</v>
      </c>
      <c r="J439" s="4" t="n">
        <v>12</v>
      </c>
      <c r="K439" s="5" t="n">
        <v>1.7</v>
      </c>
      <c r="L439" s="4" t="n">
        <v>33</v>
      </c>
      <c r="M439" s="4" t="n">
        <v>10</v>
      </c>
      <c r="N439" s="5" t="n">
        <v>2</v>
      </c>
      <c r="O439" s="3" t="inlineStr">
        <is>
          <t>대박 신축 1.5룸</t>
        </is>
      </c>
      <c r="P439" s="6">
        <f>HYPERLINK("https://fin.land.naver.com/articles/2652545951",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다가구</t>
        </is>
      </c>
      <c r="F440" s="3" t="inlineStr">
        <is>
          <t>월세</t>
        </is>
      </c>
      <c r="G440" s="4" t="n">
        <v>500</v>
      </c>
      <c r="H440" s="4" t="n">
        <v>95</v>
      </c>
      <c r="I440" s="4" t="n">
        <v>92</v>
      </c>
      <c r="J440" s="4" t="n">
        <v>28</v>
      </c>
      <c r="K440" s="5" t="n">
        <v>3.4</v>
      </c>
      <c r="L440" s="4" t="n">
        <v>76</v>
      </c>
      <c r="M440" s="4" t="n">
        <v>23</v>
      </c>
      <c r="N440" s="5" t="n">
        <v>4.1</v>
      </c>
      <c r="O440" s="3" t="inlineStr">
        <is>
          <t>대박 신축 3룸 욕실2</t>
        </is>
      </c>
      <c r="P440" s="6">
        <f>HYPERLINK("https://fin.land.naver.com/articles/2652544293",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966-10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38</v>
      </c>
      <c r="I441" s="4" t="n">
        <v>30</v>
      </c>
      <c r="J441" s="4" t="n">
        <v>9</v>
      </c>
      <c r="K441" s="5" t="n">
        <v>4.2</v>
      </c>
      <c r="L441" s="4" t="n">
        <v>22</v>
      </c>
      <c r="M441" s="4" t="n">
        <v>7</v>
      </c>
      <c r="N441" s="5" t="n">
        <v>5.4</v>
      </c>
      <c r="O441" s="3" t="inlineStr">
        <is>
          <t>주차공간이 종흔 풀옵션 원룸</t>
        </is>
      </c>
      <c r="P441" s="6">
        <f>HYPERLINK("https://fin.land.naver.com/articles/2652929900", "매물Link")</f>
        <v/>
      </c>
      <c r="Q441" s="6">
        <f>HYPERLINK("https://map.naver.com/p/search/부강면 부강리 966-10", "지도Link")</f>
        <v/>
      </c>
      <c r="R441" s="6">
        <f>HYPERLINK("http://www.eum.go.kr/web/ar/lu/luLandDet.jsp?pnu=3611033021109660010&amp;isNoScr=script&amp;mode=search", "토지이음")</f>
        <v/>
      </c>
      <c r="S441" s="3" t="inlineStr">
        <is>
          <t>세종시</t>
        </is>
      </c>
      <c r="T441" s="4" t="n">
        <v>1</v>
      </c>
      <c r="U441" s="5" t="n">
        <v>234.3</v>
      </c>
      <c r="V441" s="4" t="n">
        <v>400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세로각지(가)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단기임대</t>
        </is>
      </c>
      <c r="G442" s="4" t="n">
        <v>100</v>
      </c>
      <c r="H442" s="4" t="n">
        <v>60</v>
      </c>
      <c r="I442" s="4" t="n">
        <v>38</v>
      </c>
      <c r="J442" s="4" t="n">
        <v>11</v>
      </c>
      <c r="K442" s="5" t="n">
        <v>9.1</v>
      </c>
      <c r="L442" s="4" t="n">
        <v>33</v>
      </c>
      <c r="M442" s="4" t="n">
        <v>10</v>
      </c>
      <c r="N442" s="5" t="n">
        <v>10</v>
      </c>
      <c r="O442" s="3" t="inlineStr">
        <is>
          <t>풀옵션 1.5룸 단기임대</t>
        </is>
      </c>
      <c r="P442" s="6">
        <f>HYPERLINK("https://fin.land.naver.com/articles/2654096390",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970-11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300</v>
      </c>
      <c r="H443" s="4" t="n">
        <v>55</v>
      </c>
      <c r="I443" s="4" t="n">
        <v>50</v>
      </c>
      <c r="J443" s="4" t="n">
        <v>15</v>
      </c>
      <c r="K443" s="5" t="n">
        <v>3.7</v>
      </c>
      <c r="L443" s="4" t="n">
        <v>40</v>
      </c>
      <c r="M443" s="4" t="n">
        <v>12</v>
      </c>
      <c r="N443" s="5" t="n">
        <v>4.6</v>
      </c>
      <c r="O443" s="3" t="inlineStr">
        <is>
          <t>지원l편세권.5룸lo멋진인테리어o위치최상</t>
        </is>
      </c>
      <c r="P443" s="6">
        <f>HYPERLINK("https://fin.land.naver.com/articles/2650948792", "매물Link")</f>
        <v/>
      </c>
      <c r="Q443" s="6">
        <f>HYPERLINK("https://map.naver.com/p/search/부강면 부강리 970-11", "지도Link")</f>
        <v/>
      </c>
      <c r="R443" s="6">
        <f>HYPERLINK("http://www.eum.go.kr/web/ar/lu/luLandDet.jsp?pnu=3611033021109700011&amp;isNoScr=script&amp;mode=search", "토지이음")</f>
        <v/>
      </c>
      <c r="S443" s="3" t="inlineStr">
        <is>
          <t>지원</t>
        </is>
      </c>
      <c r="T443" s="4" t="n">
        <v>1</v>
      </c>
      <c r="U443" s="5" t="n">
        <v>212.9</v>
      </c>
      <c r="V443" s="4" t="n">
        <v>392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소정면 대곡리 408-1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상가주택</t>
        </is>
      </c>
      <c r="F445" s="3" t="inlineStr">
        <is>
          <t>매매</t>
        </is>
      </c>
      <c r="G445" s="4" t="n">
        <v>40000</v>
      </c>
      <c r="H445" s="4" t="n">
        <v>0</v>
      </c>
      <c r="I445" s="4" t="n">
        <v>622</v>
      </c>
      <c r="J445" s="4" t="n">
        <v>188</v>
      </c>
      <c r="K445" s="5" t="n">
        <v>212.8</v>
      </c>
      <c r="L445" s="4" t="n">
        <v>251</v>
      </c>
      <c r="M445" s="4" t="n">
        <v>76</v>
      </c>
      <c r="N445" s="5" t="n">
        <v>526.3</v>
      </c>
      <c r="O445" s="3" t="inlineStr">
        <is>
          <t>소정면 대곡리 상가주택매매   1층상가 2층 단독주택</t>
        </is>
      </c>
      <c r="P445" s="6">
        <f>HYPERLINK("https://fin.land.naver.com/articles/2651019641", "매물Link")</f>
        <v/>
      </c>
      <c r="Q445" s="6">
        <f>HYPERLINK("https://map.naver.com/p/search/소정면 대곡리 408-1", "지도Link")</f>
        <v/>
      </c>
      <c r="R445" s="6">
        <f>HYPERLINK("http://www.eum.go.kr/web/ar/lu/luLandDet.jsp?pnu=3611039023104080001&amp;isNoScr=script&amp;mode=search", "토지이음")</f>
        <v/>
      </c>
      <c r="S445" s="3" t="inlineStr">
        <is>
          <t>대원칸타빌</t>
        </is>
      </c>
      <c r="T445" s="4" t="n">
        <v>1</v>
      </c>
      <c r="U445" s="5" t="n">
        <v>49.5</v>
      </c>
      <c r="V445" s="4" t="n">
        <v>622</v>
      </c>
      <c r="W445" s="3" t="inlineStr">
        <is>
          <t>지정되지않음</t>
        </is>
      </c>
      <c r="X445" s="3" t="inlineStr">
        <is>
          <t>주거기타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소정면 대곡리 466-1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14000</v>
      </c>
      <c r="H446" s="4" t="n">
        <v>0</v>
      </c>
      <c r="I446" s="4" t="n">
        <v>449</v>
      </c>
      <c r="J446" s="4" t="n">
        <v>136</v>
      </c>
      <c r="K446" s="5" t="n">
        <v>102.9</v>
      </c>
      <c r="L446" s="4" t="n">
        <v>86</v>
      </c>
      <c r="M446" s="4" t="n">
        <v>26</v>
      </c>
      <c r="N446" s="5" t="n">
        <v>538.5</v>
      </c>
      <c r="O446" s="3" t="inlineStr">
        <is>
          <t>남천안ic5분거리,넓은텃밭과 별채있는 단독주택 교통편리한 전원생활 강추</t>
        </is>
      </c>
      <c r="P446" s="6">
        <f>HYPERLINK("https://fin.land.naver.com/articles/2652448925", "매물Link")</f>
        <v/>
      </c>
      <c r="Q446" s="6">
        <f>HYPERLINK("https://map.naver.com/p/search/소정면 대곡리 466-1", "지도Link")</f>
        <v/>
      </c>
      <c r="R446" s="6">
        <f>HYPERLINK("http://www.eum.go.kr/web/ar/lu/luLandDet.jsp?pnu=3611039023104660001&amp;isNoScr=script&amp;mode=search", "토지이음")</f>
        <v/>
      </c>
      <c r="S446" s="3" t="inlineStr">
        <is>
          <t>효성넘버원</t>
        </is>
      </c>
      <c r="T446" s="4" t="n">
        <v>1</v>
      </c>
      <c r="U446" s="5" t="n">
        <v>52.9</v>
      </c>
      <c r="V446" s="4" t="n">
        <v>449.2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소정면 대곡리 466-1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14000</v>
      </c>
      <c r="H447" s="4" t="n">
        <v>0</v>
      </c>
      <c r="I447" s="4" t="n">
        <v>449</v>
      </c>
      <c r="J447" s="4" t="n">
        <v>136</v>
      </c>
      <c r="K447" s="5" t="n">
        <v>102.9</v>
      </c>
      <c r="L447" s="4" t="n">
        <v>86</v>
      </c>
      <c r="M447" s="4" t="n">
        <v>26</v>
      </c>
      <c r="N447" s="5" t="n">
        <v>538.5</v>
      </c>
      <c r="O447" s="3" t="inlineStr">
        <is>
          <t>즉시입주, 내부 올수리, 텃밭있음, 밝고 깨끗한집</t>
        </is>
      </c>
      <c r="P447" s="6">
        <f>HYPERLINK("https://fin.land.naver.com/articles/2651842091", "매물Link")</f>
        <v/>
      </c>
      <c r="Q447" s="6">
        <f>HYPERLINK("https://map.naver.com/p/search/소정면 대곡리 466-1", "지도Link")</f>
        <v/>
      </c>
      <c r="R447" s="6">
        <f>HYPERLINK("http://www.eum.go.kr/web/ar/lu/luLandDet.jsp?pnu=3611039023104660001&amp;isNoScr=script&amp;mode=search", "토지이음")</f>
        <v/>
      </c>
      <c r="S447" s="3" t="inlineStr">
        <is>
          <t>신성1번지</t>
        </is>
      </c>
      <c r="T447" s="4" t="n">
        <v>1</v>
      </c>
      <c r="U447" s="5" t="n">
        <v>52.9</v>
      </c>
      <c r="V447" s="4" t="n">
        <v>449.2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소정면 대곡리 466-1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10000</v>
      </c>
      <c r="H448" s="4" t="n">
        <v>0</v>
      </c>
      <c r="I448" s="4" t="n">
        <v>84</v>
      </c>
      <c r="J448" s="4" t="n">
        <v>25</v>
      </c>
      <c r="K448" s="5" t="n">
        <v>400</v>
      </c>
      <c r="L448" s="4" t="n">
        <v>84</v>
      </c>
      <c r="M448" s="4" t="n">
        <v>25</v>
      </c>
      <c r="N448" s="5" t="n">
        <v>400</v>
      </c>
      <c r="O448" s="3" t="inlineStr">
        <is>
          <t>공실  전체리모델링 위치좋아요</t>
        </is>
      </c>
      <c r="P448" s="6">
        <f>HYPERLINK("https://fin.land.naver.com/articles/2655528377", "매물Link")</f>
        <v/>
      </c>
      <c r="Q448" s="6">
        <f>HYPERLINK("https://map.naver.com/p/search/소정면 대곡리 466-1", "지도Link")</f>
        <v/>
      </c>
      <c r="R448" s="6">
        <f>HYPERLINK("http://www.eum.go.kr/web/ar/lu/luLandDet.jsp?pnu=3611039023104660001&amp;isNoScr=script&amp;mode=search", "토지이음")</f>
        <v/>
      </c>
      <c r="S448" s="3" t="inlineStr">
        <is>
          <t>새롬이지</t>
        </is>
      </c>
      <c r="T448" s="4" t="n">
        <v>1</v>
      </c>
      <c r="U448" s="5" t="n">
        <v>52.9</v>
      </c>
      <c r="V448" s="4" t="n">
        <v>449.2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소정면 대곡리 466-1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전원주택</t>
        </is>
      </c>
      <c r="F449" s="3" t="inlineStr">
        <is>
          <t>매매</t>
        </is>
      </c>
      <c r="G449" s="4" t="n">
        <v>14000</v>
      </c>
      <c r="H449" s="4" t="n">
        <v>0</v>
      </c>
      <c r="I449" s="4" t="n">
        <v>449</v>
      </c>
      <c r="J449" s="4" t="n">
        <v>136</v>
      </c>
      <c r="K449" s="5" t="n">
        <v>102.9</v>
      </c>
      <c r="L449" s="4" t="n">
        <v>86</v>
      </c>
      <c r="M449" s="4" t="n">
        <v>26</v>
      </c>
      <c r="N449" s="5" t="n">
        <v>538.5</v>
      </c>
      <c r="O449" s="3" t="inlineStr">
        <is>
          <t>사진o 올수리 단독주택 급매, 주차편리, 즉시입주</t>
        </is>
      </c>
      <c r="P449" s="6">
        <f>HYPERLINK("https://fin.land.naver.com/articles/2654653606", "매물Link")</f>
        <v/>
      </c>
      <c r="Q449" s="6">
        <f>HYPERLINK("https://map.naver.com/p/search/소정면 대곡리 466-1", "지도Link")</f>
        <v/>
      </c>
      <c r="R449" s="6">
        <f>HYPERLINK("http://www.eum.go.kr/web/ar/lu/luLandDet.jsp?pnu=3611039023104660001&amp;isNoScr=script&amp;mode=search", "토지이음")</f>
        <v/>
      </c>
      <c r="S449" s="3" t="inlineStr">
        <is>
          <t>금빛</t>
        </is>
      </c>
      <c r="T449" s="4" t="n">
        <v>1</v>
      </c>
      <c r="U449" s="5" t="n">
        <v>52.9</v>
      </c>
      <c r="V449" s="4" t="n">
        <v>449.2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소정면 대곡리 466-3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63000</v>
      </c>
      <c r="H450" s="4" t="n">
        <v>0</v>
      </c>
      <c r="I450" s="4" t="n">
        <v>486</v>
      </c>
      <c r="J450" s="4" t="n">
        <v>147</v>
      </c>
      <c r="K450" s="5" t="n">
        <v>428.6</v>
      </c>
      <c r="L450" s="4" t="n">
        <v>197</v>
      </c>
      <c r="M450" s="4" t="n">
        <v>60</v>
      </c>
      <c r="N450" s="5" t="n">
        <v>1050</v>
      </c>
      <c r="O450" s="3" t="inlineStr">
        <is>
          <t>천안에 가까운 전원생활이 가능한 집 내진설계 건축 6년차</t>
        </is>
      </c>
      <c r="P450" s="6">
        <f>HYPERLINK("https://fin.land.naver.com/articles/2651727247", "매물Link")</f>
        <v/>
      </c>
      <c r="Q450" s="6">
        <f>HYPERLINK("https://map.naver.com/p/search/소정면 대곡리 466-3", "지도Link")</f>
        <v/>
      </c>
      <c r="R450" s="6">
        <f>HYPERLINK("http://www.eum.go.kr/web/ar/lu/luLandDet.jsp?pnu=3611039023104660003&amp;isNoScr=script&amp;mode=search", "토지이음")</f>
        <v/>
      </c>
      <c r="S450" s="3" t="inlineStr">
        <is>
          <t>OK파라곤</t>
        </is>
      </c>
      <c r="T450" s="4" t="n">
        <v>1</v>
      </c>
      <c r="U450" s="5" t="n">
        <v>55.7</v>
      </c>
      <c r="V450" s="4" t="n">
        <v>486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소정면 소정리 196-28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빌라</t>
        </is>
      </c>
      <c r="F451" s="3" t="inlineStr">
        <is>
          <t>매매</t>
        </is>
      </c>
      <c r="G451" s="4" t="n">
        <v>6500</v>
      </c>
      <c r="H451" s="4" t="n">
        <v>0</v>
      </c>
      <c r="I451" s="4" t="n">
        <v>82</v>
      </c>
      <c r="J451" s="4" t="n">
        <v>25</v>
      </c>
      <c r="K451" s="5" t="n">
        <v>260</v>
      </c>
      <c r="L451" s="4" t="n">
        <v>76</v>
      </c>
      <c r="M451" s="4" t="n">
        <v>23</v>
      </c>
      <c r="N451" s="5" t="n">
        <v>282.6</v>
      </c>
      <c r="O451" s="3" t="inlineStr">
        <is>
          <t>소정역가까운빌라매매  리모델링한 아주깨끗한집 입주협의가능해요</t>
        </is>
      </c>
      <c r="P451" s="6">
        <f>HYPERLINK("https://fin.land.naver.com/articles/2651872623", "매물Link")</f>
        <v/>
      </c>
      <c r="Q451" s="6">
        <f>HYPERLINK("https://map.naver.com/p/search/소정면 소정리 196-28", "지도Link")</f>
        <v/>
      </c>
      <c r="R451" s="6">
        <f>HYPERLINK("http://www.eum.go.kr/web/ar/lu/luLandDet.jsp?pnu=3611039021101960028&amp;isNoScr=script&amp;mode=search", "토지이음")</f>
        <v/>
      </c>
      <c r="S451" s="3" t="inlineStr">
        <is>
          <t>신성미소</t>
        </is>
      </c>
      <c r="T451" s="4" t="n">
        <v>1</v>
      </c>
      <c r="U451" s="5" t="n">
        <v>158.1</v>
      </c>
      <c r="V451" s="4" t="n">
        <v>463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중로한면</t>
        </is>
      </c>
    </row>
    <row r="452">
      <c r="A452" s="3" t="inlineStr">
        <is>
          <t>아름동 1046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140000</v>
      </c>
      <c r="H452" s="4" t="n">
        <v>0</v>
      </c>
      <c r="I452" s="4" t="n">
        <v>33</v>
      </c>
      <c r="J452" s="4" t="n">
        <v>10</v>
      </c>
      <c r="K452" s="5" t="n">
        <v>14000</v>
      </c>
      <c r="L452" s="4" t="n">
        <v>157</v>
      </c>
      <c r="M452" s="4" t="n">
        <v>47</v>
      </c>
      <c r="N452" s="5" t="n">
        <v>2978.7</v>
      </c>
      <c r="O452" s="3" t="inlineStr">
        <is>
          <t>교통편리한 세종 아름동 주택가, 서울세종고속도로,국도1호선, 세종외곽도로</t>
        </is>
      </c>
      <c r="P452" s="6">
        <f>HYPERLINK("https://fin.land.naver.com/articles/2651678765", "매물Link")</f>
        <v/>
      </c>
      <c r="Q452" s="6">
        <f>HYPERLINK("https://map.naver.com/p/search/아름동 1046", "지도Link")</f>
        <v/>
      </c>
      <c r="R452" s="6">
        <f>HYPERLINK("http://www.eum.go.kr/web/ar/lu/luLandDet.jsp?pnu=3611011300110460000&amp;isNoScr=script&amp;mode=search", "토지이음")</f>
        <v/>
      </c>
      <c r="S452" s="3" t="inlineStr">
        <is>
          <t>아름</t>
        </is>
      </c>
      <c r="T452" s="4" t="n">
        <v>1</v>
      </c>
      <c r="U452" s="5" t="n">
        <v>353.1</v>
      </c>
      <c r="V452" s="4" t="n">
        <v>332.4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1046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단독</t>
        </is>
      </c>
      <c r="F453" s="3" t="inlineStr">
        <is>
          <t>매매</t>
        </is>
      </c>
      <c r="G453" s="4" t="n">
        <v>140000</v>
      </c>
      <c r="H453" s="4" t="n">
        <v>0</v>
      </c>
      <c r="I453" s="4" t="n">
        <v>332</v>
      </c>
      <c r="J453" s="4" t="n">
        <v>100</v>
      </c>
      <c r="K453" s="5" t="n">
        <v>1400</v>
      </c>
      <c r="L453" s="4" t="n">
        <v>165</v>
      </c>
      <c r="M453" s="4" t="n">
        <v>50</v>
      </c>
      <c r="N453" s="5" t="n">
        <v>2800</v>
      </c>
      <c r="O453" s="3" t="inlineStr">
        <is>
          <t>태양광설치, 풀에어컨, 실링팬, 방4개, 화장실3개</t>
        </is>
      </c>
      <c r="P453" s="6">
        <f>HYPERLINK("https://fin.land.naver.com/articles/2652842053", "매물Link")</f>
        <v/>
      </c>
      <c r="Q453" s="6">
        <f>HYPERLINK("https://map.naver.com/p/search/아름동 1046", "지도Link")</f>
        <v/>
      </c>
      <c r="R453" s="6">
        <f>HYPERLINK("http://www.eum.go.kr/web/ar/lu/luLandDet.jsp?pnu=3611011300110460000&amp;isNoScr=script&amp;mode=search", "토지이음")</f>
        <v/>
      </c>
      <c r="S453" s="3" t="inlineStr">
        <is>
          <t>세종무지개</t>
        </is>
      </c>
      <c r="T453" s="4" t="n">
        <v>1</v>
      </c>
      <c r="U453" s="5" t="n">
        <v>353.1</v>
      </c>
      <c r="V453" s="4" t="n">
        <v>332.4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1046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140000</v>
      </c>
      <c r="H454" s="4" t="n">
        <v>0</v>
      </c>
      <c r="I454" s="4" t="n">
        <v>332</v>
      </c>
      <c r="J454" s="4" t="n">
        <v>100</v>
      </c>
      <c r="K454" s="5" t="n">
        <v>1400</v>
      </c>
      <c r="L454" s="4" t="n">
        <v>165</v>
      </c>
      <c r="M454" s="4" t="n">
        <v>50</v>
      </c>
      <c r="N454" s="5" t="n">
        <v>2800</v>
      </c>
      <c r="O454" s="3" t="inlineStr">
        <is>
          <t>태양광, 방4개, 화장실3개, 각방 에어컨, 실링팬</t>
        </is>
      </c>
      <c r="P454" s="6">
        <f>HYPERLINK("https://fin.land.naver.com/articles/2654227256", "매물Link")</f>
        <v/>
      </c>
      <c r="Q454" s="6">
        <f>HYPERLINK("https://map.naver.com/p/search/아름동 1046", "지도Link")</f>
        <v/>
      </c>
      <c r="R454" s="6">
        <f>HYPERLINK("http://www.eum.go.kr/web/ar/lu/luLandDet.jsp?pnu=3611011300110460000&amp;isNoScr=script&amp;mode=search",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353.1</v>
      </c>
      <c r="V454" s="4" t="n">
        <v>332.4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1113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매매</t>
        </is>
      </c>
      <c r="G455" s="4" t="n">
        <v>105000</v>
      </c>
      <c r="H455" s="4" t="n">
        <v>0</v>
      </c>
      <c r="I455" s="4" t="n">
        <v>327</v>
      </c>
      <c r="J455" s="4" t="n">
        <v>99</v>
      </c>
      <c r="K455" s="5" t="n">
        <v>1060.6</v>
      </c>
      <c r="L455" s="4" t="n">
        <v>149</v>
      </c>
      <c r="M455" s="4" t="n">
        <v>45</v>
      </c>
      <c r="N455" s="5" t="n">
        <v>2333.3</v>
      </c>
      <c r="O455" s="3" t="inlineStr">
        <is>
          <t>정남향 충대병원  단독매매</t>
        </is>
      </c>
      <c r="P455" s="6">
        <f>HYPERLINK("https://fin.land.naver.com/articles/2654518463", "매물Link")</f>
        <v/>
      </c>
      <c r="Q455" s="6">
        <f>HYPERLINK("https://map.naver.com/p/search/아름동 1113", "지도Link")</f>
        <v/>
      </c>
      <c r="R455" s="6">
        <f>HYPERLINK("http://www.eum.go.kr/web/ar/lu/luLandDet.jsp?pnu=3611011300111130000&amp;isNoScr=script&amp;mode=search", "토지이음")</f>
        <v/>
      </c>
      <c r="S455" s="3" t="inlineStr">
        <is>
          <t>THE행복</t>
        </is>
      </c>
      <c r="T455" s="4" t="n">
        <v>1</v>
      </c>
      <c r="U455" s="5" t="n">
        <v>356.4</v>
      </c>
      <c r="V455" s="4" t="n">
        <v>327.5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1148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매매</t>
        </is>
      </c>
      <c r="G456" s="4" t="n">
        <v>130000</v>
      </c>
      <c r="H456" s="4" t="n">
        <v>0</v>
      </c>
      <c r="I456" s="4" t="n">
        <v>328</v>
      </c>
      <c r="J456" s="4" t="n">
        <v>99</v>
      </c>
      <c r="K456" s="5" t="n">
        <v>1313.1</v>
      </c>
      <c r="L456" s="4" t="n">
        <v>148</v>
      </c>
      <c r="M456" s="4" t="n">
        <v>45</v>
      </c>
      <c r="N456" s="5" t="n">
        <v>2888.9</v>
      </c>
      <c r="O456" s="3" t="inlineStr">
        <is>
          <t>벽난로. 태양광, 국제고인근 남향. 가격조율 가능한</t>
        </is>
      </c>
      <c r="P456" s="6">
        <f>HYPERLINK("https://fin.land.naver.com/articles/2652825554", "매물Link")</f>
        <v/>
      </c>
      <c r="Q456" s="6">
        <f>HYPERLINK("https://map.naver.com/p/search/아름동 1148", "지도Link")</f>
        <v/>
      </c>
      <c r="R456" s="6">
        <f>HYPERLINK("http://www.eum.go.kr/web/ar/lu/luLandDet.jsp?pnu=3611011300111480000&amp;isNoScr=script&amp;mode=search", "토지이음")</f>
        <v/>
      </c>
      <c r="S456" s="3" t="inlineStr">
        <is>
          <t>최무연</t>
        </is>
      </c>
      <c r="T456" s="4" t="n">
        <v>1</v>
      </c>
      <c r="U456" s="5" t="n">
        <v>356.4</v>
      </c>
      <c r="V456" s="4" t="n">
        <v>328.7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1148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130000</v>
      </c>
      <c r="H457" s="4" t="n">
        <v>0</v>
      </c>
      <c r="I457" s="4" t="n">
        <v>328</v>
      </c>
      <c r="J457" s="4" t="n">
        <v>99</v>
      </c>
      <c r="K457" s="5" t="n">
        <v>1313.1</v>
      </c>
      <c r="L457" s="4" t="n">
        <v>148</v>
      </c>
      <c r="M457" s="4" t="n">
        <v>45</v>
      </c>
      <c r="N457" s="5" t="n">
        <v>2888.9</v>
      </c>
      <c r="O457" s="3" t="inlineStr">
        <is>
          <t>벽난로, 태양광, 정남향으로 가격조율가능한 단독주택</t>
        </is>
      </c>
      <c r="P457" s="6">
        <f>HYPERLINK("https://fin.land.naver.com/articles/2654933365", "매물Link")</f>
        <v/>
      </c>
      <c r="Q457" s="6">
        <f>HYPERLINK("https://map.naver.com/p/search/아름동 1148", "지도Link")</f>
        <v/>
      </c>
      <c r="R457" s="6">
        <f>HYPERLINK("http://www.eum.go.kr/web/ar/lu/luLandDet.jsp?pnu=3611011300111480000&amp;isNoScr=script&amp;mode=search", "토지이음")</f>
        <v/>
      </c>
      <c r="S457" s="3" t="inlineStr">
        <is>
          <t>명진</t>
        </is>
      </c>
      <c r="T457" s="4" t="n">
        <v>2</v>
      </c>
      <c r="U457" s="5" t="n">
        <v>356.4</v>
      </c>
      <c r="V457" s="4" t="n">
        <v>328.7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1148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130000</v>
      </c>
      <c r="H458" s="4" t="n">
        <v>0</v>
      </c>
      <c r="I458" s="4" t="n">
        <v>328</v>
      </c>
      <c r="J458" s="4" t="n">
        <v>99</v>
      </c>
      <c r="K458" s="5" t="n">
        <v>1313.1</v>
      </c>
      <c r="L458" s="4" t="n">
        <v>148</v>
      </c>
      <c r="M458" s="4" t="n">
        <v>45</v>
      </c>
      <c r="N458" s="5" t="n">
        <v>2888.9</v>
      </c>
      <c r="O458" s="3" t="inlineStr">
        <is>
          <t>남향집으로 따뜻한 집 입니다. 입주는 협의 가능하며 가격절충가능합니다.</t>
        </is>
      </c>
      <c r="P458" s="6">
        <f>HYPERLINK("https://fin.land.naver.com/articles/2653236355", "매물Link")</f>
        <v/>
      </c>
      <c r="Q458" s="6">
        <f>HYPERLINK("https://map.naver.com/p/search/아름동 1148", "지도Link")</f>
        <v/>
      </c>
      <c r="R458" s="6">
        <f>HYPERLINK("http://www.eum.go.kr/web/ar/lu/luLandDet.jsp?pnu=3611011300111480000&amp;isNoScr=script&amp;mode=search", "토지이음")</f>
        <v/>
      </c>
      <c r="S458" s="3" t="inlineStr">
        <is>
          <t>주황푸르지오</t>
        </is>
      </c>
      <c r="T458" s="4" t="n">
        <v>1</v>
      </c>
      <c r="U458" s="5" t="n">
        <v>356.4</v>
      </c>
      <c r="V458" s="4" t="n">
        <v>328.7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1148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130000</v>
      </c>
      <c r="H459" s="4" t="n">
        <v>0</v>
      </c>
      <c r="I459" s="4" t="n">
        <v>328</v>
      </c>
      <c r="J459" s="4" t="n">
        <v>99</v>
      </c>
      <c r="K459" s="5" t="n">
        <v>1313.1</v>
      </c>
      <c r="L459" s="4" t="n">
        <v>148</v>
      </c>
      <c r="M459" s="4" t="n">
        <v>45</v>
      </c>
      <c r="N459" s="5" t="n">
        <v>2888.9</v>
      </c>
      <c r="O459" s="3" t="inlineStr">
        <is>
          <t>조율가능 국제고인근 정남향 아이들의 놀이터같은 특색주택</t>
        </is>
      </c>
      <c r="P459" s="6">
        <f>HYPERLINK("https://fin.land.naver.com/articles/2654863236", "매물Link")</f>
        <v/>
      </c>
      <c r="Q459" s="6">
        <f>HYPERLINK("https://map.naver.com/p/search/아름동 1148", "지도Link")</f>
        <v/>
      </c>
      <c r="R459" s="6">
        <f>HYPERLINK("http://www.eum.go.kr/web/ar/lu/luLandDet.jsp?pnu=3611011300111480000&amp;isNoScr=script&amp;mode=search", "토지이음")</f>
        <v/>
      </c>
      <c r="S459" s="3" t="inlineStr">
        <is>
          <t>세종스타</t>
        </is>
      </c>
      <c r="T459" s="4" t="n">
        <v>2</v>
      </c>
      <c r="U459" s="5" t="n">
        <v>356.4</v>
      </c>
      <c r="V459" s="4" t="n">
        <v>328.7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가로장방</t>
        </is>
      </c>
      <c r="AA459" s="3" t="inlineStr">
        <is>
          <t>소로한면</t>
        </is>
      </c>
    </row>
    <row r="460">
      <c r="A460" s="3" t="inlineStr">
        <is>
          <t>아름동 1224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107000</v>
      </c>
      <c r="H460" s="4" t="n">
        <v>0</v>
      </c>
      <c r="I460" s="4" t="n">
        <v>364</v>
      </c>
      <c r="J460" s="4" t="n">
        <v>110</v>
      </c>
      <c r="K460" s="5" t="n">
        <v>972.7</v>
      </c>
      <c r="L460" s="4" t="n">
        <v>179</v>
      </c>
      <c r="M460" s="4" t="n">
        <v>54</v>
      </c>
      <c r="N460" s="5" t="n">
        <v>1981.5</v>
      </c>
      <c r="O460" s="3" t="inlineStr">
        <is>
          <t>아름초, 입지 좋은 단독주택, 상권이용 편리</t>
        </is>
      </c>
      <c r="P460" s="6">
        <f>HYPERLINK("https://fin.land.naver.com/articles/2654049608", "매물Link")</f>
        <v/>
      </c>
      <c r="Q460" s="6">
        <f>HYPERLINK("https://map.naver.com/p/search/아름동 1224", "지도Link")</f>
        <v/>
      </c>
      <c r="R460" s="6">
        <f>HYPERLINK("http://www.eum.go.kr/web/ar/lu/luLandDet.jsp?pnu=3611011300112240000&amp;isNoScr=script&amp;mode=search",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343.1</v>
      </c>
      <c r="V460" s="4" t="n">
        <v>364.6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가로장방</t>
        </is>
      </c>
      <c r="AA460" s="3" t="inlineStr">
        <is>
          <t>소로한면</t>
        </is>
      </c>
    </row>
    <row r="461">
      <c r="A461" s="3" t="inlineStr">
        <is>
          <t>아름동 1241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전원주택</t>
        </is>
      </c>
      <c r="F461" s="3" t="inlineStr">
        <is>
          <t>매매</t>
        </is>
      </c>
      <c r="G461" s="4" t="n">
        <v>145000</v>
      </c>
      <c r="H461" s="4" t="n">
        <v>0</v>
      </c>
      <c r="I461" s="4" t="n">
        <v>353</v>
      </c>
      <c r="J461" s="4" t="n">
        <v>107</v>
      </c>
      <c r="K461" s="5" t="n">
        <v>1355.1</v>
      </c>
      <c r="L461" s="4" t="n">
        <v>160</v>
      </c>
      <c r="M461" s="4" t="n">
        <v>48</v>
      </c>
      <c r="N461" s="5" t="n">
        <v>3020.8</v>
      </c>
      <c r="O461" s="3" t="inlineStr">
        <is>
          <t>철근콘크리트 튼튼  시스템에어컨 5대 단독 매매</t>
        </is>
      </c>
      <c r="P461" s="6">
        <f>HYPERLINK("https://fin.land.naver.com/articles/2650613200", "매물Link")</f>
        <v/>
      </c>
      <c r="Q461" s="6">
        <f>HYPERLINK("https://map.naver.com/p/search/아름동 1241", "지도Link")</f>
        <v/>
      </c>
      <c r="R461" s="6">
        <f>HYPERLINK("http://www.eum.go.kr/web/ar/lu/luLandDet.jsp?pnu=3611011300112410000&amp;isNoScr=script&amp;mode=search", "토지이음")</f>
        <v/>
      </c>
      <c r="S461" s="3" t="inlineStr">
        <is>
          <t>THE행복</t>
        </is>
      </c>
      <c r="T461" s="4" t="n">
        <v>1</v>
      </c>
      <c r="U461" s="5" t="n">
        <v>343.1</v>
      </c>
      <c r="V461" s="4" t="n">
        <v>353.2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1241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전원주택</t>
        </is>
      </c>
      <c r="F462" s="3" t="inlineStr">
        <is>
          <t>매매</t>
        </is>
      </c>
      <c r="G462" s="4" t="n">
        <v>145000</v>
      </c>
      <c r="H462" s="4" t="n">
        <v>0</v>
      </c>
      <c r="I462" s="4" t="n">
        <v>353</v>
      </c>
      <c r="J462" s="4" t="n">
        <v>107</v>
      </c>
      <c r="K462" s="5" t="n">
        <v>1355.1</v>
      </c>
      <c r="L462" s="4" t="n">
        <v>160</v>
      </c>
      <c r="M462" s="4" t="n">
        <v>48</v>
      </c>
      <c r="N462" s="5" t="n">
        <v>3020.8</v>
      </c>
      <c r="O462" s="3" t="inlineStr">
        <is>
          <t>튼튼하게 지어진 집   교통편리 정남향</t>
        </is>
      </c>
      <c r="P462" s="6">
        <f>HYPERLINK("https://fin.land.naver.com/articles/2652845581", "매물Link")</f>
        <v/>
      </c>
      <c r="Q462" s="6">
        <f>HYPERLINK("https://map.naver.com/p/search/아름동 1241", "지도Link")</f>
        <v/>
      </c>
      <c r="R462" s="6">
        <f>HYPERLINK("http://www.eum.go.kr/web/ar/lu/luLandDet.jsp?pnu=3611011300112410000&amp;isNoScr=script&amp;mode=search", "토지이음")</f>
        <v/>
      </c>
      <c r="S462" s="3" t="inlineStr">
        <is>
          <t>세종푸르지오</t>
        </is>
      </c>
      <c r="T462" s="4" t="n">
        <v>1</v>
      </c>
      <c r="U462" s="5" t="n">
        <v>343.1</v>
      </c>
      <c r="V462" s="4" t="n">
        <v>353.2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1241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353</v>
      </c>
      <c r="J463" s="4" t="n">
        <v>107</v>
      </c>
      <c r="K463" s="5" t="n">
        <v>1308.4</v>
      </c>
      <c r="L463" s="4" t="n">
        <v>160</v>
      </c>
      <c r="M463" s="4" t="n">
        <v>48</v>
      </c>
      <c r="N463" s="5" t="n">
        <v>2916.7</v>
      </c>
      <c r="O463" s="3" t="inlineStr">
        <is>
          <t>시스템에어컨풀, 주인거주, 협의입주, 1.2층 단독주택</t>
        </is>
      </c>
      <c r="P463" s="6">
        <f>HYPERLINK("https://fin.land.naver.com/articles/2652838554", "매물Link")</f>
        <v/>
      </c>
      <c r="Q463" s="6">
        <f>HYPERLINK("https://map.naver.com/p/search/아름동 1241", "지도Link")</f>
        <v/>
      </c>
      <c r="R463" s="6">
        <f>HYPERLINK("http://www.eum.go.kr/web/ar/lu/luLandDet.jsp?pnu=3611011300112410000&amp;isNoScr=script&amp;mode=search", "토지이음")</f>
        <v/>
      </c>
      <c r="S463" s="3" t="inlineStr">
        <is>
          <t>세종무지개</t>
        </is>
      </c>
      <c r="T463" s="4" t="n">
        <v>1</v>
      </c>
      <c r="U463" s="5" t="n">
        <v>343.1</v>
      </c>
      <c r="V463" s="4" t="n">
        <v>353.2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1241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140000</v>
      </c>
      <c r="H464" s="4" t="n">
        <v>0</v>
      </c>
      <c r="I464" s="4" t="n">
        <v>160</v>
      </c>
      <c r="J464" s="4" t="n">
        <v>48</v>
      </c>
      <c r="K464" s="5" t="n">
        <v>2916.7</v>
      </c>
      <c r="L464" s="4" t="n">
        <v>160</v>
      </c>
      <c r="M464" s="4" t="n">
        <v>48</v>
      </c>
      <c r="N464" s="5" t="n">
        <v>2916.7</v>
      </c>
      <c r="O464" s="3" t="inlineStr">
        <is>
          <t>2층주택, 현재 주인거주로 잘 관리된 집</t>
        </is>
      </c>
      <c r="P464" s="6">
        <f>HYPERLINK("https://fin.land.naver.com/articles/2652794190", "매물Link")</f>
        <v/>
      </c>
      <c r="Q464" s="6">
        <f>HYPERLINK("https://map.naver.com/p/search/아름동 1241", "지도Link")</f>
        <v/>
      </c>
      <c r="R464" s="6">
        <f>HYPERLINK("http://www.eum.go.kr/web/ar/lu/luLandDet.jsp?pnu=3611011300112410000&amp;isNoScr=script&amp;mode=search", "토지이음")</f>
        <v/>
      </c>
      <c r="S464" s="3" t="inlineStr">
        <is>
          <t>강아지풀</t>
        </is>
      </c>
      <c r="T464" s="4" t="n">
        <v>1</v>
      </c>
      <c r="U464" s="5" t="n">
        <v>343.1</v>
      </c>
      <c r="V464" s="4" t="n">
        <v>353.2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1241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145000</v>
      </c>
      <c r="H465" s="4" t="n">
        <v>0</v>
      </c>
      <c r="I465" s="4" t="n">
        <v>353</v>
      </c>
      <c r="J465" s="4" t="n">
        <v>107</v>
      </c>
      <c r="K465" s="5" t="n">
        <v>1355.1</v>
      </c>
      <c r="L465" s="4" t="n">
        <v>160</v>
      </c>
      <c r="M465" s="4" t="n">
        <v>48</v>
      </c>
      <c r="N465" s="5" t="n">
        <v>3020.8</v>
      </c>
      <c r="O465" s="3" t="inlineStr">
        <is>
          <t>정원있는 조용한 전원주택 매매</t>
        </is>
      </c>
      <c r="P465" s="6">
        <f>HYPERLINK("https://fin.land.naver.com/articles/2650453397", "매물Link")</f>
        <v/>
      </c>
      <c r="Q465" s="6">
        <f>HYPERLINK("https://map.naver.com/p/search/아름동 1241", "지도Link")</f>
        <v/>
      </c>
      <c r="R465" s="6">
        <f>HYPERLINK("http://www.eum.go.kr/web/ar/lu/luLandDet.jsp?pnu=3611011300112410000&amp;isNoScr=script&amp;mode=search", "토지이음")</f>
        <v/>
      </c>
      <c r="S465" s="3" t="inlineStr">
        <is>
          <t>인서</t>
        </is>
      </c>
      <c r="T465" s="4" t="n">
        <v>1</v>
      </c>
      <c r="U465" s="5" t="n">
        <v>343.1</v>
      </c>
      <c r="V465" s="4" t="n">
        <v>353.2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1241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353</v>
      </c>
      <c r="J466" s="4" t="n">
        <v>107</v>
      </c>
      <c r="K466" s="5" t="n">
        <v>1308.4</v>
      </c>
      <c r="L466" s="4" t="n">
        <v>160</v>
      </c>
      <c r="M466" s="4" t="n">
        <v>48</v>
      </c>
      <c r="N466" s="5" t="n">
        <v>2916.7</v>
      </c>
      <c r="O466" s="3" t="inlineStr">
        <is>
          <t>주택 에어컨5개 마당있고 편안한 주택매물입니다.</t>
        </is>
      </c>
      <c r="P466" s="6">
        <f>HYPERLINK("https://fin.land.naver.com/articles/2654113974", "매물Link")</f>
        <v/>
      </c>
      <c r="Q466" s="6">
        <f>HYPERLINK("https://map.naver.com/p/search/아름동 1241", "지도Link")</f>
        <v/>
      </c>
      <c r="R466" s="6">
        <f>HYPERLINK("http://www.eum.go.kr/web/ar/lu/luLandDet.jsp?pnu=3611011300112410000&amp;isNoScr=script&amp;mode=search", "토지이음")</f>
        <v/>
      </c>
      <c r="S466" s="3" t="inlineStr">
        <is>
          <t>세석</t>
        </is>
      </c>
      <c r="T466" s="4" t="n">
        <v>1</v>
      </c>
      <c r="U466" s="5" t="n">
        <v>343.1</v>
      </c>
      <c r="V466" s="4" t="n">
        <v>353.2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1241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140000</v>
      </c>
      <c r="H467" s="4" t="n">
        <v>0</v>
      </c>
      <c r="I467" s="4" t="n">
        <v>353</v>
      </c>
      <c r="J467" s="4" t="n">
        <v>107</v>
      </c>
      <c r="K467" s="5" t="n">
        <v>1308.4</v>
      </c>
      <c r="L467" s="4" t="n">
        <v>160</v>
      </c>
      <c r="M467" s="4" t="n">
        <v>48</v>
      </c>
      <c r="N467" s="5" t="n">
        <v>2916.7</v>
      </c>
      <c r="O467" s="3" t="inlineStr">
        <is>
          <t>전용 48.6p, 1.2층 단독주택, 시스템에어컨풀, 협의입주</t>
        </is>
      </c>
      <c r="P467" s="6">
        <f>HYPERLINK("https://fin.land.naver.com/articles/2654893215", "매물Link")</f>
        <v/>
      </c>
      <c r="Q467" s="6">
        <f>HYPERLINK("https://map.naver.com/p/search/아름동 1241", "지도Link")</f>
        <v/>
      </c>
      <c r="R467" s="6">
        <f>HYPERLINK("http://www.eum.go.kr/web/ar/lu/luLandDet.jsp?pnu=3611011300112410000&amp;isNoScr=script&amp;mode=search", "토지이음")</f>
        <v/>
      </c>
      <c r="S467" s="3" t="inlineStr">
        <is>
          <t>명진</t>
        </is>
      </c>
      <c r="T467" s="4" t="n">
        <v>1</v>
      </c>
      <c r="U467" s="5" t="n">
        <v>343.1</v>
      </c>
      <c r="V467" s="4" t="n">
        <v>353.2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1394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145000</v>
      </c>
      <c r="H468" s="4" t="n">
        <v>0</v>
      </c>
      <c r="I468" s="4" t="n">
        <v>303</v>
      </c>
      <c r="J468" s="4" t="n">
        <v>92</v>
      </c>
      <c r="K468" s="5" t="n">
        <v>1576.1</v>
      </c>
      <c r="L468" s="4" t="n">
        <v>181</v>
      </c>
      <c r="M468" s="4" t="n">
        <v>55</v>
      </c>
      <c r="N468" s="5" t="n">
        <v>2636.4</v>
      </c>
      <c r="O468" s="3" t="inlineStr">
        <is>
          <t>내부상태 청결하고 양호함,중심학원가 근접</t>
        </is>
      </c>
      <c r="P468" s="6">
        <f>HYPERLINK("https://fin.land.naver.com/articles/2650656957", "매물Link")</f>
        <v/>
      </c>
      <c r="Q468" s="6">
        <f>HYPERLINK("https://map.naver.com/p/search/아름동 1394", "지도Link")</f>
        <v/>
      </c>
      <c r="R468" s="6">
        <f>HYPERLINK("http://www.eum.go.kr/web/ar/lu/luLandDet.jsp?pnu=3611011300113940000&amp;isNoScr=script&amp;mode=search", "토지이음")</f>
        <v/>
      </c>
      <c r="S468" s="3" t="inlineStr">
        <is>
          <t>킹세종</t>
        </is>
      </c>
      <c r="T468" s="4" t="n">
        <v>1</v>
      </c>
      <c r="U468" s="5" t="n">
        <v>338.2</v>
      </c>
      <c r="V468" s="4" t="n">
        <v>303.7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소로한면</t>
        </is>
      </c>
    </row>
    <row r="469">
      <c r="A469" s="3" t="inlineStr">
        <is>
          <t>아름동 856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135000</v>
      </c>
      <c r="H469" s="4" t="n">
        <v>0</v>
      </c>
      <c r="I469" s="4" t="n">
        <v>285</v>
      </c>
      <c r="J469" s="4" t="n">
        <v>86</v>
      </c>
      <c r="K469" s="5" t="n">
        <v>1569.8</v>
      </c>
      <c r="L469" s="4" t="n">
        <v>178</v>
      </c>
      <c r="M469" s="4" t="n">
        <v>54</v>
      </c>
      <c r="N469" s="5" t="n">
        <v>2500</v>
      </c>
      <c r="O469" s="3" t="inlineStr">
        <is>
          <t>올리모델링 방3개 욕실3개 시스템에어컨5대 조율가능</t>
        </is>
      </c>
      <c r="P469" s="6">
        <f>HYPERLINK("https://fin.land.naver.com/articles/2655177366", "매물Link")</f>
        <v/>
      </c>
      <c r="Q469" s="6">
        <f>HYPERLINK("https://map.naver.com/p/search/아름동 856", "지도Link")</f>
        <v/>
      </c>
      <c r="R469" s="6">
        <f>HYPERLINK("http://www.eum.go.kr/web/ar/lu/luLandDet.jsp?pnu=3611011300108560000&amp;isNoScr=script&amp;mode=search",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356.7</v>
      </c>
      <c r="V469" s="4" t="n">
        <v>285.9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정방형</t>
        </is>
      </c>
      <c r="AA469" s="3" t="inlineStr">
        <is>
          <t>소로각지</t>
        </is>
      </c>
    </row>
    <row r="470">
      <c r="A470" s="3" t="inlineStr">
        <is>
          <t>아름동 856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135000</v>
      </c>
      <c r="H470" s="4" t="n">
        <v>0</v>
      </c>
      <c r="I470" s="4" t="n">
        <v>285</v>
      </c>
      <c r="J470" s="4" t="n">
        <v>86</v>
      </c>
      <c r="K470" s="5" t="n">
        <v>1569.8</v>
      </c>
      <c r="L470" s="4" t="n">
        <v>178</v>
      </c>
      <c r="M470" s="4" t="n">
        <v>54</v>
      </c>
      <c r="N470" s="5" t="n">
        <v>2500</v>
      </c>
      <c r="O470" s="3" t="inlineStr">
        <is>
          <t>최근 리모델링한 단독주택 매매, 방3개, 욕실2개</t>
        </is>
      </c>
      <c r="P470" s="6">
        <f>HYPERLINK("https://fin.land.naver.com/articles/2654874588", "매물Link")</f>
        <v/>
      </c>
      <c r="Q470" s="6">
        <f>HYPERLINK("https://map.naver.com/p/search/아름동 856", "지도Link")</f>
        <v/>
      </c>
      <c r="R470" s="6">
        <f>HYPERLINK("http://www.eum.go.kr/web/ar/lu/luLandDet.jsp?pnu=3611011300108560000&amp;isNoScr=script&amp;mode=search",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356.7</v>
      </c>
      <c r="V470" s="4" t="n">
        <v>285.9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정방형</t>
        </is>
      </c>
      <c r="AA470" s="3" t="inlineStr">
        <is>
          <t>소로각지</t>
        </is>
      </c>
    </row>
    <row r="471">
      <c r="A471" s="3" t="inlineStr">
        <is>
          <t>아름동 856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135000</v>
      </c>
      <c r="H471" s="4" t="n">
        <v>0</v>
      </c>
      <c r="I471" s="4" t="n">
        <v>285</v>
      </c>
      <c r="J471" s="4" t="n">
        <v>86</v>
      </c>
      <c r="K471" s="5" t="n">
        <v>1569.8</v>
      </c>
      <c r="L471" s="4" t="n">
        <v>178</v>
      </c>
      <c r="M471" s="4" t="n">
        <v>54</v>
      </c>
      <c r="N471" s="5" t="n">
        <v>2500</v>
      </c>
      <c r="O471" s="3" t="inlineStr">
        <is>
          <t>아름동 입지좋은 단독주택 매매, 올리모델링</t>
        </is>
      </c>
      <c r="P471" s="6">
        <f>HYPERLINK("https://fin.land.naver.com/articles/2654691330", "매물Link")</f>
        <v/>
      </c>
      <c r="Q471" s="6">
        <f>HYPERLINK("https://map.naver.com/p/search/아름동 856", "지도Link")</f>
        <v/>
      </c>
      <c r="R471" s="6">
        <f>HYPERLINK("http://www.eum.go.kr/web/ar/lu/luLandDet.jsp?pnu=3611011300108560000&amp;isNoScr=script&amp;mode=search", "토지이음")</f>
        <v/>
      </c>
      <c r="S471" s="3" t="inlineStr">
        <is>
          <t>세종무지개</t>
        </is>
      </c>
      <c r="T471" s="4" t="n">
        <v>1</v>
      </c>
      <c r="U471" s="5" t="n">
        <v>356.7</v>
      </c>
      <c r="V471" s="4" t="n">
        <v>285.9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소로각지</t>
        </is>
      </c>
    </row>
    <row r="472">
      <c r="A472" s="3" t="inlineStr">
        <is>
          <t>아름동 862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107000</v>
      </c>
      <c r="H472" s="4" t="n">
        <v>0</v>
      </c>
      <c r="I472" s="4" t="n">
        <v>314</v>
      </c>
      <c r="J472" s="4" t="n">
        <v>95</v>
      </c>
      <c r="K472" s="5" t="n">
        <v>1126.3</v>
      </c>
      <c r="L472" s="4" t="n">
        <v>147</v>
      </c>
      <c r="M472" s="4" t="n">
        <v>44</v>
      </c>
      <c r="N472" s="5" t="n">
        <v>2431.8</v>
      </c>
      <c r="O472" s="3" t="inlineStr">
        <is>
          <t>급매 전세끼고 매매 리모델링됨 마당넓음</t>
        </is>
      </c>
      <c r="P472" s="6">
        <f>HYPERLINK("https://fin.land.naver.com/articles/2651116835", "매물Link")</f>
        <v/>
      </c>
      <c r="Q472" s="6">
        <f>HYPERLINK("https://map.naver.com/p/search/아름동 862", "지도Link")</f>
        <v/>
      </c>
      <c r="R472" s="6">
        <f>HYPERLINK("http://www.eum.go.kr/web/ar/lu/luLandDet.jsp?pnu=3611011300108620000&amp;isNoScr=script&amp;mode=search",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339.8</v>
      </c>
      <c r="V472" s="4" t="n">
        <v>314.8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875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160000</v>
      </c>
      <c r="H473" s="4" t="n">
        <v>0</v>
      </c>
      <c r="I473" s="4" t="n">
        <v>340</v>
      </c>
      <c r="J473" s="4" t="n">
        <v>103</v>
      </c>
      <c r="K473" s="5" t="n">
        <v>1553.4</v>
      </c>
      <c r="L473" s="4" t="n">
        <v>192</v>
      </c>
      <c r="M473" s="4" t="n">
        <v>58</v>
      </c>
      <c r="N473" s="5" t="n">
        <v>2758.6</v>
      </c>
      <c r="O473" s="3" t="inlineStr">
        <is>
          <t>nan</t>
        </is>
      </c>
      <c r="P473" s="6">
        <f>HYPERLINK("https://fin.land.naver.com/articles/2652438889", "매물Link")</f>
        <v/>
      </c>
      <c r="Q473" s="6">
        <f>HYPERLINK("https://map.naver.com/p/search/아름동 875", "지도Link")</f>
        <v/>
      </c>
      <c r="R473" s="6">
        <f>HYPERLINK("http://www.eum.go.kr/web/ar/lu/luLandDet.jsp?pnu=3611011300108750000&amp;isNoScr=script&amp;mode=search", "토지이음")</f>
        <v/>
      </c>
      <c r="S473" s="3" t="inlineStr">
        <is>
          <t>세종갑부</t>
        </is>
      </c>
      <c r="T473" s="4" t="n">
        <v>1</v>
      </c>
      <c r="U473" s="5" t="n">
        <v>339.5</v>
      </c>
      <c r="V473" s="4" t="n">
        <v>340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아름동 875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160000</v>
      </c>
      <c r="H474" s="4" t="n">
        <v>0</v>
      </c>
      <c r="I474" s="4" t="n">
        <v>340</v>
      </c>
      <c r="J474" s="4" t="n">
        <v>103</v>
      </c>
      <c r="K474" s="5" t="n">
        <v>1553.4</v>
      </c>
      <c r="L474" s="4" t="n">
        <v>192</v>
      </c>
      <c r="M474" s="4" t="n">
        <v>58</v>
      </c>
      <c r="N474" s="5" t="n">
        <v>2758.6</v>
      </c>
      <c r="O474" s="3" t="inlineStr">
        <is>
          <t>입주협의 위치좋은 단독주택 관리상태굿 가격조정가능</t>
        </is>
      </c>
      <c r="P474" s="6">
        <f>HYPERLINK("https://fin.land.naver.com/articles/2650696710", "매물Link")</f>
        <v/>
      </c>
      <c r="Q474" s="6">
        <f>HYPERLINK("https://map.naver.com/p/search/아름동 875", "지도Link")</f>
        <v/>
      </c>
      <c r="R474" s="6">
        <f>HYPERLINK("http://www.eum.go.kr/web/ar/lu/luLandDet.jsp?pnu=3611011300108750000&amp;isNoScr=script&amp;mode=search", "토지이음")</f>
        <v/>
      </c>
      <c r="S474" s="3" t="inlineStr">
        <is>
          <t>고운동리치세종</t>
        </is>
      </c>
      <c r="T474" s="4" t="n">
        <v>1</v>
      </c>
      <c r="U474" s="5" t="n">
        <v>339.5</v>
      </c>
      <c r="V474" s="4" t="n">
        <v>340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아름동 959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160000</v>
      </c>
      <c r="H475" s="4" t="n">
        <v>0</v>
      </c>
      <c r="I475" s="4" t="n">
        <v>357</v>
      </c>
      <c r="J475" s="4" t="n">
        <v>108</v>
      </c>
      <c r="K475" s="5" t="n">
        <v>1481.5</v>
      </c>
      <c r="L475" s="4" t="n">
        <v>248</v>
      </c>
      <c r="M475" s="4" t="n">
        <v>75</v>
      </c>
      <c r="N475" s="5" t="n">
        <v>2133.3</v>
      </c>
      <c r="O475" s="3" t="inlineStr">
        <is>
          <t>방5개, 화장실2개, 고급 단독주택, 태양광</t>
        </is>
      </c>
      <c r="P475" s="6">
        <f>HYPERLINK("https://fin.land.naver.com/articles/2651949107", "매물Link")</f>
        <v/>
      </c>
      <c r="Q475" s="6">
        <f>HYPERLINK("https://map.naver.com/p/search/아름동 959", "지도Link")</f>
        <v/>
      </c>
      <c r="R475" s="6">
        <f>HYPERLINK("http://www.eum.go.kr/web/ar/lu/luLandDet.jsp?pnu=3611011300109590000&amp;isNoScr=script&amp;mode=search",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327.2</v>
      </c>
      <c r="V475" s="4" t="n">
        <v>357.9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아름동 959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160000</v>
      </c>
      <c r="H476" s="4" t="n">
        <v>0</v>
      </c>
      <c r="I476" s="4" t="n">
        <v>357</v>
      </c>
      <c r="J476" s="4" t="n">
        <v>108</v>
      </c>
      <c r="K476" s="5" t="n">
        <v>1481.5</v>
      </c>
      <c r="L476" s="4" t="n">
        <v>248</v>
      </c>
      <c r="M476" s="4" t="n">
        <v>75</v>
      </c>
      <c r="N476" s="5" t="n">
        <v>2133.3</v>
      </c>
      <c r="O476" s="3" t="inlineStr">
        <is>
          <t>고급 단독주택 매매, 태양광 설치, 1층에 방2개</t>
        </is>
      </c>
      <c r="P476" s="6">
        <f>HYPERLINK("https://fin.land.naver.com/articles/2652844353", "매물Link")</f>
        <v/>
      </c>
      <c r="Q476" s="6">
        <f>HYPERLINK("https://map.naver.com/p/search/아름동 959", "지도Link")</f>
        <v/>
      </c>
      <c r="R476" s="6">
        <f>HYPERLINK("http://www.eum.go.kr/web/ar/lu/luLandDet.jsp?pnu=3611011300109590000&amp;isNoScr=script&amp;mode=search",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327.2</v>
      </c>
      <c r="V476" s="4" t="n">
        <v>357.9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소로한면</t>
        </is>
      </c>
    </row>
    <row r="477">
      <c r="A477" s="3" t="inlineStr">
        <is>
          <t>아름동 959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160000</v>
      </c>
      <c r="H477" s="4" t="n">
        <v>0</v>
      </c>
      <c r="I477" s="4" t="n">
        <v>357</v>
      </c>
      <c r="J477" s="4" t="n">
        <v>108</v>
      </c>
      <c r="K477" s="5" t="n">
        <v>1481.5</v>
      </c>
      <c r="L477" s="4" t="n">
        <v>248</v>
      </c>
      <c r="M477" s="4" t="n">
        <v>75</v>
      </c>
      <c r="N477" s="5" t="n">
        <v>2133.3</v>
      </c>
      <c r="O477" s="3" t="inlineStr">
        <is>
          <t>조율가능 유럽풍스타일 1층 방2개 거실넓은 철콘주택</t>
        </is>
      </c>
      <c r="P477" s="6">
        <f>HYPERLINK("https://fin.land.naver.com/articles/2651088324", "매물Link")</f>
        <v/>
      </c>
      <c r="Q477" s="6">
        <f>HYPERLINK("https://map.naver.com/p/search/아름동 959", "지도Link")</f>
        <v/>
      </c>
      <c r="R477" s="6">
        <f>HYPERLINK("http://www.eum.go.kr/web/ar/lu/luLandDet.jsp?pnu=3611011300109590000&amp;isNoScr=script&amp;mode=search",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327.2</v>
      </c>
      <c r="V477" s="4" t="n">
        <v>357.9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아름동 993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200000</v>
      </c>
      <c r="H478" s="4" t="n">
        <v>0</v>
      </c>
      <c r="I478" s="4" t="n">
        <v>325</v>
      </c>
      <c r="J478" s="4" t="n">
        <v>98</v>
      </c>
      <c r="K478" s="5" t="n">
        <v>2040.8</v>
      </c>
      <c r="L478" s="4" t="n">
        <v>278</v>
      </c>
      <c r="M478" s="4" t="n">
        <v>84</v>
      </c>
      <c r="N478" s="5" t="n">
        <v>2381</v>
      </c>
      <c r="O478" s="3" t="inlineStr">
        <is>
          <t>방4개, 화장실3개, 벙커주차장가능, 지대높아 뷰 굿</t>
        </is>
      </c>
      <c r="P478" s="6">
        <f>HYPERLINK("https://fin.land.naver.com/articles/2652883582", "매물Link")</f>
        <v/>
      </c>
      <c r="Q478" s="6">
        <f>HYPERLINK("https://map.naver.com/p/search/아름동 993", "지도Link")</f>
        <v/>
      </c>
      <c r="R478" s="6">
        <f>HYPERLINK("http://www.eum.go.kr/web/ar/lu/luLandDet.jsp?pnu=3611011300109930000&amp;isNoScr=script&amp;mode=search",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335.5</v>
      </c>
      <c r="V478" s="4" t="n">
        <v>325.8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993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200000</v>
      </c>
      <c r="H479" s="4" t="n">
        <v>0</v>
      </c>
      <c r="I479" s="4" t="n">
        <v>325</v>
      </c>
      <c r="J479" s="4" t="n">
        <v>98</v>
      </c>
      <c r="K479" s="5" t="n">
        <v>2040.8</v>
      </c>
      <c r="L479" s="4" t="n">
        <v>278</v>
      </c>
      <c r="M479" s="4" t="n">
        <v>84</v>
      </c>
      <c r="N479" s="5" t="n">
        <v>2381</v>
      </c>
      <c r="O479" s="3" t="inlineStr">
        <is>
          <t>전용 84.4p, 방4개, 화장실3개, 고급 단독주택, 관리잘된집</t>
        </is>
      </c>
      <c r="P479" s="6">
        <f>HYPERLINK("https://fin.land.naver.com/articles/2653889577", "매물Link")</f>
        <v/>
      </c>
      <c r="Q479" s="6">
        <f>HYPERLINK("https://map.naver.com/p/search/아름동 993", "지도Link")</f>
        <v/>
      </c>
      <c r="R479" s="6">
        <f>HYPERLINK("http://www.eum.go.kr/web/ar/lu/luLandDet.jsp?pnu=3611011300109930000&amp;isNoScr=script&amp;mode=search",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335.5</v>
      </c>
      <c r="V479" s="4" t="n">
        <v>325.8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993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200000</v>
      </c>
      <c r="H480" s="4" t="n">
        <v>0</v>
      </c>
      <c r="I480" s="4" t="n">
        <v>325</v>
      </c>
      <c r="J480" s="4" t="n">
        <v>98</v>
      </c>
      <c r="K480" s="5" t="n">
        <v>2040.8</v>
      </c>
      <c r="L480" s="4" t="n">
        <v>278</v>
      </c>
      <c r="M480" s="4" t="n">
        <v>84</v>
      </c>
      <c r="N480" s="5" t="n">
        <v>2381</v>
      </c>
      <c r="O480" s="3" t="inlineStr">
        <is>
          <t>동네전체 내려보이는 높은위치 벙커주차장2대 개방감최상</t>
        </is>
      </c>
      <c r="P480" s="6">
        <f>HYPERLINK("https://fin.land.naver.com/articles/2652442556", "매물Link")</f>
        <v/>
      </c>
      <c r="Q480" s="6">
        <f>HYPERLINK("https://map.naver.com/p/search/아름동 993", "지도Link")</f>
        <v/>
      </c>
      <c r="R480" s="6">
        <f>HYPERLINK("http://www.eum.go.kr/web/ar/lu/luLandDet.jsp?pnu=3611011300109930000&amp;isNoScr=script&amp;mode=search",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335.5</v>
      </c>
      <c r="V480" s="4" t="n">
        <v>325.8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연기면 눌왕리 222-17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90000</v>
      </c>
      <c r="H481" s="4" t="n">
        <v>0</v>
      </c>
      <c r="I481" s="4" t="n">
        <v>716</v>
      </c>
      <c r="J481" s="4" t="n">
        <v>217</v>
      </c>
      <c r="K481" s="5" t="n">
        <v>414.7</v>
      </c>
      <c r="L481" s="4" t="n">
        <v>136</v>
      </c>
      <c r="M481" s="4" t="n">
        <v>41</v>
      </c>
      <c r="N481" s="5" t="n">
        <v>2195.1</v>
      </c>
      <c r="O481" s="3" t="inlineStr">
        <is>
          <t>세종시 연기면 눌왕리 전원주택 매매 .2층 주택</t>
        </is>
      </c>
      <c r="P481" s="6">
        <f>HYPERLINK("https://fin.land.naver.com/articles/2652492906", "매물Link")</f>
        <v/>
      </c>
      <c r="Q481" s="6">
        <f>HYPERLINK("https://map.naver.com/p/search/연기면 눌왕리 222-17", "지도Link")</f>
        <v/>
      </c>
      <c r="R481" s="6">
        <f>HYPERLINK("http://www.eum.go.kr/web/ar/lu/luLandDet.jsp?pnu=3611031023102220017&amp;isNoScr=script&amp;mode=search", "토지이음")</f>
        <v/>
      </c>
      <c r="S481" s="3" t="inlineStr">
        <is>
          <t>동원</t>
        </is>
      </c>
      <c r="T481" s="4" t="n">
        <v>1</v>
      </c>
      <c r="U481" s="5" t="n">
        <v>115.9</v>
      </c>
      <c r="V481" s="4" t="n">
        <v>716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완경사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연기면 눌왕리 222-4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93000</v>
      </c>
      <c r="H482" s="4" t="n">
        <v>0</v>
      </c>
      <c r="I482" s="4" t="n">
        <v>827</v>
      </c>
      <c r="J482" s="4" t="n">
        <v>250</v>
      </c>
      <c r="K482" s="5" t="n">
        <v>372</v>
      </c>
      <c r="L482" s="4" t="n">
        <v>111</v>
      </c>
      <c r="M482" s="4" t="n">
        <v>34</v>
      </c>
      <c r="N482" s="5" t="n">
        <v>2735.3</v>
      </c>
      <c r="O482" s="3" t="inlineStr">
        <is>
          <t>눌왕리 텃밭과 조경이 관리가 잘 된 1층 단독주택. 입주일 협의.</t>
        </is>
      </c>
      <c r="P482" s="6">
        <f>HYPERLINK("https://fin.land.naver.com/articles/2653849984", "매물Link")</f>
        <v/>
      </c>
      <c r="Q482" s="6">
        <f>HYPERLINK("https://map.naver.com/p/search/연기면 눌왕리 222-4", "지도Link")</f>
        <v/>
      </c>
      <c r="R482" s="6">
        <f>HYPERLINK("http://www.eum.go.kr/web/ar/lu/luLandDet.jsp?pnu=3611031023102220004&amp;isNoScr=script&amp;mode=search", "토지이음")</f>
        <v/>
      </c>
      <c r="S482" s="3" t="inlineStr">
        <is>
          <t>세종대장</t>
        </is>
      </c>
      <c r="T482" s="4" t="n">
        <v>1</v>
      </c>
      <c r="U482" s="5" t="n">
        <v>115.9</v>
      </c>
      <c r="V482" s="4" t="n">
        <v>827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정방형</t>
        </is>
      </c>
      <c r="AA482" s="3" t="inlineStr">
        <is>
          <t>세로한면(가)</t>
        </is>
      </c>
    </row>
    <row r="483">
      <c r="A483" s="3" t="inlineStr">
        <is>
          <t>연기면 눌왕리 679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전원주택</t>
        </is>
      </c>
      <c r="F483" s="3" t="inlineStr">
        <is>
          <t>매매</t>
        </is>
      </c>
      <c r="G483" s="4" t="n">
        <v>102700</v>
      </c>
      <c r="H483" s="4" t="n">
        <v>0</v>
      </c>
      <c r="I483" s="4" t="n">
        <v>1494</v>
      </c>
      <c r="J483" s="4" t="n">
        <v>452</v>
      </c>
      <c r="K483" s="5" t="n">
        <v>227.2</v>
      </c>
      <c r="L483" s="4" t="n">
        <v>19</v>
      </c>
      <c r="M483" s="4" t="n">
        <v>6</v>
      </c>
      <c r="N483" s="5" t="n">
        <v>17116.7</v>
      </c>
      <c r="O483" s="3" t="inlineStr">
        <is>
          <t>nan</t>
        </is>
      </c>
      <c r="P483" s="6">
        <f>HYPERLINK("https://fin.land.naver.com/articles/2654582010", "매물Link")</f>
        <v/>
      </c>
      <c r="Q483" s="6">
        <f>HYPERLINK("https://map.naver.com/p/search/연기면 눌왕리 679", "지도Link")</f>
        <v/>
      </c>
      <c r="R483" s="6">
        <f>HYPERLINK("http://www.eum.go.kr/web/ar/lu/luLandDet.jsp?pnu=3611031023106790000&amp;isNoScr=script&amp;mode=search", "토지이음")</f>
        <v/>
      </c>
      <c r="S483" s="3" t="inlineStr">
        <is>
          <t>한신플러스</t>
        </is>
      </c>
      <c r="T483" s="4" t="n">
        <v>1</v>
      </c>
      <c r="U483" s="5" t="n">
        <v>91.8</v>
      </c>
      <c r="V483" s="4" t="n">
        <v>1306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연기면 눌왕리 679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100000</v>
      </c>
      <c r="H484" s="4" t="n">
        <v>0</v>
      </c>
      <c r="I484" s="4" t="n">
        <v>10306</v>
      </c>
      <c r="J484" s="4" t="n">
        <v>3118</v>
      </c>
      <c r="K484" s="5" t="n">
        <v>32.1</v>
      </c>
      <c r="L484" s="4" t="n">
        <v>19</v>
      </c>
      <c r="M484" s="4" t="n">
        <v>6</v>
      </c>
      <c r="N484" s="5" t="n">
        <v>16666.7</v>
      </c>
      <c r="O484" s="3" t="inlineStr">
        <is>
          <t>nan</t>
        </is>
      </c>
      <c r="P484" s="6">
        <f>HYPERLINK("https://fin.land.naver.com/articles/2654580907", "매물Link")</f>
        <v/>
      </c>
      <c r="Q484" s="6">
        <f>HYPERLINK("https://map.naver.com/p/search/연기면 눌왕리 679", "지도Link")</f>
        <v/>
      </c>
      <c r="R484" s="6">
        <f>HYPERLINK("http://www.eum.go.kr/web/ar/lu/luLandDet.jsp?pnu=3611031023106790000&amp;isNoScr=script&amp;mode=search", "토지이음")</f>
        <v/>
      </c>
      <c r="S484" s="3" t="inlineStr">
        <is>
          <t>한신플러스</t>
        </is>
      </c>
      <c r="T484" s="4" t="n">
        <v>1</v>
      </c>
      <c r="U484" s="5" t="n">
        <v>91.8</v>
      </c>
      <c r="V484" s="4" t="n">
        <v>1306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연기면 보통리 191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</v>
      </c>
      <c r="H485" s="4" t="n">
        <v>0</v>
      </c>
      <c r="I485" s="4" t="n">
        <v>1023</v>
      </c>
      <c r="J485" s="4" t="n">
        <v>309</v>
      </c>
      <c r="K485" s="5" t="n">
        <v>25.9</v>
      </c>
      <c r="L485" s="4" t="n">
        <v>174</v>
      </c>
      <c r="M485" s="4" t="n">
        <v>53</v>
      </c>
      <c r="N485" s="5" t="n">
        <v>150.9</v>
      </c>
      <c r="O485" s="3" t="inlineStr">
        <is>
          <t>한적한 전원주택,텃밭 가꾸며 조용하게 살기 좋은 곳입니다.</t>
        </is>
      </c>
      <c r="P485" s="6">
        <f>HYPERLINK("https://fin.land.naver.com/articles/2650211277", "매물Link")</f>
        <v/>
      </c>
      <c r="Q485" s="6">
        <f>HYPERLINK("https://map.naver.com/p/search/연기면 보통리 191", "지도Link")</f>
        <v/>
      </c>
      <c r="R485" s="6">
        <f>HYPERLINK("http://www.eum.go.kr/web/ar/lu/luLandDet.jsp?pnu=3611031022101910000&amp;isNoScr=script&amp;mode=search", "토지이음")</f>
        <v/>
      </c>
      <c r="S485" s="3" t="inlineStr">
        <is>
          <t>나릿재OK</t>
        </is>
      </c>
      <c r="T485" s="4" t="n">
        <v>1</v>
      </c>
      <c r="U485" s="5" t="n">
        <v>96.90000000000001</v>
      </c>
      <c r="V485" s="4" t="n">
        <v>1023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완경사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연기면 보통리 191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전원주택</t>
        </is>
      </c>
      <c r="F486" s="3" t="inlineStr">
        <is>
          <t>전세</t>
        </is>
      </c>
      <c r="G486" s="4" t="n">
        <v>10000</v>
      </c>
      <c r="H486" s="4" t="n">
        <v>0</v>
      </c>
      <c r="I486" s="4" t="n">
        <v>1023</v>
      </c>
      <c r="J486" s="4" t="n">
        <v>309</v>
      </c>
      <c r="K486" s="5" t="n">
        <v>32.4</v>
      </c>
      <c r="L486" s="4" t="n">
        <v>174</v>
      </c>
      <c r="M486" s="4" t="n">
        <v>53</v>
      </c>
      <c r="N486" s="5" t="n">
        <v>188.7</v>
      </c>
      <c r="O486" s="3" t="inlineStr">
        <is>
          <t>저렴한 전원주택 전세, 근처 전 텃밭으로 사용가능, 신축 깨끗</t>
        </is>
      </c>
      <c r="P486" s="6">
        <f>HYPERLINK("https://fin.land.naver.com/articles/2653499367", "매물Link")</f>
        <v/>
      </c>
      <c r="Q486" s="6">
        <f>HYPERLINK("https://map.naver.com/p/search/연기면 보통리 191", "지도Link")</f>
        <v/>
      </c>
      <c r="R486" s="6">
        <f>HYPERLINK("http://www.eum.go.kr/web/ar/lu/luLandDet.jsp?pnu=3611031022101910000&amp;isNoScr=script&amp;mode=search", "토지이음")</f>
        <v/>
      </c>
      <c r="S486" s="3" t="inlineStr">
        <is>
          <t>풍경채대지</t>
        </is>
      </c>
      <c r="T486" s="4" t="n">
        <v>1</v>
      </c>
      <c r="U486" s="5" t="n">
        <v>96.90000000000001</v>
      </c>
      <c r="V486" s="4" t="n">
        <v>1023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완경사</t>
        </is>
      </c>
      <c r="Z486" s="3" t="inlineStr">
        <is>
          <t>부정형</t>
        </is>
      </c>
      <c r="AA486" s="3" t="inlineStr">
        <is>
          <t>세로한면(가)</t>
        </is>
      </c>
    </row>
    <row r="487">
      <c r="A487" s="3" t="inlineStr">
        <is>
          <t>연기면 보통리 191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전세</t>
        </is>
      </c>
      <c r="G487" s="4" t="n">
        <v>8000</v>
      </c>
      <c r="H487" s="4" t="n">
        <v>0</v>
      </c>
      <c r="I487" s="4" t="n">
        <v>1023</v>
      </c>
      <c r="J487" s="4" t="n">
        <v>309</v>
      </c>
      <c r="K487" s="5" t="n">
        <v>25.9</v>
      </c>
      <c r="L487" s="4" t="n">
        <v>174</v>
      </c>
      <c r="M487" s="4" t="n">
        <v>53</v>
      </c>
      <c r="N487" s="5" t="n">
        <v>150.9</v>
      </c>
      <c r="O487" s="3" t="inlineStr">
        <is>
          <t>전원형 단독주택, 창고, 주차장 건물 별도로 있어요</t>
        </is>
      </c>
      <c r="P487" s="6">
        <f>HYPERLINK("https://fin.land.naver.com/articles/2655045299", "매물Link")</f>
        <v/>
      </c>
      <c r="Q487" s="6">
        <f>HYPERLINK("https://map.naver.com/p/search/연기면 보통리 191", "지도Link")</f>
        <v/>
      </c>
      <c r="R487" s="6">
        <f>HYPERLINK("http://www.eum.go.kr/web/ar/lu/luLandDet.jsp?pnu=3611031022101910000&amp;isNoScr=script&amp;mode=search", "토지이음")</f>
        <v/>
      </c>
      <c r="S487" s="3" t="inlineStr">
        <is>
          <t>세종대박</t>
        </is>
      </c>
      <c r="T487" s="4" t="n">
        <v>1</v>
      </c>
      <c r="U487" s="5" t="n">
        <v>96.90000000000001</v>
      </c>
      <c r="V487" s="4" t="n">
        <v>1023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연기면 보통리 340-1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연립</t>
        </is>
      </c>
      <c r="F488" s="3" t="inlineStr">
        <is>
          <t>매매</t>
        </is>
      </c>
      <c r="G488" s="4" t="n">
        <v>9000</v>
      </c>
      <c r="H488" s="4" t="n">
        <v>0</v>
      </c>
      <c r="I488" s="4" t="n">
        <v>54</v>
      </c>
      <c r="J488" s="4" t="n">
        <v>16</v>
      </c>
      <c r="K488" s="5" t="n">
        <v>562.5</v>
      </c>
      <c r="L488" s="4" t="n">
        <v>54</v>
      </c>
      <c r="M488" s="4" t="n">
        <v>16</v>
      </c>
      <c r="N488" s="5" t="n">
        <v>562.5</v>
      </c>
      <c r="O488" s="3" t="inlineStr">
        <is>
          <t>올리모델링,관리잘된 연립주택</t>
        </is>
      </c>
      <c r="P488" s="6">
        <f>HYPERLINK("https://fin.land.naver.com/articles/2655032834", "매물Link")</f>
        <v/>
      </c>
      <c r="Q488" s="6">
        <f>HYPERLINK("https://map.naver.com/p/search/연기면 보통리 340-1", "지도Link")</f>
        <v/>
      </c>
      <c r="R488" s="6">
        <f>HYPERLINK("http://www.eum.go.kr/web/ar/lu/luLandDet.jsp?pnu=3611031022103400001&amp;isNoScr=script&amp;mode=search", "토지이음")</f>
        <v/>
      </c>
      <c r="S488" s="3" t="inlineStr">
        <is>
          <t>세종대박</t>
        </is>
      </c>
      <c r="T488" s="4" t="n">
        <v>1</v>
      </c>
      <c r="U488" s="5" t="n">
        <v>195.9</v>
      </c>
      <c r="V488" s="4" t="n">
        <v>609</v>
      </c>
      <c r="W488" s="3" t="inlineStr">
        <is>
          <t>지정되지않음</t>
        </is>
      </c>
      <c r="X488" s="3" t="inlineStr">
        <is>
          <t>주상기타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연기면 보통리 340-3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빌라</t>
        </is>
      </c>
      <c r="F489" s="3" t="inlineStr">
        <is>
          <t>매매</t>
        </is>
      </c>
      <c r="G489" s="4" t="n">
        <v>9000</v>
      </c>
      <c r="H489" s="4" t="n">
        <v>0</v>
      </c>
      <c r="I489" s="4" t="n">
        <v>65</v>
      </c>
      <c r="J489" s="4" t="n">
        <v>20</v>
      </c>
      <c r="K489" s="5" t="n">
        <v>450</v>
      </c>
      <c r="L489" s="4" t="n">
        <v>59</v>
      </c>
      <c r="M489" s="4" t="n">
        <v>18</v>
      </c>
      <c r="N489" s="5" t="n">
        <v>500</v>
      </c>
      <c r="O489" s="3" t="inlineStr">
        <is>
          <t>nan</t>
        </is>
      </c>
      <c r="P489" s="6">
        <f>HYPERLINK("https://fin.land.naver.com/articles/2655032755", "매물Link")</f>
        <v/>
      </c>
      <c r="Q489" s="6">
        <f>HYPERLINK("https://map.naver.com/p/search/연기면 보통리 340-3", "지도Link")</f>
        <v/>
      </c>
      <c r="R489" s="6">
        <f>HYPERLINK("http://www.eum.go.kr/web/ar/lu/luLandDet.jsp?pnu=3611031022103400003&amp;isNoScr=script&amp;mode=search", "토지이음")</f>
        <v/>
      </c>
      <c r="S489" s="3" t="inlineStr">
        <is>
          <t>세종대박</t>
        </is>
      </c>
      <c r="T489" s="4" t="n">
        <v>1</v>
      </c>
      <c r="U489" s="5" t="n">
        <v>195.9</v>
      </c>
      <c r="V489" s="4" t="n">
        <v>793</v>
      </c>
      <c r="W489" s="3" t="inlineStr">
        <is>
          <t>지정되지않음</t>
        </is>
      </c>
      <c r="X489" s="3" t="inlineStr">
        <is>
          <t>주상기타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연기면 보통리 386-13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300</v>
      </c>
      <c r="H490" s="4" t="n">
        <v>43</v>
      </c>
      <c r="I490" s="4" t="n">
        <v>0</v>
      </c>
      <c r="J490" s="4" t="n">
        <v>0</v>
      </c>
      <c r="K490" s="5" t="n">
        <v>0</v>
      </c>
      <c r="L490" s="4" t="n">
        <v>37</v>
      </c>
      <c r="M490" s="4" t="n">
        <v>11</v>
      </c>
      <c r="N490" s="5" t="n">
        <v>3.9</v>
      </c>
      <c r="O490" s="3" t="inlineStr">
        <is>
          <t>1.5룸 투베이 , 세종신도심 5분내 진입</t>
        </is>
      </c>
      <c r="P490" s="6">
        <f>HYPERLINK("https://fin.land.naver.com/articles/2654265153", "매물Link")</f>
        <v/>
      </c>
      <c r="Q490" s="6">
        <f>HYPERLINK("https://map.naver.com/p/search/연기면 보통리 386-13", "지도Link")</f>
        <v/>
      </c>
      <c r="R490" s="6">
        <f>HYPERLINK("http://www.eum.go.kr/web/ar/lu/luLandDet.jsp?pnu=3611031022103860013&amp;isNoScr=script&amp;mode=search", "토지이음")</f>
        <v/>
      </c>
      <c r="S490" s="3" t="inlineStr">
        <is>
          <t>지성</t>
        </is>
      </c>
      <c r="T490" s="4" t="n">
        <v>1</v>
      </c>
      <c r="U490" s="5" t="n">
        <v>188.5</v>
      </c>
      <c r="V490" s="4" t="n">
        <v>558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연기면 보통리 387-2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다가구</t>
        </is>
      </c>
      <c r="F491" s="3" t="inlineStr">
        <is>
          <t>매매</t>
        </is>
      </c>
      <c r="G491" s="4" t="n">
        <v>190000</v>
      </c>
      <c r="H491" s="4" t="n">
        <v>0</v>
      </c>
      <c r="I491" s="4" t="n">
        <v>568</v>
      </c>
      <c r="J491" s="4" t="n">
        <v>172</v>
      </c>
      <c r="K491" s="5" t="n">
        <v>1104.7</v>
      </c>
      <c r="L491" s="4" t="n">
        <v>581</v>
      </c>
      <c r="M491" s="4" t="n">
        <v>176</v>
      </c>
      <c r="N491" s="5" t="n">
        <v>1079.5</v>
      </c>
      <c r="O491" s="3" t="inlineStr">
        <is>
          <t>공실제로 신축 스마트산업단지 예정 초입위치 다가구주택 통매매</t>
        </is>
      </c>
      <c r="P491" s="6">
        <f>HYPERLINK("https://fin.land.naver.com/articles/2653309898", "매물Link")</f>
        <v/>
      </c>
      <c r="Q491" s="6">
        <f>HYPERLINK("https://map.naver.com/p/search/연기면 보통리 387-2", "지도Link")</f>
        <v/>
      </c>
      <c r="R491" s="6">
        <f>HYPERLINK("http://www.eum.go.kr/web/ar/lu/luLandDet.jsp?pnu=3611031022103870002&amp;isNoScr=script&amp;mode=search", "토지이음")</f>
        <v/>
      </c>
      <c r="S491" s="3" t="inlineStr">
        <is>
          <t>연기더조은</t>
        </is>
      </c>
      <c r="T491" s="4" t="n">
        <v>1</v>
      </c>
      <c r="U491" s="5" t="n">
        <v>196.5</v>
      </c>
      <c r="V491" s="4" t="n">
        <v>568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세로한면(가)</t>
        </is>
      </c>
    </row>
    <row r="492">
      <c r="A492" s="3" t="inlineStr">
        <is>
          <t>연기면 보통리 387-3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500</v>
      </c>
      <c r="H492" s="4" t="n">
        <v>40</v>
      </c>
      <c r="I492" s="4" t="n">
        <v>0</v>
      </c>
      <c r="J492" s="4" t="n">
        <v>0</v>
      </c>
      <c r="K492" s="5" t="n">
        <v>0</v>
      </c>
      <c r="L492" s="4" t="n">
        <v>43</v>
      </c>
      <c r="M492" s="4" t="n">
        <v>13</v>
      </c>
      <c r="N492" s="5" t="n">
        <v>3.1</v>
      </c>
      <c r="O492" s="3" t="inlineStr">
        <is>
          <t>인기좋은  신축 풀옵션 방  깔끔한 주거공간  주차편함  세종청사 10분</t>
        </is>
      </c>
      <c r="P492" s="6">
        <f>HYPERLINK("https://fin.land.naver.com/articles/2654734579", "매물Link")</f>
        <v/>
      </c>
      <c r="Q492" s="6">
        <f>HYPERLINK("https://map.naver.com/p/search/연기면 보통리 387-3", "지도Link")</f>
        <v/>
      </c>
      <c r="R492" s="6">
        <f>HYPERLINK("http://www.eum.go.kr/web/ar/lu/luLandDet.jsp?pnu=3611031022103870003&amp;isNoScr=script&amp;mode=search", "토지이음")</f>
        <v/>
      </c>
      <c r="S492" s="3" t="inlineStr">
        <is>
          <t>연서으뜸</t>
        </is>
      </c>
      <c r="T492" s="4" t="n">
        <v>1</v>
      </c>
      <c r="U492" s="5" t="n">
        <v>186.7</v>
      </c>
      <c r="V492" s="4" t="n">
        <v>565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보통리 387-3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500</v>
      </c>
      <c r="H493" s="4" t="n">
        <v>40</v>
      </c>
      <c r="I493" s="4" t="n">
        <v>179</v>
      </c>
      <c r="J493" s="4" t="n">
        <v>54</v>
      </c>
      <c r="K493" s="5" t="n">
        <v>0.7</v>
      </c>
      <c r="L493" s="4" t="n">
        <v>26</v>
      </c>
      <c r="M493" s="4" t="n">
        <v>8</v>
      </c>
      <c r="N493" s="5" t="n">
        <v>5</v>
      </c>
      <c r="O493" s="3" t="inlineStr">
        <is>
          <t>신축 풀옵션  엘베 중문 세종10분소요</t>
        </is>
      </c>
      <c r="P493" s="6">
        <f>HYPERLINK("https://fin.land.naver.com/articles/2651076474", "매물Link")</f>
        <v/>
      </c>
      <c r="Q493" s="6">
        <f>HYPERLINK("https://map.naver.com/p/search/연기면 보통리 387-3", "지도Link")</f>
        <v/>
      </c>
      <c r="R493" s="6">
        <f>HYPERLINK("http://www.eum.go.kr/web/ar/lu/luLandDet.jsp?pnu=3611031022103870003&amp;isNoScr=script&amp;mode=search", "토지이음")</f>
        <v/>
      </c>
      <c r="S493" s="3" t="inlineStr">
        <is>
          <t>연기더조은</t>
        </is>
      </c>
      <c r="T493" s="4" t="n">
        <v>1</v>
      </c>
      <c r="U493" s="5" t="n">
        <v>186.7</v>
      </c>
      <c r="V493" s="4" t="n">
        <v>565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387-3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5000</v>
      </c>
      <c r="H494" s="4" t="n">
        <v>40</v>
      </c>
      <c r="I494" s="4" t="n">
        <v>0</v>
      </c>
      <c r="J494" s="4" t="n">
        <v>0</v>
      </c>
      <c r="K494" s="5" t="n">
        <v>0</v>
      </c>
      <c r="L494" s="4" t="n">
        <v>43</v>
      </c>
      <c r="M494" s="4" t="n">
        <v>13</v>
      </c>
      <c r="N494" s="5" t="n">
        <v>3.1</v>
      </c>
      <c r="O494" s="3" t="inlineStr">
        <is>
          <t>인기좋은  신축 풀옵션 2룸  깔끔한  주거공간  주차편함  바로입주</t>
        </is>
      </c>
      <c r="P494" s="6">
        <f>HYPERLINK("https://fin.land.naver.com/articles/2654111718", "매물Link")</f>
        <v/>
      </c>
      <c r="Q494" s="6">
        <f>HYPERLINK("https://map.naver.com/p/search/연기면 보통리 387-3", "지도Link")</f>
        <v/>
      </c>
      <c r="R494" s="6">
        <f>HYPERLINK("http://www.eum.go.kr/web/ar/lu/luLandDet.jsp?pnu=3611031022103870003&amp;isNoScr=script&amp;mode=search", "토지이음")</f>
        <v/>
      </c>
      <c r="S494" s="3" t="inlineStr">
        <is>
          <t>연서으뜸</t>
        </is>
      </c>
      <c r="T494" s="4" t="n">
        <v>1</v>
      </c>
      <c r="U494" s="5" t="n">
        <v>186.7</v>
      </c>
      <c r="V494" s="4" t="n">
        <v>565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387-4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40</v>
      </c>
      <c r="I495" s="4" t="n">
        <v>568</v>
      </c>
      <c r="J495" s="4" t="n">
        <v>172</v>
      </c>
      <c r="K495" s="5" t="n">
        <v>0.2</v>
      </c>
      <c r="L495" s="4" t="n">
        <v>597</v>
      </c>
      <c r="M495" s="4" t="n">
        <v>181</v>
      </c>
      <c r="N495" s="5" t="n">
        <v>0.2</v>
      </c>
      <c r="O495" s="3" t="inlineStr">
        <is>
          <t>신축 분리형원룸, 풀옵션, 엘레베이터, 주차大</t>
        </is>
      </c>
      <c r="P495" s="6">
        <f>HYPERLINK("https://fin.land.naver.com/articles/2653311167", "매물Link")</f>
        <v/>
      </c>
      <c r="Q495" s="6">
        <f>HYPERLINK("https://map.naver.com/p/search/연기면 보통리 387-4", "지도Link")</f>
        <v/>
      </c>
      <c r="R495" s="6">
        <f>HYPERLINK("http://www.eum.go.kr/web/ar/lu/luLandDet.jsp?pnu=3611031022103870004&amp;isNoScr=script&amp;mode=search",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186.7</v>
      </c>
      <c r="V495" s="4" t="n">
        <v>568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387-4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175000</v>
      </c>
      <c r="H496" s="4" t="n">
        <v>0</v>
      </c>
      <c r="I496" s="4" t="n">
        <v>568</v>
      </c>
      <c r="J496" s="4" t="n">
        <v>172</v>
      </c>
      <c r="K496" s="5" t="n">
        <v>1017.4</v>
      </c>
      <c r="L496" s="4" t="n">
        <v>597</v>
      </c>
      <c r="M496" s="4" t="n">
        <v>181</v>
      </c>
      <c r="N496" s="5" t="n">
        <v>966.9</v>
      </c>
      <c r="O496" s="3" t="inlineStr">
        <is>
          <t>공실제로 신축 스마트산업단지 예정 초입위치 다가구주택 통매매</t>
        </is>
      </c>
      <c r="P496" s="6">
        <f>HYPERLINK("https://fin.land.naver.com/articles/2653310017", "매물Link")</f>
        <v/>
      </c>
      <c r="Q496" s="6">
        <f>HYPERLINK("https://map.naver.com/p/search/연기면 보통리 387-4", "지도Link")</f>
        <v/>
      </c>
      <c r="R496" s="6">
        <f>HYPERLINK("http://www.eum.go.kr/web/ar/lu/luLandDet.jsp?pnu=3611031022103870004&amp;isNoScr=script&amp;mode=search", "토지이음")</f>
        <v/>
      </c>
      <c r="S496" s="3" t="inlineStr">
        <is>
          <t>연기더조은</t>
        </is>
      </c>
      <c r="T496" s="4" t="n">
        <v>1</v>
      </c>
      <c r="U496" s="5" t="n">
        <v>186.7</v>
      </c>
      <c r="V496" s="4" t="n">
        <v>568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세로한면(가)</t>
        </is>
      </c>
    </row>
    <row r="497">
      <c r="A497" s="3" t="inlineStr">
        <is>
          <t>연기면 보통리 387-7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월세</t>
        </is>
      </c>
      <c r="G497" s="4" t="n">
        <v>8000</v>
      </c>
      <c r="H497" s="4" t="n">
        <v>50</v>
      </c>
      <c r="I497" s="4" t="n">
        <v>178</v>
      </c>
      <c r="J497" s="4" t="n">
        <v>54</v>
      </c>
      <c r="K497" s="5" t="n">
        <v>0.9</v>
      </c>
      <c r="L497" s="4" t="n">
        <v>60</v>
      </c>
      <c r="M497" s="4" t="n">
        <v>18</v>
      </c>
      <c r="N497" s="5" t="n">
        <v>2.8</v>
      </c>
      <c r="O497" s="3" t="inlineStr">
        <is>
          <t>o합리적인가격o최상의컨디션o수납부자o개인테라스o</t>
        </is>
      </c>
      <c r="P497" s="6">
        <f>HYPERLINK("https://fin.land.naver.com/articles/2653959639", "매물Link")</f>
        <v/>
      </c>
      <c r="Q497" s="6">
        <f>HYPERLINK("https://map.naver.com/p/search/연기면 보통리 387-7", "지도Link")</f>
        <v/>
      </c>
      <c r="R497" s="6">
        <f>HYPERLINK("http://www.eum.go.kr/web/ar/lu/luLandDet.jsp?pnu=3611031022103870007&amp;isNoScr=script&amp;mode=search", "토지이음")</f>
        <v/>
      </c>
      <c r="S497" s="3" t="inlineStr">
        <is>
          <t>뉴펜트라움</t>
        </is>
      </c>
      <c r="T497" s="4" t="n">
        <v>1</v>
      </c>
      <c r="U497" s="5" t="n">
        <v>198.5</v>
      </c>
      <c r="V497" s="4" t="n">
        <v>556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387-7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5000</v>
      </c>
      <c r="H498" s="4" t="n">
        <v>80</v>
      </c>
      <c r="I498" s="4" t="n">
        <v>178</v>
      </c>
      <c r="J498" s="4" t="n">
        <v>54</v>
      </c>
      <c r="K498" s="5" t="n">
        <v>1.5</v>
      </c>
      <c r="L498" s="4" t="n">
        <v>42</v>
      </c>
      <c r="M498" s="4" t="n">
        <v>13</v>
      </c>
      <c r="N498" s="5" t="n">
        <v>6.2</v>
      </c>
      <c r="O498" s="3" t="inlineStr">
        <is>
          <t>o합리적인가격o최상의컨디션o수납부자o개인테라스o</t>
        </is>
      </c>
      <c r="P498" s="6">
        <f>HYPERLINK("https://fin.land.naver.com/articles/2653959584", "매물Link")</f>
        <v/>
      </c>
      <c r="Q498" s="6">
        <f>HYPERLINK("https://map.naver.com/p/search/연기면 보통리 387-7", "지도Link")</f>
        <v/>
      </c>
      <c r="R498" s="6">
        <f>HYPERLINK("http://www.eum.go.kr/web/ar/lu/luLandDet.jsp?pnu=3611031022103870007&amp;isNoScr=script&amp;mode=search", "토지이음")</f>
        <v/>
      </c>
      <c r="S498" s="3" t="inlineStr">
        <is>
          <t>뉴펜트라움</t>
        </is>
      </c>
      <c r="T498" s="4" t="n">
        <v>1</v>
      </c>
      <c r="U498" s="5" t="n">
        <v>198.5</v>
      </c>
      <c r="V498" s="4" t="n">
        <v>556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연기면 보통리 387-7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4000</v>
      </c>
      <c r="H499" s="4" t="n">
        <v>30</v>
      </c>
      <c r="I499" s="4" t="n">
        <v>179</v>
      </c>
      <c r="J499" s="4" t="n">
        <v>54</v>
      </c>
      <c r="K499" s="5" t="n">
        <v>0.6</v>
      </c>
      <c r="L499" s="4" t="n">
        <v>26</v>
      </c>
      <c r="M499" s="4" t="n">
        <v>8</v>
      </c>
      <c r="N499" s="5" t="n">
        <v>3.8</v>
      </c>
      <c r="O499" s="3" t="inlineStr">
        <is>
          <t>신축 풀옵션1.5룸 엘베 중문.스타일러 최고급</t>
        </is>
      </c>
      <c r="P499" s="6">
        <f>HYPERLINK("https://fin.land.naver.com/articles/2655241740", "매물Link")</f>
        <v/>
      </c>
      <c r="Q499" s="6">
        <f>HYPERLINK("https://map.naver.com/p/search/연기면 보통리 387-7", "지도Link")</f>
        <v/>
      </c>
      <c r="R499" s="6">
        <f>HYPERLINK("http://www.eum.go.kr/web/ar/lu/luLandDet.jsp?pnu=3611031022103870007&amp;isNoScr=script&amp;mode=search",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198.5</v>
      </c>
      <c r="V499" s="4" t="n">
        <v>556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387-7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다가구</t>
        </is>
      </c>
      <c r="F500" s="3" t="inlineStr">
        <is>
          <t>매매</t>
        </is>
      </c>
      <c r="G500" s="4" t="n">
        <v>190000</v>
      </c>
      <c r="H500" s="4" t="n">
        <v>0</v>
      </c>
      <c r="I500" s="4" t="n">
        <v>556</v>
      </c>
      <c r="J500" s="4" t="n">
        <v>168</v>
      </c>
      <c r="K500" s="5" t="n">
        <v>1131</v>
      </c>
      <c r="L500" s="4" t="n">
        <v>580</v>
      </c>
      <c r="M500" s="4" t="n">
        <v>175</v>
      </c>
      <c r="N500" s="5" t="n">
        <v>1085.7</v>
      </c>
      <c r="O500" s="3" t="inlineStr">
        <is>
          <t>준신축 산업단지인근 임대위치 좋은 다가구주택 추천</t>
        </is>
      </c>
      <c r="P500" s="6">
        <f>HYPERLINK("https://fin.land.naver.com/articles/2652957380", "매물Link")</f>
        <v/>
      </c>
      <c r="Q500" s="6">
        <f>HYPERLINK("https://map.naver.com/p/search/연기면 보통리 387-7", "지도Link")</f>
        <v/>
      </c>
      <c r="R500" s="6">
        <f>HYPERLINK("http://www.eum.go.kr/web/ar/lu/luLandDet.jsp?pnu=3611031022103870007&amp;isNoScr=script&amp;mode=search", "토지이음")</f>
        <v/>
      </c>
      <c r="S500" s="3" t="inlineStr">
        <is>
          <t>뉴신태양</t>
        </is>
      </c>
      <c r="T500" s="4" t="n">
        <v>1</v>
      </c>
      <c r="U500" s="5" t="n">
        <v>198.5</v>
      </c>
      <c r="V500" s="4" t="n">
        <v>556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연기면 보통리 387-7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다가구</t>
        </is>
      </c>
      <c r="F501" s="3" t="inlineStr">
        <is>
          <t>월세</t>
        </is>
      </c>
      <c r="G501" s="4" t="n">
        <v>10000</v>
      </c>
      <c r="H501" s="4" t="n">
        <v>30</v>
      </c>
      <c r="I501" s="4" t="n">
        <v>178</v>
      </c>
      <c r="J501" s="4" t="n">
        <v>54</v>
      </c>
      <c r="K501" s="5" t="n">
        <v>0.6</v>
      </c>
      <c r="L501" s="4" t="n">
        <v>60</v>
      </c>
      <c r="M501" s="4" t="n">
        <v>18</v>
      </c>
      <c r="N501" s="5" t="n">
        <v>1.7</v>
      </c>
      <c r="O501" s="3" t="inlineStr">
        <is>
          <t>o합리적인가격o최상의컨디션o수납부자o개인테라스o</t>
        </is>
      </c>
      <c r="P501" s="6">
        <f>HYPERLINK("https://fin.land.naver.com/articles/2653959701", "매물Link")</f>
        <v/>
      </c>
      <c r="Q501" s="6">
        <f>HYPERLINK("https://map.naver.com/p/search/연기면 보통리 387-7", "지도Link")</f>
        <v/>
      </c>
      <c r="R501" s="6">
        <f>HYPERLINK("http://www.eum.go.kr/web/ar/lu/luLandDet.jsp?pnu=3611031022103870007&amp;isNoScr=script&amp;mode=search", "토지이음")</f>
        <v/>
      </c>
      <c r="S501" s="3" t="inlineStr">
        <is>
          <t>뉴펜트라움</t>
        </is>
      </c>
      <c r="T501" s="4" t="n">
        <v>1</v>
      </c>
      <c r="U501" s="5" t="n">
        <v>198.5</v>
      </c>
      <c r="V501" s="4" t="n">
        <v>556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보통리 388-14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단기임대</t>
        </is>
      </c>
      <c r="G502" s="4" t="n">
        <v>200</v>
      </c>
      <c r="H502" s="4" t="n">
        <v>32</v>
      </c>
      <c r="I502" s="4" t="n">
        <v>164</v>
      </c>
      <c r="J502" s="4" t="n">
        <v>50</v>
      </c>
      <c r="K502" s="5" t="n">
        <v>4</v>
      </c>
      <c r="L502" s="4" t="n">
        <v>26</v>
      </c>
      <c r="M502" s="4" t="n">
        <v>8</v>
      </c>
      <c r="N502" s="5" t="n">
        <v>25</v>
      </c>
      <c r="O502" s="3" t="inlineStr">
        <is>
          <t>nan</t>
        </is>
      </c>
      <c r="P502" s="6">
        <f>HYPERLINK("https://fin.land.naver.com/articles/2654200207", "매물Link")</f>
        <v/>
      </c>
      <c r="Q502" s="6">
        <f>HYPERLINK("https://map.naver.com/p/search/연기면 보통리 388-14", "지도Link")</f>
        <v/>
      </c>
      <c r="R502" s="6">
        <f>HYPERLINK("http://www.eum.go.kr/web/ar/lu/luLandDet.jsp?pnu=3611031022103880014&amp;isNoScr=script&amp;mode=search", "토지이음")</f>
        <v/>
      </c>
      <c r="S502" s="3" t="inlineStr">
        <is>
          <t>신동서남북</t>
        </is>
      </c>
      <c r="T502" s="4" t="n">
        <v>1</v>
      </c>
      <c r="U502" s="5" t="n">
        <v>198.5</v>
      </c>
      <c r="V502" s="4" t="n">
        <v>529.9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연기면 보통리 388-14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다가구</t>
        </is>
      </c>
      <c r="F503" s="3" t="inlineStr">
        <is>
          <t>단기임대</t>
        </is>
      </c>
      <c r="G503" s="4" t="n">
        <v>200</v>
      </c>
      <c r="H503" s="4" t="n">
        <v>30</v>
      </c>
      <c r="I503" s="4" t="n">
        <v>164</v>
      </c>
      <c r="J503" s="4" t="n">
        <v>50</v>
      </c>
      <c r="K503" s="5" t="n">
        <v>4</v>
      </c>
      <c r="L503" s="4" t="n">
        <v>26</v>
      </c>
      <c r="M503" s="4" t="n">
        <v>8</v>
      </c>
      <c r="N503" s="5" t="n">
        <v>25</v>
      </c>
      <c r="O503" s="3" t="inlineStr">
        <is>
          <t>nan</t>
        </is>
      </c>
      <c r="P503" s="6">
        <f>HYPERLINK("https://fin.land.naver.com/articles/2651138619", "매물Link")</f>
        <v/>
      </c>
      <c r="Q503" s="6">
        <f>HYPERLINK("https://map.naver.com/p/search/연기면 보통리 388-14", "지도Link")</f>
        <v/>
      </c>
      <c r="R503" s="6">
        <f>HYPERLINK("http://www.eum.go.kr/web/ar/lu/luLandDet.jsp?pnu=3611031022103880014&amp;isNoScr=script&amp;mode=search", "토지이음")</f>
        <v/>
      </c>
      <c r="S503" s="3" t="inlineStr">
        <is>
          <t>신동서남북</t>
        </is>
      </c>
      <c r="T503" s="4" t="n">
        <v>1</v>
      </c>
      <c r="U503" s="5" t="n">
        <v>198.5</v>
      </c>
      <c r="V503" s="4" t="n">
        <v>529.9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세로한면(가)</t>
        </is>
      </c>
    </row>
    <row r="504">
      <c r="A504" s="3" t="inlineStr">
        <is>
          <t>연기면 보통리 388-14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164</v>
      </c>
      <c r="J504" s="4" t="n">
        <v>50</v>
      </c>
      <c r="K504" s="5" t="n">
        <v>0.6</v>
      </c>
      <c r="L504" s="4" t="n">
        <v>26</v>
      </c>
      <c r="M504" s="4" t="n">
        <v>8</v>
      </c>
      <c r="N504" s="5" t="n">
        <v>4</v>
      </c>
      <c r="O504" s="3" t="inlineStr">
        <is>
          <t>nan</t>
        </is>
      </c>
      <c r="P504" s="6">
        <f>HYPERLINK("https://fin.land.naver.com/articles/2654821598", "매물Link")</f>
        <v/>
      </c>
      <c r="Q504" s="6">
        <f>HYPERLINK("https://map.naver.com/p/search/연기면 보통리 388-14", "지도Link")</f>
        <v/>
      </c>
      <c r="R504" s="6">
        <f>HYPERLINK("http://www.eum.go.kr/web/ar/lu/luLandDet.jsp?pnu=3611031022103880014&amp;isNoScr=script&amp;mode=search", "토지이음")</f>
        <v/>
      </c>
      <c r="S504" s="3" t="inlineStr">
        <is>
          <t>동서남북</t>
        </is>
      </c>
      <c r="T504" s="4" t="n">
        <v>1</v>
      </c>
      <c r="U504" s="5" t="n">
        <v>198.5</v>
      </c>
      <c r="V504" s="4" t="n">
        <v>529.9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연기면 보통리 388-14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164</v>
      </c>
      <c r="J505" s="4" t="n">
        <v>50</v>
      </c>
      <c r="K505" s="5" t="n">
        <v>0.6</v>
      </c>
      <c r="L505" s="4" t="n">
        <v>26</v>
      </c>
      <c r="M505" s="4" t="n">
        <v>8</v>
      </c>
      <c r="N505" s="5" t="n">
        <v>4</v>
      </c>
      <c r="O505" s="3" t="inlineStr">
        <is>
          <t>nan</t>
        </is>
      </c>
      <c r="P505" s="6">
        <f>HYPERLINK("https://fin.land.naver.com/articles/2652789377", "매물Link")</f>
        <v/>
      </c>
      <c r="Q505" s="6">
        <f>HYPERLINK("https://map.naver.com/p/search/연기면 보통리 388-14", "지도Link")</f>
        <v/>
      </c>
      <c r="R505" s="6">
        <f>HYPERLINK("http://www.eum.go.kr/web/ar/lu/luLandDet.jsp?pnu=3611031022103880014&amp;isNoScr=script&amp;mode=search", "토지이음")</f>
        <v/>
      </c>
      <c r="S505" s="3" t="inlineStr">
        <is>
          <t>동서남북</t>
        </is>
      </c>
      <c r="T505" s="4" t="n">
        <v>1</v>
      </c>
      <c r="U505" s="5" t="n">
        <v>198.5</v>
      </c>
      <c r="V505" s="4" t="n">
        <v>529.9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세로한면(가)</t>
        </is>
      </c>
    </row>
    <row r="506">
      <c r="A506" s="3" t="inlineStr">
        <is>
          <t>연기면 보통리 388-14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32</v>
      </c>
      <c r="I506" s="4" t="n">
        <v>164</v>
      </c>
      <c r="J506" s="4" t="n">
        <v>50</v>
      </c>
      <c r="K506" s="5" t="n">
        <v>0.6</v>
      </c>
      <c r="L506" s="4" t="n">
        <v>26</v>
      </c>
      <c r="M506" s="4" t="n">
        <v>8</v>
      </c>
      <c r="N506" s="5" t="n">
        <v>4</v>
      </c>
      <c r="O506" s="3" t="inlineStr">
        <is>
          <t>nan</t>
        </is>
      </c>
      <c r="P506" s="6">
        <f>HYPERLINK("https://fin.land.naver.com/articles/2653082796", "매물Link")</f>
        <v/>
      </c>
      <c r="Q506" s="6">
        <f>HYPERLINK("https://map.naver.com/p/search/연기면 보통리 388-14", "지도Link")</f>
        <v/>
      </c>
      <c r="R506" s="6">
        <f>HYPERLINK("http://www.eum.go.kr/web/ar/lu/luLandDet.jsp?pnu=3611031022103880014&amp;isNoScr=script&amp;mode=search",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198.5</v>
      </c>
      <c r="V506" s="4" t="n">
        <v>529.9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세로한면(가)</t>
        </is>
      </c>
    </row>
    <row r="507">
      <c r="A507" s="3" t="inlineStr">
        <is>
          <t>연기면 보통리 388-14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단기임대</t>
        </is>
      </c>
      <c r="G507" s="4" t="n">
        <v>200</v>
      </c>
      <c r="H507" s="4" t="n">
        <v>30</v>
      </c>
      <c r="I507" s="4" t="n">
        <v>164</v>
      </c>
      <c r="J507" s="4" t="n">
        <v>50</v>
      </c>
      <c r="K507" s="5" t="n">
        <v>4</v>
      </c>
      <c r="L507" s="4" t="n">
        <v>26</v>
      </c>
      <c r="M507" s="4" t="n">
        <v>8</v>
      </c>
      <c r="N507" s="5" t="n">
        <v>25</v>
      </c>
      <c r="O507" s="3" t="inlineStr">
        <is>
          <t>nan</t>
        </is>
      </c>
      <c r="P507" s="6">
        <f>HYPERLINK("https://fin.land.naver.com/articles/2651124675", "매물Link")</f>
        <v/>
      </c>
      <c r="Q507" s="6">
        <f>HYPERLINK("https://map.naver.com/p/search/연기면 보통리 388-14", "지도Link")</f>
        <v/>
      </c>
      <c r="R507" s="6">
        <f>HYPERLINK("http://www.eum.go.kr/web/ar/lu/luLandDet.jsp?pnu=3611031022103880014&amp;isNoScr=script&amp;mode=search",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198.5</v>
      </c>
      <c r="V507" s="4" t="n">
        <v>529.9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세로한면(가)</t>
        </is>
      </c>
    </row>
    <row r="508">
      <c r="A508" s="3" t="inlineStr">
        <is>
          <t>연기면 보통리 388-14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단기임대</t>
        </is>
      </c>
      <c r="G508" s="4" t="n">
        <v>200</v>
      </c>
      <c r="H508" s="4" t="n">
        <v>32</v>
      </c>
      <c r="I508" s="4" t="n">
        <v>164</v>
      </c>
      <c r="J508" s="4" t="n">
        <v>50</v>
      </c>
      <c r="K508" s="5" t="n">
        <v>4</v>
      </c>
      <c r="L508" s="4" t="n">
        <v>26</v>
      </c>
      <c r="M508" s="4" t="n">
        <v>8</v>
      </c>
      <c r="N508" s="5" t="n">
        <v>25</v>
      </c>
      <c r="O508" s="3" t="inlineStr">
        <is>
          <t>11.2일이후,엘리베이터 있는 원룸,6달도가,방1개,화1,주차편리합니다.</t>
        </is>
      </c>
      <c r="P508" s="6">
        <f>HYPERLINK("https://fin.land.naver.com/articles/2652789917", "매물Link")</f>
        <v/>
      </c>
      <c r="Q508" s="6">
        <f>HYPERLINK("https://map.naver.com/p/search/연기면 보통리 388-14", "지도Link")</f>
        <v/>
      </c>
      <c r="R508" s="6">
        <f>HYPERLINK("http://www.eum.go.kr/web/ar/lu/luLandDet.jsp?pnu=3611031022103880014&amp;isNoScr=script&amp;mode=search",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198.5</v>
      </c>
      <c r="V508" s="4" t="n">
        <v>529.9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0.6</v>
      </c>
      <c r="L510" s="4" t="n">
        <v>26</v>
      </c>
      <c r="M510" s="4" t="n">
        <v>8</v>
      </c>
      <c r="N510" s="5" t="n">
        <v>4</v>
      </c>
      <c r="O510" s="3" t="inlineStr">
        <is>
          <t>nan</t>
        </is>
      </c>
      <c r="P510" s="6">
        <f>HYPERLINK("https://fin.land.naver.com/articles/2654199682",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11.3일이후,엘리베이터있는 주방분리형,도시가스</t>
        </is>
      </c>
      <c r="P511" s="6">
        <f>HYPERLINK("https://fin.land.naver.com/articles/2654939488",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389-3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단독</t>
        </is>
      </c>
      <c r="F512" s="3" t="inlineStr">
        <is>
          <t>매매</t>
        </is>
      </c>
      <c r="G512" s="4" t="n">
        <v>150000</v>
      </c>
      <c r="H512" s="4" t="n">
        <v>0</v>
      </c>
      <c r="I512" s="4" t="n">
        <v>536</v>
      </c>
      <c r="J512" s="4" t="n">
        <v>162</v>
      </c>
      <c r="K512" s="5" t="n">
        <v>925.9</v>
      </c>
      <c r="L512" s="4" t="n">
        <v>527</v>
      </c>
      <c r="M512" s="4" t="n">
        <v>159</v>
      </c>
      <c r="N512" s="5" t="n">
        <v>943.4</v>
      </c>
      <c r="O512" s="3" t="inlineStr">
        <is>
          <t>스마트산업단지 예정 초입위치 수익형 다가구주택 통매매</t>
        </is>
      </c>
      <c r="P512" s="6">
        <f>HYPERLINK("https://fin.land.naver.com/articles/2651025903", "매물Link")</f>
        <v/>
      </c>
      <c r="Q512" s="6">
        <f>HYPERLINK("https://map.naver.com/p/search/연기면 보통리 389-3", "지도Link")</f>
        <v/>
      </c>
      <c r="R512" s="6">
        <f>HYPERLINK("http://www.eum.go.kr/web/ar/lu/luLandDet.jsp?pnu=3611031022103890003&amp;isNoScr=script&amp;mode=search", "토지이음")</f>
        <v/>
      </c>
      <c r="S512" s="3" t="inlineStr">
        <is>
          <t>연기더조은</t>
        </is>
      </c>
      <c r="T512" s="4" t="n">
        <v>1</v>
      </c>
      <c r="U512" s="5" t="n">
        <v>198.5</v>
      </c>
      <c r="V512" s="4" t="n">
        <v>536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389-4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단독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538</v>
      </c>
      <c r="J513" s="4" t="n">
        <v>163</v>
      </c>
      <c r="K513" s="5" t="n">
        <v>889.6</v>
      </c>
      <c r="L513" s="4" t="n">
        <v>527</v>
      </c>
      <c r="M513" s="4" t="n">
        <v>159</v>
      </c>
      <c r="N513" s="5" t="n">
        <v>911.9</v>
      </c>
      <c r="O513" s="3" t="inlineStr">
        <is>
          <t>스마트산업단지 예정 초입위치 수익형 다가구주택 통매매</t>
        </is>
      </c>
      <c r="P513" s="6">
        <f>HYPERLINK("https://fin.land.naver.com/articles/2651026578", "매물Link")</f>
        <v/>
      </c>
      <c r="Q513" s="6">
        <f>HYPERLINK("https://map.naver.com/p/search/연기면 보통리 389-4", "지도Link")</f>
        <v/>
      </c>
      <c r="R513" s="6">
        <f>HYPERLINK("http://www.eum.go.kr/web/ar/lu/luLandDet.jsp?pnu=3611031022103890004&amp;isNoScr=script&amp;mode=search",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198.5</v>
      </c>
      <c r="V513" s="4" t="n">
        <v>538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389-4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538</v>
      </c>
      <c r="J514" s="4" t="n">
        <v>163</v>
      </c>
      <c r="K514" s="5" t="n">
        <v>889.6</v>
      </c>
      <c r="L514" s="4" t="n">
        <v>527</v>
      </c>
      <c r="M514" s="4" t="n">
        <v>159</v>
      </c>
      <c r="N514" s="5" t="n">
        <v>911.9</v>
      </c>
      <c r="O514" s="3" t="inlineStr">
        <is>
          <t>세종 국가산단 관문1.2조 개발 최대 수혜지,19가구 다가구 통매매</t>
        </is>
      </c>
      <c r="P514" s="6">
        <f>HYPERLINK("https://fin.land.naver.com/articles/2652746368", "매물Link")</f>
        <v/>
      </c>
      <c r="Q514" s="6">
        <f>HYPERLINK("https://map.naver.com/p/search/연기면 보통리 389-4", "지도Link")</f>
        <v/>
      </c>
      <c r="R514" s="6">
        <f>HYPERLINK("http://www.eum.go.kr/web/ar/lu/luLandDet.jsp?pnu=3611031022103890004&amp;isNoScr=script&amp;mode=search", "토지이음")</f>
        <v/>
      </c>
      <c r="S514" s="3" t="inlineStr">
        <is>
          <t>찬스</t>
        </is>
      </c>
      <c r="T514" s="4" t="n">
        <v>1</v>
      </c>
      <c r="U514" s="5" t="n">
        <v>198.5</v>
      </c>
      <c r="V514" s="4" t="n">
        <v>538</v>
      </c>
      <c r="W514" s="3" t="inlineStr">
        <is>
          <t>지정되지않음</t>
        </is>
      </c>
      <c r="X514" s="3" t="inlineStr">
        <is>
          <t>다세대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390-1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상가주택</t>
        </is>
      </c>
      <c r="F515" s="3" t="inlineStr">
        <is>
          <t>매매</t>
        </is>
      </c>
      <c r="G515" s="4" t="n">
        <v>135000</v>
      </c>
      <c r="H515" s="4" t="n">
        <v>0</v>
      </c>
      <c r="I515" s="4" t="n">
        <v>432</v>
      </c>
      <c r="J515" s="4" t="n">
        <v>131</v>
      </c>
      <c r="K515" s="5" t="n">
        <v>1030.5</v>
      </c>
      <c r="L515" s="4" t="n">
        <v>424</v>
      </c>
      <c r="M515" s="4" t="n">
        <v>128</v>
      </c>
      <c r="N515" s="5" t="n">
        <v>1054.7</v>
      </c>
      <c r="O515" s="3" t="inlineStr">
        <is>
          <t>nan</t>
        </is>
      </c>
      <c r="P515" s="6">
        <f>HYPERLINK("https://fin.land.naver.com/articles/2652270549", "매물Link")</f>
        <v/>
      </c>
      <c r="Q515" s="6">
        <f>HYPERLINK("https://map.naver.com/p/search/연기면 보통리 390-1", "지도Link")</f>
        <v/>
      </c>
      <c r="R515" s="6">
        <f>HYPERLINK("http://www.eum.go.kr/web/ar/lu/luLandDet.jsp?pnu=3611031022103900001&amp;isNoScr=script&amp;mode=search", "토지이음")</f>
        <v/>
      </c>
      <c r="S515" s="3" t="inlineStr">
        <is>
          <t>동서남북</t>
        </is>
      </c>
      <c r="T515" s="4" t="n">
        <v>1</v>
      </c>
      <c r="U515" s="5" t="n">
        <v>188.5</v>
      </c>
      <c r="V515" s="4" t="n">
        <v>436.2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390-1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436</v>
      </c>
      <c r="J516" s="4" t="n">
        <v>132</v>
      </c>
      <c r="K516" s="5" t="n">
        <v>1022.7</v>
      </c>
      <c r="L516" s="4" t="n">
        <v>424</v>
      </c>
      <c r="M516" s="4" t="n">
        <v>128</v>
      </c>
      <c r="N516" s="5" t="n">
        <v>1054.7</v>
      </c>
      <c r="O516" s="3" t="inlineStr">
        <is>
          <t>nan</t>
        </is>
      </c>
      <c r="P516" s="6">
        <f>HYPERLINK("https://fin.land.naver.com/articles/2653243882", "매물Link")</f>
        <v/>
      </c>
      <c r="Q516" s="6">
        <f>HYPERLINK("https://map.naver.com/p/search/연기면 보통리 390-1", "지도Link")</f>
        <v/>
      </c>
      <c r="R516" s="6">
        <f>HYPERLINK("http://www.eum.go.kr/web/ar/lu/luLandDet.jsp?pnu=3611031022103900001&amp;isNoScr=script&amp;mode=search",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188.5</v>
      </c>
      <c r="V516" s="4" t="n">
        <v>436.2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390-13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35</v>
      </c>
      <c r="J517" s="4" t="n">
        <v>11</v>
      </c>
      <c r="K517" s="5" t="n">
        <v>2.7</v>
      </c>
      <c r="L517" s="4" t="n">
        <v>25</v>
      </c>
      <c r="M517" s="4" t="n">
        <v>8</v>
      </c>
      <c r="N517" s="5" t="n">
        <v>3.8</v>
      </c>
      <c r="O517" s="3" t="inlineStr">
        <is>
          <t>넓고 깔끔한 풀옵션방   주차편함   짐만 챙겨오세요  나성동 10분</t>
        </is>
      </c>
      <c r="P517" s="6">
        <f>HYPERLINK("https://fin.land.naver.com/articles/2653292993", "매물Link")</f>
        <v/>
      </c>
      <c r="Q517" s="6">
        <f>HYPERLINK("https://map.naver.com/p/search/연기면 보통리 390-13", "지도Link")</f>
        <v/>
      </c>
      <c r="R517" s="6">
        <f>HYPERLINK("http://www.eum.go.kr/web/ar/lu/luLandDet.jsp?pnu=3611031022103900013&amp;isNoScr=script&amp;mode=search",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212.8</v>
      </c>
      <c r="V517" s="4" t="n">
        <v>505</v>
      </c>
      <c r="W517" s="3" t="inlineStr">
        <is>
          <t>지정되지않음</t>
        </is>
      </c>
      <c r="X517" s="3" t="inlineStr">
        <is>
          <t>다세대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세로각지(가)</t>
        </is>
      </c>
    </row>
    <row r="518">
      <c r="A518" s="3" t="inlineStr">
        <is>
          <t>연기면 보통리 390-19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193</v>
      </c>
      <c r="J518" s="4" t="n">
        <v>58</v>
      </c>
      <c r="K518" s="5" t="n">
        <v>0.6</v>
      </c>
      <c r="L518" s="4" t="n">
        <v>23</v>
      </c>
      <c r="M518" s="4" t="n">
        <v>7</v>
      </c>
      <c r="N518" s="5" t="n">
        <v>4.6</v>
      </c>
      <c r="O518" s="3" t="inlineStr">
        <is>
          <t>nan</t>
        </is>
      </c>
      <c r="P518" s="6">
        <f>HYPERLINK("https://fin.land.naver.com/articles/2654335249", "매물Link")</f>
        <v/>
      </c>
      <c r="Q518" s="6">
        <f>HYPERLINK("https://map.naver.com/p/search/연기면 보통리 390-19", "지도Link")</f>
        <v/>
      </c>
      <c r="R518" s="6">
        <f>HYPERLINK("http://www.eum.go.kr/web/ar/lu/luLandDet.jsp?pnu=3611031022103900019&amp;isNoScr=script&amp;mode=search",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244.7</v>
      </c>
      <c r="V518" s="4" t="n">
        <v>483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소로한면</t>
        </is>
      </c>
    </row>
    <row r="519">
      <c r="A519" s="3" t="inlineStr">
        <is>
          <t>연기면 보통리 390-22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35</v>
      </c>
      <c r="I519" s="4" t="n">
        <v>158</v>
      </c>
      <c r="J519" s="4" t="n">
        <v>48</v>
      </c>
      <c r="K519" s="5" t="n">
        <v>0.7</v>
      </c>
      <c r="L519" s="4" t="n">
        <v>23</v>
      </c>
      <c r="M519" s="4" t="n">
        <v>7</v>
      </c>
      <c r="N519" s="5" t="n">
        <v>5</v>
      </c>
      <c r="O519" s="3" t="inlineStr">
        <is>
          <t>즉시 7일여유,햇빛우수,인기많은원룸,도시가스 ,산울동 차량 5분정도</t>
        </is>
      </c>
      <c r="P519" s="6">
        <f>HYPERLINK("https://fin.land.naver.com/articles/2654818101", "매물Link")</f>
        <v/>
      </c>
      <c r="Q519" s="6">
        <f>HYPERLINK("https://map.naver.com/p/search/연기면 보통리 390-22", "지도Link")</f>
        <v/>
      </c>
      <c r="R519" s="6">
        <f>HYPERLINK("http://www.eum.go.kr/web/ar/lu/luLandDet.jsp?pnu=3611031022103900022&amp;isNoScr=script&amp;mode=search",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199</v>
      </c>
      <c r="V519" s="4" t="n">
        <v>549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390-22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158</v>
      </c>
      <c r="J520" s="4" t="n">
        <v>48</v>
      </c>
      <c r="K520" s="5" t="n">
        <v>0.7</v>
      </c>
      <c r="L520" s="4" t="n">
        <v>23</v>
      </c>
      <c r="M520" s="4" t="n">
        <v>7</v>
      </c>
      <c r="N520" s="5" t="n">
        <v>5</v>
      </c>
      <c r="O520" s="3" t="inlineStr">
        <is>
          <t>즉시7일여유 방1개 화1개 인기많은원룸, 도시가스,내부 밝은 화이트톤</t>
        </is>
      </c>
      <c r="P520" s="6">
        <f>HYPERLINK("https://fin.land.naver.com/articles/2655199703", "매물Link")</f>
        <v/>
      </c>
      <c r="Q520" s="6">
        <f>HYPERLINK("https://map.naver.com/p/search/연기면 보통리 390-22", "지도Link")</f>
        <v/>
      </c>
      <c r="R520" s="6">
        <f>HYPERLINK("http://www.eum.go.kr/web/ar/lu/luLandDet.jsp?pnu=3611031022103900022&amp;isNoScr=script&amp;mode=search", "토지이음")</f>
        <v/>
      </c>
      <c r="S520" s="3" t="inlineStr">
        <is>
          <t>신동서남북</t>
        </is>
      </c>
      <c r="T520" s="4" t="n">
        <v>1</v>
      </c>
      <c r="U520" s="5" t="n">
        <v>199</v>
      </c>
      <c r="V520" s="4" t="n">
        <v>549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390-22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단기임대</t>
        </is>
      </c>
      <c r="G521" s="4" t="n">
        <v>200</v>
      </c>
      <c r="H521" s="4" t="n">
        <v>35</v>
      </c>
      <c r="I521" s="4" t="n">
        <v>158</v>
      </c>
      <c r="J521" s="4" t="n">
        <v>48</v>
      </c>
      <c r="K521" s="5" t="n">
        <v>4.2</v>
      </c>
      <c r="L521" s="4" t="n">
        <v>23</v>
      </c>
      <c r="M521" s="4" t="n">
        <v>7</v>
      </c>
      <c r="N521" s="5" t="n">
        <v>28.6</v>
      </c>
      <c r="O521" s="3" t="inlineStr">
        <is>
          <t>즉시7일여유 방1개 화1개 인기많은원룸, 도시가스,내부 밝은 화이트톤</t>
        </is>
      </c>
      <c r="P521" s="6">
        <f>HYPERLINK("https://fin.land.naver.com/articles/2655200081", "매물Link")</f>
        <v/>
      </c>
      <c r="Q521" s="6">
        <f>HYPERLINK("https://map.naver.com/p/search/연기면 보통리 390-22", "지도Link")</f>
        <v/>
      </c>
      <c r="R521" s="6">
        <f>HYPERLINK("http://www.eum.go.kr/web/ar/lu/luLandDet.jsp?pnu=3611031022103900022&amp;isNoScr=script&amp;mode=search", "토지이음")</f>
        <v/>
      </c>
      <c r="S521" s="3" t="inlineStr">
        <is>
          <t>신동서남북</t>
        </is>
      </c>
      <c r="T521" s="4" t="n">
        <v>1</v>
      </c>
      <c r="U521" s="5" t="n">
        <v>199</v>
      </c>
      <c r="V521" s="4" t="n">
        <v>549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390-22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158</v>
      </c>
      <c r="J522" s="4" t="n">
        <v>48</v>
      </c>
      <c r="K522" s="5" t="n">
        <v>0.7</v>
      </c>
      <c r="L522" s="4" t="n">
        <v>23</v>
      </c>
      <c r="M522" s="4" t="n">
        <v>7</v>
      </c>
      <c r="N522" s="5" t="n">
        <v>5</v>
      </c>
      <c r="O522" s="3" t="inlineStr">
        <is>
          <t>즉시 7일여유,햇빛우수,인기많은원룸,도시가스 ,산울동 차량 5분정도</t>
        </is>
      </c>
      <c r="P522" s="6">
        <f>HYPERLINK("https://fin.land.naver.com/articles/2653917737", "매물Link")</f>
        <v/>
      </c>
      <c r="Q522" s="6">
        <f>HYPERLINK("https://map.naver.com/p/search/연기면 보통리 390-22", "지도Link")</f>
        <v/>
      </c>
      <c r="R522" s="6">
        <f>HYPERLINK("http://www.eum.go.kr/web/ar/lu/luLandDet.jsp?pnu=3611031022103900022&amp;isNoScr=script&amp;mode=search",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199</v>
      </c>
      <c r="V522" s="4" t="n">
        <v>549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390-22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단기임대</t>
        </is>
      </c>
      <c r="G523" s="4" t="n">
        <v>200</v>
      </c>
      <c r="H523" s="4" t="n">
        <v>35</v>
      </c>
      <c r="I523" s="4" t="n">
        <v>158</v>
      </c>
      <c r="J523" s="4" t="n">
        <v>48</v>
      </c>
      <c r="K523" s="5" t="n">
        <v>4.2</v>
      </c>
      <c r="L523" s="4" t="n">
        <v>23</v>
      </c>
      <c r="M523" s="4" t="n">
        <v>7</v>
      </c>
      <c r="N523" s="5" t="n">
        <v>28.6</v>
      </c>
      <c r="O523" s="3" t="inlineStr">
        <is>
          <t>nan</t>
        </is>
      </c>
      <c r="P523" s="6">
        <f>HYPERLINK("https://fin.land.naver.com/articles/2653917199", "매물Link")</f>
        <v/>
      </c>
      <c r="Q523" s="6">
        <f>HYPERLINK("https://map.naver.com/p/search/연기면 보통리 390-22", "지도Link")</f>
        <v/>
      </c>
      <c r="R523" s="6">
        <f>HYPERLINK("http://www.eum.go.kr/web/ar/lu/luLandDet.jsp?pnu=3611031022103900022&amp;isNoScr=script&amp;mode=search",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199</v>
      </c>
      <c r="V523" s="4" t="n">
        <v>549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390-22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단기임대</t>
        </is>
      </c>
      <c r="G524" s="4" t="n">
        <v>200</v>
      </c>
      <c r="H524" s="4" t="n">
        <v>35</v>
      </c>
      <c r="I524" s="4" t="n">
        <v>158</v>
      </c>
      <c r="J524" s="4" t="n">
        <v>48</v>
      </c>
      <c r="K524" s="5" t="n">
        <v>4.2</v>
      </c>
      <c r="L524" s="4" t="n">
        <v>23</v>
      </c>
      <c r="M524" s="4" t="n">
        <v>7</v>
      </c>
      <c r="N524" s="5" t="n">
        <v>28.6</v>
      </c>
      <c r="O524" s="3" t="inlineStr">
        <is>
          <t>즉시 7일여유,햇빛우수,인기많은원룸,도시가스 ,산울동 차량 5분정도</t>
        </is>
      </c>
      <c r="P524" s="6">
        <f>HYPERLINK("https://fin.land.naver.com/articles/2654819334", "매물Link")</f>
        <v/>
      </c>
      <c r="Q524" s="6">
        <f>HYPERLINK("https://map.naver.com/p/search/연기면 보통리 390-22", "지도Link")</f>
        <v/>
      </c>
      <c r="R524" s="6">
        <f>HYPERLINK("http://www.eum.go.kr/web/ar/lu/luLandDet.jsp?pnu=3611031022103900022&amp;isNoScr=script&amp;mode=search",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199</v>
      </c>
      <c r="V524" s="4" t="n">
        <v>549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390-23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35</v>
      </c>
      <c r="I525" s="4" t="n">
        <v>0</v>
      </c>
      <c r="J525" s="4" t="n">
        <v>0</v>
      </c>
      <c r="K525" s="5" t="n">
        <v>0</v>
      </c>
      <c r="L525" s="4" t="n">
        <v>23</v>
      </c>
      <c r="M525" s="4" t="n">
        <v>7</v>
      </c>
      <c r="N525" s="5" t="n">
        <v>5</v>
      </c>
      <c r="O525" s="3" t="inlineStr">
        <is>
          <t>단기가능월세변동, 깔끔 분리형 원룸, 풀옵션, 가성비 최고</t>
        </is>
      </c>
      <c r="P525" s="6">
        <f>HYPERLINK("https://fin.land.naver.com/articles/2655242481", "매물Link")</f>
        <v/>
      </c>
      <c r="Q525" s="6">
        <f>HYPERLINK("https://map.naver.com/p/search/연기면 보통리 390-23", "지도Link")</f>
        <v/>
      </c>
      <c r="R525" s="6">
        <f>HYPERLINK("http://www.eum.go.kr/web/ar/lu/luLandDet.jsp?pnu=3611031022103900023&amp;isNoScr=script&amp;mode=search",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198.5</v>
      </c>
      <c r="V525" s="4" t="n">
        <v>425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보통리 392-31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전세</t>
        </is>
      </c>
      <c r="G526" s="4" t="n">
        <v>5000</v>
      </c>
      <c r="H526" s="4" t="n">
        <v>0</v>
      </c>
      <c r="I526" s="4" t="n">
        <v>157</v>
      </c>
      <c r="J526" s="4" t="n">
        <v>47</v>
      </c>
      <c r="K526" s="5" t="n">
        <v>106.4</v>
      </c>
      <c r="L526" s="4" t="n">
        <v>26</v>
      </c>
      <c r="M526" s="4" t="n">
        <v>8</v>
      </c>
      <c r="N526" s="5" t="n">
        <v>625</v>
      </c>
      <c r="O526" s="3" t="inlineStr">
        <is>
          <t>11.25일이후,내부밝은 인기많은 원룸,욕실창문있는구조입니다.</t>
        </is>
      </c>
      <c r="P526" s="6">
        <f>HYPERLINK("https://fin.land.naver.com/articles/2651493792", "매물Link")</f>
        <v/>
      </c>
      <c r="Q526" s="6">
        <f>HYPERLINK("https://map.naver.com/p/search/연기면 보통리 392-31", "지도Link")</f>
        <v/>
      </c>
      <c r="R526" s="6">
        <f>HYPERLINK("http://www.eum.go.kr/web/ar/lu/luLandDet.jsp?pnu=3611031022103920031&amp;isNoScr=script&amp;mode=search",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176</v>
      </c>
      <c r="V526" s="4" t="n">
        <v>532</v>
      </c>
      <c r="W526" s="3" t="inlineStr">
        <is>
          <t>지정되지않음</t>
        </is>
      </c>
      <c r="X526" s="3" t="inlineStr">
        <is>
          <t>다세대</t>
        </is>
      </c>
      <c r="Y526" s="3" t="inlineStr">
        <is>
          <t>완경사</t>
        </is>
      </c>
      <c r="Z526" s="3" t="inlineStr">
        <is>
          <t>부정형</t>
        </is>
      </c>
      <c r="AA526" s="3" t="inlineStr">
        <is>
          <t>세로한면(가)</t>
        </is>
      </c>
    </row>
    <row r="527">
      <c r="A527" s="3" t="inlineStr">
        <is>
          <t>연기면 보통리 392-31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전세</t>
        </is>
      </c>
      <c r="G527" s="4" t="n">
        <v>5000</v>
      </c>
      <c r="H527" s="4" t="n">
        <v>0</v>
      </c>
      <c r="I527" s="4" t="n">
        <v>157</v>
      </c>
      <c r="J527" s="4" t="n">
        <v>47</v>
      </c>
      <c r="K527" s="5" t="n">
        <v>106.4</v>
      </c>
      <c r="L527" s="4" t="n">
        <v>26</v>
      </c>
      <c r="M527" s="4" t="n">
        <v>8</v>
      </c>
      <c r="N527" s="5" t="n">
        <v>625</v>
      </c>
      <c r="O527" s="3" t="inlineStr">
        <is>
          <t>nan</t>
        </is>
      </c>
      <c r="P527" s="6">
        <f>HYPERLINK("https://fin.land.naver.com/articles/2651492332", "매물Link")</f>
        <v/>
      </c>
      <c r="Q527" s="6">
        <f>HYPERLINK("https://map.naver.com/p/search/연기면 보통리 392-31", "지도Link")</f>
        <v/>
      </c>
      <c r="R527" s="6">
        <f>HYPERLINK("http://www.eum.go.kr/web/ar/lu/luLandDet.jsp?pnu=3611031022103920031&amp;isNoScr=script&amp;mode=search",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176</v>
      </c>
      <c r="V527" s="4" t="n">
        <v>532</v>
      </c>
      <c r="W527" s="3" t="inlineStr">
        <is>
          <t>지정되지않음</t>
        </is>
      </c>
      <c r="X527" s="3" t="inlineStr">
        <is>
          <t>다세대</t>
        </is>
      </c>
      <c r="Y527" s="3" t="inlineStr">
        <is>
          <t>완경사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392-31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전세</t>
        </is>
      </c>
      <c r="G528" s="4" t="n">
        <v>5000</v>
      </c>
      <c r="H528" s="4" t="n">
        <v>0</v>
      </c>
      <c r="I528" s="4" t="n">
        <v>157</v>
      </c>
      <c r="J528" s="4" t="n">
        <v>47</v>
      </c>
      <c r="K528" s="5" t="n">
        <v>106.4</v>
      </c>
      <c r="L528" s="4" t="n">
        <v>26</v>
      </c>
      <c r="M528" s="4" t="n">
        <v>8</v>
      </c>
      <c r="N528" s="5" t="n">
        <v>625</v>
      </c>
      <c r="O528" s="3" t="inlineStr">
        <is>
          <t>nan</t>
        </is>
      </c>
      <c r="P528" s="6">
        <f>HYPERLINK("https://fin.land.naver.com/articles/2650029382", "매물Link")</f>
        <v/>
      </c>
      <c r="Q528" s="6">
        <f>HYPERLINK("https://map.naver.com/p/search/연기면 보통리 392-31", "지도Link")</f>
        <v/>
      </c>
      <c r="R528" s="6">
        <f>HYPERLINK("http://www.eum.go.kr/web/ar/lu/luLandDet.jsp?pnu=3611031022103920031&amp;isNoScr=script&amp;mode=search",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176</v>
      </c>
      <c r="V528" s="4" t="n">
        <v>532</v>
      </c>
      <c r="W528" s="3" t="inlineStr">
        <is>
          <t>지정되지않음</t>
        </is>
      </c>
      <c r="X528" s="3" t="inlineStr">
        <is>
          <t>다세대</t>
        </is>
      </c>
      <c r="Y528" s="3" t="inlineStr">
        <is>
          <t>완경사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392-31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5000</v>
      </c>
      <c r="H529" s="4" t="n">
        <v>0</v>
      </c>
      <c r="I529" s="4" t="n">
        <v>157</v>
      </c>
      <c r="J529" s="4" t="n">
        <v>47</v>
      </c>
      <c r="K529" s="5" t="n">
        <v>106.4</v>
      </c>
      <c r="L529" s="4" t="n">
        <v>26</v>
      </c>
      <c r="M529" s="4" t="n">
        <v>8</v>
      </c>
      <c r="N529" s="5" t="n">
        <v>625</v>
      </c>
      <c r="O529" s="3" t="inlineStr">
        <is>
          <t>nan</t>
        </is>
      </c>
      <c r="P529" s="6">
        <f>HYPERLINK("https://fin.land.naver.com/articles/2655335247", "매물Link")</f>
        <v/>
      </c>
      <c r="Q529" s="6">
        <f>HYPERLINK("https://map.naver.com/p/search/연기면 보통리 392-31", "지도Link")</f>
        <v/>
      </c>
      <c r="R529" s="6">
        <f>HYPERLINK("http://www.eum.go.kr/web/ar/lu/luLandDet.jsp?pnu=3611031022103920031&amp;isNoScr=script&amp;mode=search",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176</v>
      </c>
      <c r="V529" s="4" t="n">
        <v>532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완경사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392-32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500</v>
      </c>
      <c r="H530" s="4" t="n">
        <v>61</v>
      </c>
      <c r="I530" s="4" t="n">
        <v>193</v>
      </c>
      <c r="J530" s="4" t="n">
        <v>58</v>
      </c>
      <c r="K530" s="5" t="n">
        <v>1.1</v>
      </c>
      <c r="L530" s="4" t="n">
        <v>49</v>
      </c>
      <c r="M530" s="4" t="n">
        <v>15</v>
      </c>
      <c r="N530" s="5" t="n">
        <v>4.1</v>
      </c>
      <c r="O530" s="3" t="inlineStr">
        <is>
          <t>2룸 작은테라스 깔끔 조용히쉴수있는곳 세종초근접</t>
        </is>
      </c>
      <c r="P530" s="6">
        <f>HYPERLINK("https://fin.land.naver.com/articles/2654332796", "매물Link")</f>
        <v/>
      </c>
      <c r="Q530" s="6">
        <f>HYPERLINK("https://map.naver.com/p/search/연기면 보통리 392-32", "지도Link")</f>
        <v/>
      </c>
      <c r="R530" s="6">
        <f>HYPERLINK("http://www.eum.go.kr/web/ar/lu/luLandDet.jsp?pnu=3611031022103920032&amp;isNoScr=script&amp;mode=search", "토지이음")</f>
        <v/>
      </c>
      <c r="S530" s="3" t="inlineStr">
        <is>
          <t>연기더조은</t>
        </is>
      </c>
      <c r="T530" s="4" t="n">
        <v>2</v>
      </c>
      <c r="U530" s="5" t="n">
        <v>187.2</v>
      </c>
      <c r="V530" s="4" t="n">
        <v>814</v>
      </c>
      <c r="W530" s="3" t="inlineStr">
        <is>
          <t>지정되지않음</t>
        </is>
      </c>
      <c r="X530" s="3" t="inlineStr">
        <is>
          <t>다세대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392-32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193</v>
      </c>
      <c r="J531" s="4" t="n">
        <v>58</v>
      </c>
      <c r="K531" s="5" t="n">
        <v>0.6</v>
      </c>
      <c r="L531" s="4" t="n">
        <v>25</v>
      </c>
      <c r="M531" s="4" t="n">
        <v>8</v>
      </c>
      <c r="N531" s="5" t="n">
        <v>4.4</v>
      </c>
      <c r="O531" s="3" t="inlineStr">
        <is>
          <t>인기좋은 풀옵션 완비방  넓은창  채광좋음   주차편함 나성동10분</t>
        </is>
      </c>
      <c r="P531" s="6">
        <f>HYPERLINK("https://fin.land.naver.com/articles/2655682006", "매물Link")</f>
        <v/>
      </c>
      <c r="Q531" s="6">
        <f>HYPERLINK("https://map.naver.com/p/search/연기면 보통리 392-32", "지도Link")</f>
        <v/>
      </c>
      <c r="R531" s="6">
        <f>HYPERLINK("http://www.eum.go.kr/web/ar/lu/luLandDet.jsp?pnu=3611031022103920032&amp;isNoScr=script&amp;mode=search",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187.2</v>
      </c>
      <c r="V531" s="4" t="n">
        <v>814</v>
      </c>
      <c r="W531" s="3" t="inlineStr">
        <is>
          <t>지정되지않음</t>
        </is>
      </c>
      <c r="X531" s="3" t="inlineStr">
        <is>
          <t>다세대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392-32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</v>
      </c>
      <c r="H532" s="4" t="n">
        <v>60</v>
      </c>
      <c r="I532" s="4" t="n">
        <v>0</v>
      </c>
      <c r="J532" s="4" t="n">
        <v>0</v>
      </c>
      <c r="K532" s="5" t="n">
        <v>0</v>
      </c>
      <c r="L532" s="4" t="n">
        <v>49</v>
      </c>
      <c r="M532" s="4" t="n">
        <v>15</v>
      </c>
      <c r="N532" s="5" t="n">
        <v>4</v>
      </c>
      <c r="O532" s="3" t="inlineStr">
        <is>
          <t>투 룸 , 귀한 2층 매물 입니다.</t>
        </is>
      </c>
      <c r="P532" s="6">
        <f>HYPERLINK("https://fin.land.naver.com/articles/2655277555", "매물Link")</f>
        <v/>
      </c>
      <c r="Q532" s="6">
        <f>HYPERLINK("https://map.naver.com/p/search/연기면 보통리 392-32", "지도Link")</f>
        <v/>
      </c>
      <c r="R532" s="6">
        <f>HYPERLINK("http://www.eum.go.kr/web/ar/lu/luLandDet.jsp?pnu=3611031022103920032&amp;isNoScr=script&amp;mode=search", "토지이음")</f>
        <v/>
      </c>
      <c r="S532" s="3" t="inlineStr">
        <is>
          <t>지성</t>
        </is>
      </c>
      <c r="T532" s="4" t="n">
        <v>1</v>
      </c>
      <c r="U532" s="5" t="n">
        <v>187.2</v>
      </c>
      <c r="V532" s="4" t="n">
        <v>814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수산리 332-13</t>
        </is>
      </c>
      <c r="B533" s="3" t="inlineStr">
        <is>
          <t>보전관리지역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매매</t>
        </is>
      </c>
      <c r="G533" s="4" t="n">
        <v>50000</v>
      </c>
      <c r="H533" s="4" t="n">
        <v>0</v>
      </c>
      <c r="I533" s="4" t="n">
        <v>508</v>
      </c>
      <c r="J533" s="4" t="n">
        <v>154</v>
      </c>
      <c r="K533" s="5" t="n">
        <v>324.7</v>
      </c>
      <c r="L533" s="4" t="n">
        <v>98</v>
      </c>
      <c r="M533" s="4" t="n">
        <v>30</v>
      </c>
      <c r="N533" s="5" t="n">
        <v>1666.7</v>
      </c>
      <c r="O533" s="3" t="inlineStr">
        <is>
          <t>행복도심 인접 프라이빗 전원주택, 마당 캠핑과 태양열을 갖춘 힐링 매물</t>
        </is>
      </c>
      <c r="P533" s="6">
        <f>HYPERLINK("https://fin.land.naver.com/articles/2650156679", "매물Link")</f>
        <v/>
      </c>
      <c r="Q533" s="6">
        <f>HYPERLINK("https://map.naver.com/p/search/연기면 수산리 332-13", "지도Link")</f>
        <v/>
      </c>
      <c r="R533" s="6">
        <f>HYPERLINK("http://www.eum.go.kr/web/ar/lu/luLandDet.jsp?pnu=3611031024103320013&amp;isNoScr=script&amp;mode=search", "토지이음")</f>
        <v/>
      </c>
      <c r="S533" s="3" t="inlineStr">
        <is>
          <t>세종신한</t>
        </is>
      </c>
      <c r="T533" s="4" t="n">
        <v>1</v>
      </c>
      <c r="U533" s="5" t="n">
        <v>82.2</v>
      </c>
      <c r="V533" s="4" t="n">
        <v>508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수산리 332-7</t>
        </is>
      </c>
      <c r="B534" s="3" t="inlineStr">
        <is>
          <t>보전관리지역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70000</v>
      </c>
      <c r="H534" s="4" t="n">
        <v>0</v>
      </c>
      <c r="I534" s="4" t="n">
        <v>496</v>
      </c>
      <c r="J534" s="4" t="n">
        <v>150</v>
      </c>
      <c r="K534" s="5" t="n">
        <v>466.7</v>
      </c>
      <c r="L534" s="4" t="n">
        <v>98</v>
      </c>
      <c r="M534" s="4" t="n">
        <v>30</v>
      </c>
      <c r="N534" s="5" t="n">
        <v>2333.3</v>
      </c>
      <c r="O534" s="3" t="inlineStr">
        <is>
          <t>공기좋고 뷰 좋은 전원단독주택</t>
        </is>
      </c>
      <c r="P534" s="6">
        <f>HYPERLINK("https://fin.land.naver.com/articles/2650856622", "매물Link")</f>
        <v/>
      </c>
      <c r="Q534" s="6">
        <f>HYPERLINK("https://map.naver.com/p/search/연기면 수산리 332-7", "지도Link")</f>
        <v/>
      </c>
      <c r="R534" s="6">
        <f>HYPERLINK("http://www.eum.go.kr/web/ar/lu/luLandDet.jsp?pnu=3611031024103320007&amp;isNoScr=script&amp;mode=search",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82.2</v>
      </c>
      <c r="V534" s="4" t="n">
        <v>496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수산리 449-2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59000</v>
      </c>
      <c r="H535" s="4" t="n">
        <v>0</v>
      </c>
      <c r="I535" s="4" t="n">
        <v>498</v>
      </c>
      <c r="J535" s="4" t="n">
        <v>151</v>
      </c>
      <c r="K535" s="5" t="n">
        <v>390.7</v>
      </c>
      <c r="L535" s="4" t="n">
        <v>105</v>
      </c>
      <c r="M535" s="4" t="n">
        <v>32</v>
      </c>
      <c r="N535" s="5" t="n">
        <v>1843.8</v>
      </c>
      <c r="O535" s="3" t="inlineStr">
        <is>
          <t>행복도시 5분거리 수산리 자연취락지구 내 전원주택, 창고 있음</t>
        </is>
      </c>
      <c r="P535" s="6">
        <f>HYPERLINK("https://fin.land.naver.com/articles/2652025098", "매물Link")</f>
        <v/>
      </c>
      <c r="Q535" s="6">
        <f>HYPERLINK("https://map.naver.com/p/search/연기면 수산리 449-2", "지도Link")</f>
        <v/>
      </c>
      <c r="R535" s="6">
        <f>HYPERLINK("http://www.eum.go.kr/web/ar/lu/luLandDet.jsp?pnu=3611031024104490002&amp;isNoScr=script&amp;mode=search", "토지이음")</f>
        <v/>
      </c>
      <c r="S535" s="3" t="inlineStr">
        <is>
          <t>미스터홈즈강남지사</t>
        </is>
      </c>
      <c r="T535" s="4" t="n">
        <v>1</v>
      </c>
      <c r="U535" s="5" t="n">
        <v>117.4</v>
      </c>
      <c r="V535" s="4" t="n">
        <v>498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수산리 534-16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전원주택</t>
        </is>
      </c>
      <c r="F536" s="3" t="inlineStr">
        <is>
          <t>매매</t>
        </is>
      </c>
      <c r="G536" s="4" t="n">
        <v>43000</v>
      </c>
      <c r="H536" s="4" t="n">
        <v>0</v>
      </c>
      <c r="I536" s="4" t="n">
        <v>456</v>
      </c>
      <c r="J536" s="4" t="n">
        <v>138</v>
      </c>
      <c r="K536" s="5" t="n">
        <v>311.6</v>
      </c>
      <c r="L536" s="4" t="n">
        <v>50</v>
      </c>
      <c r="M536" s="4" t="n">
        <v>15</v>
      </c>
      <c r="N536" s="5" t="n">
        <v>2866.7</v>
      </c>
      <c r="O536" s="3" t="inlineStr">
        <is>
          <t>세종행복도시인근 전원단지내 세컨하우스단독주택</t>
        </is>
      </c>
      <c r="P536" s="6">
        <f>HYPERLINK("https://fin.land.naver.com/articles/2655257724", "매물Link")</f>
        <v/>
      </c>
      <c r="Q536" s="6">
        <f>HYPERLINK("https://map.naver.com/p/search/연기면 수산리 534-16", "지도Link")</f>
        <v/>
      </c>
      <c r="R536" s="6">
        <f>HYPERLINK("http://www.eum.go.kr/web/ar/lu/luLandDet.jsp?pnu=3611031024105340016&amp;isNoScr=script&amp;mode=search",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82.2</v>
      </c>
      <c r="V536" s="4" t="n">
        <v>456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연기면 수산리 534-16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456</v>
      </c>
      <c r="J537" s="4" t="n">
        <v>138</v>
      </c>
      <c r="K537" s="5" t="n">
        <v>311.6</v>
      </c>
      <c r="L537" s="4" t="n">
        <v>50</v>
      </c>
      <c r="M537" s="4" t="n">
        <v>15</v>
      </c>
      <c r="N537" s="5" t="n">
        <v>2866.7</v>
      </c>
      <c r="O537" s="3" t="inlineStr">
        <is>
          <t>수산리 독일마을 내 세컨하우스로 좋은 집. 자갈마당.</t>
        </is>
      </c>
      <c r="P537" s="6">
        <f>HYPERLINK("https://fin.land.naver.com/articles/2652103284", "매물Link")</f>
        <v/>
      </c>
      <c r="Q537" s="6">
        <f>HYPERLINK("https://map.naver.com/p/search/연기면 수산리 534-16", "지도Link")</f>
        <v/>
      </c>
      <c r="R537" s="6">
        <f>HYPERLINK("http://www.eum.go.kr/web/ar/lu/luLandDet.jsp?pnu=3611031024105340016&amp;isNoScr=script&amp;mode=search", "토지이음")</f>
        <v/>
      </c>
      <c r="S537" s="3" t="inlineStr">
        <is>
          <t>미스터홈즈강남지사</t>
        </is>
      </c>
      <c r="T537" s="4" t="n">
        <v>1</v>
      </c>
      <c r="U537" s="5" t="n">
        <v>82.2</v>
      </c>
      <c r="V537" s="4" t="n">
        <v>456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연기면 수산리 564-5</t>
        </is>
      </c>
      <c r="B538" s="3" t="inlineStr">
        <is>
          <t>보전관리지역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40000</v>
      </c>
      <c r="H538" s="4" t="n">
        <v>0</v>
      </c>
      <c r="I538" s="4" t="n">
        <v>404</v>
      </c>
      <c r="J538" s="4" t="n">
        <v>122</v>
      </c>
      <c r="K538" s="5" t="n">
        <v>327.9</v>
      </c>
      <c r="L538" s="4" t="n">
        <v>42</v>
      </c>
      <c r="M538" s="4" t="n">
        <v>13</v>
      </c>
      <c r="N538" s="5" t="n">
        <v>3076.9</v>
      </c>
      <c r="O538" s="3" t="inlineStr">
        <is>
          <t>세종 인접 전원단지내  단독 주택, 2종근린</t>
        </is>
      </c>
      <c r="P538" s="6">
        <f>HYPERLINK("https://fin.land.naver.com/articles/2655091869", "매물Link")</f>
        <v/>
      </c>
      <c r="Q538" s="6">
        <f>HYPERLINK("https://map.naver.com/p/search/연기면 수산리 564-5", "지도Link")</f>
        <v/>
      </c>
      <c r="R538" s="6">
        <f>HYPERLINK("http://www.eum.go.kr/web/ar/lu/luLandDet.jsp?pnu=3611031024105640005&amp;isNoScr=script&amp;mode=search", "토지이음")</f>
        <v/>
      </c>
      <c r="S538" s="3" t="inlineStr">
        <is>
          <t>큰길</t>
        </is>
      </c>
      <c r="T538" s="4" t="n">
        <v>1</v>
      </c>
      <c r="U538" s="5" t="n">
        <v>84.59999999999999</v>
      </c>
      <c r="V538" s="4" t="n">
        <v>404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완경사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연기면 수산리 564-5</t>
        </is>
      </c>
      <c r="B539" s="3" t="inlineStr">
        <is>
          <t>보전관리지역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단독</t>
        </is>
      </c>
      <c r="F539" s="3" t="inlineStr">
        <is>
          <t>매매</t>
        </is>
      </c>
      <c r="G539" s="4" t="n">
        <v>38000</v>
      </c>
      <c r="H539" s="4" t="n">
        <v>0</v>
      </c>
      <c r="I539" s="4" t="n">
        <v>404</v>
      </c>
      <c r="J539" s="4" t="n">
        <v>122</v>
      </c>
      <c r="K539" s="5" t="n">
        <v>311.5</v>
      </c>
      <c r="L539" s="4" t="n">
        <v>42</v>
      </c>
      <c r="M539" s="4" t="n">
        <v>13</v>
      </c>
      <c r="N539" s="5" t="n">
        <v>2923.1</v>
      </c>
      <c r="O539" s="3" t="inlineStr">
        <is>
          <t>세컨하우스 추천,행복도심 매우 근접, 도심의 편리함과 힐링을 동시에</t>
        </is>
      </c>
      <c r="P539" s="6">
        <f>HYPERLINK("https://fin.land.naver.com/articles/2650149450", "매물Link")</f>
        <v/>
      </c>
      <c r="Q539" s="6">
        <f>HYPERLINK("https://map.naver.com/p/search/연기면 수산리 564-5", "지도Link")</f>
        <v/>
      </c>
      <c r="R539" s="6">
        <f>HYPERLINK("http://www.eum.go.kr/web/ar/lu/luLandDet.jsp?pnu=3611031024105640005&amp;isNoScr=script&amp;mode=search", "토지이음")</f>
        <v/>
      </c>
      <c r="S539" s="3" t="inlineStr">
        <is>
          <t>세종신한</t>
        </is>
      </c>
      <c r="T539" s="4" t="n">
        <v>1</v>
      </c>
      <c r="U539" s="5" t="n">
        <v>84.59999999999999</v>
      </c>
      <c r="V539" s="4" t="n">
        <v>404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완경사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연기면 수산리 87-15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상가주택</t>
        </is>
      </c>
      <c r="F540" s="3" t="inlineStr">
        <is>
          <t>매매</t>
        </is>
      </c>
      <c r="G540" s="4" t="n">
        <v>132800</v>
      </c>
      <c r="H540" s="4" t="n">
        <v>0</v>
      </c>
      <c r="I540" s="4" t="n">
        <v>662</v>
      </c>
      <c r="J540" s="4" t="n">
        <v>200</v>
      </c>
      <c r="K540" s="5" t="n">
        <v>664</v>
      </c>
      <c r="L540" s="4" t="n">
        <v>466</v>
      </c>
      <c r="M540" s="4" t="n">
        <v>141</v>
      </c>
      <c r="N540" s="5" t="n">
        <v>941.8</v>
      </c>
      <c r="O540" s="3" t="inlineStr">
        <is>
          <t>세종IC입구 수산교차로에 있는 신축건물을 구입해서 리모델링해보세요</t>
        </is>
      </c>
      <c r="P540" s="6">
        <f>HYPERLINK("https://fin.land.naver.com/articles/2651914239", "매물Link")</f>
        <v/>
      </c>
      <c r="Q540" s="6">
        <f>HYPERLINK("https://map.naver.com/p/search/연기면 수산리 87-15", "지도Link")</f>
        <v/>
      </c>
      <c r="R540" s="6">
        <f>HYPERLINK("http://www.eum.go.kr/web/ar/lu/luLandDet.jsp?pnu=3611031024100870015&amp;isNoScr=script&amp;mode=search", "토지이음")</f>
        <v/>
      </c>
      <c r="S540" s="3" t="inlineStr">
        <is>
          <t>둔곡타워</t>
        </is>
      </c>
      <c r="T540" s="4" t="n">
        <v>1</v>
      </c>
      <c r="U540" s="5" t="n">
        <v>79.40000000000001</v>
      </c>
      <c r="V540" s="4" t="n">
        <v>662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연기리 1-59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45</v>
      </c>
      <c r="I541" s="4" t="n">
        <v>129</v>
      </c>
      <c r="J541" s="4" t="n">
        <v>39</v>
      </c>
      <c r="K541" s="5" t="n">
        <v>5.1</v>
      </c>
      <c r="L541" s="4" t="n">
        <v>23</v>
      </c>
      <c r="M541" s="4" t="n">
        <v>7</v>
      </c>
      <c r="N541" s="5" t="n">
        <v>28.6</v>
      </c>
      <c r="O541" s="3" t="inlineStr">
        <is>
          <t>11.3일이후,방1개거실,1.5룸추천.3달도가능,산울동차량5분,도시가스</t>
        </is>
      </c>
      <c r="P541" s="6">
        <f>HYPERLINK("https://fin.land.naver.com/articles/2655167521", "매물Link")</f>
        <v/>
      </c>
      <c r="Q541" s="6">
        <f>HYPERLINK("https://map.naver.com/p/search/연기면 연기리 1-59", "지도Link")</f>
        <v/>
      </c>
      <c r="R541" s="6">
        <f>HYPERLINK("http://www.eum.go.kr/web/ar/lu/luLandDet.jsp?pnu=3611031021100010059&amp;isNoScr=script&amp;mode=search",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175.7</v>
      </c>
      <c r="V541" s="4" t="n">
        <v>274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1-59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45</v>
      </c>
      <c r="I542" s="4" t="n">
        <v>129</v>
      </c>
      <c r="J542" s="4" t="n">
        <v>39</v>
      </c>
      <c r="K542" s="5" t="n">
        <v>1.2</v>
      </c>
      <c r="L542" s="4" t="n">
        <v>23</v>
      </c>
      <c r="M542" s="4" t="n">
        <v>7</v>
      </c>
      <c r="N542" s="5" t="n">
        <v>6.4</v>
      </c>
      <c r="O542" s="3" t="inlineStr">
        <is>
          <t>11.3일이후,방1개거실,1.5룸추천.3달도가능,산울동차량5분,도시가스</t>
        </is>
      </c>
      <c r="P542" s="6">
        <f>HYPERLINK("https://fin.land.naver.com/articles/2655226598", "매물Link")</f>
        <v/>
      </c>
      <c r="Q542" s="6">
        <f>HYPERLINK("https://map.naver.com/p/search/연기면 연기리 1-59", "지도Link")</f>
        <v/>
      </c>
      <c r="R542" s="6">
        <f>HYPERLINK("http://www.eum.go.kr/web/ar/lu/luLandDet.jsp?pnu=3611031021100010059&amp;isNoScr=script&amp;mode=search", "토지이음")</f>
        <v/>
      </c>
      <c r="S542" s="3" t="inlineStr">
        <is>
          <t>신동서남북</t>
        </is>
      </c>
      <c r="T542" s="4" t="n">
        <v>1</v>
      </c>
      <c r="U542" s="5" t="n">
        <v>175.7</v>
      </c>
      <c r="V542" s="4" t="n">
        <v>274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1-59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단기임대</t>
        </is>
      </c>
      <c r="G543" s="4" t="n">
        <v>200</v>
      </c>
      <c r="H543" s="4" t="n">
        <v>45</v>
      </c>
      <c r="I543" s="4" t="n">
        <v>129</v>
      </c>
      <c r="J543" s="4" t="n">
        <v>39</v>
      </c>
      <c r="K543" s="5" t="n">
        <v>5.1</v>
      </c>
      <c r="L543" s="4" t="n">
        <v>39</v>
      </c>
      <c r="M543" s="4" t="n">
        <v>12</v>
      </c>
      <c r="N543" s="5" t="n">
        <v>16.7</v>
      </c>
      <c r="O543" s="3" t="inlineStr">
        <is>
          <t>11.3일이,후 방1개 거실별도1.5룸,4달도가능,도시가스 입니다.</t>
        </is>
      </c>
      <c r="P543" s="6">
        <f>HYPERLINK("https://fin.land.naver.com/articles/2653914927", "매물Link")</f>
        <v/>
      </c>
      <c r="Q543" s="6">
        <f>HYPERLINK("https://map.naver.com/p/search/연기면 연기리 1-59", "지도Link")</f>
        <v/>
      </c>
      <c r="R543" s="6">
        <f>HYPERLINK("http://www.eum.go.kr/web/ar/lu/luLandDet.jsp?pnu=3611031021100010059&amp;isNoScr=script&amp;mode=search",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175.7</v>
      </c>
      <c r="V543" s="4" t="n">
        <v>274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정방형</t>
        </is>
      </c>
      <c r="AA543" s="3" t="inlineStr">
        <is>
          <t>세로한면(가)</t>
        </is>
      </c>
    </row>
    <row r="544">
      <c r="A544" s="3" t="inlineStr">
        <is>
          <t>연기면 연기리 1-59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300</v>
      </c>
      <c r="H544" s="4" t="n">
        <v>60</v>
      </c>
      <c r="I544" s="4" t="n">
        <v>129</v>
      </c>
      <c r="J544" s="4" t="n">
        <v>39</v>
      </c>
      <c r="K544" s="5" t="n">
        <v>1.5</v>
      </c>
      <c r="L544" s="4" t="n">
        <v>59</v>
      </c>
      <c r="M544" s="4" t="n">
        <v>18</v>
      </c>
      <c r="N544" s="5" t="n">
        <v>3.3</v>
      </c>
      <c r="O544" s="3" t="inlineStr">
        <is>
          <t>11.30일이후,방2개,거화1,거실별도1.5룸  6달도가능합니다.</t>
        </is>
      </c>
      <c r="P544" s="6">
        <f>HYPERLINK("https://fin.land.naver.com/articles/2651358410", "매물Link")</f>
        <v/>
      </c>
      <c r="Q544" s="6">
        <f>HYPERLINK("https://map.naver.com/p/search/연기면 연기리 1-59", "지도Link")</f>
        <v/>
      </c>
      <c r="R544" s="6">
        <f>HYPERLINK("http://www.eum.go.kr/web/ar/lu/luLandDet.jsp?pnu=3611031021100010059&amp;isNoScr=script&amp;mode=search",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175.7</v>
      </c>
      <c r="V544" s="4" t="n">
        <v>274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정방형</t>
        </is>
      </c>
      <c r="AA544" s="3" t="inlineStr">
        <is>
          <t>세로한면(가)</t>
        </is>
      </c>
    </row>
    <row r="545">
      <c r="A545" s="3" t="inlineStr">
        <is>
          <t>연기면 연기리 1-59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단기임대</t>
        </is>
      </c>
      <c r="G545" s="4" t="n">
        <v>300</v>
      </c>
      <c r="H545" s="4" t="n">
        <v>60</v>
      </c>
      <c r="I545" s="4" t="n">
        <v>129</v>
      </c>
      <c r="J545" s="4" t="n">
        <v>39</v>
      </c>
      <c r="K545" s="5" t="n">
        <v>7.7</v>
      </c>
      <c r="L545" s="4" t="n">
        <v>59</v>
      </c>
      <c r="M545" s="4" t="n">
        <v>18</v>
      </c>
      <c r="N545" s="5" t="n">
        <v>16.7</v>
      </c>
      <c r="O545" s="3" t="inlineStr">
        <is>
          <t>11.30일이후,방2개,거화1,거실별도1.5룸  6달도가능합니다.</t>
        </is>
      </c>
      <c r="P545" s="6">
        <f>HYPERLINK("https://fin.land.naver.com/articles/2651358883", "매물Link")</f>
        <v/>
      </c>
      <c r="Q545" s="6">
        <f>HYPERLINK("https://map.naver.com/p/search/연기면 연기리 1-59", "지도Link")</f>
        <v/>
      </c>
      <c r="R545" s="6">
        <f>HYPERLINK("http://www.eum.go.kr/web/ar/lu/luLandDet.jsp?pnu=3611031021100010059&amp;isNoScr=script&amp;mode=search",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175.7</v>
      </c>
      <c r="V545" s="4" t="n">
        <v>274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연기리 1-59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129</v>
      </c>
      <c r="J546" s="4" t="n">
        <v>39</v>
      </c>
      <c r="K546" s="5" t="n">
        <v>1</v>
      </c>
      <c r="L546" s="4" t="n">
        <v>39</v>
      </c>
      <c r="M546" s="4" t="n">
        <v>12</v>
      </c>
      <c r="N546" s="5" t="n">
        <v>3.3</v>
      </c>
      <c r="O546" s="3" t="inlineStr">
        <is>
          <t>11.3일이,후 방1개 거실별도1.5룸,4달도가능,도시가스 입니다.</t>
        </is>
      </c>
      <c r="P546" s="6">
        <f>HYPERLINK("https://fin.land.naver.com/articles/2653913590", "매물Link")</f>
        <v/>
      </c>
      <c r="Q546" s="6">
        <f>HYPERLINK("https://map.naver.com/p/search/연기면 연기리 1-59", "지도Link")</f>
        <v/>
      </c>
      <c r="R546" s="6">
        <f>HYPERLINK("http://www.eum.go.kr/web/ar/lu/luLandDet.jsp?pnu=3611031021100010059&amp;isNoScr=script&amp;mode=search",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175.7</v>
      </c>
      <c r="V546" s="4" t="n">
        <v>274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1-60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72000</v>
      </c>
      <c r="H547" s="4" t="n">
        <v>0</v>
      </c>
      <c r="I547" s="4" t="n">
        <v>266</v>
      </c>
      <c r="J547" s="4" t="n">
        <v>80</v>
      </c>
      <c r="K547" s="5" t="n">
        <v>900</v>
      </c>
      <c r="L547" s="4" t="n">
        <v>398</v>
      </c>
      <c r="M547" s="4" t="n">
        <v>120</v>
      </c>
      <c r="N547" s="5" t="n">
        <v>600</v>
      </c>
      <c r="O547" s="3" t="inlineStr">
        <is>
          <t>토지거래허가구역 원룸5,1.5룸5,투룸2,주인세대1,실투자5억1천400만</t>
        </is>
      </c>
      <c r="P547" s="6">
        <f>HYPERLINK("https://fin.land.naver.com/articles/2651364203", "매물Link")</f>
        <v/>
      </c>
      <c r="Q547" s="6">
        <f>HYPERLINK("https://map.naver.com/p/search/연기면 연기리 1-60", "지도Link")</f>
        <v/>
      </c>
      <c r="R547" s="6">
        <f>HYPERLINK("http://www.eum.go.kr/web/ar/lu/luLandDet.jsp?pnu=3611031021100010060&amp;isNoScr=script&amp;mode=search",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266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1-61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일반원룸</t>
        </is>
      </c>
      <c r="F548" s="3" t="inlineStr">
        <is>
          <t>전세</t>
        </is>
      </c>
      <c r="G548" s="4" t="n">
        <v>4500</v>
      </c>
      <c r="H548" s="4" t="n">
        <v>0</v>
      </c>
      <c r="I548" s="4" t="n">
        <v>128</v>
      </c>
      <c r="J548" s="4" t="n">
        <v>39</v>
      </c>
      <c r="K548" s="5" t="n">
        <v>115.4</v>
      </c>
      <c r="L548" s="4" t="n">
        <v>39</v>
      </c>
      <c r="M548" s="4" t="n">
        <v>12</v>
      </c>
      <c r="N548" s="5" t="n">
        <v>375</v>
      </c>
      <c r="O548" s="3" t="inlineStr">
        <is>
          <t>10.8일이후,방1개 거실별도 1.5 ,6달도 가능,주방분리,도시가스</t>
        </is>
      </c>
      <c r="P548" s="6">
        <f>HYPERLINK("https://fin.land.naver.com/articles/2651122920", "매물Link")</f>
        <v/>
      </c>
      <c r="Q548" s="6">
        <f>HYPERLINK("https://map.naver.com/p/search/연기면 연기리 1-61", "지도Link")</f>
        <v/>
      </c>
      <c r="R548" s="6">
        <f>HYPERLINK("http://www.eum.go.kr/web/ar/lu/luLandDet.jsp?pnu=3611031021100010061&amp;isNoScr=script&amp;mode=search",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175.7</v>
      </c>
      <c r="V548" s="4" t="n">
        <v>271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1-61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40</v>
      </c>
      <c r="I549" s="4" t="n">
        <v>132</v>
      </c>
      <c r="J549" s="4" t="n">
        <v>40</v>
      </c>
      <c r="K549" s="5" t="n">
        <v>1</v>
      </c>
      <c r="L549" s="4" t="n">
        <v>39</v>
      </c>
      <c r="M549" s="4" t="n">
        <v>12</v>
      </c>
      <c r="N549" s="5" t="n">
        <v>3.3</v>
      </c>
      <c r="O549" s="3" t="inlineStr">
        <is>
          <t>10.26일이후 ,방1개 거실별도 1.5룸,3개월은 45만원가능,도시가스</t>
        </is>
      </c>
      <c r="P549" s="6">
        <f>HYPERLINK("https://fin.land.naver.com/articles/2653231040", "매물Link")</f>
        <v/>
      </c>
      <c r="Q549" s="6">
        <f>HYPERLINK("https://map.naver.com/p/search/연기면 연기리 1-61", "지도Link")</f>
        <v/>
      </c>
      <c r="R549" s="6">
        <f>HYPERLINK("http://www.eum.go.kr/web/ar/lu/luLandDet.jsp?pnu=3611031021100010061&amp;isNoScr=script&amp;mode=search", "토지이음")</f>
        <v/>
      </c>
      <c r="S549" s="3" t="inlineStr">
        <is>
          <t>신동서남북</t>
        </is>
      </c>
      <c r="T549" s="4" t="n">
        <v>1</v>
      </c>
      <c r="U549" s="5" t="n">
        <v>175.7</v>
      </c>
      <c r="V549" s="4" t="n">
        <v>271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1-61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40</v>
      </c>
      <c r="I550" s="4" t="n">
        <v>39</v>
      </c>
      <c r="J550" s="4" t="n">
        <v>12</v>
      </c>
      <c r="K550" s="5" t="n">
        <v>3.3</v>
      </c>
      <c r="L550" s="4" t="n">
        <v>39</v>
      </c>
      <c r="M550" s="4" t="n">
        <v>12</v>
      </c>
      <c r="N550" s="5" t="n">
        <v>3.3</v>
      </c>
      <c r="O550" s="3" t="inlineStr">
        <is>
          <t>11.3일이후,방1개 거실별도 1.5 ,4달도 가능,주방분리,도시가스</t>
        </is>
      </c>
      <c r="P550" s="6">
        <f>HYPERLINK("https://fin.land.naver.com/articles/2651122403", "매물Link")</f>
        <v/>
      </c>
      <c r="Q550" s="6">
        <f>HYPERLINK("https://map.naver.com/p/search/연기면 연기리 1-61", "지도Link")</f>
        <v/>
      </c>
      <c r="R550" s="6">
        <f>HYPERLINK("http://www.eum.go.kr/web/ar/lu/luLandDet.jsp?pnu=3611031021100010061&amp;isNoScr=script&amp;mode=search",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1-64</t>
        </is>
      </c>
      <c r="B551" s="3" t="inlineStr">
        <is>
          <t>계획관리지역</t>
        </is>
      </c>
      <c r="C551" s="3" t="inlineStr">
        <is>
          <t>전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235</v>
      </c>
      <c r="J551" s="4" t="n">
        <v>71</v>
      </c>
      <c r="K551" s="5" t="n">
        <v>0.4</v>
      </c>
      <c r="L551" s="4" t="n">
        <v>235</v>
      </c>
      <c r="M551" s="4" t="n">
        <v>71</v>
      </c>
      <c r="N551" s="5" t="n">
        <v>0.4</v>
      </c>
      <c r="O551" s="3" t="inlineStr">
        <is>
          <t>세종시 연기면 원룸 임대</t>
        </is>
      </c>
      <c r="P551" s="6">
        <f>HYPERLINK("https://fin.land.naver.com/articles/2653205192", "매물Link")</f>
        <v/>
      </c>
      <c r="Q551" s="6">
        <f>HYPERLINK("https://map.naver.com/p/search/연기면 연기리 1-64", "지도Link")</f>
        <v/>
      </c>
      <c r="R551" s="6">
        <f>HYPERLINK("http://www.eum.go.kr/web/ar/lu/luLandDet.jsp?pnu=3611031021100010064&amp;isNoScr=script&amp;mode=search", "토지이음")</f>
        <v/>
      </c>
      <c r="S551" s="3" t="inlineStr">
        <is>
          <t>동원</t>
        </is>
      </c>
      <c r="T551" s="4" t="n">
        <v>1</v>
      </c>
      <c r="U551" s="5" t="n">
        <v>175.7</v>
      </c>
      <c r="V551" s="4" t="n">
        <v>403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1-79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100000</v>
      </c>
      <c r="H552" s="4" t="n">
        <v>0</v>
      </c>
      <c r="I552" s="4" t="n">
        <v>379</v>
      </c>
      <c r="J552" s="4" t="n">
        <v>115</v>
      </c>
      <c r="K552" s="5" t="n">
        <v>869.6</v>
      </c>
      <c r="L552" s="4" t="n">
        <v>205</v>
      </c>
      <c r="M552" s="4" t="n">
        <v>62</v>
      </c>
      <c r="N552" s="5" t="n">
        <v>1612.9</v>
      </c>
      <c r="O552" s="3" t="inlineStr">
        <is>
          <t>햇빛잘드는 2층 단독주택</t>
        </is>
      </c>
      <c r="P552" s="6">
        <f>HYPERLINK("https://fin.land.naver.com/articles/2655169359", "매물Link")</f>
        <v/>
      </c>
      <c r="Q552" s="6">
        <f>HYPERLINK("https://map.naver.com/p/search/연기면 연기리 1-79", "지도Link")</f>
        <v/>
      </c>
      <c r="R552" s="6">
        <f>HYPERLINK("http://www.eum.go.kr/web/ar/lu/luLandDet.jsp?pnu=3611031021100010079&amp;isNoScr=script&amp;mode=search",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189.3</v>
      </c>
      <c r="V552" s="4" t="n">
        <v>379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세로각지(가)</t>
        </is>
      </c>
    </row>
    <row r="553">
      <c r="A553" s="3" t="inlineStr">
        <is>
          <t>연기면 연기리 1-90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67000</v>
      </c>
      <c r="H553" s="4" t="n">
        <v>0</v>
      </c>
      <c r="I553" s="4" t="n">
        <v>338</v>
      </c>
      <c r="J553" s="4" t="n">
        <v>102</v>
      </c>
      <c r="K553" s="5" t="n">
        <v>656.9</v>
      </c>
      <c r="L553" s="4" t="n">
        <v>117</v>
      </c>
      <c r="M553" s="4" t="n">
        <v>35</v>
      </c>
      <c r="N553" s="5" t="n">
        <v>1914.3</v>
      </c>
      <c r="O553" s="3" t="inlineStr">
        <is>
          <t>남향의 깨끗하고 뷰좋은 단독주택, 창고있음</t>
        </is>
      </c>
      <c r="P553" s="6">
        <f>HYPERLINK("https://fin.land.naver.com/articles/2655085958", "매물Link")</f>
        <v/>
      </c>
      <c r="Q553" s="6">
        <f>HYPERLINK("https://map.naver.com/p/search/연기면 연기리 1-90", "지도Link")</f>
        <v/>
      </c>
      <c r="R553" s="6">
        <f>HYPERLINK("http://www.eum.go.kr/web/ar/lu/luLandDet.jsp?pnu=3611031021100010090&amp;isNoScr=script&amp;mode=search", "토지이음")</f>
        <v/>
      </c>
      <c r="S553" s="3" t="inlineStr">
        <is>
          <t>세종대박</t>
        </is>
      </c>
      <c r="T553" s="4" t="n">
        <v>1</v>
      </c>
      <c r="U553" s="5" t="n">
        <v>187.4</v>
      </c>
      <c r="V553" s="4" t="n">
        <v>338.6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세로각지(가)</t>
        </is>
      </c>
    </row>
    <row r="554">
      <c r="A554" s="3" t="inlineStr">
        <is>
          <t>연기면 연기리 135-9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300</v>
      </c>
      <c r="H554" s="4" t="n">
        <v>65</v>
      </c>
      <c r="I554" s="4" t="n">
        <v>143</v>
      </c>
      <c r="J554" s="4" t="n">
        <v>43</v>
      </c>
      <c r="K554" s="5" t="n">
        <v>7</v>
      </c>
      <c r="L554" s="4" t="n">
        <v>59</v>
      </c>
      <c r="M554" s="4" t="n">
        <v>18</v>
      </c>
      <c r="N554" s="5" t="n">
        <v>16.7</v>
      </c>
      <c r="O554" s="3" t="inlineStr">
        <is>
          <t>10.20이후,방1개 넑은 거실1개,주방별도,화2,주인세대같은 1.5룸</t>
        </is>
      </c>
      <c r="P554" s="6">
        <f>HYPERLINK("https://fin.land.naver.com/articles/2653926144", "매물Link")</f>
        <v/>
      </c>
      <c r="Q554" s="6">
        <f>HYPERLINK("https://map.naver.com/p/search/연기면 연기리 135-9", "지도Link")</f>
        <v/>
      </c>
      <c r="R554" s="6">
        <f>HYPERLINK("http://www.eum.go.kr/web/ar/lu/luLandDet.jsp?pnu=3611031021101350009&amp;isNoScr=script&amp;mode=search",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178.7</v>
      </c>
      <c r="V554" s="4" t="n">
        <v>478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연기리 135-9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월세</t>
        </is>
      </c>
      <c r="G555" s="4" t="n">
        <v>300</v>
      </c>
      <c r="H555" s="4" t="n">
        <v>60</v>
      </c>
      <c r="I555" s="4" t="n">
        <v>143</v>
      </c>
      <c r="J555" s="4" t="n">
        <v>43</v>
      </c>
      <c r="K555" s="5" t="n">
        <v>1.4</v>
      </c>
      <c r="L555" s="4" t="n">
        <v>59</v>
      </c>
      <c r="M555" s="4" t="n">
        <v>18</v>
      </c>
      <c r="N555" s="5" t="n">
        <v>3.3</v>
      </c>
      <c r="O555" s="3" t="inlineStr">
        <is>
          <t>10.20이후,방1개 넑은 거실1개,주방별도,화2,주인세대같은 1.5룸</t>
        </is>
      </c>
      <c r="P555" s="6">
        <f>HYPERLINK("https://fin.land.naver.com/articles/2653925779", "매물Link")</f>
        <v/>
      </c>
      <c r="Q555" s="6">
        <f>HYPERLINK("https://map.naver.com/p/search/연기면 연기리 135-9", "지도Link")</f>
        <v/>
      </c>
      <c r="R555" s="6">
        <f>HYPERLINK("http://www.eum.go.kr/web/ar/lu/luLandDet.jsp?pnu=3611031021101350009&amp;isNoScr=script&amp;mode=search",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178.7</v>
      </c>
      <c r="V555" s="4" t="n">
        <v>478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연기리 135-9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7000</v>
      </c>
      <c r="H556" s="4" t="n">
        <v>0</v>
      </c>
      <c r="I556" s="4" t="n">
        <v>143</v>
      </c>
      <c r="J556" s="4" t="n">
        <v>43</v>
      </c>
      <c r="K556" s="5" t="n">
        <v>162.8</v>
      </c>
      <c r="L556" s="4" t="n">
        <v>49</v>
      </c>
      <c r="M556" s="4" t="n">
        <v>15</v>
      </c>
      <c r="N556" s="5" t="n">
        <v>466.7</v>
      </c>
      <c r="O556" s="3" t="inlineStr">
        <is>
          <t>주인세대급 1.5룸 방1개넓은거실,주방별도,화2개 주차편리,산울동차량3분</t>
        </is>
      </c>
      <c r="P556" s="6">
        <f>HYPERLINK("https://fin.land.naver.com/articles/2655468161", "매물Link")</f>
        <v/>
      </c>
      <c r="Q556" s="6">
        <f>HYPERLINK("https://map.naver.com/p/search/연기면 연기리 135-9", "지도Link")</f>
        <v/>
      </c>
      <c r="R556" s="6">
        <f>HYPERLINK("http://www.eum.go.kr/web/ar/lu/luLandDet.jsp?pnu=3611031021101350009&amp;isNoScr=script&amp;mode=search",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178.7</v>
      </c>
      <c r="V556" s="4" t="n">
        <v>478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가로장방</t>
        </is>
      </c>
      <c r="AA556" s="3" t="inlineStr">
        <is>
          <t>세로한면(가)</t>
        </is>
      </c>
    </row>
    <row r="557">
      <c r="A557" s="3" t="inlineStr">
        <is>
          <t>연기면 연기리 135-9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7000</v>
      </c>
      <c r="H557" s="4" t="n">
        <v>0</v>
      </c>
      <c r="I557" s="4" t="n">
        <v>143</v>
      </c>
      <c r="J557" s="4" t="n">
        <v>43</v>
      </c>
      <c r="K557" s="5" t="n">
        <v>162.8</v>
      </c>
      <c r="L557" s="4" t="n">
        <v>49</v>
      </c>
      <c r="M557" s="4" t="n">
        <v>15</v>
      </c>
      <c r="N557" s="5" t="n">
        <v>466.7</v>
      </c>
      <c r="O557" s="3" t="inlineStr">
        <is>
          <t>10.20일이후,주인세대같은 1.5,방1개 넓은거실별도,주방,화2개</t>
        </is>
      </c>
      <c r="P557" s="6">
        <f>HYPERLINK("https://fin.land.naver.com/articles/2652260217", "매물Link")</f>
        <v/>
      </c>
      <c r="Q557" s="6">
        <f>HYPERLINK("https://map.naver.com/p/search/연기면 연기리 135-9", "지도Link")</f>
        <v/>
      </c>
      <c r="R557" s="6">
        <f>HYPERLINK("http://www.eum.go.kr/web/ar/lu/luLandDet.jsp?pnu=3611031021101350009&amp;isNoScr=script&amp;mode=search",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178.7</v>
      </c>
      <c r="V557" s="4" t="n">
        <v>478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가로장방</t>
        </is>
      </c>
      <c r="AA557" s="3" t="inlineStr">
        <is>
          <t>세로한면(가)</t>
        </is>
      </c>
    </row>
    <row r="558">
      <c r="A558" s="3" t="inlineStr">
        <is>
          <t>연기면 연기리 135-9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일반원룸</t>
        </is>
      </c>
      <c r="F558" s="3" t="inlineStr">
        <is>
          <t>단기임대</t>
        </is>
      </c>
      <c r="G558" s="4" t="n">
        <v>300</v>
      </c>
      <c r="H558" s="4" t="n">
        <v>65</v>
      </c>
      <c r="I558" s="4" t="n">
        <v>143</v>
      </c>
      <c r="J558" s="4" t="n">
        <v>43</v>
      </c>
      <c r="K558" s="5" t="n">
        <v>7</v>
      </c>
      <c r="L558" s="4" t="n">
        <v>49</v>
      </c>
      <c r="M558" s="4" t="n">
        <v>15</v>
      </c>
      <c r="N558" s="5" t="n">
        <v>20</v>
      </c>
      <c r="O558" s="3" t="inlineStr">
        <is>
          <t>주인세대급 1.5룸 방1개넓은거실,화2개,6달도가능주차편리,산울동차량3분</t>
        </is>
      </c>
      <c r="P558" s="6">
        <f>HYPERLINK("https://fin.land.naver.com/articles/2655468780", "매물Link")</f>
        <v/>
      </c>
      <c r="Q558" s="6">
        <f>HYPERLINK("https://map.naver.com/p/search/연기면 연기리 135-9", "지도Link")</f>
        <v/>
      </c>
      <c r="R558" s="6">
        <f>HYPERLINK("http://www.eum.go.kr/web/ar/lu/luLandDet.jsp?pnu=3611031021101350009&amp;isNoScr=script&amp;mode=search",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178.7</v>
      </c>
      <c r="V558" s="4" t="n">
        <v>478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세로한면(가)</t>
        </is>
      </c>
    </row>
    <row r="559">
      <c r="A559" s="3" t="inlineStr">
        <is>
          <t>연기면 연기리 135-9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전세</t>
        </is>
      </c>
      <c r="G559" s="4" t="n">
        <v>7000</v>
      </c>
      <c r="H559" s="4" t="n">
        <v>0</v>
      </c>
      <c r="I559" s="4" t="n">
        <v>143</v>
      </c>
      <c r="J559" s="4" t="n">
        <v>43</v>
      </c>
      <c r="K559" s="5" t="n">
        <v>162.8</v>
      </c>
      <c r="L559" s="4" t="n">
        <v>59</v>
      </c>
      <c r="M559" s="4" t="n">
        <v>18</v>
      </c>
      <c r="N559" s="5" t="n">
        <v>388.9</v>
      </c>
      <c r="O559" s="3" t="inlineStr">
        <is>
          <t>10.20이후,방1개 넑은 거실1개,주방별도,화2,주인세대같은 1.5룸</t>
        </is>
      </c>
      <c r="P559" s="6">
        <f>HYPERLINK("https://fin.land.naver.com/articles/2653925458", "매물Link")</f>
        <v/>
      </c>
      <c r="Q559" s="6">
        <f>HYPERLINK("https://map.naver.com/p/search/연기면 연기리 135-9", "지도Link")</f>
        <v/>
      </c>
      <c r="R559" s="6">
        <f>HYPERLINK("http://www.eum.go.kr/web/ar/lu/luLandDet.jsp?pnu=3611031021101350009&amp;isNoScr=script&amp;mode=search",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178.7</v>
      </c>
      <c r="V559" s="4" t="n">
        <v>478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세로한면(가)</t>
        </is>
      </c>
    </row>
    <row r="560">
      <c r="A560" s="3" t="inlineStr">
        <is>
          <t>연기면 연기리 135-9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33</v>
      </c>
      <c r="I560" s="4" t="n">
        <v>142</v>
      </c>
      <c r="J560" s="4" t="n">
        <v>43</v>
      </c>
      <c r="K560" s="5" t="n">
        <v>0.8</v>
      </c>
      <c r="L560" s="4" t="n">
        <v>26</v>
      </c>
      <c r="M560" s="4" t="n">
        <v>8</v>
      </c>
      <c r="N560" s="5" t="n">
        <v>4.1</v>
      </c>
      <c r="O560" s="3" t="inlineStr">
        <is>
          <t>즉시입주,3달은 35만원 6달이상 33가능,산울동차량3분정도,주차편리</t>
        </is>
      </c>
      <c r="P560" s="6">
        <f>HYPERLINK("https://fin.land.naver.com/articles/2652272361", "매물Link")</f>
        <v/>
      </c>
      <c r="Q560" s="6">
        <f>HYPERLINK("https://map.naver.com/p/search/연기면 연기리 135-9", "지도Link")</f>
        <v/>
      </c>
      <c r="R560" s="6">
        <f>HYPERLINK("http://www.eum.go.kr/web/ar/lu/luLandDet.jsp?pnu=3611031021101350009&amp;isNoScr=script&amp;mode=search", "토지이음")</f>
        <v/>
      </c>
      <c r="S560" s="3" t="inlineStr">
        <is>
          <t>동서남북</t>
        </is>
      </c>
      <c r="T560" s="4" t="n">
        <v>2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32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전원주택</t>
        </is>
      </c>
      <c r="F561" s="3" t="inlineStr">
        <is>
          <t>매매</t>
        </is>
      </c>
      <c r="G561" s="4" t="n">
        <v>90000</v>
      </c>
      <c r="H561" s="4" t="n">
        <v>0</v>
      </c>
      <c r="I561" s="4" t="n">
        <v>648</v>
      </c>
      <c r="J561" s="4" t="n">
        <v>196</v>
      </c>
      <c r="K561" s="5" t="n">
        <v>459.2</v>
      </c>
      <c r="L561" s="4" t="n">
        <v>85</v>
      </c>
      <c r="M561" s="4" t="n">
        <v>26</v>
      </c>
      <c r="N561" s="5" t="n">
        <v>3461.5</v>
      </c>
      <c r="O561" s="3" t="inlineStr">
        <is>
          <t>풀리모델링 구옥 농어촌민박 에어비앤비 가능</t>
        </is>
      </c>
      <c r="P561" s="6">
        <f>HYPERLINK("https://fin.land.naver.com/articles/2652942801", "매물Link")</f>
        <v/>
      </c>
      <c r="Q561" s="6">
        <f>HYPERLINK("https://map.naver.com/p/search/연기면 연기리 32", "지도Link")</f>
        <v/>
      </c>
      <c r="R561" s="6">
        <f>HYPERLINK("http://www.eum.go.kr/web/ar/lu/luLandDet.jsp?pnu=3611031021100320000&amp;isNoScr=script&amp;mode=search", "토지이음")</f>
        <v/>
      </c>
      <c r="S561" s="3" t="inlineStr">
        <is>
          <t>세종스타</t>
        </is>
      </c>
      <c r="T561" s="4" t="n">
        <v>1</v>
      </c>
      <c r="U561" s="5" t="n">
        <v>143.2</v>
      </c>
      <c r="V561" s="4" t="n">
        <v>547.5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세로한면(가)</t>
        </is>
      </c>
    </row>
    <row r="562">
      <c r="A562" s="3" t="inlineStr">
        <is>
          <t>연기면 연기리 330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30</v>
      </c>
      <c r="I562" s="4" t="n">
        <v>203</v>
      </c>
      <c r="J562" s="4" t="n">
        <v>61</v>
      </c>
      <c r="K562" s="5" t="n">
        <v>3.3</v>
      </c>
      <c r="L562" s="4" t="n">
        <v>23</v>
      </c>
      <c r="M562" s="4" t="n">
        <v>7</v>
      </c>
      <c r="N562" s="5" t="n">
        <v>28.6</v>
      </c>
      <c r="O562" s="3" t="inlineStr">
        <is>
          <t>11.5일이후,3달은 35만원으로 가능,산울동차량 3분, 연남초 인근</t>
        </is>
      </c>
      <c r="P562" s="6">
        <f>HYPERLINK("https://fin.land.naver.com/articles/2653237326", "매물Link")</f>
        <v/>
      </c>
      <c r="Q562" s="6">
        <f>HYPERLINK("https://map.naver.com/p/search/연기면 연기리 330", "지도Link")</f>
        <v/>
      </c>
      <c r="R562" s="6">
        <f>HYPERLINK("http://www.eum.go.kr/web/ar/lu/luLandDet.jsp?pnu=3611031021103300000&amp;isNoScr=script&amp;mode=search", "토지이음")</f>
        <v/>
      </c>
      <c r="S562" s="3" t="inlineStr">
        <is>
          <t>신동서남북</t>
        </is>
      </c>
      <c r="T562" s="4" t="n">
        <v>2</v>
      </c>
      <c r="U562" s="5" t="n">
        <v>150.8</v>
      </c>
      <c r="V562" s="4" t="n">
        <v>213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연기리 330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30</v>
      </c>
      <c r="I563" s="4" t="n">
        <v>203</v>
      </c>
      <c r="J563" s="4" t="n">
        <v>61</v>
      </c>
      <c r="K563" s="5" t="n">
        <v>3.3</v>
      </c>
      <c r="L563" s="4" t="n">
        <v>23</v>
      </c>
      <c r="M563" s="4" t="n">
        <v>7</v>
      </c>
      <c r="N563" s="5" t="n">
        <v>28.6</v>
      </c>
      <c r="O563" s="3" t="inlineStr">
        <is>
          <t>11.5일이후,4달도 가능,산울동 차량 3분,연기리 상권이용편리,도시가스</t>
        </is>
      </c>
      <c r="P563" s="6">
        <f>HYPERLINK("https://fin.land.naver.com/articles/2654824575", "매물Link")</f>
        <v/>
      </c>
      <c r="Q563" s="6">
        <f>HYPERLINK("https://map.naver.com/p/search/연기면 연기리 330", "지도Link")</f>
        <v/>
      </c>
      <c r="R563" s="6">
        <f>HYPERLINK("http://www.eum.go.kr/web/ar/lu/luLandDet.jsp?pnu=3611031021103300000&amp;isNoScr=script&amp;mode=search",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150.8</v>
      </c>
      <c r="V563" s="4" t="n">
        <v>213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330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30</v>
      </c>
      <c r="I564" s="4" t="n">
        <v>203</v>
      </c>
      <c r="J564" s="4" t="n">
        <v>61</v>
      </c>
      <c r="K564" s="5" t="n">
        <v>0.5</v>
      </c>
      <c r="L564" s="4" t="n">
        <v>23</v>
      </c>
      <c r="M564" s="4" t="n">
        <v>7</v>
      </c>
      <c r="N564" s="5" t="n">
        <v>4.3</v>
      </c>
      <c r="O564" s="3" t="inlineStr">
        <is>
          <t>11.5일이후,3달도 가능,산울동차량 3분, 연남초 인근</t>
        </is>
      </c>
      <c r="P564" s="6">
        <f>HYPERLINK("https://fin.land.naver.com/articles/2652228769", "매물Link")</f>
        <v/>
      </c>
      <c r="Q564" s="6">
        <f>HYPERLINK("https://map.naver.com/p/search/연기면 연기리 330", "지도Link")</f>
        <v/>
      </c>
      <c r="R564" s="6">
        <f>HYPERLINK("http://www.eum.go.kr/web/ar/lu/luLandDet.jsp?pnu=3611031021103300000&amp;isNoScr=script&amp;mode=search", "토지이음")</f>
        <v/>
      </c>
      <c r="S564" s="3" t="inlineStr">
        <is>
          <t>신동서남북</t>
        </is>
      </c>
      <c r="T564" s="4" t="n">
        <v>2</v>
      </c>
      <c r="U564" s="5" t="n">
        <v>150.8</v>
      </c>
      <c r="V564" s="4" t="n">
        <v>213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연기리 330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다가구</t>
        </is>
      </c>
      <c r="F565" s="3" t="inlineStr">
        <is>
          <t>월세</t>
        </is>
      </c>
      <c r="G565" s="4" t="n">
        <v>200</v>
      </c>
      <c r="H565" s="4" t="n">
        <v>30</v>
      </c>
      <c r="I565" s="4" t="n">
        <v>203</v>
      </c>
      <c r="J565" s="4" t="n">
        <v>61</v>
      </c>
      <c r="K565" s="5" t="n">
        <v>0.5</v>
      </c>
      <c r="L565" s="4" t="n">
        <v>23</v>
      </c>
      <c r="M565" s="4" t="n">
        <v>7</v>
      </c>
      <c r="N565" s="5" t="n">
        <v>4.3</v>
      </c>
      <c r="O565" s="3" t="inlineStr">
        <is>
          <t>11.5일이후,3달도가능 난방도시가스,산울동 차량3분이내 거리입니다.</t>
        </is>
      </c>
      <c r="P565" s="6">
        <f>HYPERLINK("https://fin.land.naver.com/articles/2652234251", "매물Link")</f>
        <v/>
      </c>
      <c r="Q565" s="6">
        <f>HYPERLINK("https://map.naver.com/p/search/연기면 연기리 330", "지도Link")</f>
        <v/>
      </c>
      <c r="R565" s="6">
        <f>HYPERLINK("http://www.eum.go.kr/web/ar/lu/luLandDet.jsp?pnu=3611031021103300000&amp;isNoScr=script&amp;mode=search",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150.8</v>
      </c>
      <c r="V565" s="4" t="n">
        <v>213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연기리 330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30</v>
      </c>
      <c r="I566" s="4" t="n">
        <v>203</v>
      </c>
      <c r="J566" s="4" t="n">
        <v>61</v>
      </c>
      <c r="K566" s="5" t="n">
        <v>0.5</v>
      </c>
      <c r="L566" s="4" t="n">
        <v>23</v>
      </c>
      <c r="M566" s="4" t="n">
        <v>7</v>
      </c>
      <c r="N566" s="5" t="n">
        <v>4.3</v>
      </c>
      <c r="O566" s="3" t="inlineStr">
        <is>
          <t>11.5일이후,6달도 가능,산울동 차량 3분,연기리 상권이용편리,도시가스</t>
        </is>
      </c>
      <c r="P566" s="6">
        <f>HYPERLINK("https://fin.land.naver.com/articles/2652130579", "매물Link")</f>
        <v/>
      </c>
      <c r="Q566" s="6">
        <f>HYPERLINK("https://map.naver.com/p/search/연기면 연기리 330", "지도Link")</f>
        <v/>
      </c>
      <c r="R566" s="6">
        <f>HYPERLINK("http://www.eum.go.kr/web/ar/lu/luLandDet.jsp?pnu=3611031021103300000&amp;isNoScr=script&amp;mode=search",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150.8</v>
      </c>
      <c r="V566" s="4" t="n">
        <v>213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연기리 330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일반원룸</t>
        </is>
      </c>
      <c r="F567" s="3" t="inlineStr">
        <is>
          <t>단기임대</t>
        </is>
      </c>
      <c r="G567" s="4" t="n">
        <v>200</v>
      </c>
      <c r="H567" s="4" t="n">
        <v>30</v>
      </c>
      <c r="I567" s="4" t="n">
        <v>203</v>
      </c>
      <c r="J567" s="4" t="n">
        <v>61</v>
      </c>
      <c r="K567" s="5" t="n">
        <v>3.3</v>
      </c>
      <c r="L567" s="4" t="n">
        <v>23</v>
      </c>
      <c r="M567" s="4" t="n">
        <v>7</v>
      </c>
      <c r="N567" s="5" t="n">
        <v>28.6</v>
      </c>
      <c r="O567" s="3" t="inlineStr">
        <is>
          <t>11.5일이후,3달도가능,도시가스 산울동 차량3</t>
        </is>
      </c>
      <c r="P567" s="6">
        <f>HYPERLINK("https://fin.land.naver.com/articles/2652133119", "매물Link")</f>
        <v/>
      </c>
      <c r="Q567" s="6">
        <f>HYPERLINK("https://map.naver.com/p/search/연기면 연기리 330", "지도Link")</f>
        <v/>
      </c>
      <c r="R567" s="6">
        <f>HYPERLINK("http://www.eum.go.kr/web/ar/lu/luLandDet.jsp?pnu=3611031021103300000&amp;isNoScr=script&amp;mode=search",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150.8</v>
      </c>
      <c r="V567" s="4" t="n">
        <v>213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330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203</v>
      </c>
      <c r="J568" s="4" t="n">
        <v>61</v>
      </c>
      <c r="K568" s="5" t="n">
        <v>0.5</v>
      </c>
      <c r="L568" s="4" t="n">
        <v>23</v>
      </c>
      <c r="M568" s="4" t="n">
        <v>7</v>
      </c>
      <c r="N568" s="5" t="n">
        <v>4.3</v>
      </c>
      <c r="O568" s="3" t="inlineStr">
        <is>
          <t>11.2일이후, 6달도가능,산울동 차량 3분, 난방도시가스 입니다</t>
        </is>
      </c>
      <c r="P568" s="6">
        <f>HYPERLINK("https://fin.land.naver.com/articles/2651130755", "매물Link")</f>
        <v/>
      </c>
      <c r="Q568" s="6">
        <f>HYPERLINK("https://map.naver.com/p/search/연기면 연기리 330", "지도Link")</f>
        <v/>
      </c>
      <c r="R568" s="6">
        <f>HYPERLINK("http://www.eum.go.kr/web/ar/lu/luLandDet.jsp?pnu=3611031021103300000&amp;isNoScr=script&amp;mode=search",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150.8</v>
      </c>
      <c r="V568" s="4" t="n">
        <v>213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352-5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100</v>
      </c>
      <c r="H569" s="4" t="n">
        <v>33</v>
      </c>
      <c r="I569" s="4" t="n">
        <v>19</v>
      </c>
      <c r="J569" s="4" t="n">
        <v>6</v>
      </c>
      <c r="K569" s="5" t="n">
        <v>5.5</v>
      </c>
      <c r="L569" s="4" t="n">
        <v>19</v>
      </c>
      <c r="M569" s="4" t="n">
        <v>6</v>
      </c>
      <c r="N569" s="5" t="n">
        <v>5.5</v>
      </c>
      <c r="O569" s="3" t="inlineStr">
        <is>
          <t>세종시 연기면 연기리 원룸 임대</t>
        </is>
      </c>
      <c r="P569" s="6">
        <f>HYPERLINK("https://fin.land.naver.com/articles/2650988730", "매물Link")</f>
        <v/>
      </c>
      <c r="Q569" s="6">
        <f>HYPERLINK("https://map.naver.com/p/search/연기면 연기리 352-5", "지도Link")</f>
        <v/>
      </c>
      <c r="R569" s="6">
        <f>HYPERLINK("http://www.eum.go.kr/web/ar/lu/luLandDet.jsp?pnu=3611031021103520005&amp;isNoScr=script&amp;mode=search", "토지이음")</f>
        <v/>
      </c>
      <c r="S569" s="3" t="inlineStr">
        <is>
          <t>동원</t>
        </is>
      </c>
      <c r="T569" s="4" t="n">
        <v>1</v>
      </c>
      <c r="U569" s="5" t="n">
        <v>158.2</v>
      </c>
      <c r="V569" s="4" t="n">
        <v>422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연기면 연기리 365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80000</v>
      </c>
      <c r="H570" s="4" t="n">
        <v>0</v>
      </c>
      <c r="I570" s="4" t="n">
        <v>522</v>
      </c>
      <c r="J570" s="4" t="n">
        <v>158</v>
      </c>
      <c r="K570" s="5" t="n">
        <v>506.3</v>
      </c>
      <c r="L570" s="4" t="n">
        <v>84</v>
      </c>
      <c r="M570" s="4" t="n">
        <v>25</v>
      </c>
      <c r="N570" s="5" t="n">
        <v>3200</v>
      </c>
      <c r="O570" s="3" t="inlineStr">
        <is>
          <t>투자 가치 높은 단독주택</t>
        </is>
      </c>
      <c r="P570" s="6">
        <f>HYPERLINK("https://fin.land.naver.com/articles/2652148114", "매물Link")</f>
        <v/>
      </c>
      <c r="Q570" s="6">
        <f>HYPERLINK("https://map.naver.com/p/search/연기면 연기리 365", "지도Link")</f>
        <v/>
      </c>
      <c r="R570" s="6">
        <f>HYPERLINK("http://www.eum.go.kr/web/ar/lu/luLandDet.jsp?pnu=3611031021103650000&amp;isNoScr=script&amp;mode=search", "토지이음")</f>
        <v/>
      </c>
      <c r="S570" s="3" t="inlineStr">
        <is>
          <t>해들일번지</t>
        </is>
      </c>
      <c r="T570" s="4" t="n">
        <v>1</v>
      </c>
      <c r="U570" s="5" t="n">
        <v>211.5</v>
      </c>
      <c r="V570" s="4" t="n">
        <v>533.7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366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다가구</t>
        </is>
      </c>
      <c r="F571" s="3" t="inlineStr">
        <is>
          <t>월세</t>
        </is>
      </c>
      <c r="G571" s="4" t="n">
        <v>100</v>
      </c>
      <c r="H571" s="4" t="n">
        <v>35</v>
      </c>
      <c r="I571" s="4" t="n">
        <v>0</v>
      </c>
      <c r="J571" s="4" t="n">
        <v>0</v>
      </c>
      <c r="K571" s="5" t="n">
        <v>0</v>
      </c>
      <c r="L571" s="4" t="n">
        <v>26</v>
      </c>
      <c r="M571" s="4" t="n">
        <v>8</v>
      </c>
      <c r="N571" s="5" t="n">
        <v>4.4</v>
      </c>
      <c r="O571" s="3" t="inlineStr">
        <is>
          <t>넓고 깨끗한 원룸</t>
        </is>
      </c>
      <c r="P571" s="6">
        <f>HYPERLINK("https://fin.land.naver.com/articles/2655169420", "매물Link")</f>
        <v/>
      </c>
      <c r="Q571" s="6">
        <f>HYPERLINK("https://map.naver.com/p/search/연기면 연기리 366", "지도Link")</f>
        <v/>
      </c>
      <c r="R571" s="6">
        <f>HYPERLINK("http://www.eum.go.kr/web/ar/lu/luLandDet.jsp?pnu=3611031021103660000&amp;isNoScr=script&amp;mode=search", "토지이음")</f>
        <v/>
      </c>
      <c r="S571" s="3" t="inlineStr">
        <is>
          <t>세종대박</t>
        </is>
      </c>
      <c r="T571" s="4" t="n">
        <v>1</v>
      </c>
      <c r="U571" s="5" t="n">
        <v>211.5</v>
      </c>
      <c r="V571" s="4" t="n">
        <v>472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366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100</v>
      </c>
      <c r="H572" s="4" t="n">
        <v>34</v>
      </c>
      <c r="I572" s="4" t="n">
        <v>26</v>
      </c>
      <c r="J572" s="4" t="n">
        <v>8</v>
      </c>
      <c r="K572" s="5" t="n">
        <v>4.2</v>
      </c>
      <c r="L572" s="4" t="n">
        <v>26</v>
      </c>
      <c r="M572" s="4" t="n">
        <v>8</v>
      </c>
      <c r="N572" s="5" t="n">
        <v>4.2</v>
      </c>
      <c r="O572" s="3" t="inlineStr">
        <is>
          <t>세종시 연기면 연기리 원룸.</t>
        </is>
      </c>
      <c r="P572" s="6">
        <f>HYPERLINK("https://fin.land.naver.com/articles/2650986518", "매물Link")</f>
        <v/>
      </c>
      <c r="Q572" s="6">
        <f>HYPERLINK("https://map.naver.com/p/search/연기면 연기리 366", "지도Link")</f>
        <v/>
      </c>
      <c r="R572" s="6">
        <f>HYPERLINK("http://www.eum.go.kr/web/ar/lu/luLandDet.jsp?pnu=3611031021103660000&amp;isNoScr=script&amp;mode=search", "토지이음")</f>
        <v/>
      </c>
      <c r="S572" s="3" t="inlineStr">
        <is>
          <t>동원</t>
        </is>
      </c>
      <c r="T572" s="4" t="n">
        <v>1</v>
      </c>
      <c r="U572" s="5" t="n">
        <v>211.5</v>
      </c>
      <c r="V572" s="4" t="n">
        <v>472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389-1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100</v>
      </c>
      <c r="H573" s="4" t="n">
        <v>31</v>
      </c>
      <c r="I573" s="4" t="n">
        <v>0</v>
      </c>
      <c r="J573" s="4" t="n">
        <v>0</v>
      </c>
      <c r="K573" s="5" t="n">
        <v>0</v>
      </c>
      <c r="L573" s="4" t="n">
        <v>25</v>
      </c>
      <c r="M573" s="4" t="n">
        <v>8</v>
      </c>
      <c r="N573" s="5" t="n">
        <v>3.9</v>
      </c>
      <c r="O573" s="3" t="inlineStr">
        <is>
          <t>교통이 좋고 주차 넉넉한 연기면 연기리 원룸</t>
        </is>
      </c>
      <c r="P573" s="6">
        <f>HYPERLINK("https://fin.land.naver.com/articles/2651516212", "매물Link")</f>
        <v/>
      </c>
      <c r="Q573" s="6">
        <f>HYPERLINK("https://map.naver.com/p/search/연기면 연기리 389-1", "지도Link")</f>
        <v/>
      </c>
      <c r="R573" s="6">
        <f>HYPERLINK("http://www.eum.go.kr/web/ar/lu/luLandDet.jsp?pnu=3611031021103890001&amp;isNoScr=script&amp;mode=search", "토지이음")</f>
        <v/>
      </c>
      <c r="S573" s="3" t="inlineStr">
        <is>
          <t>금강</t>
        </is>
      </c>
      <c r="T573" s="4" t="n">
        <v>1</v>
      </c>
      <c r="U573" s="5" t="n">
        <v>216.8</v>
      </c>
      <c r="V573" s="4" t="n">
        <v>465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세로각지(가)</t>
        </is>
      </c>
    </row>
    <row r="574">
      <c r="A574" s="3" t="inlineStr">
        <is>
          <t>연기면 연기리 389-1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50</v>
      </c>
      <c r="H574" s="4" t="n">
        <v>34</v>
      </c>
      <c r="I574" s="4" t="n">
        <v>28</v>
      </c>
      <c r="J574" s="4" t="n">
        <v>8</v>
      </c>
      <c r="K574" s="5" t="n">
        <v>4.2</v>
      </c>
      <c r="L574" s="4" t="n">
        <v>25</v>
      </c>
      <c r="M574" s="4" t="n">
        <v>8</v>
      </c>
      <c r="N574" s="5" t="n">
        <v>4.2</v>
      </c>
      <c r="O574" s="3" t="inlineStr">
        <is>
          <t>교통이 좋은 원룸  연기면 연기리에 위치</t>
        </is>
      </c>
      <c r="P574" s="6">
        <f>HYPERLINK("https://fin.land.naver.com/articles/2651519250", "매물Link")</f>
        <v/>
      </c>
      <c r="Q574" s="6">
        <f>HYPERLINK("https://map.naver.com/p/search/연기면 연기리 389-1", "지도Link")</f>
        <v/>
      </c>
      <c r="R574" s="6">
        <f>HYPERLINK("http://www.eum.go.kr/web/ar/lu/luLandDet.jsp?pnu=3611031021103890001&amp;isNoScr=script&amp;mode=search", "토지이음")</f>
        <v/>
      </c>
      <c r="S574" s="3" t="inlineStr">
        <is>
          <t>금강</t>
        </is>
      </c>
      <c r="T574" s="4" t="n">
        <v>1</v>
      </c>
      <c r="U574" s="5" t="n">
        <v>216.8</v>
      </c>
      <c r="V574" s="4" t="n">
        <v>465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부정형</t>
        </is>
      </c>
      <c r="AA574" s="3" t="inlineStr">
        <is>
          <t>세로각지(가)</t>
        </is>
      </c>
    </row>
    <row r="575">
      <c r="A575" s="3" t="inlineStr">
        <is>
          <t>연기면 연기리 391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500</v>
      </c>
      <c r="H575" s="4" t="n">
        <v>68</v>
      </c>
      <c r="I575" s="4" t="n">
        <v>0</v>
      </c>
      <c r="J575" s="4" t="n">
        <v>0</v>
      </c>
      <c r="K575" s="5" t="n">
        <v>0</v>
      </c>
      <c r="L575" s="4" t="n">
        <v>49</v>
      </c>
      <c r="M575" s="4" t="n">
        <v>15</v>
      </c>
      <c r="N575" s="5" t="n">
        <v>4.5</v>
      </c>
      <c r="O575" s="3" t="inlineStr">
        <is>
          <t>3룸 세종초근접 부가오송15분소요 단기가능</t>
        </is>
      </c>
      <c r="P575" s="6">
        <f>HYPERLINK("https://fin.land.naver.com/articles/2655241576", "매물Link")</f>
        <v/>
      </c>
      <c r="Q575" s="6">
        <f>HYPERLINK("https://map.naver.com/p/search/연기면 연기리 391", "지도Link")</f>
        <v/>
      </c>
      <c r="R575" s="6">
        <f>HYPERLINK("http://www.eum.go.kr/web/ar/lu/luLandDet.jsp?pnu=3611031021103910000&amp;isNoScr=script&amp;mode=search", "토지이음")</f>
        <v/>
      </c>
      <c r="S575" s="3" t="inlineStr">
        <is>
          <t>연기더조은</t>
        </is>
      </c>
      <c r="T575" s="4" t="n">
        <v>1</v>
      </c>
      <c r="U575" s="5" t="n">
        <v>200.8</v>
      </c>
      <c r="V575" s="4" t="n">
        <v>415.4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자루형</t>
        </is>
      </c>
      <c r="AA575" s="3" t="inlineStr">
        <is>
          <t>세로한면(가)</t>
        </is>
      </c>
    </row>
    <row r="576">
      <c r="A576" s="3" t="inlineStr">
        <is>
          <t>연기면 연기리 391-2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60</v>
      </c>
      <c r="I576" s="4" t="n">
        <v>0</v>
      </c>
      <c r="J576" s="4" t="n">
        <v>0</v>
      </c>
      <c r="K576" s="5" t="n">
        <v>0</v>
      </c>
      <c r="L576" s="4" t="n">
        <v>43</v>
      </c>
      <c r="M576" s="4" t="n">
        <v>13</v>
      </c>
      <c r="N576" s="5" t="n">
        <v>4.6</v>
      </c>
      <c r="O576" s="3" t="inlineStr">
        <is>
          <t>연기면 연기리  투룸</t>
        </is>
      </c>
      <c r="P576" s="6">
        <f>HYPERLINK("https://fin.land.naver.com/articles/2651406475", "매물Link")</f>
        <v/>
      </c>
      <c r="Q576" s="6">
        <f>HYPERLINK("https://map.naver.com/p/search/연기면 연기리 391-2", "지도Link")</f>
        <v/>
      </c>
      <c r="R576" s="6">
        <f>HYPERLINK("http://www.eum.go.kr/web/ar/lu/luLandDet.jsp?pnu=3611031021103910002&amp;isNoScr=script&amp;mode=search", "토지이음")</f>
        <v/>
      </c>
      <c r="S576" s="3" t="inlineStr">
        <is>
          <t>금강</t>
        </is>
      </c>
      <c r="T576" s="4" t="n">
        <v>1</v>
      </c>
      <c r="U576" s="5" t="n">
        <v>211.5</v>
      </c>
      <c r="V576" s="4" t="n">
        <v>335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4-13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0</v>
      </c>
      <c r="J577" s="4" t="n">
        <v>0</v>
      </c>
      <c r="K577" s="5" t="n">
        <v>0</v>
      </c>
      <c r="L577" s="4" t="n">
        <v>23</v>
      </c>
      <c r="M577" s="4" t="n">
        <v>7</v>
      </c>
      <c r="N577" s="5" t="n">
        <v>4.7</v>
      </c>
      <c r="O577" s="3" t="inlineStr">
        <is>
          <t>깨끗한 원룸, 즉시입주가능</t>
        </is>
      </c>
      <c r="P577" s="6">
        <f>HYPERLINK("https://fin.land.naver.com/articles/2655258571", "매물Link")</f>
        <v/>
      </c>
      <c r="Q577" s="6">
        <f>HYPERLINK("https://map.naver.com/p/search/연기면 연기리 4-13", "지도Link")</f>
        <v/>
      </c>
      <c r="R577" s="6">
        <f>HYPERLINK("http://www.eum.go.kr/web/ar/lu/luLandDet.jsp?pnu=3611031021100040013&amp;isNoScr=script&amp;mode=search", "토지이음")</f>
        <v/>
      </c>
      <c r="S577" s="3" t="inlineStr">
        <is>
          <t>세종대박</t>
        </is>
      </c>
      <c r="T577" s="4" t="n">
        <v>1</v>
      </c>
      <c r="U577" s="5" t="n">
        <v>175.7</v>
      </c>
      <c r="V577" s="4" t="n">
        <v>306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4-8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다가구</t>
        </is>
      </c>
      <c r="F578" s="3" t="inlineStr">
        <is>
          <t>월세</t>
        </is>
      </c>
      <c r="G578" s="4" t="n">
        <v>200</v>
      </c>
      <c r="H578" s="4" t="n">
        <v>37</v>
      </c>
      <c r="I578" s="4" t="n">
        <v>451</v>
      </c>
      <c r="J578" s="4" t="n">
        <v>136</v>
      </c>
      <c r="K578" s="5" t="n">
        <v>0.3</v>
      </c>
      <c r="L578" s="4" t="n">
        <v>451</v>
      </c>
      <c r="M578" s="4" t="n">
        <v>136</v>
      </c>
      <c r="N578" s="5" t="n">
        <v>0.3</v>
      </c>
      <c r="O578" s="3" t="inlineStr">
        <is>
          <t>세종시 연기면 원룸 임대 단기가능</t>
        </is>
      </c>
      <c r="P578" s="6">
        <f>HYPERLINK("https://fin.land.naver.com/articles/2652489543", "매물Link")</f>
        <v/>
      </c>
      <c r="Q578" s="6">
        <f>HYPERLINK("https://map.naver.com/p/search/연기면 연기리 4-8", "지도Link")</f>
        <v/>
      </c>
      <c r="R578" s="6">
        <f>HYPERLINK("http://www.eum.go.kr/web/ar/lu/luLandDet.jsp?pnu=3611031021100040008&amp;isNoScr=script&amp;mode=search", "토지이음")</f>
        <v/>
      </c>
      <c r="S578" s="3" t="inlineStr">
        <is>
          <t>동원</t>
        </is>
      </c>
      <c r="T578" s="4" t="n">
        <v>1</v>
      </c>
      <c r="U578" s="5" t="n">
        <v>175.7</v>
      </c>
      <c r="V578" s="4" t="n">
        <v>302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4-8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32</v>
      </c>
      <c r="I579" s="4" t="n">
        <v>0</v>
      </c>
      <c r="J579" s="4" t="n">
        <v>0</v>
      </c>
      <c r="K579" s="5" t="n">
        <v>0</v>
      </c>
      <c r="L579" s="4" t="n">
        <v>25</v>
      </c>
      <c r="M579" s="4" t="n">
        <v>8</v>
      </c>
      <c r="N579" s="5" t="n">
        <v>4</v>
      </c>
      <c r="O579" s="3" t="inlineStr">
        <is>
          <t>깨끗한 원룸단기가능</t>
        </is>
      </c>
      <c r="P579" s="6">
        <f>HYPERLINK("https://fin.land.naver.com/articles/2655032777", "매물Link")</f>
        <v/>
      </c>
      <c r="Q579" s="6">
        <f>HYPERLINK("https://map.naver.com/p/search/연기면 연기리 4-8", "지도Link")</f>
        <v/>
      </c>
      <c r="R579" s="6">
        <f>HYPERLINK("http://www.eum.go.kr/web/ar/lu/luLandDet.jsp?pnu=3611031021100040008&amp;isNoScr=script&amp;mode=search",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175.7</v>
      </c>
      <c r="V579" s="4" t="n">
        <v>302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4-8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75000</v>
      </c>
      <c r="H580" s="4" t="n">
        <v>0</v>
      </c>
      <c r="I580" s="4" t="n">
        <v>302</v>
      </c>
      <c r="J580" s="4" t="n">
        <v>91</v>
      </c>
      <c r="K580" s="5" t="n">
        <v>824.2</v>
      </c>
      <c r="L580" s="4" t="n">
        <v>451</v>
      </c>
      <c r="M580" s="4" t="n">
        <v>136</v>
      </c>
      <c r="N580" s="5" t="n">
        <v>551.5</v>
      </c>
      <c r="O580" s="3" t="inlineStr">
        <is>
          <t>임차 맞춰진  다가구,투자 추천,좋은 위치</t>
        </is>
      </c>
      <c r="P580" s="6">
        <f>HYPERLINK("https://fin.land.naver.com/articles/2650818756", "매물Link")</f>
        <v/>
      </c>
      <c r="Q580" s="6">
        <f>HYPERLINK("https://map.naver.com/p/search/연기면 연기리 4-8", "지도Link")</f>
        <v/>
      </c>
      <c r="R580" s="6">
        <f>HYPERLINK("http://www.eum.go.kr/web/ar/lu/luLandDet.jsp?pnu=3611031021100040008&amp;isNoScr=script&amp;mode=search", "토지이음")</f>
        <v/>
      </c>
      <c r="S580" s="3" t="inlineStr">
        <is>
          <t>행복</t>
        </is>
      </c>
      <c r="T580" s="4" t="n">
        <v>1</v>
      </c>
      <c r="U580" s="5" t="n">
        <v>175.7</v>
      </c>
      <c r="V580" s="4" t="n">
        <v>302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415-5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35</v>
      </c>
      <c r="I581" s="4" t="n">
        <v>154</v>
      </c>
      <c r="J581" s="4" t="n">
        <v>47</v>
      </c>
      <c r="K581" s="5" t="n">
        <v>0.7</v>
      </c>
      <c r="L581" s="4" t="n">
        <v>27</v>
      </c>
      <c r="M581" s="4" t="n">
        <v>8</v>
      </c>
      <c r="N581" s="5" t="n">
        <v>4.4</v>
      </c>
      <c r="O581" s="3" t="inlineStr">
        <is>
          <t>풀옵션, 단기가능, 입주 협의가능합니다.</t>
        </is>
      </c>
      <c r="P581" s="6">
        <f>HYPERLINK("https://fin.land.naver.com/articles/2651239100", "매물Link")</f>
        <v/>
      </c>
      <c r="Q581" s="6">
        <f>HYPERLINK("https://map.naver.com/p/search/연기면 연기리 415-5", "지도Link")</f>
        <v/>
      </c>
      <c r="R581" s="6">
        <f>HYPERLINK("http://www.eum.go.kr/web/ar/lu/luLandDet.jsp?pnu=3611031021104150005&amp;isNoScr=script&amp;mode=search", "토지이음")</f>
        <v/>
      </c>
      <c r="S581" s="3" t="inlineStr">
        <is>
          <t>세종토박이</t>
        </is>
      </c>
      <c r="T581" s="4" t="n">
        <v>1</v>
      </c>
      <c r="U581" s="5" t="n">
        <v>180.6</v>
      </c>
      <c r="V581" s="4" t="n">
        <v>314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423-30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3</t>
        </is>
      </c>
      <c r="E582" s="3" t="inlineStr">
        <is>
          <t>다가구</t>
        </is>
      </c>
      <c r="F582" s="3" t="inlineStr">
        <is>
          <t>월세</t>
        </is>
      </c>
      <c r="G582" s="4" t="n">
        <v>200</v>
      </c>
      <c r="H582" s="4" t="n">
        <v>30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3.8</v>
      </c>
      <c r="O582" s="3" t="inlineStr">
        <is>
          <t>깨끗한 원룸,풀옵션</t>
        </is>
      </c>
      <c r="P582" s="6">
        <f>HYPERLINK("https://fin.land.naver.com/articles/2655065534", "매물Link")</f>
        <v/>
      </c>
      <c r="Q582" s="6">
        <f>HYPERLINK("https://map.naver.com/p/search/연기면 연기리 423-30", "지도Link")</f>
        <v/>
      </c>
      <c r="R582" s="6">
        <f>HYPERLINK("http://www.eum.go.kr/web/ar/lu/luLandDet.jsp?pnu=3611031021104230030&amp;isNoScr=script&amp;mode=search",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176.8</v>
      </c>
      <c r="V582" s="4" t="n">
        <v>301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세로한면(가)</t>
        </is>
      </c>
    </row>
    <row r="583">
      <c r="A583" s="3" t="inlineStr">
        <is>
          <t>연기면 연기리 423-30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30</v>
      </c>
      <c r="I583" s="4" t="n">
        <v>23</v>
      </c>
      <c r="J583" s="4" t="n">
        <v>7</v>
      </c>
      <c r="K583" s="5" t="n">
        <v>4.3</v>
      </c>
      <c r="L583" s="4" t="n">
        <v>23</v>
      </c>
      <c r="M583" s="4" t="n">
        <v>7</v>
      </c>
      <c r="N583" s="5" t="n">
        <v>4.3</v>
      </c>
      <c r="O583" s="3" t="inlineStr">
        <is>
          <t>풀옵션, 깨끗한 방입니다.</t>
        </is>
      </c>
      <c r="P583" s="6">
        <f>HYPERLINK("https://fin.land.naver.com/articles/2651251240", "매물Link")</f>
        <v/>
      </c>
      <c r="Q583" s="6">
        <f>HYPERLINK("https://map.naver.com/p/search/연기면 연기리 423-30", "지도Link")</f>
        <v/>
      </c>
      <c r="R583" s="6">
        <f>HYPERLINK("http://www.eum.go.kr/web/ar/lu/luLandDet.jsp?pnu=3611031021104230030&amp;isNoScr=script&amp;mode=search", "토지이음")</f>
        <v/>
      </c>
      <c r="S583" s="3" t="inlineStr">
        <is>
          <t>세종토박이</t>
        </is>
      </c>
      <c r="T583" s="4" t="n">
        <v>1</v>
      </c>
      <c r="U583" s="5" t="n">
        <v>176.8</v>
      </c>
      <c r="V583" s="4" t="n">
        <v>301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세로한면(가)</t>
        </is>
      </c>
    </row>
    <row r="584">
      <c r="A584" s="3" t="inlineStr">
        <is>
          <t>연기면 연기리 425-8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72000</v>
      </c>
      <c r="H584" s="4" t="n">
        <v>0</v>
      </c>
      <c r="I584" s="4" t="n">
        <v>370</v>
      </c>
      <c r="J584" s="4" t="n">
        <v>112</v>
      </c>
      <c r="K584" s="5" t="n">
        <v>642.9</v>
      </c>
      <c r="L584" s="4" t="n">
        <v>86</v>
      </c>
      <c r="M584" s="4" t="n">
        <v>26</v>
      </c>
      <c r="N584" s="5" t="n">
        <v>2769.2</v>
      </c>
      <c r="O584" s="3" t="inlineStr">
        <is>
          <t>전세 있는 단독주택</t>
        </is>
      </c>
      <c r="P584" s="6">
        <f>HYPERLINK("https://fin.land.naver.com/articles/2650858533", "매물Link")</f>
        <v/>
      </c>
      <c r="Q584" s="6">
        <f>HYPERLINK("https://map.naver.com/p/search/연기면 연기리 425-8", "지도Link")</f>
        <v/>
      </c>
      <c r="R584" s="6">
        <f>HYPERLINK("http://www.eum.go.kr/web/ar/lu/luLandDet.jsp?pnu=3611031021104250008&amp;isNoScr=script&amp;mode=search",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196.4</v>
      </c>
      <c r="V584" s="4" t="n">
        <v>370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세로각지(가)</t>
        </is>
      </c>
    </row>
    <row r="585">
      <c r="A585" s="3" t="inlineStr">
        <is>
          <t>연기면 연기리 446-12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월세</t>
        </is>
      </c>
      <c r="G585" s="4" t="n">
        <v>200</v>
      </c>
      <c r="H585" s="4" t="n">
        <v>45</v>
      </c>
      <c r="I585" s="4" t="n">
        <v>0</v>
      </c>
      <c r="J585" s="4" t="n">
        <v>0</v>
      </c>
      <c r="K585" s="5" t="n">
        <v>0</v>
      </c>
      <c r="L585" s="4" t="n">
        <v>30</v>
      </c>
      <c r="M585" s="4" t="n">
        <v>9</v>
      </c>
      <c r="N585" s="5" t="n">
        <v>5</v>
      </c>
      <c r="O585" s="3" t="inlineStr">
        <is>
          <t>깨끗하고 넓은 1.5룸</t>
        </is>
      </c>
      <c r="P585" s="6">
        <f>HYPERLINK("https://fin.land.naver.com/articles/2655043860", "매물Link")</f>
        <v/>
      </c>
      <c r="Q585" s="6">
        <f>HYPERLINK("https://map.naver.com/p/search/연기면 연기리 446-12", "지도Link")</f>
        <v/>
      </c>
      <c r="R585" s="6">
        <f>HYPERLINK("http://www.eum.go.kr/web/ar/lu/luLandDet.jsp?pnu=3611031021104460012&amp;isNoScr=script&amp;mode=search",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375.2</v>
      </c>
      <c r="V585" s="4" t="n">
        <v>418</v>
      </c>
      <c r="W585" s="3" t="inlineStr">
        <is>
          <t>지정되지않음</t>
        </is>
      </c>
      <c r="X585" s="3" t="inlineStr">
        <is>
          <t>주상용</t>
        </is>
      </c>
      <c r="Y585" s="3" t="inlineStr">
        <is>
          <t>완경사</t>
        </is>
      </c>
      <c r="Z585" s="3" t="inlineStr">
        <is>
          <t>가로장방</t>
        </is>
      </c>
      <c r="AA585" s="3" t="inlineStr">
        <is>
          <t>중로한면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1000</v>
      </c>
      <c r="H586" s="4" t="n">
        <v>20</v>
      </c>
      <c r="I586" s="4" t="n">
        <v>138</v>
      </c>
      <c r="J586" s="4" t="n">
        <v>42</v>
      </c>
      <c r="K586" s="5" t="n">
        <v>0.5</v>
      </c>
      <c r="L586" s="4" t="n">
        <v>23</v>
      </c>
      <c r="M586" s="4" t="n">
        <v>7</v>
      </c>
      <c r="N586" s="5" t="n">
        <v>2.9</v>
      </c>
      <c r="O586" s="3" t="inlineStr">
        <is>
          <t>nan</t>
        </is>
      </c>
      <c r="P586" s="6">
        <f>HYPERLINK("https://fin.land.naver.com/articles/2655163775",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전세</t>
        </is>
      </c>
      <c r="G587" s="4" t="n">
        <v>3000</v>
      </c>
      <c r="H587" s="4" t="n">
        <v>0</v>
      </c>
      <c r="I587" s="4" t="n">
        <v>138</v>
      </c>
      <c r="J587" s="4" t="n">
        <v>42</v>
      </c>
      <c r="K587" s="5" t="n">
        <v>71.40000000000001</v>
      </c>
      <c r="L587" s="4" t="n">
        <v>23</v>
      </c>
      <c r="M587" s="4" t="n">
        <v>7</v>
      </c>
      <c r="N587" s="5" t="n">
        <v>428.6</v>
      </c>
      <c r="O587" s="3" t="inlineStr">
        <is>
          <t>즉시, 5일여유,햇빛우수 ,대중교통이용,주변상권이용 편리합니다.</t>
        </is>
      </c>
      <c r="P587" s="6">
        <f>HYPERLINK("https://fin.land.naver.com/articles/2655337753",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1000</v>
      </c>
      <c r="H588" s="4" t="n">
        <v>20</v>
      </c>
      <c r="I588" s="4" t="n">
        <v>138</v>
      </c>
      <c r="J588" s="4" t="n">
        <v>42</v>
      </c>
      <c r="K588" s="5" t="n">
        <v>0.5</v>
      </c>
      <c r="L588" s="4" t="n">
        <v>23</v>
      </c>
      <c r="M588" s="4" t="n">
        <v>7</v>
      </c>
      <c r="N588" s="5" t="n">
        <v>2.9</v>
      </c>
      <c r="O588" s="3" t="inlineStr">
        <is>
          <t>nan</t>
        </is>
      </c>
      <c r="P588" s="6">
        <f>HYPERLINK("https://fin.land.naver.com/articles/2650027910",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전세</t>
        </is>
      </c>
      <c r="G589" s="4" t="n">
        <v>2500</v>
      </c>
      <c r="H589" s="4" t="n">
        <v>0</v>
      </c>
      <c r="I589" s="4" t="n">
        <v>138</v>
      </c>
      <c r="J589" s="4" t="n">
        <v>42</v>
      </c>
      <c r="K589" s="5" t="n">
        <v>59.5</v>
      </c>
      <c r="L589" s="4" t="n">
        <v>23</v>
      </c>
      <c r="M589" s="4" t="n">
        <v>7</v>
      </c>
      <c r="N589" s="5" t="n">
        <v>357.1</v>
      </c>
      <c r="O589" s="3" t="inlineStr">
        <is>
          <t>즉시입주,도배새로함  ,대중교통이용,주변상권이용 편리합니다.</t>
        </is>
      </c>
      <c r="P589" s="6">
        <f>HYPERLINK("https://fin.land.naver.com/articles/2653242895",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단기임대</t>
        </is>
      </c>
      <c r="G590" s="4" t="n">
        <v>1000</v>
      </c>
      <c r="H590" s="4" t="n">
        <v>20</v>
      </c>
      <c r="I590" s="4" t="n">
        <v>138</v>
      </c>
      <c r="J590" s="4" t="n">
        <v>42</v>
      </c>
      <c r="K590" s="5" t="n">
        <v>23.8</v>
      </c>
      <c r="L590" s="4" t="n">
        <v>23</v>
      </c>
      <c r="M590" s="4" t="n">
        <v>7</v>
      </c>
      <c r="N590" s="5" t="n">
        <v>142.9</v>
      </c>
      <c r="O590" s="3" t="inlineStr">
        <is>
          <t>10.1일이후,1년도가능 ,대중교통이용,주변상권이용 편리합니다.</t>
        </is>
      </c>
      <c r="P590" s="6">
        <f>HYPERLINK("https://fin.land.naver.com/articles/2650029594",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월세</t>
        </is>
      </c>
      <c r="G591" s="4" t="n">
        <v>1000</v>
      </c>
      <c r="H591" s="4" t="n">
        <v>20</v>
      </c>
      <c r="I591" s="4" t="n">
        <v>138</v>
      </c>
      <c r="J591" s="4" t="n">
        <v>42</v>
      </c>
      <c r="K591" s="5" t="n">
        <v>0.5</v>
      </c>
      <c r="L591" s="4" t="n">
        <v>23</v>
      </c>
      <c r="M591" s="4" t="n">
        <v>7</v>
      </c>
      <c r="N591" s="5" t="n">
        <v>2.9</v>
      </c>
      <c r="O591" s="3" t="inlineStr">
        <is>
          <t>nan</t>
        </is>
      </c>
      <c r="P591" s="6">
        <f>HYPERLINK("https://fin.land.naver.com/articles/2650029264", "매물Link")</f>
        <v/>
      </c>
      <c r="Q591" s="6">
        <f>HYPERLINK("https://map.naver.com/p/search/연기면 연기리 448-3", "지도Link")</f>
        <v/>
      </c>
      <c r="R591" s="6">
        <f>HYPERLINK("http://www.eum.go.kr/web/ar/lu/luLandDet.jsp?pnu=3611031021104480003&amp;isNoScr=script&amp;mode=search",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181.2</v>
      </c>
      <c r="V591" s="4" t="n">
        <v>290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448-3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다가구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138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즉시, 5일여유,햇빛우수 ,대중교통이용,주변상권이용 편리합니다.</t>
        </is>
      </c>
      <c r="P592" s="6">
        <f>HYPERLINK("https://fin.land.naver.com/articles/2650028779", "매물Link")</f>
        <v/>
      </c>
      <c r="Q592" s="6">
        <f>HYPERLINK("https://map.naver.com/p/search/연기면 연기리 448-3", "지도Link")</f>
        <v/>
      </c>
      <c r="R592" s="6">
        <f>HYPERLINK("http://www.eum.go.kr/web/ar/lu/luLandDet.jsp?pnu=3611031021104480003&amp;isNoScr=script&amp;mode=search",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181.2</v>
      </c>
      <c r="V592" s="4" t="n">
        <v>290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자루형</t>
        </is>
      </c>
      <c r="AA592" s="3" t="inlineStr">
        <is>
          <t>세로한면(가)</t>
        </is>
      </c>
    </row>
    <row r="593">
      <c r="A593" s="3" t="inlineStr">
        <is>
          <t>연기면 연기리 448-3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전세</t>
        </is>
      </c>
      <c r="G593" s="4" t="n">
        <v>3000</v>
      </c>
      <c r="H593" s="4" t="n">
        <v>0</v>
      </c>
      <c r="I593" s="4" t="n">
        <v>138</v>
      </c>
      <c r="J593" s="4" t="n">
        <v>42</v>
      </c>
      <c r="K593" s="5" t="n">
        <v>71.40000000000001</v>
      </c>
      <c r="L593" s="4" t="n">
        <v>23</v>
      </c>
      <c r="M593" s="4" t="n">
        <v>7</v>
      </c>
      <c r="N593" s="5" t="n">
        <v>428.6</v>
      </c>
      <c r="O593" s="3" t="inlineStr">
        <is>
          <t>nan</t>
        </is>
      </c>
      <c r="P593" s="6">
        <f>HYPERLINK("https://fin.land.naver.com/articles/2652079727", "매물Link")</f>
        <v/>
      </c>
      <c r="Q593" s="6">
        <f>HYPERLINK("https://map.naver.com/p/search/연기면 연기리 448-3", "지도Link")</f>
        <v/>
      </c>
      <c r="R593" s="6">
        <f>HYPERLINK("http://www.eum.go.kr/web/ar/lu/luLandDet.jsp?pnu=3611031021104480003&amp;isNoScr=script&amp;mode=search",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181.2</v>
      </c>
      <c r="V593" s="4" t="n">
        <v>290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자루형</t>
        </is>
      </c>
      <c r="AA593" s="3" t="inlineStr">
        <is>
          <t>세로한면(가)</t>
        </is>
      </c>
    </row>
    <row r="594">
      <c r="A594" s="3" t="inlineStr">
        <is>
          <t>연기면 연기리 448-3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1000</v>
      </c>
      <c r="H594" s="4" t="n">
        <v>20</v>
      </c>
      <c r="I594" s="4" t="n">
        <v>138</v>
      </c>
      <c r="J594" s="4" t="n">
        <v>42</v>
      </c>
      <c r="K594" s="5" t="n">
        <v>0.5</v>
      </c>
      <c r="L594" s="4" t="n">
        <v>23</v>
      </c>
      <c r="M594" s="4" t="n">
        <v>7</v>
      </c>
      <c r="N594" s="5" t="n">
        <v>2.9</v>
      </c>
      <c r="O594" s="3" t="inlineStr">
        <is>
          <t>nan</t>
        </is>
      </c>
      <c r="P594" s="6">
        <f>HYPERLINK("https://fin.land.naver.com/articles/2652223313", "매물Link")</f>
        <v/>
      </c>
      <c r="Q594" s="6">
        <f>HYPERLINK("https://map.naver.com/p/search/연기면 연기리 448-3", "지도Link")</f>
        <v/>
      </c>
      <c r="R594" s="6">
        <f>HYPERLINK("http://www.eum.go.kr/web/ar/lu/luLandDet.jsp?pnu=3611031021104480003&amp;isNoScr=script&amp;mode=search", "토지이음")</f>
        <v/>
      </c>
      <c r="S594" s="3" t="inlineStr">
        <is>
          <t>신동서남북</t>
        </is>
      </c>
      <c r="T594" s="4" t="n">
        <v>1</v>
      </c>
      <c r="U594" s="5" t="n">
        <v>181.2</v>
      </c>
      <c r="V594" s="4" t="n">
        <v>290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자루형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전세</t>
        </is>
      </c>
      <c r="G595" s="4" t="n">
        <v>3000</v>
      </c>
      <c r="H595" s="4" t="n">
        <v>0</v>
      </c>
      <c r="I595" s="4" t="n">
        <v>138</v>
      </c>
      <c r="J595" s="4" t="n">
        <v>42</v>
      </c>
      <c r="K595" s="5" t="n">
        <v>71.40000000000001</v>
      </c>
      <c r="L595" s="4" t="n">
        <v>23</v>
      </c>
      <c r="M595" s="4" t="n">
        <v>7</v>
      </c>
      <c r="N595" s="5" t="n">
        <v>428.6</v>
      </c>
      <c r="O595" s="3" t="inlineStr">
        <is>
          <t>nan</t>
        </is>
      </c>
      <c r="P595" s="6">
        <f>HYPERLINK("https://fin.land.naver.com/articles/2651495175",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HYPERLINK("https://fin.land.naver.com/articles/2652253083",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2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2000</v>
      </c>
      <c r="H598" s="4" t="n">
        <v>10</v>
      </c>
      <c r="I598" s="4" t="n">
        <v>138</v>
      </c>
      <c r="J598" s="4" t="n">
        <v>42</v>
      </c>
      <c r="K598" s="5" t="n">
        <v>0.2</v>
      </c>
      <c r="L598" s="4" t="n">
        <v>23</v>
      </c>
      <c r="M598" s="4" t="n">
        <v>7</v>
      </c>
      <c r="N598" s="5" t="n">
        <v>1.4</v>
      </c>
      <c r="O598" s="3" t="inlineStr">
        <is>
          <t>nan</t>
        </is>
      </c>
      <c r="P598" s="6">
        <f>HYPERLINK("https://fin.land.naver.com/articles/2652738262",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2.9</v>
      </c>
      <c r="O599" s="3" t="inlineStr">
        <is>
          <t>nan</t>
        </is>
      </c>
      <c r="P599" s="6">
        <f>HYPERLINK("https://fin.land.naver.com/articles/2655329663",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다가구</t>
        </is>
      </c>
      <c r="F600" s="3" t="inlineStr">
        <is>
          <t>월세</t>
        </is>
      </c>
      <c r="G600" s="4" t="n">
        <v>1000</v>
      </c>
      <c r="H600" s="4" t="n">
        <v>20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2.9</v>
      </c>
      <c r="O600" s="3" t="inlineStr">
        <is>
          <t>10.1일이후,1년도가능 ,대중교통이용,주변상권이용 편리합니다.</t>
        </is>
      </c>
      <c r="P600" s="6">
        <f>HYPERLINK("https://fin.land.naver.com/articles/2652133764",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3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200</v>
      </c>
      <c r="H601" s="4" t="n">
        <v>40</v>
      </c>
      <c r="I601" s="4" t="n">
        <v>0</v>
      </c>
      <c r="J601" s="4" t="n">
        <v>0</v>
      </c>
      <c r="K601" s="5" t="n">
        <v>0</v>
      </c>
      <c r="L601" s="4" t="n">
        <v>30</v>
      </c>
      <c r="M601" s="4" t="n">
        <v>9</v>
      </c>
      <c r="N601" s="5" t="n">
        <v>4.4</v>
      </c>
      <c r="O601" s="3" t="inlineStr">
        <is>
          <t>연기면 연기리  투베이   1.5룸  생활하기 편한 곳</t>
        </is>
      </c>
      <c r="P601" s="6">
        <f>HYPERLINK("https://fin.land.naver.com/articles/2651375626", "매물Link")</f>
        <v/>
      </c>
      <c r="Q601" s="6">
        <f>HYPERLINK("https://map.naver.com/p/search/연기면 연기리 448-6", "지도Link")</f>
        <v/>
      </c>
      <c r="R601" s="6">
        <f>HYPERLINK("http://www.eum.go.kr/web/ar/lu/luLandDet.jsp?pnu=3611031021104480006&amp;isNoScr=script&amp;mode=search", "토지이음")</f>
        <v/>
      </c>
      <c r="S601" s="3" t="inlineStr">
        <is>
          <t>금강</t>
        </is>
      </c>
      <c r="T601" s="4" t="n">
        <v>1</v>
      </c>
      <c r="U601" s="5" t="n">
        <v>190.7</v>
      </c>
      <c r="V601" s="4" t="n">
        <v>289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466-18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55</v>
      </c>
      <c r="I602" s="4" t="n">
        <v>452</v>
      </c>
      <c r="J602" s="4" t="n">
        <v>137</v>
      </c>
      <c r="K602" s="5" t="n">
        <v>0.4</v>
      </c>
      <c r="L602" s="4" t="n">
        <v>35</v>
      </c>
      <c r="M602" s="4" t="n">
        <v>11</v>
      </c>
      <c r="N602" s="5" t="n">
        <v>5</v>
      </c>
      <c r="O602" s="3" t="inlineStr">
        <is>
          <t>세종시 연기면 투룸,1.5룸 임대.주인세대 임대</t>
        </is>
      </c>
      <c r="P602" s="6">
        <f>HYPERLINK("https://fin.land.naver.com/articles/2650991737", "매물Link")</f>
        <v/>
      </c>
      <c r="Q602" s="6">
        <f>HYPERLINK("https://map.naver.com/p/search/연기면 연기리 466-18", "지도Link")</f>
        <v/>
      </c>
      <c r="R602" s="6">
        <f>HYPERLINK("http://www.eum.go.kr/web/ar/lu/luLandDet.jsp?pnu=3611031021104660018&amp;isNoScr=script&amp;mode=search",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168.9</v>
      </c>
      <c r="V602" s="4" t="n">
        <v>317</v>
      </c>
      <c r="W602" s="3" t="inlineStr">
        <is>
          <t>지정되지않음</t>
        </is>
      </c>
      <c r="X602" s="3" t="inlineStr">
        <is>
          <t>다세대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세로한면(불)</t>
        </is>
      </c>
    </row>
    <row r="603">
      <c r="A603" s="3" t="inlineStr">
        <is>
          <t>연기면 연기리 466-18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다가구</t>
        </is>
      </c>
      <c r="F603" s="3" t="inlineStr">
        <is>
          <t>월세</t>
        </is>
      </c>
      <c r="G603" s="4" t="n">
        <v>200</v>
      </c>
      <c r="H603" s="4" t="n">
        <v>60</v>
      </c>
      <c r="I603" s="4" t="n">
        <v>0</v>
      </c>
      <c r="J603" s="4" t="n">
        <v>0</v>
      </c>
      <c r="K603" s="5" t="n">
        <v>0</v>
      </c>
      <c r="L603" s="4" t="n">
        <v>45</v>
      </c>
      <c r="M603" s="4" t="n">
        <v>14</v>
      </c>
      <c r="N603" s="5" t="n">
        <v>4.3</v>
      </c>
      <c r="O603" s="3" t="inlineStr">
        <is>
          <t>도로변에 인접 투룸 임대</t>
        </is>
      </c>
      <c r="P603" s="6">
        <f>HYPERLINK("https://fin.land.naver.com/articles/2655032789", "매물Link")</f>
        <v/>
      </c>
      <c r="Q603" s="6">
        <f>HYPERLINK("https://map.naver.com/p/search/연기면 연기리 466-18", "지도Link")</f>
        <v/>
      </c>
      <c r="R603" s="6">
        <f>HYPERLINK("http://www.eum.go.kr/web/ar/lu/luLandDet.jsp?pnu=3611031021104660018&amp;isNoScr=script&amp;mode=search",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168.9</v>
      </c>
      <c r="V603" s="4" t="n">
        <v>317</v>
      </c>
      <c r="W603" s="3" t="inlineStr">
        <is>
          <t>지정되지않음</t>
        </is>
      </c>
      <c r="X603" s="3" t="inlineStr">
        <is>
          <t>다세대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세로한면(불)</t>
        </is>
      </c>
    </row>
    <row r="604">
      <c r="A604" s="3" t="inlineStr">
        <is>
          <t>연기면 연기리 466-19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</v>
      </c>
      <c r="H604" s="4" t="n">
        <v>48</v>
      </c>
      <c r="I604" s="4" t="n">
        <v>0</v>
      </c>
      <c r="J604" s="4" t="n">
        <v>0</v>
      </c>
      <c r="K604" s="5" t="n">
        <v>0</v>
      </c>
      <c r="L604" s="4" t="n">
        <v>32</v>
      </c>
      <c r="M604" s="4" t="n">
        <v>10</v>
      </c>
      <c r="N604" s="5" t="n">
        <v>4.8</v>
      </c>
      <c r="O604" s="3" t="inlineStr">
        <is>
          <t>세종시 연기면  투베이 1.5룸</t>
        </is>
      </c>
      <c r="P604" s="6">
        <f>HYPERLINK("https://fin.land.naver.com/articles/2653257244", "매물Link")</f>
        <v/>
      </c>
      <c r="Q604" s="6">
        <f>HYPERLINK("https://map.naver.com/p/search/연기면 연기리 466-19", "지도Link")</f>
        <v/>
      </c>
      <c r="R604" s="6">
        <f>HYPERLINK("http://www.eum.go.kr/web/ar/lu/luLandDet.jsp?pnu=3611031021104660019&amp;isNoScr=script&amp;mode=search",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160.4</v>
      </c>
      <c r="V604" s="4" t="n">
        <v>309</v>
      </c>
      <c r="W604" s="3" t="inlineStr">
        <is>
          <t>지정되지않음</t>
        </is>
      </c>
      <c r="X604" s="3" t="inlineStr">
        <is>
          <t>다세대</t>
        </is>
      </c>
      <c r="Y604" s="3" t="inlineStr">
        <is>
          <t>완경사</t>
        </is>
      </c>
      <c r="Z604" s="3" t="inlineStr">
        <is>
          <t>부정형</t>
        </is>
      </c>
      <c r="AA604" s="3" t="inlineStr">
        <is>
          <t>세로한면(불)</t>
        </is>
      </c>
    </row>
    <row r="605">
      <c r="A605" s="3" t="inlineStr">
        <is>
          <t>연기면 연기리 597-5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상가주택</t>
        </is>
      </c>
      <c r="F605" s="3" t="inlineStr">
        <is>
          <t>매매</t>
        </is>
      </c>
      <c r="G605" s="4" t="n">
        <v>120000</v>
      </c>
      <c r="H605" s="4" t="n">
        <v>0</v>
      </c>
      <c r="I605" s="4" t="n">
        <v>631</v>
      </c>
      <c r="J605" s="4" t="n">
        <v>191</v>
      </c>
      <c r="K605" s="5" t="n">
        <v>628.3</v>
      </c>
      <c r="L605" s="4" t="n">
        <v>356</v>
      </c>
      <c r="M605" s="4" t="n">
        <v>108</v>
      </c>
      <c r="N605" s="5" t="n">
        <v>1111.1</v>
      </c>
      <c r="O605" s="3" t="inlineStr">
        <is>
          <t>광고최상 1층상가 2층주택 방4개 사무실 공방 카페추천 8M소방도로예정</t>
        </is>
      </c>
      <c r="P605" s="6">
        <f>HYPERLINK("https://fin.land.naver.com/articles/2654857650", "매물Link")</f>
        <v/>
      </c>
      <c r="Q605" s="6">
        <f>HYPERLINK("https://map.naver.com/p/search/연기면 연기리 597-5", "지도Link")</f>
        <v/>
      </c>
      <c r="R605" s="6">
        <f>HYPERLINK("http://www.eum.go.kr/web/ar/lu/luLandDet.jsp?pnu=3611031021105970005&amp;isNoScr=script&amp;mode=search",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182</v>
      </c>
      <c r="V605" s="4" t="n">
        <v>451</v>
      </c>
      <c r="W605" s="3" t="inlineStr">
        <is>
          <t>지정되지않음</t>
        </is>
      </c>
      <c r="X605" s="3" t="inlineStr">
        <is>
          <t>주거기타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세로한면(가)</t>
        </is>
      </c>
    </row>
    <row r="606">
      <c r="A606" s="3" t="inlineStr">
        <is>
          <t>연기면 연기리 599-9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전원주택</t>
        </is>
      </c>
      <c r="F606" s="3" t="inlineStr">
        <is>
          <t>매매</t>
        </is>
      </c>
      <c r="G606" s="4" t="n">
        <v>40000</v>
      </c>
      <c r="H606" s="4" t="n">
        <v>0</v>
      </c>
      <c r="I606" s="4" t="n">
        <v>340</v>
      </c>
      <c r="J606" s="4" t="n">
        <v>103</v>
      </c>
      <c r="K606" s="5" t="n">
        <v>388.3</v>
      </c>
      <c r="L606" s="4" t="n">
        <v>115</v>
      </c>
      <c r="M606" s="4" t="n">
        <v>35</v>
      </c>
      <c r="N606" s="5" t="n">
        <v>1142.9</v>
      </c>
      <c r="O606" s="3" t="inlineStr">
        <is>
          <t>구옥 공방 소형카페 작업실 8M소방도로예정</t>
        </is>
      </c>
      <c r="P606" s="6">
        <f>HYPERLINK("https://fin.land.naver.com/articles/2654857763", "매물Link")</f>
        <v/>
      </c>
      <c r="Q606" s="6">
        <f>HYPERLINK("https://map.naver.com/p/search/연기면 연기리 599-9", "지도Link")</f>
        <v/>
      </c>
      <c r="R606" s="6">
        <f>HYPERLINK("http://www.eum.go.kr/web/ar/lu/luLandDet.jsp?pnu=3611031021105990009&amp;isNoScr=script&amp;mode=search",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187.8</v>
      </c>
      <c r="V606" s="4" t="n">
        <v>179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6-14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매매</t>
        </is>
      </c>
      <c r="G607" s="4" t="n">
        <v>35000</v>
      </c>
      <c r="H607" s="4" t="n">
        <v>0</v>
      </c>
      <c r="I607" s="4" t="n">
        <v>266</v>
      </c>
      <c r="J607" s="4" t="n">
        <v>80</v>
      </c>
      <c r="K607" s="5" t="n">
        <v>437.5</v>
      </c>
      <c r="L607" s="4" t="n">
        <v>68</v>
      </c>
      <c r="M607" s="4" t="n">
        <v>21</v>
      </c>
      <c r="N607" s="5" t="n">
        <v>1666.7</v>
      </c>
      <c r="O607" s="3" t="inlineStr">
        <is>
          <t>저렴한 단독주택 매매</t>
        </is>
      </c>
      <c r="P607" s="6">
        <f>HYPERLINK("https://fin.land.naver.com/articles/2655032772", "매물Link")</f>
        <v/>
      </c>
      <c r="Q607" s="6">
        <f>HYPERLINK("https://map.naver.com/p/search/연기면 연기리 6-14", "지도Link")</f>
        <v/>
      </c>
      <c r="R607" s="6">
        <f>HYPERLINK("http://www.eum.go.kr/web/ar/lu/luLandDet.jsp?pnu=3611031021100060014&amp;isNoScr=script&amp;mode=search",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175.7</v>
      </c>
      <c r="V607" s="4" t="n">
        <v>266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연동면 내판리 17-11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39000</v>
      </c>
      <c r="H608" s="4" t="n">
        <v>0</v>
      </c>
      <c r="I608" s="4" t="n">
        <v>284</v>
      </c>
      <c r="J608" s="4" t="n">
        <v>86</v>
      </c>
      <c r="K608" s="5" t="n">
        <v>453.5</v>
      </c>
      <c r="L608" s="4" t="n">
        <v>65</v>
      </c>
      <c r="M608" s="4" t="n">
        <v>20</v>
      </c>
      <c r="N608" s="5" t="n">
        <v>1950</v>
      </c>
      <c r="O608" s="3" t="inlineStr">
        <is>
          <t>총2필지 340㎡,세종행정중심복합도시 ,오송역 세종 청주고속도로예정</t>
        </is>
      </c>
      <c r="P608" s="6">
        <f>HYPERLINK("https://fin.land.naver.com/articles/2650782396", "매물Link")</f>
        <v/>
      </c>
      <c r="Q608" s="6">
        <f>HYPERLINK("https://map.naver.com/p/search/연동면 내판리 17-11", "지도Link")</f>
        <v/>
      </c>
      <c r="R608" s="6">
        <f>HYPERLINK("http://www.eum.go.kr/web/ar/lu/luLandDet.jsp?pnu=3611032021100170011&amp;isNoScr=script&amp;mode=search", "토지이음")</f>
        <v/>
      </c>
      <c r="S608" s="3" t="inlineStr">
        <is>
          <t>단골</t>
        </is>
      </c>
      <c r="T608" s="4" t="n">
        <v>1</v>
      </c>
      <c r="U608" s="5" t="n">
        <v>125.8</v>
      </c>
      <c r="V608" s="4" t="n">
        <v>284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세로각지(가)</t>
        </is>
      </c>
    </row>
    <row r="609">
      <c r="A609" s="3" t="inlineStr">
        <is>
          <t>연동면 노송리 28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전원주택</t>
        </is>
      </c>
      <c r="F609" s="3" t="inlineStr">
        <is>
          <t>매매</t>
        </is>
      </c>
      <c r="G609" s="4" t="n">
        <v>180000</v>
      </c>
      <c r="H609" s="4" t="n">
        <v>0</v>
      </c>
      <c r="I609" s="4" t="n">
        <v>1756</v>
      </c>
      <c r="J609" s="4" t="n">
        <v>531</v>
      </c>
      <c r="K609" s="5" t="n">
        <v>339</v>
      </c>
      <c r="L609" s="4" t="n">
        <v>191</v>
      </c>
      <c r="M609" s="4" t="n">
        <v>58</v>
      </c>
      <c r="N609" s="5" t="n">
        <v>3103.4</v>
      </c>
      <c r="O609" s="3" t="inlineStr">
        <is>
          <t>남향의 2층 전원주택</t>
        </is>
      </c>
      <c r="P609" s="6">
        <f>HYPERLINK("https://fin.land.naver.com/articles/2651838387", "매물Link")</f>
        <v/>
      </c>
      <c r="Q609" s="6">
        <f>HYPERLINK("https://map.naver.com/p/search/연동면 노송리 28", "지도Link")</f>
        <v/>
      </c>
      <c r="R609" s="6">
        <f>HYPERLINK("http://www.eum.go.kr/web/ar/lu/luLandDet.jsp?pnu=3611032025100280000&amp;isNoScr=script&amp;mode=search", "토지이음")</f>
        <v/>
      </c>
      <c r="S609" s="3" t="inlineStr">
        <is>
          <t>보람최고</t>
        </is>
      </c>
      <c r="T609" s="4" t="n">
        <v>1</v>
      </c>
      <c r="U609" s="5" t="n">
        <v>68.90000000000001</v>
      </c>
      <c r="V609" s="4" t="n">
        <v>1001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부정형</t>
        </is>
      </c>
      <c r="AA609" s="3" t="inlineStr">
        <is>
          <t>세로각지(가)</t>
        </is>
      </c>
    </row>
    <row r="610">
      <c r="A610" s="3" t="inlineStr">
        <is>
          <t>연동면 명학리 217-1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전원주택</t>
        </is>
      </c>
      <c r="F610" s="3" t="inlineStr">
        <is>
          <t>매매</t>
        </is>
      </c>
      <c r="G610" s="4" t="n">
        <v>17000</v>
      </c>
      <c r="H610" s="4" t="n">
        <v>0</v>
      </c>
      <c r="I610" s="4" t="n">
        <v>176</v>
      </c>
      <c r="J610" s="4" t="n">
        <v>53</v>
      </c>
      <c r="K610" s="5" t="n">
        <v>320.8</v>
      </c>
      <c r="L610" s="4" t="n">
        <v>52</v>
      </c>
      <c r="M610" s="4" t="n">
        <v>16</v>
      </c>
      <c r="N610" s="5" t="n">
        <v>1062.5</v>
      </c>
      <c r="O610" s="3" t="inlineStr">
        <is>
          <t>태양광,도시가스 사용, 소액 투자, 세컨하우스, 주말별장, 실거주도 추천</t>
        </is>
      </c>
      <c r="P610" s="6">
        <f>HYPERLINK("https://fin.land.naver.com/articles/2652143034", "매물Link")</f>
        <v/>
      </c>
      <c r="Q610" s="6">
        <f>HYPERLINK("https://map.naver.com/p/search/연동면 명학리 217-1", "지도Link")</f>
        <v/>
      </c>
      <c r="R610" s="6">
        <f>HYPERLINK("http://www.eum.go.kr/web/ar/lu/luLandDet.jsp?pnu=3611032023102170001&amp;isNoScr=script&amp;mode=search", "토지이음")</f>
        <v/>
      </c>
      <c r="S610" s="3" t="inlineStr">
        <is>
          <t>수자인시티</t>
        </is>
      </c>
      <c r="T610" s="4" t="n">
        <v>1</v>
      </c>
      <c r="U610" s="5" t="n">
        <v>98.7</v>
      </c>
      <c r="V610" s="4" t="n">
        <v>176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연동면 송용리 206-6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25000</v>
      </c>
      <c r="H611" s="4" t="n">
        <v>0</v>
      </c>
      <c r="I611" s="4" t="n">
        <v>398</v>
      </c>
      <c r="J611" s="4" t="n">
        <v>120</v>
      </c>
      <c r="K611" s="5" t="n">
        <v>208.3</v>
      </c>
      <c r="L611" s="4" t="n">
        <v>84</v>
      </c>
      <c r="M611" s="4" t="n">
        <v>25</v>
      </c>
      <c r="N611" s="5" t="n">
        <v>1000</v>
      </c>
      <c r="O611" s="3" t="inlineStr">
        <is>
          <t>송용리 단독 신축 위치 좋습니다</t>
        </is>
      </c>
      <c r="P611" s="6">
        <f>HYPERLINK("https://fin.land.naver.com/articles/2653435652", "매물Link")</f>
        <v/>
      </c>
      <c r="Q611" s="6">
        <f>HYPERLINK("https://map.naver.com/p/search/연동면 송용리 206-6", "지도Link")</f>
        <v/>
      </c>
      <c r="R611" s="6">
        <f>HYPERLINK("http://www.eum.go.kr/web/ar/lu/luLandDet.jsp?pnu=3611032027102060006&amp;isNoScr=script&amp;mode=search", "토지이음")</f>
        <v/>
      </c>
      <c r="S611" s="3" t="inlineStr">
        <is>
          <t>OK수</t>
        </is>
      </c>
      <c r="T611" s="4" t="n">
        <v>1</v>
      </c>
      <c r="U611" s="5" t="n">
        <v>77.7</v>
      </c>
      <c r="V611" s="4" t="n">
        <v>398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정방형</t>
        </is>
      </c>
      <c r="AA611" s="3" t="inlineStr">
        <is>
          <t>세로한면(불)</t>
        </is>
      </c>
    </row>
    <row r="612">
      <c r="A612" s="3" t="inlineStr">
        <is>
          <t>연동면 예양리 27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매매</t>
        </is>
      </c>
      <c r="G612" s="4" t="n">
        <v>45000</v>
      </c>
      <c r="H612" s="4" t="n">
        <v>0</v>
      </c>
      <c r="I612" s="4" t="n">
        <v>656</v>
      </c>
      <c r="J612" s="4" t="n">
        <v>198</v>
      </c>
      <c r="K612" s="5" t="n">
        <v>227.3</v>
      </c>
      <c r="L612" s="4" t="n">
        <v>79</v>
      </c>
      <c r="M612" s="4" t="n">
        <v>24</v>
      </c>
      <c r="N612" s="5" t="n">
        <v>1875</v>
      </c>
      <c r="O612" s="3" t="inlineStr">
        <is>
          <t>예양교차로인근에 위치  교통편리 버스정류장도 바로앞에 있습니다</t>
        </is>
      </c>
      <c r="P612" s="6">
        <f>HYPERLINK("https://fin.land.naver.com/articles/2653055468", "매물Link")</f>
        <v/>
      </c>
      <c r="Q612" s="6">
        <f>HYPERLINK("https://map.naver.com/p/search/연동면 예양리 27", "지도Link")</f>
        <v/>
      </c>
      <c r="R612" s="6">
        <f>HYPERLINK("http://www.eum.go.kr/web/ar/lu/luLandDet.jsp?pnu=3611032026100270000&amp;isNoScr=script&amp;mode=search", "토지이음")</f>
        <v/>
      </c>
      <c r="S612" s="3" t="inlineStr">
        <is>
          <t>시드니</t>
        </is>
      </c>
      <c r="T612" s="4" t="n">
        <v>1</v>
      </c>
      <c r="U612" s="5" t="n">
        <v>65.3</v>
      </c>
      <c r="V612" s="4" t="n">
        <v>656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연동면 예양리 27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55000</v>
      </c>
      <c r="H613" s="4" t="n">
        <v>0</v>
      </c>
      <c r="I613" s="4" t="n">
        <v>1230</v>
      </c>
      <c r="J613" s="4" t="n">
        <v>372</v>
      </c>
      <c r="K613" s="5" t="n">
        <v>147.8</v>
      </c>
      <c r="L613" s="4" t="n">
        <v>79</v>
      </c>
      <c r="M613" s="4" t="n">
        <v>24</v>
      </c>
      <c r="N613" s="5" t="n">
        <v>2291.7</v>
      </c>
      <c r="O613" s="3" t="inlineStr">
        <is>
          <t>nan</t>
        </is>
      </c>
      <c r="P613" s="6">
        <f>HYPERLINK("https://fin.land.naver.com/articles/2651986983", "매물Link")</f>
        <v/>
      </c>
      <c r="Q613" s="6">
        <f>HYPERLINK("https://map.naver.com/p/search/연동면 예양리 27", "지도Link")</f>
        <v/>
      </c>
      <c r="R613" s="6">
        <f>HYPERLINK("http://www.eum.go.kr/web/ar/lu/luLandDet.jsp?pnu=3611032026100270000&amp;isNoScr=script&amp;mode=search", "토지이음")</f>
        <v/>
      </c>
      <c r="S613" s="3" t="inlineStr">
        <is>
          <t>오송퍼스트영웅</t>
        </is>
      </c>
      <c r="T613" s="4" t="n">
        <v>1</v>
      </c>
      <c r="U613" s="5" t="n">
        <v>65.3</v>
      </c>
      <c r="V613" s="4" t="n">
        <v>656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연동면 예양리 640-1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21000</v>
      </c>
      <c r="H614" s="4" t="n">
        <v>0</v>
      </c>
      <c r="I614" s="4" t="n">
        <v>259</v>
      </c>
      <c r="J614" s="4" t="n">
        <v>78</v>
      </c>
      <c r="K614" s="5" t="n">
        <v>269.2</v>
      </c>
      <c r="L614" s="4" t="n">
        <v>92</v>
      </c>
      <c r="M614" s="4" t="n">
        <v>28</v>
      </c>
      <c r="N614" s="5" t="n">
        <v>750</v>
      </c>
      <c r="O614" s="3" t="inlineStr">
        <is>
          <t>세종시 공기좋고 한적한 곳 저렴한 시골집 세컨하우스 주말주택</t>
        </is>
      </c>
      <c r="P614" s="6">
        <f>HYPERLINK("https://fin.land.naver.com/articles/2651693393", "매물Link")</f>
        <v/>
      </c>
      <c r="Q614" s="6">
        <f>HYPERLINK("https://map.naver.com/p/search/연동면 예양리 640-1", "지도Link")</f>
        <v/>
      </c>
      <c r="R614" s="6">
        <f>HYPERLINK("http://www.eum.go.kr/web/ar/lu/luLandDet.jsp?pnu=3611032026106400001&amp;isNoScr=script&amp;mode=search", "토지이음")</f>
        <v/>
      </c>
      <c r="S614" s="3" t="inlineStr">
        <is>
          <t>청담</t>
        </is>
      </c>
      <c r="T614" s="4" t="n">
        <v>1</v>
      </c>
      <c r="U614" s="5" t="n">
        <v>60.4</v>
      </c>
      <c r="V614" s="4" t="n">
        <v>259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연동면 예양리 642-4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25000</v>
      </c>
      <c r="H615" s="4" t="n">
        <v>0</v>
      </c>
      <c r="I615" s="4" t="n">
        <v>480</v>
      </c>
      <c r="J615" s="4" t="n">
        <v>145</v>
      </c>
      <c r="K615" s="5" t="n">
        <v>172.4</v>
      </c>
      <c r="L615" s="4" t="n">
        <v>168</v>
      </c>
      <c r="M615" s="4" t="n">
        <v>51</v>
      </c>
      <c r="N615" s="5" t="n">
        <v>490.2</v>
      </c>
      <c r="O615" s="3" t="inlineStr">
        <is>
          <t>nan</t>
        </is>
      </c>
      <c r="P615" s="6">
        <f>HYPERLINK("https://fin.land.naver.com/articles/2652759291", "매물Link")</f>
        <v/>
      </c>
      <c r="Q615" s="6">
        <f>HYPERLINK("https://map.naver.com/p/search/연동면 예양리 642-4", "지도Link")</f>
        <v/>
      </c>
      <c r="R615" s="6">
        <f>HYPERLINK("http://www.eum.go.kr/web/ar/lu/luLandDet.jsp?pnu=3611032026106420004&amp;isNoScr=script&amp;mode=search", "토지이음")</f>
        <v/>
      </c>
      <c r="S615" s="3" t="inlineStr">
        <is>
          <t>효자</t>
        </is>
      </c>
      <c r="T615" s="4" t="n">
        <v>1</v>
      </c>
      <c r="U615" s="5" t="n">
        <v>60.4</v>
      </c>
      <c r="V615" s="4" t="n">
        <v>480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연동면 예양리 642-4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28000</v>
      </c>
      <c r="H616" s="4" t="n">
        <v>0</v>
      </c>
      <c r="I616" s="4" t="n">
        <v>480</v>
      </c>
      <c r="J616" s="4" t="n">
        <v>145</v>
      </c>
      <c r="K616" s="5" t="n">
        <v>193.1</v>
      </c>
      <c r="L616" s="4" t="n">
        <v>168</v>
      </c>
      <c r="M616" s="4" t="n">
        <v>51</v>
      </c>
      <c r="N616" s="5" t="n">
        <v>549</v>
      </c>
      <c r="O616" s="3" t="inlineStr">
        <is>
          <t>즉시입주.넓은 마당과 텃밭.저렴매매.전원주택의 여유를 느껴보세요.</t>
        </is>
      </c>
      <c r="P616" s="6">
        <f>HYPERLINK("https://fin.land.naver.com/articles/2651510028", "매물Link")</f>
        <v/>
      </c>
      <c r="Q616" s="6">
        <f>HYPERLINK("https://map.naver.com/p/search/연동면 예양리 642-4", "지도Link")</f>
        <v/>
      </c>
      <c r="R616" s="6">
        <f>HYPERLINK("http://www.eum.go.kr/web/ar/lu/luLandDet.jsp?pnu=3611032026106420004&amp;isNoScr=script&amp;mode=search", "토지이음")</f>
        <v/>
      </c>
      <c r="S616" s="3" t="inlineStr">
        <is>
          <t>수자인</t>
        </is>
      </c>
      <c r="T616" s="4" t="n">
        <v>1</v>
      </c>
      <c r="U616" s="5" t="n">
        <v>60.4</v>
      </c>
      <c r="V616" s="4" t="n">
        <v>480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응암리 121-4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48000</v>
      </c>
      <c r="H617" s="4" t="n">
        <v>0</v>
      </c>
      <c r="I617" s="4" t="n">
        <v>1025</v>
      </c>
      <c r="J617" s="4" t="n">
        <v>310</v>
      </c>
      <c r="K617" s="5" t="n">
        <v>154.8</v>
      </c>
      <c r="L617" s="4" t="n">
        <v>103</v>
      </c>
      <c r="M617" s="4" t="n">
        <v>31</v>
      </c>
      <c r="N617" s="5" t="n">
        <v>1548.4</v>
      </c>
      <c r="O617" s="3" t="inlineStr">
        <is>
          <t>nan</t>
        </is>
      </c>
      <c r="P617" s="6">
        <f>HYPERLINK("https://fin.land.naver.com/articles/2654142663", "매물Link")</f>
        <v/>
      </c>
      <c r="Q617" s="6">
        <f>HYPERLINK("https://map.naver.com/p/search/연동면 응암리 121-4", "지도Link")</f>
        <v/>
      </c>
      <c r="R617" s="6">
        <f>HYPERLINK("http://www.eum.go.kr/web/ar/lu/luLandDet.jsp?pnu=3611032024101210004&amp;isNoScr=script&amp;mode=search", "토지이음")</f>
        <v/>
      </c>
      <c r="S617" s="3" t="inlineStr">
        <is>
          <t>세종지원</t>
        </is>
      </c>
      <c r="T617" s="4" t="n">
        <v>1</v>
      </c>
      <c r="U617" s="5" t="n">
        <v>67.5</v>
      </c>
      <c r="V617" s="4" t="n">
        <v>1025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세로한면(가)</t>
        </is>
      </c>
    </row>
    <row r="618">
      <c r="A618" s="3" t="inlineStr">
        <is>
          <t>연동면 응암리 199-4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27000</v>
      </c>
      <c r="H618" s="4" t="n">
        <v>0</v>
      </c>
      <c r="I618" s="4" t="n">
        <v>464</v>
      </c>
      <c r="J618" s="4" t="n">
        <v>140</v>
      </c>
      <c r="K618" s="5" t="n">
        <v>192.9</v>
      </c>
      <c r="L618" s="4" t="n">
        <v>89</v>
      </c>
      <c r="M618" s="4" t="n">
        <v>27</v>
      </c>
      <c r="N618" s="5" t="n">
        <v>1000</v>
      </c>
      <c r="O618" s="3" t="inlineStr">
        <is>
          <t>0초이스0 전세 안고 투자도 가능</t>
        </is>
      </c>
      <c r="P618" s="6">
        <f>HYPERLINK("https://fin.land.naver.com/articles/2655383046", "매물Link")</f>
        <v/>
      </c>
      <c r="Q618" s="6">
        <f>HYPERLINK("https://map.naver.com/p/search/연동면 응암리 199-4", "지도Link")</f>
        <v/>
      </c>
      <c r="R618" s="6">
        <f>HYPERLINK("http://www.eum.go.kr/web/ar/lu/luLandDet.jsp?pnu=3611032024101990004&amp;isNoScr=script&amp;mode=search", "토지이음")</f>
        <v/>
      </c>
      <c r="S618" s="3" t="inlineStr">
        <is>
          <t>세종초이스</t>
        </is>
      </c>
      <c r="T618" s="4" t="n">
        <v>1</v>
      </c>
      <c r="U618" s="5" t="n">
        <v>59.8</v>
      </c>
      <c r="V618" s="4" t="n">
        <v>464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사다리형</t>
        </is>
      </c>
      <c r="AA618" s="3" t="inlineStr">
        <is>
          <t>세로각지(가)</t>
        </is>
      </c>
    </row>
    <row r="619">
      <c r="A619" s="3" t="inlineStr">
        <is>
          <t>연동면 응암리 632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35000</v>
      </c>
      <c r="H619" s="4" t="n">
        <v>0</v>
      </c>
      <c r="I619" s="4" t="n">
        <v>456</v>
      </c>
      <c r="J619" s="4" t="n">
        <v>138</v>
      </c>
      <c r="K619" s="5" t="n">
        <v>253.6</v>
      </c>
      <c r="L619" s="4" t="n">
        <v>66</v>
      </c>
      <c r="M619" s="4" t="n">
        <v>20</v>
      </c>
      <c r="N619" s="5" t="n">
        <v>1750</v>
      </c>
      <c r="O619" s="3" t="inlineStr">
        <is>
          <t>위치 매우 좋은 연동면 응암리 리모델링 추천 I 단독주택 I 텃밭 가능</t>
        </is>
      </c>
      <c r="P619" s="6">
        <f>HYPERLINK("https://fin.land.naver.com/articles/2653366001", "매물Link")</f>
        <v/>
      </c>
      <c r="Q619" s="6">
        <f>HYPERLINK("https://map.naver.com/p/search/연동면 응암리 632", "지도Link")</f>
        <v/>
      </c>
      <c r="R619" s="6">
        <f>HYPERLINK("http://www.eum.go.kr/web/ar/lu/luLandDet.jsp?pnu=3611032024106320000&amp;isNoScr=script&amp;mode=search", "토지이음")</f>
        <v/>
      </c>
      <c r="S619" s="3" t="inlineStr">
        <is>
          <t>세종신한</t>
        </is>
      </c>
      <c r="T619" s="4" t="n">
        <v>1</v>
      </c>
      <c r="U619" s="5" t="n">
        <v>85.7</v>
      </c>
      <c r="V619" s="4" t="n">
        <v>655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연서면 고복리 460-2</t>
        </is>
      </c>
      <c r="B620" s="3" t="inlineStr">
        <is>
          <t>자연환경보전지역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상가주택</t>
        </is>
      </c>
      <c r="F620" s="3" t="inlineStr">
        <is>
          <t>매매</t>
        </is>
      </c>
      <c r="G620" s="4" t="n">
        <v>195000</v>
      </c>
      <c r="H620" s="4" t="n">
        <v>0</v>
      </c>
      <c r="I620" s="4" t="n">
        <v>729</v>
      </c>
      <c r="J620" s="4" t="n">
        <v>221</v>
      </c>
      <c r="K620" s="5" t="n">
        <v>882.4</v>
      </c>
      <c r="L620" s="4" t="n">
        <v>378</v>
      </c>
      <c r="M620" s="4" t="n">
        <v>114</v>
      </c>
      <c r="N620" s="5" t="n">
        <v>1710.5</v>
      </c>
      <c r="O620" s="3" t="inlineStr">
        <is>
          <t>고복저수지가 보이는 곳에 2층 상가주택</t>
        </is>
      </c>
      <c r="P620" s="6">
        <f>HYPERLINK("https://fin.land.naver.com/articles/2651253733", "매물Link")</f>
        <v/>
      </c>
      <c r="Q620" s="6">
        <f>HYPERLINK("https://map.naver.com/p/search/연서면 고복리 460-2", "지도Link")</f>
        <v/>
      </c>
      <c r="R620" s="6">
        <f>HYPERLINK("http://www.eum.go.kr/web/ar/lu/luLandDet.jsp?pnu=3611036024104600002&amp;isNoScr=script&amp;mode=search", "토지이음")</f>
        <v/>
      </c>
      <c r="S620" s="3" t="inlineStr">
        <is>
          <t>세종토박이</t>
        </is>
      </c>
      <c r="T620" s="4" t="n">
        <v>1</v>
      </c>
      <c r="U620" s="5" t="n">
        <v>92.3</v>
      </c>
      <c r="V620" s="4" t="n">
        <v>729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세로한면(가)</t>
        </is>
      </c>
    </row>
    <row r="621">
      <c r="A621" s="3" t="inlineStr">
        <is>
          <t>연서면 고복리 556-16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60000</v>
      </c>
      <c r="H621" s="4" t="n">
        <v>0</v>
      </c>
      <c r="I621" s="4" t="n">
        <v>503</v>
      </c>
      <c r="J621" s="4" t="n">
        <v>152</v>
      </c>
      <c r="K621" s="5" t="n">
        <v>394.7</v>
      </c>
      <c r="L621" s="4" t="n">
        <v>123</v>
      </c>
      <c r="M621" s="4" t="n">
        <v>37</v>
      </c>
      <c r="N621" s="5" t="n">
        <v>1621.6</v>
      </c>
      <c r="O621" s="3" t="inlineStr">
        <is>
          <t>고복저수지 조망있는 단독주택,별장용</t>
        </is>
      </c>
      <c r="P621" s="6">
        <f>HYPERLINK("https://fin.land.naver.com/articles/2655393007", "매물Link")</f>
        <v/>
      </c>
      <c r="Q621" s="6">
        <f>HYPERLINK("https://map.naver.com/p/search/연서면 고복리 556-16", "지도Link")</f>
        <v/>
      </c>
      <c r="R621" s="6">
        <f>HYPERLINK("http://www.eum.go.kr/web/ar/lu/luLandDet.jsp?pnu=3611036024105560016&amp;isNoScr=script&amp;mode=search", "토지이음")</f>
        <v/>
      </c>
      <c r="S621" s="3" t="inlineStr">
        <is>
          <t>KB세종</t>
        </is>
      </c>
      <c r="T621" s="4" t="n">
        <v>1</v>
      </c>
      <c r="U621" s="5" t="n">
        <v>119.4</v>
      </c>
      <c r="V621" s="4" t="n">
        <v>656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연서면 고복리 75-1</t>
        </is>
      </c>
      <c r="B622" s="3" t="inlineStr">
        <is>
          <t>생산관리지역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상가주택</t>
        </is>
      </c>
      <c r="F622" s="3" t="inlineStr">
        <is>
          <t>매매</t>
        </is>
      </c>
      <c r="G622" s="4" t="n">
        <v>150000</v>
      </c>
      <c r="H622" s="4" t="n">
        <v>0</v>
      </c>
      <c r="I622" s="4" t="n">
        <v>2707</v>
      </c>
      <c r="J622" s="4" t="n">
        <v>819</v>
      </c>
      <c r="K622" s="5" t="n">
        <v>183.2</v>
      </c>
      <c r="L622" s="4" t="n">
        <v>187</v>
      </c>
      <c r="M622" s="4" t="n">
        <v>57</v>
      </c>
      <c r="N622" s="5" t="n">
        <v>2631.6</v>
      </c>
      <c r="O622" s="3" t="inlineStr">
        <is>
          <t>고복저수지 방향 상가주택 장수한증막운영중. 3필지 일괄매매 건물포함.</t>
        </is>
      </c>
      <c r="P622" s="6">
        <f>HYPERLINK("https://fin.land.naver.com/articles/2652535751", "매물Link")</f>
        <v/>
      </c>
      <c r="Q622" s="6">
        <f>HYPERLINK("https://map.naver.com/p/search/연서면 고복리 75-1", "지도Link")</f>
        <v/>
      </c>
      <c r="R622" s="6">
        <f>HYPERLINK("http://www.eum.go.kr/web/ar/lu/luLandDet.jsp?pnu=3611036024100750001&amp;isNoScr=script&amp;mode=search", "토지이음")</f>
        <v/>
      </c>
      <c r="S622" s="3" t="inlineStr">
        <is>
          <t>세종대장</t>
        </is>
      </c>
      <c r="T622" s="4" t="n">
        <v>1</v>
      </c>
      <c r="U622" s="5" t="n">
        <v>91.8</v>
      </c>
      <c r="V622" s="4" t="n">
        <v>999</v>
      </c>
      <c r="W622" s="3" t="inlineStr">
        <is>
          <t>지정되지않음</t>
        </is>
      </c>
      <c r="X622" s="3" t="inlineStr">
        <is>
          <t>주상용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연서면 국촌리 122-2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52000</v>
      </c>
      <c r="H623" s="4" t="n">
        <v>0</v>
      </c>
      <c r="I623" s="4" t="n">
        <v>741</v>
      </c>
      <c r="J623" s="4" t="n">
        <v>224</v>
      </c>
      <c r="K623" s="5" t="n">
        <v>232.1</v>
      </c>
      <c r="L623" s="4" t="n">
        <v>156</v>
      </c>
      <c r="M623" s="4" t="n">
        <v>47</v>
      </c>
      <c r="N623" s="5" t="n">
        <v>1106.4</v>
      </c>
      <c r="O623" s="3" t="inlineStr">
        <is>
          <t>국촌리 한옥목조주택으로 주변 개발이 많아 향후 투자로 적극추천.</t>
        </is>
      </c>
      <c r="P623" s="6">
        <f>HYPERLINK("https://fin.land.naver.com/articles/2655640344", "매물Link")</f>
        <v/>
      </c>
      <c r="Q623" s="6">
        <f>HYPERLINK("https://map.naver.com/p/search/연서면 국촌리 122-2", "지도Link")</f>
        <v/>
      </c>
      <c r="R623" s="6">
        <f>HYPERLINK("http://www.eum.go.kr/web/ar/lu/luLandDet.jsp?pnu=3611036030101220002&amp;isNoScr=script&amp;mode=search", "토지이음")</f>
        <v/>
      </c>
      <c r="S623" s="3" t="inlineStr">
        <is>
          <t>세종대장</t>
        </is>
      </c>
      <c r="T623" s="4" t="n">
        <v>1</v>
      </c>
      <c r="U623" s="5" t="n">
        <v>106.6</v>
      </c>
      <c r="V623" s="4" t="n">
        <v>741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연서면 기룡리 657-4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전원주택</t>
        </is>
      </c>
      <c r="F624" s="3" t="inlineStr">
        <is>
          <t>매매</t>
        </is>
      </c>
      <c r="G624" s="4" t="n">
        <v>7000</v>
      </c>
      <c r="H624" s="4" t="n">
        <v>0</v>
      </c>
      <c r="I624" s="4" t="n">
        <v>304</v>
      </c>
      <c r="J624" s="4" t="n">
        <v>92</v>
      </c>
      <c r="K624" s="5" t="n">
        <v>76.09999999999999</v>
      </c>
      <c r="L624" s="4" t="n">
        <v>54</v>
      </c>
      <c r="M624" s="4" t="n">
        <v>16</v>
      </c>
      <c r="N624" s="5" t="n">
        <v>437.5</v>
      </c>
      <c r="O624" s="3" t="inlineStr">
        <is>
          <t>매매가 이하 저렴한 농가주택입니다</t>
        </is>
      </c>
      <c r="P624" s="6">
        <f>HYPERLINK("https://fin.land.naver.com/articles/2650597094", "매물Link")</f>
        <v/>
      </c>
      <c r="Q624" s="6">
        <f>HYPERLINK("https://map.naver.com/p/search/연서면 기룡리 657-4", "지도Link")</f>
        <v/>
      </c>
      <c r="R624" s="6">
        <f>HYPERLINK("http://www.eum.go.kr/web/ar/lu/luLandDet.jsp?pnu=3611036028106570004&amp;isNoScr=script&amp;mode=search", "토지이음")</f>
        <v/>
      </c>
      <c r="S624" s="3" t="inlineStr">
        <is>
          <t>캠퍼스</t>
        </is>
      </c>
      <c r="T624" s="4" t="n">
        <v>1</v>
      </c>
      <c r="U624" s="5" t="n">
        <v>66.7</v>
      </c>
      <c r="V624" s="4" t="n">
        <v>304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연서면 봉암리 112-30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매매</t>
        </is>
      </c>
      <c r="G625" s="4" t="n">
        <v>107000</v>
      </c>
      <c r="H625" s="4" t="n">
        <v>0</v>
      </c>
      <c r="I625" s="4" t="n">
        <v>420</v>
      </c>
      <c r="J625" s="4" t="n">
        <v>127</v>
      </c>
      <c r="K625" s="5" t="n">
        <v>842.5</v>
      </c>
      <c r="L625" s="4" t="n">
        <v>450</v>
      </c>
      <c r="M625" s="4" t="n">
        <v>136</v>
      </c>
      <c r="N625" s="5" t="n">
        <v>786.8</v>
      </c>
      <c r="O625" s="3" t="inlineStr">
        <is>
          <t>다가구 매매 .위치.방 컨디션 매우좋은 건물</t>
        </is>
      </c>
      <c r="P625" s="6">
        <f>HYPERLINK("https://fin.land.naver.com/articles/2653501155", "매물Link")</f>
        <v/>
      </c>
      <c r="Q625" s="6">
        <f>HYPERLINK("https://map.naver.com/p/search/연서면 봉암리 112-30", "지도Link")</f>
        <v/>
      </c>
      <c r="R625" s="6">
        <f>HYPERLINK("http://www.eum.go.kr/web/ar/lu/luLandDet.jsp?pnu=3611036033101120030&amp;isNoScr=script&amp;mode=search", "토지이음")</f>
        <v/>
      </c>
      <c r="S625" s="3" t="inlineStr">
        <is>
          <t>연서</t>
        </is>
      </c>
      <c r="T625" s="4" t="n">
        <v>1</v>
      </c>
      <c r="U625" s="5" t="n">
        <v>194.8</v>
      </c>
      <c r="V625" s="4" t="n">
        <v>421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세로한면(가)</t>
        </is>
      </c>
    </row>
    <row r="626">
      <c r="A626" s="3" t="inlineStr">
        <is>
          <t>연서면 봉암리 112-30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단독</t>
        </is>
      </c>
      <c r="F626" s="3" t="inlineStr">
        <is>
          <t>매매</t>
        </is>
      </c>
      <c r="G626" s="4" t="n">
        <v>107000</v>
      </c>
      <c r="H626" s="4" t="n">
        <v>0</v>
      </c>
      <c r="I626" s="4" t="n">
        <v>421</v>
      </c>
      <c r="J626" s="4" t="n">
        <v>127</v>
      </c>
      <c r="K626" s="5" t="n">
        <v>842.5</v>
      </c>
      <c r="L626" s="4" t="n">
        <v>450</v>
      </c>
      <c r="M626" s="4" t="n">
        <v>136</v>
      </c>
      <c r="N626" s="5" t="n">
        <v>786.8</v>
      </c>
      <c r="O626" s="3" t="inlineStr">
        <is>
          <t>스마트산업단지 예정 인근 다가구 통매매,중심상권 위치로 투자수익 기대</t>
        </is>
      </c>
      <c r="P626" s="6">
        <f>HYPERLINK("https://fin.land.naver.com/articles/2651024368", "매물Link")</f>
        <v/>
      </c>
      <c r="Q626" s="6">
        <f>HYPERLINK("https://map.naver.com/p/search/연서면 봉암리 112-30", "지도Link")</f>
        <v/>
      </c>
      <c r="R626" s="6">
        <f>HYPERLINK("http://www.eum.go.kr/web/ar/lu/luLandDet.jsp?pnu=3611036033101120030&amp;isNoScr=script&amp;mode=search", "토지이음")</f>
        <v/>
      </c>
      <c r="S626" s="3" t="inlineStr">
        <is>
          <t>연기더조은</t>
        </is>
      </c>
      <c r="T626" s="4" t="n">
        <v>1</v>
      </c>
      <c r="U626" s="5" t="n">
        <v>194.8</v>
      </c>
      <c r="V626" s="4" t="n">
        <v>421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세로한면(가)</t>
        </is>
      </c>
    </row>
    <row r="627">
      <c r="A627" s="3" t="inlineStr">
        <is>
          <t>연서면 봉암리 112-35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매매</t>
        </is>
      </c>
      <c r="G627" s="4" t="n">
        <v>98000</v>
      </c>
      <c r="H627" s="4" t="n">
        <v>0</v>
      </c>
      <c r="I627" s="4" t="n">
        <v>410</v>
      </c>
      <c r="J627" s="4" t="n">
        <v>124</v>
      </c>
      <c r="K627" s="5" t="n">
        <v>790.3</v>
      </c>
      <c r="L627" s="4" t="n">
        <v>487</v>
      </c>
      <c r="M627" s="4" t="n">
        <v>147</v>
      </c>
      <c r="N627" s="5" t="n">
        <v>666.7</v>
      </c>
      <c r="O627" s="3" t="inlineStr">
        <is>
          <t>세종시 투자의 정석 공실 걱정 없는 안정적인 고수익 다가구주택</t>
        </is>
      </c>
      <c r="P627" s="6">
        <f>HYPERLINK("https://fin.land.naver.com/articles/2652498864", "매물Link")</f>
        <v/>
      </c>
      <c r="Q627" s="6">
        <f>HYPERLINK("https://map.naver.com/p/search/연서면 봉암리 112-35", "지도Link")</f>
        <v/>
      </c>
      <c r="R627" s="6">
        <f>HYPERLINK("http://www.eum.go.kr/web/ar/lu/luLandDet.jsp?pnu=3611036033101120035&amp;isNoScr=script&amp;mode=search", "토지이음")</f>
        <v/>
      </c>
      <c r="S627" s="3" t="inlineStr">
        <is>
          <t>엄지척</t>
        </is>
      </c>
      <c r="T627" s="4" t="n">
        <v>1</v>
      </c>
      <c r="U627" s="5" t="n">
        <v>194.8</v>
      </c>
      <c r="V627" s="4" t="n">
        <v>410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세로장방</t>
        </is>
      </c>
      <c r="AA627" s="3" t="inlineStr">
        <is>
          <t>세로한면(가)</t>
        </is>
      </c>
    </row>
    <row r="628">
      <c r="A628" s="3" t="inlineStr">
        <is>
          <t>연서면 봉암리 112-40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200</v>
      </c>
      <c r="H628" s="4" t="n">
        <v>50</v>
      </c>
      <c r="I628" s="4" t="n">
        <v>0</v>
      </c>
      <c r="J628" s="4" t="n">
        <v>0</v>
      </c>
      <c r="K628" s="5" t="n">
        <v>0</v>
      </c>
      <c r="L628" s="4" t="n">
        <v>39</v>
      </c>
      <c r="M628" s="4" t="n">
        <v>12</v>
      </c>
      <c r="N628" s="5" t="n">
        <v>4.2</v>
      </c>
      <c r="O628" s="3" t="inlineStr">
        <is>
          <t>가성비좋은 풀옵션 1,5룸   깔끔한 주방분리  도배완료 즉시입주</t>
        </is>
      </c>
      <c r="P628" s="6">
        <f>HYPERLINK("https://fin.land.naver.com/articles/2654320570", "매물Link")</f>
        <v/>
      </c>
      <c r="Q628" s="6">
        <f>HYPERLINK("https://map.naver.com/p/search/연서면 봉암리 112-40", "지도Link")</f>
        <v/>
      </c>
      <c r="R628" s="6">
        <f>HYPERLINK("http://www.eum.go.kr/web/ar/lu/luLandDet.jsp?pnu=3611036033101120040&amp;isNoScr=script&amp;mode=search", "토지이음")</f>
        <v/>
      </c>
      <c r="S628" s="3" t="inlineStr">
        <is>
          <t>연서으뜸</t>
        </is>
      </c>
      <c r="T628" s="4" t="n">
        <v>1</v>
      </c>
      <c r="U628" s="5" t="n">
        <v>194.8</v>
      </c>
      <c r="V628" s="4" t="n">
        <v>412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연서면 봉암리 215-4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상가주택</t>
        </is>
      </c>
      <c r="F629" s="3" t="inlineStr">
        <is>
          <t>매매</t>
        </is>
      </c>
      <c r="G629" s="4" t="n">
        <v>90000</v>
      </c>
      <c r="H629" s="4" t="n">
        <v>0</v>
      </c>
      <c r="I629" s="4" t="n">
        <v>269</v>
      </c>
      <c r="J629" s="4" t="n">
        <v>81</v>
      </c>
      <c r="K629" s="5" t="n">
        <v>1111.1</v>
      </c>
      <c r="L629" s="4" t="n">
        <v>327</v>
      </c>
      <c r="M629" s="4" t="n">
        <v>99</v>
      </c>
      <c r="N629" s="5" t="n">
        <v>909.1</v>
      </c>
      <c r="O629" s="3" t="inlineStr">
        <is>
          <t>상가,다가구주택 매매</t>
        </is>
      </c>
      <c r="P629" s="6">
        <f>HYPERLINK("https://fin.land.naver.com/articles/2655036255", "매물Link")</f>
        <v/>
      </c>
      <c r="Q629" s="6">
        <f>HYPERLINK("https://map.naver.com/p/search/연서면 봉암리 215-4", "지도Link")</f>
        <v/>
      </c>
      <c r="R629" s="6">
        <f>HYPERLINK("http://www.eum.go.kr/web/ar/lu/luLandDet.jsp?pnu=3611036033102150004&amp;isNoScr=script&amp;mode=search", "토지이음")</f>
        <v/>
      </c>
      <c r="S629" s="3" t="inlineStr">
        <is>
          <t>세종대박</t>
        </is>
      </c>
      <c r="T629" s="4" t="n">
        <v>1</v>
      </c>
      <c r="U629" s="5" t="n">
        <v>321.4</v>
      </c>
      <c r="V629" s="4" t="n">
        <v>269</v>
      </c>
      <c r="W629" s="3" t="inlineStr">
        <is>
          <t>지정되지않음</t>
        </is>
      </c>
      <c r="X629" s="3" t="inlineStr">
        <is>
          <t>주상용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소로한면</t>
        </is>
      </c>
    </row>
    <row r="630">
      <c r="A630" s="3" t="inlineStr">
        <is>
          <t>연서면 봉암리 215-4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3</t>
        </is>
      </c>
      <c r="E630" s="3" t="inlineStr">
        <is>
          <t>다가구</t>
        </is>
      </c>
      <c r="F630" s="3" t="inlineStr">
        <is>
          <t>월세</t>
        </is>
      </c>
      <c r="G630" s="4" t="n">
        <v>500</v>
      </c>
      <c r="H630" s="4" t="n">
        <v>50</v>
      </c>
      <c r="I630" s="4" t="n">
        <v>0</v>
      </c>
      <c r="J630" s="4" t="n">
        <v>0</v>
      </c>
      <c r="K630" s="5" t="n">
        <v>0</v>
      </c>
      <c r="L630" s="4" t="n">
        <v>45</v>
      </c>
      <c r="M630" s="4" t="n">
        <v>14</v>
      </c>
      <c r="N630" s="5" t="n">
        <v>3.6</v>
      </c>
      <c r="O630" s="3" t="inlineStr">
        <is>
          <t>깨끗한 투룸</t>
        </is>
      </c>
      <c r="P630" s="6">
        <f>HYPERLINK("https://fin.land.naver.com/articles/2655032825", "매물Link")</f>
        <v/>
      </c>
      <c r="Q630" s="6">
        <f>HYPERLINK("https://map.naver.com/p/search/연서면 봉암리 215-4", "지도Link")</f>
        <v/>
      </c>
      <c r="R630" s="6">
        <f>HYPERLINK("http://www.eum.go.kr/web/ar/lu/luLandDet.jsp?pnu=3611036033102150004&amp;isNoScr=script&amp;mode=search", "토지이음")</f>
        <v/>
      </c>
      <c r="S630" s="3" t="inlineStr">
        <is>
          <t>세종대박</t>
        </is>
      </c>
      <c r="T630" s="4" t="n">
        <v>1</v>
      </c>
      <c r="U630" s="5" t="n">
        <v>321.4</v>
      </c>
      <c r="V630" s="4" t="n">
        <v>269</v>
      </c>
      <c r="W630" s="3" t="inlineStr">
        <is>
          <t>지정되지않음</t>
        </is>
      </c>
      <c r="X630" s="3" t="inlineStr">
        <is>
          <t>주상용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소로한면</t>
        </is>
      </c>
    </row>
    <row r="631">
      <c r="A631" s="3" t="inlineStr">
        <is>
          <t>연서면 봉암리 217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0</v>
      </c>
      <c r="J631" s="4" t="n">
        <v>0</v>
      </c>
      <c r="K631" s="5" t="n">
        <v>0</v>
      </c>
      <c r="L631" s="4" t="n">
        <v>23</v>
      </c>
      <c r="M631" s="4" t="n">
        <v>7</v>
      </c>
      <c r="N631" s="5" t="n">
        <v>4.3</v>
      </c>
      <c r="O631" s="3" t="inlineStr">
        <is>
          <t>nan</t>
        </is>
      </c>
      <c r="P631" s="6">
        <f>HYPERLINK("https://fin.land.naver.com/articles/2653013969", "매물Link")</f>
        <v/>
      </c>
      <c r="Q631" s="6">
        <f>HYPERLINK("https://map.naver.com/p/search/연서면 봉암리 217", "지도Link")</f>
        <v/>
      </c>
      <c r="R631" s="6">
        <f>HYPERLINK("http://www.eum.go.kr/web/ar/lu/luLandDet.jsp?pnu=3611036033102170000&amp;isNoScr=script&amp;mode=search", "토지이음")</f>
        <v/>
      </c>
      <c r="S631" s="3" t="inlineStr">
        <is>
          <t>엄지척</t>
        </is>
      </c>
      <c r="T631" s="4" t="n">
        <v>1</v>
      </c>
      <c r="U631" s="5" t="n">
        <v>172.4</v>
      </c>
      <c r="V631" s="4" t="n">
        <v>366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봉암리 217-16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단독</t>
        </is>
      </c>
      <c r="F632" s="3" t="inlineStr">
        <is>
          <t>매매</t>
        </is>
      </c>
      <c r="G632" s="4" t="n">
        <v>85000</v>
      </c>
      <c r="H632" s="4" t="n">
        <v>0</v>
      </c>
      <c r="I632" s="4" t="n">
        <v>372</v>
      </c>
      <c r="J632" s="4" t="n">
        <v>113</v>
      </c>
      <c r="K632" s="5" t="n">
        <v>752.2</v>
      </c>
      <c r="L632" s="4" t="n">
        <v>483</v>
      </c>
      <c r="M632" s="4" t="n">
        <v>146</v>
      </c>
      <c r="N632" s="5" t="n">
        <v>582.2</v>
      </c>
      <c r="O632" s="3" t="inlineStr">
        <is>
          <t>스마트산업단지 예정 인근 다가구 통매매,중심상권 위치로 투자수익 기대</t>
        </is>
      </c>
      <c r="P632" s="6">
        <f>HYPERLINK("https://fin.land.naver.com/articles/2651025375", "매물Link")</f>
        <v/>
      </c>
      <c r="Q632" s="6">
        <f>HYPERLINK("https://map.naver.com/p/search/연서면 봉암리 217-16", "지도Link")</f>
        <v/>
      </c>
      <c r="R632" s="6">
        <f>HYPERLINK("http://www.eum.go.kr/web/ar/lu/luLandDet.jsp?pnu=3611036033102170016&amp;isNoScr=script&amp;mode=search", "토지이음")</f>
        <v/>
      </c>
      <c r="S632" s="3" t="inlineStr">
        <is>
          <t>연기더조은</t>
        </is>
      </c>
      <c r="T632" s="4" t="n">
        <v>1</v>
      </c>
      <c r="U632" s="5" t="n">
        <v>172.4</v>
      </c>
      <c r="V632" s="4" t="n">
        <v>372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봉암리 234-36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월세</t>
        </is>
      </c>
      <c r="G633" s="4" t="n">
        <v>300</v>
      </c>
      <c r="H633" s="4" t="n">
        <v>34</v>
      </c>
      <c r="I633" s="4" t="n">
        <v>179</v>
      </c>
      <c r="J633" s="4" t="n">
        <v>54</v>
      </c>
      <c r="K633" s="5" t="n">
        <v>0.6</v>
      </c>
      <c r="L633" s="4" t="n">
        <v>33</v>
      </c>
      <c r="M633" s="4" t="n">
        <v>10</v>
      </c>
      <c r="N633" s="5" t="n">
        <v>3.4</v>
      </c>
      <c r="O633" s="3" t="inlineStr">
        <is>
          <t>인기매물  깔끔한 풀옵션방  정류장 1분  나성동 10분  산울동  5분</t>
        </is>
      </c>
      <c r="P633" s="6">
        <f>HYPERLINK("https://fin.land.naver.com/articles/2655070150", "매물Link")</f>
        <v/>
      </c>
      <c r="Q633" s="6">
        <f>HYPERLINK("https://map.naver.com/p/search/연서면 봉암리 234-36", "지도Link")</f>
        <v/>
      </c>
      <c r="R633" s="6">
        <f>HYPERLINK("http://www.eum.go.kr/web/ar/lu/luLandDet.jsp?pnu=3611036033102340036&amp;isNoScr=script&amp;mode=search", "토지이음")</f>
        <v/>
      </c>
      <c r="S633" s="3" t="inlineStr">
        <is>
          <t>연서으뜸</t>
        </is>
      </c>
      <c r="T633" s="4" t="n">
        <v>1</v>
      </c>
      <c r="U633" s="5" t="n">
        <v>172.4</v>
      </c>
      <c r="V633" s="4" t="n">
        <v>363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봉암리 234-37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일반원룸</t>
        </is>
      </c>
      <c r="F634" s="3" t="inlineStr">
        <is>
          <t>월세</t>
        </is>
      </c>
      <c r="G634" s="4" t="n">
        <v>300</v>
      </c>
      <c r="H634" s="4" t="n">
        <v>45</v>
      </c>
      <c r="I634" s="4" t="n">
        <v>0</v>
      </c>
      <c r="J634" s="4" t="n">
        <v>0</v>
      </c>
      <c r="K634" s="5" t="n">
        <v>0</v>
      </c>
      <c r="L634" s="4" t="n">
        <v>36</v>
      </c>
      <c r="M634" s="4" t="n">
        <v>11</v>
      </c>
      <c r="N634" s="5" t="n">
        <v>4.1</v>
      </c>
      <c r="O634" s="3" t="inlineStr">
        <is>
          <t>인기좋은  풀옵션완비 1.5룸   깔끔한 주방분리  주차편함 해밀동 5분</t>
        </is>
      </c>
      <c r="P634" s="6">
        <f>HYPERLINK("https://fin.land.naver.com/articles/2655658073", "매물Link")</f>
        <v/>
      </c>
      <c r="Q634" s="6">
        <f>HYPERLINK("https://map.naver.com/p/search/연서면 봉암리 234-37", "지도Link")</f>
        <v/>
      </c>
      <c r="R634" s="6">
        <f>HYPERLINK("http://www.eum.go.kr/web/ar/lu/luLandDet.jsp?pnu=3611036033102340037&amp;isNoScr=script&amp;mode=search", "토지이음")</f>
        <v/>
      </c>
      <c r="S634" s="3" t="inlineStr">
        <is>
          <t>연서으뜸</t>
        </is>
      </c>
      <c r="T634" s="4" t="n">
        <v>1</v>
      </c>
      <c r="U634" s="5" t="n">
        <v>172.4</v>
      </c>
      <c r="V634" s="4" t="n">
        <v>356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정방형</t>
        </is>
      </c>
      <c r="AA634" s="3" t="inlineStr">
        <is>
          <t>세로한면(가)</t>
        </is>
      </c>
    </row>
    <row r="635">
      <c r="A635" s="3" t="inlineStr">
        <is>
          <t>연서면 봉암리 391-1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연립</t>
        </is>
      </c>
      <c r="F635" s="3" t="inlineStr">
        <is>
          <t>매매</t>
        </is>
      </c>
      <c r="G635" s="4" t="n">
        <v>8500</v>
      </c>
      <c r="H635" s="4" t="n">
        <v>0</v>
      </c>
      <c r="I635" s="4" t="n">
        <v>89</v>
      </c>
      <c r="J635" s="4" t="n">
        <v>27</v>
      </c>
      <c r="K635" s="5" t="n">
        <v>314.8</v>
      </c>
      <c r="L635" s="4" t="n">
        <v>82</v>
      </c>
      <c r="M635" s="4" t="n">
        <v>25</v>
      </c>
      <c r="N635" s="5" t="n">
        <v>340</v>
      </c>
      <c r="O635" s="3" t="inlineStr">
        <is>
          <t>6생활권과 8차선 확장된 1번국도와 근접.  BRT도로가 생겨 교통이 편</t>
        </is>
      </c>
      <c r="P635" s="6">
        <f>HYPERLINK("https://fin.land.naver.com/articles/2650807841", "매물Link")</f>
        <v/>
      </c>
      <c r="Q635" s="6">
        <f>HYPERLINK("https://map.naver.com/p/search/연서면 봉암리 391-1", "지도Link")</f>
        <v/>
      </c>
      <c r="R635" s="6">
        <f>HYPERLINK("http://www.eum.go.kr/web/ar/lu/luLandDet.jsp?pnu=3611036033103910001&amp;isNoScr=script&amp;mode=search", "토지이음")</f>
        <v/>
      </c>
      <c r="S635" s="3" t="inlineStr">
        <is>
          <t>꿈드림</t>
        </is>
      </c>
      <c r="T635" s="4" t="n">
        <v>1</v>
      </c>
      <c r="U635" s="5" t="n">
        <v>127.9</v>
      </c>
      <c r="V635" s="4" t="n">
        <v>410</v>
      </c>
      <c r="W635" s="3" t="inlineStr">
        <is>
          <t>농림지역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427-3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33000</v>
      </c>
      <c r="H636" s="4" t="n">
        <v>0</v>
      </c>
      <c r="I636" s="4" t="n">
        <v>420</v>
      </c>
      <c r="J636" s="4" t="n">
        <v>127</v>
      </c>
      <c r="K636" s="5" t="n">
        <v>259.8</v>
      </c>
      <c r="L636" s="4" t="n">
        <v>82</v>
      </c>
      <c r="M636" s="4" t="n">
        <v>25</v>
      </c>
      <c r="N636" s="5" t="n">
        <v>1320</v>
      </c>
      <c r="O636" s="3" t="inlineStr">
        <is>
          <t>계획관리 대지,세종시 단독주택,수도,전기,보일러,6생활권,1번국도 등.</t>
        </is>
      </c>
      <c r="P636" s="6">
        <f>HYPERLINK("https://fin.land.naver.com/articles/2654229309", "매물Link")</f>
        <v/>
      </c>
      <c r="Q636" s="6">
        <f>HYPERLINK("https://map.naver.com/p/search/연서면 봉암리 427-3", "지도Link")</f>
        <v/>
      </c>
      <c r="R636" s="6">
        <f>HYPERLINK("http://www.eum.go.kr/web/ar/lu/luLandDet.jsp?pnu=3611036033104270003&amp;isNoScr=script&amp;mode=search", "토지이음")</f>
        <v/>
      </c>
      <c r="S636" s="3" t="inlineStr">
        <is>
          <t>열린자이</t>
        </is>
      </c>
      <c r="T636" s="4" t="n">
        <v>1</v>
      </c>
      <c r="U636" s="5" t="n">
        <v>134</v>
      </c>
      <c r="V636" s="4" t="n">
        <v>343.4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54-16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42</v>
      </c>
      <c r="I637" s="4" t="n">
        <v>152</v>
      </c>
      <c r="J637" s="4" t="n">
        <v>46</v>
      </c>
      <c r="K637" s="5" t="n">
        <v>0.9</v>
      </c>
      <c r="L637" s="4" t="n">
        <v>39</v>
      </c>
      <c r="M637" s="4" t="n">
        <v>12</v>
      </c>
      <c r="N637" s="5" t="n">
        <v>3.5</v>
      </c>
      <c r="O637" s="3" t="inlineStr">
        <is>
          <t>인기좋은  풀옵션완비방  주방분리형  편의점 1분 정류장 1분  바로입주</t>
        </is>
      </c>
      <c r="P637" s="6">
        <f>HYPERLINK("https://fin.land.naver.com/articles/2653642315", "매물Link")</f>
        <v/>
      </c>
      <c r="Q637" s="6">
        <f>HYPERLINK("https://map.naver.com/p/search/연서면 봉암리 54-16", "지도Link")</f>
        <v/>
      </c>
      <c r="R637" s="6">
        <f>HYPERLINK("http://www.eum.go.kr/web/ar/lu/luLandDet.jsp?pnu=3611036033100540016&amp;isNoScr=script&amp;mode=search", "토지이음")</f>
        <v/>
      </c>
      <c r="S637" s="3" t="inlineStr">
        <is>
          <t>연서으뜸</t>
        </is>
      </c>
      <c r="T637" s="4" t="n">
        <v>1</v>
      </c>
      <c r="U637" s="5" t="n">
        <v>214.5</v>
      </c>
      <c r="V637" s="4" t="n">
        <v>350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소로한면</t>
        </is>
      </c>
    </row>
    <row r="638">
      <c r="A638" s="3" t="inlineStr">
        <is>
          <t>연서면 봉암리 54-45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18500</v>
      </c>
      <c r="H638" s="4" t="n">
        <v>0</v>
      </c>
      <c r="I638" s="4" t="n">
        <v>175</v>
      </c>
      <c r="J638" s="4" t="n">
        <v>53</v>
      </c>
      <c r="K638" s="5" t="n">
        <v>349.1</v>
      </c>
      <c r="L638" s="4" t="n">
        <v>67</v>
      </c>
      <c r="M638" s="4" t="n">
        <v>20</v>
      </c>
      <c r="N638" s="5" t="n">
        <v>925</v>
      </c>
      <c r="O638" s="3" t="inlineStr">
        <is>
          <t>nan</t>
        </is>
      </c>
      <c r="P638" s="6">
        <f>HYPERLINK("https://fin.land.naver.com/articles/2653949069", "매물Link")</f>
        <v/>
      </c>
      <c r="Q638" s="6">
        <f>HYPERLINK("https://map.naver.com/p/search/연서면 봉암리 54-45", "지도Link")</f>
        <v/>
      </c>
      <c r="R638" s="6">
        <f>HYPERLINK("http://www.eum.go.kr/web/ar/lu/luLandDet.jsp?pnu=3611036033100540045&amp;isNoScr=script&amp;mode=search", "토지이음")</f>
        <v/>
      </c>
      <c r="S638" s="3" t="inlineStr">
        <is>
          <t>KB세종</t>
        </is>
      </c>
      <c r="T638" s="4" t="n">
        <v>1</v>
      </c>
      <c r="U638" s="5" t="n">
        <v>116.1</v>
      </c>
      <c r="V638" s="4" t="n">
        <v>175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연서면 봉암리 54-80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200</v>
      </c>
      <c r="H639" s="4" t="n">
        <v>32</v>
      </c>
      <c r="I639" s="4" t="n">
        <v>0</v>
      </c>
      <c r="J639" s="4" t="n">
        <v>0</v>
      </c>
      <c r="K639" s="5" t="n">
        <v>0</v>
      </c>
      <c r="L639" s="4" t="n">
        <v>24</v>
      </c>
      <c r="M639" s="4" t="n">
        <v>7</v>
      </c>
      <c r="N639" s="5" t="n">
        <v>4.6</v>
      </c>
      <c r="O639" s="3" t="inlineStr">
        <is>
          <t>인기좋은  풀옵션완비방   깔끔한 주거공간   바로입주  주차편함</t>
        </is>
      </c>
      <c r="P639" s="6">
        <f>HYPERLINK("https://fin.land.naver.com/articles/2655091903", "매물Link")</f>
        <v/>
      </c>
      <c r="Q639" s="6">
        <f>HYPERLINK("https://map.naver.com/p/search/연서면 봉암리 54-80", "지도Link")</f>
        <v/>
      </c>
      <c r="R639" s="6">
        <f>HYPERLINK("http://www.eum.go.kr/web/ar/lu/luLandDet.jsp?pnu=3611036033100540080&amp;isNoScr=script&amp;mode=search", "토지이음")</f>
        <v/>
      </c>
      <c r="S639" s="3" t="inlineStr">
        <is>
          <t>연서으뜸</t>
        </is>
      </c>
      <c r="T639" s="4" t="n">
        <v>1</v>
      </c>
      <c r="U639" s="5" t="n">
        <v>196.8</v>
      </c>
      <c r="V639" s="4" t="n">
        <v>336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54-85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31</v>
      </c>
      <c r="I640" s="4" t="n">
        <v>152</v>
      </c>
      <c r="J640" s="4" t="n">
        <v>46</v>
      </c>
      <c r="K640" s="5" t="n">
        <v>0.7</v>
      </c>
      <c r="L640" s="4" t="n">
        <v>25</v>
      </c>
      <c r="M640" s="4" t="n">
        <v>8</v>
      </c>
      <c r="N640" s="5" t="n">
        <v>3.9</v>
      </c>
      <c r="O640" s="3" t="inlineStr">
        <is>
          <t>인기좋은  풀옵션방  깔끔한 주방분리형  짐만가져오세요  바로입주</t>
        </is>
      </c>
      <c r="P640" s="6">
        <f>HYPERLINK("https://fin.land.naver.com/articles/2654732799", "매물Link")</f>
        <v/>
      </c>
      <c r="Q640" s="6">
        <f>HYPERLINK("https://map.naver.com/p/search/연서면 봉암리 54-85", "지도Link")</f>
        <v/>
      </c>
      <c r="R640" s="6">
        <f>HYPERLINK("http://www.eum.go.kr/web/ar/lu/luLandDet.jsp?pnu=3611036033100540085&amp;isNoScr=script&amp;mode=search",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196.8</v>
      </c>
      <c r="V640" s="4" t="n">
        <v>333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54-89</t>
        </is>
      </c>
      <c r="B641" s="3" t="inlineStr">
        <is>
          <t>계획관리지역</t>
        </is>
      </c>
      <c r="C641" s="3" t="inlineStr">
        <is>
          <t>임야</t>
        </is>
      </c>
      <c r="D641" s="3" t="inlineStr">
        <is>
          <t>4</t>
        </is>
      </c>
      <c r="E641" s="3" t="inlineStr">
        <is>
          <t>다가구</t>
        </is>
      </c>
      <c r="F641" s="3" t="inlineStr">
        <is>
          <t>매매</t>
        </is>
      </c>
      <c r="G641" s="4" t="n">
        <v>100000</v>
      </c>
      <c r="H641" s="4" t="n">
        <v>0</v>
      </c>
      <c r="I641" s="4" t="n">
        <v>359</v>
      </c>
      <c r="J641" s="4" t="n">
        <v>109</v>
      </c>
      <c r="K641" s="5" t="n">
        <v>917.4</v>
      </c>
      <c r="L641" s="4" t="n">
        <v>490</v>
      </c>
      <c r="M641" s="4" t="n">
        <v>148</v>
      </c>
      <c r="N641" s="5" t="n">
        <v>675.7</v>
      </c>
      <c r="O641" s="3" t="inlineStr">
        <is>
          <t>세종시 인접  19실  수익형 다가구매매</t>
        </is>
      </c>
      <c r="P641" s="6">
        <f>HYPERLINK("https://fin.land.naver.com/articles/2653501119", "매물Link")</f>
        <v/>
      </c>
      <c r="Q641" s="6">
        <f>HYPERLINK("https://map.naver.com/p/search/연서면 봉암리 54-89", "지도Link")</f>
        <v/>
      </c>
      <c r="R641" s="6">
        <f>HYPERLINK("http://www.eum.go.kr/web/ar/lu/luLandDet.jsp?pnu=3611036033100540089&amp;isNoScr=script&amp;mode=search", "토지이음")</f>
        <v/>
      </c>
      <c r="S641" s="3" t="inlineStr">
        <is>
          <t>연서</t>
        </is>
      </c>
      <c r="T641" s="4" t="n">
        <v>1</v>
      </c>
      <c r="U641" s="5" t="n">
        <v>196.8</v>
      </c>
      <c r="V641" s="4" t="n">
        <v>360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54-89</t>
        </is>
      </c>
      <c r="B642" s="3" t="inlineStr">
        <is>
          <t>계획관리지역</t>
        </is>
      </c>
      <c r="C642" s="3" t="inlineStr">
        <is>
          <t>임야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매매</t>
        </is>
      </c>
      <c r="G642" s="4" t="n">
        <v>100000</v>
      </c>
      <c r="H642" s="4" t="n">
        <v>0</v>
      </c>
      <c r="I642" s="4" t="n">
        <v>360</v>
      </c>
      <c r="J642" s="4" t="n">
        <v>109</v>
      </c>
      <c r="K642" s="5" t="n">
        <v>917.4</v>
      </c>
      <c r="L642" s="4" t="n">
        <v>490</v>
      </c>
      <c r="M642" s="4" t="n">
        <v>148</v>
      </c>
      <c r="N642" s="5" t="n">
        <v>675.7</v>
      </c>
      <c r="O642" s="3" t="inlineStr">
        <is>
          <t>nan</t>
        </is>
      </c>
      <c r="P642" s="6">
        <f>HYPERLINK("https://fin.land.naver.com/articles/2652499431", "매물Link")</f>
        <v/>
      </c>
      <c r="Q642" s="6">
        <f>HYPERLINK("https://map.naver.com/p/search/연서면 봉암리 54-89", "지도Link")</f>
        <v/>
      </c>
      <c r="R642" s="6">
        <f>HYPERLINK("http://www.eum.go.kr/web/ar/lu/luLandDet.jsp?pnu=3611036033100540089&amp;isNoScr=script&amp;mode=search",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196.8</v>
      </c>
      <c r="V642" s="4" t="n">
        <v>360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연서면 봉암리 557-2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30000</v>
      </c>
      <c r="H643" s="4" t="n">
        <v>0</v>
      </c>
      <c r="I643" s="4" t="n">
        <v>244</v>
      </c>
      <c r="J643" s="4" t="n">
        <v>74</v>
      </c>
      <c r="K643" s="5" t="n">
        <v>405.4</v>
      </c>
      <c r="L643" s="4" t="n">
        <v>84</v>
      </c>
      <c r="M643" s="4" t="n">
        <v>25</v>
      </c>
      <c r="N643" s="5" t="n">
        <v>1200</v>
      </c>
      <c r="O643" s="3" t="inlineStr">
        <is>
          <t>세종시 중심지역 스마산단 등 입주시 급부상 지역</t>
        </is>
      </c>
      <c r="P643" s="6">
        <f>HYPERLINK("https://fin.land.naver.com/articles/2653340050", "매물Link")</f>
        <v/>
      </c>
      <c r="Q643" s="6">
        <f>HYPERLINK("https://map.naver.com/p/search/연서면 봉암리 557-2", "지도Link")</f>
        <v/>
      </c>
      <c r="R643" s="6">
        <f>HYPERLINK("http://www.eum.go.kr/web/ar/lu/luLandDet.jsp?pnu=3611036033105570002&amp;isNoScr=script&amp;mode=search", "토지이음")</f>
        <v/>
      </c>
      <c r="S643" s="3" t="inlineStr">
        <is>
          <t>상상</t>
        </is>
      </c>
      <c r="T643" s="4" t="n">
        <v>1</v>
      </c>
      <c r="U643" s="5" t="n">
        <v>199.6</v>
      </c>
      <c r="V643" s="4" t="n">
        <v>244.3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정방형</t>
        </is>
      </c>
      <c r="AA643" s="3" t="inlineStr">
        <is>
          <t>세로한면(가)</t>
        </is>
      </c>
    </row>
    <row r="644">
      <c r="A644" s="3" t="inlineStr">
        <is>
          <t>연서면 봉암리 58-3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다가구</t>
        </is>
      </c>
      <c r="F644" s="3" t="inlineStr">
        <is>
          <t>단기임대</t>
        </is>
      </c>
      <c r="G644" s="4" t="n">
        <v>200</v>
      </c>
      <c r="H644" s="4" t="n">
        <v>50</v>
      </c>
      <c r="I644" s="4" t="n">
        <v>139</v>
      </c>
      <c r="J644" s="4" t="n">
        <v>42</v>
      </c>
      <c r="K644" s="5" t="n">
        <v>4.8</v>
      </c>
      <c r="L644" s="4" t="n">
        <v>39</v>
      </c>
      <c r="M644" s="4" t="n">
        <v>12</v>
      </c>
      <c r="N644" s="5" t="n">
        <v>16.7</v>
      </c>
      <c r="O644" s="3" t="inlineStr">
        <is>
          <t>nan</t>
        </is>
      </c>
      <c r="P644" s="6">
        <f>HYPERLINK("https://fin.land.naver.com/articles/2654182716", "매물Link")</f>
        <v/>
      </c>
      <c r="Q644" s="6">
        <f>HYPERLINK("https://map.naver.com/p/search/연서면 봉암리 58-3", "지도Link")</f>
        <v/>
      </c>
      <c r="R644" s="6">
        <f>HYPERLINK("http://www.eum.go.kr/web/ar/lu/luLandDet.jsp?pnu=3611036033100580003&amp;isNoScr=script&amp;mode=search", "토지이음")</f>
        <v/>
      </c>
      <c r="S644" s="3" t="inlineStr">
        <is>
          <t>동서남북</t>
        </is>
      </c>
      <c r="T644" s="4" t="n">
        <v>1</v>
      </c>
      <c r="U644" s="5" t="n">
        <v>196.8</v>
      </c>
      <c r="V644" s="4" t="n">
        <v>434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세로장방</t>
        </is>
      </c>
      <c r="AA644" s="3" t="inlineStr">
        <is>
          <t>세로한면(가)</t>
        </is>
      </c>
    </row>
    <row r="645">
      <c r="A645" s="3" t="inlineStr">
        <is>
          <t>연서면 봉암리 58-3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4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45</v>
      </c>
      <c r="I645" s="4" t="n">
        <v>139</v>
      </c>
      <c r="J645" s="4" t="n">
        <v>42</v>
      </c>
      <c r="K645" s="5" t="n">
        <v>1.1</v>
      </c>
      <c r="L645" s="4" t="n">
        <v>39</v>
      </c>
      <c r="M645" s="4" t="n">
        <v>12</v>
      </c>
      <c r="N645" s="5" t="n">
        <v>3.8</v>
      </c>
      <c r="O645" s="3" t="inlineStr">
        <is>
          <t>즉시,방1개 거실별도, 3달6달은 50만원 ,도시가스,도배중입니다.</t>
        </is>
      </c>
      <c r="P645" s="6">
        <f>HYPERLINK("https://fin.land.naver.com/articles/2654188593", "매물Link")</f>
        <v/>
      </c>
      <c r="Q645" s="6">
        <f>HYPERLINK("https://map.naver.com/p/search/연서면 봉암리 58-3", "지도Link")</f>
        <v/>
      </c>
      <c r="R645" s="6">
        <f>HYPERLINK("http://www.eum.go.kr/web/ar/lu/luLandDet.jsp?pnu=3611036033100580003&amp;isNoScr=script&amp;mode=search", "토지이음")</f>
        <v/>
      </c>
      <c r="S645" s="3" t="inlineStr">
        <is>
          <t>동서남북</t>
        </is>
      </c>
      <c r="T645" s="4" t="n">
        <v>1</v>
      </c>
      <c r="U645" s="5" t="n">
        <v>196.8</v>
      </c>
      <c r="V645" s="4" t="n">
        <v>434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세로장방</t>
        </is>
      </c>
      <c r="AA645" s="3" t="inlineStr">
        <is>
          <t>세로한면(가)</t>
        </is>
      </c>
    </row>
    <row r="646">
      <c r="A646" s="3" t="inlineStr">
        <is>
          <t>연서면 봉암리 58-3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단기임대</t>
        </is>
      </c>
      <c r="G646" s="4" t="n">
        <v>200</v>
      </c>
      <c r="H646" s="4" t="n">
        <v>50</v>
      </c>
      <c r="I646" s="4" t="n">
        <v>139</v>
      </c>
      <c r="J646" s="4" t="n">
        <v>42</v>
      </c>
      <c r="K646" s="5" t="n">
        <v>4.8</v>
      </c>
      <c r="L646" s="4" t="n">
        <v>39</v>
      </c>
      <c r="M646" s="4" t="n">
        <v>12</v>
      </c>
      <c r="N646" s="5" t="n">
        <v>16.7</v>
      </c>
      <c r="O646" s="3" t="inlineStr">
        <is>
          <t>즉시,방1개 거실별도, 3달6달은 50만원 ,도시가스,도배중입니다.</t>
        </is>
      </c>
      <c r="P646" s="6">
        <f>HYPERLINK("https://fin.land.naver.com/articles/2654189890", "매물Link")</f>
        <v/>
      </c>
      <c r="Q646" s="6">
        <f>HYPERLINK("https://map.naver.com/p/search/연서면 봉암리 58-3", "지도Link")</f>
        <v/>
      </c>
      <c r="R646" s="6">
        <f>HYPERLINK("http://www.eum.go.kr/web/ar/lu/luLandDet.jsp?pnu=3611036033100580003&amp;isNoScr=script&amp;mode=search", "토지이음")</f>
        <v/>
      </c>
      <c r="S646" s="3" t="inlineStr">
        <is>
          <t>동서남북</t>
        </is>
      </c>
      <c r="T646" s="4" t="n">
        <v>1</v>
      </c>
      <c r="U646" s="5" t="n">
        <v>196.8</v>
      </c>
      <c r="V646" s="4" t="n">
        <v>434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58-3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월세</t>
        </is>
      </c>
      <c r="G647" s="4" t="n">
        <v>200</v>
      </c>
      <c r="H647" s="4" t="n">
        <v>45</v>
      </c>
      <c r="I647" s="4" t="n">
        <v>139</v>
      </c>
      <c r="J647" s="4" t="n">
        <v>42</v>
      </c>
      <c r="K647" s="5" t="n">
        <v>1.1</v>
      </c>
      <c r="L647" s="4" t="n">
        <v>39</v>
      </c>
      <c r="M647" s="4" t="n">
        <v>12</v>
      </c>
      <c r="N647" s="5" t="n">
        <v>3.8</v>
      </c>
      <c r="O647" s="3" t="inlineStr">
        <is>
          <t>nan</t>
        </is>
      </c>
      <c r="P647" s="6">
        <f>HYPERLINK("https://fin.land.naver.com/articles/2654181426", "매물Link")</f>
        <v/>
      </c>
      <c r="Q647" s="6">
        <f>HYPERLINK("https://map.naver.com/p/search/연서면 봉암리 58-3", "지도Link")</f>
        <v/>
      </c>
      <c r="R647" s="6">
        <f>HYPERLINK("http://www.eum.go.kr/web/ar/lu/luLandDet.jsp?pnu=3611036033100580003&amp;isNoScr=script&amp;mode=search", "토지이음")</f>
        <v/>
      </c>
      <c r="S647" s="3" t="inlineStr">
        <is>
          <t>동서남북</t>
        </is>
      </c>
      <c r="T647" s="4" t="n">
        <v>1</v>
      </c>
      <c r="U647" s="5" t="n">
        <v>196.8</v>
      </c>
      <c r="V647" s="4" t="n">
        <v>434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세로장방</t>
        </is>
      </c>
      <c r="AA647" s="3" t="inlineStr">
        <is>
          <t>세로한면(가)</t>
        </is>
      </c>
    </row>
    <row r="648">
      <c r="A648" s="3" t="inlineStr">
        <is>
          <t>연서면 봉암리 58-4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435</v>
      </c>
      <c r="J648" s="4" t="n">
        <v>132</v>
      </c>
      <c r="K648" s="5" t="n">
        <v>757.6</v>
      </c>
      <c r="L648" s="4" t="n">
        <v>434</v>
      </c>
      <c r="M648" s="4" t="n">
        <v>131</v>
      </c>
      <c r="N648" s="5" t="n">
        <v>763.4</v>
      </c>
      <c r="O648" s="3" t="inlineStr">
        <is>
          <t>nan</t>
        </is>
      </c>
      <c r="P648" s="6">
        <f>HYPERLINK("https://fin.land.naver.com/articles/2651371076", "매물Link")</f>
        <v/>
      </c>
      <c r="Q648" s="6">
        <f>HYPERLINK("https://map.naver.com/p/search/연서면 봉암리 58-4", "지도Link")</f>
        <v/>
      </c>
      <c r="R648" s="6">
        <f>HYPERLINK("http://www.eum.go.kr/web/ar/lu/luLandDet.jsp?pnu=3611036033100580004&amp;isNoScr=script&amp;mode=search", "토지이음")</f>
        <v/>
      </c>
      <c r="S648" s="3" t="inlineStr">
        <is>
          <t>동서남북</t>
        </is>
      </c>
      <c r="T648" s="4" t="n">
        <v>1</v>
      </c>
      <c r="U648" s="5" t="n">
        <v>196.8</v>
      </c>
      <c r="V648" s="4" t="n">
        <v>435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세로장방</t>
        </is>
      </c>
      <c r="AA648" s="3" t="inlineStr">
        <is>
          <t>세로한면(가)</t>
        </is>
      </c>
    </row>
    <row r="649">
      <c r="A649" s="3" t="inlineStr">
        <is>
          <t>연서면 봉암리 598-4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3</t>
        </is>
      </c>
      <c r="E649" s="3" t="inlineStr">
        <is>
          <t>일반원룸</t>
        </is>
      </c>
      <c r="F649" s="3" t="inlineStr">
        <is>
          <t>단기임대</t>
        </is>
      </c>
      <c r="G649" s="4" t="n">
        <v>100</v>
      </c>
      <c r="H649" s="4" t="n">
        <v>30</v>
      </c>
      <c r="I649" s="4" t="n">
        <v>0</v>
      </c>
      <c r="J649" s="4" t="n">
        <v>0</v>
      </c>
      <c r="K649" s="5" t="n">
        <v>0</v>
      </c>
      <c r="L649" s="4" t="n">
        <v>26</v>
      </c>
      <c r="M649" s="4" t="n">
        <v>8</v>
      </c>
      <c r="N649" s="5" t="n">
        <v>12.5</v>
      </c>
      <c r="O649" s="3" t="inlineStr">
        <is>
          <t>큰방 현장숙소 단기가능 세종 부강 오송 근접</t>
        </is>
      </c>
      <c r="P649" s="6">
        <f>HYPERLINK("https://fin.land.naver.com/articles/2653034901", "매물Link")</f>
        <v/>
      </c>
      <c r="Q649" s="6">
        <f>HYPERLINK("https://map.naver.com/p/search/연서면 봉암리 598-4", "지도Link")</f>
        <v/>
      </c>
      <c r="R649" s="6">
        <f>HYPERLINK("http://www.eum.go.kr/web/ar/lu/luLandDet.jsp?pnu=3611036033105980004&amp;isNoScr=script&amp;mode=search", "토지이음")</f>
        <v/>
      </c>
      <c r="S649" s="3" t="inlineStr">
        <is>
          <t>엄지척</t>
        </is>
      </c>
      <c r="T649" s="4" t="n">
        <v>1</v>
      </c>
      <c r="U649" s="5" t="n">
        <v>199.6</v>
      </c>
      <c r="V649" s="4" t="n">
        <v>353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620-26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235</v>
      </c>
      <c r="J650" s="4" t="n">
        <v>71</v>
      </c>
      <c r="K650" s="5" t="n">
        <v>352.1</v>
      </c>
      <c r="L650" s="4" t="n">
        <v>74</v>
      </c>
      <c r="M650" s="4" t="n">
        <v>22</v>
      </c>
      <c r="N650" s="5" t="n">
        <v>1136.4</v>
      </c>
      <c r="O650" s="3" t="inlineStr">
        <is>
          <t>단독 주택 급매임. 세종시 가장 중심 지역으로 8차선 1번국도옆,</t>
        </is>
      </c>
      <c r="P650" s="6">
        <f>HYPERLINK("https://fin.land.naver.com/articles/2655416627", "매물Link")</f>
        <v/>
      </c>
      <c r="Q650" s="6">
        <f>HYPERLINK("https://map.naver.com/p/search/연서면 봉암리 620-26", "지도Link")</f>
        <v/>
      </c>
      <c r="R650" s="6">
        <f>HYPERLINK("http://www.eum.go.kr/web/ar/lu/luLandDet.jsp?pnu=3611036033106200026&amp;isNoScr=script&amp;mode=search", "토지이음")</f>
        <v/>
      </c>
      <c r="S650" s="3" t="inlineStr">
        <is>
          <t>꿈드림</t>
        </is>
      </c>
      <c r="T650" s="4" t="n">
        <v>1</v>
      </c>
      <c r="U650" s="5" t="n">
        <v>116.7</v>
      </c>
      <c r="V650" s="4" t="n">
        <v>136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세로한면(불)</t>
        </is>
      </c>
    </row>
    <row r="651">
      <c r="A651" s="3" t="inlineStr">
        <is>
          <t>연서면 봉암리 677-2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400000</v>
      </c>
      <c r="H651" s="4" t="n">
        <v>0</v>
      </c>
      <c r="I651" s="4" t="n">
        <v>655</v>
      </c>
      <c r="J651" s="4" t="n">
        <v>198</v>
      </c>
      <c r="K651" s="5" t="n">
        <v>2020.2</v>
      </c>
      <c r="L651" s="4" t="n">
        <v>253</v>
      </c>
      <c r="M651" s="4" t="n">
        <v>77</v>
      </c>
      <c r="N651" s="5" t="n">
        <v>5194.8</v>
      </c>
      <c r="O651" s="3" t="inlineStr">
        <is>
          <t>nan</t>
        </is>
      </c>
      <c r="P651" s="6">
        <f>HYPERLINK("https://fin.land.naver.com/articles/2651088122", "매물Link")</f>
        <v/>
      </c>
      <c r="Q651" s="6">
        <f>HYPERLINK("https://map.naver.com/p/search/연서면 봉암리 677-2", "지도Link")</f>
        <v/>
      </c>
      <c r="R651" s="6">
        <f>HYPERLINK("http://www.eum.go.kr/web/ar/lu/luLandDet.jsp?pnu=3611036033106770002&amp;isNoScr=script&amp;mode=search", "토지이음")</f>
        <v/>
      </c>
      <c r="S651" s="3" t="inlineStr">
        <is>
          <t>오송파라곤리치</t>
        </is>
      </c>
      <c r="T651" s="4" t="n">
        <v>1</v>
      </c>
      <c r="U651" s="5" t="n">
        <v>116.6</v>
      </c>
      <c r="V651" s="4" t="n">
        <v>655</v>
      </c>
      <c r="W651" s="3" t="inlineStr">
        <is>
          <t>지정되지않음</t>
        </is>
      </c>
      <c r="X651" s="3" t="inlineStr">
        <is>
          <t>주거기타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73-8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3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4000</v>
      </c>
      <c r="H652" s="4" t="n">
        <v>40</v>
      </c>
      <c r="I652" s="4" t="n">
        <v>0</v>
      </c>
      <c r="J652" s="4" t="n">
        <v>0</v>
      </c>
      <c r="K652" s="5" t="n">
        <v>0</v>
      </c>
      <c r="L652" s="4" t="n">
        <v>43</v>
      </c>
      <c r="M652" s="4" t="n">
        <v>13</v>
      </c>
      <c r="N652" s="5" t="n">
        <v>3.1</v>
      </c>
      <c r="O652" s="3" t="inlineStr">
        <is>
          <t>인기짱  신축 풀옵션 2룸 심플하고 깔끔한방  엘베설치  넓은주차장</t>
        </is>
      </c>
      <c r="P652" s="6">
        <f>HYPERLINK("https://fin.land.naver.com/articles/2654750740", "매물Link")</f>
        <v/>
      </c>
      <c r="Q652" s="6">
        <f>HYPERLINK("https://map.naver.com/p/search/연서면 봉암리 73-8", "지도Link")</f>
        <v/>
      </c>
      <c r="R652" s="6">
        <f>HYPERLINK("http://www.eum.go.kr/web/ar/lu/luLandDet.jsp?pnu=3611036033100730008&amp;isNoScr=script&amp;mode=search", "토지이음")</f>
        <v/>
      </c>
      <c r="S652" s="3" t="inlineStr">
        <is>
          <t>연서으뜸</t>
        </is>
      </c>
      <c r="T652" s="4" t="n">
        <v>1</v>
      </c>
      <c r="U652" s="5" t="n">
        <v>199.3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자루형</t>
        </is>
      </c>
      <c r="AA652" s="3" t="inlineStr">
        <is>
          <t>소로한면</t>
        </is>
      </c>
    </row>
    <row r="653">
      <c r="A653" s="3" t="inlineStr">
        <is>
          <t>연서면 봉암리 73-8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매매</t>
        </is>
      </c>
      <c r="G653" s="4" t="n">
        <v>190000</v>
      </c>
      <c r="H653" s="4" t="n">
        <v>0</v>
      </c>
      <c r="I653" s="4" t="n">
        <v>570</v>
      </c>
      <c r="J653" s="4" t="n">
        <v>172</v>
      </c>
      <c r="K653" s="5" t="n">
        <v>1104.7</v>
      </c>
      <c r="L653" s="4" t="n">
        <v>568</v>
      </c>
      <c r="M653" s="4" t="n">
        <v>172</v>
      </c>
      <c r="N653" s="5" t="n">
        <v>1104.7</v>
      </c>
      <c r="O653" s="3" t="inlineStr">
        <is>
          <t>신축다가구건물, 엘리베이터 1층 카페,23층 원룸,투룸,1.5룸으로구성</t>
        </is>
      </c>
      <c r="P653" s="6">
        <f>HYPERLINK("https://fin.land.naver.com/articles/2650625683", "매물Link")</f>
        <v/>
      </c>
      <c r="Q653" s="6">
        <f>HYPERLINK("https://map.naver.com/p/search/연서면 봉암리 73-8", "지도Link")</f>
        <v/>
      </c>
      <c r="R653" s="6">
        <f>HYPERLINK("http://www.eum.go.kr/web/ar/lu/luLandDet.jsp?pnu=3611036033100730008&amp;isNoScr=script&amp;mode=search", "토지이음")</f>
        <v/>
      </c>
      <c r="S653" s="3" t="inlineStr">
        <is>
          <t>담뜰</t>
        </is>
      </c>
      <c r="T653" s="4" t="n">
        <v>1</v>
      </c>
      <c r="U653" s="5" t="n">
        <v>199.3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자루형</t>
        </is>
      </c>
      <c r="AA653" s="3" t="inlineStr">
        <is>
          <t>소로한면</t>
        </is>
      </c>
    </row>
    <row r="654">
      <c r="A654" s="3" t="inlineStr">
        <is>
          <t>연서면 봉암리 73-8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190000</v>
      </c>
      <c r="H654" s="4" t="n">
        <v>0</v>
      </c>
      <c r="I654" s="4" t="n">
        <v>570</v>
      </c>
      <c r="J654" s="4" t="n">
        <v>172</v>
      </c>
      <c r="K654" s="5" t="n">
        <v>1104.7</v>
      </c>
      <c r="L654" s="4" t="n">
        <v>594</v>
      </c>
      <c r="M654" s="4" t="n">
        <v>180</v>
      </c>
      <c r="N654" s="5" t="n">
        <v>1055.6</v>
      </c>
      <c r="O654" s="3" t="inlineStr">
        <is>
          <t>신축다가구  가격조정가능 엘리베이터 와촌국가산업단지 인근</t>
        </is>
      </c>
      <c r="P654" s="6">
        <f>HYPERLINK("https://fin.land.naver.com/articles/2651059296", "매물Link")</f>
        <v/>
      </c>
      <c r="Q654" s="6">
        <f>HYPERLINK("https://map.naver.com/p/search/연서면 봉암리 73-8", "지도Link")</f>
        <v/>
      </c>
      <c r="R654" s="6">
        <f>HYPERLINK("http://www.eum.go.kr/web/ar/lu/luLandDet.jsp?pnu=3611036033100730008&amp;isNoScr=script&amp;mode=search", "토지이음")</f>
        <v/>
      </c>
      <c r="S654" s="3" t="inlineStr">
        <is>
          <t>그래그</t>
        </is>
      </c>
      <c r="T654" s="4" t="n">
        <v>1</v>
      </c>
      <c r="U654" s="5" t="n">
        <v>199.3</v>
      </c>
      <c r="V654" s="4" t="n">
        <v>570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자루형</t>
        </is>
      </c>
      <c r="AA654" s="3" t="inlineStr">
        <is>
          <t>소로한면</t>
        </is>
      </c>
    </row>
    <row r="655">
      <c r="A655" s="3" t="inlineStr">
        <is>
          <t>연서면 봉암리 73-8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500</v>
      </c>
      <c r="H655" s="4" t="n">
        <v>40</v>
      </c>
      <c r="I655" s="4" t="n">
        <v>33</v>
      </c>
      <c r="J655" s="4" t="n">
        <v>10</v>
      </c>
      <c r="K655" s="5" t="n">
        <v>4</v>
      </c>
      <c r="L655" s="4" t="n">
        <v>16</v>
      </c>
      <c r="M655" s="4" t="n">
        <v>5</v>
      </c>
      <c r="N655" s="5" t="n">
        <v>8</v>
      </c>
      <c r="O655" s="3" t="inlineStr">
        <is>
          <t>원룸,11월하순입주 가능,전세도 가능 6천만원 풀옵션</t>
        </is>
      </c>
      <c r="P655" s="6">
        <f>HYPERLINK("https://fin.land.naver.com/articles/2652745423", "매물Link")</f>
        <v/>
      </c>
      <c r="Q655" s="6">
        <f>HYPERLINK("https://map.naver.com/p/search/연서면 봉암리 73-8", "지도Link")</f>
        <v/>
      </c>
      <c r="R655" s="6">
        <f>HYPERLINK("http://www.eum.go.kr/web/ar/lu/luLandDet.jsp?pnu=3611036033100730008&amp;isNoScr=script&amp;mode=search", "토지이음")</f>
        <v/>
      </c>
      <c r="S655" s="3" t="inlineStr">
        <is>
          <t>담뜰</t>
        </is>
      </c>
      <c r="T655" s="4" t="n">
        <v>1</v>
      </c>
      <c r="U655" s="5" t="n">
        <v>199.3</v>
      </c>
      <c r="V655" s="4" t="n">
        <v>570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자루형</t>
        </is>
      </c>
      <c r="AA655" s="3" t="inlineStr">
        <is>
          <t>소로한면</t>
        </is>
      </c>
    </row>
    <row r="656">
      <c r="A656" s="3" t="inlineStr">
        <is>
          <t>연서면 봉암리 73-8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4000</v>
      </c>
      <c r="H656" s="4" t="n">
        <v>40</v>
      </c>
      <c r="I656" s="4" t="n">
        <v>60</v>
      </c>
      <c r="J656" s="4" t="n">
        <v>18</v>
      </c>
      <c r="K656" s="5" t="n">
        <v>2.2</v>
      </c>
      <c r="L656" s="4" t="n">
        <v>30</v>
      </c>
      <c r="M656" s="4" t="n">
        <v>9</v>
      </c>
      <c r="N656" s="5" t="n">
        <v>4.4</v>
      </c>
      <c r="O656" s="3" t="inlineStr">
        <is>
          <t>투룸,10월26일입주 가능,금액조율가능,전세도 가능9천만원풀옵션</t>
        </is>
      </c>
      <c r="P656" s="6">
        <f>HYPERLINK("https://fin.land.naver.com/articles/2652335755", "매물Link")</f>
        <v/>
      </c>
      <c r="Q656" s="6">
        <f>HYPERLINK("https://map.naver.com/p/search/연서면 봉암리 73-8", "지도Link")</f>
        <v/>
      </c>
      <c r="R656" s="6">
        <f>HYPERLINK("http://www.eum.go.kr/web/ar/lu/luLandDet.jsp?pnu=3611036033100730008&amp;isNoScr=script&amp;mode=search", "토지이음")</f>
        <v/>
      </c>
      <c r="S656" s="3" t="inlineStr">
        <is>
          <t>담뜰</t>
        </is>
      </c>
      <c r="T656" s="4" t="n">
        <v>1</v>
      </c>
      <c r="U656" s="5" t="n">
        <v>199.3</v>
      </c>
      <c r="V656" s="4" t="n">
        <v>570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자루형</t>
        </is>
      </c>
      <c r="AA656" s="3" t="inlineStr">
        <is>
          <t>소로한면</t>
        </is>
      </c>
    </row>
    <row r="657">
      <c r="A657" s="3" t="inlineStr">
        <is>
          <t>연서면 봉암리 73-8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500</v>
      </c>
      <c r="H657" s="4" t="n">
        <v>40</v>
      </c>
      <c r="I657" s="4" t="n">
        <v>178</v>
      </c>
      <c r="J657" s="4" t="n">
        <v>54</v>
      </c>
      <c r="K657" s="5" t="n">
        <v>0.7</v>
      </c>
      <c r="L657" s="4" t="n">
        <v>25</v>
      </c>
      <c r="M657" s="4" t="n">
        <v>8</v>
      </c>
      <c r="N657" s="5" t="n">
        <v>5</v>
      </c>
      <c r="O657" s="3" t="inlineStr">
        <is>
          <t>신축 깔끔한 풀옵션완비방  엘베는기본  주차편리 정남향  정부청사10분</t>
        </is>
      </c>
      <c r="P657" s="6">
        <f>HYPERLINK("https://fin.land.naver.com/articles/2652712844", "매물Link")</f>
        <v/>
      </c>
      <c r="Q657" s="6">
        <f>HYPERLINK("https://map.naver.com/p/search/연서면 봉암리 73-8", "지도Link")</f>
        <v/>
      </c>
      <c r="R657" s="6">
        <f>HYPERLINK("http://www.eum.go.kr/web/ar/lu/luLandDet.jsp?pnu=3611036033100730008&amp;isNoScr=script&amp;mode=search", "토지이음")</f>
        <v/>
      </c>
      <c r="S657" s="3" t="inlineStr">
        <is>
          <t>연서으뜸</t>
        </is>
      </c>
      <c r="T657" s="4" t="n">
        <v>1</v>
      </c>
      <c r="U657" s="5" t="n">
        <v>199.3</v>
      </c>
      <c r="V657" s="4" t="n">
        <v>570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자루형</t>
        </is>
      </c>
      <c r="AA657" s="3" t="inlineStr">
        <is>
          <t>소로한면</t>
        </is>
      </c>
    </row>
    <row r="658">
      <c r="A658" s="3" t="inlineStr">
        <is>
          <t>연서면 부동리 80-2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1</t>
        </is>
      </c>
      <c r="E658" s="3" t="inlineStr">
        <is>
          <t>단독</t>
        </is>
      </c>
      <c r="F658" s="3" t="inlineStr">
        <is>
          <t>매매</t>
        </is>
      </c>
      <c r="G658" s="4" t="n">
        <v>40000</v>
      </c>
      <c r="H658" s="4" t="n">
        <v>0</v>
      </c>
      <c r="I658" s="4" t="n">
        <v>507</v>
      </c>
      <c r="J658" s="4" t="n">
        <v>153</v>
      </c>
      <c r="K658" s="5" t="n">
        <v>261.4</v>
      </c>
      <c r="L658" s="4" t="n">
        <v>92</v>
      </c>
      <c r="M658" s="4" t="n">
        <v>28</v>
      </c>
      <c r="N658" s="5" t="n">
        <v>1428.6</v>
      </c>
      <c r="O658" s="3" t="inlineStr">
        <is>
          <t>세종 스마트국가산업단지 인근 단독주택 도로지분포함 저렴하게 일괄매매.</t>
        </is>
      </c>
      <c r="P658" s="6">
        <f>HYPERLINK("https://fin.land.naver.com/articles/2652233102", "매물Link")</f>
        <v/>
      </c>
      <c r="Q658" s="6">
        <f>HYPERLINK("https://map.naver.com/p/search/연서면 부동리 80-2", "지도Link")</f>
        <v/>
      </c>
      <c r="R658" s="6">
        <f>HYPERLINK("http://www.eum.go.kr/web/ar/lu/luLandDet.jsp?pnu=3611036032100800002&amp;isNoScr=script&amp;mode=search",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86.40000000000001</v>
      </c>
      <c r="V658" s="4" t="n">
        <v>507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세로한면(불)</t>
        </is>
      </c>
    </row>
    <row r="659">
      <c r="A659" s="3" t="inlineStr">
        <is>
          <t>연서면 부동리 90-1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65000</v>
      </c>
      <c r="H659" s="4" t="n">
        <v>0</v>
      </c>
      <c r="I659" s="4" t="n">
        <v>592</v>
      </c>
      <c r="J659" s="4" t="n">
        <v>179</v>
      </c>
      <c r="K659" s="5" t="n">
        <v>363.1</v>
      </c>
      <c r="L659" s="4" t="n">
        <v>95</v>
      </c>
      <c r="M659" s="4" t="n">
        <v>29</v>
      </c>
      <c r="N659" s="5" t="n">
        <v>2241.4</v>
      </c>
      <c r="O659" s="3" t="inlineStr">
        <is>
          <t>(할인)세종국가산업단지 인근의 멋진집</t>
        </is>
      </c>
      <c r="P659" s="6">
        <f>HYPERLINK("https://fin.land.naver.com/articles/2651943869", "매물Link")</f>
        <v/>
      </c>
      <c r="Q659" s="6">
        <f>HYPERLINK("https://map.naver.com/p/search/연서면 부동리 90-1", "지도Link")</f>
        <v/>
      </c>
      <c r="R659" s="6">
        <f>HYPERLINK("http://www.eum.go.kr/web/ar/lu/luLandDet.jsp?pnu=3611036032100900001&amp;isNoScr=script&amp;mode=search", "토지이음")</f>
        <v/>
      </c>
      <c r="S659" s="3" t="inlineStr">
        <is>
          <t>용궁</t>
        </is>
      </c>
      <c r="T659" s="4" t="n">
        <v>1</v>
      </c>
      <c r="U659" s="5" t="n">
        <v>92.5</v>
      </c>
      <c r="V659" s="4" t="n">
        <v>592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부정형</t>
        </is>
      </c>
      <c r="AA659" s="3" t="inlineStr">
        <is>
          <t>세로한면(가)</t>
        </is>
      </c>
    </row>
    <row r="660">
      <c r="A660" s="3" t="inlineStr">
        <is>
          <t>연서면 성제리 120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전원주택</t>
        </is>
      </c>
      <c r="F660" s="3" t="inlineStr">
        <is>
          <t>매매</t>
        </is>
      </c>
      <c r="G660" s="4" t="n">
        <v>112000</v>
      </c>
      <c r="H660" s="4" t="n">
        <v>0</v>
      </c>
      <c r="I660" s="4" t="n">
        <v>662</v>
      </c>
      <c r="J660" s="4" t="n">
        <v>200</v>
      </c>
      <c r="K660" s="5" t="n">
        <v>560</v>
      </c>
      <c r="L660" s="4" t="n">
        <v>128</v>
      </c>
      <c r="M660" s="4" t="n">
        <v>39</v>
      </c>
      <c r="N660" s="5" t="n">
        <v>2871.8</v>
      </c>
      <c r="O660" s="3" t="inlineStr">
        <is>
          <t>전원주택과 붙어있는 계획관리지역 전1193㎡ 를 포함한 일괄매매 협의입주</t>
        </is>
      </c>
      <c r="P660" s="6">
        <f>HYPERLINK("https://fin.land.naver.com/articles/2650977179", "매물Link")</f>
        <v/>
      </c>
      <c r="Q660" s="6">
        <f>HYPERLINK("https://map.naver.com/p/search/연서면 성제리 120", "지도Link")</f>
        <v/>
      </c>
      <c r="R660" s="6">
        <f>HYPERLINK("http://www.eum.go.kr/web/ar/lu/luLandDet.jsp?pnu=3611036023101200000&amp;isNoScr=script&amp;mode=search", "토지이음")</f>
        <v/>
      </c>
      <c r="S660" s="3" t="inlineStr">
        <is>
          <t>정보은행</t>
        </is>
      </c>
      <c r="T660" s="4" t="n">
        <v>1</v>
      </c>
      <c r="U660" s="5" t="n">
        <v>95.09999999999999</v>
      </c>
      <c r="V660" s="4" t="n">
        <v>662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성제리 150-8</t>
        </is>
      </c>
      <c r="B661" s="3" t="inlineStr">
        <is>
          <t>농림지역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단독</t>
        </is>
      </c>
      <c r="F661" s="3" t="inlineStr">
        <is>
          <t>매매</t>
        </is>
      </c>
      <c r="G661" s="4" t="n">
        <v>33000</v>
      </c>
      <c r="H661" s="4" t="n">
        <v>0</v>
      </c>
      <c r="I661" s="4" t="n">
        <v>493</v>
      </c>
      <c r="J661" s="4" t="n">
        <v>149</v>
      </c>
      <c r="K661" s="5" t="n">
        <v>221.5</v>
      </c>
      <c r="L661" s="4" t="n">
        <v>234</v>
      </c>
      <c r="M661" s="4" t="n">
        <v>71</v>
      </c>
      <c r="N661" s="5" t="n">
        <v>464.8</v>
      </c>
      <c r="O661" s="3" t="inlineStr">
        <is>
          <t>급매, 조율가능, 2층 단독주택, 정남향, 조용한 전원주택 생활 가능</t>
        </is>
      </c>
      <c r="P661" s="6">
        <f>HYPERLINK("https://fin.land.naver.com/articles/2654049589", "매물Link")</f>
        <v/>
      </c>
      <c r="Q661" s="6">
        <f>HYPERLINK("https://map.naver.com/p/search/연서면 성제리 150-8", "지도Link")</f>
        <v/>
      </c>
      <c r="R661" s="6">
        <f>HYPERLINK("http://www.eum.go.kr/web/ar/lu/luLandDet.jsp?pnu=3611036023101500008&amp;isNoScr=script&amp;mode=search", "토지이음")</f>
        <v/>
      </c>
      <c r="S661" s="3" t="inlineStr">
        <is>
          <t>세종무지개</t>
        </is>
      </c>
      <c r="T661" s="4" t="n">
        <v>1</v>
      </c>
      <c r="U661" s="5" t="n">
        <v>38.2</v>
      </c>
      <c r="V661" s="4" t="n">
        <v>493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부정형</t>
        </is>
      </c>
      <c r="AA661" s="3" t="inlineStr">
        <is>
          <t>세로한면(가)</t>
        </is>
      </c>
    </row>
    <row r="662">
      <c r="A662" s="3" t="inlineStr">
        <is>
          <t>연서면 성제리 150-8</t>
        </is>
      </c>
      <c r="B662" s="3" t="inlineStr">
        <is>
          <t>농림지역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단독</t>
        </is>
      </c>
      <c r="F662" s="3" t="inlineStr">
        <is>
          <t>매매</t>
        </is>
      </c>
      <c r="G662" s="4" t="n">
        <v>33000</v>
      </c>
      <c r="H662" s="4" t="n">
        <v>0</v>
      </c>
      <c r="I662" s="4" t="n">
        <v>493</v>
      </c>
      <c r="J662" s="4" t="n">
        <v>149</v>
      </c>
      <c r="K662" s="5" t="n">
        <v>221.5</v>
      </c>
      <c r="L662" s="4" t="n">
        <v>234</v>
      </c>
      <c r="M662" s="4" t="n">
        <v>71</v>
      </c>
      <c r="N662" s="5" t="n">
        <v>464.8</v>
      </c>
      <c r="O662" s="3" t="inlineStr">
        <is>
          <t>급매세종 생활권 5분 탁 트인 조망과 햇살을 품은 프리미엄 2층단독</t>
        </is>
      </c>
      <c r="P662" s="6">
        <f>HYPERLINK("https://fin.land.naver.com/articles/2655074425", "매물Link")</f>
        <v/>
      </c>
      <c r="Q662" s="6">
        <f>HYPERLINK("https://map.naver.com/p/search/연서면 성제리 150-8", "지도Link")</f>
        <v/>
      </c>
      <c r="R662" s="6">
        <f>HYPERLINK("http://www.eum.go.kr/web/ar/lu/luLandDet.jsp?pnu=3611036023101500008&amp;isNoScr=script&amp;mode=search",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38.2</v>
      </c>
      <c r="V662" s="4" t="n">
        <v>493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부정형</t>
        </is>
      </c>
      <c r="AA662" s="3" t="inlineStr">
        <is>
          <t>세로한면(가)</t>
        </is>
      </c>
    </row>
    <row r="663">
      <c r="A663" s="3" t="inlineStr">
        <is>
          <t>연서면 성제리 178-1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단독</t>
        </is>
      </c>
      <c r="F663" s="3" t="inlineStr">
        <is>
          <t>매매</t>
        </is>
      </c>
      <c r="G663" s="4" t="n">
        <v>25000</v>
      </c>
      <c r="H663" s="4" t="n">
        <v>0</v>
      </c>
      <c r="I663" s="4" t="n">
        <v>399</v>
      </c>
      <c r="J663" s="4" t="n">
        <v>121</v>
      </c>
      <c r="K663" s="5" t="n">
        <v>206.6</v>
      </c>
      <c r="L663" s="4" t="n">
        <v>109</v>
      </c>
      <c r="M663" s="4" t="n">
        <v>33</v>
      </c>
      <c r="N663" s="5" t="n">
        <v>757.6</v>
      </c>
      <c r="O663" s="3" t="inlineStr">
        <is>
          <t>성제리 주택지</t>
        </is>
      </c>
      <c r="P663" s="6">
        <f>HYPERLINK("https://fin.land.naver.com/articles/2654909943", "매물Link")</f>
        <v/>
      </c>
      <c r="Q663" s="6">
        <f>HYPERLINK("https://map.naver.com/p/search/연서면 성제리 178-1", "지도Link")</f>
        <v/>
      </c>
      <c r="R663" s="6">
        <f>HYPERLINK("http://www.eum.go.kr/web/ar/lu/luLandDet.jsp?pnu=3611036023101780001&amp;isNoScr=script&amp;mode=search", "토지이음")</f>
        <v/>
      </c>
      <c r="S663" s="3" t="inlineStr">
        <is>
          <t>KB세종</t>
        </is>
      </c>
      <c r="T663" s="4" t="n">
        <v>1</v>
      </c>
      <c r="U663" s="5" t="n">
        <v>76.59999999999999</v>
      </c>
      <c r="V663" s="4" t="n">
        <v>399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부정형</t>
        </is>
      </c>
      <c r="AA663" s="3" t="inlineStr">
        <is>
          <t>세로한면(불)</t>
        </is>
      </c>
    </row>
    <row r="664">
      <c r="A664" s="3" t="inlineStr">
        <is>
          <t>연서면 신대리 105-8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3</t>
        </is>
      </c>
      <c r="E664" s="3" t="inlineStr">
        <is>
          <t>전원주택</t>
        </is>
      </c>
      <c r="F664" s="3" t="inlineStr">
        <is>
          <t>매매</t>
        </is>
      </c>
      <c r="G664" s="4" t="n">
        <v>39000</v>
      </c>
      <c r="H664" s="4" t="n">
        <v>0</v>
      </c>
      <c r="I664" s="4" t="n">
        <v>327</v>
      </c>
      <c r="J664" s="4" t="n">
        <v>99</v>
      </c>
      <c r="K664" s="5" t="n">
        <v>393.9</v>
      </c>
      <c r="L664" s="4" t="n">
        <v>168</v>
      </c>
      <c r="M664" s="4" t="n">
        <v>51</v>
      </c>
      <c r="N664" s="5" t="n">
        <v>764.7</v>
      </c>
      <c r="O664" s="3" t="inlineStr">
        <is>
          <t>급매 조정가능 연서중인근 고속도로 나들목 가깝고 텃밭있음</t>
        </is>
      </c>
      <c r="P664" s="6">
        <f>HYPERLINK("https://fin.land.naver.com/articles/2654464490", "매물Link")</f>
        <v/>
      </c>
      <c r="Q664" s="6">
        <f>HYPERLINK("https://map.naver.com/p/search/연서면 신대리 105-8", "지도Link")</f>
        <v/>
      </c>
      <c r="R664" s="6">
        <f>HYPERLINK("http://www.eum.go.kr/web/ar/lu/luLandDet.jsp?pnu=3611036029101050008&amp;isNoScr=script&amp;mode=search", "토지이음")</f>
        <v/>
      </c>
      <c r="S664" s="3" t="inlineStr">
        <is>
          <t>그래그</t>
        </is>
      </c>
      <c r="T664" s="4" t="n">
        <v>2</v>
      </c>
      <c r="U664" s="5" t="n">
        <v>91.59999999999999</v>
      </c>
      <c r="V664" s="4" t="n">
        <v>327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세로한면(가)</t>
        </is>
      </c>
    </row>
    <row r="665">
      <c r="A665" s="3" t="inlineStr">
        <is>
          <t>연서면 신대리 105-8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전원주택</t>
        </is>
      </c>
      <c r="F665" s="3" t="inlineStr">
        <is>
          <t>매매</t>
        </is>
      </c>
      <c r="G665" s="4" t="n">
        <v>39000</v>
      </c>
      <c r="H665" s="4" t="n">
        <v>0</v>
      </c>
      <c r="I665" s="4" t="n">
        <v>327</v>
      </c>
      <c r="J665" s="4" t="n">
        <v>99</v>
      </c>
      <c r="K665" s="5" t="n">
        <v>393.9</v>
      </c>
      <c r="L665" s="4" t="n">
        <v>168</v>
      </c>
      <c r="M665" s="4" t="n">
        <v>51</v>
      </c>
      <c r="N665" s="5" t="n">
        <v>764.7</v>
      </c>
      <c r="O665" s="3" t="inlineStr">
        <is>
          <t>깔끔한 전원주택</t>
        </is>
      </c>
      <c r="P665" s="6">
        <f>HYPERLINK("https://fin.land.naver.com/articles/2652250435", "매물Link")</f>
        <v/>
      </c>
      <c r="Q665" s="6">
        <f>HYPERLINK("https://map.naver.com/p/search/연서면 신대리 105-8", "지도Link")</f>
        <v/>
      </c>
      <c r="R665" s="6">
        <f>HYPERLINK("http://www.eum.go.kr/web/ar/lu/luLandDet.jsp?pnu=3611036029101050008&amp;isNoScr=script&amp;mode=search", "토지이음")</f>
        <v/>
      </c>
      <c r="S665" s="3" t="inlineStr">
        <is>
          <t>제일</t>
        </is>
      </c>
      <c r="T665" s="4" t="n">
        <v>1</v>
      </c>
      <c r="U665" s="5" t="n">
        <v>91.59999999999999</v>
      </c>
      <c r="V665" s="4" t="n">
        <v>327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신대리 105-8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39000</v>
      </c>
      <c r="H666" s="4" t="n">
        <v>0</v>
      </c>
      <c r="I666" s="4" t="n">
        <v>327</v>
      </c>
      <c r="J666" s="4" t="n">
        <v>99</v>
      </c>
      <c r="K666" s="5" t="n">
        <v>393.9</v>
      </c>
      <c r="L666" s="4" t="n">
        <v>168</v>
      </c>
      <c r="M666" s="4" t="n">
        <v>51</v>
      </c>
      <c r="N666" s="5" t="n">
        <v>764.7</v>
      </c>
      <c r="O666" s="3" t="inlineStr">
        <is>
          <t>깨끗한 2층전원주택,주택바로뒤가 연서중학교 위치,3층다락방은 서비스면적</t>
        </is>
      </c>
      <c r="P666" s="6">
        <f>HYPERLINK("https://fin.land.naver.com/articles/2651289585", "매물Link")</f>
        <v/>
      </c>
      <c r="Q666" s="6">
        <f>HYPERLINK("https://map.naver.com/p/search/연서면 신대리 105-8", "지도Link")</f>
        <v/>
      </c>
      <c r="R666" s="6">
        <f>HYPERLINK("http://www.eum.go.kr/web/ar/lu/luLandDet.jsp?pnu=3611036029101050008&amp;isNoScr=script&amp;mode=search", "토지이음")</f>
        <v/>
      </c>
      <c r="S666" s="3" t="inlineStr">
        <is>
          <t>담뜰</t>
        </is>
      </c>
      <c r="T666" s="4" t="n">
        <v>1</v>
      </c>
      <c r="U666" s="5" t="n">
        <v>91.59999999999999</v>
      </c>
      <c r="V666" s="4" t="n">
        <v>327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신대리 105-8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전세</t>
        </is>
      </c>
      <c r="G667" s="4" t="n">
        <v>30000</v>
      </c>
      <c r="H667" s="4" t="n">
        <v>0</v>
      </c>
      <c r="I667" s="4" t="n">
        <v>327</v>
      </c>
      <c r="J667" s="4" t="n">
        <v>99</v>
      </c>
      <c r="K667" s="5" t="n">
        <v>303</v>
      </c>
      <c r="L667" s="4" t="n">
        <v>168</v>
      </c>
      <c r="M667" s="4" t="n">
        <v>51</v>
      </c>
      <c r="N667" s="5" t="n">
        <v>588.2</v>
      </c>
      <c r="O667" s="3" t="inlineStr">
        <is>
          <t>깨끗한 2층전원주택,주택바로뒤가 연서중학교 위치,3층다락방은 서비스면적</t>
        </is>
      </c>
      <c r="P667" s="6">
        <f>HYPERLINK("https://fin.land.naver.com/articles/2652036901", "매물Link")</f>
        <v/>
      </c>
      <c r="Q667" s="6">
        <f>HYPERLINK("https://map.naver.com/p/search/연서면 신대리 105-8", "지도Link")</f>
        <v/>
      </c>
      <c r="R667" s="6">
        <f>HYPERLINK("http://www.eum.go.kr/web/ar/lu/luLandDet.jsp?pnu=3611036029101050008&amp;isNoScr=script&amp;mode=search", "토지이음")</f>
        <v/>
      </c>
      <c r="S667" s="3" t="inlineStr">
        <is>
          <t>담뜰</t>
        </is>
      </c>
      <c r="T667" s="4" t="n">
        <v>1</v>
      </c>
      <c r="U667" s="5" t="n">
        <v>91.59999999999999</v>
      </c>
      <c r="V667" s="4" t="n">
        <v>327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신대리 105-8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단독</t>
        </is>
      </c>
      <c r="F668" s="3" t="inlineStr">
        <is>
          <t>월세</t>
        </is>
      </c>
      <c r="G668" s="4" t="n">
        <v>5000</v>
      </c>
      <c r="H668" s="4" t="n">
        <v>120</v>
      </c>
      <c r="I668" s="4" t="n">
        <v>327</v>
      </c>
      <c r="J668" s="4" t="n">
        <v>99</v>
      </c>
      <c r="K668" s="5" t="n">
        <v>1.2</v>
      </c>
      <c r="L668" s="4" t="n">
        <v>168</v>
      </c>
      <c r="M668" s="4" t="n">
        <v>51</v>
      </c>
      <c r="N668" s="5" t="n">
        <v>2.4</v>
      </c>
      <c r="O668" s="3" t="inlineStr">
        <is>
          <t>깨끗한 2층전원주택,주택바로뒤가 연서중학교 위치,3층다락방은 서비스면적</t>
        </is>
      </c>
      <c r="P668" s="6">
        <f>HYPERLINK("https://fin.land.naver.com/articles/2652036207", "매물Link")</f>
        <v/>
      </c>
      <c r="Q668" s="6">
        <f>HYPERLINK("https://map.naver.com/p/search/연서면 신대리 105-8", "지도Link")</f>
        <v/>
      </c>
      <c r="R668" s="6">
        <f>HYPERLINK("http://www.eum.go.kr/web/ar/lu/luLandDet.jsp?pnu=3611036029101050008&amp;isNoScr=script&amp;mode=search",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91.59999999999999</v>
      </c>
      <c r="V668" s="4" t="n">
        <v>327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신대리 105-8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전원주택</t>
        </is>
      </c>
      <c r="F669" s="3" t="inlineStr">
        <is>
          <t>월세</t>
        </is>
      </c>
      <c r="G669" s="4" t="n">
        <v>5000</v>
      </c>
      <c r="H669" s="4" t="n">
        <v>120</v>
      </c>
      <c r="I669" s="4" t="n">
        <v>327</v>
      </c>
      <c r="J669" s="4" t="n">
        <v>99</v>
      </c>
      <c r="K669" s="5" t="n">
        <v>1.2</v>
      </c>
      <c r="L669" s="4" t="n">
        <v>168</v>
      </c>
      <c r="M669" s="4" t="n">
        <v>51</v>
      </c>
      <c r="N669" s="5" t="n">
        <v>2.4</v>
      </c>
      <c r="O669" s="3" t="inlineStr">
        <is>
          <t>깔끔한 전원주택</t>
        </is>
      </c>
      <c r="P669" s="6">
        <f>HYPERLINK("https://fin.land.naver.com/articles/2652285276", "매물Link")</f>
        <v/>
      </c>
      <c r="Q669" s="6">
        <f>HYPERLINK("https://map.naver.com/p/search/연서면 신대리 105-8", "지도Link")</f>
        <v/>
      </c>
      <c r="R669" s="6">
        <f>HYPERLINK("http://www.eum.go.kr/web/ar/lu/luLandDet.jsp?pnu=3611036029101050008&amp;isNoScr=script&amp;mode=search", "토지이음")</f>
        <v/>
      </c>
      <c r="S669" s="3" t="inlineStr">
        <is>
          <t>제일</t>
        </is>
      </c>
      <c r="T669" s="4" t="n">
        <v>1</v>
      </c>
      <c r="U669" s="5" t="n">
        <v>91.59999999999999</v>
      </c>
      <c r="V669" s="4" t="n">
        <v>327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신대리 105-8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전원주택</t>
        </is>
      </c>
      <c r="F670" s="3" t="inlineStr">
        <is>
          <t>전세</t>
        </is>
      </c>
      <c r="G670" s="4" t="n">
        <v>30000</v>
      </c>
      <c r="H670" s="4" t="n">
        <v>0</v>
      </c>
      <c r="I670" s="4" t="n">
        <v>327</v>
      </c>
      <c r="J670" s="4" t="n">
        <v>99</v>
      </c>
      <c r="K670" s="5" t="n">
        <v>303</v>
      </c>
      <c r="L670" s="4" t="n">
        <v>168</v>
      </c>
      <c r="M670" s="4" t="n">
        <v>51</v>
      </c>
      <c r="N670" s="5" t="n">
        <v>588.2</v>
      </c>
      <c r="O670" s="3" t="inlineStr">
        <is>
          <t>깔끔한 전원주택</t>
        </is>
      </c>
      <c r="P670" s="6">
        <f>HYPERLINK("https://fin.land.naver.com/articles/2652284182", "매물Link")</f>
        <v/>
      </c>
      <c r="Q670" s="6">
        <f>HYPERLINK("https://map.naver.com/p/search/연서면 신대리 105-8", "지도Link")</f>
        <v/>
      </c>
      <c r="R670" s="6">
        <f>HYPERLINK("http://www.eum.go.kr/web/ar/lu/luLandDet.jsp?pnu=3611036029101050008&amp;isNoScr=script&amp;mode=search", "토지이음")</f>
        <v/>
      </c>
      <c r="S670" s="3" t="inlineStr">
        <is>
          <t>제일</t>
        </is>
      </c>
      <c r="T670" s="4" t="n">
        <v>1</v>
      </c>
      <c r="U670" s="5" t="n">
        <v>91.59999999999999</v>
      </c>
      <c r="V670" s="4" t="n">
        <v>327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신대리 556-1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31000</v>
      </c>
      <c r="H671" s="4" t="n">
        <v>0</v>
      </c>
      <c r="I671" s="4" t="n">
        <v>373</v>
      </c>
      <c r="J671" s="4" t="n">
        <v>113</v>
      </c>
      <c r="K671" s="5" t="n">
        <v>274.3</v>
      </c>
      <c r="L671" s="4" t="n">
        <v>72</v>
      </c>
      <c r="M671" s="4" t="n">
        <v>22</v>
      </c>
      <c r="N671" s="5" t="n">
        <v>1409.1</v>
      </c>
      <c r="O671" s="3" t="inlineStr">
        <is>
          <t>태양광 설치된 1층 단독주택, 즉시입주 가능한 귀촌형 전원주택</t>
        </is>
      </c>
      <c r="P671" s="6">
        <f>HYPERLINK("https://fin.land.naver.com/articles/2650903513", "매물Link")</f>
        <v/>
      </c>
      <c r="Q671" s="6">
        <f>HYPERLINK("https://map.naver.com/p/search/연서면 신대리 556-1", "지도Link")</f>
        <v/>
      </c>
      <c r="R671" s="6">
        <f>HYPERLINK("http://www.eum.go.kr/web/ar/lu/luLandDet.jsp?pnu=3611036029105560001&amp;isNoScr=script&amp;mode=search", "토지이음")</f>
        <v/>
      </c>
      <c r="S671" s="3" t="inlineStr">
        <is>
          <t>세종소담황금</t>
        </is>
      </c>
      <c r="T671" s="4" t="n">
        <v>1</v>
      </c>
      <c r="U671" s="5" t="n">
        <v>71.90000000000001</v>
      </c>
      <c r="V671" s="4" t="n">
        <v>373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부정형</t>
        </is>
      </c>
      <c r="AA671" s="3" t="inlineStr">
        <is>
          <t>세로한면(가)</t>
        </is>
      </c>
    </row>
    <row r="672">
      <c r="A672" s="3" t="inlineStr">
        <is>
          <t>연서면 쌍류리 257-2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1</t>
        </is>
      </c>
      <c r="E672" s="3" t="inlineStr">
        <is>
          <t>단독</t>
        </is>
      </c>
      <c r="F672" s="3" t="inlineStr">
        <is>
          <t>매매</t>
        </is>
      </c>
      <c r="G672" s="4" t="n">
        <v>40000</v>
      </c>
      <c r="H672" s="4" t="n">
        <v>0</v>
      </c>
      <c r="I672" s="4" t="n">
        <v>313</v>
      </c>
      <c r="J672" s="4" t="n">
        <v>95</v>
      </c>
      <c r="K672" s="5" t="n">
        <v>421.1</v>
      </c>
      <c r="L672" s="4" t="n">
        <v>127</v>
      </c>
      <c r="M672" s="4" t="n">
        <v>38</v>
      </c>
      <c r="N672" s="5" t="n">
        <v>1052.6</v>
      </c>
      <c r="O672" s="3" t="inlineStr">
        <is>
          <t>고복저수지 인근 단독주택</t>
        </is>
      </c>
      <c r="P672" s="6">
        <f>HYPERLINK("https://fin.land.naver.com/articles/2651277336", "매물Link")</f>
        <v/>
      </c>
      <c r="Q672" s="6">
        <f>HYPERLINK("https://map.naver.com/p/search/연서면 쌍류리 257-2", "지도Link")</f>
        <v/>
      </c>
      <c r="R672" s="6">
        <f>HYPERLINK("http://www.eum.go.kr/web/ar/lu/luLandDet.jsp?pnu=3611036026102570002&amp;isNoScr=script&amp;mode=search", "토지이음")</f>
        <v/>
      </c>
      <c r="S672" s="3" t="inlineStr">
        <is>
          <t>강아지풀</t>
        </is>
      </c>
      <c r="T672" s="4" t="n">
        <v>1</v>
      </c>
      <c r="U672" s="5" t="n">
        <v>59.5</v>
      </c>
      <c r="V672" s="4" t="n">
        <v>717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쌍전리 159-2</t>
        </is>
      </c>
      <c r="B673" s="3" t="inlineStr">
        <is>
          <t>자연녹지지역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단독</t>
        </is>
      </c>
      <c r="F673" s="3" t="inlineStr">
        <is>
          <t>매매</t>
        </is>
      </c>
      <c r="G673" s="4" t="n">
        <v>55000</v>
      </c>
      <c r="H673" s="4" t="n">
        <v>0</v>
      </c>
      <c r="I673" s="4" t="n">
        <v>624</v>
      </c>
      <c r="J673" s="4" t="n">
        <v>189</v>
      </c>
      <c r="K673" s="5" t="n">
        <v>291</v>
      </c>
      <c r="L673" s="4" t="n">
        <v>140</v>
      </c>
      <c r="M673" s="4" t="n">
        <v>42</v>
      </c>
      <c r="N673" s="5" t="n">
        <v>1309.5</v>
      </c>
      <c r="O673" s="3" t="inlineStr">
        <is>
          <t>급매. 쌍전리 뷰 좋고 관리 잘 된 2층 단독주택. 입주일 협의.</t>
        </is>
      </c>
      <c r="P673" s="6">
        <f>HYPERLINK("https://fin.land.naver.com/articles/2653849760", "매물Link")</f>
        <v/>
      </c>
      <c r="Q673" s="6">
        <f>HYPERLINK("https://map.naver.com/p/search/연서면 쌍전리 159-2", "지도Link")</f>
        <v/>
      </c>
      <c r="R673" s="6">
        <f>HYPERLINK("http://www.eum.go.kr/web/ar/lu/luLandDet.jsp?pnu=3611036022101590002&amp;isNoScr=script&amp;mode=search",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111.2</v>
      </c>
      <c r="V673" s="4" t="n">
        <v>635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쌍전리 188</t>
        </is>
      </c>
      <c r="B674" s="3" t="inlineStr">
        <is>
          <t>자연녹지지역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43000</v>
      </c>
      <c r="H674" s="4" t="n">
        <v>0</v>
      </c>
      <c r="I674" s="4" t="n">
        <v>421</v>
      </c>
      <c r="J674" s="4" t="n">
        <v>127</v>
      </c>
      <c r="K674" s="5" t="n">
        <v>338.6</v>
      </c>
      <c r="L674" s="4" t="n">
        <v>70</v>
      </c>
      <c r="M674" s="4" t="n">
        <v>21</v>
      </c>
      <c r="N674" s="5" t="n">
        <v>2047.6</v>
      </c>
      <c r="O674" s="3" t="inlineStr">
        <is>
          <t>세종 스마트산단 봉암IC 호재 I 뷰 좋은 대지 넓은 전원주택</t>
        </is>
      </c>
      <c r="P674" s="6">
        <f>HYPERLINK("https://fin.land.naver.com/articles/2650325536", "매물Link")</f>
        <v/>
      </c>
      <c r="Q674" s="6">
        <f>HYPERLINK("https://map.naver.com/p/search/연서면 쌍전리 188", "지도Link")</f>
        <v/>
      </c>
      <c r="R674" s="6">
        <f>HYPERLINK("http://www.eum.go.kr/web/ar/lu/luLandDet.jsp?pnu=3611036022101880000&amp;isNoScr=script&amp;mode=search", "토지이음")</f>
        <v/>
      </c>
      <c r="S674" s="3" t="inlineStr">
        <is>
          <t>세종신한</t>
        </is>
      </c>
      <c r="T674" s="4" t="n">
        <v>1</v>
      </c>
      <c r="U674" s="5" t="n">
        <v>111.2</v>
      </c>
      <c r="V674" s="4" t="n">
        <v>421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쌍전리 188</t>
        </is>
      </c>
      <c r="B675" s="3" t="inlineStr">
        <is>
          <t>자연녹지지역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43000</v>
      </c>
      <c r="H675" s="4" t="n">
        <v>0</v>
      </c>
      <c r="I675" s="4" t="n">
        <v>412</v>
      </c>
      <c r="J675" s="4" t="n">
        <v>125</v>
      </c>
      <c r="K675" s="5" t="n">
        <v>344</v>
      </c>
      <c r="L675" s="4" t="n">
        <v>70</v>
      </c>
      <c r="M675" s="4" t="n">
        <v>21</v>
      </c>
      <c r="N675" s="5" t="n">
        <v>2047.6</v>
      </c>
      <c r="O675" s="3" t="inlineStr">
        <is>
          <t>햇살좋은 단독전원주택 심야전기 큰방1 작은방1 화장실1 다락1 마당</t>
        </is>
      </c>
      <c r="P675" s="6">
        <f>HYPERLINK("https://fin.land.naver.com/articles/2655217516", "매물Link")</f>
        <v/>
      </c>
      <c r="Q675" s="6">
        <f>HYPERLINK("https://map.naver.com/p/search/연서면 쌍전리 188", "지도Link")</f>
        <v/>
      </c>
      <c r="R675" s="6">
        <f>HYPERLINK("http://www.eum.go.kr/web/ar/lu/luLandDet.jsp?pnu=3611036022101880000&amp;isNoScr=script&amp;mode=search", "토지이음")</f>
        <v/>
      </c>
      <c r="S675" s="3" t="inlineStr">
        <is>
          <t>세종이룸</t>
        </is>
      </c>
      <c r="T675" s="4" t="n">
        <v>2</v>
      </c>
      <c r="U675" s="5" t="n">
        <v>111.2</v>
      </c>
      <c r="V675" s="4" t="n">
        <v>421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와촌리 1218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70000</v>
      </c>
      <c r="H676" s="4" t="n">
        <v>0</v>
      </c>
      <c r="I676" s="4" t="n">
        <v>766</v>
      </c>
      <c r="J676" s="4" t="n">
        <v>232</v>
      </c>
      <c r="K676" s="5" t="n">
        <v>301.7</v>
      </c>
      <c r="L676" s="4" t="n">
        <v>96</v>
      </c>
      <c r="M676" s="4" t="n">
        <v>29</v>
      </c>
      <c r="N676" s="5" t="n">
        <v>2413.8</v>
      </c>
      <c r="O676" s="3" t="inlineStr">
        <is>
          <t>올리모델링. 뒷마당,앞마당 창고 및 저온저장고. 야외수도2. 지하수등.</t>
        </is>
      </c>
      <c r="P676" s="6">
        <f>HYPERLINK("https://fin.land.naver.com/articles/2651423312", "매물Link")</f>
        <v/>
      </c>
      <c r="Q676" s="6">
        <f>HYPERLINK("https://map.naver.com/p/search/연서면 와촌리 1218", "지도Link")</f>
        <v/>
      </c>
      <c r="R676" s="6">
        <f>HYPERLINK("http://www.eum.go.kr/web/ar/lu/luLandDet.jsp?pnu=3611036031112180000&amp;isNoScr=script&amp;mode=search", "토지이음")</f>
        <v/>
      </c>
      <c r="S676" s="3" t="inlineStr">
        <is>
          <t>세종소담114</t>
        </is>
      </c>
      <c r="T676" s="4" t="n">
        <v>1</v>
      </c>
      <c r="U676" s="5" t="n">
        <v>90.3</v>
      </c>
      <c r="V676" s="4" t="n">
        <v>745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와촌리 1218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전원주택</t>
        </is>
      </c>
      <c r="F677" s="3" t="inlineStr">
        <is>
          <t>매매</t>
        </is>
      </c>
      <c r="G677" s="4" t="n">
        <v>71000</v>
      </c>
      <c r="H677" s="4" t="n">
        <v>0</v>
      </c>
      <c r="I677" s="4" t="n">
        <v>877</v>
      </c>
      <c r="J677" s="4" t="n">
        <v>265</v>
      </c>
      <c r="K677" s="5" t="n">
        <v>267.9</v>
      </c>
      <c r="L677" s="4" t="n">
        <v>96</v>
      </c>
      <c r="M677" s="4" t="n">
        <v>29</v>
      </c>
      <c r="N677" s="5" t="n">
        <v>2448.3</v>
      </c>
      <c r="O677" s="3" t="inlineStr">
        <is>
          <t>최근 리모델링 ,  입주 가능 , 국가산업단지 인근,투자가치높은지역</t>
        </is>
      </c>
      <c r="P677" s="6">
        <f>HYPERLINK("https://fin.land.naver.com/articles/2652359824", "매물Link")</f>
        <v/>
      </c>
      <c r="Q677" s="6">
        <f>HYPERLINK("https://map.naver.com/p/search/연서면 와촌리 1218", "지도Link")</f>
        <v/>
      </c>
      <c r="R677" s="6">
        <f>HYPERLINK("http://www.eum.go.kr/web/ar/lu/luLandDet.jsp?pnu=3611036031112180000&amp;isNoScr=script&amp;mode=search", "토지이음")</f>
        <v/>
      </c>
      <c r="S677" s="3" t="inlineStr">
        <is>
          <t>세종특별시</t>
        </is>
      </c>
      <c r="T677" s="4" t="n">
        <v>1</v>
      </c>
      <c r="U677" s="5" t="n">
        <v>90.3</v>
      </c>
      <c r="V677" s="4" t="n">
        <v>745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와촌리 791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65000</v>
      </c>
      <c r="H678" s="4" t="n">
        <v>0</v>
      </c>
      <c r="I678" s="4" t="n">
        <v>496</v>
      </c>
      <c r="J678" s="4" t="n">
        <v>150</v>
      </c>
      <c r="K678" s="5" t="n">
        <v>433.3</v>
      </c>
      <c r="L678" s="4" t="n">
        <v>91</v>
      </c>
      <c r="M678" s="4" t="n">
        <v>28</v>
      </c>
      <c r="N678" s="5" t="n">
        <v>2321.4</v>
      </c>
      <c r="O678" s="3" t="inlineStr">
        <is>
          <t>신축 한옥주택황토방 즉시입주협의</t>
        </is>
      </c>
      <c r="P678" s="6">
        <f>HYPERLINK("https://fin.land.naver.com/articles/2650856623", "매물Link")</f>
        <v/>
      </c>
      <c r="Q678" s="6">
        <f>HYPERLINK("https://map.naver.com/p/search/연서면 와촌리 791", "지도Link")</f>
        <v/>
      </c>
      <c r="R678" s="6">
        <f>HYPERLINK("http://www.eum.go.kr/web/ar/lu/luLandDet.jsp?pnu=3611036031107910000&amp;isNoScr=script&amp;mode=search", "토지이음")</f>
        <v/>
      </c>
      <c r="S678" s="3" t="inlineStr">
        <is>
          <t>세종대박</t>
        </is>
      </c>
      <c r="T678" s="4" t="n">
        <v>1</v>
      </c>
      <c r="U678" s="5" t="n">
        <v>122</v>
      </c>
      <c r="V678" s="4" t="n">
        <v>496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와촌리 900-5</t>
        </is>
      </c>
      <c r="B679" s="3" t="inlineStr">
        <is>
          <t>계획관리지역</t>
        </is>
      </c>
      <c r="C679" s="3" t="inlineStr">
        <is>
          <t>종교용지</t>
        </is>
      </c>
      <c r="D679" s="3" t="inlineStr">
        <is>
          <t>1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289000</v>
      </c>
      <c r="H679" s="4" t="n">
        <v>0</v>
      </c>
      <c r="I679" s="4" t="n">
        <v>1597</v>
      </c>
      <c r="J679" s="4" t="n">
        <v>483</v>
      </c>
      <c r="K679" s="5" t="n">
        <v>598.3</v>
      </c>
      <c r="L679" s="4" t="n">
        <v>314</v>
      </c>
      <c r="M679" s="4" t="n">
        <v>95</v>
      </c>
      <c r="N679" s="5" t="n">
        <v>3042.1</v>
      </c>
      <c r="O679" s="3" t="inlineStr">
        <is>
          <t>스마트시티도시 인근. 도로변토지.계획관리.취락지구. 건폐율,용적률완화</t>
        </is>
      </c>
      <c r="P679" s="6">
        <f>HYPERLINK("https://fin.land.naver.com/articles/2650516167", "매물Link")</f>
        <v/>
      </c>
      <c r="Q679" s="6">
        <f>HYPERLINK("https://map.naver.com/p/search/연서면 와촌리 900-5", "지도Link")</f>
        <v/>
      </c>
      <c r="R679" s="6">
        <f>HYPERLINK("http://www.eum.go.kr/web/ar/lu/luLandDet.jsp?pnu=3611036031109000005&amp;isNoScr=script&amp;mode=search", "토지이음")</f>
        <v/>
      </c>
      <c r="S679" s="3" t="inlineStr">
        <is>
          <t>양평땅진이서</t>
        </is>
      </c>
      <c r="T679" s="4" t="n">
        <v>1</v>
      </c>
      <c r="U679" s="5" t="n">
        <v>134.5</v>
      </c>
      <c r="V679" s="4" t="n">
        <v>555</v>
      </c>
      <c r="W679" s="3" t="inlineStr">
        <is>
          <t>지정되지않음</t>
        </is>
      </c>
      <c r="X679" s="3" t="inlineStr">
        <is>
          <t>주거기타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소로한면</t>
        </is>
      </c>
    </row>
    <row r="680">
      <c r="A680" s="3" t="inlineStr">
        <is>
          <t>연서면 월하리 1008-5</t>
        </is>
      </c>
      <c r="B680" s="3" t="inlineStr">
        <is>
          <t>제1종일반주거지역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30000</v>
      </c>
      <c r="H680" s="4" t="n">
        <v>0</v>
      </c>
      <c r="I680" s="4" t="n">
        <v>144</v>
      </c>
      <c r="J680" s="4" t="n">
        <v>44</v>
      </c>
      <c r="K680" s="5" t="n">
        <v>681.8</v>
      </c>
      <c r="L680" s="4" t="n">
        <v>84</v>
      </c>
      <c r="M680" s="4" t="n">
        <v>25</v>
      </c>
      <c r="N680" s="5" t="n">
        <v>1200</v>
      </c>
      <c r="O680" s="3" t="inlineStr">
        <is>
          <t>빠른입주, 전망 좋은 주택</t>
        </is>
      </c>
      <c r="P680" s="6">
        <f>HYPERLINK("https://fin.land.naver.com/articles/2651233233", "매물Link")</f>
        <v/>
      </c>
      <c r="Q680" s="6">
        <f>HYPERLINK("https://map.naver.com/p/search/연서면 월하리 1008-5", "지도Link")</f>
        <v/>
      </c>
      <c r="R680" s="6">
        <f>HYPERLINK("http://www.eum.go.kr/web/ar/lu/luLandDet.jsp?pnu=3611036021110080005&amp;isNoScr=script&amp;mode=search", "토지이음")</f>
        <v/>
      </c>
      <c r="S680" s="3" t="inlineStr">
        <is>
          <t>정인</t>
        </is>
      </c>
      <c r="T680" s="4" t="n">
        <v>1</v>
      </c>
      <c r="U680" s="5" t="n">
        <v>184.8</v>
      </c>
      <c r="V680" s="4" t="n">
        <v>145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월하리 617</t>
        </is>
      </c>
      <c r="B681" s="3" t="inlineStr">
        <is>
          <t>자연녹지지역</t>
        </is>
      </c>
      <c r="C681" s="3" t="inlineStr">
        <is>
          <t>대</t>
        </is>
      </c>
      <c r="D681" s="3" t="inlineStr">
        <is>
          <t>2</t>
        </is>
      </c>
      <c r="E681" s="3" t="inlineStr">
        <is>
          <t>단독</t>
        </is>
      </c>
      <c r="F681" s="3" t="inlineStr">
        <is>
          <t>매매</t>
        </is>
      </c>
      <c r="G681" s="4" t="n">
        <v>60000</v>
      </c>
      <c r="H681" s="4" t="n">
        <v>0</v>
      </c>
      <c r="I681" s="4" t="n">
        <v>413</v>
      </c>
      <c r="J681" s="4" t="n">
        <v>125</v>
      </c>
      <c r="K681" s="5" t="n">
        <v>480</v>
      </c>
      <c r="L681" s="4" t="n">
        <v>296</v>
      </c>
      <c r="M681" s="4" t="n">
        <v>90</v>
      </c>
      <c r="N681" s="5" t="n">
        <v>666.7</v>
      </c>
      <c r="O681" s="3" t="inlineStr">
        <is>
          <t>1동 2동 단독주택 가격조정가능 입지좋아요.전 101제곱미터도 포함</t>
        </is>
      </c>
      <c r="P681" s="6">
        <f>HYPERLINK("https://fin.land.naver.com/articles/2651366901", "매물Link")</f>
        <v/>
      </c>
      <c r="Q681" s="6">
        <f>HYPERLINK("https://map.naver.com/p/search/연서면 월하리 617", "지도Link")</f>
        <v/>
      </c>
      <c r="R681" s="6">
        <f>HYPERLINK("http://www.eum.go.kr/web/ar/lu/luLandDet.jsp?pnu=3611036021106170000&amp;isNoScr=script&amp;mode=search", "토지이음")</f>
        <v/>
      </c>
      <c r="S681" s="3" t="inlineStr">
        <is>
          <t>고운동리치세종</t>
        </is>
      </c>
      <c r="T681" s="4" t="n">
        <v>1</v>
      </c>
      <c r="U681" s="5" t="n">
        <v>157.5</v>
      </c>
      <c r="V681" s="4" t="n">
        <v>413</v>
      </c>
      <c r="W681" s="3" t="inlineStr">
        <is>
          <t>지정되지않음</t>
        </is>
      </c>
      <c r="X681" s="3" t="inlineStr">
        <is>
          <t>주거기타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월하리 618-1</t>
        </is>
      </c>
      <c r="B682" s="3" t="inlineStr">
        <is>
          <t>자연녹지지역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연립</t>
        </is>
      </c>
      <c r="F682" s="3" t="inlineStr">
        <is>
          <t>매매</t>
        </is>
      </c>
      <c r="G682" s="4" t="n">
        <v>8000</v>
      </c>
      <c r="H682" s="4" t="n">
        <v>0</v>
      </c>
      <c r="I682" s="4" t="n">
        <v>54</v>
      </c>
      <c r="J682" s="4" t="n">
        <v>16</v>
      </c>
      <c r="K682" s="5" t="n">
        <v>500</v>
      </c>
      <c r="L682" s="4" t="n">
        <v>54</v>
      </c>
      <c r="M682" s="4" t="n">
        <v>16</v>
      </c>
      <c r="N682" s="5" t="n">
        <v>500</v>
      </c>
      <c r="O682" s="3" t="inlineStr">
        <is>
          <t>욕실,주방,거실,샷시까지 올리모델링됨,세입자끼고매매,소액투자</t>
        </is>
      </c>
      <c r="P682" s="6">
        <f>HYPERLINK("https://fin.land.naver.com/articles/2650717018", "매물Link")</f>
        <v/>
      </c>
      <c r="Q682" s="6">
        <f>HYPERLINK("https://map.naver.com/p/search/연서면 월하리 618-1", "지도Link")</f>
        <v/>
      </c>
      <c r="R682" s="6">
        <f>HYPERLINK("http://www.eum.go.kr/web/ar/lu/luLandDet.jsp?pnu=3611036021106180001&amp;isNoScr=script&amp;mode=search", "토지이음")</f>
        <v/>
      </c>
      <c r="S682" s="3" t="inlineStr">
        <is>
          <t>신안무소</t>
        </is>
      </c>
      <c r="T682" s="4" t="n">
        <v>1</v>
      </c>
      <c r="U682" s="5" t="n">
        <v>151.2</v>
      </c>
      <c r="V682" s="4" t="n">
        <v>281</v>
      </c>
      <c r="W682" s="3" t="inlineStr">
        <is>
          <t>지정되지않음</t>
        </is>
      </c>
      <c r="X682" s="3" t="inlineStr">
        <is>
          <t>다세대</t>
        </is>
      </c>
      <c r="Y682" s="3" t="inlineStr">
        <is>
          <t>평지</t>
        </is>
      </c>
      <c r="Z682" s="3" t="inlineStr">
        <is>
          <t>부정형</t>
        </is>
      </c>
      <c r="AA682" s="3" t="inlineStr">
        <is>
          <t>세로한면(가)</t>
        </is>
      </c>
    </row>
    <row r="683">
      <c r="A683" s="3" t="inlineStr">
        <is>
          <t>연서면 월하리 647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전원주택</t>
        </is>
      </c>
      <c r="F683" s="3" t="inlineStr">
        <is>
          <t>매매</t>
        </is>
      </c>
      <c r="G683" s="4" t="n">
        <v>22000</v>
      </c>
      <c r="H683" s="4" t="n">
        <v>0</v>
      </c>
      <c r="I683" s="4" t="n">
        <v>291</v>
      </c>
      <c r="J683" s="4" t="n">
        <v>88</v>
      </c>
      <c r="K683" s="5" t="n">
        <v>250</v>
      </c>
      <c r="L683" s="4" t="n">
        <v>70</v>
      </c>
      <c r="M683" s="4" t="n">
        <v>21</v>
      </c>
      <c r="N683" s="5" t="n">
        <v>1047.6</v>
      </c>
      <c r="O683" s="3" t="inlineStr">
        <is>
          <t>6차선도로 인접이며 상태 좋은 주택입니다</t>
        </is>
      </c>
      <c r="P683" s="6">
        <f>HYPERLINK("https://fin.land.naver.com/articles/2652095425", "매물Link")</f>
        <v/>
      </c>
      <c r="Q683" s="6">
        <f>HYPERLINK("https://map.naver.com/p/search/연서면 월하리 647", "지도Link")</f>
        <v/>
      </c>
      <c r="R683" s="6">
        <f>HYPERLINK("http://www.eum.go.kr/web/ar/lu/luLandDet.jsp?pnu=3611036021106470000&amp;isNoScr=script&amp;mode=search", "토지이음")</f>
        <v/>
      </c>
      <c r="S683" s="3" t="inlineStr">
        <is>
          <t>지호주식회사</t>
        </is>
      </c>
      <c r="T683" s="4" t="n">
        <v>1</v>
      </c>
      <c r="U683" s="5" t="n">
        <v>157.5</v>
      </c>
      <c r="V683" s="4" t="n">
        <v>281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월하리 650-19</t>
        </is>
      </c>
      <c r="B684" s="3" t="inlineStr">
        <is>
          <t>자연녹지지역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30000</v>
      </c>
      <c r="H684" s="4" t="n">
        <v>0</v>
      </c>
      <c r="I684" s="4" t="n">
        <v>207</v>
      </c>
      <c r="J684" s="4" t="n">
        <v>63</v>
      </c>
      <c r="K684" s="5" t="n">
        <v>476.2</v>
      </c>
      <c r="L684" s="4" t="n">
        <v>82</v>
      </c>
      <c r="M684" s="4" t="n">
        <v>25</v>
      </c>
      <c r="N684" s="5" t="n">
        <v>1200</v>
      </c>
      <c r="O684" s="3" t="inlineStr">
        <is>
          <t>1번국도 인접한 교통좋고 깨끗한 2층단독주택.1층과 2층 모두 임대중.</t>
        </is>
      </c>
      <c r="P684" s="6">
        <f>HYPERLINK("https://fin.land.naver.com/articles/2653046906", "매물Link")</f>
        <v/>
      </c>
      <c r="Q684" s="6">
        <f>HYPERLINK("https://map.naver.com/p/search/연서면 월하리 650-19", "지도Link")</f>
        <v/>
      </c>
      <c r="R684" s="6">
        <f>HYPERLINK("http://www.eum.go.kr/web/ar/lu/luLandDet.jsp?pnu=3611036021106500019&amp;isNoScr=script&amp;mode=search", "토지이음")</f>
        <v/>
      </c>
      <c r="S684" s="3" t="inlineStr">
        <is>
          <t>세종대장</t>
        </is>
      </c>
      <c r="T684" s="4" t="n">
        <v>1</v>
      </c>
      <c r="U684" s="5" t="n">
        <v>157.5</v>
      </c>
      <c r="V684" s="4" t="n">
        <v>207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월하리 805</t>
        </is>
      </c>
      <c r="B685" s="3" t="inlineStr">
        <is>
          <t>자연녹지지역</t>
        </is>
      </c>
      <c r="C685" s="3" t="inlineStr">
        <is>
          <t>대</t>
        </is>
      </c>
      <c r="D685" s="3" t="inlineStr">
        <is>
          <t>2</t>
        </is>
      </c>
      <c r="E685" s="3" t="inlineStr">
        <is>
          <t>상가주택</t>
        </is>
      </c>
      <c r="F685" s="3" t="inlineStr">
        <is>
          <t>전세</t>
        </is>
      </c>
      <c r="G685" s="4" t="n">
        <v>11000</v>
      </c>
      <c r="H685" s="4" t="n">
        <v>0</v>
      </c>
      <c r="I685" s="4" t="n">
        <v>127</v>
      </c>
      <c r="J685" s="4" t="n">
        <v>38</v>
      </c>
      <c r="K685" s="5" t="n">
        <v>289.5</v>
      </c>
      <c r="L685" s="4" t="n">
        <v>127</v>
      </c>
      <c r="M685" s="4" t="n">
        <v>38</v>
      </c>
      <c r="N685" s="5" t="n">
        <v>289.5</v>
      </c>
      <c r="O685" s="3" t="inlineStr">
        <is>
          <t>도원초등학교 인근, 남향, 방4, 욕실2, 넓은 주택 전세입니다.</t>
        </is>
      </c>
      <c r="P685" s="6">
        <f>HYPERLINK("https://fin.land.naver.com/articles/2655676609", "매물Link")</f>
        <v/>
      </c>
      <c r="Q685" s="6">
        <f>HYPERLINK("https://map.naver.com/p/search/연서면 월하리 805", "지도Link")</f>
        <v/>
      </c>
      <c r="R685" s="6">
        <f>HYPERLINK("http://www.eum.go.kr/web/ar/lu/luLandDet.jsp?pnu=3611036021108050000&amp;isNoScr=script&amp;mode=search", "토지이음")</f>
        <v/>
      </c>
      <c r="S685" s="3" t="inlineStr">
        <is>
          <t>하늘</t>
        </is>
      </c>
      <c r="T685" s="4" t="n">
        <v>1</v>
      </c>
      <c r="U685" s="5" t="n">
        <v>242.8</v>
      </c>
      <c r="V685" s="4" t="n">
        <v>638</v>
      </c>
      <c r="W685" s="3" t="inlineStr">
        <is>
          <t>지정되지않음</t>
        </is>
      </c>
      <c r="X685" s="3" t="inlineStr">
        <is>
          <t>상업기타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소로각지</t>
        </is>
      </c>
    </row>
    <row r="686">
      <c r="A686" s="3" t="inlineStr">
        <is>
          <t>연서면 월하리 805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상가주택</t>
        </is>
      </c>
      <c r="F686" s="3" t="inlineStr">
        <is>
          <t>매매</t>
        </is>
      </c>
      <c r="G686" s="4" t="n">
        <v>100000</v>
      </c>
      <c r="H686" s="4" t="n">
        <v>0</v>
      </c>
      <c r="I686" s="4" t="n">
        <v>637</v>
      </c>
      <c r="J686" s="4" t="n">
        <v>193</v>
      </c>
      <c r="K686" s="5" t="n">
        <v>518.1</v>
      </c>
      <c r="L686" s="4" t="n">
        <v>330</v>
      </c>
      <c r="M686" s="4" t="n">
        <v>100</v>
      </c>
      <c r="N686" s="5" t="n">
        <v>1000</v>
      </c>
      <c r="O686" s="3" t="inlineStr">
        <is>
          <t>자이 아파트에서  면사무소 가는길 2차선 변에 있음.</t>
        </is>
      </c>
      <c r="P686" s="6">
        <f>HYPERLINK("https://fin.land.naver.com/articles/2650807142", "매물Link")</f>
        <v/>
      </c>
      <c r="Q686" s="6">
        <f>HYPERLINK("https://map.naver.com/p/search/연서면 월하리 805", "지도Link")</f>
        <v/>
      </c>
      <c r="R686" s="6">
        <f>HYPERLINK("http://www.eum.go.kr/web/ar/lu/luLandDet.jsp?pnu=3611036021108050000&amp;isNoScr=script&amp;mode=search", "토지이음")</f>
        <v/>
      </c>
      <c r="S686" s="3" t="inlineStr">
        <is>
          <t>꿈드림</t>
        </is>
      </c>
      <c r="T686" s="4" t="n">
        <v>1</v>
      </c>
      <c r="U686" s="5" t="n">
        <v>242.8</v>
      </c>
      <c r="V686" s="4" t="n">
        <v>638</v>
      </c>
      <c r="W686" s="3" t="inlineStr">
        <is>
          <t>지정되지않음</t>
        </is>
      </c>
      <c r="X686" s="3" t="inlineStr">
        <is>
          <t>상업기타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소로각지</t>
        </is>
      </c>
    </row>
    <row r="687">
      <c r="A687" s="3" t="inlineStr">
        <is>
          <t>연서면 월하리 805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상가주택</t>
        </is>
      </c>
      <c r="F687" s="3" t="inlineStr">
        <is>
          <t>매매</t>
        </is>
      </c>
      <c r="G687" s="4" t="n">
        <v>100000</v>
      </c>
      <c r="H687" s="4" t="n">
        <v>0</v>
      </c>
      <c r="I687" s="4" t="n">
        <v>637</v>
      </c>
      <c r="J687" s="4" t="n">
        <v>193</v>
      </c>
      <c r="K687" s="5" t="n">
        <v>518.1</v>
      </c>
      <c r="L687" s="4" t="n">
        <v>330</v>
      </c>
      <c r="M687" s="4" t="n">
        <v>100</v>
      </c>
      <c r="N687" s="5" t="n">
        <v>1000</v>
      </c>
      <c r="O687" s="3" t="inlineStr">
        <is>
          <t>관리가 잘된 상가주택. 1층 상가, 2층 주택 전체매매</t>
        </is>
      </c>
      <c r="P687" s="6">
        <f>HYPERLINK("https://fin.land.naver.com/articles/2654658444", "매물Link")</f>
        <v/>
      </c>
      <c r="Q687" s="6">
        <f>HYPERLINK("https://map.naver.com/p/search/연서면 월하리 805", "지도Link")</f>
        <v/>
      </c>
      <c r="R687" s="6">
        <f>HYPERLINK("http://www.eum.go.kr/web/ar/lu/luLandDet.jsp?pnu=3611036021108050000&amp;isNoScr=script&amp;mode=search",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242.8</v>
      </c>
      <c r="V687" s="4" t="n">
        <v>638</v>
      </c>
      <c r="W687" s="3" t="inlineStr">
        <is>
          <t>지정되지않음</t>
        </is>
      </c>
      <c r="X687" s="3" t="inlineStr">
        <is>
          <t>상업기타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소로각지</t>
        </is>
      </c>
    </row>
    <row r="688">
      <c r="A688" s="3" t="inlineStr">
        <is>
          <t>오송읍 공북리 180-4</t>
        </is>
      </c>
      <c r="B688" s="3" t="inlineStr">
        <is>
          <t>농림지역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전원주택</t>
        </is>
      </c>
      <c r="F688" s="3" t="inlineStr">
        <is>
          <t>매매</t>
        </is>
      </c>
      <c r="G688" s="4" t="n">
        <v>63000</v>
      </c>
      <c r="H688" s="4" t="n">
        <v>0</v>
      </c>
      <c r="I688" s="4" t="n">
        <v>550</v>
      </c>
      <c r="J688" s="4" t="n">
        <v>166</v>
      </c>
      <c r="K688" s="5" t="n">
        <v>379.5</v>
      </c>
      <c r="L688" s="4" t="n">
        <v>185</v>
      </c>
      <c r="M688" s="4" t="n">
        <v>56</v>
      </c>
      <c r="N688" s="5" t="n">
        <v>1125</v>
      </c>
      <c r="O688" s="3" t="inlineStr">
        <is>
          <t>nan</t>
        </is>
      </c>
      <c r="P688" s="6">
        <f>HYPERLINK("https://fin.land.naver.com/articles/2652740158", "매물Link")</f>
        <v/>
      </c>
      <c r="Q688" s="6">
        <f>HYPERLINK("https://map.naver.com/p/search/오송읍 공북리 180-4", "지도Link")</f>
        <v/>
      </c>
      <c r="R688" s="6">
        <f>HYPERLINK("http://www.eum.go.kr/web/ar/lu/luLandDet.jsp?pnu=4311325023101800004&amp;isNoScr=script&amp;mode=search", "토지이음")</f>
        <v/>
      </c>
      <c r="S688" s="3" t="inlineStr">
        <is>
          <t>좋은선택</t>
        </is>
      </c>
      <c r="T688" s="4" t="n">
        <v>1</v>
      </c>
      <c r="U688" s="5" t="n">
        <v>57.8</v>
      </c>
      <c r="V688" s="4" t="n">
        <v>550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소로각지</t>
        </is>
      </c>
    </row>
    <row r="689">
      <c r="A689" s="3" t="inlineStr">
        <is>
          <t>오송읍 공북리 552-17</t>
        </is>
      </c>
      <c r="B689" s="3" t="inlineStr">
        <is>
          <t>보전관리지역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전원주택</t>
        </is>
      </c>
      <c r="F689" s="3" t="inlineStr">
        <is>
          <t>매매</t>
        </is>
      </c>
      <c r="G689" s="4" t="n">
        <v>70000</v>
      </c>
      <c r="H689" s="4" t="n">
        <v>0</v>
      </c>
      <c r="I689" s="4" t="n">
        <v>720</v>
      </c>
      <c r="J689" s="4" t="n">
        <v>218</v>
      </c>
      <c r="K689" s="5" t="n">
        <v>321.1</v>
      </c>
      <c r="L689" s="4" t="n">
        <v>143</v>
      </c>
      <c r="M689" s="4" t="n">
        <v>43</v>
      </c>
      <c r="N689" s="5" t="n">
        <v>1627.9</v>
      </c>
      <c r="O689" s="3" t="inlineStr">
        <is>
          <t>가격인하 넓은대지 조용한 주택매매</t>
        </is>
      </c>
      <c r="P689" s="6">
        <f>HYPERLINK("https://fin.land.naver.com/articles/2654151778", "매물Link")</f>
        <v/>
      </c>
      <c r="Q689" s="6">
        <f>HYPERLINK("https://map.naver.com/p/search/오송읍 공북리 552-17", "지도Link")</f>
        <v/>
      </c>
      <c r="R689" s="6">
        <f>HYPERLINK("http://www.eum.go.kr/web/ar/lu/luLandDet.jsp?pnu=4311325023105520017&amp;isNoScr=script&amp;mode=search", "토지이음")</f>
        <v/>
      </c>
      <c r="S689" s="3" t="inlineStr">
        <is>
          <t>학사</t>
        </is>
      </c>
      <c r="T689" s="4" t="n">
        <v>1</v>
      </c>
      <c r="U689" s="5" t="n">
        <v>48.9</v>
      </c>
      <c r="V689" s="4" t="n">
        <v>720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완경사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오송읍 공북리 74-8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35400</v>
      </c>
      <c r="H690" s="4" t="n">
        <v>0</v>
      </c>
      <c r="I690" s="4" t="n">
        <v>585</v>
      </c>
      <c r="J690" s="4" t="n">
        <v>177</v>
      </c>
      <c r="K690" s="5" t="n">
        <v>200</v>
      </c>
      <c r="L690" s="4" t="n">
        <v>139</v>
      </c>
      <c r="M690" s="4" t="n">
        <v>42</v>
      </c>
      <c r="N690" s="5" t="n">
        <v>842.9</v>
      </c>
      <c r="O690" s="3" t="inlineStr">
        <is>
          <t>nan</t>
        </is>
      </c>
      <c r="P690" s="6">
        <f>HYPERLINK("https://fin.land.naver.com/articles/2652704788", "매물Link")</f>
        <v/>
      </c>
      <c r="Q690" s="6">
        <f>HYPERLINK("https://map.naver.com/p/search/오송읍 공북리 74-8", "지도Link")</f>
        <v/>
      </c>
      <c r="R690" s="6">
        <f>HYPERLINK("http://www.eum.go.kr/web/ar/lu/luLandDet.jsp?pnu=4311325023100740008&amp;isNoScr=script&amp;mode=search", "토지이음")</f>
        <v/>
      </c>
      <c r="S690" s="3" t="inlineStr">
        <is>
          <t>365</t>
        </is>
      </c>
      <c r="T690" s="4" t="n">
        <v>2</v>
      </c>
      <c r="U690" s="5" t="n">
        <v>65.8</v>
      </c>
      <c r="V690" s="4" t="n">
        <v>450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세로한면(불)</t>
        </is>
      </c>
    </row>
    <row r="691">
      <c r="A691" s="3" t="inlineStr">
        <is>
          <t>오송읍 궁평리 215-10</t>
        </is>
      </c>
      <c r="B691" s="3" t="inlineStr">
        <is>
          <t>농림지역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월세</t>
        </is>
      </c>
      <c r="G691" s="4" t="n">
        <v>500</v>
      </c>
      <c r="H691" s="4" t="n">
        <v>65</v>
      </c>
      <c r="I691" s="4" t="n">
        <v>0</v>
      </c>
      <c r="J691" s="4" t="n">
        <v>0</v>
      </c>
      <c r="K691" s="5" t="n">
        <v>0</v>
      </c>
      <c r="L691" s="4" t="n">
        <v>40</v>
      </c>
      <c r="M691" s="4" t="n">
        <v>12</v>
      </c>
      <c r="N691" s="5" t="n">
        <v>5.4</v>
      </c>
      <c r="O691" s="3" t="inlineStr">
        <is>
          <t>마당있는 단독주택,신축 투베이,내년6월까지거주가능</t>
        </is>
      </c>
      <c r="P691" s="6">
        <f>HYPERLINK("https://fin.land.naver.com/articles/2653170109", "매물Link")</f>
        <v/>
      </c>
      <c r="Q691" s="6">
        <f>HYPERLINK("https://map.naver.com/p/search/오송읍 궁평리 215-10", "지도Link")</f>
        <v/>
      </c>
      <c r="R691" s="6">
        <f>HYPERLINK("http://www.eum.go.kr/web/ar/lu/luLandDet.jsp?pnu=4311325027102150010&amp;isNoScr=script&amp;mode=search", "토지이음")</f>
        <v/>
      </c>
      <c r="S691" s="3" t="inlineStr">
        <is>
          <t>오송올래</t>
        </is>
      </c>
      <c r="T691" s="4" t="n">
        <v>1</v>
      </c>
      <c r="U691" s="5" t="n">
        <v>124.6</v>
      </c>
      <c r="V691" s="4" t="n">
        <v>660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정방형</t>
        </is>
      </c>
      <c r="AA691" s="3" t="inlineStr">
        <is>
          <t>세로각지(가)</t>
        </is>
      </c>
    </row>
    <row r="692">
      <c r="A692" s="3" t="inlineStr">
        <is>
          <t>오송읍 궁평리 215-16</t>
        </is>
      </c>
      <c r="B692" s="3" t="inlineStr">
        <is>
          <t>농림지역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월세</t>
        </is>
      </c>
      <c r="G692" s="4" t="n">
        <v>500</v>
      </c>
      <c r="H692" s="4" t="n">
        <v>55</v>
      </c>
      <c r="I692" s="4" t="n">
        <v>49</v>
      </c>
      <c r="J692" s="4" t="n">
        <v>15</v>
      </c>
      <c r="K692" s="5" t="n">
        <v>3.7</v>
      </c>
      <c r="L692" s="4" t="n">
        <v>49</v>
      </c>
      <c r="M692" s="4" t="n">
        <v>15</v>
      </c>
      <c r="N692" s="5" t="n">
        <v>3.7</v>
      </c>
      <c r="O692" s="3" t="inlineStr">
        <is>
          <t>오스코앞,건축1년,주차,층간소음 없음,9월말입주</t>
        </is>
      </c>
      <c r="P692" s="6">
        <f>HYPERLINK("https://fin.land.naver.com/articles/2653217008", "매물Link")</f>
        <v/>
      </c>
      <c r="Q692" s="6">
        <f>HYPERLINK("https://map.naver.com/p/search/오송읍 궁평리 215-16", "지도Link")</f>
        <v/>
      </c>
      <c r="R692" s="6">
        <f>HYPERLINK("http://www.eum.go.kr/web/ar/lu/luLandDet.jsp?pnu=4311325027102150016&amp;isNoScr=script&amp;mode=search", "토지이음")</f>
        <v/>
      </c>
      <c r="S692" s="3" t="inlineStr">
        <is>
          <t>대학합동사무소</t>
        </is>
      </c>
      <c r="T692" s="4" t="n">
        <v>1</v>
      </c>
      <c r="U692" s="5" t="n">
        <v>119.8</v>
      </c>
      <c r="V692" s="4" t="n">
        <v>285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오송읍 궁평리 268-7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75000</v>
      </c>
      <c r="H693" s="4" t="n">
        <v>0</v>
      </c>
      <c r="I693" s="4" t="n">
        <v>493</v>
      </c>
      <c r="J693" s="4" t="n">
        <v>149</v>
      </c>
      <c r="K693" s="5" t="n">
        <v>503.4</v>
      </c>
      <c r="L693" s="4" t="n">
        <v>93</v>
      </c>
      <c r="M693" s="4" t="n">
        <v>28</v>
      </c>
      <c r="N693" s="5" t="n">
        <v>2678.6</v>
      </c>
      <c r="O693" s="3" t="inlineStr">
        <is>
          <t>매물특징</t>
        </is>
      </c>
      <c r="P693" s="6">
        <f>HYPERLINK("https://fin.land.naver.com/articles/2654431949", "매물Link")</f>
        <v/>
      </c>
      <c r="Q693" s="6">
        <f>HYPERLINK("https://map.naver.com/p/search/오송읍 궁평리 268-7", "지도Link")</f>
        <v/>
      </c>
      <c r="R693" s="6">
        <f>HYPERLINK("http://www.eum.go.kr/web/ar/lu/luLandDet.jsp?pnu=4311325027102680007&amp;isNoScr=script&amp;mode=search", "토지이음")</f>
        <v/>
      </c>
      <c r="S693" s="3" t="inlineStr">
        <is>
          <t>오송궁평마을</t>
        </is>
      </c>
      <c r="T693" s="4" t="n">
        <v>1</v>
      </c>
      <c r="U693" s="5" t="n">
        <v>152.8</v>
      </c>
      <c r="V693" s="4" t="n">
        <v>493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세로각지(가)</t>
        </is>
      </c>
    </row>
    <row r="694">
      <c r="A694" s="3" t="inlineStr">
        <is>
          <t>오송읍 궁평리 63-3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32000</v>
      </c>
      <c r="H694" s="4" t="n">
        <v>0</v>
      </c>
      <c r="I694" s="4" t="n">
        <v>363</v>
      </c>
      <c r="J694" s="4" t="n">
        <v>110</v>
      </c>
      <c r="K694" s="5" t="n">
        <v>290.9</v>
      </c>
      <c r="L694" s="4" t="n">
        <v>88</v>
      </c>
      <c r="M694" s="4" t="n">
        <v>27</v>
      </c>
      <c r="N694" s="5" t="n">
        <v>1185.2</v>
      </c>
      <c r="O694" s="3" t="inlineStr">
        <is>
          <t>준 신축급의 단독주택 매매</t>
        </is>
      </c>
      <c r="P694" s="6">
        <f>HYPERLINK("https://fin.land.naver.com/articles/2654097447", "매물Link")</f>
        <v/>
      </c>
      <c r="Q694" s="6">
        <f>HYPERLINK("https://map.naver.com/p/search/오송읍 궁평리 63-3", "지도Link")</f>
        <v/>
      </c>
      <c r="R694" s="6">
        <f>HYPERLINK("http://www.eum.go.kr/web/ar/lu/luLandDet.jsp?pnu=4311325027100630003&amp;isNoScr=script&amp;mode=search", "토지이음")</f>
        <v/>
      </c>
      <c r="S694" s="3" t="inlineStr">
        <is>
          <t>제이</t>
        </is>
      </c>
      <c r="T694" s="4" t="n">
        <v>1</v>
      </c>
      <c r="U694" s="5" t="n">
        <v>96.3</v>
      </c>
      <c r="V694" s="4" t="n">
        <v>363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부정형</t>
        </is>
      </c>
      <c r="AA694" s="3" t="inlineStr">
        <is>
          <t>세로한면(가)</t>
        </is>
      </c>
    </row>
    <row r="695">
      <c r="A695" s="3" t="inlineStr">
        <is>
          <t>오송읍 궁평리 75-12</t>
        </is>
      </c>
      <c r="B695" s="3" t="inlineStr">
        <is>
          <t>농림지역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50000</v>
      </c>
      <c r="H695" s="4" t="n">
        <v>0</v>
      </c>
      <c r="I695" s="4" t="n">
        <v>493</v>
      </c>
      <c r="J695" s="4" t="n">
        <v>149</v>
      </c>
      <c r="K695" s="5" t="n">
        <v>335.6</v>
      </c>
      <c r="L695" s="4" t="n">
        <v>84</v>
      </c>
      <c r="M695" s="4" t="n">
        <v>25</v>
      </c>
      <c r="N695" s="5" t="n">
        <v>2000</v>
      </c>
      <c r="O695" s="3" t="inlineStr">
        <is>
          <t>궁평리 준신축</t>
        </is>
      </c>
      <c r="P695" s="6">
        <f>HYPERLINK("https://fin.land.naver.com/articles/2653597045", "매물Link")</f>
        <v/>
      </c>
      <c r="Q695" s="6">
        <f>HYPERLINK("https://map.naver.com/p/search/오송읍 궁평리 75-12", "지도Link")</f>
        <v/>
      </c>
      <c r="R695" s="6">
        <f>HYPERLINK("http://www.eum.go.kr/web/ar/lu/luLandDet.jsp?pnu=4311325027100750012&amp;isNoScr=script&amp;mode=search", "토지이음")</f>
        <v/>
      </c>
      <c r="S695" s="3" t="inlineStr">
        <is>
          <t>수풀림</t>
        </is>
      </c>
      <c r="T695" s="4" t="n">
        <v>1</v>
      </c>
      <c r="U695" s="5" t="n">
        <v>83.40000000000001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가로장방</t>
        </is>
      </c>
      <c r="AA695" s="3" t="inlineStr">
        <is>
          <t>세로한면(불)</t>
        </is>
      </c>
    </row>
    <row r="696">
      <c r="A696" s="3" t="inlineStr">
        <is>
          <t>오송읍 동평리 136-3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월세</t>
        </is>
      </c>
      <c r="G696" s="4" t="n">
        <v>500</v>
      </c>
      <c r="H696" s="4" t="n">
        <v>55</v>
      </c>
      <c r="I696" s="4" t="n">
        <v>61</v>
      </c>
      <c r="J696" s="4" t="n">
        <v>18</v>
      </c>
      <c r="K696" s="5" t="n">
        <v>3.1</v>
      </c>
      <c r="L696" s="4" t="n">
        <v>61</v>
      </c>
      <c r="M696" s="4" t="n">
        <v>18</v>
      </c>
      <c r="N696" s="5" t="n">
        <v>3.1</v>
      </c>
      <c r="O696" s="3" t="inlineStr">
        <is>
          <t>마당있는 아담한 단독주택 월세</t>
        </is>
      </c>
      <c r="P696" s="6">
        <f>HYPERLINK("https://fin.land.naver.com/articles/2652930641", "매물Link")</f>
        <v/>
      </c>
      <c r="Q696" s="6">
        <f>HYPERLINK("https://map.naver.com/p/search/오송읍 동평리 136-3", "지도Link")</f>
        <v/>
      </c>
      <c r="R696" s="6">
        <f>HYPERLINK("http://www.eum.go.kr/web/ar/lu/luLandDet.jsp?pnu=4311325029101360003&amp;isNoScr=script&amp;mode=search", "토지이음")</f>
        <v/>
      </c>
      <c r="S696" s="3" t="inlineStr">
        <is>
          <t>토담</t>
        </is>
      </c>
      <c r="T696" s="4" t="n">
        <v>1</v>
      </c>
      <c r="U696" s="5" t="n">
        <v>104.2</v>
      </c>
      <c r="V696" s="4" t="n">
        <v>676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오송읍 동평리 77-6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빌라</t>
        </is>
      </c>
      <c r="F697" s="3" t="inlineStr">
        <is>
          <t>매매</t>
        </is>
      </c>
      <c r="G697" s="4" t="n">
        <v>18000</v>
      </c>
      <c r="H697" s="4" t="n">
        <v>0</v>
      </c>
      <c r="I697" s="4" t="n">
        <v>76</v>
      </c>
      <c r="J697" s="4" t="n">
        <v>23</v>
      </c>
      <c r="K697" s="5" t="n">
        <v>782.6</v>
      </c>
      <c r="L697" s="4" t="n">
        <v>66</v>
      </c>
      <c r="M697" s="4" t="n">
        <v>20</v>
      </c>
      <c r="N697" s="5" t="n">
        <v>900</v>
      </c>
      <c r="O697" s="3" t="inlineStr">
        <is>
          <t>nan</t>
        </is>
      </c>
      <c r="P697" s="6">
        <f>HYPERLINK("https://fin.land.naver.com/articles/2655277471", "매물Link")</f>
        <v/>
      </c>
      <c r="Q697" s="6">
        <f>HYPERLINK("https://map.naver.com/p/search/오송읍 동평리 77-6", "지도Link")</f>
        <v/>
      </c>
      <c r="R697" s="6">
        <f>HYPERLINK("http://www.eum.go.kr/web/ar/lu/luLandDet.jsp?pnu=4311325029100770006&amp;isNoScr=script&amp;mode=search", "토지이음")</f>
        <v/>
      </c>
      <c r="S697" s="3" t="inlineStr">
        <is>
          <t>오송랜드</t>
        </is>
      </c>
      <c r="T697" s="4" t="n">
        <v>1</v>
      </c>
      <c r="U697" s="5" t="n">
        <v>104.2</v>
      </c>
      <c r="V697" s="4" t="n">
        <v>1875</v>
      </c>
      <c r="W697" s="3" t="inlineStr">
        <is>
          <t>지정되지않음</t>
        </is>
      </c>
      <c r="X697" s="3" t="inlineStr">
        <is>
          <t>다세대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오송읍 동평리 88-5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매매</t>
        </is>
      </c>
      <c r="G698" s="4" t="n">
        <v>35000</v>
      </c>
      <c r="H698" s="4" t="n">
        <v>0</v>
      </c>
      <c r="I698" s="4" t="n">
        <v>387</v>
      </c>
      <c r="J698" s="4" t="n">
        <v>117</v>
      </c>
      <c r="K698" s="5" t="n">
        <v>299.1</v>
      </c>
      <c r="L698" s="4" t="n">
        <v>83</v>
      </c>
      <c r="M698" s="4" t="n">
        <v>25</v>
      </c>
      <c r="N698" s="5" t="n">
        <v>1400</v>
      </c>
      <c r="O698" s="3" t="inlineStr">
        <is>
          <t>국가산단 수용지에 연접한 계획관리지역 주택, 착한가격의 투자매물</t>
        </is>
      </c>
      <c r="P698" s="6">
        <f>HYPERLINK("https://fin.land.naver.com/articles/2654629848", "매물Link")</f>
        <v/>
      </c>
      <c r="Q698" s="6">
        <f>HYPERLINK("https://map.naver.com/p/search/오송읍 동평리 88-5", "지도Link")</f>
        <v/>
      </c>
      <c r="R698" s="6">
        <f>HYPERLINK("http://www.eum.go.kr/web/ar/lu/luLandDet.jsp?pnu=4311325029100880005&amp;isNoScr=script&amp;mode=search", "토지이음")</f>
        <v/>
      </c>
      <c r="S698" s="3" t="inlineStr">
        <is>
          <t>오송3산단  사무소</t>
        </is>
      </c>
      <c r="T698" s="4" t="n">
        <v>1</v>
      </c>
      <c r="U698" s="5" t="n">
        <v>107.3</v>
      </c>
      <c r="V698" s="4" t="n">
        <v>340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오송읍 동평리 88-8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단독</t>
        </is>
      </c>
      <c r="F699" s="3" t="inlineStr">
        <is>
          <t>월세</t>
        </is>
      </c>
      <c r="G699" s="4" t="n">
        <v>5000</v>
      </c>
      <c r="H699" s="4" t="n">
        <v>20</v>
      </c>
      <c r="I699" s="4" t="n">
        <v>49</v>
      </c>
      <c r="J699" s="4" t="n">
        <v>15</v>
      </c>
      <c r="K699" s="5" t="n">
        <v>1.3</v>
      </c>
      <c r="L699" s="4" t="n">
        <v>49</v>
      </c>
      <c r="M699" s="4" t="n">
        <v>15</v>
      </c>
      <c r="N699" s="5" t="n">
        <v>1.3</v>
      </c>
      <c r="O699" s="3" t="inlineStr">
        <is>
          <t>세종시와 경계인 오송읍 동평리임,오송과 세종에 직장인분 편리함.</t>
        </is>
      </c>
      <c r="P699" s="6">
        <f>HYPERLINK("https://fin.land.naver.com/articles/2651114553", "매물Link")</f>
        <v/>
      </c>
      <c r="Q699" s="6">
        <f>HYPERLINK("https://map.naver.com/p/search/오송읍 동평리 88-8", "지도Link")</f>
        <v/>
      </c>
      <c r="R699" s="6">
        <f>HYPERLINK("http://www.eum.go.kr/web/ar/lu/luLandDet.jsp?pnu=4311325029100880008&amp;isNoScr=script&amp;mode=search",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107.3</v>
      </c>
      <c r="V699" s="4" t="n">
        <v>300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오송읍 동평리 90-9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월세</t>
        </is>
      </c>
      <c r="G700" s="4" t="n">
        <v>300</v>
      </c>
      <c r="H700" s="4" t="n">
        <v>35</v>
      </c>
      <c r="I700" s="4" t="n">
        <v>36</v>
      </c>
      <c r="J700" s="4" t="n">
        <v>11</v>
      </c>
      <c r="K700" s="5" t="n">
        <v>3.2</v>
      </c>
      <c r="L700" s="4" t="n">
        <v>36</v>
      </c>
      <c r="M700" s="4" t="n">
        <v>11</v>
      </c>
      <c r="N700" s="5" t="n">
        <v>3.2</v>
      </c>
      <c r="O700" s="3" t="inlineStr">
        <is>
          <t>Osong.오송역 가까운 조용한 단독 투룸</t>
        </is>
      </c>
      <c r="P700" s="6">
        <f>HYPERLINK("https://fin.land.naver.com/articles/2654239804", "매물Link")</f>
        <v/>
      </c>
      <c r="Q700" s="6">
        <f>HYPERLINK("https://map.naver.com/p/search/오송읍 동평리 90-9", "지도Link")</f>
        <v/>
      </c>
      <c r="R700" s="6">
        <f>HYPERLINK("http://www.eum.go.kr/web/ar/lu/luLandDet.jsp?pnu=4311325029100900009&amp;isNoScr=script&amp;mode=search", "토지이음")</f>
        <v/>
      </c>
      <c r="S700" s="3" t="inlineStr">
        <is>
          <t>송림(松林) 사무소</t>
        </is>
      </c>
      <c r="T700" s="4" t="n">
        <v>1</v>
      </c>
      <c r="U700" s="5" t="n">
        <v>104.2</v>
      </c>
      <c r="V700" s="4" t="n">
        <v>154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오송읍 동평리 97-5</t>
        </is>
      </c>
      <c r="B701" s="3" t="inlineStr">
        <is>
          <t>계획관리지역</t>
        </is>
      </c>
      <c r="C701" s="3" t="inlineStr">
        <is>
          <t>답</t>
        </is>
      </c>
      <c r="D701" s="3" t="inlineStr">
        <is>
          <t>1</t>
        </is>
      </c>
      <c r="E701" s="3" t="inlineStr">
        <is>
          <t>단독</t>
        </is>
      </c>
      <c r="F701" s="3" t="inlineStr">
        <is>
          <t>월세</t>
        </is>
      </c>
      <c r="G701" s="4" t="n">
        <v>1000</v>
      </c>
      <c r="H701" s="4" t="n">
        <v>55</v>
      </c>
      <c r="I701" s="4" t="n">
        <v>50</v>
      </c>
      <c r="J701" s="4" t="n">
        <v>15</v>
      </c>
      <c r="K701" s="5" t="n">
        <v>3.7</v>
      </c>
      <c r="L701" s="4" t="n">
        <v>50</v>
      </c>
      <c r="M701" s="4" t="n">
        <v>15</v>
      </c>
      <c r="N701" s="5" t="n">
        <v>3.7</v>
      </c>
      <c r="O701" s="3" t="inlineStr">
        <is>
          <t>애견가능.깨끗한마당있는넓은투베이</t>
        </is>
      </c>
      <c r="P701" s="6">
        <f>HYPERLINK("https://fin.land.naver.com/articles/2654335455", "매물Link")</f>
        <v/>
      </c>
      <c r="Q701" s="6">
        <f>HYPERLINK("https://map.naver.com/p/search/오송읍 동평리 97-5", "지도Link")</f>
        <v/>
      </c>
      <c r="R701" s="6">
        <f>HYPERLINK("http://www.eum.go.kr/web/ar/lu/luLandDet.jsp?pnu=4311325029100970005&amp;isNoScr=script&amp;mode=search", "토지이음")</f>
        <v/>
      </c>
      <c r="S701" s="3" t="inlineStr">
        <is>
          <t>태원</t>
        </is>
      </c>
      <c r="T701" s="4" t="n">
        <v>1</v>
      </c>
      <c r="U701" s="5" t="n">
        <v>107.3</v>
      </c>
      <c r="V701" s="4" t="n">
        <v>132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세로장방</t>
        </is>
      </c>
      <c r="AA701" s="3" t="inlineStr">
        <is>
          <t>세로한면(가)</t>
        </is>
      </c>
    </row>
    <row r="702">
      <c r="A702" s="3" t="inlineStr">
        <is>
          <t>오송읍 동평리 97-5</t>
        </is>
      </c>
      <c r="B702" s="3" t="inlineStr">
        <is>
          <t>계획관리지역</t>
        </is>
      </c>
      <c r="C702" s="3" t="inlineStr">
        <is>
          <t>답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월세</t>
        </is>
      </c>
      <c r="G702" s="4" t="n">
        <v>1000</v>
      </c>
      <c r="H702" s="4" t="n">
        <v>55</v>
      </c>
      <c r="I702" s="4" t="n">
        <v>0</v>
      </c>
      <c r="J702" s="4" t="n">
        <v>0</v>
      </c>
      <c r="K702" s="5" t="n">
        <v>0</v>
      </c>
      <c r="L702" s="4" t="n">
        <v>50</v>
      </c>
      <c r="M702" s="4" t="n">
        <v>15</v>
      </c>
      <c r="N702" s="5" t="n">
        <v>3.7</v>
      </c>
      <c r="O702" s="3" t="inlineStr">
        <is>
          <t>마당 있는 집. 냉장고 세탁기 거실에어컨 전자레인지 커텐</t>
        </is>
      </c>
      <c r="P702" s="6">
        <f>HYPERLINK("https://fin.land.naver.com/articles/2650466895", "매물Link")</f>
        <v/>
      </c>
      <c r="Q702" s="6">
        <f>HYPERLINK("https://map.naver.com/p/search/오송읍 동평리 97-5", "지도Link")</f>
        <v/>
      </c>
      <c r="R702" s="6">
        <f>HYPERLINK("http://www.eum.go.kr/web/ar/lu/luLandDet.jsp?pnu=4311325029100970005&amp;isNoScr=script&amp;mode=search", "토지이음")</f>
        <v/>
      </c>
      <c r="S702" s="3" t="inlineStr">
        <is>
          <t>오송이삭</t>
        </is>
      </c>
      <c r="T702" s="4" t="n">
        <v>1</v>
      </c>
      <c r="U702" s="5" t="n">
        <v>107.3</v>
      </c>
      <c r="V702" s="4" t="n">
        <v>132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세로장방</t>
        </is>
      </c>
      <c r="AA702" s="3" t="inlineStr">
        <is>
          <t>세로한면(가)</t>
        </is>
      </c>
    </row>
    <row r="703">
      <c r="A703" s="3" t="inlineStr">
        <is>
          <t>오송읍 동평리 97-5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월세</t>
        </is>
      </c>
      <c r="G703" s="4" t="n">
        <v>1000</v>
      </c>
      <c r="H703" s="4" t="n">
        <v>55</v>
      </c>
      <c r="I703" s="4" t="n">
        <v>50</v>
      </c>
      <c r="J703" s="4" t="n">
        <v>15</v>
      </c>
      <c r="K703" s="5" t="n">
        <v>3.7</v>
      </c>
      <c r="L703" s="4" t="n">
        <v>50</v>
      </c>
      <c r="M703" s="4" t="n">
        <v>15</v>
      </c>
      <c r="N703" s="5" t="n">
        <v>3.7</v>
      </c>
      <c r="O703" s="3" t="inlineStr">
        <is>
          <t>애견가능, 마당, 투베이,에어컨,세탁기,냉장고,전자레인지</t>
        </is>
      </c>
      <c r="P703" s="6">
        <f>HYPERLINK("https://fin.land.naver.com/articles/2652322955", "매물Link")</f>
        <v/>
      </c>
      <c r="Q703" s="6">
        <f>HYPERLINK("https://map.naver.com/p/search/오송읍 동평리 97-5", "지도Link")</f>
        <v/>
      </c>
      <c r="R703" s="6">
        <f>HYPERLINK("http://www.eum.go.kr/web/ar/lu/luLandDet.jsp?pnu=4311325029100970005&amp;isNoScr=script&amp;mode=search", "토지이음")</f>
        <v/>
      </c>
      <c r="S703" s="3" t="inlineStr">
        <is>
          <t>세종큰길</t>
        </is>
      </c>
      <c r="T703" s="4" t="n">
        <v>1</v>
      </c>
      <c r="U703" s="5" t="n">
        <v>107.3</v>
      </c>
      <c r="V703" s="4" t="n">
        <v>132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세로장방</t>
        </is>
      </c>
      <c r="AA703" s="3" t="inlineStr">
        <is>
          <t>세로한면(가)</t>
        </is>
      </c>
    </row>
    <row r="704">
      <c r="A704" s="3" t="inlineStr">
        <is>
          <t>오송읍 동평리 99-2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35000</v>
      </c>
      <c r="H704" s="4" t="n">
        <v>0</v>
      </c>
      <c r="I704" s="4" t="n">
        <v>243</v>
      </c>
      <c r="J704" s="4" t="n">
        <v>74</v>
      </c>
      <c r="K704" s="5" t="n">
        <v>473</v>
      </c>
      <c r="L704" s="4" t="n">
        <v>89</v>
      </c>
      <c r="M704" s="4" t="n">
        <v>27</v>
      </c>
      <c r="N704" s="5" t="n">
        <v>1296.3</v>
      </c>
      <c r="O704" s="3" t="inlineStr">
        <is>
          <t>입주 협의 가능하며 관리 잘된 깨끗한 집</t>
        </is>
      </c>
      <c r="P704" s="6">
        <f>HYPERLINK("https://fin.land.naver.com/articles/2652939839", "매물Link")</f>
        <v/>
      </c>
      <c r="Q704" s="6">
        <f>HYPERLINK("https://map.naver.com/p/search/오송읍 동평리 99-2", "지도Link")</f>
        <v/>
      </c>
      <c r="R704" s="6">
        <f>HYPERLINK("http://www.eum.go.kr/web/ar/lu/luLandDet.jsp?pnu=4311325029100990002&amp;isNoScr=script&amp;mode=search", "토지이음")</f>
        <v/>
      </c>
      <c r="S704" s="3" t="inlineStr">
        <is>
          <t>미소114</t>
        </is>
      </c>
      <c r="T704" s="4" t="n">
        <v>1</v>
      </c>
      <c r="U704" s="5" t="n">
        <v>104.2</v>
      </c>
      <c r="V704" s="4" t="n">
        <v>243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세로장방</t>
        </is>
      </c>
      <c r="AA704" s="3" t="inlineStr">
        <is>
          <t>세로한면(가)</t>
        </is>
      </c>
    </row>
    <row r="705">
      <c r="A705" s="3" t="inlineStr">
        <is>
          <t>오송읍 동평리 99-2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35000</v>
      </c>
      <c r="H705" s="4" t="n">
        <v>0</v>
      </c>
      <c r="I705" s="4" t="n">
        <v>243</v>
      </c>
      <c r="J705" s="4" t="n">
        <v>74</v>
      </c>
      <c r="K705" s="5" t="n">
        <v>473</v>
      </c>
      <c r="L705" s="4" t="n">
        <v>89</v>
      </c>
      <c r="M705" s="4" t="n">
        <v>27</v>
      </c>
      <c r="N705" s="5" t="n">
        <v>1296.3</v>
      </c>
      <c r="O705" s="3" t="inlineStr">
        <is>
          <t>관리 잘되어 있는 전원주택,</t>
        </is>
      </c>
      <c r="P705" s="6">
        <f>HYPERLINK("https://fin.land.naver.com/articles/2655419381", "매물Link")</f>
        <v/>
      </c>
      <c r="Q705" s="6">
        <f>HYPERLINK("https://map.naver.com/p/search/오송읍 동평리 99-2", "지도Link")</f>
        <v/>
      </c>
      <c r="R705" s="6">
        <f>HYPERLINK("http://www.eum.go.kr/web/ar/lu/luLandDet.jsp?pnu=4311325029100990002&amp;isNoScr=script&amp;mode=search", "토지이음")</f>
        <v/>
      </c>
      <c r="S705" s="3" t="inlineStr">
        <is>
          <t>테크노힐데스한빛사무소</t>
        </is>
      </c>
      <c r="T705" s="4" t="n">
        <v>1</v>
      </c>
      <c r="U705" s="5" t="n">
        <v>104.2</v>
      </c>
      <c r="V705" s="4" t="n">
        <v>243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만수리 285-31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전원주택</t>
        </is>
      </c>
      <c r="F706" s="3" t="inlineStr">
        <is>
          <t>월세</t>
        </is>
      </c>
      <c r="G706" s="4" t="n">
        <v>500</v>
      </c>
      <c r="H706" s="4" t="n">
        <v>50</v>
      </c>
      <c r="I706" s="4" t="n">
        <v>516</v>
      </c>
      <c r="J706" s="4" t="n">
        <v>156</v>
      </c>
      <c r="K706" s="5" t="n">
        <v>0.3</v>
      </c>
      <c r="L706" s="4" t="n">
        <v>199</v>
      </c>
      <c r="M706" s="4" t="n">
        <v>60</v>
      </c>
      <c r="N706" s="5" t="n">
        <v>0.8</v>
      </c>
      <c r="O706" s="3" t="inlineStr">
        <is>
          <t>위치좋은 주택2층 방크고 깨끗해요 기름보일러사용</t>
        </is>
      </c>
      <c r="P706" s="6">
        <f>HYPERLINK("https://fin.land.naver.com/articles/2654791782", "매물Link")</f>
        <v/>
      </c>
      <c r="Q706" s="6">
        <f>HYPERLINK("https://map.naver.com/p/search/오송읍 만수리 285-31", "지도Link")</f>
        <v/>
      </c>
      <c r="R706" s="6">
        <f>HYPERLINK("http://www.eum.go.kr/web/ar/lu/luLandDet.jsp?pnu=4311325025102850031&amp;isNoScr=script&amp;mode=search", "토지이음")</f>
        <v/>
      </c>
      <c r="S706" s="3" t="inlineStr">
        <is>
          <t>오송아파트퀸</t>
        </is>
      </c>
      <c r="T706" s="4" t="n">
        <v>1</v>
      </c>
      <c r="U706" s="5" t="n">
        <v>118.9</v>
      </c>
      <c r="V706" s="4" t="n">
        <v>516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가로장방</t>
        </is>
      </c>
      <c r="AA706" s="3" t="inlineStr">
        <is>
          <t>세로한면(가)</t>
        </is>
      </c>
    </row>
    <row r="707">
      <c r="A707" s="3" t="inlineStr">
        <is>
          <t>오송읍 만수리 286-19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70000</v>
      </c>
      <c r="H707" s="4" t="n">
        <v>0</v>
      </c>
      <c r="I707" s="4" t="n">
        <v>454</v>
      </c>
      <c r="J707" s="4" t="n">
        <v>137</v>
      </c>
      <c r="K707" s="5" t="n">
        <v>510.9</v>
      </c>
      <c r="L707" s="4" t="n">
        <v>182</v>
      </c>
      <c r="M707" s="4" t="n">
        <v>55</v>
      </c>
      <c r="N707" s="5" t="n">
        <v>1272.7</v>
      </c>
      <c r="O707" s="3" t="inlineStr">
        <is>
          <t>마당 있는 단독 주택  튼튼하게 지은 집  급매 처분</t>
        </is>
      </c>
      <c r="P707" s="6">
        <f>HYPERLINK("https://fin.land.naver.com/articles/2651293866", "매물Link")</f>
        <v/>
      </c>
      <c r="Q707" s="6">
        <f>HYPERLINK("https://map.naver.com/p/search/오송읍 만수리 286-19", "지도Link")</f>
        <v/>
      </c>
      <c r="R707" s="6">
        <f>HYPERLINK("http://www.eum.go.kr/web/ar/lu/luLandDet.jsp?pnu=4311325025102860019&amp;isNoScr=script&amp;mode=search", "토지이음")</f>
        <v/>
      </c>
      <c r="S707" s="3" t="inlineStr">
        <is>
          <t>오송퍼스트영웅</t>
        </is>
      </c>
      <c r="T707" s="4" t="n">
        <v>1</v>
      </c>
      <c r="U707" s="5" t="n">
        <v>110.2</v>
      </c>
      <c r="V707" s="4" t="n">
        <v>454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가로장방</t>
        </is>
      </c>
      <c r="AA707" s="3" t="inlineStr">
        <is>
          <t>세로한면(불)</t>
        </is>
      </c>
    </row>
    <row r="708">
      <c r="A708" s="3" t="inlineStr">
        <is>
          <t>오송읍 만수리 572</t>
        </is>
      </c>
      <c r="B708" s="3" t="inlineStr">
        <is>
          <t>제1종일반주거지역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다가구</t>
        </is>
      </c>
      <c r="F708" s="3" t="inlineStr">
        <is>
          <t>월세</t>
        </is>
      </c>
      <c r="G708" s="4" t="n">
        <v>500</v>
      </c>
      <c r="H708" s="4" t="n">
        <v>61</v>
      </c>
      <c r="I708" s="4" t="n">
        <v>0</v>
      </c>
      <c r="J708" s="4" t="n">
        <v>0</v>
      </c>
      <c r="K708" s="5" t="n">
        <v>0</v>
      </c>
      <c r="L708" s="4" t="n">
        <v>56</v>
      </c>
      <c r="M708" s="4" t="n">
        <v>17</v>
      </c>
      <c r="N708" s="5" t="n">
        <v>3.6</v>
      </c>
      <c r="O708" s="3" t="inlineStr">
        <is>
          <t>넓고 깨끗하고 쾌적한 방</t>
        </is>
      </c>
      <c r="P708" s="6">
        <f>HYPERLINK("https://fin.land.naver.com/articles/2650527388", "매물Link")</f>
        <v/>
      </c>
      <c r="Q708" s="6">
        <f>HYPERLINK("https://map.naver.com/p/search/오송읍 만수리 572", "지도Link")</f>
        <v/>
      </c>
      <c r="R708" s="6">
        <f>HYPERLINK("http://www.eum.go.kr/web/ar/lu/luLandDet.jsp?pnu=4311325025105720000&amp;isNoScr=script&amp;mode=search", "토지이음")</f>
        <v/>
      </c>
      <c r="S708" s="3" t="inlineStr">
        <is>
          <t>오송채움</t>
        </is>
      </c>
      <c r="T708" s="4" t="n">
        <v>1</v>
      </c>
      <c r="U708" s="5" t="n">
        <v>238.5</v>
      </c>
      <c r="V708" s="4" t="n">
        <v>249.8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정방형</t>
        </is>
      </c>
      <c r="AA708" s="3" t="inlineStr">
        <is>
          <t>소로각지</t>
        </is>
      </c>
    </row>
    <row r="709">
      <c r="A709" s="3" t="inlineStr">
        <is>
          <t>오송읍 만수리 607</t>
        </is>
      </c>
      <c r="B709" s="3" t="inlineStr">
        <is>
          <t>제1종일반주거지역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300</v>
      </c>
      <c r="H709" s="4" t="n">
        <v>31</v>
      </c>
      <c r="I709" s="4" t="n">
        <v>24</v>
      </c>
      <c r="J709" s="4" t="n">
        <v>7</v>
      </c>
      <c r="K709" s="5" t="n">
        <v>4.4</v>
      </c>
      <c r="L709" s="4" t="n">
        <v>24</v>
      </c>
      <c r="M709" s="4" t="n">
        <v>7</v>
      </c>
      <c r="N709" s="5" t="n">
        <v>4.4</v>
      </c>
      <c r="O709" s="3" t="inlineStr">
        <is>
          <t>깔끔 저렴한 원룸,풀옵션</t>
        </is>
      </c>
      <c r="P709" s="6">
        <f>HYPERLINK("https://fin.land.naver.com/articles/2654455896", "매물Link")</f>
        <v/>
      </c>
      <c r="Q709" s="6">
        <f>HYPERLINK("https://map.naver.com/p/search/오송읍 만수리 607", "지도Link")</f>
        <v/>
      </c>
      <c r="R709" s="6">
        <f>HYPERLINK("http://www.eum.go.kr/web/ar/lu/luLandDet.jsp?pnu=4311325025106070000&amp;isNoScr=script&amp;mode=search", "토지이음")</f>
        <v/>
      </c>
      <c r="S709" s="3" t="inlineStr">
        <is>
          <t>오송조은</t>
        </is>
      </c>
      <c r="T709" s="4" t="n">
        <v>1</v>
      </c>
      <c r="U709" s="5" t="n">
        <v>249.9</v>
      </c>
      <c r="V709" s="4" t="n">
        <v>288.1</v>
      </c>
      <c r="W709" s="3" t="inlineStr">
        <is>
          <t>지정되지않음</t>
        </is>
      </c>
      <c r="X709" s="3" t="inlineStr">
        <is>
          <t>다세대</t>
        </is>
      </c>
      <c r="Y709" s="3" t="inlineStr">
        <is>
          <t>평지</t>
        </is>
      </c>
      <c r="Z709" s="3" t="inlineStr">
        <is>
          <t>정방형</t>
        </is>
      </c>
      <c r="AA709" s="3" t="inlineStr">
        <is>
          <t>중로한면</t>
        </is>
      </c>
    </row>
    <row r="710">
      <c r="A710" s="3" t="inlineStr">
        <is>
          <t>오송읍 만수리 608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300</v>
      </c>
      <c r="H710" s="4" t="n">
        <v>45</v>
      </c>
      <c r="I710" s="4" t="n">
        <v>0</v>
      </c>
      <c r="J710" s="4" t="n">
        <v>0</v>
      </c>
      <c r="K710" s="5" t="n">
        <v>0</v>
      </c>
      <c r="L710" s="4" t="n">
        <v>30</v>
      </c>
      <c r="M710" s="4" t="n">
        <v>9</v>
      </c>
      <c r="N710" s="5" t="n">
        <v>5</v>
      </c>
      <c r="O710" s="3" t="inlineStr">
        <is>
          <t>만수초 앞 컨디션 좋은 원룸</t>
        </is>
      </c>
      <c r="P710" s="6">
        <f>HYPERLINK("https://fin.land.naver.com/articles/2654589463", "매물Link")</f>
        <v/>
      </c>
      <c r="Q710" s="6">
        <f>HYPERLINK("https://map.naver.com/p/search/오송읍 만수리 608", "지도Link")</f>
        <v/>
      </c>
      <c r="R710" s="6">
        <f>HYPERLINK("http://www.eum.go.kr/web/ar/lu/luLandDet.jsp?pnu=4311325025106080000&amp;isNoScr=script&amp;mode=search", "토지이음")</f>
        <v/>
      </c>
      <c r="S710" s="3" t="inlineStr">
        <is>
          <t>오송1단지창조</t>
        </is>
      </c>
      <c r="T710" s="4" t="n">
        <v>1</v>
      </c>
      <c r="U710" s="5" t="n">
        <v>249.9</v>
      </c>
      <c r="V710" s="4" t="n">
        <v>282.1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중로한면</t>
        </is>
      </c>
    </row>
    <row r="711">
      <c r="A711" s="3" t="inlineStr">
        <is>
          <t>오송읍 만수리 608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월세</t>
        </is>
      </c>
      <c r="G711" s="4" t="n">
        <v>300</v>
      </c>
      <c r="H711" s="4" t="n">
        <v>45</v>
      </c>
      <c r="I711" s="4" t="n">
        <v>0</v>
      </c>
      <c r="J711" s="4" t="n">
        <v>0</v>
      </c>
      <c r="K711" s="5" t="n">
        <v>0</v>
      </c>
      <c r="L711" s="4" t="n">
        <v>30</v>
      </c>
      <c r="M711" s="4" t="n">
        <v>9</v>
      </c>
      <c r="N711" s="5" t="n">
        <v>5</v>
      </c>
      <c r="O711" s="3" t="inlineStr">
        <is>
          <t>즉시입주 가능한 원룸</t>
        </is>
      </c>
      <c r="P711" s="6">
        <f>HYPERLINK("https://fin.land.naver.com/articles/2654437036", "매물Link")</f>
        <v/>
      </c>
      <c r="Q711" s="6">
        <f>HYPERLINK("https://map.naver.com/p/search/오송읍 만수리 608", "지도Link")</f>
        <v/>
      </c>
      <c r="R711" s="6">
        <f>HYPERLINK("http://www.eum.go.kr/web/ar/lu/luLandDet.jsp?pnu=4311325025106080000&amp;isNoScr=script&amp;mode=search", "토지이음")</f>
        <v/>
      </c>
      <c r="S711" s="3" t="inlineStr">
        <is>
          <t>오송1단지창조</t>
        </is>
      </c>
      <c r="T711" s="4" t="n">
        <v>1</v>
      </c>
      <c r="U711" s="5" t="n">
        <v>249.9</v>
      </c>
      <c r="V711" s="4" t="n">
        <v>282.1</v>
      </c>
      <c r="W711" s="3" t="inlineStr">
        <is>
          <t>지정되지않음</t>
        </is>
      </c>
      <c r="X711" s="3" t="inlineStr">
        <is>
          <t>다세대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중로한면</t>
        </is>
      </c>
    </row>
    <row r="712">
      <c r="A712" s="3" t="inlineStr">
        <is>
          <t>오송읍 만수리 608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300</v>
      </c>
      <c r="H712" s="4" t="n">
        <v>36</v>
      </c>
      <c r="I712" s="4" t="n">
        <v>0</v>
      </c>
      <c r="J712" s="4" t="n">
        <v>0</v>
      </c>
      <c r="K712" s="5" t="n">
        <v>0</v>
      </c>
      <c r="L712" s="4" t="n">
        <v>30</v>
      </c>
      <c r="M712" s="4" t="n">
        <v>9</v>
      </c>
      <c r="N712" s="5" t="n">
        <v>4</v>
      </c>
      <c r="O712" s="3" t="inlineStr">
        <is>
          <t>10월중순이후 입주가능한 원룸</t>
        </is>
      </c>
      <c r="P712" s="6">
        <f>HYPERLINK("https://fin.land.naver.com/articles/2652569684", "매물Link")</f>
        <v/>
      </c>
      <c r="Q712" s="6">
        <f>HYPERLINK("https://map.naver.com/p/search/오송읍 만수리 608", "지도Link")</f>
        <v/>
      </c>
      <c r="R712" s="6">
        <f>HYPERLINK("http://www.eum.go.kr/web/ar/lu/luLandDet.jsp?pnu=4311325025106080000&amp;isNoScr=script&amp;mode=search", "토지이음")</f>
        <v/>
      </c>
      <c r="S712" s="3" t="inlineStr">
        <is>
          <t>오송1단지창조</t>
        </is>
      </c>
      <c r="T712" s="4" t="n">
        <v>1</v>
      </c>
      <c r="U712" s="5" t="n">
        <v>249.9</v>
      </c>
      <c r="V712" s="4" t="n">
        <v>282.1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중로한면</t>
        </is>
      </c>
    </row>
    <row r="713">
      <c r="A713" s="3" t="inlineStr">
        <is>
          <t>오송읍 만수리 610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단독</t>
        </is>
      </c>
      <c r="F713" s="3" t="inlineStr">
        <is>
          <t>월세</t>
        </is>
      </c>
      <c r="G713" s="4" t="n">
        <v>1500</v>
      </c>
      <c r="H713" s="4" t="n">
        <v>90</v>
      </c>
      <c r="I713" s="4" t="n">
        <v>128</v>
      </c>
      <c r="J713" s="4" t="n">
        <v>39</v>
      </c>
      <c r="K713" s="5" t="n">
        <v>2.3</v>
      </c>
      <c r="L713" s="4" t="n">
        <v>100</v>
      </c>
      <c r="M713" s="4" t="n">
        <v>30</v>
      </c>
      <c r="N713" s="5" t="n">
        <v>3</v>
      </c>
      <c r="O713" s="3" t="inlineStr">
        <is>
          <t>쓰리룸 오송역세권으로 인프라좋고 주변편의시설확충 초등학교 공원산책로</t>
        </is>
      </c>
      <c r="P713" s="6">
        <f>HYPERLINK("https://fin.land.naver.com/articles/2652554642", "매물Link")</f>
        <v/>
      </c>
      <c r="Q713" s="6">
        <f>HYPERLINK("https://map.naver.com/p/search/오송읍 만수리 610", "지도Link")</f>
        <v/>
      </c>
      <c r="R713" s="6">
        <f>HYPERLINK("http://www.eum.go.kr/web/ar/lu/luLandDet.jsp?pnu=4311325025106100000&amp;isNoScr=script&amp;mode=search", "토지이음")</f>
        <v/>
      </c>
      <c r="S713" s="3" t="inlineStr">
        <is>
          <t>하림</t>
        </is>
      </c>
      <c r="T713" s="4" t="n">
        <v>1</v>
      </c>
      <c r="U713" s="5" t="n">
        <v>238.5</v>
      </c>
      <c r="V713" s="4" t="n">
        <v>258.3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소로각지</t>
        </is>
      </c>
    </row>
    <row r="714">
      <c r="A714" s="3" t="inlineStr">
        <is>
          <t>오송읍 만수리 610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다가구</t>
        </is>
      </c>
      <c r="F714" s="3" t="inlineStr">
        <is>
          <t>월세</t>
        </is>
      </c>
      <c r="G714" s="4" t="n">
        <v>1500</v>
      </c>
      <c r="H714" s="4" t="n">
        <v>110</v>
      </c>
      <c r="I714" s="4" t="n">
        <v>0</v>
      </c>
      <c r="J714" s="4" t="n">
        <v>0</v>
      </c>
      <c r="K714" s="5" t="n">
        <v>0</v>
      </c>
      <c r="L714" s="4" t="n">
        <v>128</v>
      </c>
      <c r="M714" s="4" t="n">
        <v>39</v>
      </c>
      <c r="N714" s="5" t="n">
        <v>2.8</v>
      </c>
      <c r="O714" s="3" t="inlineStr">
        <is>
          <t>10월초순 입주가능한 주인세대</t>
        </is>
      </c>
      <c r="P714" s="6">
        <f>HYPERLINK("https://fin.land.naver.com/articles/2650782401", "매물Link")</f>
        <v/>
      </c>
      <c r="Q714" s="6">
        <f>HYPERLINK("https://map.naver.com/p/search/오송읍 만수리 610", "지도Link")</f>
        <v/>
      </c>
      <c r="R714" s="6">
        <f>HYPERLINK("http://www.eum.go.kr/web/ar/lu/luLandDet.jsp?pnu=4311325025106100000&amp;isNoScr=script&amp;mode=search", "토지이음")</f>
        <v/>
      </c>
      <c r="S714" s="3" t="inlineStr">
        <is>
          <t>오송1단지창조</t>
        </is>
      </c>
      <c r="T714" s="4" t="n">
        <v>1</v>
      </c>
      <c r="U714" s="5" t="n">
        <v>238.5</v>
      </c>
      <c r="V714" s="4" t="n">
        <v>258.3</v>
      </c>
      <c r="W714" s="3" t="inlineStr">
        <is>
          <t>지정되지않음</t>
        </is>
      </c>
      <c r="X714" s="3" t="inlineStr">
        <is>
          <t>다세대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소로각지</t>
        </is>
      </c>
    </row>
    <row r="715">
      <c r="A715" s="3" t="inlineStr">
        <is>
          <t>오송읍 만수리 611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일반원룸</t>
        </is>
      </c>
      <c r="F715" s="3" t="inlineStr">
        <is>
          <t>월세</t>
        </is>
      </c>
      <c r="G715" s="4" t="n">
        <v>300</v>
      </c>
      <c r="H715" s="4" t="n">
        <v>36</v>
      </c>
      <c r="I715" s="4" t="n">
        <v>0</v>
      </c>
      <c r="J715" s="4" t="n">
        <v>0</v>
      </c>
      <c r="K715" s="5" t="n">
        <v>0</v>
      </c>
      <c r="L715" s="4" t="n">
        <v>20</v>
      </c>
      <c r="M715" s="4" t="n">
        <v>6</v>
      </c>
      <c r="N715" s="5" t="n">
        <v>6</v>
      </c>
      <c r="O715" s="3" t="inlineStr">
        <is>
          <t>만수초근처 위치한 분리형 원룸</t>
        </is>
      </c>
      <c r="P715" s="6">
        <f>HYPERLINK("https://fin.land.naver.com/articles/2655299600", "매물Link")</f>
        <v/>
      </c>
      <c r="Q715" s="6">
        <f>HYPERLINK("https://map.naver.com/p/search/오송읍 만수리 611", "지도Link")</f>
        <v/>
      </c>
      <c r="R715" s="6">
        <f>HYPERLINK("http://www.eum.go.kr/web/ar/lu/luLandDet.jsp?pnu=4311325025106110000&amp;isNoScr=script&amp;mode=search", "토지이음")</f>
        <v/>
      </c>
      <c r="S715" s="3" t="inlineStr">
        <is>
          <t>프로</t>
        </is>
      </c>
      <c r="T715" s="4" t="n">
        <v>1</v>
      </c>
      <c r="U715" s="5" t="n">
        <v>242.6</v>
      </c>
      <c r="V715" s="4" t="n">
        <v>257.9</v>
      </c>
      <c r="W715" s="3" t="inlineStr">
        <is>
          <t>지정되지않음</t>
        </is>
      </c>
      <c r="X715" s="3" t="inlineStr">
        <is>
          <t>다세대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소로각지</t>
        </is>
      </c>
    </row>
    <row r="716">
      <c r="A716" s="3" t="inlineStr">
        <is>
          <t>오송읍 만수리 615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2</t>
        </is>
      </c>
      <c r="E716" s="3" t="inlineStr">
        <is>
          <t>일반원룸</t>
        </is>
      </c>
      <c r="F716" s="3" t="inlineStr">
        <is>
          <t>월세</t>
        </is>
      </c>
      <c r="G716" s="4" t="n">
        <v>200</v>
      </c>
      <c r="H716" s="4" t="n">
        <v>31</v>
      </c>
      <c r="I716" s="4" t="n">
        <v>24</v>
      </c>
      <c r="J716" s="4" t="n">
        <v>7</v>
      </c>
      <c r="K716" s="5" t="n">
        <v>4.4</v>
      </c>
      <c r="L716" s="4" t="n">
        <v>24</v>
      </c>
      <c r="M716" s="4" t="n">
        <v>7</v>
      </c>
      <c r="N716" s="5" t="n">
        <v>4.4</v>
      </c>
      <c r="O716" s="3" t="inlineStr">
        <is>
          <t>조용하고 밝은 원룸, 주차공간 넉넉함</t>
        </is>
      </c>
      <c r="P716" s="6">
        <f>HYPERLINK("https://fin.land.naver.com/articles/2654206911", "매물Link")</f>
        <v/>
      </c>
      <c r="Q716" s="6">
        <f>HYPERLINK("https://map.naver.com/p/search/오송읍 만수리 615", "지도Link")</f>
        <v/>
      </c>
      <c r="R716" s="6">
        <f>HYPERLINK("http://www.eum.go.kr/web/ar/lu/luLandDet.jsp?pnu=4311325025106150000&amp;isNoScr=script&amp;mode=search", "토지이음")</f>
        <v/>
      </c>
      <c r="S716" s="3" t="inlineStr">
        <is>
          <t>오송조은</t>
        </is>
      </c>
      <c r="T716" s="4" t="n">
        <v>1</v>
      </c>
      <c r="U716" s="5" t="n">
        <v>230.5</v>
      </c>
      <c r="V716" s="4" t="n">
        <v>243</v>
      </c>
      <c r="W716" s="3" t="inlineStr">
        <is>
          <t>지정되지않음</t>
        </is>
      </c>
      <c r="X716" s="3" t="inlineStr">
        <is>
          <t>주거기타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소로한면</t>
        </is>
      </c>
    </row>
    <row r="717">
      <c r="A717" s="3" t="inlineStr">
        <is>
          <t>오송읍 만수리 616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3</t>
        </is>
      </c>
      <c r="E717" s="3" t="inlineStr">
        <is>
          <t>다가구</t>
        </is>
      </c>
      <c r="F717" s="3" t="inlineStr">
        <is>
          <t>월세</t>
        </is>
      </c>
      <c r="G717" s="4" t="n">
        <v>1000</v>
      </c>
      <c r="H717" s="4" t="n">
        <v>110</v>
      </c>
      <c r="I717" s="4" t="n">
        <v>0</v>
      </c>
      <c r="J717" s="4" t="n">
        <v>0</v>
      </c>
      <c r="K717" s="5" t="n">
        <v>0</v>
      </c>
      <c r="L717" s="4" t="n">
        <v>122</v>
      </c>
      <c r="M717" s="4" t="n">
        <v>37</v>
      </c>
      <c r="N717" s="5" t="n">
        <v>3</v>
      </c>
      <c r="O717" s="3" t="inlineStr">
        <is>
          <t>오송1산단 깔끔한 주인세대</t>
        </is>
      </c>
      <c r="P717" s="6">
        <f>HYPERLINK("https://fin.land.naver.com/articles/2653764639", "매물Link")</f>
        <v/>
      </c>
      <c r="Q717" s="6">
        <f>HYPERLINK("https://map.naver.com/p/search/오송읍 만수리 616", "지도Link")</f>
        <v/>
      </c>
      <c r="R717" s="6">
        <f>HYPERLINK("http://www.eum.go.kr/web/ar/lu/luLandDet.jsp?pnu=4311325025106160000&amp;isNoScr=script&amp;mode=search", "토지이음")</f>
        <v/>
      </c>
      <c r="S717" s="3" t="inlineStr">
        <is>
          <t>오송1단지창조</t>
        </is>
      </c>
      <c r="T717" s="4" t="n">
        <v>1</v>
      </c>
      <c r="U717" s="5" t="n">
        <v>242.6</v>
      </c>
      <c r="V717" s="4" t="n">
        <v>270</v>
      </c>
      <c r="W717" s="3" t="inlineStr">
        <is>
          <t>지정되지않음</t>
        </is>
      </c>
      <c r="X717" s="3" t="inlineStr">
        <is>
          <t>다세대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소로각지</t>
        </is>
      </c>
    </row>
    <row r="718">
      <c r="A718" s="3" t="inlineStr">
        <is>
          <t>오송읍 만수리 616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0</t>
        </is>
      </c>
      <c r="E718" s="3" t="inlineStr">
        <is>
          <t>다가구</t>
        </is>
      </c>
      <c r="F718" s="3" t="inlineStr">
        <is>
          <t>월세</t>
        </is>
      </c>
      <c r="G718" s="4" t="n">
        <v>1000</v>
      </c>
      <c r="H718" s="4" t="n">
        <v>111</v>
      </c>
      <c r="I718" s="4" t="n">
        <v>119</v>
      </c>
      <c r="J718" s="4" t="n">
        <v>36</v>
      </c>
      <c r="K718" s="5" t="n">
        <v>3.1</v>
      </c>
      <c r="L718" s="4" t="n">
        <v>119</v>
      </c>
      <c r="M718" s="4" t="n">
        <v>36</v>
      </c>
      <c r="N718" s="5" t="n">
        <v>3.1</v>
      </c>
      <c r="O718" s="3" t="inlineStr">
        <is>
          <t>nan</t>
        </is>
      </c>
      <c r="P718" s="6">
        <f>HYPERLINK("https://fin.land.naver.com/articles/2653957226", "매물Link")</f>
        <v/>
      </c>
      <c r="Q718" s="6">
        <f>HYPERLINK("https://map.naver.com/p/search/오송읍 만수리 616", "지도Link")</f>
        <v/>
      </c>
      <c r="R718" s="6">
        <f>HYPERLINK("http://www.eum.go.kr/web/ar/lu/luLandDet.jsp?pnu=4311325025106160000&amp;isNoScr=script&amp;mode=search", "토지이음")</f>
        <v/>
      </c>
      <c r="S718" s="3" t="inlineStr">
        <is>
          <t>이룸</t>
        </is>
      </c>
      <c r="T718" s="4" t="n">
        <v>2</v>
      </c>
      <c r="U718" s="5" t="n">
        <v>242.6</v>
      </c>
      <c r="V718" s="4" t="n">
        <v>270</v>
      </c>
      <c r="W718" s="3" t="inlineStr">
        <is>
          <t>지정되지않음</t>
        </is>
      </c>
      <c r="X718" s="3" t="inlineStr">
        <is>
          <t>다세대</t>
        </is>
      </c>
      <c r="Y718" s="3" t="inlineStr">
        <is>
          <t>평지</t>
        </is>
      </c>
      <c r="Z718" s="3" t="inlineStr">
        <is>
          <t>정방형</t>
        </is>
      </c>
      <c r="AA718" s="3" t="inlineStr">
        <is>
          <t>소로각지</t>
        </is>
      </c>
    </row>
    <row r="719">
      <c r="A719" s="3" t="inlineStr">
        <is>
          <t>오송읍 만수리 616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3</t>
        </is>
      </c>
      <c r="E719" s="3" t="inlineStr">
        <is>
          <t>다가구</t>
        </is>
      </c>
      <c r="F719" s="3" t="inlineStr">
        <is>
          <t>월세</t>
        </is>
      </c>
      <c r="G719" s="4" t="n">
        <v>1000</v>
      </c>
      <c r="H719" s="4" t="n">
        <v>110</v>
      </c>
      <c r="I719" s="4" t="n">
        <v>122</v>
      </c>
      <c r="J719" s="4" t="n">
        <v>37</v>
      </c>
      <c r="K719" s="5" t="n">
        <v>3</v>
      </c>
      <c r="L719" s="4" t="n">
        <v>110</v>
      </c>
      <c r="M719" s="4" t="n">
        <v>33</v>
      </c>
      <c r="N719" s="5" t="n">
        <v>3.3</v>
      </c>
      <c r="O719" s="3" t="inlineStr">
        <is>
          <t>오송역 8번출구 도보로 7분거리,주인세대 월세</t>
        </is>
      </c>
      <c r="P719" s="6">
        <f>HYPERLINK("https://fin.land.naver.com/articles/2654413714", "매물Link")</f>
        <v/>
      </c>
      <c r="Q719" s="6">
        <f>HYPERLINK("https://map.naver.com/p/search/오송읍 만수리 616", "지도Link")</f>
        <v/>
      </c>
      <c r="R719" s="6">
        <f>HYPERLINK("http://www.eum.go.kr/web/ar/lu/luLandDet.jsp?pnu=4311325025106160000&amp;isNoScr=script&amp;mode=search", "토지이음")</f>
        <v/>
      </c>
      <c r="S719" s="3" t="inlineStr">
        <is>
          <t>우리</t>
        </is>
      </c>
      <c r="T719" s="4" t="n">
        <v>1</v>
      </c>
      <c r="U719" s="5" t="n">
        <v>242.6</v>
      </c>
      <c r="V719" s="4" t="n">
        <v>270</v>
      </c>
      <c r="W719" s="3" t="inlineStr">
        <is>
          <t>지정되지않음</t>
        </is>
      </c>
      <c r="X719" s="3" t="inlineStr">
        <is>
          <t>다세대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617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50</v>
      </c>
      <c r="M720" s="4" t="n">
        <v>15</v>
      </c>
      <c r="N720" s="5" t="n">
        <v>4.7</v>
      </c>
      <c r="O720" s="3" t="inlineStr">
        <is>
          <t>만수초 앞 컨디션 좋은 투룸</t>
        </is>
      </c>
      <c r="P720" s="6">
        <f>HYPERLINK("https://fin.land.naver.com/articles/2655172363", "매물Link")</f>
        <v/>
      </c>
      <c r="Q720" s="6">
        <f>HYPERLINK("https://map.naver.com/p/search/오송읍 만수리 617", "지도Link")</f>
        <v/>
      </c>
      <c r="R720" s="6">
        <f>HYPERLINK("http://www.eum.go.kr/web/ar/lu/luLandDet.jsp?pnu=4311325025106170000&amp;isNoScr=script&amp;mode=search",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620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단독</t>
        </is>
      </c>
      <c r="F721" s="3" t="inlineStr">
        <is>
          <t>매매</t>
        </is>
      </c>
      <c r="G721" s="4" t="n">
        <v>74000</v>
      </c>
      <c r="H721" s="4" t="n">
        <v>0</v>
      </c>
      <c r="I721" s="4" t="n">
        <v>244</v>
      </c>
      <c r="J721" s="4" t="n">
        <v>74</v>
      </c>
      <c r="K721" s="5" t="n">
        <v>1000</v>
      </c>
      <c r="L721" s="4" t="n">
        <v>317</v>
      </c>
      <c r="M721" s="4" t="n">
        <v>96</v>
      </c>
      <c r="N721" s="5" t="n">
        <v>770.8</v>
      </c>
      <c r="O721" s="3" t="inlineStr">
        <is>
          <t>실투 2.8억, 만수초,오송중 남측 인근 조용하고 깨끗한 3층 다가구주택</t>
        </is>
      </c>
      <c r="P721" s="6">
        <f>HYPERLINK("https://fin.land.naver.com/articles/2650412100", "매물Link")</f>
        <v/>
      </c>
      <c r="Q721" s="6">
        <f>HYPERLINK("https://map.naver.com/p/search/오송읍 만수리 620", "지도Link")</f>
        <v/>
      </c>
      <c r="R721" s="6">
        <f>HYPERLINK("http://www.eum.go.kr/web/ar/lu/luLandDet.jsp?pnu=4311325025106200000&amp;isNoScr=script&amp;mode=search", "토지이음")</f>
        <v/>
      </c>
      <c r="S721" s="3" t="inlineStr">
        <is>
          <t>청주모충사모1/2LH트릴로채명성</t>
        </is>
      </c>
      <c r="T721" s="4" t="n">
        <v>1</v>
      </c>
      <c r="U721" s="5" t="n">
        <v>225</v>
      </c>
      <c r="V721" s="4" t="n">
        <v>244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621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61</v>
      </c>
      <c r="I722" s="4" t="n">
        <v>40</v>
      </c>
      <c r="J722" s="4" t="n">
        <v>12</v>
      </c>
      <c r="K722" s="5" t="n">
        <v>5.1</v>
      </c>
      <c r="L722" s="4" t="n">
        <v>40</v>
      </c>
      <c r="M722" s="4" t="n">
        <v>12</v>
      </c>
      <c r="N722" s="5" t="n">
        <v>5.1</v>
      </c>
      <c r="O722" s="3" t="inlineStr">
        <is>
          <t>준신축 깨끗한 정투룸.즉시입주.</t>
        </is>
      </c>
      <c r="P722" s="6">
        <f>HYPERLINK("https://fin.land.naver.com/articles/2651469888", "매물Link")</f>
        <v/>
      </c>
      <c r="Q722" s="6">
        <f>HYPERLINK("https://map.naver.com/p/search/오송읍 만수리 621", "지도Link")</f>
        <v/>
      </c>
      <c r="R722" s="6">
        <f>HYPERLINK("http://www.eum.go.kr/web/ar/lu/luLandDet.jsp?pnu=4311325025106210000&amp;isNoScr=script&amp;mode=search", "토지이음")</f>
        <v/>
      </c>
      <c r="S722" s="3" t="inlineStr">
        <is>
          <t>이룸</t>
        </is>
      </c>
      <c r="T722" s="4" t="n">
        <v>1</v>
      </c>
      <c r="U722" s="5" t="n">
        <v>225</v>
      </c>
      <c r="V722" s="4" t="n">
        <v>248.1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소로한면</t>
        </is>
      </c>
    </row>
    <row r="723">
      <c r="A723" s="3" t="inlineStr">
        <is>
          <t>오송읍 만수리 625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단독</t>
        </is>
      </c>
      <c r="F723" s="3" t="inlineStr">
        <is>
          <t>매매</t>
        </is>
      </c>
      <c r="G723" s="4" t="n">
        <v>75000</v>
      </c>
      <c r="H723" s="4" t="n">
        <v>0</v>
      </c>
      <c r="I723" s="4" t="n">
        <v>235</v>
      </c>
      <c r="J723" s="4" t="n">
        <v>71</v>
      </c>
      <c r="K723" s="5" t="n">
        <v>1056.3</v>
      </c>
      <c r="L723" s="4" t="n">
        <v>347</v>
      </c>
      <c r="M723" s="4" t="n">
        <v>105</v>
      </c>
      <c r="N723" s="5" t="n">
        <v>714.3</v>
      </c>
      <c r="O723" s="3" t="inlineStr">
        <is>
          <t>먹자골목 상가주택 ,주인세대 거주하며 상가 활용 가능매물</t>
        </is>
      </c>
      <c r="P723" s="6">
        <f>HYPERLINK("https://fin.land.naver.com/articles/2655112762", "매물Link")</f>
        <v/>
      </c>
      <c r="Q723" s="6">
        <f>HYPERLINK("https://map.naver.com/p/search/오송읍 만수리 625", "지도Link")</f>
        <v/>
      </c>
      <c r="R723" s="6">
        <f>HYPERLINK("http://www.eum.go.kr/web/ar/lu/luLandDet.jsp?pnu=4311325025106250000&amp;isNoScr=script&amp;mode=search", "토지이음")</f>
        <v/>
      </c>
      <c r="S723" s="3" t="inlineStr">
        <is>
          <t>오송2단지창조</t>
        </is>
      </c>
      <c r="T723" s="4" t="n">
        <v>1</v>
      </c>
      <c r="U723" s="5" t="n">
        <v>310.1</v>
      </c>
      <c r="V723" s="4" t="n">
        <v>235.1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중로각지</t>
        </is>
      </c>
    </row>
    <row r="724">
      <c r="A724" s="3" t="inlineStr">
        <is>
          <t>오송읍 만수리 625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단독</t>
        </is>
      </c>
      <c r="F724" s="3" t="inlineStr">
        <is>
          <t>매매</t>
        </is>
      </c>
      <c r="G724" s="4" t="n">
        <v>75000</v>
      </c>
      <c r="H724" s="4" t="n">
        <v>0</v>
      </c>
      <c r="I724" s="4" t="n">
        <v>235</v>
      </c>
      <c r="J724" s="4" t="n">
        <v>71</v>
      </c>
      <c r="K724" s="5" t="n">
        <v>1056.3</v>
      </c>
      <c r="L724" s="4" t="n">
        <v>347</v>
      </c>
      <c r="M724" s="4" t="n">
        <v>105</v>
      </c>
      <c r="N724" s="5" t="n">
        <v>714.3</v>
      </c>
      <c r="O724" s="3" t="inlineStr">
        <is>
          <t>오송1산단 상권좋은 먹자골목 내 수익률 높은 상가주택</t>
        </is>
      </c>
      <c r="P724" s="6">
        <f>HYPERLINK("https://fin.land.naver.com/articles/2650782392", "매물Link")</f>
        <v/>
      </c>
      <c r="Q724" s="6">
        <f>HYPERLINK("https://map.naver.com/p/search/오송읍 만수리 625", "지도Link")</f>
        <v/>
      </c>
      <c r="R724" s="6">
        <f>HYPERLINK("http://www.eum.go.kr/web/ar/lu/luLandDet.jsp?pnu=4311325025106250000&amp;isNoScr=script&amp;mode=search",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310.1</v>
      </c>
      <c r="V724" s="4" t="n">
        <v>235.1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625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상가주택</t>
        </is>
      </c>
      <c r="F725" s="3" t="inlineStr">
        <is>
          <t>매매</t>
        </is>
      </c>
      <c r="G725" s="4" t="n">
        <v>75000</v>
      </c>
      <c r="H725" s="4" t="n">
        <v>0</v>
      </c>
      <c r="I725" s="4" t="n">
        <v>235</v>
      </c>
      <c r="J725" s="4" t="n">
        <v>71</v>
      </c>
      <c r="K725" s="5" t="n">
        <v>1056.3</v>
      </c>
      <c r="L725" s="4" t="n">
        <v>347</v>
      </c>
      <c r="M725" s="4" t="n">
        <v>105</v>
      </c>
      <c r="N725" s="5" t="n">
        <v>714.3</v>
      </c>
      <c r="O725" s="3" t="inlineStr">
        <is>
          <t>원룸촌 중앙에 위치한 남향 상가주택</t>
        </is>
      </c>
      <c r="P725" s="6">
        <f>HYPERLINK("https://fin.land.naver.com/articles/2650838938", "매물Link")</f>
        <v/>
      </c>
      <c r="Q725" s="6">
        <f>HYPERLINK("https://map.naver.com/p/search/오송읍 만수리 625", "지도Link")</f>
        <v/>
      </c>
      <c r="R725" s="6">
        <f>HYPERLINK("http://www.eum.go.kr/web/ar/lu/luLandDet.jsp?pnu=4311325025106250000&amp;isNoScr=script&amp;mode=search", "토지이음")</f>
        <v/>
      </c>
      <c r="S725" s="3" t="inlineStr">
        <is>
          <t>아시아</t>
        </is>
      </c>
      <c r="T725" s="4" t="n">
        <v>1</v>
      </c>
      <c r="U725" s="5" t="n">
        <v>310.1</v>
      </c>
      <c r="V725" s="4" t="n">
        <v>235.1</v>
      </c>
      <c r="W725" s="3" t="inlineStr">
        <is>
          <t>지정되지않음</t>
        </is>
      </c>
      <c r="X725" s="3" t="inlineStr">
        <is>
          <t>주상용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중로각지</t>
        </is>
      </c>
    </row>
    <row r="726">
      <c r="A726" s="3" t="inlineStr">
        <is>
          <t>오송읍 만수리 626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매매</t>
        </is>
      </c>
      <c r="G726" s="4" t="n">
        <v>75000</v>
      </c>
      <c r="H726" s="4" t="n">
        <v>0</v>
      </c>
      <c r="I726" s="4" t="n">
        <v>236</v>
      </c>
      <c r="J726" s="4" t="n">
        <v>71</v>
      </c>
      <c r="K726" s="5" t="n">
        <v>1056.3</v>
      </c>
      <c r="L726" s="4" t="n">
        <v>353</v>
      </c>
      <c r="M726" s="4" t="n">
        <v>107</v>
      </c>
      <c r="N726" s="5" t="n">
        <v>700.9</v>
      </c>
      <c r="O726" s="3" t="inlineStr">
        <is>
          <t>코녀변 가시효과 뛰어난 상가다가구주택.1층 편의점.세탁소</t>
        </is>
      </c>
      <c r="P726" s="6">
        <f>HYPERLINK("https://fin.land.naver.com/articles/2654361888", "매물Link")</f>
        <v/>
      </c>
      <c r="Q726" s="6">
        <f>HYPERLINK("https://map.naver.com/p/search/오송읍 만수리 626", "지도Link")</f>
        <v/>
      </c>
      <c r="R726" s="6">
        <f>HYPERLINK("http://www.eum.go.kr/web/ar/lu/luLandDet.jsp?pnu=4311325025106260000&amp;isNoScr=script&amp;mode=search", "토지이음")</f>
        <v/>
      </c>
      <c r="S726" s="3" t="inlineStr">
        <is>
          <t>이룸</t>
        </is>
      </c>
      <c r="T726" s="4" t="n">
        <v>1</v>
      </c>
      <c r="U726" s="5" t="n">
        <v>310.1</v>
      </c>
      <c r="V726" s="4" t="n">
        <v>236.3</v>
      </c>
      <c r="W726" s="3" t="inlineStr">
        <is>
          <t>지정되지않음</t>
        </is>
      </c>
      <c r="X726" s="3" t="inlineStr">
        <is>
          <t>주상용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중로각지</t>
        </is>
      </c>
    </row>
    <row r="727">
      <c r="A727" s="3" t="inlineStr">
        <is>
          <t>오송읍 만수리 629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38</v>
      </c>
      <c r="I727" s="4" t="n">
        <v>23</v>
      </c>
      <c r="J727" s="4" t="n">
        <v>7</v>
      </c>
      <c r="K727" s="5" t="n">
        <v>5.4</v>
      </c>
      <c r="L727" s="4" t="n">
        <v>23</v>
      </c>
      <c r="M727" s="4" t="n">
        <v>7</v>
      </c>
      <c r="N727" s="5" t="n">
        <v>5.4</v>
      </c>
      <c r="O727" s="3" t="inlineStr">
        <is>
          <t>만수초 부근 원룸.조용하고 관리잘되는 원룸.</t>
        </is>
      </c>
      <c r="P727" s="6">
        <f>HYPERLINK("https://fin.land.naver.com/articles/2650235533", "매물Link")</f>
        <v/>
      </c>
      <c r="Q727" s="6">
        <f>HYPERLINK("https://map.naver.com/p/search/오송읍 만수리 629", "지도Link")</f>
        <v/>
      </c>
      <c r="R727" s="6">
        <f>HYPERLINK("http://www.eum.go.kr/web/ar/lu/luLandDet.jsp?pnu=4311325025106290000&amp;isNoScr=script&amp;mode=search", "토지이음")</f>
        <v/>
      </c>
      <c r="S727" s="3" t="inlineStr">
        <is>
          <t>이룸</t>
        </is>
      </c>
      <c r="T727" s="4" t="n">
        <v>1</v>
      </c>
      <c r="U727" s="5" t="n">
        <v>285.2</v>
      </c>
      <c r="V727" s="4" t="n">
        <v>252.5</v>
      </c>
      <c r="W727" s="3" t="inlineStr">
        <is>
          <t>지정되지않음</t>
        </is>
      </c>
      <c r="X727" s="3" t="inlineStr">
        <is>
          <t>주상용</t>
        </is>
      </c>
      <c r="Y727" s="3" t="inlineStr">
        <is>
          <t>평지</t>
        </is>
      </c>
      <c r="Z727" s="3" t="inlineStr">
        <is>
          <t>가로장방</t>
        </is>
      </c>
      <c r="AA727" s="3" t="inlineStr">
        <is>
          <t>중로각지</t>
        </is>
      </c>
    </row>
    <row r="728">
      <c r="A728" s="3" t="inlineStr">
        <is>
          <t>오송읍 만수리 629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10월입주, 컨디션 좋은 원룸</t>
        </is>
      </c>
      <c r="P728" s="6">
        <f>HYPERLINK("https://fin.land.naver.com/articles/2650311142", "매물Link")</f>
        <v/>
      </c>
      <c r="Q728" s="6">
        <f>HYPERLINK("https://map.naver.com/p/search/오송읍 만수리 629", "지도Link")</f>
        <v/>
      </c>
      <c r="R728" s="6">
        <f>HYPERLINK("http://www.eum.go.kr/web/ar/lu/luLandDet.jsp?pnu=4311325025106290000&amp;isNoScr=script&amp;mode=search",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285.2</v>
      </c>
      <c r="V728" s="4" t="n">
        <v>252.5</v>
      </c>
      <c r="W728" s="3" t="inlineStr">
        <is>
          <t>지정되지않음</t>
        </is>
      </c>
      <c r="X728" s="3" t="inlineStr">
        <is>
          <t>주상용</t>
        </is>
      </c>
      <c r="Y728" s="3" t="inlineStr">
        <is>
          <t>평지</t>
        </is>
      </c>
      <c r="Z728" s="3" t="inlineStr">
        <is>
          <t>가로장방</t>
        </is>
      </c>
      <c r="AA728" s="3" t="inlineStr">
        <is>
          <t>중로각지</t>
        </is>
      </c>
    </row>
    <row r="729">
      <c r="A729" s="3" t="inlineStr">
        <is>
          <t>오송읍 만수리 641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단독</t>
        </is>
      </c>
      <c r="F729" s="3" t="inlineStr">
        <is>
          <t>월세</t>
        </is>
      </c>
      <c r="G729" s="4" t="n">
        <v>1000</v>
      </c>
      <c r="H729" s="4" t="n">
        <v>80</v>
      </c>
      <c r="I729" s="4" t="n">
        <v>130</v>
      </c>
      <c r="J729" s="4" t="n">
        <v>39</v>
      </c>
      <c r="K729" s="5" t="n">
        <v>2.1</v>
      </c>
      <c r="L729" s="4" t="n">
        <v>100</v>
      </c>
      <c r="M729" s="4" t="n">
        <v>30</v>
      </c>
      <c r="N729" s="5" t="n">
        <v>2.7</v>
      </c>
      <c r="O729" s="3" t="inlineStr">
        <is>
          <t>주인세대 저렴한 월세.</t>
        </is>
      </c>
      <c r="P729" s="6">
        <f>HYPERLINK("https://fin.land.naver.com/articles/2653687898", "매물Link")</f>
        <v/>
      </c>
      <c r="Q729" s="6">
        <f>HYPERLINK("https://map.naver.com/p/search/오송읍 만수리 641", "지도Link")</f>
        <v/>
      </c>
      <c r="R729" s="6">
        <f>HYPERLINK("http://www.eum.go.kr/web/ar/lu/luLandDet.jsp?pnu=4311325025106410000&amp;isNoScr=script&amp;mode=search", "토지이음")</f>
        <v/>
      </c>
      <c r="S729" s="3" t="inlineStr">
        <is>
          <t>대한민국</t>
        </is>
      </c>
      <c r="T729" s="4" t="n">
        <v>1</v>
      </c>
      <c r="U729" s="5" t="n">
        <v>230.5</v>
      </c>
      <c r="V729" s="4" t="n">
        <v>284.9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645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500</v>
      </c>
      <c r="H730" s="4" t="n">
        <v>70</v>
      </c>
      <c r="I730" s="4" t="n">
        <v>69</v>
      </c>
      <c r="J730" s="4" t="n">
        <v>21</v>
      </c>
      <c r="K730" s="5" t="n">
        <v>3.3</v>
      </c>
      <c r="L730" s="4" t="n">
        <v>34</v>
      </c>
      <c r="M730" s="4" t="n">
        <v>10</v>
      </c>
      <c r="N730" s="5" t="n">
        <v>7</v>
      </c>
      <c r="O730" s="3" t="inlineStr">
        <is>
          <t>오송역 도보 10분 신축 대비 확실히 넓은 투룸  만수초 인근</t>
        </is>
      </c>
      <c r="P730" s="6">
        <f>HYPERLINK("https://fin.land.naver.com/articles/2651104108", "매물Link")</f>
        <v/>
      </c>
      <c r="Q730" s="6">
        <f>HYPERLINK("https://map.naver.com/p/search/오송읍 만수리 645", "지도Link")</f>
        <v/>
      </c>
      <c r="R730" s="6">
        <f>HYPERLINK("http://www.eum.go.kr/web/ar/lu/luLandDet.jsp?pnu=4311325025106450000&amp;isNoScr=script&amp;mode=search", "토지이음")</f>
        <v/>
      </c>
      <c r="S730" s="3" t="inlineStr">
        <is>
          <t>오송시티</t>
        </is>
      </c>
      <c r="T730" s="4" t="n">
        <v>1</v>
      </c>
      <c r="U730" s="5" t="n">
        <v>225</v>
      </c>
      <c r="V730" s="4" t="n">
        <v>222.9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소로한면</t>
        </is>
      </c>
    </row>
    <row r="731">
      <c r="A731" s="3" t="inlineStr">
        <is>
          <t>오송읍 만수리 649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매매</t>
        </is>
      </c>
      <c r="G731" s="4" t="n">
        <v>83000</v>
      </c>
      <c r="H731" s="4" t="n">
        <v>0</v>
      </c>
      <c r="I731" s="4" t="n">
        <v>253</v>
      </c>
      <c r="J731" s="4" t="n">
        <v>77</v>
      </c>
      <c r="K731" s="5" t="n">
        <v>1077.9</v>
      </c>
      <c r="L731" s="4" t="n">
        <v>368</v>
      </c>
      <c r="M731" s="4" t="n">
        <v>111</v>
      </c>
      <c r="N731" s="5" t="n">
        <v>747.7</v>
      </c>
      <c r="O731" s="3" t="inlineStr">
        <is>
          <t>오송역 도보 5분만실 다가구주택, 실투자금 4.6억 수익률 6.6</t>
        </is>
      </c>
      <c r="P731" s="6">
        <f>HYPERLINK("https://fin.land.naver.com/articles/2652592437", "매물Link")</f>
        <v/>
      </c>
      <c r="Q731" s="6">
        <f>HYPERLINK("https://map.naver.com/p/search/오송읍 만수리 649", "지도Link")</f>
        <v/>
      </c>
      <c r="R731" s="6">
        <f>HYPERLINK("http://www.eum.go.kr/web/ar/lu/luLandDet.jsp?pnu=4311325025106490000&amp;isNoScr=script&amp;mode=search", "토지이음")</f>
        <v/>
      </c>
      <c r="S731" s="3" t="inlineStr">
        <is>
          <t>웰스플랜</t>
        </is>
      </c>
      <c r="T731" s="4" t="n">
        <v>1</v>
      </c>
      <c r="U731" s="5" t="n">
        <v>222.7</v>
      </c>
      <c r="V731" s="4" t="n">
        <v>253.1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세로장방</t>
        </is>
      </c>
      <c r="AA731" s="3" t="inlineStr">
        <is>
          <t>소로한면</t>
        </is>
      </c>
    </row>
    <row r="732">
      <c r="A732" s="3" t="inlineStr">
        <is>
          <t>오송읍 만수리 649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다가구</t>
        </is>
      </c>
      <c r="F732" s="3" t="inlineStr">
        <is>
          <t>월세</t>
        </is>
      </c>
      <c r="G732" s="4" t="n">
        <v>300</v>
      </c>
      <c r="H732" s="4" t="n">
        <v>45</v>
      </c>
      <c r="I732" s="4" t="n">
        <v>115</v>
      </c>
      <c r="J732" s="4" t="n">
        <v>35</v>
      </c>
      <c r="K732" s="5" t="n">
        <v>1.3</v>
      </c>
      <c r="L732" s="4" t="n">
        <v>24</v>
      </c>
      <c r="M732" s="4" t="n">
        <v>7</v>
      </c>
      <c r="N732" s="5" t="n">
        <v>6.4</v>
      </c>
      <c r="O732" s="3" t="inlineStr">
        <is>
          <t>nan</t>
        </is>
      </c>
      <c r="P732" s="6">
        <f>HYPERLINK("https://fin.land.naver.com/articles/2654602267", "매물Link")</f>
        <v/>
      </c>
      <c r="Q732" s="6">
        <f>HYPERLINK("https://map.naver.com/p/search/오송읍 만수리 649", "지도Link")</f>
        <v/>
      </c>
      <c r="R732" s="6">
        <f>HYPERLINK("http://www.eum.go.kr/web/ar/lu/luLandDet.jsp?pnu=4311325025106490000&amp;isNoScr=script&amp;mode=search", "토지이음")</f>
        <v/>
      </c>
      <c r="S732" s="3" t="inlineStr">
        <is>
          <t>웰스플랜</t>
        </is>
      </c>
      <c r="T732" s="4" t="n">
        <v>1</v>
      </c>
      <c r="U732" s="5" t="n">
        <v>222.7</v>
      </c>
      <c r="V732" s="4" t="n">
        <v>253.1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세로장방</t>
        </is>
      </c>
      <c r="AA732" s="3" t="inlineStr">
        <is>
          <t>소로한면</t>
        </is>
      </c>
    </row>
    <row r="733">
      <c r="A733" s="3" t="inlineStr">
        <is>
          <t>오송읍 만수리 649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매매</t>
        </is>
      </c>
      <c r="G733" s="4" t="n">
        <v>83000</v>
      </c>
      <c r="H733" s="4" t="n">
        <v>0</v>
      </c>
      <c r="I733" s="4" t="n">
        <v>253</v>
      </c>
      <c r="J733" s="4" t="n">
        <v>77</v>
      </c>
      <c r="K733" s="5" t="n">
        <v>1077.9</v>
      </c>
      <c r="L733" s="4" t="n">
        <v>368</v>
      </c>
      <c r="M733" s="4" t="n">
        <v>111</v>
      </c>
      <c r="N733" s="5" t="n">
        <v>747.7</v>
      </c>
      <c r="O733" s="3" t="inlineStr">
        <is>
          <t>오송역 도보 5분만실 다가구주택, 관리 잘된 신축급, 오송3산단인근</t>
        </is>
      </c>
      <c r="P733" s="6">
        <f>HYPERLINK("https://fin.land.naver.com/articles/2654600258", "매물Link")</f>
        <v/>
      </c>
      <c r="Q733" s="6">
        <f>HYPERLINK("https://map.naver.com/p/search/오송읍 만수리 649", "지도Link")</f>
        <v/>
      </c>
      <c r="R733" s="6">
        <f>HYPERLINK("http://www.eum.go.kr/web/ar/lu/luLandDet.jsp?pnu=4311325025106490000&amp;isNoScr=script&amp;mode=search", "토지이음")</f>
        <v/>
      </c>
      <c r="S733" s="3" t="inlineStr">
        <is>
          <t>웰스플랜</t>
        </is>
      </c>
      <c r="T733" s="4" t="n">
        <v>2</v>
      </c>
      <c r="U733" s="5" t="n">
        <v>222.7</v>
      </c>
      <c r="V733" s="4" t="n">
        <v>253.1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세로장방</t>
        </is>
      </c>
      <c r="AA733" s="3" t="inlineStr">
        <is>
          <t>소로한면</t>
        </is>
      </c>
    </row>
    <row r="734">
      <c r="A734" s="3" t="inlineStr">
        <is>
          <t>오송읍 만수리 652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0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0</v>
      </c>
      <c r="J734" s="4" t="n">
        <v>0</v>
      </c>
      <c r="K734" s="5" t="n">
        <v>0</v>
      </c>
      <c r="L734" s="4" t="n">
        <v>61</v>
      </c>
      <c r="M734" s="4" t="n">
        <v>18</v>
      </c>
      <c r="N734" s="5" t="n">
        <v>3.4</v>
      </c>
      <c r="O734" s="3" t="inlineStr">
        <is>
          <t>오송역 도보8분, 초.중학교 인접</t>
        </is>
      </c>
      <c r="P734" s="6">
        <f>HYPERLINK("https://fin.land.naver.com/articles/2652692786", "매물Link")</f>
        <v/>
      </c>
      <c r="Q734" s="6">
        <f>HYPERLINK("https://map.naver.com/p/search/오송읍 만수리 652", "지도Link")</f>
        <v/>
      </c>
      <c r="R734" s="6">
        <f>HYPERLINK("http://www.eum.go.kr/web/ar/lu/luLandDet.jsp?pnu=4311325025106520000&amp;isNoScr=script&amp;mode=search", "토지이음")</f>
        <v/>
      </c>
      <c r="S734" s="3" t="inlineStr">
        <is>
          <t>오송채움</t>
        </is>
      </c>
      <c r="T734" s="4" t="n">
        <v>1</v>
      </c>
      <c r="U734" s="5" t="n">
        <v>225</v>
      </c>
      <c r="V734" s="4" t="n">
        <v>249.1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652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67000</v>
      </c>
      <c r="H735" s="4" t="n">
        <v>0</v>
      </c>
      <c r="I735" s="4" t="n">
        <v>249</v>
      </c>
      <c r="J735" s="4" t="n">
        <v>75</v>
      </c>
      <c r="K735" s="5" t="n">
        <v>893.3</v>
      </c>
      <c r="L735" s="4" t="n">
        <v>352</v>
      </c>
      <c r="M735" s="4" t="n">
        <v>106</v>
      </c>
      <c r="N735" s="5" t="n">
        <v>632.1</v>
      </c>
      <c r="O735" s="3" t="inlineStr">
        <is>
          <t>투자하기 좋은 통매매, 오송역, 초.중학교 인접</t>
        </is>
      </c>
      <c r="P735" s="6">
        <f>HYPERLINK("https://fin.land.naver.com/articles/2650526857", "매물Link")</f>
        <v/>
      </c>
      <c r="Q735" s="6">
        <f>HYPERLINK("https://map.naver.com/p/search/오송읍 만수리 652", "지도Link")</f>
        <v/>
      </c>
      <c r="R735" s="6">
        <f>HYPERLINK("http://www.eum.go.kr/web/ar/lu/luLandDet.jsp?pnu=4311325025106520000&amp;isNoScr=script&amp;mode=search", "토지이음")</f>
        <v/>
      </c>
      <c r="S735" s="3" t="inlineStr">
        <is>
          <t>오송채움</t>
        </is>
      </c>
      <c r="T735" s="4" t="n">
        <v>1</v>
      </c>
      <c r="U735" s="5" t="n">
        <v>225</v>
      </c>
      <c r="V735" s="4" t="n">
        <v>249.1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660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0</t>
        </is>
      </c>
      <c r="E736" s="3" t="inlineStr">
        <is>
          <t>다가구</t>
        </is>
      </c>
      <c r="F736" s="3" t="inlineStr">
        <is>
          <t>월세</t>
        </is>
      </c>
      <c r="G736" s="4" t="n">
        <v>1000</v>
      </c>
      <c r="H736" s="4" t="n">
        <v>106</v>
      </c>
      <c r="I736" s="4" t="n">
        <v>122</v>
      </c>
      <c r="J736" s="4" t="n">
        <v>37</v>
      </c>
      <c r="K736" s="5" t="n">
        <v>2.9</v>
      </c>
      <c r="L736" s="4" t="n">
        <v>122</v>
      </c>
      <c r="M736" s="4" t="n">
        <v>37</v>
      </c>
      <c r="N736" s="5" t="n">
        <v>2.9</v>
      </c>
      <c r="O736" s="3" t="inlineStr">
        <is>
          <t>준신축 개방감 좋은 주인세대.복층 쓰리룸.</t>
        </is>
      </c>
      <c r="P736" s="6">
        <f>HYPERLINK("https://fin.land.naver.com/articles/2650230299", "매물Link")</f>
        <v/>
      </c>
      <c r="Q736" s="6">
        <f>HYPERLINK("https://map.naver.com/p/search/오송읍 만수리 660", "지도Link")</f>
        <v/>
      </c>
      <c r="R736" s="6">
        <f>HYPERLINK("http://www.eum.go.kr/web/ar/lu/luLandDet.jsp?pnu=4311325025106600000&amp;isNoScr=script&amp;mode=search",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228.1</v>
      </c>
      <c r="V736" s="4" t="n">
        <v>265.1</v>
      </c>
      <c r="W736" s="3" t="inlineStr">
        <is>
          <t>지정되지않음</t>
        </is>
      </c>
      <c r="X736" s="3" t="inlineStr">
        <is>
          <t>주거나지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660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0</t>
        </is>
      </c>
      <c r="E737" s="3" t="inlineStr">
        <is>
          <t>다가구</t>
        </is>
      </c>
      <c r="F737" s="3" t="inlineStr">
        <is>
          <t>단기임대</t>
        </is>
      </c>
      <c r="G737" s="4" t="n">
        <v>100</v>
      </c>
      <c r="H737" s="4" t="n">
        <v>50</v>
      </c>
      <c r="I737" s="4" t="n">
        <v>31</v>
      </c>
      <c r="J737" s="4" t="n">
        <v>9</v>
      </c>
      <c r="K737" s="5" t="n">
        <v>11.1</v>
      </c>
      <c r="L737" s="4" t="n">
        <v>31</v>
      </c>
      <c r="M737" s="4" t="n">
        <v>9</v>
      </c>
      <c r="N737" s="5" t="n">
        <v>11.1</v>
      </c>
      <c r="O737" s="3" t="inlineStr">
        <is>
          <t>즉시입주 준신축 단기방.</t>
        </is>
      </c>
      <c r="P737" s="6">
        <f>HYPERLINK("https://fin.land.naver.com/articles/2652954707", "매물Link")</f>
        <v/>
      </c>
      <c r="Q737" s="6">
        <f>HYPERLINK("https://map.naver.com/p/search/오송읍 만수리 660", "지도Link")</f>
        <v/>
      </c>
      <c r="R737" s="6">
        <f>HYPERLINK("http://www.eum.go.kr/web/ar/lu/luLandDet.jsp?pnu=4311325025106600000&amp;isNoScr=script&amp;mode=search",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228.1</v>
      </c>
      <c r="V737" s="4" t="n">
        <v>265.1</v>
      </c>
      <c r="W737" s="3" t="inlineStr">
        <is>
          <t>지정되지않음</t>
        </is>
      </c>
      <c r="X737" s="3" t="inlineStr">
        <is>
          <t>주거나지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661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45</v>
      </c>
      <c r="I738" s="4" t="n">
        <v>0</v>
      </c>
      <c r="J738" s="4" t="n">
        <v>0</v>
      </c>
      <c r="K738" s="5" t="n">
        <v>0</v>
      </c>
      <c r="L738" s="4" t="n">
        <v>30</v>
      </c>
      <c r="M738" s="4" t="n">
        <v>9</v>
      </c>
      <c r="N738" s="5" t="n">
        <v>5</v>
      </c>
      <c r="O738" s="3" t="inlineStr">
        <is>
          <t>해 잘드는 밝은 원룸</t>
        </is>
      </c>
      <c r="P738" s="6">
        <f>HYPERLINK("https://fin.land.naver.com/articles/2650138384", "매물Link")</f>
        <v/>
      </c>
      <c r="Q738" s="6">
        <f>HYPERLINK("https://map.naver.com/p/search/오송읍 만수리 661", "지도Link")</f>
        <v/>
      </c>
      <c r="R738" s="6">
        <f>HYPERLINK("http://www.eum.go.kr/web/ar/lu/luLandDet.jsp?pnu=4311325025106610000&amp;isNoScr=script&amp;mode=search", "토지이음")</f>
        <v/>
      </c>
      <c r="S738" s="3" t="inlineStr">
        <is>
          <t>오송1단지창조</t>
        </is>
      </c>
      <c r="T738" s="4" t="n">
        <v>1</v>
      </c>
      <c r="U738" s="5" t="n">
        <v>228.1</v>
      </c>
      <c r="V738" s="4" t="n">
        <v>271.1</v>
      </c>
      <c r="W738" s="3" t="inlineStr">
        <is>
          <t>지정되지않음</t>
        </is>
      </c>
      <c r="X738" s="3" t="inlineStr">
        <is>
          <t>주거기타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712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다가구</t>
        </is>
      </c>
      <c r="F739" s="3" t="inlineStr">
        <is>
          <t>전세</t>
        </is>
      </c>
      <c r="G739" s="4" t="n">
        <v>6300</v>
      </c>
      <c r="H739" s="4" t="n">
        <v>0</v>
      </c>
      <c r="I739" s="4" t="n">
        <v>0</v>
      </c>
      <c r="J739" s="4" t="n">
        <v>0</v>
      </c>
      <c r="K739" s="5" t="n">
        <v>0</v>
      </c>
      <c r="L739" s="4" t="n">
        <v>50</v>
      </c>
      <c r="M739" s="4" t="n">
        <v>15</v>
      </c>
      <c r="N739" s="5" t="n">
        <v>420</v>
      </c>
      <c r="O739" s="3" t="inlineStr">
        <is>
          <t>오송1산단 귀한 투룸전세</t>
        </is>
      </c>
      <c r="P739" s="6">
        <f>HYPERLINK("https://fin.land.naver.com/articles/2652997900", "매물Link")</f>
        <v/>
      </c>
      <c r="Q739" s="6">
        <f>HYPERLINK("https://map.naver.com/p/search/오송읍 만수리 712", "지도Link")</f>
        <v/>
      </c>
      <c r="R739" s="6">
        <f>HYPERLINK("http://www.eum.go.kr/web/ar/lu/luLandDet.jsp?pnu=4311325025107120000&amp;isNoScr=script&amp;mode=search",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229.4</v>
      </c>
      <c r="V739" s="4" t="n">
        <v>263.6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712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300</v>
      </c>
      <c r="H740" s="4" t="n">
        <v>31</v>
      </c>
      <c r="I740" s="4" t="n">
        <v>0</v>
      </c>
      <c r="J740" s="4" t="n">
        <v>0</v>
      </c>
      <c r="K740" s="5" t="n">
        <v>0</v>
      </c>
      <c r="L740" s="4" t="n">
        <v>30</v>
      </c>
      <c r="M740" s="4" t="n">
        <v>9</v>
      </c>
      <c r="N740" s="5" t="n">
        <v>3.4</v>
      </c>
      <c r="O740" s="3" t="inlineStr">
        <is>
          <t>즉시입주 가능한 원룸</t>
        </is>
      </c>
      <c r="P740" s="6">
        <f>HYPERLINK("https://fin.land.naver.com/articles/2655708969", "매물Link")</f>
        <v/>
      </c>
      <c r="Q740" s="6">
        <f>HYPERLINK("https://map.naver.com/p/search/오송읍 만수리 712", "지도Link")</f>
        <v/>
      </c>
      <c r="R740" s="6">
        <f>HYPERLINK("http://www.eum.go.kr/web/ar/lu/luLandDet.jsp?pnu=4311325025107120000&amp;isNoScr=script&amp;mode=search", "토지이음")</f>
        <v/>
      </c>
      <c r="S740" s="3" t="inlineStr">
        <is>
          <t>오송1단지창조</t>
        </is>
      </c>
      <c r="T740" s="4" t="n">
        <v>1</v>
      </c>
      <c r="U740" s="5" t="n">
        <v>229.4</v>
      </c>
      <c r="V740" s="4" t="n">
        <v>263.6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712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72000</v>
      </c>
      <c r="H741" s="4" t="n">
        <v>0</v>
      </c>
      <c r="I741" s="4" t="n">
        <v>263</v>
      </c>
      <c r="J741" s="4" t="n">
        <v>80</v>
      </c>
      <c r="K741" s="5" t="n">
        <v>900</v>
      </c>
      <c r="L741" s="4" t="n">
        <v>369</v>
      </c>
      <c r="M741" s="4" t="n">
        <v>112</v>
      </c>
      <c r="N741" s="5" t="n">
        <v>642.9</v>
      </c>
      <c r="O741" s="3" t="inlineStr">
        <is>
          <t>오송1산단 수익률 좋은 다가구</t>
        </is>
      </c>
      <c r="P741" s="6">
        <f>HYPERLINK("https://fin.land.naver.com/articles/2655163999", "매물Link")</f>
        <v/>
      </c>
      <c r="Q741" s="6">
        <f>HYPERLINK("https://map.naver.com/p/search/오송읍 만수리 712", "지도Link")</f>
        <v/>
      </c>
      <c r="R741" s="6">
        <f>HYPERLINK("http://www.eum.go.kr/web/ar/lu/luLandDet.jsp?pnu=4311325025107120000&amp;isNoScr=script&amp;mode=search", "토지이음")</f>
        <v/>
      </c>
      <c r="S741" s="3" t="inlineStr">
        <is>
          <t>오송1단지창조</t>
        </is>
      </c>
      <c r="T741" s="4" t="n">
        <v>1</v>
      </c>
      <c r="U741" s="5" t="n">
        <v>229.4</v>
      </c>
      <c r="V741" s="4" t="n">
        <v>263.6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726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500</v>
      </c>
      <c r="H742" s="4" t="n">
        <v>46</v>
      </c>
      <c r="I742" s="4" t="n">
        <v>0</v>
      </c>
      <c r="J742" s="4" t="n">
        <v>0</v>
      </c>
      <c r="K742" s="5" t="n">
        <v>0</v>
      </c>
      <c r="L742" s="4" t="n">
        <v>40</v>
      </c>
      <c r="M742" s="4" t="n">
        <v>12</v>
      </c>
      <c r="N742" s="5" t="n">
        <v>3.8</v>
      </c>
      <c r="O742" s="3" t="inlineStr">
        <is>
          <t>10월중순 입주가능한 투베이</t>
        </is>
      </c>
      <c r="P742" s="6">
        <f>HYPERLINK("https://fin.land.naver.com/articles/2652869194", "매물Link")</f>
        <v/>
      </c>
      <c r="Q742" s="6">
        <f>HYPERLINK("https://map.naver.com/p/search/오송읍 만수리 726", "지도Link")</f>
        <v/>
      </c>
      <c r="R742" s="6">
        <f>HYPERLINK("http://www.eum.go.kr/web/ar/lu/luLandDet.jsp?pnu=4311325025107260000&amp;isNoScr=script&amp;mode=search", "토지이음")</f>
        <v/>
      </c>
      <c r="S742" s="3" t="inlineStr">
        <is>
          <t>오송1단지창조</t>
        </is>
      </c>
      <c r="T742" s="4" t="n">
        <v>1</v>
      </c>
      <c r="U742" s="5" t="n">
        <v>229.4</v>
      </c>
      <c r="V742" s="4" t="n">
        <v>274</v>
      </c>
      <c r="W742" s="3" t="inlineStr">
        <is>
          <t>지정되지않음</t>
        </is>
      </c>
      <c r="X742" s="3" t="inlineStr">
        <is>
          <t>주거기타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742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70000</v>
      </c>
      <c r="H743" s="4" t="n">
        <v>0</v>
      </c>
      <c r="I743" s="4" t="n">
        <v>275</v>
      </c>
      <c r="J743" s="4" t="n">
        <v>83</v>
      </c>
      <c r="K743" s="5" t="n">
        <v>843.4</v>
      </c>
      <c r="L743" s="4" t="n">
        <v>398</v>
      </c>
      <c r="M743" s="4" t="n">
        <v>120</v>
      </c>
      <c r="N743" s="5" t="n">
        <v>583.3</v>
      </c>
      <c r="O743" s="3" t="inlineStr">
        <is>
          <t>nan</t>
        </is>
      </c>
      <c r="P743" s="6">
        <f>HYPERLINK("https://fin.land.naver.com/articles/2651292627", "매물Link")</f>
        <v/>
      </c>
      <c r="Q743" s="6">
        <f>HYPERLINK("https://map.naver.com/p/search/오송읍 만수리 742", "지도Link")</f>
        <v/>
      </c>
      <c r="R743" s="6">
        <f>HYPERLINK("http://www.eum.go.kr/web/ar/lu/luLandDet.jsp?pnu=4311325025107420000&amp;isNoScr=script&amp;mode=search",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225.8</v>
      </c>
      <c r="V743" s="4" t="n">
        <v>275.9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가로장방</t>
        </is>
      </c>
      <c r="AA743" s="3" t="inlineStr">
        <is>
          <t>소로한면</t>
        </is>
      </c>
    </row>
    <row r="744">
      <c r="A744" s="3" t="inlineStr">
        <is>
          <t>오송읍 만수리 742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70000</v>
      </c>
      <c r="H744" s="4" t="n">
        <v>0</v>
      </c>
      <c r="I744" s="4" t="n">
        <v>275</v>
      </c>
      <c r="J744" s="4" t="n">
        <v>83</v>
      </c>
      <c r="K744" s="5" t="n">
        <v>843.4</v>
      </c>
      <c r="L744" s="4" t="n">
        <v>398</v>
      </c>
      <c r="M744" s="4" t="n">
        <v>120</v>
      </c>
      <c r="N744" s="5" t="n">
        <v>583.3</v>
      </c>
      <c r="O744" s="3" t="inlineStr">
        <is>
          <t>거실창 밖 공원뷰, 임대하기 좋은 구성 건물</t>
        </is>
      </c>
      <c r="P744" s="6">
        <f>HYPERLINK("https://fin.land.naver.com/articles/2652143068", "매물Link")</f>
        <v/>
      </c>
      <c r="Q744" s="6">
        <f>HYPERLINK("https://map.naver.com/p/search/오송읍 만수리 742", "지도Link")</f>
        <v/>
      </c>
      <c r="R744" s="6">
        <f>HYPERLINK("http://www.eum.go.kr/web/ar/lu/luLandDet.jsp?pnu=4311325025107420000&amp;isNoScr=script&amp;mode=search", "토지이음")</f>
        <v/>
      </c>
      <c r="S744" s="3" t="inlineStr">
        <is>
          <t>오송2단지창조</t>
        </is>
      </c>
      <c r="T744" s="4" t="n">
        <v>1</v>
      </c>
      <c r="U744" s="5" t="n">
        <v>225.8</v>
      </c>
      <c r="V744" s="4" t="n">
        <v>275.9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가로장방</t>
        </is>
      </c>
      <c r="AA744" s="3" t="inlineStr">
        <is>
          <t>소로한면</t>
        </is>
      </c>
    </row>
    <row r="745">
      <c r="A745" s="3" t="inlineStr">
        <is>
          <t>오송읍 만수리 746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500</v>
      </c>
      <c r="H745" s="4" t="n">
        <v>60</v>
      </c>
      <c r="I745" s="4" t="n">
        <v>0</v>
      </c>
      <c r="J745" s="4" t="n">
        <v>0</v>
      </c>
      <c r="K745" s="5" t="n">
        <v>0</v>
      </c>
      <c r="L745" s="4" t="n">
        <v>39</v>
      </c>
      <c r="M745" s="4" t="n">
        <v>12</v>
      </c>
      <c r="N745" s="5" t="n">
        <v>5</v>
      </c>
      <c r="O745" s="3" t="inlineStr">
        <is>
          <t>넓은 복층형 투베이. 10월 말 이후 협의입주.</t>
        </is>
      </c>
      <c r="P745" s="6">
        <f>HYPERLINK("https://fin.land.naver.com/articles/2655613014", "매물Link")</f>
        <v/>
      </c>
      <c r="Q745" s="6">
        <f>HYPERLINK("https://map.naver.com/p/search/오송읍 만수리 746", "지도Link")</f>
        <v/>
      </c>
      <c r="R745" s="6">
        <f>HYPERLINK("http://www.eum.go.kr/web/ar/lu/luLandDet.jsp?pnu=4311325025107460000&amp;isNoScr=script&amp;mode=search", "토지이음")</f>
        <v/>
      </c>
      <c r="S745" s="3" t="inlineStr">
        <is>
          <t>당근플러스</t>
        </is>
      </c>
      <c r="T745" s="4" t="n">
        <v>1</v>
      </c>
      <c r="U745" s="5" t="n">
        <v>228.1</v>
      </c>
      <c r="V745" s="4" t="n">
        <v>239.8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746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3</t>
        </is>
      </c>
      <c r="E746" s="3" t="inlineStr">
        <is>
          <t>다가구</t>
        </is>
      </c>
      <c r="F746" s="3" t="inlineStr">
        <is>
          <t>월세</t>
        </is>
      </c>
      <c r="G746" s="4" t="n">
        <v>500</v>
      </c>
      <c r="H746" s="4" t="n">
        <v>70</v>
      </c>
      <c r="I746" s="4" t="n">
        <v>239</v>
      </c>
      <c r="J746" s="4" t="n">
        <v>72</v>
      </c>
      <c r="K746" s="5" t="n">
        <v>1</v>
      </c>
      <c r="L746" s="4" t="n">
        <v>349</v>
      </c>
      <c r="M746" s="4" t="n">
        <v>106</v>
      </c>
      <c r="N746" s="5" t="n">
        <v>0.7</v>
      </c>
      <c r="O746" s="3" t="inlineStr">
        <is>
          <t>nan</t>
        </is>
      </c>
      <c r="P746" s="6">
        <f>HYPERLINK("https://fin.land.naver.com/articles/2653864477", "매물Link")</f>
        <v/>
      </c>
      <c r="Q746" s="6">
        <f>HYPERLINK("https://map.naver.com/p/search/오송읍 만수리 746", "지도Link")</f>
        <v/>
      </c>
      <c r="R746" s="6">
        <f>HYPERLINK("http://www.eum.go.kr/web/ar/lu/luLandDet.jsp?pnu=4311325025107460000&amp;isNoScr=script&amp;mode=search", "토지이음")</f>
        <v/>
      </c>
      <c r="S746" s="3" t="inlineStr">
        <is>
          <t>오송시티</t>
        </is>
      </c>
      <c r="T746" s="4" t="n">
        <v>1</v>
      </c>
      <c r="U746" s="5" t="n">
        <v>228.1</v>
      </c>
      <c r="V746" s="4" t="n">
        <v>239.8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746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월세</t>
        </is>
      </c>
      <c r="G747" s="4" t="n">
        <v>500</v>
      </c>
      <c r="H747" s="4" t="n">
        <v>61</v>
      </c>
      <c r="I747" s="4" t="n">
        <v>39</v>
      </c>
      <c r="J747" s="4" t="n">
        <v>12</v>
      </c>
      <c r="K747" s="5" t="n">
        <v>5.1</v>
      </c>
      <c r="L747" s="4" t="n">
        <v>39</v>
      </c>
      <c r="M747" s="4" t="n">
        <v>12</v>
      </c>
      <c r="N747" s="5" t="n">
        <v>5.1</v>
      </c>
      <c r="O747" s="3" t="inlineStr">
        <is>
          <t>깨끗한 복층 투룸.즉시입주가능.짐 많은 1인이 살기 좋은 복층 투룸.</t>
        </is>
      </c>
      <c r="P747" s="6">
        <f>HYPERLINK("https://fin.land.naver.com/articles/2655592357", "매물Link")</f>
        <v/>
      </c>
      <c r="Q747" s="6">
        <f>HYPERLINK("https://map.naver.com/p/search/오송읍 만수리 746", "지도Link")</f>
        <v/>
      </c>
      <c r="R747" s="6">
        <f>HYPERLINK("http://www.eum.go.kr/web/ar/lu/luLandDet.jsp?pnu=4311325025107460000&amp;isNoScr=script&amp;mode=search",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239.8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748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다가구</t>
        </is>
      </c>
      <c r="F748" s="3" t="inlineStr">
        <is>
          <t>월세</t>
        </is>
      </c>
      <c r="G748" s="4" t="n">
        <v>500</v>
      </c>
      <c r="H748" s="4" t="n">
        <v>70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4.7</v>
      </c>
      <c r="O748" s="3" t="inlineStr">
        <is>
          <t>오송역 초인근 투룸</t>
        </is>
      </c>
      <c r="P748" s="6">
        <f>HYPERLINK("https://fin.land.naver.com/articles/2650332346", "매물Link")</f>
        <v/>
      </c>
      <c r="Q748" s="6">
        <f>HYPERLINK("https://map.naver.com/p/search/오송읍 만수리 748", "지도Link")</f>
        <v/>
      </c>
      <c r="R748" s="6">
        <f>HYPERLINK("http://www.eum.go.kr/web/ar/lu/luLandDet.jsp?pnu=4311325025107480000&amp;isNoScr=script&amp;mode=search",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228.1</v>
      </c>
      <c r="V748" s="4" t="n">
        <v>240.1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755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상가주택</t>
        </is>
      </c>
      <c r="F749" s="3" t="inlineStr">
        <is>
          <t>매매</t>
        </is>
      </c>
      <c r="G749" s="4" t="n">
        <v>79000</v>
      </c>
      <c r="H749" s="4" t="n">
        <v>0</v>
      </c>
      <c r="I749" s="4" t="n">
        <v>240</v>
      </c>
      <c r="J749" s="4" t="n">
        <v>73</v>
      </c>
      <c r="K749" s="5" t="n">
        <v>1082.2</v>
      </c>
      <c r="L749" s="4" t="n">
        <v>338</v>
      </c>
      <c r="M749" s="4" t="n">
        <v>102</v>
      </c>
      <c r="N749" s="5" t="n">
        <v>774.5</v>
      </c>
      <c r="O749" s="3" t="inlineStr">
        <is>
          <t>오송역 도보 가능, 공원 옆 개방감 좋은 주택, 하자 없는 상가 주택.</t>
        </is>
      </c>
      <c r="P749" s="6">
        <f>HYPERLINK("https://fin.land.naver.com/articles/2653351559", "매물Link")</f>
        <v/>
      </c>
      <c r="Q749" s="6">
        <f>HYPERLINK("https://map.naver.com/p/search/오송읍 만수리 755", "지도Link")</f>
        <v/>
      </c>
      <c r="R749" s="6">
        <f>HYPERLINK("http://www.eum.go.kr/web/ar/lu/luLandDet.jsp?pnu=4311325025107550000&amp;isNoScr=script&amp;mode=search", "토지이음")</f>
        <v/>
      </c>
      <c r="S749" s="3" t="inlineStr">
        <is>
          <t>오송모아</t>
        </is>
      </c>
      <c r="T749" s="4" t="n">
        <v>1</v>
      </c>
      <c r="U749" s="5" t="n">
        <v>229.4</v>
      </c>
      <c r="V749" s="4" t="n">
        <v>239.9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755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단독</t>
        </is>
      </c>
      <c r="F750" s="3" t="inlineStr">
        <is>
          <t>매매</t>
        </is>
      </c>
      <c r="G750" s="4" t="n">
        <v>79000</v>
      </c>
      <c r="H750" s="4" t="n">
        <v>0</v>
      </c>
      <c r="I750" s="4" t="n">
        <v>240</v>
      </c>
      <c r="J750" s="4" t="n">
        <v>73</v>
      </c>
      <c r="K750" s="5" t="n">
        <v>1082.2</v>
      </c>
      <c r="L750" s="4" t="n">
        <v>338</v>
      </c>
      <c r="M750" s="4" t="n">
        <v>102</v>
      </c>
      <c r="N750" s="5" t="n">
        <v>774.5</v>
      </c>
      <c r="O750" s="3" t="inlineStr">
        <is>
          <t>오송1산단 입지 좋은곳에 위치한 상가주택 매매</t>
        </is>
      </c>
      <c r="P750" s="6">
        <f>HYPERLINK("https://fin.land.naver.com/articles/2653022828", "매물Link")</f>
        <v/>
      </c>
      <c r="Q750" s="6">
        <f>HYPERLINK("https://map.naver.com/p/search/오송읍 만수리 755", "지도Link")</f>
        <v/>
      </c>
      <c r="R750" s="6">
        <f>HYPERLINK("http://www.eum.go.kr/web/ar/lu/luLandDet.jsp?pnu=4311325025107550000&amp;isNoScr=script&amp;mode=search",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239.9</v>
      </c>
      <c r="W750" s="3" t="inlineStr">
        <is>
          <t>지정되지않음</t>
        </is>
      </c>
      <c r="X750" s="3" t="inlineStr">
        <is>
          <t>주거기타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755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79000</v>
      </c>
      <c r="H751" s="4" t="n">
        <v>0</v>
      </c>
      <c r="I751" s="4" t="n">
        <v>240</v>
      </c>
      <c r="J751" s="4" t="n">
        <v>73</v>
      </c>
      <c r="K751" s="5" t="n">
        <v>1082.2</v>
      </c>
      <c r="L751" s="4" t="n">
        <v>338</v>
      </c>
      <c r="M751" s="4" t="n">
        <v>102</v>
      </c>
      <c r="N751" s="5" t="n">
        <v>774.5</v>
      </c>
      <c r="O751" s="3" t="inlineStr">
        <is>
          <t>먹자골목 상권 ,상가 메인 상권,공실없는 건물</t>
        </is>
      </c>
      <c r="P751" s="6">
        <f>HYPERLINK("https://fin.land.naver.com/articles/2655111584", "매물Link")</f>
        <v/>
      </c>
      <c r="Q751" s="6">
        <f>HYPERLINK("https://map.naver.com/p/search/오송읍 만수리 755", "지도Link")</f>
        <v/>
      </c>
      <c r="R751" s="6">
        <f>HYPERLINK("http://www.eum.go.kr/web/ar/lu/luLandDet.jsp?pnu=4311325025107550000&amp;isNoScr=script&amp;mode=search",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239.9</v>
      </c>
      <c r="W751" s="3" t="inlineStr">
        <is>
          <t>지정되지않음</t>
        </is>
      </c>
      <c r="X751" s="3" t="inlineStr">
        <is>
          <t>주거기타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759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단독</t>
        </is>
      </c>
      <c r="F752" s="3" t="inlineStr">
        <is>
          <t>매매</t>
        </is>
      </c>
      <c r="G752" s="4" t="n">
        <v>67000</v>
      </c>
      <c r="H752" s="4" t="n">
        <v>0</v>
      </c>
      <c r="I752" s="4" t="n">
        <v>252</v>
      </c>
      <c r="J752" s="4" t="n">
        <v>76</v>
      </c>
      <c r="K752" s="5" t="n">
        <v>881.6</v>
      </c>
      <c r="L752" s="4" t="n">
        <v>349</v>
      </c>
      <c r="M752" s="4" t="n">
        <v>106</v>
      </c>
      <c r="N752" s="5" t="n">
        <v>632.1</v>
      </c>
      <c r="O752" s="3" t="inlineStr">
        <is>
          <t>임대수요 많은 수익형 다가구 매물</t>
        </is>
      </c>
      <c r="P752" s="6">
        <f>HYPERLINK("https://fin.land.naver.com/articles/2655711859", "매물Link")</f>
        <v/>
      </c>
      <c r="Q752" s="6">
        <f>HYPERLINK("https://map.naver.com/p/search/오송읍 만수리 759", "지도Link")</f>
        <v/>
      </c>
      <c r="R752" s="6">
        <f>HYPERLINK("http://www.eum.go.kr/web/ar/lu/luLandDet.jsp?pnu=4311325025107590000&amp;isNoScr=script&amp;mode=search",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252.7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759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매매</t>
        </is>
      </c>
      <c r="G753" s="4" t="n">
        <v>67000</v>
      </c>
      <c r="H753" s="4" t="n">
        <v>0</v>
      </c>
      <c r="I753" s="4" t="n">
        <v>252</v>
      </c>
      <c r="J753" s="4" t="n">
        <v>76</v>
      </c>
      <c r="K753" s="5" t="n">
        <v>881.6</v>
      </c>
      <c r="L753" s="4" t="n">
        <v>349</v>
      </c>
      <c r="M753" s="4" t="n">
        <v>106</v>
      </c>
      <c r="N753" s="5" t="n">
        <v>632.1</v>
      </c>
      <c r="O753" s="3" t="inlineStr">
        <is>
          <t>오송역인근 투자하기 좋은 매물</t>
        </is>
      </c>
      <c r="P753" s="6">
        <f>HYPERLINK("https://fin.land.naver.com/articles/2654001774", "매물Link")</f>
        <v/>
      </c>
      <c r="Q753" s="6">
        <f>HYPERLINK("https://map.naver.com/p/search/오송읍 만수리 759", "지도Link")</f>
        <v/>
      </c>
      <c r="R753" s="6">
        <f>HYPERLINK("http://www.eum.go.kr/web/ar/lu/luLandDet.jsp?pnu=4311325025107590000&amp;isNoScr=script&amp;mode=search", "토지이음")</f>
        <v/>
      </c>
      <c r="S753" s="3" t="inlineStr">
        <is>
          <t>오송2단지창조</t>
        </is>
      </c>
      <c r="T753" s="4" t="n">
        <v>1</v>
      </c>
      <c r="U753" s="5" t="n">
        <v>229.4</v>
      </c>
      <c r="V753" s="4" t="n">
        <v>252.7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500</v>
      </c>
      <c r="H754" s="4" t="n">
        <v>66</v>
      </c>
      <c r="I754" s="4" t="n">
        <v>53</v>
      </c>
      <c r="J754" s="4" t="n">
        <v>16</v>
      </c>
      <c r="K754" s="5" t="n">
        <v>4.1</v>
      </c>
      <c r="L754" s="4" t="n">
        <v>53</v>
      </c>
      <c r="M754" s="4" t="n">
        <v>16</v>
      </c>
      <c r="N754" s="5" t="n">
        <v>4.1</v>
      </c>
      <c r="O754" s="3" t="inlineStr">
        <is>
          <t>뻥뷰, 오송역 도보 5분, 리모델링, 도배한 집</t>
        </is>
      </c>
      <c r="P754" s="6">
        <f>HYPERLINK("https://fin.land.naver.com/articles/2652521980", "매물Link")</f>
        <v/>
      </c>
      <c r="Q754" s="6">
        <f>HYPERLINK("https://map.naver.com/p/search/오송읍 만수리 770", "지도Link")</f>
        <v/>
      </c>
      <c r="R754" s="6">
        <f>HYPERLINK("http://www.eum.go.kr/web/ar/lu/luLandDet.jsp?pnu=4311325025107700000&amp;isNoScr=script&amp;mode=search", "토지이음")</f>
        <v/>
      </c>
      <c r="S754" s="3" t="inlineStr">
        <is>
          <t>오송채움</t>
        </is>
      </c>
      <c r="T754" s="4" t="n">
        <v>1</v>
      </c>
      <c r="U754" s="5" t="n">
        <v>228.1</v>
      </c>
      <c r="V754" s="4" t="n">
        <v>253.7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770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67</v>
      </c>
      <c r="I755" s="4" t="n">
        <v>56</v>
      </c>
      <c r="J755" s="4" t="n">
        <v>17</v>
      </c>
      <c r="K755" s="5" t="n">
        <v>3.9</v>
      </c>
      <c r="L755" s="4" t="n">
        <v>56</v>
      </c>
      <c r="M755" s="4" t="n">
        <v>17</v>
      </c>
      <c r="N755" s="5" t="n">
        <v>3.9</v>
      </c>
      <c r="O755" s="3" t="inlineStr">
        <is>
          <t>리모델링 된 투룸.싱크대 욕실 등 깨끗해요.</t>
        </is>
      </c>
      <c r="P755" s="6">
        <f>HYPERLINK("https://fin.land.naver.com/articles/2652027376", "매물Link")</f>
        <v/>
      </c>
      <c r="Q755" s="6">
        <f>HYPERLINK("https://map.naver.com/p/search/오송읍 만수리 770", "지도Link")</f>
        <v/>
      </c>
      <c r="R755" s="6">
        <f>HYPERLINK("http://www.eum.go.kr/web/ar/lu/luLandDet.jsp?pnu=4311325025107700000&amp;isNoScr=script&amp;mode=search",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253.7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777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전세</t>
        </is>
      </c>
      <c r="G756" s="4" t="n">
        <v>14000</v>
      </c>
      <c r="H756" s="4" t="n">
        <v>0</v>
      </c>
      <c r="I756" s="4" t="n">
        <v>0</v>
      </c>
      <c r="J756" s="4" t="n">
        <v>0</v>
      </c>
      <c r="K756" s="5" t="n">
        <v>0</v>
      </c>
      <c r="L756" s="4" t="n">
        <v>99</v>
      </c>
      <c r="M756" s="4" t="n">
        <v>30</v>
      </c>
      <c r="N756" s="5" t="n">
        <v>466.7</v>
      </c>
      <c r="O756" s="3" t="inlineStr">
        <is>
          <t>12월초 입주가능,  귀한 다가구 주인세대 전세</t>
        </is>
      </c>
      <c r="P756" s="6">
        <f>HYPERLINK("https://fin.land.naver.com/articles/2653369874", "매물Link")</f>
        <v/>
      </c>
      <c r="Q756" s="6">
        <f>HYPERLINK("https://map.naver.com/p/search/오송읍 만수리 777", "지도Link")</f>
        <v/>
      </c>
      <c r="R756" s="6">
        <f>HYPERLINK("http://www.eum.go.kr/web/ar/lu/luLandDet.jsp?pnu=4311325025107770000&amp;isNoScr=script&amp;mode=search",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316.4</v>
      </c>
      <c r="V756" s="4" t="n">
        <v>280.4</v>
      </c>
      <c r="W756" s="3" t="inlineStr">
        <is>
          <t>지정되지않음</t>
        </is>
      </c>
      <c r="X756" s="3" t="inlineStr">
        <is>
          <t>주상기타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중로각지</t>
        </is>
      </c>
    </row>
    <row r="757">
      <c r="A757" s="3" t="inlineStr">
        <is>
          <t>오송읍 만수리 780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오송역 가까운 원룸</t>
        </is>
      </c>
      <c r="P757" s="6">
        <f>HYPERLINK("https://fin.land.naver.com/articles/2655162770", "매물Link")</f>
        <v/>
      </c>
      <c r="Q757" s="6">
        <f>HYPERLINK("https://map.naver.com/p/search/오송읍 만수리 780", "지도Link")</f>
        <v/>
      </c>
      <c r="R757" s="6">
        <f>HYPERLINK("http://www.eum.go.kr/web/ar/lu/luLandDet.jsp?pnu=4311325025107800000&amp;isNoScr=script&amp;mode=search",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313.3</v>
      </c>
      <c r="V757" s="4" t="n">
        <v>278.6</v>
      </c>
      <c r="W757" s="3" t="inlineStr">
        <is>
          <t>지정되지않음</t>
        </is>
      </c>
      <c r="X757" s="3" t="inlineStr">
        <is>
          <t>주상기타</t>
        </is>
      </c>
      <c r="Y757" s="3" t="inlineStr">
        <is>
          <t>평지</t>
        </is>
      </c>
      <c r="Z757" s="3" t="inlineStr">
        <is>
          <t>가로장방</t>
        </is>
      </c>
      <c r="AA757" s="3" t="inlineStr">
        <is>
          <t>중로각지</t>
        </is>
      </c>
    </row>
    <row r="758">
      <c r="A758" s="3" t="inlineStr">
        <is>
          <t>오송읍 만수리 785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매매</t>
        </is>
      </c>
      <c r="G758" s="4" t="n">
        <v>59000</v>
      </c>
      <c r="H758" s="4" t="n">
        <v>0</v>
      </c>
      <c r="I758" s="4" t="n">
        <v>262</v>
      </c>
      <c r="J758" s="4" t="n">
        <v>79</v>
      </c>
      <c r="K758" s="5" t="n">
        <v>746.8</v>
      </c>
      <c r="L758" s="4" t="n">
        <v>363</v>
      </c>
      <c r="M758" s="4" t="n">
        <v>110</v>
      </c>
      <c r="N758" s="5" t="n">
        <v>536.4</v>
      </c>
      <c r="O758" s="3" t="inlineStr">
        <is>
          <t>적은 투자금으로 수익형 내집 마련의 기회를 잡으세요</t>
        </is>
      </c>
      <c r="P758" s="6">
        <f>HYPERLINK("https://fin.land.naver.com/articles/2654000666", "매물Link")</f>
        <v/>
      </c>
      <c r="Q758" s="6">
        <f>HYPERLINK("https://map.naver.com/p/search/오송읍 만수리 785", "지도Link")</f>
        <v/>
      </c>
      <c r="R758" s="6">
        <f>HYPERLINK("http://www.eum.go.kr/web/ar/lu/luLandDet.jsp?pnu=4311325025107850000&amp;isNoScr=script&amp;mode=search", "토지이음")</f>
        <v/>
      </c>
      <c r="S758" s="3" t="inlineStr">
        <is>
          <t>오송2단지창조</t>
        </is>
      </c>
      <c r="T758" s="4" t="n">
        <v>1</v>
      </c>
      <c r="U758" s="5" t="n">
        <v>228.1</v>
      </c>
      <c r="V758" s="4" t="n">
        <v>262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785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매매</t>
        </is>
      </c>
      <c r="G759" s="4" t="n">
        <v>59000</v>
      </c>
      <c r="H759" s="4" t="n">
        <v>0</v>
      </c>
      <c r="I759" s="4" t="n">
        <v>262</v>
      </c>
      <c r="J759" s="4" t="n">
        <v>79</v>
      </c>
      <c r="K759" s="5" t="n">
        <v>746.8</v>
      </c>
      <c r="L759" s="4" t="n">
        <v>363</v>
      </c>
      <c r="M759" s="4" t="n">
        <v>110</v>
      </c>
      <c r="N759" s="5" t="n">
        <v>536.4</v>
      </c>
      <c r="O759" s="3" t="inlineStr">
        <is>
          <t>오송역 인근무융자 다가구주택 매매</t>
        </is>
      </c>
      <c r="P759" s="6">
        <f>HYPERLINK("https://fin.land.naver.com/articles/2651830159", "매물Link")</f>
        <v/>
      </c>
      <c r="Q759" s="6">
        <f>HYPERLINK("https://map.naver.com/p/search/오송읍 만수리 785", "지도Link")</f>
        <v/>
      </c>
      <c r="R759" s="6">
        <f>HYPERLINK("http://www.eum.go.kr/web/ar/lu/luLandDet.jsp?pnu=4311325025107850000&amp;isNoScr=script&amp;mode=search",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262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785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59000</v>
      </c>
      <c r="H760" s="4" t="n">
        <v>0</v>
      </c>
      <c r="I760" s="4" t="n">
        <v>262</v>
      </c>
      <c r="J760" s="4" t="n">
        <v>79</v>
      </c>
      <c r="K760" s="5" t="n">
        <v>746.8</v>
      </c>
      <c r="L760" s="4" t="n">
        <v>363</v>
      </c>
      <c r="M760" s="4" t="n">
        <v>110</v>
      </c>
      <c r="N760" s="5" t="n">
        <v>536.4</v>
      </c>
      <c r="O760" s="3" t="inlineStr">
        <is>
          <t>오송역 옆 저렴한 수익형 다가구 건물 급매 공실걱정 제로</t>
        </is>
      </c>
      <c r="P760" s="6">
        <f>HYPERLINK("https://fin.land.naver.com/articles/2654226049", "매물Link")</f>
        <v/>
      </c>
      <c r="Q760" s="6">
        <f>HYPERLINK("https://map.naver.com/p/search/오송읍 만수리 785", "지도Link")</f>
        <v/>
      </c>
      <c r="R760" s="6">
        <f>HYPERLINK("http://www.eum.go.kr/web/ar/lu/luLandDet.jsp?pnu=4311325025107850000&amp;isNoScr=script&amp;mode=search", "토지이음")</f>
        <v/>
      </c>
      <c r="S760" s="3" t="inlineStr">
        <is>
          <t>아임</t>
        </is>
      </c>
      <c r="T760" s="4" t="n">
        <v>3</v>
      </c>
      <c r="U760" s="5" t="n">
        <v>228.1</v>
      </c>
      <c r="V760" s="4" t="n">
        <v>262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801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300</v>
      </c>
      <c r="H761" s="4" t="n">
        <v>36</v>
      </c>
      <c r="I761" s="4" t="n">
        <v>0</v>
      </c>
      <c r="J761" s="4" t="n">
        <v>0</v>
      </c>
      <c r="K761" s="5" t="n">
        <v>0</v>
      </c>
      <c r="L761" s="4" t="n">
        <v>23</v>
      </c>
      <c r="M761" s="4" t="n">
        <v>7</v>
      </c>
      <c r="N761" s="5" t="n">
        <v>5.1</v>
      </c>
      <c r="O761" s="3" t="inlineStr">
        <is>
          <t>오송역 도보 4분, 구조 좋음</t>
        </is>
      </c>
      <c r="P761" s="6">
        <f>HYPERLINK("https://fin.land.naver.com/articles/2650524714", "매물Link")</f>
        <v/>
      </c>
      <c r="Q761" s="6">
        <f>HYPERLINK("https://map.naver.com/p/search/오송읍 만수리 801", "지도Link")</f>
        <v/>
      </c>
      <c r="R761" s="6">
        <f>HYPERLINK("http://www.eum.go.kr/web/ar/lu/luLandDet.jsp?pnu=4311325025108010000&amp;isNoScr=script&amp;mode=search",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241.8</v>
      </c>
      <c r="V761" s="4" t="n">
        <v>274.1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804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45</v>
      </c>
      <c r="I762" s="4" t="n">
        <v>0</v>
      </c>
      <c r="J762" s="4" t="n">
        <v>0</v>
      </c>
      <c r="K762" s="5" t="n">
        <v>0</v>
      </c>
      <c r="L762" s="4" t="n">
        <v>30</v>
      </c>
      <c r="M762" s="4" t="n">
        <v>9</v>
      </c>
      <c r="N762" s="5" t="n">
        <v>5</v>
      </c>
      <c r="O762" s="3" t="inlineStr">
        <is>
          <t>10월초 입주가능한 원룸</t>
        </is>
      </c>
      <c r="P762" s="6">
        <f>HYPERLINK("https://fin.land.naver.com/articles/2650092402", "매물Link")</f>
        <v/>
      </c>
      <c r="Q762" s="6">
        <f>HYPERLINK("https://map.naver.com/p/search/오송읍 만수리 804", "지도Link")</f>
        <v/>
      </c>
      <c r="R762" s="6">
        <f>HYPERLINK("http://www.eum.go.kr/web/ar/lu/luLandDet.jsp?pnu=4311325025108040000&amp;isNoScr=script&amp;mode=search",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229.4</v>
      </c>
      <c r="V762" s="4" t="n">
        <v>271.6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804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1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0</v>
      </c>
      <c r="J763" s="4" t="n">
        <v>0</v>
      </c>
      <c r="K763" s="5" t="n">
        <v>0</v>
      </c>
      <c r="L763" s="4" t="n">
        <v>20</v>
      </c>
      <c r="M763" s="4" t="n">
        <v>6</v>
      </c>
      <c r="N763" s="5" t="n">
        <v>6</v>
      </c>
      <c r="O763" s="3" t="inlineStr">
        <is>
          <t>오송역근처 원룸, 9월입주가능</t>
        </is>
      </c>
      <c r="P763" s="6">
        <f>HYPERLINK("https://fin.land.naver.com/articles/2651213651", "매물Link")</f>
        <v/>
      </c>
      <c r="Q763" s="6">
        <f>HYPERLINK("https://map.naver.com/p/search/오송읍 만수리 804", "지도Link")</f>
        <v/>
      </c>
      <c r="R763" s="6">
        <f>HYPERLINK("http://www.eum.go.kr/web/ar/lu/luLandDet.jsp?pnu=4311325025108040000&amp;isNoScr=script&amp;mode=search", "토지이음")</f>
        <v/>
      </c>
      <c r="S763" s="3" t="inlineStr">
        <is>
          <t>프로</t>
        </is>
      </c>
      <c r="T763" s="4" t="n">
        <v>1</v>
      </c>
      <c r="U763" s="5" t="n">
        <v>229.4</v>
      </c>
      <c r="V763" s="4" t="n">
        <v>271.6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813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1</t>
        </is>
      </c>
      <c r="E764" s="3" t="inlineStr">
        <is>
          <t>다가구</t>
        </is>
      </c>
      <c r="F764" s="3" t="inlineStr">
        <is>
          <t>전세</t>
        </is>
      </c>
      <c r="G764" s="4" t="n">
        <v>11000</v>
      </c>
      <c r="H764" s="4" t="n">
        <v>0</v>
      </c>
      <c r="I764" s="4" t="n">
        <v>40</v>
      </c>
      <c r="J764" s="4" t="n">
        <v>12</v>
      </c>
      <c r="K764" s="5" t="n">
        <v>916.7</v>
      </c>
      <c r="L764" s="4" t="n">
        <v>40</v>
      </c>
      <c r="M764" s="4" t="n">
        <v>12</v>
      </c>
      <c r="N764" s="5" t="n">
        <v>916.7</v>
      </c>
      <c r="O764" s="3" t="inlineStr">
        <is>
          <t>버팀목 가능한 투룸.즉시입주.</t>
        </is>
      </c>
      <c r="P764" s="6">
        <f>HYPERLINK("https://fin.land.naver.com/articles/2654202704", "매물Link")</f>
        <v/>
      </c>
      <c r="Q764" s="6">
        <f>HYPERLINK("https://map.naver.com/p/search/오송읍 만수리 813", "지도Link")</f>
        <v/>
      </c>
      <c r="R764" s="6">
        <f>HYPERLINK("http://www.eum.go.kr/web/ar/lu/luLandDet.jsp?pnu=4311325025108130000&amp;isNoScr=script&amp;mode=search",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225.8</v>
      </c>
      <c r="V764" s="4" t="n">
        <v>275.8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813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전세</t>
        </is>
      </c>
      <c r="G765" s="4" t="n">
        <v>13000</v>
      </c>
      <c r="H765" s="4" t="n">
        <v>0</v>
      </c>
      <c r="I765" s="4" t="n">
        <v>275</v>
      </c>
      <c r="J765" s="4" t="n">
        <v>83</v>
      </c>
      <c r="K765" s="5" t="n">
        <v>156.6</v>
      </c>
      <c r="L765" s="4" t="n">
        <v>412</v>
      </c>
      <c r="M765" s="4" t="n">
        <v>125</v>
      </c>
      <c r="N765" s="5" t="n">
        <v>104</v>
      </c>
      <c r="O765" s="3" t="inlineStr">
        <is>
          <t>nan</t>
        </is>
      </c>
      <c r="P765" s="6">
        <f>HYPERLINK("https://fin.land.naver.com/articles/2655363732", "매물Link")</f>
        <v/>
      </c>
      <c r="Q765" s="6">
        <f>HYPERLINK("https://map.naver.com/p/search/오송읍 만수리 813", "지도Link")</f>
        <v/>
      </c>
      <c r="R765" s="6">
        <f>HYPERLINK("http://www.eum.go.kr/web/ar/lu/luLandDet.jsp?pnu=4311325025108130000&amp;isNoScr=script&amp;mode=search", "토지이음")</f>
        <v/>
      </c>
      <c r="S765" s="3" t="inlineStr">
        <is>
          <t>오송시티</t>
        </is>
      </c>
      <c r="T765" s="4" t="n">
        <v>1</v>
      </c>
      <c r="U765" s="5" t="n">
        <v>225.8</v>
      </c>
      <c r="V765" s="4" t="n">
        <v>275.8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823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3000</v>
      </c>
      <c r="H766" s="4" t="n">
        <v>51</v>
      </c>
      <c r="I766" s="4" t="n">
        <v>80</v>
      </c>
      <c r="J766" s="4" t="n">
        <v>24</v>
      </c>
      <c r="K766" s="5" t="n">
        <v>2.1</v>
      </c>
      <c r="L766" s="4" t="n">
        <v>80</v>
      </c>
      <c r="M766" s="4" t="n">
        <v>24</v>
      </c>
      <c r="N766" s="5" t="n">
        <v>2.1</v>
      </c>
      <c r="O766" s="3" t="inlineStr">
        <is>
          <t>주인세대 추룸, 화장실 2개</t>
        </is>
      </c>
      <c r="P766" s="6">
        <f>HYPERLINK("https://fin.land.naver.com/articles/2651355737", "매물Link")</f>
        <v/>
      </c>
      <c r="Q766" s="6">
        <f>HYPERLINK("https://map.naver.com/p/search/오송읍 만수리 823", "지도Link")</f>
        <v/>
      </c>
      <c r="R766" s="6">
        <f>HYPERLINK("http://www.eum.go.kr/web/ar/lu/luLandDet.jsp?pnu=4311325025108230000&amp;isNoScr=script&amp;mode=search", "토지이음")</f>
        <v/>
      </c>
      <c r="S766" s="3" t="inlineStr">
        <is>
          <t>오송조은무소</t>
        </is>
      </c>
      <c r="T766" s="4" t="n">
        <v>1</v>
      </c>
      <c r="U766" s="5" t="n">
        <v>228.1</v>
      </c>
      <c r="V766" s="4" t="n">
        <v>259.8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823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70000</v>
      </c>
      <c r="H767" s="4" t="n">
        <v>0</v>
      </c>
      <c r="I767" s="4" t="n">
        <v>259</v>
      </c>
      <c r="J767" s="4" t="n">
        <v>78</v>
      </c>
      <c r="K767" s="5" t="n">
        <v>897.4</v>
      </c>
      <c r="L767" s="4" t="n">
        <v>365</v>
      </c>
      <c r="M767" s="4" t="n">
        <v>110</v>
      </c>
      <c r="N767" s="5" t="n">
        <v>636.4</v>
      </c>
      <c r="O767" s="3" t="inlineStr">
        <is>
          <t>수익률 좋은 깔끔한 집, 오송역 아주 가까워 위치 좋아요</t>
        </is>
      </c>
      <c r="P767" s="6">
        <f>HYPERLINK("https://fin.land.naver.com/articles/2653992953", "매물Link")</f>
        <v/>
      </c>
      <c r="Q767" s="6">
        <f>HYPERLINK("https://map.naver.com/p/search/오송읍 만수리 823", "지도Link")</f>
        <v/>
      </c>
      <c r="R767" s="6">
        <f>HYPERLINK("http://www.eum.go.kr/web/ar/lu/luLandDet.jsp?pnu=4311325025108230000&amp;isNoScr=script&amp;mode=search", "토지이음")</f>
        <v/>
      </c>
      <c r="S767" s="3" t="inlineStr">
        <is>
          <t>프로</t>
        </is>
      </c>
      <c r="T767" s="4" t="n">
        <v>1</v>
      </c>
      <c r="U767" s="5" t="n">
        <v>228.1</v>
      </c>
      <c r="V767" s="4" t="n">
        <v>259.8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825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일반원룸</t>
        </is>
      </c>
      <c r="F768" s="3" t="inlineStr">
        <is>
          <t>월세</t>
        </is>
      </c>
      <c r="G768" s="4" t="n">
        <v>300</v>
      </c>
      <c r="H768" s="4" t="n">
        <v>39</v>
      </c>
      <c r="I768" s="4" t="n">
        <v>26</v>
      </c>
      <c r="J768" s="4" t="n">
        <v>8</v>
      </c>
      <c r="K768" s="5" t="n">
        <v>4.9</v>
      </c>
      <c r="L768" s="4" t="n">
        <v>26</v>
      </c>
      <c r="M768" s="4" t="n">
        <v>8</v>
      </c>
      <c r="N768" s="5" t="n">
        <v>4.9</v>
      </c>
      <c r="O768" s="3" t="inlineStr">
        <is>
          <t>풀옵션 원룸.즉시입주가능</t>
        </is>
      </c>
      <c r="P768" s="6">
        <f>HYPERLINK("https://fin.land.naver.com/articles/2651419624", "매물Link")</f>
        <v/>
      </c>
      <c r="Q768" s="6">
        <f>HYPERLINK("https://map.naver.com/p/search/오송읍 만수리 825", "지도Link")</f>
        <v/>
      </c>
      <c r="R768" s="6">
        <f>HYPERLINK("http://www.eum.go.kr/web/ar/lu/luLandDet.jsp?pnu=4311325025108250000&amp;isNoScr=script&amp;mode=search",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270.7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825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일반원룸</t>
        </is>
      </c>
      <c r="F769" s="3" t="inlineStr">
        <is>
          <t>전세</t>
        </is>
      </c>
      <c r="G769" s="4" t="n">
        <v>5000</v>
      </c>
      <c r="H769" s="4" t="n">
        <v>0</v>
      </c>
      <c r="I769" s="4" t="n">
        <v>26</v>
      </c>
      <c r="J769" s="4" t="n">
        <v>8</v>
      </c>
      <c r="K769" s="5" t="n">
        <v>625</v>
      </c>
      <c r="L769" s="4" t="n">
        <v>26</v>
      </c>
      <c r="M769" s="4" t="n">
        <v>8</v>
      </c>
      <c r="N769" s="5" t="n">
        <v>625</v>
      </c>
      <c r="O769" s="3" t="inlineStr">
        <is>
          <t>귀한 전세 원룸.즉시입주가능.근저당x</t>
        </is>
      </c>
      <c r="P769" s="6">
        <f>HYPERLINK("https://fin.land.naver.com/articles/2654274209", "매물Link")</f>
        <v/>
      </c>
      <c r="Q769" s="6">
        <f>HYPERLINK("https://map.naver.com/p/search/오송읍 만수리 825", "지도Link")</f>
        <v/>
      </c>
      <c r="R769" s="6">
        <f>HYPERLINK("http://www.eum.go.kr/web/ar/lu/luLandDet.jsp?pnu=4311325025108250000&amp;isNoScr=script&amp;mode=search",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270.7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834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61</v>
      </c>
      <c r="I770" s="4" t="n">
        <v>0</v>
      </c>
      <c r="J770" s="4" t="n">
        <v>0</v>
      </c>
      <c r="K770" s="5" t="n">
        <v>0</v>
      </c>
      <c r="L770" s="4" t="n">
        <v>52</v>
      </c>
      <c r="M770" s="4" t="n">
        <v>16</v>
      </c>
      <c r="N770" s="5" t="n">
        <v>3.8</v>
      </c>
      <c r="O770" s="3" t="inlineStr">
        <is>
          <t>오송역도보4분, 깔끔한방, 막혀있지않은 뷰</t>
        </is>
      </c>
      <c r="P770" s="6">
        <f>HYPERLINK("https://fin.land.naver.com/articles/2653389705", "매물Link")</f>
        <v/>
      </c>
      <c r="Q770" s="6">
        <f>HYPERLINK("https://map.naver.com/p/search/오송읍 만수리 834", "지도Link")</f>
        <v/>
      </c>
      <c r="R770" s="6">
        <f>HYPERLINK("http://www.eum.go.kr/web/ar/lu/luLandDet.jsp?pnu=4311325025108340000&amp;isNoScr=script&amp;mode=search",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225.8</v>
      </c>
      <c r="V770" s="4" t="n">
        <v>260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836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1000</v>
      </c>
      <c r="H771" s="4" t="n">
        <v>35</v>
      </c>
      <c r="I771" s="4" t="n">
        <v>0</v>
      </c>
      <c r="J771" s="4" t="n">
        <v>0</v>
      </c>
      <c r="K771" s="5" t="n">
        <v>0</v>
      </c>
      <c r="L771" s="4" t="n">
        <v>30</v>
      </c>
      <c r="M771" s="4" t="n">
        <v>9</v>
      </c>
      <c r="N771" s="5" t="n">
        <v>3.9</v>
      </c>
      <c r="O771" s="3" t="inlineStr">
        <is>
          <t>10월 중순 입주가능한 원룸</t>
        </is>
      </c>
      <c r="P771" s="6">
        <f>HYPERLINK("https://fin.land.naver.com/articles/2653483001", "매물Link")</f>
        <v/>
      </c>
      <c r="Q771" s="6">
        <f>HYPERLINK("https://map.naver.com/p/search/오송읍 만수리 836", "지도Link")</f>
        <v/>
      </c>
      <c r="R771" s="6">
        <f>HYPERLINK("http://www.eum.go.kr/web/ar/lu/luLandDet.jsp?pnu=4311325025108360000&amp;isNoScr=script&amp;mode=search",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225.8</v>
      </c>
      <c r="V771" s="4" t="n">
        <v>254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836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다가구</t>
        </is>
      </c>
      <c r="F772" s="3" t="inlineStr">
        <is>
          <t>월세</t>
        </is>
      </c>
      <c r="G772" s="4" t="n">
        <v>300</v>
      </c>
      <c r="H772" s="4" t="n">
        <v>55</v>
      </c>
      <c r="I772" s="4" t="n">
        <v>0</v>
      </c>
      <c r="J772" s="4" t="n">
        <v>0</v>
      </c>
      <c r="K772" s="5" t="n">
        <v>0</v>
      </c>
      <c r="L772" s="4" t="n">
        <v>40</v>
      </c>
      <c r="M772" s="4" t="n">
        <v>12</v>
      </c>
      <c r="N772" s="5" t="n">
        <v>4.6</v>
      </c>
      <c r="O772" s="3" t="inlineStr">
        <is>
          <t>깔끔한 투베이</t>
        </is>
      </c>
      <c r="P772" s="6">
        <f>HYPERLINK("https://fin.land.naver.com/articles/2651355089", "매물Link")</f>
        <v/>
      </c>
      <c r="Q772" s="6">
        <f>HYPERLINK("https://map.naver.com/p/search/오송읍 만수리 836", "지도Link")</f>
        <v/>
      </c>
      <c r="R772" s="6">
        <f>HYPERLINK("http://www.eum.go.kr/web/ar/lu/luLandDet.jsp?pnu=4311325025108360000&amp;isNoScr=script&amp;mode=search",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225.8</v>
      </c>
      <c r="V772" s="4" t="n">
        <v>254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843</t>
        </is>
      </c>
      <c r="B773" s="3" t="inlineStr">
        <is>
          <t>준주거지역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기타</t>
        </is>
      </c>
      <c r="F773" s="3" t="inlineStr">
        <is>
          <t>단기임대</t>
        </is>
      </c>
      <c r="G773" s="4" t="n">
        <v>100</v>
      </c>
      <c r="H773" s="4" t="n">
        <v>40</v>
      </c>
      <c r="I773" s="4" t="n">
        <v>19</v>
      </c>
      <c r="J773" s="4" t="n">
        <v>6</v>
      </c>
      <c r="K773" s="5" t="n">
        <v>16.7</v>
      </c>
      <c r="L773" s="4" t="n">
        <v>19</v>
      </c>
      <c r="M773" s="4" t="n">
        <v>6</v>
      </c>
      <c r="N773" s="5" t="n">
        <v>16.7</v>
      </c>
      <c r="O773" s="3" t="inlineStr">
        <is>
          <t>단기가능한 즉시입주 원룸.</t>
        </is>
      </c>
      <c r="P773" s="6">
        <f>HYPERLINK("https://fin.land.naver.com/articles/2652031342", "매물Link")</f>
        <v/>
      </c>
      <c r="Q773" s="6">
        <f>HYPERLINK("https://map.naver.com/p/search/오송읍 만수리 843", "지도Link")</f>
        <v/>
      </c>
      <c r="R773" s="6">
        <f>HYPERLINK("http://www.eum.go.kr/web/ar/lu/luLandDet.jsp?pnu=4311325025108430000&amp;isNoScr=script&amp;mode=search", "토지이음")</f>
        <v/>
      </c>
      <c r="S773" s="3" t="inlineStr">
        <is>
          <t>이룸</t>
        </is>
      </c>
      <c r="T773" s="4" t="n">
        <v>1</v>
      </c>
      <c r="U773" s="5" t="n">
        <v>462.1</v>
      </c>
      <c r="V773" s="4" t="n">
        <v>328</v>
      </c>
      <c r="W773" s="3" t="inlineStr">
        <is>
          <t>지정되지않음</t>
        </is>
      </c>
      <c r="X773" s="3" t="inlineStr">
        <is>
          <t>상업용</t>
        </is>
      </c>
      <c r="Y773" s="3" t="inlineStr">
        <is>
          <t>평지</t>
        </is>
      </c>
      <c r="Z773" s="3" t="inlineStr">
        <is>
          <t>가로장방</t>
        </is>
      </c>
      <c r="AA773" s="3" t="inlineStr">
        <is>
          <t>광대소각</t>
        </is>
      </c>
    </row>
    <row r="774">
      <c r="A774" s="3" t="inlineStr">
        <is>
          <t>오송읍 만수리 852</t>
        </is>
      </c>
      <c r="B774" s="3" t="inlineStr">
        <is>
          <t>일반상업지역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100</v>
      </c>
      <c r="H774" s="4" t="n">
        <v>35</v>
      </c>
      <c r="I774" s="4" t="n">
        <v>0</v>
      </c>
      <c r="J774" s="4" t="n">
        <v>0</v>
      </c>
      <c r="K774" s="5" t="n">
        <v>0</v>
      </c>
      <c r="L774" s="4" t="n">
        <v>17</v>
      </c>
      <c r="M774" s="4" t="n">
        <v>5</v>
      </c>
      <c r="N774" s="5" t="n">
        <v>7</v>
      </c>
      <c r="O774" s="3" t="inlineStr">
        <is>
          <t>6개월 단기 임대,1개월부터 가능</t>
        </is>
      </c>
      <c r="P774" s="6">
        <f>HYPERLINK("https://fin.land.naver.com/articles/2653380437", "매물Link")</f>
        <v/>
      </c>
      <c r="Q774" s="6">
        <f>HYPERLINK("https://map.naver.com/p/search/오송읍 만수리 852", "지도Link")</f>
        <v/>
      </c>
      <c r="R774" s="6">
        <f>HYPERLINK("http://www.eum.go.kr/web/ar/lu/luLandDet.jsp?pnu=4311325025108520000&amp;isNoScr=script&amp;mode=search",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501.8</v>
      </c>
      <c r="V774" s="4" t="n">
        <v>511.3</v>
      </c>
      <c r="W774" s="3" t="inlineStr">
        <is>
          <t>지정되지않음</t>
        </is>
      </c>
      <c r="X774" s="3" t="inlineStr">
        <is>
          <t>상업기타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중로한면</t>
        </is>
      </c>
    </row>
    <row r="775">
      <c r="A775" s="3" t="inlineStr">
        <is>
          <t>오송읍 만수리 852</t>
        </is>
      </c>
      <c r="B775" s="3" t="inlineStr">
        <is>
          <t>일반상업지역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일반원룸</t>
        </is>
      </c>
      <c r="F775" s="3" t="inlineStr">
        <is>
          <t>단기임대</t>
        </is>
      </c>
      <c r="G775" s="4" t="n">
        <v>30</v>
      </c>
      <c r="H775" s="4" t="n">
        <v>41</v>
      </c>
      <c r="I775" s="4" t="n">
        <v>16</v>
      </c>
      <c r="J775" s="4" t="n">
        <v>5</v>
      </c>
      <c r="K775" s="5" t="n">
        <v>6</v>
      </c>
      <c r="L775" s="4" t="n">
        <v>16</v>
      </c>
      <c r="M775" s="4" t="n">
        <v>5</v>
      </c>
      <c r="N775" s="5" t="n">
        <v>6</v>
      </c>
      <c r="O775" s="3" t="inlineStr">
        <is>
          <t>저렴한 단기임대.오송역 맞은편.도보3분.즉시입주가능.</t>
        </is>
      </c>
      <c r="P775" s="6">
        <f>HYPERLINK("https://fin.land.naver.com/articles/2655059084", "매물Link")</f>
        <v/>
      </c>
      <c r="Q775" s="6">
        <f>HYPERLINK("https://map.naver.com/p/search/오송읍 만수리 852", "지도Link")</f>
        <v/>
      </c>
      <c r="R775" s="6">
        <f>HYPERLINK("http://www.eum.go.kr/web/ar/lu/luLandDet.jsp?pnu=4311325025108520000&amp;isNoScr=script&amp;mode=search",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501.8</v>
      </c>
      <c r="V775" s="4" t="n">
        <v>511.3</v>
      </c>
      <c r="W775" s="3" t="inlineStr">
        <is>
          <t>지정되지않음</t>
        </is>
      </c>
      <c r="X775" s="3" t="inlineStr">
        <is>
          <t>상업기타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중로한면</t>
        </is>
      </c>
    </row>
    <row r="776">
      <c r="A776" s="3" t="inlineStr">
        <is>
          <t>오송읍 만수리 852</t>
        </is>
      </c>
      <c r="B776" s="3" t="inlineStr">
        <is>
          <t>일반상업지역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일반원룸</t>
        </is>
      </c>
      <c r="F776" s="3" t="inlineStr">
        <is>
          <t>단기임대</t>
        </is>
      </c>
      <c r="G776" s="4" t="n">
        <v>30</v>
      </c>
      <c r="H776" s="4" t="n">
        <v>45</v>
      </c>
      <c r="I776" s="4" t="n">
        <v>0</v>
      </c>
      <c r="J776" s="4" t="n">
        <v>0</v>
      </c>
      <c r="K776" s="5" t="n">
        <v>0</v>
      </c>
      <c r="L776" s="4" t="n">
        <v>17</v>
      </c>
      <c r="M776" s="4" t="n">
        <v>5</v>
      </c>
      <c r="N776" s="5" t="n">
        <v>6</v>
      </c>
      <c r="O776" s="3" t="inlineStr">
        <is>
          <t>1개월부터 가능한 단기 원룸</t>
        </is>
      </c>
      <c r="P776" s="6">
        <f>HYPERLINK("https://fin.land.naver.com/articles/2652381123", "매물Link")</f>
        <v/>
      </c>
      <c r="Q776" s="6">
        <f>HYPERLINK("https://map.naver.com/p/search/오송읍 만수리 852", "지도Link")</f>
        <v/>
      </c>
      <c r="R776" s="6">
        <f>HYPERLINK("http://www.eum.go.kr/web/ar/lu/luLandDet.jsp?pnu=4311325025108520000&amp;isNoScr=script&amp;mode=search", "토지이음")</f>
        <v/>
      </c>
      <c r="S776" s="3" t="inlineStr">
        <is>
          <t>프로</t>
        </is>
      </c>
      <c r="T776" s="4" t="n">
        <v>1</v>
      </c>
      <c r="U776" s="5" t="n">
        <v>501.8</v>
      </c>
      <c r="V776" s="4" t="n">
        <v>511.3</v>
      </c>
      <c r="W776" s="3" t="inlineStr">
        <is>
          <t>지정되지않음</t>
        </is>
      </c>
      <c r="X776" s="3" t="inlineStr">
        <is>
          <t>상업기타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중로한면</t>
        </is>
      </c>
    </row>
    <row r="777">
      <c r="A777" s="3" t="inlineStr">
        <is>
          <t>오송읍 만수리 941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4</t>
        </is>
      </c>
      <c r="E777" s="3" t="inlineStr">
        <is>
          <t>다가구</t>
        </is>
      </c>
      <c r="F777" s="3" t="inlineStr">
        <is>
          <t>매매</t>
        </is>
      </c>
      <c r="G777" s="4" t="n">
        <v>185000</v>
      </c>
      <c r="H777" s="4" t="n">
        <v>0</v>
      </c>
      <c r="I777" s="4" t="n">
        <v>273</v>
      </c>
      <c r="J777" s="4" t="n">
        <v>83</v>
      </c>
      <c r="K777" s="5" t="n">
        <v>2228.9</v>
      </c>
      <c r="L777" s="4" t="n">
        <v>484</v>
      </c>
      <c r="M777" s="4" t="n">
        <v>146</v>
      </c>
      <c r="N777" s="5" t="n">
        <v>1267.1</v>
      </c>
      <c r="O777" s="3" t="inlineStr">
        <is>
          <t>오송역뷰 막힘없는 3면 도로 잘생긴 건물입니다</t>
        </is>
      </c>
      <c r="P777" s="6">
        <f>HYPERLINK("https://fin.land.naver.com/articles/2650306823", "매물Link")</f>
        <v/>
      </c>
      <c r="Q777" s="6">
        <f>HYPERLINK("https://map.naver.com/p/search/오송읍 만수리 941", "지도Link")</f>
        <v/>
      </c>
      <c r="R777" s="6">
        <f>HYPERLINK("http://www.eum.go.kr/web/ar/lu/luLandDet.jsp?pnu=4311325025109410000&amp;isNoScr=script&amp;mode=search", "토지이음")</f>
        <v/>
      </c>
      <c r="S777" s="3" t="inlineStr">
        <is>
          <t>스케치</t>
        </is>
      </c>
      <c r="T777" s="4" t="n">
        <v>1</v>
      </c>
      <c r="U777" s="5" t="n">
        <v>207.2</v>
      </c>
      <c r="V777" s="4" t="n">
        <v>273.1</v>
      </c>
      <c r="W777" s="3" t="inlineStr">
        <is>
          <t>자연녹지지역</t>
        </is>
      </c>
      <c r="X777" s="3" t="inlineStr">
        <is>
          <t>주상나지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오송읍 만수리 941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4</t>
        </is>
      </c>
      <c r="E778" s="3" t="inlineStr">
        <is>
          <t>상가주택</t>
        </is>
      </c>
      <c r="F778" s="3" t="inlineStr">
        <is>
          <t>매매</t>
        </is>
      </c>
      <c r="G778" s="4" t="n">
        <v>185000</v>
      </c>
      <c r="H778" s="4" t="n">
        <v>0</v>
      </c>
      <c r="I778" s="4" t="n">
        <v>273</v>
      </c>
      <c r="J778" s="4" t="n">
        <v>83</v>
      </c>
      <c r="K778" s="5" t="n">
        <v>2228.9</v>
      </c>
      <c r="L778" s="4" t="n">
        <v>484</v>
      </c>
      <c r="M778" s="4" t="n">
        <v>146</v>
      </c>
      <c r="N778" s="5" t="n">
        <v>1267.1</v>
      </c>
      <c r="O778" s="3" t="inlineStr">
        <is>
          <t>오스코 및 오송역 인근 메인 도로변 신축 상가주택 매매</t>
        </is>
      </c>
      <c r="P778" s="6">
        <f>HYPERLINK("https://fin.land.naver.com/articles/2653824582", "매물Link")</f>
        <v/>
      </c>
      <c r="Q778" s="6">
        <f>HYPERLINK("https://map.naver.com/p/search/오송읍 만수리 941", "지도Link")</f>
        <v/>
      </c>
      <c r="R778" s="6">
        <f>HYPERLINK("http://www.eum.go.kr/web/ar/lu/luLandDet.jsp?pnu=4311325025109410000&amp;isNoScr=script&amp;mode=search", "토지이음")</f>
        <v/>
      </c>
      <c r="S778" s="3" t="inlineStr">
        <is>
          <t>광장</t>
        </is>
      </c>
      <c r="T778" s="4" t="n">
        <v>1</v>
      </c>
      <c r="U778" s="5" t="n">
        <v>207.2</v>
      </c>
      <c r="V778" s="4" t="n">
        <v>273.1</v>
      </c>
      <c r="W778" s="3" t="inlineStr">
        <is>
          <t>자연녹지지역</t>
        </is>
      </c>
      <c r="X778" s="3" t="inlineStr">
        <is>
          <t>주상나지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소로한면</t>
        </is>
      </c>
    </row>
    <row r="779">
      <c r="A779" s="3" t="inlineStr">
        <is>
          <t>오송읍 봉산리 1019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월세</t>
        </is>
      </c>
      <c r="G779" s="4" t="n">
        <v>2000</v>
      </c>
      <c r="H779" s="4" t="n">
        <v>90</v>
      </c>
      <c r="I779" s="4" t="n">
        <v>0</v>
      </c>
      <c r="J779" s="4" t="n">
        <v>0</v>
      </c>
      <c r="K779" s="5" t="n">
        <v>0</v>
      </c>
      <c r="L779" s="4" t="n">
        <v>59</v>
      </c>
      <c r="M779" s="4" t="n">
        <v>18</v>
      </c>
      <c r="N779" s="5" t="n">
        <v>5</v>
      </c>
      <c r="O779" s="3" t="inlineStr">
        <is>
          <t>오송2단지 쓰리룸 건조기, 시스템 에어컨 풀옵션 쓰리룸</t>
        </is>
      </c>
      <c r="P779" s="6">
        <f>HYPERLINK("https://fin.land.naver.com/articles/2651708125", "매물Link")</f>
        <v/>
      </c>
      <c r="Q779" s="6">
        <f>HYPERLINK("https://map.naver.com/p/search/오송읍 봉산리 1019", "지도Link")</f>
        <v/>
      </c>
      <c r="R779" s="6">
        <f>HYPERLINK("http://www.eum.go.kr/web/ar/lu/luLandDet.jsp?pnu=4311325031110190000&amp;isNoScr=script&amp;mode=search", "토지이음")</f>
        <v/>
      </c>
      <c r="S779" s="3" t="inlineStr">
        <is>
          <t>스케치</t>
        </is>
      </c>
      <c r="T779" s="4" t="n">
        <v>1</v>
      </c>
      <c r="U779" s="5" t="n">
        <v>342.1</v>
      </c>
      <c r="V779" s="4" t="n">
        <v>265.6</v>
      </c>
      <c r="W779" s="3" t="inlineStr">
        <is>
          <t>지정되지않음</t>
        </is>
      </c>
      <c r="X779" s="3" t="inlineStr">
        <is>
          <t>주상기타</t>
        </is>
      </c>
      <c r="Y779" s="3" t="inlineStr">
        <is>
          <t>평지</t>
        </is>
      </c>
      <c r="Z779" s="3" t="inlineStr">
        <is>
          <t>세로장방</t>
        </is>
      </c>
      <c r="AA779" s="3" t="inlineStr">
        <is>
          <t>중로각지</t>
        </is>
      </c>
    </row>
    <row r="780">
      <c r="A780" s="3" t="inlineStr">
        <is>
          <t>오송읍 봉산리 1035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4</t>
        </is>
      </c>
      <c r="E780" s="3" t="inlineStr">
        <is>
          <t>단독</t>
        </is>
      </c>
      <c r="F780" s="3" t="inlineStr">
        <is>
          <t>매매</t>
        </is>
      </c>
      <c r="G780" s="4" t="n">
        <v>145000</v>
      </c>
      <c r="H780" s="4" t="n">
        <v>0</v>
      </c>
      <c r="I780" s="4" t="n">
        <v>268</v>
      </c>
      <c r="J780" s="4" t="n">
        <v>81</v>
      </c>
      <c r="K780" s="5" t="n">
        <v>1790.1</v>
      </c>
      <c r="L780" s="4" t="n">
        <v>484</v>
      </c>
      <c r="M780" s="4" t="n">
        <v>146</v>
      </c>
      <c r="N780" s="5" t="n">
        <v>993.2</v>
      </c>
      <c r="O780" s="3" t="inlineStr">
        <is>
          <t>실투자금4억대 임대하기 좋은 수익형 매물 추천 드립니다</t>
        </is>
      </c>
      <c r="P780" s="6">
        <f>HYPERLINK("https://fin.land.naver.com/articles/2652140166", "매물Link")</f>
        <v/>
      </c>
      <c r="Q780" s="6">
        <f>HYPERLINK("https://map.naver.com/p/search/오송읍 봉산리 1035", "지도Link")</f>
        <v/>
      </c>
      <c r="R780" s="6">
        <f>HYPERLINK("http://www.eum.go.kr/web/ar/lu/luLandDet.jsp?pnu=4311325031110350000&amp;isNoScr=script&amp;mode=search", "토지이음")</f>
        <v/>
      </c>
      <c r="S780" s="3" t="inlineStr">
        <is>
          <t>오송2단지창조</t>
        </is>
      </c>
      <c r="T780" s="4" t="n">
        <v>1</v>
      </c>
      <c r="U780" s="5" t="n">
        <v>204</v>
      </c>
      <c r="V780" s="4" t="n">
        <v>268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소로한면</t>
        </is>
      </c>
    </row>
    <row r="781">
      <c r="A781" s="3" t="inlineStr">
        <is>
          <t>오송읍 봉산리 1036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전세</t>
        </is>
      </c>
      <c r="G781" s="4" t="n">
        <v>20000</v>
      </c>
      <c r="H781" s="4" t="n">
        <v>0</v>
      </c>
      <c r="I781" s="4" t="n">
        <v>101</v>
      </c>
      <c r="J781" s="4" t="n">
        <v>31</v>
      </c>
      <c r="K781" s="5" t="n">
        <v>645.2</v>
      </c>
      <c r="L781" s="4" t="n">
        <v>101</v>
      </c>
      <c r="M781" s="4" t="n">
        <v>31</v>
      </c>
      <c r="N781" s="5" t="n">
        <v>645.2</v>
      </c>
      <c r="O781" s="3" t="inlineStr">
        <is>
          <t>예쁜 복층 구조의 주인세대 전세</t>
        </is>
      </c>
      <c r="P781" s="6">
        <f>HYPERLINK("https://fin.land.naver.com/articles/2655319399", "매물Link")</f>
        <v/>
      </c>
      <c r="Q781" s="6">
        <f>HYPERLINK("https://map.naver.com/p/search/오송읍 봉산리 1036", "지도Link")</f>
        <v/>
      </c>
      <c r="R781" s="6">
        <f>HYPERLINK("http://www.eum.go.kr/web/ar/lu/luLandDet.jsp?pnu=4311325031110360000&amp;isNoScr=script&amp;mode=search", "토지이음")</f>
        <v/>
      </c>
      <c r="S781" s="3" t="inlineStr">
        <is>
          <t>오송유진</t>
        </is>
      </c>
      <c r="T781" s="4" t="n">
        <v>1</v>
      </c>
      <c r="U781" s="5" t="n">
        <v>204</v>
      </c>
      <c r="V781" s="4" t="n">
        <v>267.7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소로한면</t>
        </is>
      </c>
    </row>
    <row r="782">
      <c r="A782" s="3" t="inlineStr">
        <is>
          <t>오송읍 봉산리 1036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전세</t>
        </is>
      </c>
      <c r="G782" s="4" t="n">
        <v>20000</v>
      </c>
      <c r="H782" s="4" t="n">
        <v>0</v>
      </c>
      <c r="I782" s="4" t="n">
        <v>111</v>
      </c>
      <c r="J782" s="4" t="n">
        <v>34</v>
      </c>
      <c r="K782" s="5" t="n">
        <v>588.2</v>
      </c>
      <c r="L782" s="4" t="n">
        <v>101</v>
      </c>
      <c r="M782" s="4" t="n">
        <v>31</v>
      </c>
      <c r="N782" s="5" t="n">
        <v>645.2</v>
      </c>
      <c r="O782" s="3" t="inlineStr">
        <is>
          <t>주인세대,시스템에어컨,실링팬,붙박이장,복층옥상테라스</t>
        </is>
      </c>
      <c r="P782" s="6">
        <f>HYPERLINK("https://fin.land.naver.com/articles/2654915718", "매물Link")</f>
        <v/>
      </c>
      <c r="Q782" s="6">
        <f>HYPERLINK("https://map.naver.com/p/search/오송읍 봉산리 1036", "지도Link")</f>
        <v/>
      </c>
      <c r="R782" s="6">
        <f>HYPERLINK("http://www.eum.go.kr/web/ar/lu/luLandDet.jsp?pnu=4311325031110360000&amp;isNoScr=script&amp;mode=search", "토지이음")</f>
        <v/>
      </c>
      <c r="S782" s="3" t="inlineStr">
        <is>
          <t>오송유나</t>
        </is>
      </c>
      <c r="T782" s="4" t="n">
        <v>1</v>
      </c>
      <c r="U782" s="5" t="n">
        <v>204</v>
      </c>
      <c r="V782" s="4" t="n">
        <v>267.7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소로한면</t>
        </is>
      </c>
    </row>
    <row r="783">
      <c r="A783" s="3" t="inlineStr">
        <is>
          <t>오송읍 봉산리 1036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단독</t>
        </is>
      </c>
      <c r="F783" s="3" t="inlineStr">
        <is>
          <t>전세</t>
        </is>
      </c>
      <c r="G783" s="4" t="n">
        <v>20000</v>
      </c>
      <c r="H783" s="4" t="n">
        <v>0</v>
      </c>
      <c r="I783" s="4" t="n">
        <v>102</v>
      </c>
      <c r="J783" s="4" t="n">
        <v>31</v>
      </c>
      <c r="K783" s="5" t="n">
        <v>645.2</v>
      </c>
      <c r="L783" s="4" t="n">
        <v>102</v>
      </c>
      <c r="M783" s="4" t="n">
        <v>31</v>
      </c>
      <c r="N783" s="5" t="n">
        <v>645.2</v>
      </c>
      <c r="O783" s="3" t="inlineStr">
        <is>
          <t>26년 12월말 입주 가능한 예쁜 우드톤 주인세대 복층 전세</t>
        </is>
      </c>
      <c r="P783" s="6">
        <f>HYPERLINK("https://fin.land.naver.com/articles/2655155268", "매물Link")</f>
        <v/>
      </c>
      <c r="Q783" s="6">
        <f>HYPERLINK("https://map.naver.com/p/search/오송읍 봉산리 1036", "지도Link")</f>
        <v/>
      </c>
      <c r="R783" s="6">
        <f>HYPERLINK("http://www.eum.go.kr/web/ar/lu/luLandDet.jsp?pnu=4311325031110360000&amp;isNoScr=script&amp;mode=search", "토지이음")</f>
        <v/>
      </c>
      <c r="S783" s="3" t="inlineStr">
        <is>
          <t>오송미소</t>
        </is>
      </c>
      <c r="T783" s="4" t="n">
        <v>1</v>
      </c>
      <c r="U783" s="5" t="n">
        <v>204</v>
      </c>
      <c r="V783" s="4" t="n">
        <v>267.7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오송읍 봉산리 1038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단독</t>
        </is>
      </c>
      <c r="F784" s="3" t="inlineStr">
        <is>
          <t>월세</t>
        </is>
      </c>
      <c r="G784" s="4" t="n">
        <v>1000</v>
      </c>
      <c r="H784" s="4" t="n">
        <v>64</v>
      </c>
      <c r="I784" s="4" t="n">
        <v>0</v>
      </c>
      <c r="J784" s="4" t="n">
        <v>0</v>
      </c>
      <c r="K784" s="5" t="n">
        <v>0</v>
      </c>
      <c r="L784" s="4" t="n">
        <v>32</v>
      </c>
      <c r="M784" s="4" t="n">
        <v>10</v>
      </c>
      <c r="N784" s="5" t="n">
        <v>6.4</v>
      </c>
      <c r="O784" s="3" t="inlineStr">
        <is>
          <t>10월 둘쨋주 이후 입주가능한 투베이</t>
        </is>
      </c>
      <c r="P784" s="6">
        <f>HYPERLINK("https://fin.land.naver.com/articles/2651045087", "매물Link")</f>
        <v/>
      </c>
      <c r="Q784" s="6">
        <f>HYPERLINK("https://map.naver.com/p/search/오송읍 봉산리 1038", "지도Link")</f>
        <v/>
      </c>
      <c r="R784" s="6">
        <f>HYPERLINK("http://www.eum.go.kr/web/ar/lu/luLandDet.jsp?pnu=4311325031110380000&amp;isNoScr=script&amp;mode=search",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204</v>
      </c>
      <c r="V784" s="4" t="n">
        <v>267.7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봉산리 1038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2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1000</v>
      </c>
      <c r="H785" s="4" t="n">
        <v>62</v>
      </c>
      <c r="I785" s="4" t="n">
        <v>0</v>
      </c>
      <c r="J785" s="4" t="n">
        <v>0</v>
      </c>
      <c r="K785" s="5" t="n">
        <v>0</v>
      </c>
      <c r="L785" s="4" t="n">
        <v>32</v>
      </c>
      <c r="M785" s="4" t="n">
        <v>10</v>
      </c>
      <c r="N785" s="5" t="n">
        <v>6.2</v>
      </c>
      <c r="O785" s="3" t="inlineStr">
        <is>
          <t>즉시입주 필로티주차 깔끔하게 관리 잘되는 건물,신축 투베이 월세</t>
        </is>
      </c>
      <c r="P785" s="6">
        <f>HYPERLINK("https://fin.land.naver.com/articles/2654922965", "매물Link")</f>
        <v/>
      </c>
      <c r="Q785" s="6">
        <f>HYPERLINK("https://map.naver.com/p/search/오송읍 봉산리 1038", "지도Link")</f>
        <v/>
      </c>
      <c r="R785" s="6">
        <f>HYPERLINK("http://www.eum.go.kr/web/ar/lu/luLandDet.jsp?pnu=4311325031110380000&amp;isNoScr=script&amp;mode=search", "토지이음")</f>
        <v/>
      </c>
      <c r="S785" s="3" t="inlineStr">
        <is>
          <t>오송바이오창조</t>
        </is>
      </c>
      <c r="T785" s="4" t="n">
        <v>1</v>
      </c>
      <c r="U785" s="5" t="n">
        <v>204</v>
      </c>
      <c r="V785" s="4" t="n">
        <v>267.7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1038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500</v>
      </c>
      <c r="H786" s="4" t="n">
        <v>60</v>
      </c>
      <c r="I786" s="4" t="n">
        <v>0</v>
      </c>
      <c r="J786" s="4" t="n">
        <v>0</v>
      </c>
      <c r="K786" s="5" t="n">
        <v>0</v>
      </c>
      <c r="L786" s="4" t="n">
        <v>33</v>
      </c>
      <c r="M786" s="4" t="n">
        <v>10</v>
      </c>
      <c r="N786" s="5" t="n">
        <v>6</v>
      </c>
      <c r="O786" s="3" t="inlineStr">
        <is>
          <t>즉시입주.저렴한보증금.6자붙박이장2개.넓은다용도실.화이트인테리어</t>
        </is>
      </c>
      <c r="P786" s="6">
        <f>HYPERLINK("https://fin.land.naver.com/articles/2653592647", "매물Link")</f>
        <v/>
      </c>
      <c r="Q786" s="6">
        <f>HYPERLINK("https://map.naver.com/p/search/오송읍 봉산리 1038", "지도Link")</f>
        <v/>
      </c>
      <c r="R786" s="6">
        <f>HYPERLINK("http://www.eum.go.kr/web/ar/lu/luLandDet.jsp?pnu=4311325031110380000&amp;isNoScr=script&amp;mode=search", "토지이음")</f>
        <v/>
      </c>
      <c r="S786" s="3" t="inlineStr">
        <is>
          <t>태원</t>
        </is>
      </c>
      <c r="T786" s="4" t="n">
        <v>1</v>
      </c>
      <c r="U786" s="5" t="n">
        <v>204</v>
      </c>
      <c r="V786" s="4" t="n">
        <v>267.7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1038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상가주택</t>
        </is>
      </c>
      <c r="F787" s="3" t="inlineStr">
        <is>
          <t>월세</t>
        </is>
      </c>
      <c r="G787" s="4" t="n">
        <v>1000</v>
      </c>
      <c r="H787" s="4" t="n">
        <v>60</v>
      </c>
      <c r="I787" s="4" t="n">
        <v>32</v>
      </c>
      <c r="J787" s="4" t="n">
        <v>10</v>
      </c>
      <c r="K787" s="5" t="n">
        <v>6</v>
      </c>
      <c r="L787" s="4" t="n">
        <v>32</v>
      </c>
      <c r="M787" s="4" t="n">
        <v>10</v>
      </c>
      <c r="N787" s="5" t="n">
        <v>6</v>
      </c>
      <c r="O787" s="3" t="inlineStr">
        <is>
          <t>신축 투베이.  10월 초,중순 입주가능. 큰 붙박이장 있음.</t>
        </is>
      </c>
      <c r="P787" s="6">
        <f>HYPERLINK("https://fin.land.naver.com/articles/2652777461", "매물Link")</f>
        <v/>
      </c>
      <c r="Q787" s="6">
        <f>HYPERLINK("https://map.naver.com/p/search/오송읍 봉산리 1038", "지도Link")</f>
        <v/>
      </c>
      <c r="R787" s="6">
        <f>HYPERLINK("http://www.eum.go.kr/web/ar/lu/luLandDet.jsp?pnu=4311325031110380000&amp;isNoScr=script&amp;mode=search", "토지이음")</f>
        <v/>
      </c>
      <c r="S787" s="3" t="inlineStr">
        <is>
          <t>당근플러스</t>
        </is>
      </c>
      <c r="T787" s="4" t="n">
        <v>1</v>
      </c>
      <c r="U787" s="5" t="n">
        <v>204</v>
      </c>
      <c r="V787" s="4" t="n">
        <v>267.7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소로한면</t>
        </is>
      </c>
    </row>
    <row r="788">
      <c r="A788" s="3" t="inlineStr">
        <is>
          <t>오송읍 봉산리 1040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26</v>
      </c>
      <c r="M788" s="4" t="n">
        <v>8</v>
      </c>
      <c r="N788" s="5" t="n">
        <v>7.5</v>
      </c>
      <c r="O788" s="3" t="inlineStr">
        <is>
          <t>공실. 보증금 조율 가능. 신축. 환하고 깨끗한 집.</t>
        </is>
      </c>
      <c r="P788" s="6">
        <f>HYPERLINK("https://fin.land.naver.com/articles/2650786838", "매물Link")</f>
        <v/>
      </c>
      <c r="Q788" s="6">
        <f>HYPERLINK("https://map.naver.com/p/search/오송읍 봉산리 1040", "지도Link")</f>
        <v/>
      </c>
      <c r="R788" s="6">
        <f>HYPERLINK("http://www.eum.go.kr/web/ar/lu/luLandDet.jsp?pnu=4311325031110400000&amp;isNoScr=script&amp;mode=search",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216</v>
      </c>
      <c r="V788" s="4" t="n">
        <v>273.8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소로각지</t>
        </is>
      </c>
    </row>
    <row r="789">
      <c r="A789" s="3" t="inlineStr">
        <is>
          <t>오송읍 봉산리 1040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월세</t>
        </is>
      </c>
      <c r="G789" s="4" t="n">
        <v>1000</v>
      </c>
      <c r="H789" s="4" t="n">
        <v>60</v>
      </c>
      <c r="I789" s="4" t="n">
        <v>0</v>
      </c>
      <c r="J789" s="4" t="n">
        <v>0</v>
      </c>
      <c r="K789" s="5" t="n">
        <v>0</v>
      </c>
      <c r="L789" s="4" t="n">
        <v>26</v>
      </c>
      <c r="M789" s="4" t="n">
        <v>8</v>
      </c>
      <c r="N789" s="5" t="n">
        <v>7.5</v>
      </c>
      <c r="O789" s="3" t="inlineStr">
        <is>
          <t>즉시입주 가능 컨디션 최상 신축 투베이 ,위치도 좋아요</t>
        </is>
      </c>
      <c r="P789" s="6">
        <f>HYPERLINK("https://fin.land.naver.com/articles/2650391921", "매물Link")</f>
        <v/>
      </c>
      <c r="Q789" s="6">
        <f>HYPERLINK("https://map.naver.com/p/search/오송읍 봉산리 1040", "지도Link")</f>
        <v/>
      </c>
      <c r="R789" s="6">
        <f>HYPERLINK("http://www.eum.go.kr/web/ar/lu/luLandDet.jsp?pnu=4311325031110400000&amp;isNoScr=script&amp;mode=search", "토지이음")</f>
        <v/>
      </c>
      <c r="S789" s="3" t="inlineStr">
        <is>
          <t>오송바이오창조</t>
        </is>
      </c>
      <c r="T789" s="4" t="n">
        <v>1</v>
      </c>
      <c r="U789" s="5" t="n">
        <v>216</v>
      </c>
      <c r="V789" s="4" t="n">
        <v>273.8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소로각지</t>
        </is>
      </c>
    </row>
    <row r="790">
      <c r="A790" s="3" t="inlineStr">
        <is>
          <t>오송읍 봉산리 1040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상가주택</t>
        </is>
      </c>
      <c r="F790" s="3" t="inlineStr">
        <is>
          <t>월세</t>
        </is>
      </c>
      <c r="G790" s="4" t="n">
        <v>1000</v>
      </c>
      <c r="H790" s="4" t="n">
        <v>61</v>
      </c>
      <c r="I790" s="4" t="n">
        <v>26</v>
      </c>
      <c r="J790" s="4" t="n">
        <v>8</v>
      </c>
      <c r="K790" s="5" t="n">
        <v>7.6</v>
      </c>
      <c r="L790" s="4" t="n">
        <v>26</v>
      </c>
      <c r="M790" s="4" t="n">
        <v>8</v>
      </c>
      <c r="N790" s="5" t="n">
        <v>7.6</v>
      </c>
      <c r="O790" s="3" t="inlineStr">
        <is>
          <t>오송입지조건짱,신축투베이,즉시입주가능</t>
        </is>
      </c>
      <c r="P790" s="6">
        <f>HYPERLINK("https://fin.land.naver.com/articles/2651088701", "매물Link")</f>
        <v/>
      </c>
      <c r="Q790" s="6">
        <f>HYPERLINK("https://map.naver.com/p/search/오송읍 봉산리 1040", "지도Link")</f>
        <v/>
      </c>
      <c r="R790" s="6">
        <f>HYPERLINK("http://www.eum.go.kr/web/ar/lu/luLandDet.jsp?pnu=4311325031110400000&amp;isNoScr=script&amp;mode=search", "토지이음")</f>
        <v/>
      </c>
      <c r="S790" s="3" t="inlineStr">
        <is>
          <t>오송올래</t>
        </is>
      </c>
      <c r="T790" s="4" t="n">
        <v>1</v>
      </c>
      <c r="U790" s="5" t="n">
        <v>216</v>
      </c>
      <c r="V790" s="4" t="n">
        <v>273.8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소로각지</t>
        </is>
      </c>
    </row>
    <row r="791">
      <c r="A791" s="3" t="inlineStr">
        <is>
          <t>오송읍 봉산리 1047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300</v>
      </c>
      <c r="H791" s="4" t="n">
        <v>51</v>
      </c>
      <c r="I791" s="4" t="n">
        <v>48</v>
      </c>
      <c r="J791" s="4" t="n">
        <v>15</v>
      </c>
      <c r="K791" s="5" t="n">
        <v>3.4</v>
      </c>
      <c r="L791" s="4" t="n">
        <v>23</v>
      </c>
      <c r="M791" s="4" t="n">
        <v>7</v>
      </c>
      <c r="N791" s="5" t="n">
        <v>7.3</v>
      </c>
      <c r="O791" s="3" t="inlineStr">
        <is>
          <t>편의시설 편리, 넓은 붙박이장 옵션의 원룸</t>
        </is>
      </c>
      <c r="P791" s="6">
        <f>HYPERLINK("https://fin.land.naver.com/articles/2655105992", "매물Link")</f>
        <v/>
      </c>
      <c r="Q791" s="6">
        <f>HYPERLINK("https://map.naver.com/p/search/오송읍 봉산리 1047", "지도Link")</f>
        <v/>
      </c>
      <c r="R791" s="6">
        <f>HYPERLINK("http://www.eum.go.kr/web/ar/lu/luLandDet.jsp?pnu=4311325031110470000&amp;isNoScr=script&amp;mode=search",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204</v>
      </c>
      <c r="V791" s="4" t="n">
        <v>267.5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1049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상가주택</t>
        </is>
      </c>
      <c r="F792" s="3" t="inlineStr">
        <is>
          <t>매매</t>
        </is>
      </c>
      <c r="G792" s="4" t="n">
        <v>135000</v>
      </c>
      <c r="H792" s="4" t="n">
        <v>0</v>
      </c>
      <c r="I792" s="4" t="n">
        <v>267</v>
      </c>
      <c r="J792" s="4" t="n">
        <v>81</v>
      </c>
      <c r="K792" s="5" t="n">
        <v>1666.7</v>
      </c>
      <c r="L792" s="4" t="n">
        <v>451</v>
      </c>
      <c r="M792" s="4" t="n">
        <v>136</v>
      </c>
      <c r="N792" s="5" t="n">
        <v>992.6</v>
      </c>
      <c r="O792" s="3" t="inlineStr">
        <is>
          <t>KTX 역세권. 소자본 투자. 안정적인 월세수익.</t>
        </is>
      </c>
      <c r="P792" s="6">
        <f>HYPERLINK("https://fin.land.naver.com/articles/2654123239", "매물Link")</f>
        <v/>
      </c>
      <c r="Q792" s="6">
        <f>HYPERLINK("https://map.naver.com/p/search/오송읍 봉산리 1049", "지도Link")</f>
        <v/>
      </c>
      <c r="R792" s="6">
        <f>HYPERLINK("http://www.eum.go.kr/web/ar/lu/luLandDet.jsp?pnu=4311325031110490000&amp;isNoScr=script&amp;mode=search", "토지이음")</f>
        <v/>
      </c>
      <c r="S792" s="3" t="inlineStr">
        <is>
          <t>당근플러스</t>
        </is>
      </c>
      <c r="T792" s="4" t="n">
        <v>2</v>
      </c>
      <c r="U792" s="5" t="n">
        <v>206</v>
      </c>
      <c r="V792" s="4" t="n">
        <v>267.6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1049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2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300</v>
      </c>
      <c r="H793" s="4" t="n">
        <v>45</v>
      </c>
      <c r="I793" s="4" t="n">
        <v>138</v>
      </c>
      <c r="J793" s="4" t="n">
        <v>42</v>
      </c>
      <c r="K793" s="5" t="n">
        <v>1.1</v>
      </c>
      <c r="L793" s="4" t="n">
        <v>20</v>
      </c>
      <c r="M793" s="4" t="n">
        <v>6</v>
      </c>
      <c r="N793" s="5" t="n">
        <v>7.5</v>
      </c>
      <c r="O793" s="3" t="inlineStr">
        <is>
          <t>원룸 즉시입주 오송역세권으로 인프라좋고 주변편의시설확충</t>
        </is>
      </c>
      <c r="P793" s="6">
        <f>HYPERLINK("https://fin.land.naver.com/articles/2652568338", "매물Link")</f>
        <v/>
      </c>
      <c r="Q793" s="6">
        <f>HYPERLINK("https://map.naver.com/p/search/오송읍 봉산리 1049", "지도Link")</f>
        <v/>
      </c>
      <c r="R793" s="6">
        <f>HYPERLINK("http://www.eum.go.kr/web/ar/lu/luLandDet.jsp?pnu=4311325031110490000&amp;isNoScr=script&amp;mode=search", "토지이음")</f>
        <v/>
      </c>
      <c r="S793" s="3" t="inlineStr">
        <is>
          <t>하림</t>
        </is>
      </c>
      <c r="T793" s="4" t="n">
        <v>1</v>
      </c>
      <c r="U793" s="5" t="n">
        <v>206</v>
      </c>
      <c r="V793" s="4" t="n">
        <v>267.6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1055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매매</t>
        </is>
      </c>
      <c r="G794" s="4" t="n">
        <v>145000</v>
      </c>
      <c r="H794" s="4" t="n">
        <v>0</v>
      </c>
      <c r="I794" s="4" t="n">
        <v>267</v>
      </c>
      <c r="J794" s="4" t="n">
        <v>81</v>
      </c>
      <c r="K794" s="5" t="n">
        <v>1790.1</v>
      </c>
      <c r="L794" s="4" t="n">
        <v>505</v>
      </c>
      <c r="M794" s="4" t="n">
        <v>153</v>
      </c>
      <c r="N794" s="5" t="n">
        <v>947.7</v>
      </c>
      <c r="O794" s="3" t="inlineStr">
        <is>
          <t>공실있던적이 없는 상가주택. 상가 걱정 뚝. 먹자라인. 승강기 있음</t>
        </is>
      </c>
      <c r="P794" s="6">
        <f>HYPERLINK("https://fin.land.naver.com/articles/2655325956", "매물Link")</f>
        <v/>
      </c>
      <c r="Q794" s="6">
        <f>HYPERLINK("https://map.naver.com/p/search/오송읍 봉산리 1055", "지도Link")</f>
        <v/>
      </c>
      <c r="R794" s="6">
        <f>HYPERLINK("http://www.eum.go.kr/web/ar/lu/luLandDet.jsp?pnu=4311325031110550000&amp;isNoScr=script&amp;mode=search", "토지이음")</f>
        <v/>
      </c>
      <c r="S794" s="3" t="inlineStr">
        <is>
          <t>프로</t>
        </is>
      </c>
      <c r="T794" s="4" t="n">
        <v>2</v>
      </c>
      <c r="U794" s="5" t="n">
        <v>206</v>
      </c>
      <c r="V794" s="4" t="n">
        <v>267.6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145000</v>
      </c>
      <c r="H795" s="4" t="n">
        <v>0</v>
      </c>
      <c r="I795" s="4" t="n">
        <v>267</v>
      </c>
      <c r="J795" s="4" t="n">
        <v>81</v>
      </c>
      <c r="K795" s="5" t="n">
        <v>1790.1</v>
      </c>
      <c r="L795" s="4" t="n">
        <v>505</v>
      </c>
      <c r="M795" s="4" t="n">
        <v>153</v>
      </c>
      <c r="N795" s="5" t="n">
        <v>947.7</v>
      </c>
      <c r="O795" s="3" t="inlineStr">
        <is>
          <t>주인세대 즉시 입주 가능, 약 600만원 임대료 수입</t>
        </is>
      </c>
      <c r="P795" s="6">
        <f>HYPERLINK("https://fin.land.naver.com/articles/2650797876", "매물Link")</f>
        <v/>
      </c>
      <c r="Q795" s="6">
        <f>HYPERLINK("https://map.naver.com/p/search/오송읍 봉산리 1055", "지도Link")</f>
        <v/>
      </c>
      <c r="R795" s="6">
        <f>HYPERLINK("http://www.eum.go.kr/web/ar/lu/luLandDet.jsp?pnu=4311325031110550000&amp;isNoScr=script&amp;mode=search", "토지이음")</f>
        <v/>
      </c>
      <c r="S795" s="3" t="inlineStr">
        <is>
          <t>우리</t>
        </is>
      </c>
      <c r="T795" s="4" t="n">
        <v>1</v>
      </c>
      <c r="U795" s="5" t="n">
        <v>206</v>
      </c>
      <c r="V795" s="4" t="n">
        <v>267.6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267</v>
      </c>
      <c r="J796" s="4" t="n">
        <v>81</v>
      </c>
      <c r="K796" s="5" t="n">
        <v>1790.1</v>
      </c>
      <c r="L796" s="4" t="n">
        <v>505</v>
      </c>
      <c r="M796" s="4" t="n">
        <v>153</v>
      </c>
      <c r="N796" s="5" t="n">
        <v>947.7</v>
      </c>
      <c r="O796" s="3" t="inlineStr">
        <is>
          <t>먹자 골목내 위치한 수익률 최상인 남향집</t>
        </is>
      </c>
      <c r="P796" s="6">
        <f>HYPERLINK("https://fin.land.naver.com/articles/2653091474", "매물Link")</f>
        <v/>
      </c>
      <c r="Q796" s="6">
        <f>HYPERLINK("https://map.naver.com/p/search/오송읍 봉산리 1055", "지도Link")</f>
        <v/>
      </c>
      <c r="R796" s="6">
        <f>HYPERLINK("http://www.eum.go.kr/web/ar/lu/luLandDet.jsp?pnu=4311325031110550000&amp;isNoScr=script&amp;mode=search", "토지이음")</f>
        <v/>
      </c>
      <c r="S796" s="3" t="inlineStr">
        <is>
          <t>아시아</t>
        </is>
      </c>
      <c r="T796" s="4" t="n">
        <v>1</v>
      </c>
      <c r="U796" s="5" t="n">
        <v>206</v>
      </c>
      <c r="V796" s="4" t="n">
        <v>267.6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1056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1000</v>
      </c>
      <c r="H797" s="4" t="n">
        <v>63</v>
      </c>
      <c r="I797" s="4" t="n">
        <v>0</v>
      </c>
      <c r="J797" s="4" t="n">
        <v>0</v>
      </c>
      <c r="K797" s="5" t="n">
        <v>0</v>
      </c>
      <c r="L797" s="4" t="n">
        <v>23</v>
      </c>
      <c r="M797" s="4" t="n">
        <v>7</v>
      </c>
      <c r="N797" s="5" t="n">
        <v>9</v>
      </c>
      <c r="O797" s="3" t="inlineStr">
        <is>
          <t>신축 투베이.  풀옵션. 깔끔하고 환한 집.</t>
        </is>
      </c>
      <c r="P797" s="6">
        <f>HYPERLINK("https://fin.land.naver.com/articles/2653394461", "매물Link")</f>
        <v/>
      </c>
      <c r="Q797" s="6">
        <f>HYPERLINK("https://map.naver.com/p/search/오송읍 봉산리 1056", "지도Link")</f>
        <v/>
      </c>
      <c r="R797" s="6">
        <f>HYPERLINK("http://www.eum.go.kr/web/ar/lu/luLandDet.jsp?pnu=4311325031110560000&amp;isNoScr=script&amp;mode=search", "토지이음")</f>
        <v/>
      </c>
      <c r="S797" s="3" t="inlineStr">
        <is>
          <t>당근플러스</t>
        </is>
      </c>
      <c r="T797" s="4" t="n">
        <v>1</v>
      </c>
      <c r="U797" s="5" t="n">
        <v>208.1</v>
      </c>
      <c r="V797" s="4" t="n">
        <v>267.5</v>
      </c>
      <c r="W797" s="3" t="inlineStr">
        <is>
          <t>지정되지않음</t>
        </is>
      </c>
      <c r="X797" s="3" t="inlineStr">
        <is>
          <t>주거나지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봉산리 1056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다가구</t>
        </is>
      </c>
      <c r="F798" s="3" t="inlineStr">
        <is>
          <t>월세</t>
        </is>
      </c>
      <c r="G798" s="4" t="n">
        <v>1000</v>
      </c>
      <c r="H798" s="4" t="n">
        <v>60</v>
      </c>
      <c r="I798" s="4" t="n">
        <v>137</v>
      </c>
      <c r="J798" s="4" t="n">
        <v>41</v>
      </c>
      <c r="K798" s="5" t="n">
        <v>1.5</v>
      </c>
      <c r="L798" s="4" t="n">
        <v>31</v>
      </c>
      <c r="M798" s="4" t="n">
        <v>9</v>
      </c>
      <c r="N798" s="5" t="n">
        <v>6.7</v>
      </c>
      <c r="O798" s="3" t="inlineStr">
        <is>
          <t>신축투베이 오송역세권으로 인프라좋고 주변편의시설확충 중심상권 영화관</t>
        </is>
      </c>
      <c r="P798" s="6">
        <f>HYPERLINK("https://fin.land.naver.com/articles/2655709767", "매물Link")</f>
        <v/>
      </c>
      <c r="Q798" s="6">
        <f>HYPERLINK("https://map.naver.com/p/search/오송읍 봉산리 1056", "지도Link")</f>
        <v/>
      </c>
      <c r="R798" s="6">
        <f>HYPERLINK("http://www.eum.go.kr/web/ar/lu/luLandDet.jsp?pnu=4311325031110560000&amp;isNoScr=script&amp;mode=search", "토지이음")</f>
        <v/>
      </c>
      <c r="S798" s="3" t="inlineStr">
        <is>
          <t>하림</t>
        </is>
      </c>
      <c r="T798" s="4" t="n">
        <v>1</v>
      </c>
      <c r="U798" s="5" t="n">
        <v>208.1</v>
      </c>
      <c r="V798" s="4" t="n">
        <v>267.5</v>
      </c>
      <c r="W798" s="3" t="inlineStr">
        <is>
          <t>지정되지않음</t>
        </is>
      </c>
      <c r="X798" s="3" t="inlineStr">
        <is>
          <t>주거나지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봉산리 1056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1000</v>
      </c>
      <c r="H799" s="4" t="n">
        <v>64</v>
      </c>
      <c r="I799" s="4" t="n">
        <v>0</v>
      </c>
      <c r="J799" s="4" t="n">
        <v>0</v>
      </c>
      <c r="K799" s="5" t="n">
        <v>0</v>
      </c>
      <c r="L799" s="4" t="n">
        <v>31</v>
      </c>
      <c r="M799" s="4" t="n">
        <v>9</v>
      </c>
      <c r="N799" s="5" t="n">
        <v>7.1</v>
      </c>
      <c r="O799" s="3" t="inlineStr">
        <is>
          <t>즉시입주, 넓게 잘빠진 투베이, 메인상권 도보이용가능</t>
        </is>
      </c>
      <c r="P799" s="6">
        <f>HYPERLINK("https://fin.land.naver.com/articles/2652020507", "매물Link")</f>
        <v/>
      </c>
      <c r="Q799" s="6">
        <f>HYPERLINK("https://map.naver.com/p/search/오송읍 봉산리 1056", "지도Link")</f>
        <v/>
      </c>
      <c r="R799" s="6">
        <f>HYPERLINK("http://www.eum.go.kr/web/ar/lu/luLandDet.jsp?pnu=4311325031110560000&amp;isNoScr=script&amp;mode=search", "토지이음")</f>
        <v/>
      </c>
      <c r="S799" s="3" t="inlineStr">
        <is>
          <t>태원</t>
        </is>
      </c>
      <c r="T799" s="4" t="n">
        <v>1</v>
      </c>
      <c r="U799" s="5" t="n">
        <v>208.1</v>
      </c>
      <c r="V799" s="4" t="n">
        <v>267.5</v>
      </c>
      <c r="W799" s="3" t="inlineStr">
        <is>
          <t>지정되지않음</t>
        </is>
      </c>
      <c r="X799" s="3" t="inlineStr">
        <is>
          <t>주거나지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봉산리 1060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상가주택</t>
        </is>
      </c>
      <c r="F800" s="3" t="inlineStr">
        <is>
          <t>월세</t>
        </is>
      </c>
      <c r="G800" s="4" t="n">
        <v>1000</v>
      </c>
      <c r="H800" s="4" t="n">
        <v>61</v>
      </c>
      <c r="I800" s="4" t="n">
        <v>32</v>
      </c>
      <c r="J800" s="4" t="n">
        <v>10</v>
      </c>
      <c r="K800" s="5" t="n">
        <v>6.1</v>
      </c>
      <c r="L800" s="4" t="n">
        <v>32</v>
      </c>
      <c r="M800" s="4" t="n">
        <v>10</v>
      </c>
      <c r="N800" s="5" t="n">
        <v>6.1</v>
      </c>
      <c r="O800" s="3" t="inlineStr">
        <is>
          <t>구조좋은 투베이,첫입주,신축,메인상권에위치</t>
        </is>
      </c>
      <c r="P800" s="6">
        <f>HYPERLINK("https://fin.land.naver.com/articles/2651021369", "매물Link")</f>
        <v/>
      </c>
      <c r="Q800" s="6">
        <f>HYPERLINK("https://map.naver.com/p/search/오송읍 봉산리 1060", "지도Link")</f>
        <v/>
      </c>
      <c r="R800" s="6">
        <f>HYPERLINK("http://www.eum.go.kr/web/ar/lu/luLandDet.jsp?pnu=4311325031110600000&amp;isNoScr=script&amp;mode=search", "토지이음")</f>
        <v/>
      </c>
      <c r="S800" s="3" t="inlineStr">
        <is>
          <t>오송올래</t>
        </is>
      </c>
      <c r="T800" s="4" t="n">
        <v>1</v>
      </c>
      <c r="U800" s="5" t="n">
        <v>206</v>
      </c>
      <c r="V800" s="4" t="n">
        <v>267.9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1060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0</v>
      </c>
      <c r="J801" s="4" t="n">
        <v>0</v>
      </c>
      <c r="K801" s="5" t="n">
        <v>0</v>
      </c>
      <c r="L801" s="4" t="n">
        <v>33</v>
      </c>
      <c r="M801" s="4" t="n">
        <v>10</v>
      </c>
      <c r="N801" s="5" t="n">
        <v>6.1</v>
      </c>
      <c r="O801" s="3" t="inlineStr">
        <is>
          <t>ㄸr봉 신축 첫 입주  화이트톤의 깔끔한 풀옵션 투베이</t>
        </is>
      </c>
      <c r="P801" s="6">
        <f>HYPERLINK("https://fin.land.naver.com/articles/2651137572", "매물Link")</f>
        <v/>
      </c>
      <c r="Q801" s="6">
        <f>HYPERLINK("https://map.naver.com/p/search/오송읍 봉산리 1060", "지도Link")</f>
        <v/>
      </c>
      <c r="R801" s="6">
        <f>HYPERLINK("http://www.eum.go.kr/web/ar/lu/luLandDet.jsp?pnu=4311325031110600000&amp;isNoScr=script&amp;mode=search", "토지이음")</f>
        <v/>
      </c>
      <c r="S801" s="3" t="inlineStr">
        <is>
          <t>오송프렌즈</t>
        </is>
      </c>
      <c r="T801" s="4" t="n">
        <v>1</v>
      </c>
      <c r="U801" s="5" t="n">
        <v>206</v>
      </c>
      <c r="V801" s="4" t="n">
        <v>267.9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1060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단독</t>
        </is>
      </c>
      <c r="F802" s="3" t="inlineStr">
        <is>
          <t>월세</t>
        </is>
      </c>
      <c r="G802" s="4" t="n">
        <v>1000</v>
      </c>
      <c r="H802" s="4" t="n">
        <v>61</v>
      </c>
      <c r="I802" s="4" t="n">
        <v>56</v>
      </c>
      <c r="J802" s="4" t="n">
        <v>17</v>
      </c>
      <c r="K802" s="5" t="n">
        <v>3.6</v>
      </c>
      <c r="L802" s="4" t="n">
        <v>32</v>
      </c>
      <c r="M802" s="4" t="n">
        <v>10</v>
      </c>
      <c r="N802" s="5" t="n">
        <v>6.1</v>
      </c>
      <c r="O802" s="3" t="inlineStr">
        <is>
          <t>즉시 입주 가능, 첫입주투베이 ,편의시설이용편리</t>
        </is>
      </c>
      <c r="P802" s="6">
        <f>HYPERLINK("https://fin.land.naver.com/articles/2653034346", "매물Link")</f>
        <v/>
      </c>
      <c r="Q802" s="6">
        <f>HYPERLINK("https://map.naver.com/p/search/오송읍 봉산리 1060", "지도Link")</f>
        <v/>
      </c>
      <c r="R802" s="6">
        <f>HYPERLINK("http://www.eum.go.kr/web/ar/lu/luLandDet.jsp?pnu=4311325031110600000&amp;isNoScr=script&amp;mode=search",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206</v>
      </c>
      <c r="V802" s="4" t="n">
        <v>267.9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1061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월세</t>
        </is>
      </c>
      <c r="G803" s="4" t="n">
        <v>2000</v>
      </c>
      <c r="H803" s="4" t="n">
        <v>100</v>
      </c>
      <c r="I803" s="4" t="n">
        <v>104</v>
      </c>
      <c r="J803" s="4" t="n">
        <v>31</v>
      </c>
      <c r="K803" s="5" t="n">
        <v>3.2</v>
      </c>
      <c r="L803" s="4" t="n">
        <v>94</v>
      </c>
      <c r="M803" s="4" t="n">
        <v>28</v>
      </c>
      <c r="N803" s="5" t="n">
        <v>3.6</v>
      </c>
      <c r="O803" s="3" t="inlineStr">
        <is>
          <t>옥탑방 있는 주인세대,시스템에어컨,붙박이장설치</t>
        </is>
      </c>
      <c r="P803" s="6">
        <f>HYPERLINK("https://fin.land.naver.com/articles/2653667598", "매물Link")</f>
        <v/>
      </c>
      <c r="Q803" s="6">
        <f>HYPERLINK("https://map.naver.com/p/search/오송읍 봉산리 1061", "지도Link")</f>
        <v/>
      </c>
      <c r="R803" s="6">
        <f>HYPERLINK("http://www.eum.go.kr/web/ar/lu/luLandDet.jsp?pnu=4311325031110610000&amp;isNoScr=script&amp;mode=search", "토지이음")</f>
        <v/>
      </c>
      <c r="S803" s="3" t="inlineStr">
        <is>
          <t>오송유나</t>
        </is>
      </c>
      <c r="T803" s="4" t="n">
        <v>1</v>
      </c>
      <c r="U803" s="5" t="n">
        <v>206</v>
      </c>
      <c r="V803" s="4" t="n">
        <v>268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1061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4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2000</v>
      </c>
      <c r="H804" s="4" t="n">
        <v>110</v>
      </c>
      <c r="I804" s="4" t="n">
        <v>0</v>
      </c>
      <c r="J804" s="4" t="n">
        <v>0</v>
      </c>
      <c r="K804" s="5" t="n">
        <v>0</v>
      </c>
      <c r="L804" s="4" t="n">
        <v>94</v>
      </c>
      <c r="M804" s="4" t="n">
        <v>28</v>
      </c>
      <c r="N804" s="5" t="n">
        <v>3.9</v>
      </c>
      <c r="O804" s="3" t="inlineStr">
        <is>
          <t>주인세대 월세, 즉시 입주 가능</t>
        </is>
      </c>
      <c r="P804" s="6">
        <f>HYPERLINK("https://fin.land.naver.com/articles/2654215696", "매물Link")</f>
        <v/>
      </c>
      <c r="Q804" s="6">
        <f>HYPERLINK("https://map.naver.com/p/search/오송읍 봉산리 1061", "지도Link")</f>
        <v/>
      </c>
      <c r="R804" s="6">
        <f>HYPERLINK("http://www.eum.go.kr/web/ar/lu/luLandDet.jsp?pnu=4311325031110610000&amp;isNoScr=script&amp;mode=search", "토지이음")</f>
        <v/>
      </c>
      <c r="S804" s="3" t="inlineStr">
        <is>
          <t>오송파라곤하늘</t>
        </is>
      </c>
      <c r="T804" s="4" t="n">
        <v>5</v>
      </c>
      <c r="U804" s="5" t="n">
        <v>206</v>
      </c>
      <c r="V804" s="4" t="n">
        <v>268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1063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8000</v>
      </c>
      <c r="H805" s="4" t="n">
        <v>11</v>
      </c>
      <c r="I805" s="4" t="n">
        <v>52</v>
      </c>
      <c r="J805" s="4" t="n">
        <v>16</v>
      </c>
      <c r="K805" s="5" t="n">
        <v>0.7</v>
      </c>
      <c r="L805" s="4" t="n">
        <v>28</v>
      </c>
      <c r="M805" s="4" t="n">
        <v>8</v>
      </c>
      <c r="N805" s="5" t="n">
        <v>1.4</v>
      </c>
      <c r="O805" s="3" t="inlineStr">
        <is>
          <t>월세부담줄여주는 반전세,예쁜 투베이</t>
        </is>
      </c>
      <c r="P805" s="6">
        <f>HYPERLINK("https://fin.land.naver.com/articles/2655296543", "매물Link")</f>
        <v/>
      </c>
      <c r="Q805" s="6">
        <f>HYPERLINK("https://map.naver.com/p/search/오송읍 봉산리 1063", "지도Link")</f>
        <v/>
      </c>
      <c r="R805" s="6">
        <f>HYPERLINK("http://www.eum.go.kr/web/ar/lu/luLandDet.jsp?pnu=4311325031110630000&amp;isNoScr=script&amp;mode=search", "토지이음")</f>
        <v/>
      </c>
      <c r="S805" s="3" t="inlineStr">
        <is>
          <t>프로</t>
        </is>
      </c>
      <c r="T805" s="4" t="n">
        <v>1</v>
      </c>
      <c r="U805" s="5" t="n">
        <v>218.3</v>
      </c>
      <c r="V805" s="4" t="n">
        <v>273.7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소로각지</t>
        </is>
      </c>
    </row>
    <row r="806">
      <c r="A806" s="3" t="inlineStr">
        <is>
          <t>오송읍 봉산리 1063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전세</t>
        </is>
      </c>
      <c r="G806" s="4" t="n">
        <v>10000</v>
      </c>
      <c r="H806" s="4" t="n">
        <v>0</v>
      </c>
      <c r="I806" s="4" t="n">
        <v>0</v>
      </c>
      <c r="J806" s="4" t="n">
        <v>0</v>
      </c>
      <c r="K806" s="5" t="n">
        <v>0</v>
      </c>
      <c r="L806" s="4" t="n">
        <v>28</v>
      </c>
      <c r="M806" s="4" t="n">
        <v>8</v>
      </c>
      <c r="N806" s="5" t="n">
        <v>1250</v>
      </c>
      <c r="O806" s="3" t="inlineStr">
        <is>
          <t>오송 귀한 투베이전세</t>
        </is>
      </c>
      <c r="P806" s="6">
        <f>HYPERLINK("https://fin.land.naver.com/articles/2652236245", "매물Link")</f>
        <v/>
      </c>
      <c r="Q806" s="6">
        <f>HYPERLINK("https://map.naver.com/p/search/오송읍 봉산리 1063", "지도Link")</f>
        <v/>
      </c>
      <c r="R806" s="6">
        <f>HYPERLINK("http://www.eum.go.kr/web/ar/lu/luLandDet.jsp?pnu=4311325031110630000&amp;isNoScr=script&amp;mode=search", "토지이음")</f>
        <v/>
      </c>
      <c r="S806" s="3" t="inlineStr">
        <is>
          <t>오송이가</t>
        </is>
      </c>
      <c r="T806" s="4" t="n">
        <v>1</v>
      </c>
      <c r="U806" s="5" t="n">
        <v>218.3</v>
      </c>
      <c r="V806" s="4" t="n">
        <v>273.7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소로각지</t>
        </is>
      </c>
    </row>
    <row r="807">
      <c r="A807" s="3" t="inlineStr">
        <is>
          <t>오송읍 봉산리 1063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전세</t>
        </is>
      </c>
      <c r="G807" s="4" t="n">
        <v>10000</v>
      </c>
      <c r="H807" s="4" t="n">
        <v>0</v>
      </c>
      <c r="I807" s="4" t="n">
        <v>28</v>
      </c>
      <c r="J807" s="4" t="n">
        <v>8</v>
      </c>
      <c r="K807" s="5" t="n">
        <v>1250</v>
      </c>
      <c r="L807" s="4" t="n">
        <v>28</v>
      </c>
      <c r="M807" s="4" t="n">
        <v>8</v>
      </c>
      <c r="N807" s="5" t="n">
        <v>1250</v>
      </c>
      <c r="O807" s="3" t="inlineStr">
        <is>
          <t>반전세 조율가능 깔끔 화이트톤 투베이 ,대형 붙박이장,풀옵션,위치 좋음</t>
        </is>
      </c>
      <c r="P807" s="6">
        <f>HYPERLINK("https://fin.land.naver.com/articles/2652121664", "매물Link")</f>
        <v/>
      </c>
      <c r="Q807" s="6">
        <f>HYPERLINK("https://map.naver.com/p/search/오송읍 봉산리 1063", "지도Link")</f>
        <v/>
      </c>
      <c r="R807" s="6">
        <f>HYPERLINK("http://www.eum.go.kr/web/ar/lu/luLandDet.jsp?pnu=4311325031110630000&amp;isNoScr=script&amp;mode=search", "토지이음")</f>
        <v/>
      </c>
      <c r="S807" s="3" t="inlineStr">
        <is>
          <t>오송바이오창조</t>
        </is>
      </c>
      <c r="T807" s="4" t="n">
        <v>1</v>
      </c>
      <c r="U807" s="5" t="n">
        <v>218.3</v>
      </c>
      <c r="V807" s="4" t="n">
        <v>273.7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소로각지</t>
        </is>
      </c>
    </row>
    <row r="808">
      <c r="A808" s="3" t="inlineStr">
        <is>
          <t>오송읍 봉산리 1063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5000</v>
      </c>
      <c r="H808" s="4" t="n">
        <v>25</v>
      </c>
      <c r="I808" s="4" t="n">
        <v>28</v>
      </c>
      <c r="J808" s="4" t="n">
        <v>8</v>
      </c>
      <c r="K808" s="5" t="n">
        <v>3.1</v>
      </c>
      <c r="L808" s="4" t="n">
        <v>27</v>
      </c>
      <c r="M808" s="4" t="n">
        <v>8</v>
      </c>
      <c r="N808" s="5" t="n">
        <v>3.1</v>
      </c>
      <c r="O808" s="3" t="inlineStr">
        <is>
          <t>전세, 반전세 보증금 및 월세 조율 가능한 귀한 매물. 투베이</t>
        </is>
      </c>
      <c r="P808" s="6">
        <f>HYPERLINK("https://fin.land.naver.com/articles/2654435556", "매물Link")</f>
        <v/>
      </c>
      <c r="Q808" s="6">
        <f>HYPERLINK("https://map.naver.com/p/search/오송읍 봉산리 1063", "지도Link")</f>
        <v/>
      </c>
      <c r="R808" s="6">
        <f>HYPERLINK("http://www.eum.go.kr/web/ar/lu/luLandDet.jsp?pnu=4311325031110630000&amp;isNoScr=script&amp;mode=search", "토지이음")</f>
        <v/>
      </c>
      <c r="S808" s="3" t="inlineStr">
        <is>
          <t>당근플러스</t>
        </is>
      </c>
      <c r="T808" s="4" t="n">
        <v>2</v>
      </c>
      <c r="U808" s="5" t="n">
        <v>218.3</v>
      </c>
      <c r="V808" s="4" t="n">
        <v>273.7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소로각지</t>
        </is>
      </c>
    </row>
    <row r="809">
      <c r="A809" s="3" t="inlineStr">
        <is>
          <t>오송읍 봉산리 1066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45</v>
      </c>
      <c r="I809" s="4" t="n">
        <v>0</v>
      </c>
      <c r="J809" s="4" t="n">
        <v>0</v>
      </c>
      <c r="K809" s="5" t="n">
        <v>0</v>
      </c>
      <c r="L809" s="4" t="n">
        <v>20</v>
      </c>
      <c r="M809" s="4" t="n">
        <v>6</v>
      </c>
      <c r="N809" s="5" t="n">
        <v>7.5</v>
      </c>
      <c r="O809" s="3" t="inlineStr">
        <is>
          <t>넓게 빠짐 즉시입주 분리형 원룸 정석 , 오송 롯데시네마 바로 코 앞</t>
        </is>
      </c>
      <c r="P809" s="6">
        <f>HYPERLINK("https://fin.land.naver.com/articles/2655673287", "매물Link")</f>
        <v/>
      </c>
      <c r="Q809" s="6">
        <f>HYPERLINK("https://map.naver.com/p/search/오송읍 봉산리 1066", "지도Link")</f>
        <v/>
      </c>
      <c r="R809" s="6">
        <f>HYPERLINK("http://www.eum.go.kr/web/ar/lu/luLandDet.jsp?pnu=4311325031110660000&amp;isNoScr=script&amp;mode=search", "토지이음")</f>
        <v/>
      </c>
      <c r="S809" s="3" t="inlineStr">
        <is>
          <t>오송바이오창조</t>
        </is>
      </c>
      <c r="T809" s="4" t="n">
        <v>1</v>
      </c>
      <c r="U809" s="5" t="n">
        <v>206</v>
      </c>
      <c r="V809" s="4" t="n">
        <v>268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1080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단독</t>
        </is>
      </c>
      <c r="F810" s="3" t="inlineStr">
        <is>
          <t>전세</t>
        </is>
      </c>
      <c r="G810" s="4" t="n">
        <v>23000</v>
      </c>
      <c r="H810" s="4" t="n">
        <v>0</v>
      </c>
      <c r="I810" s="4" t="n">
        <v>133</v>
      </c>
      <c r="J810" s="4" t="n">
        <v>40</v>
      </c>
      <c r="K810" s="5" t="n">
        <v>575</v>
      </c>
      <c r="L810" s="4" t="n">
        <v>115</v>
      </c>
      <c r="M810" s="4" t="n">
        <v>35</v>
      </c>
      <c r="N810" s="5" t="n">
        <v>657.1</v>
      </c>
      <c r="O810" s="3" t="inlineStr">
        <is>
          <t>즉시 입주 가능한 고급스러운 주인세대 전세</t>
        </is>
      </c>
      <c r="P810" s="6">
        <f>HYPERLINK("https://fin.land.naver.com/articles/2652600296", "매물Link")</f>
        <v/>
      </c>
      <c r="Q810" s="6">
        <f>HYPERLINK("https://map.naver.com/p/search/오송읍 봉산리 1080", "지도Link")</f>
        <v/>
      </c>
      <c r="R810" s="6">
        <f>HYPERLINK("http://www.eum.go.kr/web/ar/lu/luLandDet.jsp?pnu=4311325031110800000&amp;isNoScr=script&amp;mode=search",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1083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단독</t>
        </is>
      </c>
      <c r="F811" s="3" t="inlineStr">
        <is>
          <t>월세</t>
        </is>
      </c>
      <c r="G811" s="4" t="n">
        <v>2000</v>
      </c>
      <c r="H811" s="4" t="n">
        <v>91</v>
      </c>
      <c r="I811" s="4" t="n">
        <v>79</v>
      </c>
      <c r="J811" s="4" t="n">
        <v>24</v>
      </c>
      <c r="K811" s="5" t="n">
        <v>3.8</v>
      </c>
      <c r="L811" s="4" t="n">
        <v>59</v>
      </c>
      <c r="M811" s="4" t="n">
        <v>18</v>
      </c>
      <c r="N811" s="5" t="n">
        <v>5.1</v>
      </c>
      <c r="O811" s="3" t="inlineStr">
        <is>
          <t>편의시설 이용편리,깔끔한 쓰리룸</t>
        </is>
      </c>
      <c r="P811" s="6">
        <f>HYPERLINK("https://fin.land.naver.com/articles/2655348018", "매물Link")</f>
        <v/>
      </c>
      <c r="Q811" s="6">
        <f>HYPERLINK("https://map.naver.com/p/search/오송읍 봉산리 1083", "지도Link")</f>
        <v/>
      </c>
      <c r="R811" s="6">
        <f>HYPERLINK("http://www.eum.go.kr/web/ar/lu/luLandDet.jsp?pnu=4311325031110830000&amp;isNoScr=script&amp;mode=search", "토지이음")</f>
        <v/>
      </c>
      <c r="S811" s="3" t="inlineStr">
        <is>
          <t>프로</t>
        </is>
      </c>
      <c r="T811" s="4" t="n">
        <v>1</v>
      </c>
      <c r="U811" s="5" t="n">
        <v>208.1</v>
      </c>
      <c r="V811" s="4" t="n">
        <v>240.8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1086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12000</v>
      </c>
      <c r="H812" s="4" t="n">
        <v>0</v>
      </c>
      <c r="I812" s="4" t="n">
        <v>50</v>
      </c>
      <c r="J812" s="4" t="n">
        <v>15</v>
      </c>
      <c r="K812" s="5" t="n">
        <v>800</v>
      </c>
      <c r="L812" s="4" t="n">
        <v>50</v>
      </c>
      <c r="M812" s="4" t="n">
        <v>15</v>
      </c>
      <c r="N812" s="5" t="n">
        <v>800</v>
      </c>
      <c r="O812" s="3" t="inlineStr">
        <is>
          <t>중심상권 근접.깔끔하고 예쁜 투룸.</t>
        </is>
      </c>
      <c r="P812" s="6">
        <f>HYPERLINK("https://fin.land.naver.com/articles/2654570258", "매물Link")</f>
        <v/>
      </c>
      <c r="Q812" s="6">
        <f>HYPERLINK("https://map.naver.com/p/search/오송읍 봉산리 1086", "지도Link")</f>
        <v/>
      </c>
      <c r="R812" s="6">
        <f>HYPERLINK("http://www.eum.go.kr/web/ar/lu/luLandDet.jsp?pnu=4311325031110860000&amp;isNoScr=script&amp;mode=search", "토지이음")</f>
        <v/>
      </c>
      <c r="S812" s="3" t="inlineStr">
        <is>
          <t>이룸</t>
        </is>
      </c>
      <c r="T812" s="4" t="n">
        <v>2</v>
      </c>
      <c r="U812" s="5" t="n">
        <v>208.1</v>
      </c>
      <c r="V812" s="4" t="n">
        <v>240.9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1086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전세</t>
        </is>
      </c>
      <c r="G813" s="4" t="n">
        <v>12000</v>
      </c>
      <c r="H813" s="4" t="n">
        <v>0</v>
      </c>
      <c r="I813" s="4" t="n">
        <v>128</v>
      </c>
      <c r="J813" s="4" t="n">
        <v>39</v>
      </c>
      <c r="K813" s="5" t="n">
        <v>307.7</v>
      </c>
      <c r="L813" s="4" t="n">
        <v>50</v>
      </c>
      <c r="M813" s="4" t="n">
        <v>15</v>
      </c>
      <c r="N813" s="5" t="n">
        <v>800</v>
      </c>
      <c r="O813" s="3" t="inlineStr">
        <is>
          <t>강추.버팀목대출가능한귀한전세투룸.11월9일입주가능.퀸침대받고책상까지가능</t>
        </is>
      </c>
      <c r="P813" s="6">
        <f>HYPERLINK("https://fin.land.naver.com/articles/2654865008", "매물Link")</f>
        <v/>
      </c>
      <c r="Q813" s="6">
        <f>HYPERLINK("https://map.naver.com/p/search/오송읍 봉산리 1086", "지도Link")</f>
        <v/>
      </c>
      <c r="R813" s="6">
        <f>HYPERLINK("http://www.eum.go.kr/web/ar/lu/luLandDet.jsp?pnu=4311325031110860000&amp;isNoScr=script&amp;mode=search", "토지이음")</f>
        <v/>
      </c>
      <c r="S813" s="3" t="inlineStr">
        <is>
          <t>태원</t>
        </is>
      </c>
      <c r="T813" s="4" t="n">
        <v>1</v>
      </c>
      <c r="U813" s="5" t="n">
        <v>208.1</v>
      </c>
      <c r="V813" s="4" t="n">
        <v>240.9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1091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500</v>
      </c>
      <c r="H814" s="4" t="n">
        <v>50</v>
      </c>
      <c r="I814" s="4" t="n">
        <v>0</v>
      </c>
      <c r="J814" s="4" t="n">
        <v>0</v>
      </c>
      <c r="K814" s="5" t="n">
        <v>0</v>
      </c>
      <c r="L814" s="4" t="n">
        <v>22</v>
      </c>
      <c r="M814" s="4" t="n">
        <v>7</v>
      </c>
      <c r="N814" s="5" t="n">
        <v>7.1</v>
      </c>
      <c r="O814" s="3" t="inlineStr">
        <is>
          <t>귀한 신축 분리형 원룸 즉시입주 가능</t>
        </is>
      </c>
      <c r="P814" s="6">
        <f>HYPERLINK("https://fin.land.naver.com/articles/2653878621", "매물Link")</f>
        <v/>
      </c>
      <c r="Q814" s="6">
        <f>HYPERLINK("https://map.naver.com/p/search/오송읍 봉산리 1091", "지도Link")</f>
        <v/>
      </c>
      <c r="R814" s="6">
        <f>HYPERLINK("http://www.eum.go.kr/web/ar/lu/luLandDet.jsp?pnu=4311325031110910000&amp;isNoScr=script&amp;mode=search", "토지이음")</f>
        <v/>
      </c>
      <c r="S814" s="3" t="inlineStr">
        <is>
          <t>오송바이오창조</t>
        </is>
      </c>
      <c r="T814" s="4" t="n">
        <v>1</v>
      </c>
      <c r="U814" s="5" t="n">
        <v>208.1</v>
      </c>
      <c r="V814" s="4" t="n">
        <v>240.9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1099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500</v>
      </c>
      <c r="H815" s="4" t="n">
        <v>50</v>
      </c>
      <c r="I815" s="4" t="n">
        <v>0</v>
      </c>
      <c r="J815" s="4" t="n">
        <v>0</v>
      </c>
      <c r="K815" s="5" t="n">
        <v>0</v>
      </c>
      <c r="L815" s="4" t="n">
        <v>23</v>
      </c>
      <c r="M815" s="4" t="n">
        <v>7</v>
      </c>
      <c r="N815" s="5" t="n">
        <v>7.1</v>
      </c>
      <c r="O815" s="3" t="inlineStr">
        <is>
          <t>풀옵션 신축 대형 원룸 월세, 통창 막힘없는 뷰 개방감좋음,베란다있음</t>
        </is>
      </c>
      <c r="P815" s="6">
        <f>HYPERLINK("https://fin.land.naver.com/articles/2652829263", "매물Link")</f>
        <v/>
      </c>
      <c r="Q815" s="6">
        <f>HYPERLINK("https://map.naver.com/p/search/오송읍 봉산리 1099", "지도Link")</f>
        <v/>
      </c>
      <c r="R815" s="6">
        <f>HYPERLINK("http://www.eum.go.kr/web/ar/lu/luLandDet.jsp?pnu=4311325031110990000&amp;isNoScr=script&amp;mode=search", "토지이음")</f>
        <v/>
      </c>
      <c r="S815" s="3" t="inlineStr">
        <is>
          <t>오송바이오창조</t>
        </is>
      </c>
      <c r="T815" s="4" t="n">
        <v>1</v>
      </c>
      <c r="U815" s="5" t="n">
        <v>220.6</v>
      </c>
      <c r="V815" s="4" t="n">
        <v>234.6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1100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다가구</t>
        </is>
      </c>
      <c r="F816" s="3" t="inlineStr">
        <is>
          <t>매매</t>
        </is>
      </c>
      <c r="G816" s="4" t="n">
        <v>118000</v>
      </c>
      <c r="H816" s="4" t="n">
        <v>0</v>
      </c>
      <c r="I816" s="4" t="n">
        <v>240</v>
      </c>
      <c r="J816" s="4" t="n">
        <v>73</v>
      </c>
      <c r="K816" s="5" t="n">
        <v>1616.4</v>
      </c>
      <c r="L816" s="4" t="n">
        <v>383</v>
      </c>
      <c r="M816" s="4" t="n">
        <v>116</v>
      </c>
      <c r="N816" s="5" t="n">
        <v>1017.2</v>
      </c>
      <c r="O816" s="3" t="inlineStr">
        <is>
          <t>급매물, 먹자상권 수익률좋은 다가구주택,주인세대거주가능</t>
        </is>
      </c>
      <c r="P816" s="6">
        <f>HYPERLINK("https://fin.land.naver.com/articles/2653786060", "매물Link")</f>
        <v/>
      </c>
      <c r="Q816" s="6">
        <f>HYPERLINK("https://map.naver.com/p/search/오송읍 봉산리 1100", "지도Link")</f>
        <v/>
      </c>
      <c r="R816" s="6">
        <f>HYPERLINK("http://www.eum.go.kr/web/ar/lu/luLandDet.jsp?pnu=4311325031111000000&amp;isNoScr=script&amp;mode=search", "토지이음")</f>
        <v/>
      </c>
      <c r="S816" s="3" t="inlineStr">
        <is>
          <t>오송올래</t>
        </is>
      </c>
      <c r="T816" s="4" t="n">
        <v>1</v>
      </c>
      <c r="U816" s="5" t="n">
        <v>208.1</v>
      </c>
      <c r="V816" s="4" t="n">
        <v>240.4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1100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118000</v>
      </c>
      <c r="H817" s="4" t="n">
        <v>0</v>
      </c>
      <c r="I817" s="4" t="n">
        <v>240</v>
      </c>
      <c r="J817" s="4" t="n">
        <v>73</v>
      </c>
      <c r="K817" s="5" t="n">
        <v>1616.4</v>
      </c>
      <c r="L817" s="4" t="n">
        <v>383</v>
      </c>
      <c r="M817" s="4" t="n">
        <v>116</v>
      </c>
      <c r="N817" s="5" t="n">
        <v>1017.2</v>
      </c>
      <c r="O817" s="3" t="inlineStr">
        <is>
          <t>역세권 인프라. 슬세권 상가주택. 임대세대 리모델링</t>
        </is>
      </c>
      <c r="P817" s="6">
        <f>HYPERLINK("https://fin.land.naver.com/articles/2651757739", "매물Link")</f>
        <v/>
      </c>
      <c r="Q817" s="6">
        <f>HYPERLINK("https://map.naver.com/p/search/오송읍 봉산리 1100", "지도Link")</f>
        <v/>
      </c>
      <c r="R817" s="6">
        <f>HYPERLINK("http://www.eum.go.kr/web/ar/lu/luLandDet.jsp?pnu=4311325031111000000&amp;isNoScr=script&amp;mode=search", "토지이음")</f>
        <v/>
      </c>
      <c r="S817" s="3" t="inlineStr">
        <is>
          <t>프로</t>
        </is>
      </c>
      <c r="T817" s="4" t="n">
        <v>1</v>
      </c>
      <c r="U817" s="5" t="n">
        <v>208.1</v>
      </c>
      <c r="V817" s="4" t="n">
        <v>240.4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1100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상가주택</t>
        </is>
      </c>
      <c r="F818" s="3" t="inlineStr">
        <is>
          <t>매매</t>
        </is>
      </c>
      <c r="G818" s="4" t="n">
        <v>118000</v>
      </c>
      <c r="H818" s="4" t="n">
        <v>0</v>
      </c>
      <c r="I818" s="4" t="n">
        <v>240</v>
      </c>
      <c r="J818" s="4" t="n">
        <v>73</v>
      </c>
      <c r="K818" s="5" t="n">
        <v>1616.4</v>
      </c>
      <c r="L818" s="4" t="n">
        <v>383</v>
      </c>
      <c r="M818" s="4" t="n">
        <v>116</v>
      </c>
      <c r="N818" s="5" t="n">
        <v>1017.2</v>
      </c>
      <c r="O818" s="3" t="inlineStr">
        <is>
          <t>가격이 선물. 입지는 덤. KTX 역세권.</t>
        </is>
      </c>
      <c r="P818" s="6">
        <f>HYPERLINK("https://fin.land.naver.com/articles/2654121876", "매물Link")</f>
        <v/>
      </c>
      <c r="Q818" s="6">
        <f>HYPERLINK("https://map.naver.com/p/search/오송읍 봉산리 1100", "지도Link")</f>
        <v/>
      </c>
      <c r="R818" s="6">
        <f>HYPERLINK("http://www.eum.go.kr/web/ar/lu/luLandDet.jsp?pnu=4311325031111000000&amp;isNoScr=script&amp;mode=search", "토지이음")</f>
        <v/>
      </c>
      <c r="S818" s="3" t="inlineStr">
        <is>
          <t>당근플러스</t>
        </is>
      </c>
      <c r="T818" s="4" t="n">
        <v>1</v>
      </c>
      <c r="U818" s="5" t="n">
        <v>208.1</v>
      </c>
      <c r="V818" s="4" t="n">
        <v>240.4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1105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55</v>
      </c>
      <c r="I819" s="4" t="n">
        <v>33</v>
      </c>
      <c r="J819" s="4" t="n">
        <v>10</v>
      </c>
      <c r="K819" s="5" t="n">
        <v>5.5</v>
      </c>
      <c r="L819" s="4" t="n">
        <v>33</v>
      </c>
      <c r="M819" s="4" t="n">
        <v>10</v>
      </c>
      <c r="N819" s="5" t="n">
        <v>5.5</v>
      </c>
      <c r="O819" s="3" t="inlineStr">
        <is>
          <t>오송2단 인테리어 가장 예쁜 투베이 풀옵션 중문있고 수납장 완비</t>
        </is>
      </c>
      <c r="P819" s="6">
        <f>HYPERLINK("https://fin.land.naver.com/articles/2651797659", "매물Link")</f>
        <v/>
      </c>
      <c r="Q819" s="6">
        <f>HYPERLINK("https://map.naver.com/p/search/오송읍 봉산리 1105", "지도Link")</f>
        <v/>
      </c>
      <c r="R819" s="6">
        <f>HYPERLINK("http://www.eum.go.kr/web/ar/lu/luLandDet.jsp?pnu=4311325031111050000&amp;isNoScr=script&amp;mode=search", "토지이음")</f>
        <v/>
      </c>
      <c r="S819" s="3" t="inlineStr">
        <is>
          <t>스케치</t>
        </is>
      </c>
      <c r="T819" s="4" t="n">
        <v>1</v>
      </c>
      <c r="U819" s="5" t="n">
        <v>208.1</v>
      </c>
      <c r="V819" s="4" t="n">
        <v>240.9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1111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4</t>
        </is>
      </c>
      <c r="E820" s="3" t="inlineStr">
        <is>
          <t>상가주택</t>
        </is>
      </c>
      <c r="F820" s="3" t="inlineStr">
        <is>
          <t>매매</t>
        </is>
      </c>
      <c r="G820" s="4" t="n">
        <v>145000</v>
      </c>
      <c r="H820" s="4" t="n">
        <v>0</v>
      </c>
      <c r="I820" s="4" t="n">
        <v>240</v>
      </c>
      <c r="J820" s="4" t="n">
        <v>73</v>
      </c>
      <c r="K820" s="5" t="n">
        <v>1986.3</v>
      </c>
      <c r="L820" s="4" t="n">
        <v>474</v>
      </c>
      <c r="M820" s="4" t="n">
        <v>143</v>
      </c>
      <c r="N820" s="5" t="n">
        <v>1014</v>
      </c>
      <c r="O820" s="3" t="inlineStr">
        <is>
          <t>학생 및 직장인 수요 많은 위치</t>
        </is>
      </c>
      <c r="P820" s="6">
        <f>HYPERLINK("https://fin.land.naver.com/articles/2652536245", "매물Link")</f>
        <v/>
      </c>
      <c r="Q820" s="6">
        <f>HYPERLINK("https://map.naver.com/p/search/오송읍 봉산리 1111", "지도Link")</f>
        <v/>
      </c>
      <c r="R820" s="6">
        <f>HYPERLINK("http://www.eum.go.kr/web/ar/lu/luLandDet.jsp?pnu=4311325031111110000&amp;isNoScr=script&amp;mode=search", "토지이음")</f>
        <v/>
      </c>
      <c r="S820" s="3" t="inlineStr">
        <is>
          <t>노른자</t>
        </is>
      </c>
      <c r="T820" s="4" t="n">
        <v>1</v>
      </c>
      <c r="U820" s="5" t="n">
        <v>208.1</v>
      </c>
      <c r="V820" s="4" t="n">
        <v>240.9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1111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상가주택</t>
        </is>
      </c>
      <c r="F821" s="3" t="inlineStr">
        <is>
          <t>매매</t>
        </is>
      </c>
      <c r="G821" s="4" t="n">
        <v>138000</v>
      </c>
      <c r="H821" s="4" t="n">
        <v>0</v>
      </c>
      <c r="I821" s="4" t="n">
        <v>240</v>
      </c>
      <c r="J821" s="4" t="n">
        <v>73</v>
      </c>
      <c r="K821" s="5" t="n">
        <v>1890.4</v>
      </c>
      <c r="L821" s="4" t="n">
        <v>474</v>
      </c>
      <c r="M821" s="4" t="n">
        <v>143</v>
      </c>
      <c r="N821" s="5" t="n">
        <v>965</v>
      </c>
      <c r="O821" s="3" t="inlineStr">
        <is>
          <t>신축 승강시O 주인세대 거주하며 월세수익 400만원 가능</t>
        </is>
      </c>
      <c r="P821" s="6">
        <f>HYPERLINK("https://fin.land.naver.com/articles/2651798309", "매물Link")</f>
        <v/>
      </c>
      <c r="Q821" s="6">
        <f>HYPERLINK("https://map.naver.com/p/search/오송읍 봉산리 1111", "지도Link")</f>
        <v/>
      </c>
      <c r="R821" s="6">
        <f>HYPERLINK("http://www.eum.go.kr/web/ar/lu/luLandDet.jsp?pnu=4311325031111110000&amp;isNoScr=script&amp;mode=search", "토지이음")</f>
        <v/>
      </c>
      <c r="S821" s="3" t="inlineStr">
        <is>
          <t>미래n</t>
        </is>
      </c>
      <c r="T821" s="4" t="n">
        <v>1</v>
      </c>
      <c r="U821" s="5" t="n">
        <v>208.1</v>
      </c>
      <c r="V821" s="4" t="n">
        <v>240.9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1111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1</t>
        </is>
      </c>
      <c r="E822" s="3" t="inlineStr">
        <is>
          <t>상가주택</t>
        </is>
      </c>
      <c r="F822" s="3" t="inlineStr">
        <is>
          <t>매매</t>
        </is>
      </c>
      <c r="G822" s="4" t="n">
        <v>138000</v>
      </c>
      <c r="H822" s="4" t="n">
        <v>0</v>
      </c>
      <c r="I822" s="4" t="n">
        <v>240</v>
      </c>
      <c r="J822" s="4" t="n">
        <v>73</v>
      </c>
      <c r="K822" s="5" t="n">
        <v>1890.4</v>
      </c>
      <c r="L822" s="4" t="n">
        <v>474</v>
      </c>
      <c r="M822" s="4" t="n">
        <v>143</v>
      </c>
      <c r="N822" s="5" t="n">
        <v>965</v>
      </c>
      <c r="O822" s="3" t="inlineStr">
        <is>
          <t>일괄매매 오송역세권으로 인프라좋고 주변편의시설확충  신축상가주택매매</t>
        </is>
      </c>
      <c r="P822" s="6">
        <f>HYPERLINK("https://fin.land.naver.com/articles/2652812602", "매물Link")</f>
        <v/>
      </c>
      <c r="Q822" s="6">
        <f>HYPERLINK("https://map.naver.com/p/search/오송읍 봉산리 1111", "지도Link")</f>
        <v/>
      </c>
      <c r="R822" s="6">
        <f>HYPERLINK("http://www.eum.go.kr/web/ar/lu/luLandDet.jsp?pnu=4311325031111110000&amp;isNoScr=script&amp;mode=search", "토지이음")</f>
        <v/>
      </c>
      <c r="S822" s="3" t="inlineStr">
        <is>
          <t>하림</t>
        </is>
      </c>
      <c r="T822" s="4" t="n">
        <v>2</v>
      </c>
      <c r="U822" s="5" t="n">
        <v>208.1</v>
      </c>
      <c r="V822" s="4" t="n">
        <v>240.9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1111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4</t>
        </is>
      </c>
      <c r="E823" s="3" t="inlineStr">
        <is>
          <t>다가구</t>
        </is>
      </c>
      <c r="F823" s="3" t="inlineStr">
        <is>
          <t>매매</t>
        </is>
      </c>
      <c r="G823" s="4" t="n">
        <v>145000</v>
      </c>
      <c r="H823" s="4" t="n">
        <v>0</v>
      </c>
      <c r="I823" s="4" t="n">
        <v>240</v>
      </c>
      <c r="J823" s="4" t="n">
        <v>73</v>
      </c>
      <c r="K823" s="5" t="n">
        <v>1986.3</v>
      </c>
      <c r="L823" s="4" t="n">
        <v>474</v>
      </c>
      <c r="M823" s="4" t="n">
        <v>143</v>
      </c>
      <c r="N823" s="5" t="n">
        <v>1014</v>
      </c>
      <c r="O823" s="3" t="inlineStr">
        <is>
          <t>올해 준공된 신축 먹자골목 내 수익률 좋은 상가 주택</t>
        </is>
      </c>
      <c r="P823" s="6">
        <f>HYPERLINK("https://fin.land.naver.com/articles/2650588323", "매물Link")</f>
        <v/>
      </c>
      <c r="Q823" s="6">
        <f>HYPERLINK("https://map.naver.com/p/search/오송읍 봉산리 1111", "지도Link")</f>
        <v/>
      </c>
      <c r="R823" s="6">
        <f>HYPERLINK("http://www.eum.go.kr/web/ar/lu/luLandDet.jsp?pnu=4311325031111110000&amp;isNoScr=script&amp;mode=search", "토지이음")</f>
        <v/>
      </c>
      <c r="S823" s="3" t="inlineStr">
        <is>
          <t>아시아</t>
        </is>
      </c>
      <c r="T823" s="4" t="n">
        <v>1</v>
      </c>
      <c r="U823" s="5" t="n">
        <v>208.1</v>
      </c>
      <c r="V823" s="4" t="n">
        <v>240.9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1111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상가주택</t>
        </is>
      </c>
      <c r="F824" s="3" t="inlineStr">
        <is>
          <t>매매</t>
        </is>
      </c>
      <c r="G824" s="4" t="n">
        <v>138000</v>
      </c>
      <c r="H824" s="4" t="n">
        <v>0</v>
      </c>
      <c r="I824" s="4" t="n">
        <v>240</v>
      </c>
      <c r="J824" s="4" t="n">
        <v>73</v>
      </c>
      <c r="K824" s="5" t="n">
        <v>1890.4</v>
      </c>
      <c r="L824" s="4" t="n">
        <v>474</v>
      </c>
      <c r="M824" s="4" t="n">
        <v>143</v>
      </c>
      <c r="N824" s="5" t="n">
        <v>965</v>
      </c>
      <c r="O824" s="3" t="inlineStr">
        <is>
          <t>급매 신축 원룸건물, 수익률 잘나와요, 중심상가 인근, 상가 직접사용가능</t>
        </is>
      </c>
      <c r="P824" s="6">
        <f>HYPERLINK("https://fin.land.naver.com/articles/2655349838", "매물Link")</f>
        <v/>
      </c>
      <c r="Q824" s="6">
        <f>HYPERLINK("https://map.naver.com/p/search/오송읍 봉산리 1111", "지도Link")</f>
        <v/>
      </c>
      <c r="R824" s="6">
        <f>HYPERLINK("http://www.eum.go.kr/web/ar/lu/luLandDet.jsp?pnu=4311325031111110000&amp;isNoScr=script&amp;mode=search",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1113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2</t>
        </is>
      </c>
      <c r="E825" s="3" t="inlineStr">
        <is>
          <t>다가구</t>
        </is>
      </c>
      <c r="F825" s="3" t="inlineStr">
        <is>
          <t>월세</t>
        </is>
      </c>
      <c r="G825" s="4" t="n">
        <v>1000</v>
      </c>
      <c r="H825" s="4" t="n">
        <v>55</v>
      </c>
      <c r="I825" s="4" t="n">
        <v>134</v>
      </c>
      <c r="J825" s="4" t="n">
        <v>41</v>
      </c>
      <c r="K825" s="5" t="n">
        <v>1.3</v>
      </c>
      <c r="L825" s="4" t="n">
        <v>31</v>
      </c>
      <c r="M825" s="4" t="n">
        <v>9</v>
      </c>
      <c r="N825" s="5" t="n">
        <v>6.1</v>
      </c>
      <c r="O825" s="3" t="inlineStr">
        <is>
          <t>신축투베이 오송역세권10분 인프라좋고 주변편의시설확충 통근버스측근거리</t>
        </is>
      </c>
      <c r="P825" s="6">
        <f>HYPERLINK("https://fin.land.naver.com/articles/2650950089", "매물Link")</f>
        <v/>
      </c>
      <c r="Q825" s="6">
        <f>HYPERLINK("https://map.naver.com/p/search/오송읍 봉산리 1113", "지도Link")</f>
        <v/>
      </c>
      <c r="R825" s="6">
        <f>HYPERLINK("http://www.eum.go.kr/web/ar/lu/luLandDet.jsp?pnu=4311325031111130000&amp;isNoScr=script&amp;mode=search", "토지이음")</f>
        <v/>
      </c>
      <c r="S825" s="3" t="inlineStr">
        <is>
          <t>하림</t>
        </is>
      </c>
      <c r="T825" s="4" t="n">
        <v>1</v>
      </c>
      <c r="U825" s="5" t="n">
        <v>208.1</v>
      </c>
      <c r="V825" s="4" t="n">
        <v>241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1114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162000</v>
      </c>
      <c r="H826" s="4" t="n">
        <v>0</v>
      </c>
      <c r="I826" s="4" t="n">
        <v>248</v>
      </c>
      <c r="J826" s="4" t="n">
        <v>75</v>
      </c>
      <c r="K826" s="5" t="n">
        <v>2160</v>
      </c>
      <c r="L826" s="4" t="n">
        <v>480</v>
      </c>
      <c r="M826" s="4" t="n">
        <v>145</v>
      </c>
      <c r="N826" s="5" t="n">
        <v>1117.2</v>
      </c>
      <c r="O826" s="3" t="inlineStr">
        <is>
          <t>중심 먹자골목에 위치한 매물</t>
        </is>
      </c>
      <c r="P826" s="6">
        <f>HYPERLINK("https://fin.land.naver.com/articles/2655167933", "매물Link")</f>
        <v/>
      </c>
      <c r="Q826" s="6">
        <f>HYPERLINK("https://map.naver.com/p/search/오송읍 봉산리 1114", "지도Link")</f>
        <v/>
      </c>
      <c r="R826" s="6">
        <f>HYPERLINK("http://www.eum.go.kr/web/ar/lu/luLandDet.jsp?pnu=4311325031111140000&amp;isNoScr=script&amp;mode=search", "토지이음")</f>
        <v/>
      </c>
      <c r="S826" s="3" t="inlineStr">
        <is>
          <t>오송2단지창조</t>
        </is>
      </c>
      <c r="T826" s="4" t="n">
        <v>1</v>
      </c>
      <c r="U826" s="5" t="n">
        <v>308.5</v>
      </c>
      <c r="V826" s="4" t="n">
        <v>247.7</v>
      </c>
      <c r="W826" s="3" t="inlineStr">
        <is>
          <t>지정되지않음</t>
        </is>
      </c>
      <c r="X826" s="3" t="inlineStr">
        <is>
          <t>주상기타</t>
        </is>
      </c>
      <c r="Y826" s="3" t="inlineStr">
        <is>
          <t>평지</t>
        </is>
      </c>
      <c r="Z826" s="3" t="inlineStr">
        <is>
          <t>정방형</t>
        </is>
      </c>
      <c r="AA826" s="3" t="inlineStr">
        <is>
          <t>중로각지</t>
        </is>
      </c>
    </row>
    <row r="827">
      <c r="A827" s="3" t="inlineStr">
        <is>
          <t>오송읍 봉산리 1114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162000</v>
      </c>
      <c r="H827" s="4" t="n">
        <v>0</v>
      </c>
      <c r="I827" s="4" t="n">
        <v>248</v>
      </c>
      <c r="J827" s="4" t="n">
        <v>75</v>
      </c>
      <c r="K827" s="5" t="n">
        <v>2160</v>
      </c>
      <c r="L827" s="4" t="n">
        <v>480</v>
      </c>
      <c r="M827" s="4" t="n">
        <v>145</v>
      </c>
      <c r="N827" s="5" t="n">
        <v>1117.2</v>
      </c>
      <c r="O827" s="3" t="inlineStr">
        <is>
          <t>3면 코너각지 입지좋은 상가주택</t>
        </is>
      </c>
      <c r="P827" s="6">
        <f>HYPERLINK("https://fin.land.naver.com/articles/2652484166", "매물Link")</f>
        <v/>
      </c>
      <c r="Q827" s="6">
        <f>HYPERLINK("https://map.naver.com/p/search/오송읍 봉산리 1114", "지도Link")</f>
        <v/>
      </c>
      <c r="R827" s="6">
        <f>HYPERLINK("http://www.eum.go.kr/web/ar/lu/luLandDet.jsp?pnu=4311325031111140000&amp;isNoScr=script&amp;mode=search", "토지이음")</f>
        <v/>
      </c>
      <c r="S827" s="3" t="inlineStr">
        <is>
          <t>오송1단지창조</t>
        </is>
      </c>
      <c r="T827" s="4" t="n">
        <v>1</v>
      </c>
      <c r="U827" s="5" t="n">
        <v>308.5</v>
      </c>
      <c r="V827" s="4" t="n">
        <v>247.7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정방형</t>
        </is>
      </c>
      <c r="AA827" s="3" t="inlineStr">
        <is>
          <t>중로각지</t>
        </is>
      </c>
    </row>
    <row r="828">
      <c r="A828" s="3" t="inlineStr">
        <is>
          <t>오송읍 봉산리 1114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162000</v>
      </c>
      <c r="H828" s="4" t="n">
        <v>0</v>
      </c>
      <c r="I828" s="4" t="n">
        <v>248</v>
      </c>
      <c r="J828" s="4" t="n">
        <v>75</v>
      </c>
      <c r="K828" s="5" t="n">
        <v>2160</v>
      </c>
      <c r="L828" s="4" t="n">
        <v>480</v>
      </c>
      <c r="M828" s="4" t="n">
        <v>145</v>
      </c>
      <c r="N828" s="5" t="n">
        <v>1117.2</v>
      </c>
      <c r="O828" s="3" t="inlineStr">
        <is>
          <t>중심 먹자골목에 위치한 매물</t>
        </is>
      </c>
      <c r="P828" s="6">
        <f>HYPERLINK("https://fin.land.naver.com/articles/2651109424", "매물Link")</f>
        <v/>
      </c>
      <c r="Q828" s="6">
        <f>HYPERLINK("https://map.naver.com/p/search/오송읍 봉산리 1114", "지도Link")</f>
        <v/>
      </c>
      <c r="R828" s="6">
        <f>HYPERLINK("http://www.eum.go.kr/web/ar/lu/luLandDet.jsp?pnu=4311325031111140000&amp;isNoScr=script&amp;mode=search", "토지이음")</f>
        <v/>
      </c>
      <c r="S828" s="3" t="inlineStr">
        <is>
          <t>오송2단지창조</t>
        </is>
      </c>
      <c r="T828" s="4" t="n">
        <v>1</v>
      </c>
      <c r="U828" s="5" t="n">
        <v>308.5</v>
      </c>
      <c r="V828" s="4" t="n">
        <v>247.7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정방형</t>
        </is>
      </c>
      <c r="AA828" s="3" t="inlineStr">
        <is>
          <t>중로각지</t>
        </is>
      </c>
    </row>
    <row r="829">
      <c r="A829" s="3" t="inlineStr">
        <is>
          <t>오송읍 봉산리 1114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다가구</t>
        </is>
      </c>
      <c r="F829" s="3" t="inlineStr">
        <is>
          <t>월세</t>
        </is>
      </c>
      <c r="G829" s="4" t="n">
        <v>1000</v>
      </c>
      <c r="H829" s="4" t="n">
        <v>75</v>
      </c>
      <c r="I829" s="4" t="n">
        <v>0</v>
      </c>
      <c r="J829" s="4" t="n">
        <v>0</v>
      </c>
      <c r="K829" s="5" t="n">
        <v>0</v>
      </c>
      <c r="L829" s="4" t="n">
        <v>47</v>
      </c>
      <c r="M829" s="4" t="n">
        <v>14</v>
      </c>
      <c r="N829" s="5" t="n">
        <v>5.4</v>
      </c>
      <c r="O829" s="3" t="inlineStr">
        <is>
          <t>쓰리룸사이즈 오송에서 가장 넓은 투룸 11월중 입주가능</t>
        </is>
      </c>
      <c r="P829" s="6">
        <f>HYPERLINK("https://fin.land.naver.com/articles/2654325338", "매물Link")</f>
        <v/>
      </c>
      <c r="Q829" s="6">
        <f>HYPERLINK("https://map.naver.com/p/search/오송읍 봉산리 1114", "지도Link")</f>
        <v/>
      </c>
      <c r="R829" s="6">
        <f>HYPERLINK("http://www.eum.go.kr/web/ar/lu/luLandDet.jsp?pnu=4311325031111140000&amp;isNoScr=script&amp;mode=search",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308.5</v>
      </c>
      <c r="V829" s="4" t="n">
        <v>247.7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정방형</t>
        </is>
      </c>
      <c r="AA829" s="3" t="inlineStr">
        <is>
          <t>중로각지</t>
        </is>
      </c>
    </row>
    <row r="830">
      <c r="A830" s="3" t="inlineStr">
        <is>
          <t>오송읍 봉산리 1114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50</v>
      </c>
      <c r="I830" s="4" t="n">
        <v>0</v>
      </c>
      <c r="J830" s="4" t="n">
        <v>0</v>
      </c>
      <c r="K830" s="5" t="n">
        <v>0</v>
      </c>
      <c r="L830" s="4" t="n">
        <v>20</v>
      </c>
      <c r="M830" s="4" t="n">
        <v>6</v>
      </c>
      <c r="N830" s="5" t="n">
        <v>8.300000000000001</v>
      </c>
      <c r="O830" s="3" t="inlineStr">
        <is>
          <t>즉시입주 가능 2단지 신축 원룸 월세 ,컨디션 최상급, 원룸 소진 빨라요</t>
        </is>
      </c>
      <c r="P830" s="6">
        <f>HYPERLINK("https://fin.land.naver.com/articles/2652406339", "매물Link")</f>
        <v/>
      </c>
      <c r="Q830" s="6">
        <f>HYPERLINK("https://map.naver.com/p/search/오송읍 봉산리 1114", "지도Link")</f>
        <v/>
      </c>
      <c r="R830" s="6">
        <f>HYPERLINK("http://www.eum.go.kr/web/ar/lu/luLandDet.jsp?pnu=4311325031111140000&amp;isNoScr=script&amp;mode=search",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308.5</v>
      </c>
      <c r="V830" s="4" t="n">
        <v>247.7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1120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126</v>
      </c>
      <c r="J831" s="4" t="n">
        <v>38</v>
      </c>
      <c r="K831" s="5" t="n">
        <v>1.3</v>
      </c>
      <c r="L831" s="4" t="n">
        <v>20</v>
      </c>
      <c r="M831" s="4" t="n">
        <v>6</v>
      </c>
      <c r="N831" s="5" t="n">
        <v>8.300000000000001</v>
      </c>
      <c r="O831" s="3" t="inlineStr">
        <is>
          <t>햇빛과 통풍이 잘드는집 오송역세권으로 인프라좋고 주변편의시설확충</t>
        </is>
      </c>
      <c r="P831" s="6">
        <f>HYPERLINK("https://fin.land.naver.com/articles/2652596008", "매물Link")</f>
        <v/>
      </c>
      <c r="Q831" s="6">
        <f>HYPERLINK("https://map.naver.com/p/search/오송읍 봉산리 1120", "지도Link")</f>
        <v/>
      </c>
      <c r="R831" s="6">
        <f>HYPERLINK("http://www.eum.go.kr/web/ar/lu/luLandDet.jsp?pnu=4311325031111200000&amp;isNoScr=script&amp;mode=search", "토지이음")</f>
        <v/>
      </c>
      <c r="S831" s="3" t="inlineStr">
        <is>
          <t>하림</t>
        </is>
      </c>
      <c r="T831" s="4" t="n">
        <v>1</v>
      </c>
      <c r="U831" s="5" t="n">
        <v>220.6</v>
      </c>
      <c r="V831" s="4" t="n">
        <v>234.7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1127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210000</v>
      </c>
      <c r="H832" s="4" t="n">
        <v>0</v>
      </c>
      <c r="I832" s="4" t="n">
        <v>248</v>
      </c>
      <c r="J832" s="4" t="n">
        <v>75</v>
      </c>
      <c r="K832" s="5" t="n">
        <v>2800</v>
      </c>
      <c r="L832" s="4" t="n">
        <v>496</v>
      </c>
      <c r="M832" s="4" t="n">
        <v>150</v>
      </c>
      <c r="N832" s="5" t="n">
        <v>1400</v>
      </c>
      <c r="O832" s="3" t="inlineStr">
        <is>
          <t>신축단지 초중심 사거리 코너, 인테리어 되어있어요. 보면 반할집</t>
        </is>
      </c>
      <c r="P832" s="6">
        <f>HYPERLINK("https://fin.land.naver.com/articles/2653992108", "매물Link")</f>
        <v/>
      </c>
      <c r="Q832" s="6">
        <f>HYPERLINK("https://map.naver.com/p/search/오송읍 봉산리 1127", "지도Link")</f>
        <v/>
      </c>
      <c r="R832" s="6">
        <f>HYPERLINK("http://www.eum.go.kr/web/ar/lu/luLandDet.jsp?pnu=4311325031111270000&amp;isNoScr=script&amp;mode=search",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340.5</v>
      </c>
      <c r="V832" s="4" t="n">
        <v>248.7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중로각지</t>
        </is>
      </c>
    </row>
    <row r="833">
      <c r="A833" s="3" t="inlineStr">
        <is>
          <t>오송읍 봉산리 1127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210000</v>
      </c>
      <c r="H833" s="4" t="n">
        <v>0</v>
      </c>
      <c r="I833" s="4" t="n">
        <v>248</v>
      </c>
      <c r="J833" s="4" t="n">
        <v>75</v>
      </c>
      <c r="K833" s="5" t="n">
        <v>2800</v>
      </c>
      <c r="L833" s="4" t="n">
        <v>447</v>
      </c>
      <c r="M833" s="4" t="n">
        <v>135</v>
      </c>
      <c r="N833" s="5" t="n">
        <v>1555.6</v>
      </c>
      <c r="O833" s="3" t="inlineStr">
        <is>
          <t>오송2산단 메인상권 핵심사거리 3면 코너, 수익률 양호한 상가주택</t>
        </is>
      </c>
      <c r="P833" s="6">
        <f>HYPERLINK("https://fin.land.naver.com/articles/2655277781", "매물Link")</f>
        <v/>
      </c>
      <c r="Q833" s="6">
        <f>HYPERLINK("https://map.naver.com/p/search/오송읍 봉산리 1127", "지도Link")</f>
        <v/>
      </c>
      <c r="R833" s="6">
        <f>HYPERLINK("http://www.eum.go.kr/web/ar/lu/luLandDet.jsp?pnu=4311325031111270000&amp;isNoScr=script&amp;mode=search", "토지이음")</f>
        <v/>
      </c>
      <c r="S833" s="3" t="inlineStr">
        <is>
          <t>광장</t>
        </is>
      </c>
      <c r="T833" s="4" t="n">
        <v>1</v>
      </c>
      <c r="U833" s="5" t="n">
        <v>340.5</v>
      </c>
      <c r="V833" s="4" t="n">
        <v>248.7</v>
      </c>
      <c r="W833" s="3" t="inlineStr">
        <is>
          <t>지정되지않음</t>
        </is>
      </c>
      <c r="X833" s="3" t="inlineStr">
        <is>
          <t>주상기타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중로각지</t>
        </is>
      </c>
    </row>
    <row r="834">
      <c r="A834" s="3" t="inlineStr">
        <is>
          <t>오송읍 봉산리 1128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160000</v>
      </c>
      <c r="H834" s="4" t="n">
        <v>0</v>
      </c>
      <c r="I834" s="4" t="n">
        <v>248</v>
      </c>
      <c r="J834" s="4" t="n">
        <v>75</v>
      </c>
      <c r="K834" s="5" t="n">
        <v>2133.3</v>
      </c>
      <c r="L834" s="4" t="n">
        <v>490</v>
      </c>
      <c r="M834" s="4" t="n">
        <v>148</v>
      </c>
      <c r="N834" s="5" t="n">
        <v>1081.1</v>
      </c>
      <c r="O834" s="3" t="inlineStr">
        <is>
          <t>위치 좋은 대로변 상가주택 월 690만 수익</t>
        </is>
      </c>
      <c r="P834" s="6">
        <f>HYPERLINK("https://fin.land.naver.com/articles/2653598171", "매물Link")</f>
        <v/>
      </c>
      <c r="Q834" s="6">
        <f>HYPERLINK("https://map.naver.com/p/search/오송읍 봉산리 1128", "지도Link")</f>
        <v/>
      </c>
      <c r="R834" s="6">
        <f>HYPERLINK("http://www.eum.go.kr/web/ar/lu/luLandDet.jsp?pnu=4311325031111280000&amp;isNoScr=script&amp;mode=search", "토지이음")</f>
        <v/>
      </c>
      <c r="S834" s="3" t="inlineStr">
        <is>
          <t>미래n</t>
        </is>
      </c>
      <c r="T834" s="4" t="n">
        <v>1</v>
      </c>
      <c r="U834" s="5" t="n">
        <v>340.5</v>
      </c>
      <c r="V834" s="4" t="n">
        <v>248.7</v>
      </c>
      <c r="W834" s="3" t="inlineStr">
        <is>
          <t>지정되지않음</t>
        </is>
      </c>
      <c r="X834" s="3" t="inlineStr">
        <is>
          <t>주상용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1128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160000</v>
      </c>
      <c r="H835" s="4" t="n">
        <v>0</v>
      </c>
      <c r="I835" s="4" t="n">
        <v>248</v>
      </c>
      <c r="J835" s="4" t="n">
        <v>75</v>
      </c>
      <c r="K835" s="5" t="n">
        <v>2133.3</v>
      </c>
      <c r="L835" s="4" t="n">
        <v>490</v>
      </c>
      <c r="M835" s="4" t="n">
        <v>148</v>
      </c>
      <c r="N835" s="5" t="n">
        <v>1081.1</v>
      </c>
      <c r="O835" s="3" t="inlineStr">
        <is>
          <t>가치상승 기대되는 메인 먹자상권 상가주택 매매</t>
        </is>
      </c>
      <c r="P835" s="6">
        <f>HYPERLINK("https://fin.land.naver.com/articles/2651577795", "매물Link")</f>
        <v/>
      </c>
      <c r="Q835" s="6">
        <f>HYPERLINK("https://map.naver.com/p/search/오송읍 봉산리 1128", "지도Link")</f>
        <v/>
      </c>
      <c r="R835" s="6">
        <f>HYPERLINK("http://www.eum.go.kr/web/ar/lu/luLandDet.jsp?pnu=4311325031111280000&amp;isNoScr=script&amp;mode=search", "토지이음")</f>
        <v/>
      </c>
      <c r="S835" s="3" t="inlineStr">
        <is>
          <t>노른자</t>
        </is>
      </c>
      <c r="T835" s="4" t="n">
        <v>1</v>
      </c>
      <c r="U835" s="5" t="n">
        <v>340.5</v>
      </c>
      <c r="V835" s="4" t="n">
        <v>248.7</v>
      </c>
      <c r="W835" s="3" t="inlineStr">
        <is>
          <t>지정되지않음</t>
        </is>
      </c>
      <c r="X835" s="3" t="inlineStr">
        <is>
          <t>주상용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중로각지</t>
        </is>
      </c>
    </row>
    <row r="836">
      <c r="A836" s="3" t="inlineStr">
        <is>
          <t>오송읍 봉산리 1128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160000</v>
      </c>
      <c r="H836" s="4" t="n">
        <v>0</v>
      </c>
      <c r="I836" s="4" t="n">
        <v>248</v>
      </c>
      <c r="J836" s="4" t="n">
        <v>75</v>
      </c>
      <c r="K836" s="5" t="n">
        <v>2133.3</v>
      </c>
      <c r="L836" s="4" t="n">
        <v>490</v>
      </c>
      <c r="M836" s="4" t="n">
        <v>148</v>
      </c>
      <c r="N836" s="5" t="n">
        <v>1081.1</v>
      </c>
      <c r="O836" s="3" t="inlineStr">
        <is>
          <t>중심상권 인근 상가주택 매매, 월세 약 700만원</t>
        </is>
      </c>
      <c r="P836" s="6">
        <f>HYPERLINK("https://fin.land.naver.com/articles/2650597015", "매물Link")</f>
        <v/>
      </c>
      <c r="Q836" s="6">
        <f>HYPERLINK("https://map.naver.com/p/search/오송읍 봉산리 1128", "지도Link")</f>
        <v/>
      </c>
      <c r="R836" s="6">
        <f>HYPERLINK("http://www.eum.go.kr/web/ar/lu/luLandDet.jsp?pnu=4311325031111280000&amp;isNoScr=script&amp;mode=search", "토지이음")</f>
        <v/>
      </c>
      <c r="S836" s="3" t="inlineStr">
        <is>
          <t>광장</t>
        </is>
      </c>
      <c r="T836" s="4" t="n">
        <v>1</v>
      </c>
      <c r="U836" s="5" t="n">
        <v>340.5</v>
      </c>
      <c r="V836" s="4" t="n">
        <v>248.7</v>
      </c>
      <c r="W836" s="3" t="inlineStr">
        <is>
          <t>지정되지않음</t>
        </is>
      </c>
      <c r="X836" s="3" t="inlineStr">
        <is>
          <t>주상용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중로각지</t>
        </is>
      </c>
    </row>
    <row r="837">
      <c r="A837" s="3" t="inlineStr">
        <is>
          <t>오송읍 봉산리 1128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160000</v>
      </c>
      <c r="H837" s="4" t="n">
        <v>0</v>
      </c>
      <c r="I837" s="4" t="n">
        <v>248</v>
      </c>
      <c r="J837" s="4" t="n">
        <v>75</v>
      </c>
      <c r="K837" s="5" t="n">
        <v>2133.3</v>
      </c>
      <c r="L837" s="4" t="n">
        <v>490</v>
      </c>
      <c r="M837" s="4" t="n">
        <v>148</v>
      </c>
      <c r="N837" s="5" t="n">
        <v>1081.1</v>
      </c>
      <c r="O837" s="3" t="inlineStr">
        <is>
          <t>오송역세권 큰대로변, 1층 프랜차이즈, 월세받기좋아요</t>
        </is>
      </c>
      <c r="P837" s="6">
        <f>HYPERLINK("https://fin.land.naver.com/articles/2653991771", "매물Link")</f>
        <v/>
      </c>
      <c r="Q837" s="6">
        <f>HYPERLINK("https://map.naver.com/p/search/오송읍 봉산리 1128", "지도Link")</f>
        <v/>
      </c>
      <c r="R837" s="6">
        <f>HYPERLINK("http://www.eum.go.kr/web/ar/lu/luLandDet.jsp?pnu=4311325031111280000&amp;isNoScr=script&amp;mode=search",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340.5</v>
      </c>
      <c r="V837" s="4" t="n">
        <v>248.7</v>
      </c>
      <c r="W837" s="3" t="inlineStr">
        <is>
          <t>지정되지않음</t>
        </is>
      </c>
      <c r="X837" s="3" t="inlineStr">
        <is>
          <t>주상용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중로각지</t>
        </is>
      </c>
    </row>
    <row r="838">
      <c r="A838" s="3" t="inlineStr">
        <is>
          <t>오송읍 봉산리 1128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160000</v>
      </c>
      <c r="H838" s="4" t="n">
        <v>0</v>
      </c>
      <c r="I838" s="4" t="n">
        <v>248</v>
      </c>
      <c r="J838" s="4" t="n">
        <v>75</v>
      </c>
      <c r="K838" s="5" t="n">
        <v>2133.3</v>
      </c>
      <c r="L838" s="4" t="n">
        <v>490</v>
      </c>
      <c r="M838" s="4" t="n">
        <v>148</v>
      </c>
      <c r="N838" s="5" t="n">
        <v>1081.1</v>
      </c>
      <c r="O838" s="3" t="inlineStr">
        <is>
          <t>위치가 최상급인 수익률 좋은 상가주택</t>
        </is>
      </c>
      <c r="P838" s="6">
        <f>HYPERLINK("https://fin.land.naver.com/articles/2653091826", "매물Link")</f>
        <v/>
      </c>
      <c r="Q838" s="6">
        <f>HYPERLINK("https://map.naver.com/p/search/오송읍 봉산리 1128", "지도Link")</f>
        <v/>
      </c>
      <c r="R838" s="6">
        <f>HYPERLINK("http://www.eum.go.kr/web/ar/lu/luLandDet.jsp?pnu=4311325031111280000&amp;isNoScr=script&amp;mode=search", "토지이음")</f>
        <v/>
      </c>
      <c r="S838" s="3" t="inlineStr">
        <is>
          <t>아시아</t>
        </is>
      </c>
      <c r="T838" s="4" t="n">
        <v>1</v>
      </c>
      <c r="U838" s="5" t="n">
        <v>340.5</v>
      </c>
      <c r="V838" s="4" t="n">
        <v>248.7</v>
      </c>
      <c r="W838" s="3" t="inlineStr">
        <is>
          <t>지정되지않음</t>
        </is>
      </c>
      <c r="X838" s="3" t="inlineStr">
        <is>
          <t>주상용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중로각지</t>
        </is>
      </c>
    </row>
    <row r="839">
      <c r="A839" s="3" t="inlineStr">
        <is>
          <t>오송읍 봉산리 1143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단독</t>
        </is>
      </c>
      <c r="F839" s="3" t="inlineStr">
        <is>
          <t>전세</t>
        </is>
      </c>
      <c r="G839" s="4" t="n">
        <v>20000</v>
      </c>
      <c r="H839" s="4" t="n">
        <v>0</v>
      </c>
      <c r="I839" s="4" t="n">
        <v>143</v>
      </c>
      <c r="J839" s="4" t="n">
        <v>43</v>
      </c>
      <c r="K839" s="5" t="n">
        <v>465.1</v>
      </c>
      <c r="L839" s="4" t="n">
        <v>125</v>
      </c>
      <c r="M839" s="4" t="n">
        <v>38</v>
      </c>
      <c r="N839" s="5" t="n">
        <v>526.3</v>
      </c>
      <c r="O839" s="3" t="inlineStr">
        <is>
          <t>주인세대 넓은  뻥뷰남향으로 햇빛이 잘드는집 아파트보다 더나은 럭셔컨디션</t>
        </is>
      </c>
      <c r="P839" s="6">
        <f>HYPERLINK("https://fin.land.naver.com/articles/2653289916", "매물Link")</f>
        <v/>
      </c>
      <c r="Q839" s="6">
        <f>HYPERLINK("https://map.naver.com/p/search/오송읍 봉산리 1143", "지도Link")</f>
        <v/>
      </c>
      <c r="R839" s="6">
        <f>HYPERLINK("http://www.eum.go.kr/web/ar/lu/luLandDet.jsp?pnu=4311325031111430000&amp;isNoScr=script&amp;mode=search", "토지이음")</f>
        <v/>
      </c>
      <c r="S839" s="3" t="inlineStr">
        <is>
          <t>하림</t>
        </is>
      </c>
      <c r="T839" s="4" t="n">
        <v>1</v>
      </c>
      <c r="U839" s="5" t="n">
        <v>208.1</v>
      </c>
      <c r="V839" s="4" t="n">
        <v>266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월세</t>
        </is>
      </c>
      <c r="G840" s="4" t="n">
        <v>2000</v>
      </c>
      <c r="H840" s="4" t="n">
        <v>120</v>
      </c>
      <c r="I840" s="4" t="n">
        <v>96</v>
      </c>
      <c r="J840" s="4" t="n">
        <v>29</v>
      </c>
      <c r="K840" s="5" t="n">
        <v>4.1</v>
      </c>
      <c r="L840" s="4" t="n">
        <v>96</v>
      </c>
      <c r="M840" s="4" t="n">
        <v>29</v>
      </c>
      <c r="N840" s="5" t="n">
        <v>4.1</v>
      </c>
      <c r="O840" s="3" t="inlineStr">
        <is>
          <t>10월 초순 입주가능한 주인세대</t>
        </is>
      </c>
      <c r="P840" s="6">
        <f>HYPERLINK("https://fin.land.naver.com/articles/2651498645", "매물Link")</f>
        <v/>
      </c>
      <c r="Q840" s="6">
        <f>HYPERLINK("https://map.naver.com/p/search/오송읍 봉산리 1149", "지도Link")</f>
        <v/>
      </c>
      <c r="R840" s="6">
        <f>HYPERLINK("http://www.eum.go.kr/web/ar/lu/luLandDet.jsp?pnu=4311325031111490000&amp;isNoScr=script&amp;mode=search", "토지이음")</f>
        <v/>
      </c>
      <c r="S840" s="3" t="inlineStr">
        <is>
          <t>오송1단지창조</t>
        </is>
      </c>
      <c r="T840" s="4" t="n">
        <v>1</v>
      </c>
      <c r="U840" s="5" t="n">
        <v>339.2</v>
      </c>
      <c r="V840" s="4" t="n">
        <v>247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중로각지</t>
        </is>
      </c>
    </row>
    <row r="841">
      <c r="A841" s="3" t="inlineStr">
        <is>
          <t>오송읍 봉산리 1152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160000</v>
      </c>
      <c r="H841" s="4" t="n">
        <v>0</v>
      </c>
      <c r="I841" s="4" t="n">
        <v>247</v>
      </c>
      <c r="J841" s="4" t="n">
        <v>75</v>
      </c>
      <c r="K841" s="5" t="n">
        <v>2133.3</v>
      </c>
      <c r="L841" s="4" t="n">
        <v>492</v>
      </c>
      <c r="M841" s="4" t="n">
        <v>149</v>
      </c>
      <c r="N841" s="5" t="n">
        <v>1073.8</v>
      </c>
      <c r="O841" s="3" t="inlineStr">
        <is>
          <t>오송2산단 수익률 높은 상가주택</t>
        </is>
      </c>
      <c r="P841" s="6">
        <f>HYPERLINK("https://fin.land.naver.com/articles/2652815447", "매물Link")</f>
        <v/>
      </c>
      <c r="Q841" s="6">
        <f>HYPERLINK("https://map.naver.com/p/search/오송읍 봉산리 1152", "지도Link")</f>
        <v/>
      </c>
      <c r="R841" s="6">
        <f>HYPERLINK("http://www.eum.go.kr/web/ar/lu/luLandDet.jsp?pnu=4311325031111520000&amp;isNoScr=script&amp;mode=search",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339.2</v>
      </c>
      <c r="V841" s="4" t="n">
        <v>247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1152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단독</t>
        </is>
      </c>
      <c r="F842" s="3" t="inlineStr">
        <is>
          <t>매매</t>
        </is>
      </c>
      <c r="G842" s="4" t="n">
        <v>160000</v>
      </c>
      <c r="H842" s="4" t="n">
        <v>0</v>
      </c>
      <c r="I842" s="4" t="n">
        <v>247</v>
      </c>
      <c r="J842" s="4" t="n">
        <v>75</v>
      </c>
      <c r="K842" s="5" t="n">
        <v>2133.3</v>
      </c>
      <c r="L842" s="4" t="n">
        <v>492</v>
      </c>
      <c r="M842" s="4" t="n">
        <v>149</v>
      </c>
      <c r="N842" s="5" t="n">
        <v>1073.8</v>
      </c>
      <c r="O842" s="3" t="inlineStr">
        <is>
          <t>합리적인 금액으로 매수하기 좋은 매물입니다</t>
        </is>
      </c>
      <c r="P842" s="6">
        <f>HYPERLINK("https://fin.land.naver.com/articles/2652143636", "매물Link")</f>
        <v/>
      </c>
      <c r="Q842" s="6">
        <f>HYPERLINK("https://map.naver.com/p/search/오송읍 봉산리 1152", "지도Link")</f>
        <v/>
      </c>
      <c r="R842" s="6">
        <f>HYPERLINK("http://www.eum.go.kr/web/ar/lu/luLandDet.jsp?pnu=4311325031111520000&amp;isNoScr=script&amp;mode=search",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339.2</v>
      </c>
      <c r="V842" s="4" t="n">
        <v>247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중로각지</t>
        </is>
      </c>
    </row>
    <row r="843">
      <c r="A843" s="3" t="inlineStr">
        <is>
          <t>오송읍 봉산리 1152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단독</t>
        </is>
      </c>
      <c r="F843" s="3" t="inlineStr">
        <is>
          <t>매매</t>
        </is>
      </c>
      <c r="G843" s="4" t="n">
        <v>160000</v>
      </c>
      <c r="H843" s="4" t="n">
        <v>0</v>
      </c>
      <c r="I843" s="4" t="n">
        <v>247</v>
      </c>
      <c r="J843" s="4" t="n">
        <v>75</v>
      </c>
      <c r="K843" s="5" t="n">
        <v>2133.3</v>
      </c>
      <c r="L843" s="4" t="n">
        <v>492</v>
      </c>
      <c r="M843" s="4" t="n">
        <v>149</v>
      </c>
      <c r="N843" s="5" t="n">
        <v>1073.8</v>
      </c>
      <c r="O843" s="3" t="inlineStr">
        <is>
          <t>1층 프랜차이즈 입점. 넓고 쾌적한 주인세대. 초등학교 인접</t>
        </is>
      </c>
      <c r="P843" s="6">
        <f>HYPERLINK("https://fin.land.naver.com/articles/2653940164", "매물Link")</f>
        <v/>
      </c>
      <c r="Q843" s="6">
        <f>HYPERLINK("https://map.naver.com/p/search/오송읍 봉산리 1152", "지도Link")</f>
        <v/>
      </c>
      <c r="R843" s="6">
        <f>HYPERLINK("http://www.eum.go.kr/web/ar/lu/luLandDet.jsp?pnu=4311325031111520000&amp;isNoScr=script&amp;mode=search",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339.2</v>
      </c>
      <c r="V843" s="4" t="n">
        <v>247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1152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다가구</t>
        </is>
      </c>
      <c r="F844" s="3" t="inlineStr">
        <is>
          <t>매매</t>
        </is>
      </c>
      <c r="G844" s="4" t="n">
        <v>165000</v>
      </c>
      <c r="H844" s="4" t="n">
        <v>0</v>
      </c>
      <c r="I844" s="4" t="n">
        <v>247</v>
      </c>
      <c r="J844" s="4" t="n">
        <v>75</v>
      </c>
      <c r="K844" s="5" t="n">
        <v>2200</v>
      </c>
      <c r="L844" s="4" t="n">
        <v>492</v>
      </c>
      <c r="M844" s="4" t="n">
        <v>149</v>
      </c>
      <c r="N844" s="5" t="n">
        <v>1107.4</v>
      </c>
      <c r="O844" s="3" t="inlineStr">
        <is>
          <t>4차선 도로변 상가주택, 공실걱정 적은 위치</t>
        </is>
      </c>
      <c r="P844" s="6">
        <f>HYPERLINK("https://fin.land.naver.com/articles/2655277728", "매물Link")</f>
        <v/>
      </c>
      <c r="Q844" s="6">
        <f>HYPERLINK("https://map.naver.com/p/search/오송읍 봉산리 1152", "지도Link")</f>
        <v/>
      </c>
      <c r="R844" s="6">
        <f>HYPERLINK("http://www.eum.go.kr/web/ar/lu/luLandDet.jsp?pnu=4311325031111520000&amp;isNoScr=script&amp;mode=search", "토지이음")</f>
        <v/>
      </c>
      <c r="S844" s="3" t="inlineStr">
        <is>
          <t>광장</t>
        </is>
      </c>
      <c r="T844" s="4" t="n">
        <v>1</v>
      </c>
      <c r="U844" s="5" t="n">
        <v>339.2</v>
      </c>
      <c r="V844" s="4" t="n">
        <v>247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1152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160000</v>
      </c>
      <c r="H845" s="4" t="n">
        <v>0</v>
      </c>
      <c r="I845" s="4" t="n">
        <v>247</v>
      </c>
      <c r="J845" s="4" t="n">
        <v>75</v>
      </c>
      <c r="K845" s="5" t="n">
        <v>2133.3</v>
      </c>
      <c r="L845" s="4" t="n">
        <v>492</v>
      </c>
      <c r="M845" s="4" t="n">
        <v>149</v>
      </c>
      <c r="N845" s="5" t="n">
        <v>1073.8</v>
      </c>
      <c r="O845" s="3" t="inlineStr">
        <is>
          <t>대로변 태양광 설치 주인세대 입주 가능</t>
        </is>
      </c>
      <c r="P845" s="6">
        <f>HYPERLINK("https://fin.land.naver.com/articles/2655128525", "매물Link")</f>
        <v/>
      </c>
      <c r="Q845" s="6">
        <f>HYPERLINK("https://map.naver.com/p/search/오송읍 봉산리 1152", "지도Link")</f>
        <v/>
      </c>
      <c r="R845" s="6">
        <f>HYPERLINK("http://www.eum.go.kr/web/ar/lu/luLandDet.jsp?pnu=4311325031111520000&amp;isNoScr=script&amp;mode=search", "토지이음")</f>
        <v/>
      </c>
      <c r="S845" s="3" t="inlineStr">
        <is>
          <t>프렌즈</t>
        </is>
      </c>
      <c r="T845" s="4" t="n">
        <v>1</v>
      </c>
      <c r="U845" s="5" t="n">
        <v>339.2</v>
      </c>
      <c r="V845" s="4" t="n">
        <v>247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1157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전세</t>
        </is>
      </c>
      <c r="G846" s="4" t="n">
        <v>6000</v>
      </c>
      <c r="H846" s="4" t="n">
        <v>0</v>
      </c>
      <c r="I846" s="4" t="n">
        <v>141</v>
      </c>
      <c r="J846" s="4" t="n">
        <v>43</v>
      </c>
      <c r="K846" s="5" t="n">
        <v>139.5</v>
      </c>
      <c r="L846" s="4" t="n">
        <v>32</v>
      </c>
      <c r="M846" s="4" t="n">
        <v>10</v>
      </c>
      <c r="N846" s="5" t="n">
        <v>600</v>
      </c>
      <c r="O846" s="3" t="inlineStr">
        <is>
          <t>큰투베이 오송역세권으로 인프라좋고 주변편의시설확충 신축건물로 별도주차시설</t>
        </is>
      </c>
      <c r="P846" s="6">
        <f>HYPERLINK("https://fin.land.naver.com/articles/2650974716", "매물Link")</f>
        <v/>
      </c>
      <c r="Q846" s="6">
        <f>HYPERLINK("https://map.naver.com/p/search/오송읍 봉산리 1157", "지도Link")</f>
        <v/>
      </c>
      <c r="R846" s="6">
        <f>HYPERLINK("http://www.eum.go.kr/web/ar/lu/luLandDet.jsp?pnu=4311325031111570000&amp;isNoScr=script&amp;mode=search", "토지이음")</f>
        <v/>
      </c>
      <c r="S846" s="3" t="inlineStr">
        <is>
          <t>하림</t>
        </is>
      </c>
      <c r="T846" s="4" t="n">
        <v>1</v>
      </c>
      <c r="U846" s="5" t="n">
        <v>342.8</v>
      </c>
      <c r="V846" s="4" t="n">
        <v>275.5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중로각지</t>
        </is>
      </c>
    </row>
    <row r="847">
      <c r="A847" s="3" t="inlineStr">
        <is>
          <t>오송읍 봉산리 1157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6000</v>
      </c>
      <c r="H847" s="4" t="n">
        <v>31</v>
      </c>
      <c r="I847" s="4" t="n">
        <v>141</v>
      </c>
      <c r="J847" s="4" t="n">
        <v>43</v>
      </c>
      <c r="K847" s="5" t="n">
        <v>0.7</v>
      </c>
      <c r="L847" s="4" t="n">
        <v>32</v>
      </c>
      <c r="M847" s="4" t="n">
        <v>10</v>
      </c>
      <c r="N847" s="5" t="n">
        <v>3.1</v>
      </c>
      <c r="O847" s="3" t="inlineStr">
        <is>
          <t>즉시입주가능, 먹자거리 메인상권 편의시설 전부 가까워서 도보로 이용가능</t>
        </is>
      </c>
      <c r="P847" s="6">
        <f>HYPERLINK("https://fin.land.naver.com/articles/2650774639", "매물Link")</f>
        <v/>
      </c>
      <c r="Q847" s="6">
        <f>HYPERLINK("https://map.naver.com/p/search/오송읍 봉산리 1157", "지도Link")</f>
        <v/>
      </c>
      <c r="R847" s="6">
        <f>HYPERLINK("http://www.eum.go.kr/web/ar/lu/luLandDet.jsp?pnu=4311325031111570000&amp;isNoScr=script&amp;mode=search", "토지이음")</f>
        <v/>
      </c>
      <c r="S847" s="3" t="inlineStr">
        <is>
          <t>태원</t>
        </is>
      </c>
      <c r="T847" s="4" t="n">
        <v>1</v>
      </c>
      <c r="U847" s="5" t="n">
        <v>342.8</v>
      </c>
      <c r="V847" s="4" t="n">
        <v>275.5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중로각지</t>
        </is>
      </c>
    </row>
    <row r="848">
      <c r="A848" s="3" t="inlineStr">
        <is>
          <t>오송읍 봉산리 1164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단독</t>
        </is>
      </c>
      <c r="F848" s="3" t="inlineStr">
        <is>
          <t>매매</t>
        </is>
      </c>
      <c r="G848" s="4" t="n">
        <v>130000</v>
      </c>
      <c r="H848" s="4" t="n">
        <v>0</v>
      </c>
      <c r="I848" s="4" t="n">
        <v>240</v>
      </c>
      <c r="J848" s="4" t="n">
        <v>73</v>
      </c>
      <c r="K848" s="5" t="n">
        <v>1780.8</v>
      </c>
      <c r="L848" s="4" t="n">
        <v>494</v>
      </c>
      <c r="M848" s="4" t="n">
        <v>149</v>
      </c>
      <c r="N848" s="5" t="n">
        <v>872.5</v>
      </c>
      <c r="O848" s="3" t="inlineStr">
        <is>
          <t>조용한 수익형 건물 투자. 투자금 6억미만 수익률 7프로대</t>
        </is>
      </c>
      <c r="P848" s="6">
        <f>HYPERLINK("https://fin.land.naver.com/articles/2651861376", "매물Link")</f>
        <v/>
      </c>
      <c r="Q848" s="6">
        <f>HYPERLINK("https://map.naver.com/p/search/오송읍 봉산리 1164", "지도Link")</f>
        <v/>
      </c>
      <c r="R848" s="6">
        <f>HYPERLINK("http://www.eum.go.kr/web/ar/lu/luLandDet.jsp?pnu=4311325031111640000&amp;isNoScr=script&amp;mode=search", "토지이음")</f>
        <v/>
      </c>
      <c r="S848" s="3" t="inlineStr">
        <is>
          <t>오송미소</t>
        </is>
      </c>
      <c r="T848" s="4" t="n">
        <v>1</v>
      </c>
      <c r="U848" s="5" t="n">
        <v>206.3</v>
      </c>
      <c r="V848" s="4" t="n">
        <v>267.6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1164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매매</t>
        </is>
      </c>
      <c r="G849" s="4" t="n">
        <v>130000</v>
      </c>
      <c r="H849" s="4" t="n">
        <v>0</v>
      </c>
      <c r="I849" s="4" t="n">
        <v>267</v>
      </c>
      <c r="J849" s="4" t="n">
        <v>81</v>
      </c>
      <c r="K849" s="5" t="n">
        <v>1604.9</v>
      </c>
      <c r="L849" s="4" t="n">
        <v>494</v>
      </c>
      <c r="M849" s="4" t="n">
        <v>149</v>
      </c>
      <c r="N849" s="5" t="n">
        <v>872.5</v>
      </c>
      <c r="O849" s="3" t="inlineStr">
        <is>
          <t>주인세대 입주가능,월530만원,옥상사용가능,</t>
        </is>
      </c>
      <c r="P849" s="6">
        <f>HYPERLINK("https://fin.land.naver.com/articles/2651896607", "매물Link")</f>
        <v/>
      </c>
      <c r="Q849" s="6">
        <f>HYPERLINK("https://map.naver.com/p/search/오송읍 봉산리 1164", "지도Link")</f>
        <v/>
      </c>
      <c r="R849" s="6">
        <f>HYPERLINK("http://www.eum.go.kr/web/ar/lu/luLandDet.jsp?pnu=4311325031111640000&amp;isNoScr=script&amp;mode=search", "토지이음")</f>
        <v/>
      </c>
      <c r="S849" s="3" t="inlineStr">
        <is>
          <t>오송올래</t>
        </is>
      </c>
      <c r="T849" s="4" t="n">
        <v>3</v>
      </c>
      <c r="U849" s="5" t="n">
        <v>206.3</v>
      </c>
      <c r="V849" s="4" t="n">
        <v>267.6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1164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130000</v>
      </c>
      <c r="H850" s="4" t="n">
        <v>0</v>
      </c>
      <c r="I850" s="4" t="n">
        <v>267</v>
      </c>
      <c r="J850" s="4" t="n">
        <v>81</v>
      </c>
      <c r="K850" s="5" t="n">
        <v>1604.9</v>
      </c>
      <c r="L850" s="4" t="n">
        <v>494</v>
      </c>
      <c r="M850" s="4" t="n">
        <v>149</v>
      </c>
      <c r="N850" s="5" t="n">
        <v>872.5</v>
      </c>
      <c r="O850" s="3" t="inlineStr">
        <is>
          <t>월세 안정적인 역세권 다가구주택. 오송역 인접. 공실없음</t>
        </is>
      </c>
      <c r="P850" s="6">
        <f>HYPERLINK("https://fin.land.naver.com/articles/2653754970", "매물Link")</f>
        <v/>
      </c>
      <c r="Q850" s="6">
        <f>HYPERLINK("https://map.naver.com/p/search/오송읍 봉산리 1164", "지도Link")</f>
        <v/>
      </c>
      <c r="R850" s="6">
        <f>HYPERLINK("http://www.eum.go.kr/web/ar/lu/luLandDet.jsp?pnu=4311325031111640000&amp;isNoScr=script&amp;mode=search",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206.3</v>
      </c>
      <c r="V850" s="4" t="n">
        <v>267.6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1164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다가구</t>
        </is>
      </c>
      <c r="F851" s="3" t="inlineStr">
        <is>
          <t>매매</t>
        </is>
      </c>
      <c r="G851" s="4" t="n">
        <v>135000</v>
      </c>
      <c r="H851" s="4" t="n">
        <v>0</v>
      </c>
      <c r="I851" s="4" t="n">
        <v>267</v>
      </c>
      <c r="J851" s="4" t="n">
        <v>81</v>
      </c>
      <c r="K851" s="5" t="n">
        <v>1666.7</v>
      </c>
      <c r="L851" s="4" t="n">
        <v>494</v>
      </c>
      <c r="M851" s="4" t="n">
        <v>149</v>
      </c>
      <c r="N851" s="5" t="n">
        <v>906</v>
      </c>
      <c r="O851" s="3" t="inlineStr">
        <is>
          <t>주인세대 즉시 입주 가능. 공실 걱정 없는 입지</t>
        </is>
      </c>
      <c r="P851" s="6">
        <f>HYPERLINK("https://fin.land.naver.com/articles/2652577364", "매물Link")</f>
        <v/>
      </c>
      <c r="Q851" s="6">
        <f>HYPERLINK("https://map.naver.com/p/search/오송읍 봉산리 1164", "지도Link")</f>
        <v/>
      </c>
      <c r="R851" s="6">
        <f>HYPERLINK("http://www.eum.go.kr/web/ar/lu/luLandDet.jsp?pnu=4311325031111640000&amp;isNoScr=script&amp;mode=search", "토지이음")</f>
        <v/>
      </c>
      <c r="S851" s="3" t="inlineStr">
        <is>
          <t>오송파라곤하늘</t>
        </is>
      </c>
      <c r="T851" s="4" t="n">
        <v>1</v>
      </c>
      <c r="U851" s="5" t="n">
        <v>206.3</v>
      </c>
      <c r="V851" s="4" t="n">
        <v>267.6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1164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130000</v>
      </c>
      <c r="H852" s="4" t="n">
        <v>0</v>
      </c>
      <c r="I852" s="4" t="n">
        <v>267</v>
      </c>
      <c r="J852" s="4" t="n">
        <v>81</v>
      </c>
      <c r="K852" s="5" t="n">
        <v>1604.9</v>
      </c>
      <c r="L852" s="4" t="n">
        <v>494</v>
      </c>
      <c r="M852" s="4" t="n">
        <v>149</v>
      </c>
      <c r="N852" s="5" t="n">
        <v>872.5</v>
      </c>
      <c r="O852" s="3" t="inlineStr">
        <is>
          <t>추천매물.임대놓기 좋은 세대 구성으로 세대 공실없이 임대중인 건물</t>
        </is>
      </c>
      <c r="P852" s="6">
        <f>HYPERLINK("https://fin.land.naver.com/articles/2654013680", "매물Link")</f>
        <v/>
      </c>
      <c r="Q852" s="6">
        <f>HYPERLINK("https://map.naver.com/p/search/오송읍 봉산리 1164", "지도Link")</f>
        <v/>
      </c>
      <c r="R852" s="6">
        <f>HYPERLINK("http://www.eum.go.kr/web/ar/lu/luLandDet.jsp?pnu=4311325031111640000&amp;isNoScr=script&amp;mode=search", "토지이음")</f>
        <v/>
      </c>
      <c r="S852" s="3" t="inlineStr">
        <is>
          <t>오송2단지창조</t>
        </is>
      </c>
      <c r="T852" s="4" t="n">
        <v>1</v>
      </c>
      <c r="U852" s="5" t="n">
        <v>206.3</v>
      </c>
      <c r="V852" s="4" t="n">
        <v>267.6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1166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145000</v>
      </c>
      <c r="H853" s="4" t="n">
        <v>0</v>
      </c>
      <c r="I853" s="4" t="n">
        <v>267</v>
      </c>
      <c r="J853" s="4" t="n">
        <v>81</v>
      </c>
      <c r="K853" s="5" t="n">
        <v>1790.1</v>
      </c>
      <c r="L853" s="4" t="n">
        <v>491</v>
      </c>
      <c r="M853" s="4" t="n">
        <v>149</v>
      </c>
      <c r="N853" s="5" t="n">
        <v>973.2</v>
      </c>
      <c r="O853" s="3" t="inlineStr">
        <is>
          <t>테라스, 층간소음 없는 단독옥상, 완벽한 주인세대</t>
        </is>
      </c>
      <c r="P853" s="6">
        <f>HYPERLINK("https://fin.land.naver.com/articles/2653988102", "매물Link")</f>
        <v/>
      </c>
      <c r="Q853" s="6">
        <f>HYPERLINK("https://map.naver.com/p/search/오송읍 봉산리 1166", "지도Link")</f>
        <v/>
      </c>
      <c r="R853" s="6">
        <f>HYPERLINK("http://www.eum.go.kr/web/ar/lu/luLandDet.jsp?pnu=4311325031111660000&amp;isNoScr=script&amp;mode=search",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206.3</v>
      </c>
      <c r="V853" s="4" t="n">
        <v>267.5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1167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매매</t>
        </is>
      </c>
      <c r="G854" s="4" t="n">
        <v>153000</v>
      </c>
      <c r="H854" s="4" t="n">
        <v>0</v>
      </c>
      <c r="I854" s="4" t="n">
        <v>267</v>
      </c>
      <c r="J854" s="4" t="n">
        <v>81</v>
      </c>
      <c r="K854" s="5" t="n">
        <v>1888.9</v>
      </c>
      <c r="L854" s="4" t="n">
        <v>494</v>
      </c>
      <c r="M854" s="4" t="n">
        <v>149</v>
      </c>
      <c r="N854" s="5" t="n">
        <v>1026.8</v>
      </c>
      <c r="O854" s="3" t="inlineStr">
        <is>
          <t>26년 신축건물, 오송역 10분, 임대완료 현월세694만원</t>
        </is>
      </c>
      <c r="P854" s="6">
        <f>HYPERLINK("https://fin.land.naver.com/articles/2653434418", "매물Link")</f>
        <v/>
      </c>
      <c r="Q854" s="6">
        <f>HYPERLINK("https://map.naver.com/p/search/오송읍 봉산리 1167", "지도Link")</f>
        <v/>
      </c>
      <c r="R854" s="6">
        <f>HYPERLINK("http://www.eum.go.kr/web/ar/lu/luLandDet.jsp?pnu=4311325031111670000&amp;isNoScr=script&amp;mode=search", "토지이음")</f>
        <v/>
      </c>
      <c r="S854" s="3" t="inlineStr">
        <is>
          <t>프로</t>
        </is>
      </c>
      <c r="T854" s="4" t="n">
        <v>2</v>
      </c>
      <c r="U854" s="5" t="n">
        <v>206.3</v>
      </c>
      <c r="V854" s="4" t="n">
        <v>267.6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1167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153000</v>
      </c>
      <c r="H855" s="4" t="n">
        <v>0</v>
      </c>
      <c r="I855" s="4" t="n">
        <v>267</v>
      </c>
      <c r="J855" s="4" t="n">
        <v>81</v>
      </c>
      <c r="K855" s="5" t="n">
        <v>1888.9</v>
      </c>
      <c r="L855" s="4" t="n">
        <v>494</v>
      </c>
      <c r="M855" s="4" t="n">
        <v>149</v>
      </c>
      <c r="N855" s="5" t="n">
        <v>1026.8</v>
      </c>
      <c r="O855" s="3" t="inlineStr">
        <is>
          <t>2026 따끈한 신축건물 즉시입주</t>
        </is>
      </c>
      <c r="P855" s="6">
        <f>HYPERLINK("https://fin.land.naver.com/articles/2655086416", "매물Link")</f>
        <v/>
      </c>
      <c r="Q855" s="6">
        <f>HYPERLINK("https://map.naver.com/p/search/오송읍 봉산리 1167", "지도Link")</f>
        <v/>
      </c>
      <c r="R855" s="6">
        <f>HYPERLINK("http://www.eum.go.kr/web/ar/lu/luLandDet.jsp?pnu=4311325031111670000&amp;isNoScr=script&amp;mode=search", "토지이음")</f>
        <v/>
      </c>
      <c r="S855" s="3" t="inlineStr">
        <is>
          <t>프렌즈</t>
        </is>
      </c>
      <c r="T855" s="4" t="n">
        <v>1</v>
      </c>
      <c r="U855" s="5" t="n">
        <v>206.3</v>
      </c>
      <c r="V855" s="4" t="n">
        <v>267.6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1168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150000</v>
      </c>
      <c r="H856" s="4" t="n">
        <v>0</v>
      </c>
      <c r="I856" s="4" t="n">
        <v>261</v>
      </c>
      <c r="J856" s="4" t="n">
        <v>79</v>
      </c>
      <c r="K856" s="5" t="n">
        <v>1898.7</v>
      </c>
      <c r="L856" s="4" t="n">
        <v>484</v>
      </c>
      <c r="M856" s="4" t="n">
        <v>146</v>
      </c>
      <c r="N856" s="5" t="n">
        <v>1027.4</v>
      </c>
      <c r="O856" s="3" t="inlineStr">
        <is>
          <t>ㄸr봉 월수익 738만원 오송 2산단 상가주택</t>
        </is>
      </c>
      <c r="P856" s="6">
        <f>HYPERLINK("https://fin.land.naver.com/articles/2655225046", "매물Link")</f>
        <v/>
      </c>
      <c r="Q856" s="6">
        <f>HYPERLINK("https://map.naver.com/p/search/오송읍 봉산리 1168", "지도Link")</f>
        <v/>
      </c>
      <c r="R856" s="6">
        <f>HYPERLINK("http://www.eum.go.kr/web/ar/lu/luLandDet.jsp?pnu=4311325031111680000&amp;isNoScr=script&amp;mode=search", "토지이음")</f>
        <v/>
      </c>
      <c r="S856" s="3" t="inlineStr">
        <is>
          <t>오송프렌즈</t>
        </is>
      </c>
      <c r="T856" s="4" t="n">
        <v>1</v>
      </c>
      <c r="U856" s="5" t="n">
        <v>218.7</v>
      </c>
      <c r="V856" s="4" t="n">
        <v>261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1168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500</v>
      </c>
      <c r="H857" s="4" t="n">
        <v>55</v>
      </c>
      <c r="I857" s="4" t="n">
        <v>0</v>
      </c>
      <c r="J857" s="4" t="n">
        <v>0</v>
      </c>
      <c r="K857" s="5" t="n">
        <v>0</v>
      </c>
      <c r="L857" s="4" t="n">
        <v>30</v>
      </c>
      <c r="M857" s="4" t="n">
        <v>9</v>
      </c>
      <c r="N857" s="5" t="n">
        <v>6.1</v>
      </c>
      <c r="O857" s="3" t="inlineStr">
        <is>
          <t>10월하순 입주가능한 신축 원룸</t>
        </is>
      </c>
      <c r="P857" s="6">
        <f>HYPERLINK("https://fin.land.naver.com/articles/2651014921", "매물Link")</f>
        <v/>
      </c>
      <c r="Q857" s="6">
        <f>HYPERLINK("https://map.naver.com/p/search/오송읍 봉산리 1168", "지도Link")</f>
        <v/>
      </c>
      <c r="R857" s="6">
        <f>HYPERLINK("http://www.eum.go.kr/web/ar/lu/luLandDet.jsp?pnu=4311325031111680000&amp;isNoScr=script&amp;mode=search",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218.7</v>
      </c>
      <c r="V857" s="4" t="n">
        <v>261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1168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500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29</v>
      </c>
      <c r="M858" s="4" t="n">
        <v>9</v>
      </c>
      <c r="N858" s="5" t="n">
        <v>5.6</v>
      </c>
      <c r="O858" s="3" t="inlineStr">
        <is>
          <t>10월 입주가능 깔끔한 분리형 원룸 내부 컨디션 최상</t>
        </is>
      </c>
      <c r="P858" s="6">
        <f>HYPERLINK("https://fin.land.naver.com/articles/2652375718", "매물Link")</f>
        <v/>
      </c>
      <c r="Q858" s="6">
        <f>HYPERLINK("https://map.naver.com/p/search/오송읍 봉산리 1168", "지도Link")</f>
        <v/>
      </c>
      <c r="R858" s="6">
        <f>HYPERLINK("http://www.eum.go.kr/web/ar/lu/luLandDet.jsp?pnu=4311325031111680000&amp;isNoScr=script&amp;mode=search",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218.7</v>
      </c>
      <c r="V858" s="4" t="n">
        <v>261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소로각지</t>
        </is>
      </c>
    </row>
    <row r="859">
      <c r="A859" s="3" t="inlineStr">
        <is>
          <t>오송읍 봉산리 1183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월세</t>
        </is>
      </c>
      <c r="G859" s="4" t="n">
        <v>3000</v>
      </c>
      <c r="H859" s="4" t="n">
        <v>115</v>
      </c>
      <c r="I859" s="4" t="n">
        <v>103</v>
      </c>
      <c r="J859" s="4" t="n">
        <v>31</v>
      </c>
      <c r="K859" s="5" t="n">
        <v>3.7</v>
      </c>
      <c r="L859" s="4" t="n">
        <v>89</v>
      </c>
      <c r="M859" s="4" t="n">
        <v>27</v>
      </c>
      <c r="N859" s="5" t="n">
        <v>4.3</v>
      </c>
      <c r="O859" s="3" t="inlineStr">
        <is>
          <t>즉시입주 가능 주인세대, 청소완료, 주거환경 양호</t>
        </is>
      </c>
      <c r="P859" s="6">
        <f>HYPERLINK("https://fin.land.naver.com/articles/2652296317", "매물Link")</f>
        <v/>
      </c>
      <c r="Q859" s="6">
        <f>HYPERLINK("https://map.naver.com/p/search/오송읍 봉산리 1183", "지도Link")</f>
        <v/>
      </c>
      <c r="R859" s="6">
        <f>HYPERLINK("http://www.eum.go.kr/web/ar/lu/luLandDet.jsp?pnu=4311325031111830000&amp;isNoScr=script&amp;mode=search", "토지이음")</f>
        <v/>
      </c>
      <c r="S859" s="3" t="inlineStr">
        <is>
          <t>광장</t>
        </is>
      </c>
      <c r="T859" s="4" t="n">
        <v>1</v>
      </c>
      <c r="U859" s="5" t="n">
        <v>250.2</v>
      </c>
      <c r="V859" s="4" t="n">
        <v>263.7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소로각지</t>
        </is>
      </c>
    </row>
    <row r="860">
      <c r="A860" s="3" t="inlineStr">
        <is>
          <t>오송읍 봉산리 1183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월세</t>
        </is>
      </c>
      <c r="G860" s="4" t="n">
        <v>3000</v>
      </c>
      <c r="H860" s="4" t="n">
        <v>110</v>
      </c>
      <c r="I860" s="4" t="n">
        <v>103</v>
      </c>
      <c r="J860" s="4" t="n">
        <v>31</v>
      </c>
      <c r="K860" s="5" t="n">
        <v>3.5</v>
      </c>
      <c r="L860" s="4" t="n">
        <v>89</v>
      </c>
      <c r="M860" s="4" t="n">
        <v>27</v>
      </c>
      <c r="N860" s="5" t="n">
        <v>4.1</v>
      </c>
      <c r="O860" s="3" t="inlineStr">
        <is>
          <t>풀옵션 주인세대 월세</t>
        </is>
      </c>
      <c r="P860" s="6">
        <f>HYPERLINK("https://fin.land.naver.com/articles/2650903679", "매물Link")</f>
        <v/>
      </c>
      <c r="Q860" s="6">
        <f>HYPERLINK("https://map.naver.com/p/search/오송읍 봉산리 1183", "지도Link")</f>
        <v/>
      </c>
      <c r="R860" s="6">
        <f>HYPERLINK("http://www.eum.go.kr/web/ar/lu/luLandDet.jsp?pnu=4311325031111830000&amp;isNoScr=script&amp;mode=search", "토지이음")</f>
        <v/>
      </c>
      <c r="S860" s="3" t="inlineStr">
        <is>
          <t>오송좋은날</t>
        </is>
      </c>
      <c r="T860" s="4" t="n">
        <v>1</v>
      </c>
      <c r="U860" s="5" t="n">
        <v>250.2</v>
      </c>
      <c r="V860" s="4" t="n">
        <v>263.7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소로각지</t>
        </is>
      </c>
    </row>
    <row r="861">
      <c r="A861" s="3" t="inlineStr">
        <is>
          <t>오송읍 봉산리 1186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1000</v>
      </c>
      <c r="H861" s="4" t="n">
        <v>61</v>
      </c>
      <c r="I861" s="4" t="n">
        <v>62</v>
      </c>
      <c r="J861" s="4" t="n">
        <v>19</v>
      </c>
      <c r="K861" s="5" t="n">
        <v>3.2</v>
      </c>
      <c r="L861" s="4" t="n">
        <v>33</v>
      </c>
      <c r="M861" s="4" t="n">
        <v>10</v>
      </c>
      <c r="N861" s="5" t="n">
        <v>6.1</v>
      </c>
      <c r="O861" s="3" t="inlineStr">
        <is>
          <t>입주일 조율가능,신축 예쁜 투베이,아일랜드식탁옵션</t>
        </is>
      </c>
      <c r="P861" s="6">
        <f>HYPERLINK("https://fin.land.naver.com/articles/2654957451", "매물Link")</f>
        <v/>
      </c>
      <c r="Q861" s="6">
        <f>HYPERLINK("https://map.naver.com/p/search/오송읍 봉산리 1186", "지도Link")</f>
        <v/>
      </c>
      <c r="R861" s="6">
        <f>HYPERLINK("http://www.eum.go.kr/web/ar/lu/luLandDet.jsp?pnu=4311325031111860000&amp;isNoScr=script&amp;mode=search",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236</v>
      </c>
      <c r="V861" s="4" t="n">
        <v>269.8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1193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일반원룸</t>
        </is>
      </c>
      <c r="F862" s="3" t="inlineStr">
        <is>
          <t>전세</t>
        </is>
      </c>
      <c r="G862" s="4" t="n">
        <v>5000</v>
      </c>
      <c r="H862" s="4" t="n">
        <v>0</v>
      </c>
      <c r="I862" s="4" t="n">
        <v>150</v>
      </c>
      <c r="J862" s="4" t="n">
        <v>45</v>
      </c>
      <c r="K862" s="5" t="n">
        <v>111.1</v>
      </c>
      <c r="L862" s="4" t="n">
        <v>30</v>
      </c>
      <c r="M862" s="4" t="n">
        <v>9</v>
      </c>
      <c r="N862" s="5" t="n">
        <v>555.6</v>
      </c>
      <c r="O862" s="3" t="inlineStr">
        <is>
          <t>투베이 신축건물로 깨끗한집 오송역세권으로 인프라좋고 주변편의시설확충</t>
        </is>
      </c>
      <c r="P862" s="6">
        <f>HYPERLINK("https://fin.land.naver.com/articles/2652549404", "매물Link")</f>
        <v/>
      </c>
      <c r="Q862" s="6">
        <f>HYPERLINK("https://map.naver.com/p/search/오송읍 봉산리 1193", "지도Link")</f>
        <v/>
      </c>
      <c r="R862" s="6">
        <f>HYPERLINK("http://www.eum.go.kr/web/ar/lu/luLandDet.jsp?pnu=4311325031111930000&amp;isNoScr=script&amp;mode=search", "토지이음")</f>
        <v/>
      </c>
      <c r="S862" s="3" t="inlineStr">
        <is>
          <t>하림</t>
        </is>
      </c>
      <c r="T862" s="4" t="n">
        <v>1</v>
      </c>
      <c r="U862" s="5" t="n">
        <v>236</v>
      </c>
      <c r="V862" s="4" t="n">
        <v>265.3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1194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300</v>
      </c>
      <c r="H863" s="4" t="n">
        <v>45</v>
      </c>
      <c r="I863" s="4" t="n">
        <v>131</v>
      </c>
      <c r="J863" s="4" t="n">
        <v>40</v>
      </c>
      <c r="K863" s="5" t="n">
        <v>1.1</v>
      </c>
      <c r="L863" s="4" t="n">
        <v>14</v>
      </c>
      <c r="M863" s="4" t="n">
        <v>4</v>
      </c>
      <c r="N863" s="5" t="n">
        <v>11.2</v>
      </c>
      <c r="O863" s="3" t="inlineStr">
        <is>
          <t>원룸 오송역세권으로 인프라좋고 주변편의시설확충  대형무료주차장근처</t>
        </is>
      </c>
      <c r="P863" s="6">
        <f>HYPERLINK("https://fin.land.naver.com/articles/2654518835", "매물Link")</f>
        <v/>
      </c>
      <c r="Q863" s="6">
        <f>HYPERLINK("https://map.naver.com/p/search/오송읍 봉산리 1194", "지도Link")</f>
        <v/>
      </c>
      <c r="R863" s="6">
        <f>HYPERLINK("http://www.eum.go.kr/web/ar/lu/luLandDet.jsp?pnu=4311325031111940000&amp;isNoScr=script&amp;mode=search",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250.2</v>
      </c>
      <c r="V863" s="4" t="n">
        <v>259.1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소로각지</t>
        </is>
      </c>
    </row>
    <row r="864">
      <c r="A864" s="3" t="inlineStr">
        <is>
          <t>오송읍 봉산리 1194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145000</v>
      </c>
      <c r="H864" s="4" t="n">
        <v>0</v>
      </c>
      <c r="I864" s="4" t="n">
        <v>259</v>
      </c>
      <c r="J864" s="4" t="n">
        <v>78</v>
      </c>
      <c r="K864" s="5" t="n">
        <v>1859</v>
      </c>
      <c r="L864" s="4" t="n">
        <v>486</v>
      </c>
      <c r="M864" s="4" t="n">
        <v>147</v>
      </c>
      <c r="N864" s="5" t="n">
        <v>986.4</v>
      </c>
      <c r="O864" s="3" t="inlineStr">
        <is>
          <t>통매매 역세권의  인프라좋고 주변편의시설확충 신축건물로 가격절충함</t>
        </is>
      </c>
      <c r="P864" s="6">
        <f>HYPERLINK("https://fin.land.naver.com/articles/2650969297", "매물Link")</f>
        <v/>
      </c>
      <c r="Q864" s="6">
        <f>HYPERLINK("https://map.naver.com/p/search/오송읍 봉산리 1194", "지도Link")</f>
        <v/>
      </c>
      <c r="R864" s="6">
        <f>HYPERLINK("http://www.eum.go.kr/web/ar/lu/luLandDet.jsp?pnu=4311325031111940000&amp;isNoScr=script&amp;mode=search", "토지이음")</f>
        <v/>
      </c>
      <c r="S864" s="3" t="inlineStr">
        <is>
          <t>하림</t>
        </is>
      </c>
      <c r="T864" s="4" t="n">
        <v>1</v>
      </c>
      <c r="U864" s="5" t="n">
        <v>250.2</v>
      </c>
      <c r="V864" s="4" t="n">
        <v>259.1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소로각지</t>
        </is>
      </c>
    </row>
    <row r="865">
      <c r="A865" s="3" t="inlineStr">
        <is>
          <t>오송읍 봉산리 1194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55</v>
      </c>
      <c r="I865" s="4" t="n">
        <v>131</v>
      </c>
      <c r="J865" s="4" t="n">
        <v>40</v>
      </c>
      <c r="K865" s="5" t="n">
        <v>1.4</v>
      </c>
      <c r="L865" s="4" t="n">
        <v>28</v>
      </c>
      <c r="M865" s="4" t="n">
        <v>8</v>
      </c>
      <c r="N865" s="5" t="n">
        <v>6.9</v>
      </c>
      <c r="O865" s="3" t="inlineStr">
        <is>
          <t>투베이 오송역세권10분거리 인프라좋고 주변편의시설확충 공원 산책로</t>
        </is>
      </c>
      <c r="P865" s="6">
        <f>HYPERLINK("https://fin.land.naver.com/articles/2652697463", "매물Link")</f>
        <v/>
      </c>
      <c r="Q865" s="6">
        <f>HYPERLINK("https://map.naver.com/p/search/오송읍 봉산리 1194", "지도Link")</f>
        <v/>
      </c>
      <c r="R865" s="6">
        <f>HYPERLINK("http://www.eum.go.kr/web/ar/lu/luLandDet.jsp?pnu=4311325031111940000&amp;isNoScr=script&amp;mode=search", "토지이음")</f>
        <v/>
      </c>
      <c r="S865" s="3" t="inlineStr">
        <is>
          <t>하림</t>
        </is>
      </c>
      <c r="T865" s="4" t="n">
        <v>1</v>
      </c>
      <c r="U865" s="5" t="n">
        <v>250.2</v>
      </c>
      <c r="V865" s="4" t="n">
        <v>259.1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소로각지</t>
        </is>
      </c>
    </row>
    <row r="866">
      <c r="A866" s="3" t="inlineStr">
        <is>
          <t>오송읍 봉산리 1194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145000</v>
      </c>
      <c r="H866" s="4" t="n">
        <v>0</v>
      </c>
      <c r="I866" s="4" t="n">
        <v>259</v>
      </c>
      <c r="J866" s="4" t="n">
        <v>78</v>
      </c>
      <c r="K866" s="5" t="n">
        <v>1859</v>
      </c>
      <c r="L866" s="4" t="n">
        <v>486</v>
      </c>
      <c r="M866" s="4" t="n">
        <v>147</v>
      </c>
      <c r="N866" s="5" t="n">
        <v>986.4</v>
      </c>
      <c r="O866" s="3" t="inlineStr">
        <is>
          <t>상가 같이 이용가능, 월세 개선 여지있음, 코너건물</t>
        </is>
      </c>
      <c r="P866" s="6">
        <f>HYPERLINK("https://fin.land.naver.com/articles/2653990834", "매물Link")</f>
        <v/>
      </c>
      <c r="Q866" s="6">
        <f>HYPERLINK("https://map.naver.com/p/search/오송읍 봉산리 1194", "지도Link")</f>
        <v/>
      </c>
      <c r="R866" s="6">
        <f>HYPERLINK("http://www.eum.go.kr/web/ar/lu/luLandDet.jsp?pnu=4311325031111940000&amp;isNoScr=script&amp;mode=search", "토지이음")</f>
        <v/>
      </c>
      <c r="S866" s="3" t="inlineStr">
        <is>
          <t>프로</t>
        </is>
      </c>
      <c r="T866" s="4" t="n">
        <v>2</v>
      </c>
      <c r="U866" s="5" t="n">
        <v>250.2</v>
      </c>
      <c r="V866" s="4" t="n">
        <v>259.1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소로각지</t>
        </is>
      </c>
    </row>
    <row r="867">
      <c r="A867" s="3" t="inlineStr">
        <is>
          <t>오송읍 봉산리 1194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단독</t>
        </is>
      </c>
      <c r="F867" s="3" t="inlineStr">
        <is>
          <t>매매</t>
        </is>
      </c>
      <c r="G867" s="4" t="n">
        <v>145000</v>
      </c>
      <c r="H867" s="4" t="n">
        <v>0</v>
      </c>
      <c r="I867" s="4" t="n">
        <v>259</v>
      </c>
      <c r="J867" s="4" t="n">
        <v>78</v>
      </c>
      <c r="K867" s="5" t="n">
        <v>1859</v>
      </c>
      <c r="L867" s="4" t="n">
        <v>486</v>
      </c>
      <c r="M867" s="4" t="n">
        <v>147</v>
      </c>
      <c r="N867" s="5" t="n">
        <v>986.4</v>
      </c>
      <c r="O867" s="3" t="inlineStr">
        <is>
          <t>3면코너 건물로 따스한 햇살이 잘드는 세대</t>
        </is>
      </c>
      <c r="P867" s="6">
        <f>HYPERLINK("https://fin.land.naver.com/articles/2654014682", "매물Link")</f>
        <v/>
      </c>
      <c r="Q867" s="6">
        <f>HYPERLINK("https://map.naver.com/p/search/오송읍 봉산리 1194", "지도Link")</f>
        <v/>
      </c>
      <c r="R867" s="6">
        <f>HYPERLINK("http://www.eum.go.kr/web/ar/lu/luLandDet.jsp?pnu=4311325031111940000&amp;isNoScr=script&amp;mode=search", "토지이음")</f>
        <v/>
      </c>
      <c r="S867" s="3" t="inlineStr">
        <is>
          <t>오송2단지창조</t>
        </is>
      </c>
      <c r="T867" s="4" t="n">
        <v>2</v>
      </c>
      <c r="U867" s="5" t="n">
        <v>250.2</v>
      </c>
      <c r="V867" s="4" t="n">
        <v>259.1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1198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3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55</v>
      </c>
      <c r="I868" s="4" t="n">
        <v>0</v>
      </c>
      <c r="J868" s="4" t="n">
        <v>0</v>
      </c>
      <c r="K868" s="5" t="n">
        <v>0</v>
      </c>
      <c r="L868" s="4" t="n">
        <v>27</v>
      </c>
      <c r="M868" s="4" t="n">
        <v>8</v>
      </c>
      <c r="N868" s="5" t="n">
        <v>6.9</v>
      </c>
      <c r="O868" s="3" t="inlineStr">
        <is>
          <t>nan</t>
        </is>
      </c>
      <c r="P868" s="6">
        <f>HYPERLINK("https://fin.land.naver.com/articles/2655195412", "매물Link")</f>
        <v/>
      </c>
      <c r="Q868" s="6">
        <f>HYPERLINK("https://map.naver.com/p/search/오송읍 봉산리 1198", "지도Link")</f>
        <v/>
      </c>
      <c r="R868" s="6">
        <f>HYPERLINK("http://www.eum.go.kr/web/ar/lu/luLandDet.jsp?pnu=4311325031111980000&amp;isNoScr=script&amp;mode=search", "토지이음")</f>
        <v/>
      </c>
      <c r="S868" s="3" t="inlineStr">
        <is>
          <t>오송메카</t>
        </is>
      </c>
      <c r="T868" s="4" t="n">
        <v>1</v>
      </c>
      <c r="U868" s="5" t="n">
        <v>206.3</v>
      </c>
      <c r="V868" s="4" t="n">
        <v>265.3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1199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3</t>
        </is>
      </c>
      <c r="E869" s="3" t="inlineStr">
        <is>
          <t>단독</t>
        </is>
      </c>
      <c r="F869" s="3" t="inlineStr">
        <is>
          <t>전세</t>
        </is>
      </c>
      <c r="G869" s="4" t="n">
        <v>17000</v>
      </c>
      <c r="H869" s="4" t="n">
        <v>0</v>
      </c>
      <c r="I869" s="4" t="n">
        <v>107</v>
      </c>
      <c r="J869" s="4" t="n">
        <v>32</v>
      </c>
      <c r="K869" s="5" t="n">
        <v>531.2</v>
      </c>
      <c r="L869" s="4" t="n">
        <v>83</v>
      </c>
      <c r="M869" s="4" t="n">
        <v>25</v>
      </c>
      <c r="N869" s="5" t="n">
        <v>680</v>
      </c>
      <c r="O869" s="3" t="inlineStr">
        <is>
          <t>오송역과 가까운 3룸전세</t>
        </is>
      </c>
      <c r="P869" s="6">
        <f>HYPERLINK("https://fin.land.naver.com/articles/2652510677", "매물Link")</f>
        <v/>
      </c>
      <c r="Q869" s="6">
        <f>HYPERLINK("https://map.naver.com/p/search/오송읍 봉산리 1199", "지도Link")</f>
        <v/>
      </c>
      <c r="R869" s="6">
        <f>HYPERLINK("http://www.eum.go.kr/web/ar/lu/luLandDet.jsp?pnu=4311325031111990000&amp;isNoScr=script&amp;mode=search", "토지이음")</f>
        <v/>
      </c>
      <c r="S869" s="3" t="inlineStr">
        <is>
          <t>세종오송</t>
        </is>
      </c>
      <c r="T869" s="4" t="n">
        <v>1</v>
      </c>
      <c r="U869" s="5" t="n">
        <v>305.4</v>
      </c>
      <c r="V869" s="4" t="n">
        <v>258.7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1202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150000</v>
      </c>
      <c r="H870" s="4" t="n">
        <v>0</v>
      </c>
      <c r="I870" s="4" t="n">
        <v>264</v>
      </c>
      <c r="J870" s="4" t="n">
        <v>80</v>
      </c>
      <c r="K870" s="5" t="n">
        <v>1875</v>
      </c>
      <c r="L870" s="4" t="n">
        <v>425</v>
      </c>
      <c r="M870" s="4" t="n">
        <v>129</v>
      </c>
      <c r="N870" s="5" t="n">
        <v>1162.8</v>
      </c>
      <c r="O870" s="3" t="inlineStr">
        <is>
          <t>nan</t>
        </is>
      </c>
      <c r="P870" s="6">
        <f>HYPERLINK("https://fin.land.naver.com/articles/2650894954", "매물Link")</f>
        <v/>
      </c>
      <c r="Q870" s="6">
        <f>HYPERLINK("https://map.naver.com/p/search/오송읍 봉산리 1202", "지도Link")</f>
        <v/>
      </c>
      <c r="R870" s="6">
        <f>HYPERLINK("http://www.eum.go.kr/web/ar/lu/luLandDet.jsp?pnu=4311325031112020000&amp;isNoScr=script&amp;mode=search",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206.3</v>
      </c>
      <c r="V870" s="4" t="n">
        <v>264.9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1202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155000</v>
      </c>
      <c r="H871" s="4" t="n">
        <v>0</v>
      </c>
      <c r="I871" s="4" t="n">
        <v>264</v>
      </c>
      <c r="J871" s="4" t="n">
        <v>80</v>
      </c>
      <c r="K871" s="5" t="n">
        <v>1937.5</v>
      </c>
      <c r="L871" s="4" t="n">
        <v>425</v>
      </c>
      <c r="M871" s="4" t="n">
        <v>129</v>
      </c>
      <c r="N871" s="5" t="n">
        <v>1201.6</v>
      </c>
      <c r="O871" s="3" t="inlineStr">
        <is>
          <t>KTX 오송역 도보 5분. 월700만. 즉시 수익 가능한 매물</t>
        </is>
      </c>
      <c r="P871" s="6">
        <f>HYPERLINK("https://fin.land.naver.com/articles/2653394596", "매물Link")</f>
        <v/>
      </c>
      <c r="Q871" s="6">
        <f>HYPERLINK("https://map.naver.com/p/search/오송읍 봉산리 1202", "지도Link")</f>
        <v/>
      </c>
      <c r="R871" s="6">
        <f>HYPERLINK("http://www.eum.go.kr/web/ar/lu/luLandDet.jsp?pnu=4311325031112020000&amp;isNoScr=script&amp;mode=search", "토지이음")</f>
        <v/>
      </c>
      <c r="S871" s="3" t="inlineStr">
        <is>
          <t>당근플러스</t>
        </is>
      </c>
      <c r="T871" s="4" t="n">
        <v>1</v>
      </c>
      <c r="U871" s="5" t="n">
        <v>206.3</v>
      </c>
      <c r="V871" s="4" t="n">
        <v>264.9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1202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264</v>
      </c>
      <c r="J872" s="4" t="n">
        <v>80</v>
      </c>
      <c r="K872" s="5" t="n">
        <v>1812.5</v>
      </c>
      <c r="L872" s="4" t="n">
        <v>425</v>
      </c>
      <c r="M872" s="4" t="n">
        <v>129</v>
      </c>
      <c r="N872" s="5" t="n">
        <v>1124</v>
      </c>
      <c r="O872" s="3" t="inlineStr">
        <is>
          <t>원룸촌 중앙에 위치한 조망권과 수익률 좋은 남향 건물</t>
        </is>
      </c>
      <c r="P872" s="6">
        <f>HYPERLINK("https://fin.land.naver.com/articles/2653090954", "매물Link")</f>
        <v/>
      </c>
      <c r="Q872" s="6">
        <f>HYPERLINK("https://map.naver.com/p/search/오송읍 봉산리 1202", "지도Link")</f>
        <v/>
      </c>
      <c r="R872" s="6">
        <f>HYPERLINK("http://www.eum.go.kr/web/ar/lu/luLandDet.jsp?pnu=4311325031112020000&amp;isNoScr=script&amp;mode=search", "토지이음")</f>
        <v/>
      </c>
      <c r="S872" s="3" t="inlineStr">
        <is>
          <t>아시아</t>
        </is>
      </c>
      <c r="T872" s="4" t="n">
        <v>1</v>
      </c>
      <c r="U872" s="5" t="n">
        <v>206.3</v>
      </c>
      <c r="V872" s="4" t="n">
        <v>264.9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1202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155000</v>
      </c>
      <c r="H873" s="4" t="n">
        <v>0</v>
      </c>
      <c r="I873" s="4" t="n">
        <v>264</v>
      </c>
      <c r="J873" s="4" t="n">
        <v>80</v>
      </c>
      <c r="K873" s="5" t="n">
        <v>1937.5</v>
      </c>
      <c r="L873" s="4" t="n">
        <v>425</v>
      </c>
      <c r="M873" s="4" t="n">
        <v>129</v>
      </c>
      <c r="N873" s="5" t="n">
        <v>1201.6</v>
      </c>
      <c r="O873" s="3" t="inlineStr">
        <is>
          <t>관리잘된 신축 풀옵션 다가구, A급 가전제품 주인세대, 콩자갈 시공</t>
        </is>
      </c>
      <c r="P873" s="6">
        <f>HYPERLINK("https://fin.land.naver.com/articles/2652538057", "매물Link")</f>
        <v/>
      </c>
      <c r="Q873" s="6">
        <f>HYPERLINK("https://map.naver.com/p/search/오송읍 봉산리 1202", "지도Link")</f>
        <v/>
      </c>
      <c r="R873" s="6">
        <f>HYPERLINK("http://www.eum.go.kr/web/ar/lu/luLandDet.jsp?pnu=4311325031112020000&amp;isNoScr=script&amp;mode=search", "토지이음")</f>
        <v/>
      </c>
      <c r="S873" s="3" t="inlineStr">
        <is>
          <t>세종늘푸름</t>
        </is>
      </c>
      <c r="T873" s="4" t="n">
        <v>2</v>
      </c>
      <c r="U873" s="5" t="n">
        <v>206.3</v>
      </c>
      <c r="V873" s="4" t="n">
        <v>264.9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1202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145000</v>
      </c>
      <c r="H874" s="4" t="n">
        <v>0</v>
      </c>
      <c r="I874" s="4" t="n">
        <v>264</v>
      </c>
      <c r="J874" s="4" t="n">
        <v>80</v>
      </c>
      <c r="K874" s="5" t="n">
        <v>1812.5</v>
      </c>
      <c r="L874" s="4" t="n">
        <v>425</v>
      </c>
      <c r="M874" s="4" t="n">
        <v>129</v>
      </c>
      <c r="N874" s="5" t="n">
        <v>1124</v>
      </c>
      <c r="O874" s="3" t="inlineStr">
        <is>
          <t>오송역 도보권 신축 풀옵션 상가주택 급매 수익율 좋아요</t>
        </is>
      </c>
      <c r="P874" s="6">
        <f>HYPERLINK("https://fin.land.naver.com/articles/2654610289", "매물Link")</f>
        <v/>
      </c>
      <c r="Q874" s="6">
        <f>HYPERLINK("https://map.naver.com/p/search/오송읍 봉산리 1202", "지도Link")</f>
        <v/>
      </c>
      <c r="R874" s="6">
        <f>HYPERLINK("http://www.eum.go.kr/web/ar/lu/luLandDet.jsp?pnu=4311325031112020000&amp;isNoScr=script&amp;mode=search", "토지이음")</f>
        <v/>
      </c>
      <c r="S874" s="3" t="inlineStr">
        <is>
          <t>아임</t>
        </is>
      </c>
      <c r="T874" s="4" t="n">
        <v>1</v>
      </c>
      <c r="U874" s="5" t="n">
        <v>206.3</v>
      </c>
      <c r="V874" s="4" t="n">
        <v>264.9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1202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155000</v>
      </c>
      <c r="H875" s="4" t="n">
        <v>0</v>
      </c>
      <c r="I875" s="4" t="n">
        <v>264</v>
      </c>
      <c r="J875" s="4" t="n">
        <v>80</v>
      </c>
      <c r="K875" s="5" t="n">
        <v>1937.5</v>
      </c>
      <c r="L875" s="4" t="n">
        <v>425</v>
      </c>
      <c r="M875" s="4" t="n">
        <v>129</v>
      </c>
      <c r="N875" s="5" t="n">
        <v>1201.6</v>
      </c>
      <c r="O875" s="3" t="inlineStr">
        <is>
          <t>오송역세권. 가치상승 기대. 관리 잘 된 상가주택매매</t>
        </is>
      </c>
      <c r="P875" s="6">
        <f>HYPERLINK("https://fin.land.naver.com/articles/2651061208", "매물Link")</f>
        <v/>
      </c>
      <c r="Q875" s="6">
        <f>HYPERLINK("https://map.naver.com/p/search/오송읍 봉산리 1202", "지도Link")</f>
        <v/>
      </c>
      <c r="R875" s="6">
        <f>HYPERLINK("http://www.eum.go.kr/web/ar/lu/luLandDet.jsp?pnu=4311325031112020000&amp;isNoScr=script&amp;mode=search", "토지이음")</f>
        <v/>
      </c>
      <c r="S875" s="3" t="inlineStr">
        <is>
          <t>노른자</t>
        </is>
      </c>
      <c r="T875" s="4" t="n">
        <v>1</v>
      </c>
      <c r="U875" s="5" t="n">
        <v>206.3</v>
      </c>
      <c r="V875" s="4" t="n">
        <v>264.9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1202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155000</v>
      </c>
      <c r="H876" s="4" t="n">
        <v>0</v>
      </c>
      <c r="I876" s="4" t="n">
        <v>264</v>
      </c>
      <c r="J876" s="4" t="n">
        <v>80</v>
      </c>
      <c r="K876" s="5" t="n">
        <v>1937.5</v>
      </c>
      <c r="L876" s="4" t="n">
        <v>425</v>
      </c>
      <c r="M876" s="4" t="n">
        <v>129</v>
      </c>
      <c r="N876" s="5" t="n">
        <v>1201.6</v>
      </c>
      <c r="O876" s="3" t="inlineStr">
        <is>
          <t>오송역 인근 내부 시설 및 가전 가구 풀 옵션  공실 적은 인기 단독주택</t>
        </is>
      </c>
      <c r="P876" s="6">
        <f>HYPERLINK("https://fin.land.naver.com/articles/2651983794", "매물Link")</f>
        <v/>
      </c>
      <c r="Q876" s="6">
        <f>HYPERLINK("https://map.naver.com/p/search/오송읍 봉산리 1202", "지도Link")</f>
        <v/>
      </c>
      <c r="R876" s="6">
        <f>HYPERLINK("http://www.eum.go.kr/web/ar/lu/luLandDet.jsp?pnu=4311325031112020000&amp;isNoScr=script&amp;mode=search", "토지이음")</f>
        <v/>
      </c>
      <c r="S876" s="3" t="inlineStr">
        <is>
          <t>오송퍼스트영웅</t>
        </is>
      </c>
      <c r="T876" s="4" t="n">
        <v>3</v>
      </c>
      <c r="U876" s="5" t="n">
        <v>206.3</v>
      </c>
      <c r="V876" s="4" t="n">
        <v>264.9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1215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55</v>
      </c>
      <c r="I877" s="4" t="n">
        <v>137</v>
      </c>
      <c r="J877" s="4" t="n">
        <v>41</v>
      </c>
      <c r="K877" s="5" t="n">
        <v>1.3</v>
      </c>
      <c r="L877" s="4" t="n">
        <v>33</v>
      </c>
      <c r="M877" s="4" t="n">
        <v>10</v>
      </c>
      <c r="N877" s="5" t="n">
        <v>5.5</v>
      </c>
      <c r="O877" s="3" t="inlineStr">
        <is>
          <t>신축투베이 오송역세권10분거리  인프라좋고 주변 편의시설확충 공원산책로</t>
        </is>
      </c>
      <c r="P877" s="6">
        <f>HYPERLINK("https://fin.land.naver.com/articles/2652407860", "매물Link")</f>
        <v/>
      </c>
      <c r="Q877" s="6">
        <f>HYPERLINK("https://map.naver.com/p/search/오송읍 봉산리 1215", "지도Link")</f>
        <v/>
      </c>
      <c r="R877" s="6">
        <f>HYPERLINK("http://www.eum.go.kr/web/ar/lu/luLandDet.jsp?pnu=4311325031112150000&amp;isNoScr=script&amp;mode=search", "토지이음")</f>
        <v/>
      </c>
      <c r="S877" s="3" t="inlineStr">
        <is>
          <t>하림</t>
        </is>
      </c>
      <c r="T877" s="4" t="n">
        <v>1</v>
      </c>
      <c r="U877" s="5" t="n">
        <v>339.2</v>
      </c>
      <c r="V877" s="4" t="n">
        <v>270.1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1223</t>
        </is>
      </c>
      <c r="B878" s="3" t="inlineStr">
        <is>
          <t>준주거지역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310000</v>
      </c>
      <c r="H878" s="4" t="n">
        <v>0</v>
      </c>
      <c r="I878" s="4" t="n">
        <v>412</v>
      </c>
      <c r="J878" s="4" t="n">
        <v>125</v>
      </c>
      <c r="K878" s="5" t="n">
        <v>2480</v>
      </c>
      <c r="L878" s="4" t="n">
        <v>818</v>
      </c>
      <c r="M878" s="4" t="n">
        <v>247</v>
      </c>
      <c r="N878" s="5" t="n">
        <v>1255.1</v>
      </c>
      <c r="O878" s="3" t="inlineStr">
        <is>
          <t>오송역 도보10분 산단인근 19세대 통으로 인수 신축 역세권 인프라</t>
        </is>
      </c>
      <c r="P878" s="6">
        <f>HYPERLINK("https://fin.land.naver.com/articles/2655361457", "매물Link")</f>
        <v/>
      </c>
      <c r="Q878" s="6">
        <f>HYPERLINK("https://map.naver.com/p/search/오송읍 봉산리 1223", "지도Link")</f>
        <v/>
      </c>
      <c r="R878" s="6">
        <f>HYPERLINK("http://www.eum.go.kr/web/ar/lu/luLandDet.jsp?pnu=4311325031112230000&amp;isNoScr=script&amp;mode=search",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611.9</v>
      </c>
      <c r="V878" s="4" t="n">
        <v>412</v>
      </c>
      <c r="W878" s="3" t="inlineStr">
        <is>
          <t>지정되지않음</t>
        </is>
      </c>
      <c r="X878" s="3" t="inlineStr">
        <is>
          <t>상업나지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중로각지</t>
        </is>
      </c>
    </row>
    <row r="879">
      <c r="A879" s="3" t="inlineStr">
        <is>
          <t>오송읍 봉산리 1223</t>
        </is>
      </c>
      <c r="B879" s="3" t="inlineStr">
        <is>
          <t>준주거지역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매매</t>
        </is>
      </c>
      <c r="G879" s="4" t="n">
        <v>310000</v>
      </c>
      <c r="H879" s="4" t="n">
        <v>0</v>
      </c>
      <c r="I879" s="4" t="n">
        <v>412</v>
      </c>
      <c r="J879" s="4" t="n">
        <v>125</v>
      </c>
      <c r="K879" s="5" t="n">
        <v>2480</v>
      </c>
      <c r="L879" s="4" t="n">
        <v>818</v>
      </c>
      <c r="M879" s="4" t="n">
        <v>247</v>
      </c>
      <c r="N879" s="5" t="n">
        <v>1255.1</v>
      </c>
      <c r="O879" s="3" t="inlineStr">
        <is>
          <t>통매매 신축원룸 오송역세권10분거리 인프라좋고 주변편의시설확충 풀옵션완비</t>
        </is>
      </c>
      <c r="P879" s="6">
        <f>HYPERLINK("https://fin.land.naver.com/articles/2655704281", "매물Link")</f>
        <v/>
      </c>
      <c r="Q879" s="6">
        <f>HYPERLINK("https://map.naver.com/p/search/오송읍 봉산리 1223", "지도Link")</f>
        <v/>
      </c>
      <c r="R879" s="6">
        <f>HYPERLINK("http://www.eum.go.kr/web/ar/lu/luLandDet.jsp?pnu=4311325031112230000&amp;isNoScr=script&amp;mode=search", "토지이음")</f>
        <v/>
      </c>
      <c r="S879" s="3" t="inlineStr">
        <is>
          <t>하림</t>
        </is>
      </c>
      <c r="T879" s="4" t="n">
        <v>1</v>
      </c>
      <c r="U879" s="5" t="n">
        <v>611.9</v>
      </c>
      <c r="V879" s="4" t="n">
        <v>412</v>
      </c>
      <c r="W879" s="3" t="inlineStr">
        <is>
          <t>지정되지않음</t>
        </is>
      </c>
      <c r="X879" s="3" t="inlineStr">
        <is>
          <t>상업나지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1226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2</t>
        </is>
      </c>
      <c r="E880" s="3" t="inlineStr">
        <is>
          <t>상가주택</t>
        </is>
      </c>
      <c r="F880" s="3" t="inlineStr">
        <is>
          <t>월세</t>
        </is>
      </c>
      <c r="G880" s="4" t="n">
        <v>2000</v>
      </c>
      <c r="H880" s="4" t="n">
        <v>100</v>
      </c>
      <c r="I880" s="4" t="n">
        <v>84</v>
      </c>
      <c r="J880" s="4" t="n">
        <v>25</v>
      </c>
      <c r="K880" s="5" t="n">
        <v>4</v>
      </c>
      <c r="L880" s="4" t="n">
        <v>58</v>
      </c>
      <c r="M880" s="4" t="n">
        <v>18</v>
      </c>
      <c r="N880" s="5" t="n">
        <v>5.6</v>
      </c>
      <c r="O880" s="3" t="inlineStr">
        <is>
          <t>큰길가위치,신축쓰리룸</t>
        </is>
      </c>
      <c r="P880" s="6">
        <f>HYPERLINK("https://fin.land.naver.com/articles/2650881492", "매물Link")</f>
        <v/>
      </c>
      <c r="Q880" s="6">
        <f>HYPERLINK("https://map.naver.com/p/search/오송읍 봉산리 1226", "지도Link")</f>
        <v/>
      </c>
      <c r="R880" s="6">
        <f>HYPERLINK("http://www.eum.go.kr/web/ar/lu/luLandDet.jsp?pnu=4311325031112260000&amp;isNoScr=script&amp;mode=search", "토지이음")</f>
        <v/>
      </c>
      <c r="S880" s="3" t="inlineStr">
        <is>
          <t>프로</t>
        </is>
      </c>
      <c r="T880" s="4" t="n">
        <v>1</v>
      </c>
      <c r="U880" s="5" t="n">
        <v>339.2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1226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0</t>
        </is>
      </c>
      <c r="E881" s="3" t="inlineStr">
        <is>
          <t>단독</t>
        </is>
      </c>
      <c r="F881" s="3" t="inlineStr">
        <is>
          <t>월세</t>
        </is>
      </c>
      <c r="G881" s="4" t="n">
        <v>2000</v>
      </c>
      <c r="H881" s="4" t="n">
        <v>95</v>
      </c>
      <c r="I881" s="4" t="n">
        <v>52</v>
      </c>
      <c r="J881" s="4" t="n">
        <v>16</v>
      </c>
      <c r="K881" s="5" t="n">
        <v>5.9</v>
      </c>
      <c r="L881" s="4" t="n">
        <v>52</v>
      </c>
      <c r="M881" s="4" t="n">
        <v>16</v>
      </c>
      <c r="N881" s="5" t="n">
        <v>5.9</v>
      </c>
      <c r="O881" s="3" t="inlineStr">
        <is>
          <t>화장실 2개 방방에어컨. 회사 임원들이 쓰기 딱 좋은 쓰리룸 월세.</t>
        </is>
      </c>
      <c r="P881" s="6">
        <f>HYPERLINK("https://fin.land.naver.com/articles/2654561141", "매물Link")</f>
        <v/>
      </c>
      <c r="Q881" s="6">
        <f>HYPERLINK("https://map.naver.com/p/search/오송읍 봉산리 1226", "지도Link")</f>
        <v/>
      </c>
      <c r="R881" s="6">
        <f>HYPERLINK("http://www.eum.go.kr/web/ar/lu/luLandDet.jsp?pnu=4311325031112260000&amp;isNoScr=script&amp;mode=search", "토지이음")</f>
        <v/>
      </c>
      <c r="S881" s="3" t="inlineStr">
        <is>
          <t>오송미소</t>
        </is>
      </c>
      <c r="T881" s="4" t="n">
        <v>1</v>
      </c>
      <c r="U881" s="5" t="n">
        <v>339.2</v>
      </c>
      <c r="V881" s="4" t="n">
        <v>248.7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1232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다가구</t>
        </is>
      </c>
      <c r="F882" s="3" t="inlineStr">
        <is>
          <t>월세</t>
        </is>
      </c>
      <c r="G882" s="4" t="n">
        <v>500</v>
      </c>
      <c r="H882" s="4" t="n">
        <v>55</v>
      </c>
      <c r="I882" s="4" t="n">
        <v>125</v>
      </c>
      <c r="J882" s="4" t="n">
        <v>38</v>
      </c>
      <c r="K882" s="5" t="n">
        <v>1.4</v>
      </c>
      <c r="L882" s="4" t="n">
        <v>32</v>
      </c>
      <c r="M882" s="4" t="n">
        <v>10</v>
      </c>
      <c r="N882" s="5" t="n">
        <v>5.5</v>
      </c>
      <c r="O882" s="3" t="inlineStr">
        <is>
          <t>투베이 오송역세권으로 인프라좋고 주변편의시설확충 통근버스큰길부근</t>
        </is>
      </c>
      <c r="P882" s="6">
        <f>HYPERLINK("https://fin.land.naver.com/articles/2650944630", "매물Link")</f>
        <v/>
      </c>
      <c r="Q882" s="6">
        <f>HYPERLINK("https://map.naver.com/p/search/오송읍 봉산리 1232", "지도Link")</f>
        <v/>
      </c>
      <c r="R882" s="6">
        <f>HYPERLINK("http://www.eum.go.kr/web/ar/lu/luLandDet.jsp?pnu=4311325031112320000&amp;isNoScr=script&amp;mode=search",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1232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2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59</v>
      </c>
      <c r="I883" s="4" t="n">
        <v>32</v>
      </c>
      <c r="J883" s="4" t="n">
        <v>10</v>
      </c>
      <c r="K883" s="5" t="n">
        <v>5.9</v>
      </c>
      <c r="L883" s="4" t="n">
        <v>32</v>
      </c>
      <c r="M883" s="4" t="n">
        <v>10</v>
      </c>
      <c r="N883" s="5" t="n">
        <v>5.9</v>
      </c>
      <c r="O883" s="3" t="inlineStr">
        <is>
          <t>예쁜 투베이.상권 부근.즉시입주가능.</t>
        </is>
      </c>
      <c r="P883" s="6">
        <f>HYPERLINK("https://fin.land.naver.com/articles/2651420256", "매물Link")</f>
        <v/>
      </c>
      <c r="Q883" s="6">
        <f>HYPERLINK("https://map.naver.com/p/search/오송읍 봉산리 1232", "지도Link")</f>
        <v/>
      </c>
      <c r="R883" s="6">
        <f>HYPERLINK("http://www.eum.go.kr/web/ar/lu/luLandDet.jsp?pnu=4311325031112320000&amp;isNoScr=script&amp;mode=search", "토지이음")</f>
        <v/>
      </c>
      <c r="S883" s="3" t="inlineStr">
        <is>
          <t>이룸</t>
        </is>
      </c>
      <c r="T883" s="4" t="n">
        <v>1</v>
      </c>
      <c r="U883" s="5" t="n">
        <v>339.2</v>
      </c>
      <c r="V883" s="4" t="n">
        <v>247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1232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58</v>
      </c>
      <c r="I884" s="4" t="n">
        <v>0</v>
      </c>
      <c r="J884" s="4" t="n">
        <v>0</v>
      </c>
      <c r="K884" s="5" t="n">
        <v>0</v>
      </c>
      <c r="L884" s="4" t="n">
        <v>32</v>
      </c>
      <c r="M884" s="4" t="n">
        <v>10</v>
      </c>
      <c r="N884" s="5" t="n">
        <v>5.8</v>
      </c>
      <c r="O884" s="3" t="inlineStr">
        <is>
          <t>즉시입주 가능, 대로변에 위치한 깔끔한 투베이 ,베란다 있어요 귀한매물</t>
        </is>
      </c>
      <c r="P884" s="6">
        <f>HYPERLINK("https://fin.land.naver.com/articles/2651362138", "매물Link")</f>
        <v/>
      </c>
      <c r="Q884" s="6">
        <f>HYPERLINK("https://map.naver.com/p/search/오송읍 봉산리 1232", "지도Link")</f>
        <v/>
      </c>
      <c r="R884" s="6">
        <f>HYPERLINK("http://www.eum.go.kr/web/ar/lu/luLandDet.jsp?pnu=4311325031112320000&amp;isNoScr=script&amp;mode=search", "토지이음")</f>
        <v/>
      </c>
      <c r="S884" s="3" t="inlineStr">
        <is>
          <t>오송바이오창조</t>
        </is>
      </c>
      <c r="T884" s="4" t="n">
        <v>4</v>
      </c>
      <c r="U884" s="5" t="n">
        <v>339.2</v>
      </c>
      <c r="V884" s="4" t="n">
        <v>247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1233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1000</v>
      </c>
      <c r="H885" s="4" t="n">
        <v>66</v>
      </c>
      <c r="I885" s="4" t="n">
        <v>68</v>
      </c>
      <c r="J885" s="4" t="n">
        <v>21</v>
      </c>
      <c r="K885" s="5" t="n">
        <v>3.1</v>
      </c>
      <c r="L885" s="4" t="n">
        <v>34</v>
      </c>
      <c r="M885" s="4" t="n">
        <v>10</v>
      </c>
      <c r="N885" s="5" t="n">
        <v>6.6</v>
      </c>
      <c r="O885" s="3" t="inlineStr">
        <is>
          <t>오송에서 가장 좋은 신축 투베이</t>
        </is>
      </c>
      <c r="P885" s="6">
        <f>HYPERLINK("https://fin.land.naver.com/articles/2653948610", "매물Link")</f>
        <v/>
      </c>
      <c r="Q885" s="6">
        <f>HYPERLINK("https://map.naver.com/p/search/오송읍 봉산리 1233", "지도Link")</f>
        <v/>
      </c>
      <c r="R885" s="6">
        <f>HYPERLINK("http://www.eum.go.kr/web/ar/lu/luLandDet.jsp?pnu=4311325031112330000&amp;isNoScr=script&amp;mode=search", "토지이음")</f>
        <v/>
      </c>
      <c r="S885" s="3" t="inlineStr">
        <is>
          <t>프로</t>
        </is>
      </c>
      <c r="T885" s="4" t="n">
        <v>1</v>
      </c>
      <c r="U885" s="5" t="n">
        <v>206.3</v>
      </c>
      <c r="V885" s="4" t="n">
        <v>247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1234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일반원룸</t>
        </is>
      </c>
      <c r="F886" s="3" t="inlineStr">
        <is>
          <t>월세</t>
        </is>
      </c>
      <c r="G886" s="4" t="n">
        <v>500</v>
      </c>
      <c r="H886" s="4" t="n">
        <v>50</v>
      </c>
      <c r="I886" s="4" t="n">
        <v>122</v>
      </c>
      <c r="J886" s="4" t="n">
        <v>37</v>
      </c>
      <c r="K886" s="5" t="n">
        <v>1.4</v>
      </c>
      <c r="L886" s="4" t="n">
        <v>18</v>
      </c>
      <c r="M886" s="4" t="n">
        <v>5</v>
      </c>
      <c r="N886" s="5" t="n">
        <v>10</v>
      </c>
      <c r="O886" s="3" t="inlineStr">
        <is>
          <t>원룸 오송역10분거리 인프라좋고 주변편의시설확충 파출소 마트 공원산책로</t>
        </is>
      </c>
      <c r="P886" s="6">
        <f>HYPERLINK("https://fin.land.naver.com/articles/2652827210", "매물Link")</f>
        <v/>
      </c>
      <c r="Q886" s="6">
        <f>HYPERLINK("https://map.naver.com/p/search/오송읍 봉산리 1234", "지도Link")</f>
        <v/>
      </c>
      <c r="R886" s="6">
        <f>HYPERLINK("http://www.eum.go.kr/web/ar/lu/luLandDet.jsp?pnu=4311325031112340000&amp;isNoScr=script&amp;mode=search",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206.3</v>
      </c>
      <c r="V886" s="4" t="n">
        <v>247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1235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월세</t>
        </is>
      </c>
      <c r="G887" s="4" t="n">
        <v>3000</v>
      </c>
      <c r="H887" s="4" t="n">
        <v>110</v>
      </c>
      <c r="I887" s="4" t="n">
        <v>0</v>
      </c>
      <c r="J887" s="4" t="n">
        <v>0</v>
      </c>
      <c r="K887" s="5" t="n">
        <v>0</v>
      </c>
      <c r="L887" s="4" t="n">
        <v>90</v>
      </c>
      <c r="M887" s="4" t="n">
        <v>27</v>
      </c>
      <c r="N887" s="5" t="n">
        <v>4.1</v>
      </c>
      <c r="O887" s="3" t="inlineStr">
        <is>
          <t>넓은테라스와 조용하고 남향의 깨끗한 집입니다</t>
        </is>
      </c>
      <c r="P887" s="6">
        <f>HYPERLINK("https://fin.land.naver.com/articles/2650536496", "매물Link")</f>
        <v/>
      </c>
      <c r="Q887" s="6">
        <f>HYPERLINK("https://map.naver.com/p/search/오송읍 봉산리 1235", "지도Link")</f>
        <v/>
      </c>
      <c r="R887" s="6">
        <f>HYPERLINK("http://www.eum.go.kr/web/ar/lu/luLandDet.jsp?pnu=4311325031112350000&amp;isNoScr=script&amp;mode=search", "토지이음")</f>
        <v/>
      </c>
      <c r="S887" s="3" t="inlineStr">
        <is>
          <t>태원</t>
        </is>
      </c>
      <c r="T887" s="4" t="n">
        <v>1</v>
      </c>
      <c r="U887" s="5" t="n">
        <v>206.3</v>
      </c>
      <c r="V887" s="4" t="n">
        <v>247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1235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월세</t>
        </is>
      </c>
      <c r="G888" s="4" t="n">
        <v>3000</v>
      </c>
      <c r="H888" s="4" t="n">
        <v>110</v>
      </c>
      <c r="I888" s="4" t="n">
        <v>0</v>
      </c>
      <c r="J888" s="4" t="n">
        <v>0</v>
      </c>
      <c r="K888" s="5" t="n">
        <v>0</v>
      </c>
      <c r="L888" s="4" t="n">
        <v>111</v>
      </c>
      <c r="M888" s="4" t="n">
        <v>34</v>
      </c>
      <c r="N888" s="5" t="n">
        <v>3.2</v>
      </c>
      <c r="O888" s="3" t="inlineStr">
        <is>
          <t>즉시입주. 2산단 주인세대. 대로변 탁 트인 시원한 뷰.</t>
        </is>
      </c>
      <c r="P888" s="6">
        <f>HYPERLINK("https://fin.land.naver.com/articles/2650986783", "매물Link")</f>
        <v/>
      </c>
      <c r="Q888" s="6">
        <f>HYPERLINK("https://map.naver.com/p/search/오송읍 봉산리 1235", "지도Link")</f>
        <v/>
      </c>
      <c r="R888" s="6">
        <f>HYPERLINK("http://www.eum.go.kr/web/ar/lu/luLandDet.jsp?pnu=4311325031112350000&amp;isNoScr=script&amp;mode=search", "토지이음")</f>
        <v/>
      </c>
      <c r="S888" s="3" t="inlineStr">
        <is>
          <t>당근플러스</t>
        </is>
      </c>
      <c r="T888" s="4" t="n">
        <v>2</v>
      </c>
      <c r="U888" s="5" t="n">
        <v>206.3</v>
      </c>
      <c r="V888" s="4" t="n">
        <v>247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1235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단독</t>
        </is>
      </c>
      <c r="F889" s="3" t="inlineStr">
        <is>
          <t>월세</t>
        </is>
      </c>
      <c r="G889" s="4" t="n">
        <v>3000</v>
      </c>
      <c r="H889" s="4" t="n">
        <v>120</v>
      </c>
      <c r="I889" s="4" t="n">
        <v>111</v>
      </c>
      <c r="J889" s="4" t="n">
        <v>34</v>
      </c>
      <c r="K889" s="5" t="n">
        <v>3.5</v>
      </c>
      <c r="L889" s="4" t="n">
        <v>90</v>
      </c>
      <c r="M889" s="4" t="n">
        <v>27</v>
      </c>
      <c r="N889" s="5" t="n">
        <v>4.4</v>
      </c>
      <c r="O889" s="3" t="inlineStr">
        <is>
          <t>주인세대 넓고 아늑한유럽식인테리어 뻥뷰기 기가막힌집 설명끝</t>
        </is>
      </c>
      <c r="P889" s="6">
        <f>HYPERLINK("https://fin.land.naver.com/articles/2652407122", "매물Link")</f>
        <v/>
      </c>
      <c r="Q889" s="6">
        <f>HYPERLINK("https://map.naver.com/p/search/오송읍 봉산리 1235", "지도Link")</f>
        <v/>
      </c>
      <c r="R889" s="6">
        <f>HYPERLINK("http://www.eum.go.kr/web/ar/lu/luLandDet.jsp?pnu=4311325031112350000&amp;isNoScr=script&amp;mode=search",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206.3</v>
      </c>
      <c r="V889" s="4" t="n">
        <v>247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1238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246</v>
      </c>
      <c r="J890" s="4" t="n">
        <v>74</v>
      </c>
      <c r="K890" s="5" t="n">
        <v>1959.5</v>
      </c>
      <c r="L890" s="4" t="n">
        <v>485</v>
      </c>
      <c r="M890" s="4" t="n">
        <v>147</v>
      </c>
      <c r="N890" s="5" t="n">
        <v>986.4</v>
      </c>
      <c r="O890" s="3" t="inlineStr">
        <is>
          <t>대로변에 위치한 입지좋은 다가구 건물</t>
        </is>
      </c>
      <c r="P890" s="6">
        <f>HYPERLINK("https://fin.land.naver.com/articles/2655162801", "매물Link")</f>
        <v/>
      </c>
      <c r="Q890" s="6">
        <f>HYPERLINK("https://map.naver.com/p/search/오송읍 봉산리 1238", "지도Link")</f>
        <v/>
      </c>
      <c r="R890" s="6">
        <f>HYPERLINK("http://www.eum.go.kr/web/ar/lu/luLandDet.jsp?pnu=4311325031112380000&amp;isNoScr=script&amp;mode=search", "토지이음")</f>
        <v/>
      </c>
      <c r="S890" s="3" t="inlineStr">
        <is>
          <t>오송1단지창조</t>
        </is>
      </c>
      <c r="T890" s="4" t="n">
        <v>1</v>
      </c>
      <c r="U890" s="5" t="n">
        <v>250.2</v>
      </c>
      <c r="V890" s="4" t="n">
        <v>246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1238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143000</v>
      </c>
      <c r="H891" s="4" t="n">
        <v>0</v>
      </c>
      <c r="I891" s="4" t="n">
        <v>246</v>
      </c>
      <c r="J891" s="4" t="n">
        <v>74</v>
      </c>
      <c r="K891" s="5" t="n">
        <v>1932.4</v>
      </c>
      <c r="L891" s="4" t="n">
        <v>485</v>
      </c>
      <c r="M891" s="4" t="n">
        <v>147</v>
      </c>
      <c r="N891" s="5" t="n">
        <v>972.8</v>
      </c>
      <c r="O891" s="3" t="inlineStr">
        <is>
          <t>자본금 6억대로 수익형 투자매물을 잡을수 있어요</t>
        </is>
      </c>
      <c r="P891" s="6">
        <f>HYPERLINK("https://fin.land.naver.com/articles/2655166240", "매물Link")</f>
        <v/>
      </c>
      <c r="Q891" s="6">
        <f>HYPERLINK("https://map.naver.com/p/search/오송읍 봉산리 1238", "지도Link")</f>
        <v/>
      </c>
      <c r="R891" s="6">
        <f>HYPERLINK("http://www.eum.go.kr/web/ar/lu/luLandDet.jsp?pnu=4311325031112380000&amp;isNoScr=script&amp;mode=search", "토지이음")</f>
        <v/>
      </c>
      <c r="S891" s="3" t="inlineStr">
        <is>
          <t>오송2단지창조</t>
        </is>
      </c>
      <c r="T891" s="4" t="n">
        <v>1</v>
      </c>
      <c r="U891" s="5" t="n">
        <v>250.2</v>
      </c>
      <c r="V891" s="4" t="n">
        <v>246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1238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246</v>
      </c>
      <c r="J892" s="4" t="n">
        <v>74</v>
      </c>
      <c r="K892" s="5" t="n">
        <v>1959.5</v>
      </c>
      <c r="L892" s="4" t="n">
        <v>485</v>
      </c>
      <c r="M892" s="4" t="n">
        <v>147</v>
      </c>
      <c r="N892" s="5" t="n">
        <v>986.4</v>
      </c>
      <c r="O892" s="3" t="inlineStr">
        <is>
          <t>급매  대도로 3면 코너로 가격이 저렴한 수익률 또한  좋은 건물</t>
        </is>
      </c>
      <c r="P892" s="6">
        <f>HYPERLINK("https://fin.land.naver.com/articles/2650587946", "매물Link")</f>
        <v/>
      </c>
      <c r="Q892" s="6">
        <f>HYPERLINK("https://map.naver.com/p/search/오송읍 봉산리 1238", "지도Link")</f>
        <v/>
      </c>
      <c r="R892" s="6">
        <f>HYPERLINK("http://www.eum.go.kr/web/ar/lu/luLandDet.jsp?pnu=4311325031112380000&amp;isNoScr=script&amp;mode=search",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250.2</v>
      </c>
      <c r="V892" s="4" t="n">
        <v>246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1238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145000</v>
      </c>
      <c r="H893" s="4" t="n">
        <v>0</v>
      </c>
      <c r="I893" s="4" t="n">
        <v>246</v>
      </c>
      <c r="J893" s="4" t="n">
        <v>74</v>
      </c>
      <c r="K893" s="5" t="n">
        <v>1959.5</v>
      </c>
      <c r="L893" s="4" t="n">
        <v>495</v>
      </c>
      <c r="M893" s="4" t="n">
        <v>150</v>
      </c>
      <c r="N893" s="5" t="n">
        <v>966.7</v>
      </c>
      <c r="O893" s="3" t="inlineStr">
        <is>
          <t>ㄸr봉 입지좋은 대로변 3면코너 공실 없는 안정수익형</t>
        </is>
      </c>
      <c r="P893" s="6">
        <f>HYPERLINK("https://fin.land.naver.com/articles/2651137686", "매물Link")</f>
        <v/>
      </c>
      <c r="Q893" s="6">
        <f>HYPERLINK("https://map.naver.com/p/search/오송읍 봉산리 1238", "지도Link")</f>
        <v/>
      </c>
      <c r="R893" s="6">
        <f>HYPERLINK("http://www.eum.go.kr/web/ar/lu/luLandDet.jsp?pnu=4311325031112380000&amp;isNoScr=script&amp;mode=search", "토지이음")</f>
        <v/>
      </c>
      <c r="S893" s="3" t="inlineStr">
        <is>
          <t>오송프렌즈</t>
        </is>
      </c>
      <c r="T893" s="4" t="n">
        <v>1</v>
      </c>
      <c r="U893" s="5" t="n">
        <v>250.2</v>
      </c>
      <c r="V893" s="4" t="n">
        <v>246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1238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단독</t>
        </is>
      </c>
      <c r="F894" s="3" t="inlineStr">
        <is>
          <t>매매</t>
        </is>
      </c>
      <c r="G894" s="4" t="n">
        <v>145000</v>
      </c>
      <c r="H894" s="4" t="n">
        <v>0</v>
      </c>
      <c r="I894" s="4" t="n">
        <v>246</v>
      </c>
      <c r="J894" s="4" t="n">
        <v>74</v>
      </c>
      <c r="K894" s="5" t="n">
        <v>1959.5</v>
      </c>
      <c r="L894" s="4" t="n">
        <v>485</v>
      </c>
      <c r="M894" s="4" t="n">
        <v>147</v>
      </c>
      <c r="N894" s="5" t="n">
        <v>986.4</v>
      </c>
      <c r="O894" s="3" t="inlineStr">
        <is>
          <t>오송역 5분 대로변 코너 개방감 대단히 좋은집입니다</t>
        </is>
      </c>
      <c r="P894" s="6">
        <f>HYPERLINK("https://fin.land.naver.com/articles/2650307287", "매물Link")</f>
        <v/>
      </c>
      <c r="Q894" s="6">
        <f>HYPERLINK("https://map.naver.com/p/search/오송읍 봉산리 1238", "지도Link")</f>
        <v/>
      </c>
      <c r="R894" s="6">
        <f>HYPERLINK("http://www.eum.go.kr/web/ar/lu/luLandDet.jsp?pnu=4311325031112380000&amp;isNoScr=script&amp;mode=search", "토지이음")</f>
        <v/>
      </c>
      <c r="S894" s="3" t="inlineStr">
        <is>
          <t>스케치</t>
        </is>
      </c>
      <c r="T894" s="4" t="n">
        <v>2</v>
      </c>
      <c r="U894" s="5" t="n">
        <v>250.2</v>
      </c>
      <c r="V894" s="4" t="n">
        <v>246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1241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단독</t>
        </is>
      </c>
      <c r="F895" s="3" t="inlineStr">
        <is>
          <t>매매</t>
        </is>
      </c>
      <c r="G895" s="4" t="n">
        <v>175000</v>
      </c>
      <c r="H895" s="4" t="n">
        <v>0</v>
      </c>
      <c r="I895" s="4" t="n">
        <v>278</v>
      </c>
      <c r="J895" s="4" t="n">
        <v>84</v>
      </c>
      <c r="K895" s="5" t="n">
        <v>2083.3</v>
      </c>
      <c r="L895" s="4" t="n">
        <v>533</v>
      </c>
      <c r="M895" s="4" t="n">
        <v>161</v>
      </c>
      <c r="N895" s="5" t="n">
        <v>1087</v>
      </c>
      <c r="O895" s="3" t="inlineStr">
        <is>
          <t>낮과 밤이 다른 수익률 높은 알짜 건물. 중심상가.오송역 도보 7분</t>
        </is>
      </c>
      <c r="P895" s="6">
        <f>HYPERLINK("https://fin.land.naver.com/articles/2650611959", "매물Link")</f>
        <v/>
      </c>
      <c r="Q895" s="6">
        <f>HYPERLINK("https://map.naver.com/p/search/오송읍 봉산리 1241", "지도Link")</f>
        <v/>
      </c>
      <c r="R895" s="6">
        <f>HYPERLINK("http://www.eum.go.kr/web/ar/lu/luLandDet.jsp?pnu=4311325031112410000&amp;isNoScr=script&amp;mode=search", "토지이음")</f>
        <v/>
      </c>
      <c r="S895" s="3" t="inlineStr">
        <is>
          <t>오송미소</t>
        </is>
      </c>
      <c r="T895" s="4" t="n">
        <v>1</v>
      </c>
      <c r="U895" s="5" t="n">
        <v>206.3</v>
      </c>
      <c r="V895" s="4" t="n">
        <v>278.6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1241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500</v>
      </c>
      <c r="H896" s="4" t="n">
        <v>60</v>
      </c>
      <c r="I896" s="4" t="n">
        <v>135</v>
      </c>
      <c r="J896" s="4" t="n">
        <v>41</v>
      </c>
      <c r="K896" s="5" t="n">
        <v>1.5</v>
      </c>
      <c r="L896" s="4" t="n">
        <v>32</v>
      </c>
      <c r="M896" s="4" t="n">
        <v>10</v>
      </c>
      <c r="N896" s="5" t="n">
        <v>6</v>
      </c>
      <c r="O896" s="3" t="inlineStr">
        <is>
          <t>넓은투베이 오송역10분거리 인프라좋고 주변편의시설확충  대중교통편리</t>
        </is>
      </c>
      <c r="P896" s="6">
        <f>HYPERLINK("https://fin.land.naver.com/articles/2655703425", "매물Link")</f>
        <v/>
      </c>
      <c r="Q896" s="6">
        <f>HYPERLINK("https://map.naver.com/p/search/오송읍 봉산리 1241", "지도Link")</f>
        <v/>
      </c>
      <c r="R896" s="6">
        <f>HYPERLINK("http://www.eum.go.kr/web/ar/lu/luLandDet.jsp?pnu=4311325031112410000&amp;isNoScr=script&amp;mode=search",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206.3</v>
      </c>
      <c r="V896" s="4" t="n">
        <v>278.6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1242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단독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278</v>
      </c>
      <c r="J897" s="4" t="n">
        <v>84</v>
      </c>
      <c r="K897" s="5" t="n">
        <v>1547.6</v>
      </c>
      <c r="L897" s="4" t="n">
        <v>493</v>
      </c>
      <c r="M897" s="4" t="n">
        <v>149</v>
      </c>
      <c r="N897" s="5" t="n">
        <v>872.5</v>
      </c>
      <c r="O897" s="3" t="inlineStr">
        <is>
          <t>통매매 역세권으로 인프라좋고 주변편의시설확충 신축건물로 씨씨티비안전지역</t>
        </is>
      </c>
      <c r="P897" s="6">
        <f>HYPERLINK("https://fin.land.naver.com/articles/2653290915", "매물Link")</f>
        <v/>
      </c>
      <c r="Q897" s="6">
        <f>HYPERLINK("https://map.naver.com/p/search/오송읍 봉산리 1242", "지도Link")</f>
        <v/>
      </c>
      <c r="R897" s="6">
        <f>HYPERLINK("http://www.eum.go.kr/web/ar/lu/luLandDet.jsp?pnu=4311325031112420000&amp;isNoScr=script&amp;mode=search", "토지이음")</f>
        <v/>
      </c>
      <c r="S897" s="3" t="inlineStr">
        <is>
          <t>하림</t>
        </is>
      </c>
      <c r="T897" s="4" t="n">
        <v>1</v>
      </c>
      <c r="U897" s="5" t="n">
        <v>206.3</v>
      </c>
      <c r="V897" s="4" t="n">
        <v>278.7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1242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278</v>
      </c>
      <c r="J898" s="4" t="n">
        <v>84</v>
      </c>
      <c r="K898" s="5" t="n">
        <v>1547.6</v>
      </c>
      <c r="L898" s="4" t="n">
        <v>493</v>
      </c>
      <c r="M898" s="4" t="n">
        <v>149</v>
      </c>
      <c r="N898" s="5" t="n">
        <v>872.5</v>
      </c>
      <c r="O898" s="3" t="inlineStr">
        <is>
          <t>역세권. 합리적인 투자금액의 추천 매물.</t>
        </is>
      </c>
      <c r="P898" s="6">
        <f>HYPERLINK("https://fin.land.naver.com/articles/2654121326", "매물Link")</f>
        <v/>
      </c>
      <c r="Q898" s="6">
        <f>HYPERLINK("https://map.naver.com/p/search/오송읍 봉산리 1242", "지도Link")</f>
        <v/>
      </c>
      <c r="R898" s="6">
        <f>HYPERLINK("http://www.eum.go.kr/web/ar/lu/luLandDet.jsp?pnu=4311325031112420000&amp;isNoScr=script&amp;mode=search", "토지이음")</f>
        <v/>
      </c>
      <c r="S898" s="3" t="inlineStr">
        <is>
          <t>당근플러스</t>
        </is>
      </c>
      <c r="T898" s="4" t="n">
        <v>1</v>
      </c>
      <c r="U898" s="5" t="n">
        <v>206.3</v>
      </c>
      <c r="V898" s="4" t="n">
        <v>278.7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1242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132000</v>
      </c>
      <c r="H899" s="4" t="n">
        <v>0</v>
      </c>
      <c r="I899" s="4" t="n">
        <v>278</v>
      </c>
      <c r="J899" s="4" t="n">
        <v>84</v>
      </c>
      <c r="K899" s="5" t="n">
        <v>1571.4</v>
      </c>
      <c r="L899" s="4" t="n">
        <v>493</v>
      </c>
      <c r="M899" s="4" t="n">
        <v>149</v>
      </c>
      <c r="N899" s="5" t="n">
        <v>885.9</v>
      </c>
      <c r="O899" s="3" t="inlineStr">
        <is>
          <t>수익율 좋으며,먹자골목에 위치한 상가주택 투자매물 입니다</t>
        </is>
      </c>
      <c r="P899" s="6">
        <f>HYPERLINK("https://fin.land.naver.com/articles/2652109624", "매물Link")</f>
        <v/>
      </c>
      <c r="Q899" s="6">
        <f>HYPERLINK("https://map.naver.com/p/search/오송읍 봉산리 1242", "지도Link")</f>
        <v/>
      </c>
      <c r="R899" s="6">
        <f>HYPERLINK("http://www.eum.go.kr/web/ar/lu/luLandDet.jsp?pnu=4311325031112420000&amp;isNoScr=script&amp;mode=search", "토지이음")</f>
        <v/>
      </c>
      <c r="S899" s="3" t="inlineStr">
        <is>
          <t>오송2단지창조</t>
        </is>
      </c>
      <c r="T899" s="4" t="n">
        <v>1</v>
      </c>
      <c r="U899" s="5" t="n">
        <v>206.3</v>
      </c>
      <c r="V899" s="4" t="n">
        <v>278.7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1242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132000</v>
      </c>
      <c r="H900" s="4" t="n">
        <v>0</v>
      </c>
      <c r="I900" s="4" t="n">
        <v>278</v>
      </c>
      <c r="J900" s="4" t="n">
        <v>84</v>
      </c>
      <c r="K900" s="5" t="n">
        <v>1571.4</v>
      </c>
      <c r="L900" s="4" t="n">
        <v>493</v>
      </c>
      <c r="M900" s="4" t="n">
        <v>149</v>
      </c>
      <c r="N900" s="5" t="n">
        <v>885.9</v>
      </c>
      <c r="O900" s="3" t="inlineStr">
        <is>
          <t>수익형 상가주택</t>
        </is>
      </c>
      <c r="P900" s="6">
        <f>HYPERLINK("https://fin.land.naver.com/articles/2652018765", "매물Link")</f>
        <v/>
      </c>
      <c r="Q900" s="6">
        <f>HYPERLINK("https://map.naver.com/p/search/오송읍 봉산리 1242", "지도Link")</f>
        <v/>
      </c>
      <c r="R900" s="6">
        <f>HYPERLINK("http://www.eum.go.kr/web/ar/lu/luLandDet.jsp?pnu=4311325031112420000&amp;isNoScr=script&amp;mode=search",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206.3</v>
      </c>
      <c r="V900" s="4" t="n">
        <v>278.7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1242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130000</v>
      </c>
      <c r="H901" s="4" t="n">
        <v>0</v>
      </c>
      <c r="I901" s="4" t="n">
        <v>278</v>
      </c>
      <c r="J901" s="4" t="n">
        <v>84</v>
      </c>
      <c r="K901" s="5" t="n">
        <v>1547.6</v>
      </c>
      <c r="L901" s="4" t="n">
        <v>493</v>
      </c>
      <c r="M901" s="4" t="n">
        <v>149</v>
      </c>
      <c r="N901" s="5" t="n">
        <v>872.5</v>
      </c>
      <c r="O901" s="3" t="inlineStr">
        <is>
          <t>현 수익률 9.3 투자강추, 실투자금 4억대 월580만, ktx도보10분</t>
        </is>
      </c>
      <c r="P901" s="6">
        <f>HYPERLINK("https://fin.land.naver.com/articles/2655394704", "매물Link")</f>
        <v/>
      </c>
      <c r="Q901" s="6">
        <f>HYPERLINK("https://map.naver.com/p/search/오송읍 봉산리 1242", "지도Link")</f>
        <v/>
      </c>
      <c r="R901" s="6">
        <f>HYPERLINK("http://www.eum.go.kr/web/ar/lu/luLandDet.jsp?pnu=4311325031112420000&amp;isNoScr=script&amp;mode=search",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206.3</v>
      </c>
      <c r="V901" s="4" t="n">
        <v>278.7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152</v>
      </c>
      <c r="J902" s="4" t="n">
        <v>46</v>
      </c>
      <c r="K902" s="5" t="n">
        <v>2.4</v>
      </c>
      <c r="L902" s="4" t="n">
        <v>133</v>
      </c>
      <c r="M902" s="4" t="n">
        <v>40</v>
      </c>
      <c r="N902" s="5" t="n">
        <v>2.8</v>
      </c>
      <c r="O902" s="3" t="inlineStr">
        <is>
          <t>즉시 입주 가능, 방4개의 넓은 주인세대 월세</t>
        </is>
      </c>
      <c r="P902" s="6">
        <f>HYPERLINK("https://fin.land.naver.com/articles/2652201542", "매물Link")</f>
        <v/>
      </c>
      <c r="Q902" s="6">
        <f>HYPERLINK("https://map.naver.com/p/search/오송읍 봉산리 1252", "지도Link")</f>
        <v/>
      </c>
      <c r="R902" s="6">
        <f>HYPERLINK("http://www.eum.go.kr/web/ar/lu/luLandDet.jsp?pnu=4311325031112520000&amp;isNoScr=script&amp;mode=search",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305.4</v>
      </c>
      <c r="V902" s="4" t="n">
        <v>274.5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다가구</t>
        </is>
      </c>
      <c r="F903" s="3" t="inlineStr">
        <is>
          <t>월세</t>
        </is>
      </c>
      <c r="G903" s="4" t="n">
        <v>1000</v>
      </c>
      <c r="H903" s="4" t="n">
        <v>65</v>
      </c>
      <c r="I903" s="4" t="n">
        <v>0</v>
      </c>
      <c r="J903" s="4" t="n">
        <v>0</v>
      </c>
      <c r="K903" s="5" t="n">
        <v>0</v>
      </c>
      <c r="L903" s="4" t="n">
        <v>42</v>
      </c>
      <c r="M903" s="4" t="n">
        <v>13</v>
      </c>
      <c r="N903" s="5" t="n">
        <v>5</v>
      </c>
      <c r="O903" s="3" t="inlineStr">
        <is>
          <t>오송2단지 남향 투룸 넓은평수 수납 최고 입니다 주차편리</t>
        </is>
      </c>
      <c r="P903" s="6">
        <f>HYPERLINK("https://fin.land.naver.com/articles/2654739491", "매물Link")</f>
        <v/>
      </c>
      <c r="Q903" s="6">
        <f>HYPERLINK("https://map.naver.com/p/search/오송읍 봉산리 1257", "지도Link")</f>
        <v/>
      </c>
      <c r="R903" s="6">
        <f>HYPERLINK("http://www.eum.go.kr/web/ar/lu/luLandDet.jsp?pnu=4311325031112570000&amp;isNoScr=script&amp;mode=search", "토지이음")</f>
        <v/>
      </c>
      <c r="S903" s="3" t="inlineStr">
        <is>
          <t>스케치</t>
        </is>
      </c>
      <c r="T903" s="4" t="n">
        <v>1</v>
      </c>
      <c r="U903" s="5" t="n">
        <v>218.7</v>
      </c>
      <c r="V903" s="4" t="n">
        <v>288.6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1257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65</v>
      </c>
      <c r="I904" s="4" t="n">
        <v>0</v>
      </c>
      <c r="J904" s="4" t="n">
        <v>0</v>
      </c>
      <c r="K904" s="5" t="n">
        <v>0</v>
      </c>
      <c r="L904" s="4" t="n">
        <v>42</v>
      </c>
      <c r="M904" s="4" t="n">
        <v>13</v>
      </c>
      <c r="N904" s="5" t="n">
        <v>5</v>
      </c>
      <c r="O904" s="3" t="inlineStr">
        <is>
          <t>신축 대형 투룸 , 출퇴근 편리한 위치 ,직장인들 인기 많은 건물</t>
        </is>
      </c>
      <c r="P904" s="6">
        <f>HYPERLINK("https://fin.land.naver.com/articles/2650163040", "매물Link")</f>
        <v/>
      </c>
      <c r="Q904" s="6">
        <f>HYPERLINK("https://map.naver.com/p/search/오송읍 봉산리 1257", "지도Link")</f>
        <v/>
      </c>
      <c r="R904" s="6">
        <f>HYPERLINK("http://www.eum.go.kr/web/ar/lu/luLandDet.jsp?pnu=4311325031112570000&amp;isNoScr=script&amp;mode=search", "토지이음")</f>
        <v/>
      </c>
      <c r="S904" s="3" t="inlineStr">
        <is>
          <t>오송바이오창조</t>
        </is>
      </c>
      <c r="T904" s="4" t="n">
        <v>1</v>
      </c>
      <c r="U904" s="5" t="n">
        <v>218.7</v>
      </c>
      <c r="V904" s="4" t="n">
        <v>288.6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소로각지</t>
        </is>
      </c>
    </row>
    <row r="905">
      <c r="A905" s="3" t="inlineStr">
        <is>
          <t>오송읍 봉산리 1262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169000</v>
      </c>
      <c r="H905" s="4" t="n">
        <v>0</v>
      </c>
      <c r="I905" s="4" t="n">
        <v>281</v>
      </c>
      <c r="J905" s="4" t="n">
        <v>85</v>
      </c>
      <c r="K905" s="5" t="n">
        <v>1988.2</v>
      </c>
      <c r="L905" s="4" t="n">
        <v>523</v>
      </c>
      <c r="M905" s="4" t="n">
        <v>158</v>
      </c>
      <c r="N905" s="5" t="n">
        <v>1069.6</v>
      </c>
      <c r="O905" s="3" t="inlineStr">
        <is>
          <t>럭셔리 신축원룸, 전체 임대완료. 남향 테라스 예쁜 조용한 집</t>
        </is>
      </c>
      <c r="P905" s="6">
        <f>HYPERLINK("https://fin.land.naver.com/articles/2653748823", "매물Link")</f>
        <v/>
      </c>
      <c r="Q905" s="6">
        <f>HYPERLINK("https://map.naver.com/p/search/오송읍 봉산리 1262", "지도Link")</f>
        <v/>
      </c>
      <c r="R905" s="6">
        <f>HYPERLINK("http://www.eum.go.kr/web/ar/lu/luLandDet.jsp?pnu=4311325031112620000&amp;isNoScr=script&amp;mode=search", "토지이음")</f>
        <v/>
      </c>
      <c r="S905" s="3" t="inlineStr">
        <is>
          <t>프로</t>
        </is>
      </c>
      <c r="T905" s="4" t="n">
        <v>2</v>
      </c>
      <c r="U905" s="5" t="n">
        <v>236</v>
      </c>
      <c r="V905" s="4" t="n">
        <v>281.6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1262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169000</v>
      </c>
      <c r="H906" s="4" t="n">
        <v>0</v>
      </c>
      <c r="I906" s="4" t="n">
        <v>281</v>
      </c>
      <c r="J906" s="4" t="n">
        <v>85</v>
      </c>
      <c r="K906" s="5" t="n">
        <v>1988.2</v>
      </c>
      <c r="L906" s="4" t="n">
        <v>523</v>
      </c>
      <c r="M906" s="4" t="n">
        <v>158</v>
      </c>
      <c r="N906" s="5" t="n">
        <v>1069.6</v>
      </c>
      <c r="O906" s="3" t="inlineStr">
        <is>
          <t>25년신축 상가주택 매매</t>
        </is>
      </c>
      <c r="P906" s="6">
        <f>HYPERLINK("https://fin.land.naver.com/articles/2651080065", "매물Link")</f>
        <v/>
      </c>
      <c r="Q906" s="6">
        <f>HYPERLINK("https://map.naver.com/p/search/오송읍 봉산리 1262", "지도Link")</f>
        <v/>
      </c>
      <c r="R906" s="6">
        <f>HYPERLINK("http://www.eum.go.kr/web/ar/lu/luLandDet.jsp?pnu=4311325031112620000&amp;isNoScr=script&amp;mode=search", "토지이음")</f>
        <v/>
      </c>
      <c r="S906" s="3" t="inlineStr">
        <is>
          <t>e복덕방</t>
        </is>
      </c>
      <c r="T906" s="4" t="n">
        <v>2</v>
      </c>
      <c r="U906" s="5" t="n">
        <v>236</v>
      </c>
      <c r="V906" s="4" t="n">
        <v>281.6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1262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169000</v>
      </c>
      <c r="H907" s="4" t="n">
        <v>0</v>
      </c>
      <c r="I907" s="4" t="n">
        <v>281</v>
      </c>
      <c r="J907" s="4" t="n">
        <v>85</v>
      </c>
      <c r="K907" s="5" t="n">
        <v>1988.2</v>
      </c>
      <c r="L907" s="4" t="n">
        <v>523</v>
      </c>
      <c r="M907" s="4" t="n">
        <v>158</v>
      </c>
      <c r="N907" s="5" t="n">
        <v>1069.6</v>
      </c>
      <c r="O907" s="3" t="inlineStr">
        <is>
          <t>공실 없는 신축건물 주인세대 거주하며 월 530만원 수익 가능</t>
        </is>
      </c>
      <c r="P907" s="6">
        <f>HYPERLINK("https://fin.land.naver.com/articles/2651796492", "매물Link")</f>
        <v/>
      </c>
      <c r="Q907" s="6">
        <f>HYPERLINK("https://map.naver.com/p/search/오송읍 봉산리 1262", "지도Link")</f>
        <v/>
      </c>
      <c r="R907" s="6">
        <f>HYPERLINK("http://www.eum.go.kr/web/ar/lu/luLandDet.jsp?pnu=4311325031112620000&amp;isNoScr=script&amp;mode=search", "토지이음")</f>
        <v/>
      </c>
      <c r="S907" s="3" t="inlineStr">
        <is>
          <t>미래n</t>
        </is>
      </c>
      <c r="T907" s="4" t="n">
        <v>1</v>
      </c>
      <c r="U907" s="5" t="n">
        <v>236</v>
      </c>
      <c r="V907" s="4" t="n">
        <v>281.6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1263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일반원룸</t>
        </is>
      </c>
      <c r="F908" s="3" t="inlineStr">
        <is>
          <t>월세</t>
        </is>
      </c>
      <c r="G908" s="4" t="n">
        <v>500</v>
      </c>
      <c r="H908" s="4" t="n">
        <v>50</v>
      </c>
      <c r="I908" s="4" t="n">
        <v>20</v>
      </c>
      <c r="J908" s="4" t="n">
        <v>6</v>
      </c>
      <c r="K908" s="5" t="n">
        <v>8.300000000000001</v>
      </c>
      <c r="L908" s="4" t="n">
        <v>20</v>
      </c>
      <c r="M908" s="4" t="n">
        <v>6</v>
      </c>
      <c r="N908" s="5" t="n">
        <v>8.300000000000001</v>
      </c>
      <c r="O908" s="3" t="inlineStr">
        <is>
          <t>귀한 원룸. 즉시입주가능. 분리형 원룸</t>
        </is>
      </c>
      <c r="P908" s="6">
        <f>HYPERLINK("https://fin.land.naver.com/articles/2653292527", "매물Link")</f>
        <v/>
      </c>
      <c r="Q908" s="6">
        <f>HYPERLINK("https://map.naver.com/p/search/오송읍 봉산리 1263", "지도Link")</f>
        <v/>
      </c>
      <c r="R908" s="6">
        <f>HYPERLINK("http://www.eum.go.kr/web/ar/lu/luLandDet.jsp?pnu=4311325031112630000&amp;isNoScr=script&amp;mode=search", "토지이음")</f>
        <v/>
      </c>
      <c r="S908" s="3" t="inlineStr">
        <is>
          <t>당근플러스</t>
        </is>
      </c>
      <c r="T908" s="4" t="n">
        <v>1</v>
      </c>
      <c r="U908" s="5" t="n">
        <v>305.4</v>
      </c>
      <c r="V908" s="4" t="n">
        <v>274.7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중로각지</t>
        </is>
      </c>
    </row>
    <row r="909">
      <c r="A909" s="3" t="inlineStr">
        <is>
          <t>오송읍 봉산리 1273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500</v>
      </c>
      <c r="H909" s="4" t="n">
        <v>50</v>
      </c>
      <c r="I909" s="4" t="n">
        <v>153</v>
      </c>
      <c r="J909" s="4" t="n">
        <v>46</v>
      </c>
      <c r="K909" s="5" t="n">
        <v>1.1</v>
      </c>
      <c r="L909" s="4" t="n">
        <v>24</v>
      </c>
      <c r="M909" s="4" t="n">
        <v>7</v>
      </c>
      <c r="N909" s="5" t="n">
        <v>7.1</v>
      </c>
      <c r="O909" s="3" t="inlineStr">
        <is>
          <t>원룸 오송역세권10분거리  인프라좋고 주변편의시설확충 편의점 공원 영화관</t>
        </is>
      </c>
      <c r="P909" s="6">
        <f>HYPERLINK("https://fin.land.naver.com/articles/2655706333", "매물Link")</f>
        <v/>
      </c>
      <c r="Q909" s="6">
        <f>HYPERLINK("https://map.naver.com/p/search/오송읍 봉산리 1273", "지도Link")</f>
        <v/>
      </c>
      <c r="R909" s="6">
        <f>HYPERLINK("http://www.eum.go.kr/web/ar/lu/luLandDet.jsp?pnu=4311325031112730000&amp;isNoScr=script&amp;mode=search", "토지이음")</f>
        <v/>
      </c>
      <c r="S909" s="3" t="inlineStr">
        <is>
          <t>하림</t>
        </is>
      </c>
      <c r="T909" s="4" t="n">
        <v>1</v>
      </c>
      <c r="U909" s="5" t="n">
        <v>206.3</v>
      </c>
      <c r="V909" s="4" t="n">
        <v>276.4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1285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195000</v>
      </c>
      <c r="H910" s="4" t="n">
        <v>0</v>
      </c>
      <c r="I910" s="4" t="n">
        <v>275</v>
      </c>
      <c r="J910" s="4" t="n">
        <v>83</v>
      </c>
      <c r="K910" s="5" t="n">
        <v>2349.4</v>
      </c>
      <c r="L910" s="4" t="n">
        <v>549</v>
      </c>
      <c r="M910" s="4" t="n">
        <v>166</v>
      </c>
      <c r="N910" s="5" t="n">
        <v>1174.7</v>
      </c>
      <c r="O910" s="3" t="inlineStr">
        <is>
          <t>오송역 프리미엄 체감입지, 대로변 예쁜 건물, 실거주하면서 월세받으세요</t>
        </is>
      </c>
      <c r="P910" s="6">
        <f>HYPERLINK("https://fin.land.naver.com/articles/2653989858", "매물Link")</f>
        <v/>
      </c>
      <c r="Q910" s="6">
        <f>HYPERLINK("https://map.naver.com/p/search/오송읍 봉산리 1285", "지도Link")</f>
        <v/>
      </c>
      <c r="R910" s="6">
        <f>HYPERLINK("http://www.eum.go.kr/web/ar/lu/luLandDet.jsp?pnu=4311325031112850000&amp;isNoScr=script&amp;mode=search", "토지이음")</f>
        <v/>
      </c>
      <c r="S910" s="3" t="inlineStr">
        <is>
          <t>프로</t>
        </is>
      </c>
      <c r="T910" s="4" t="n">
        <v>1</v>
      </c>
      <c r="U910" s="5" t="n">
        <v>250.2</v>
      </c>
      <c r="V910" s="4" t="n">
        <v>275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1285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195000</v>
      </c>
      <c r="H911" s="4" t="n">
        <v>0</v>
      </c>
      <c r="I911" s="4" t="n">
        <v>275</v>
      </c>
      <c r="J911" s="4" t="n">
        <v>83</v>
      </c>
      <c r="K911" s="5" t="n">
        <v>2349.4</v>
      </c>
      <c r="L911" s="4" t="n">
        <v>549</v>
      </c>
      <c r="M911" s="4" t="n">
        <v>166</v>
      </c>
      <c r="N911" s="5" t="n">
        <v>1174.7</v>
      </c>
      <c r="O911" s="3" t="inlineStr">
        <is>
          <t>오송역 대로변 3면 코너 상가주택. 잘 지은 집.</t>
        </is>
      </c>
      <c r="P911" s="6">
        <f>HYPERLINK("https://fin.land.naver.com/articles/2654122580", "매물Link")</f>
        <v/>
      </c>
      <c r="Q911" s="6">
        <f>HYPERLINK("https://map.naver.com/p/search/오송읍 봉산리 1285", "지도Link")</f>
        <v/>
      </c>
      <c r="R911" s="6">
        <f>HYPERLINK("http://www.eum.go.kr/web/ar/lu/luLandDet.jsp?pnu=4311325031112850000&amp;isNoScr=script&amp;mode=search", "토지이음")</f>
        <v/>
      </c>
      <c r="S911" s="3" t="inlineStr">
        <is>
          <t>당근플러스</t>
        </is>
      </c>
      <c r="T911" s="4" t="n">
        <v>2</v>
      </c>
      <c r="U911" s="5" t="n">
        <v>250.2</v>
      </c>
      <c r="V911" s="4" t="n">
        <v>275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1354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110000</v>
      </c>
      <c r="H912" s="4" t="n">
        <v>0</v>
      </c>
      <c r="I912" s="4" t="n">
        <v>268</v>
      </c>
      <c r="J912" s="4" t="n">
        <v>81</v>
      </c>
      <c r="K912" s="5" t="n">
        <v>1358</v>
      </c>
      <c r="L912" s="4" t="n">
        <v>377</v>
      </c>
      <c r="M912" s="4" t="n">
        <v>114</v>
      </c>
      <c r="N912" s="5" t="n">
        <v>964.9</v>
      </c>
      <c r="O912" s="3" t="inlineStr">
        <is>
          <t>9번출구 예정지 맛집 임대완료 2층 3층 동일구조 가족단위 거주 추</t>
        </is>
      </c>
      <c r="P912" s="6">
        <f>HYPERLINK("https://fin.land.naver.com/articles/2654445752", "매물Link")</f>
        <v/>
      </c>
      <c r="Q912" s="6">
        <f>HYPERLINK("https://map.naver.com/p/search/오송읍 봉산리 1354", "지도Link")</f>
        <v/>
      </c>
      <c r="R912" s="6">
        <f>HYPERLINK("http://www.eum.go.kr/web/ar/lu/luLandDet.jsp?pnu=4311325031113540000&amp;isNoScr=script&amp;mode=search", "토지이음")</f>
        <v/>
      </c>
      <c r="S912" s="3" t="inlineStr">
        <is>
          <t>프렌즈</t>
        </is>
      </c>
      <c r="T912" s="4" t="n">
        <v>1</v>
      </c>
      <c r="U912" s="5" t="n">
        <v>281.2</v>
      </c>
      <c r="V912" s="4" t="n">
        <v>268.1</v>
      </c>
      <c r="W912" s="3" t="inlineStr">
        <is>
          <t>지정되지않음</t>
        </is>
      </c>
      <c r="X912" s="3" t="inlineStr">
        <is>
          <t>주상용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중로각지</t>
        </is>
      </c>
    </row>
    <row r="913">
      <c r="A913" s="3" t="inlineStr">
        <is>
          <t>오송읍 봉산리 1354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2</t>
        </is>
      </c>
      <c r="E913" s="3" t="inlineStr">
        <is>
          <t>단독</t>
        </is>
      </c>
      <c r="F913" s="3" t="inlineStr">
        <is>
          <t>월세</t>
        </is>
      </c>
      <c r="G913" s="4" t="n">
        <v>5000</v>
      </c>
      <c r="H913" s="4" t="n">
        <v>51</v>
      </c>
      <c r="I913" s="4" t="n">
        <v>70</v>
      </c>
      <c r="J913" s="4" t="n">
        <v>21</v>
      </c>
      <c r="K913" s="5" t="n">
        <v>2.4</v>
      </c>
      <c r="L913" s="4" t="n">
        <v>45</v>
      </c>
      <c r="M913" s="4" t="n">
        <v>14</v>
      </c>
      <c r="N913" s="5" t="n">
        <v>3.6</v>
      </c>
      <c r="O913" s="3" t="inlineStr">
        <is>
          <t>즉시 입주 ,넓은 투룸, 공원뷰</t>
        </is>
      </c>
      <c r="P913" s="6">
        <f>HYPERLINK("https://fin.land.naver.com/articles/2654326651", "매물Link")</f>
        <v/>
      </c>
      <c r="Q913" s="6">
        <f>HYPERLINK("https://map.naver.com/p/search/오송읍 봉산리 1354", "지도Link")</f>
        <v/>
      </c>
      <c r="R913" s="6">
        <f>HYPERLINK("http://www.eum.go.kr/web/ar/lu/luLandDet.jsp?pnu=4311325031113540000&amp;isNoScr=script&amp;mode=search",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281.2</v>
      </c>
      <c r="V913" s="4" t="n">
        <v>268.1</v>
      </c>
      <c r="W913" s="3" t="inlineStr">
        <is>
          <t>지정되지않음</t>
        </is>
      </c>
      <c r="X913" s="3" t="inlineStr">
        <is>
          <t>주상용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1354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110000</v>
      </c>
      <c r="H914" s="4" t="n">
        <v>0</v>
      </c>
      <c r="I914" s="4" t="n">
        <v>268</v>
      </c>
      <c r="J914" s="4" t="n">
        <v>81</v>
      </c>
      <c r="K914" s="5" t="n">
        <v>1358</v>
      </c>
      <c r="L914" s="4" t="n">
        <v>377</v>
      </c>
      <c r="M914" s="4" t="n">
        <v>114</v>
      </c>
      <c r="N914" s="5" t="n">
        <v>964.9</v>
      </c>
      <c r="O914" s="3" t="inlineStr">
        <is>
          <t>오송역 가까운 상가주택 매매</t>
        </is>
      </c>
      <c r="P914" s="6">
        <f>HYPERLINK("https://fin.land.naver.com/articles/2650901943", "매물Link")</f>
        <v/>
      </c>
      <c r="Q914" s="6">
        <f>HYPERLINK("https://map.naver.com/p/search/오송읍 봉산리 1354", "지도Link")</f>
        <v/>
      </c>
      <c r="R914" s="6">
        <f>HYPERLINK("http://www.eum.go.kr/web/ar/lu/luLandDet.jsp?pnu=4311325031113540000&amp;isNoScr=script&amp;mode=search", "토지이음")</f>
        <v/>
      </c>
      <c r="S914" s="3" t="inlineStr">
        <is>
          <t>오송좋은날</t>
        </is>
      </c>
      <c r="T914" s="4" t="n">
        <v>1</v>
      </c>
      <c r="U914" s="5" t="n">
        <v>281.2</v>
      </c>
      <c r="V914" s="4" t="n">
        <v>268.1</v>
      </c>
      <c r="W914" s="3" t="inlineStr">
        <is>
          <t>지정되지않음</t>
        </is>
      </c>
      <c r="X914" s="3" t="inlineStr">
        <is>
          <t>주상용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중로각지</t>
        </is>
      </c>
    </row>
    <row r="915">
      <c r="A915" s="3" t="inlineStr">
        <is>
          <t>오송읍 봉산리 1354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110000</v>
      </c>
      <c r="H915" s="4" t="n">
        <v>0</v>
      </c>
      <c r="I915" s="4" t="n">
        <v>268</v>
      </c>
      <c r="J915" s="4" t="n">
        <v>81</v>
      </c>
      <c r="K915" s="5" t="n">
        <v>1358</v>
      </c>
      <c r="L915" s="4" t="n">
        <v>377</v>
      </c>
      <c r="M915" s="4" t="n">
        <v>114</v>
      </c>
      <c r="N915" s="5" t="n">
        <v>964.9</v>
      </c>
      <c r="O915" s="3" t="inlineStr">
        <is>
          <t>급매. 다신 없을 가격으로 건물주하세요. 오송역9번출구 3초</t>
        </is>
      </c>
      <c r="P915" s="6">
        <f>HYPERLINK("https://fin.land.naver.com/articles/2654002879", "매물Link")</f>
        <v/>
      </c>
      <c r="Q915" s="6">
        <f>HYPERLINK("https://map.naver.com/p/search/오송읍 봉산리 1354", "지도Link")</f>
        <v/>
      </c>
      <c r="R915" s="6">
        <f>HYPERLINK("http://www.eum.go.kr/web/ar/lu/luLandDet.jsp?pnu=4311325031113540000&amp;isNoScr=script&amp;mode=search",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281.2</v>
      </c>
      <c r="V915" s="4" t="n">
        <v>268.1</v>
      </c>
      <c r="W915" s="3" t="inlineStr">
        <is>
          <t>지정되지않음</t>
        </is>
      </c>
      <c r="X915" s="3" t="inlineStr">
        <is>
          <t>주상용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봉산리 1354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5000</v>
      </c>
      <c r="H916" s="4" t="n">
        <v>50</v>
      </c>
      <c r="I916" s="4" t="n">
        <v>0</v>
      </c>
      <c r="J916" s="4" t="n">
        <v>0</v>
      </c>
      <c r="K916" s="5" t="n">
        <v>0</v>
      </c>
      <c r="L916" s="4" t="n">
        <v>59</v>
      </c>
      <c r="M916" s="4" t="n">
        <v>18</v>
      </c>
      <c r="N916" s="5" t="n">
        <v>2.8</v>
      </c>
      <c r="O916" s="3" t="inlineStr">
        <is>
          <t>오송역 가까운 반전세 투룸</t>
        </is>
      </c>
      <c r="P916" s="6">
        <f>HYPERLINK("https://fin.land.naver.com/articles/2650711230", "매물Link")</f>
        <v/>
      </c>
      <c r="Q916" s="6">
        <f>HYPERLINK("https://map.naver.com/p/search/오송읍 봉산리 1354", "지도Link")</f>
        <v/>
      </c>
      <c r="R916" s="6">
        <f>HYPERLINK("http://www.eum.go.kr/web/ar/lu/luLandDet.jsp?pnu=4311325031113540000&amp;isNoScr=script&amp;mode=search", "토지이음")</f>
        <v/>
      </c>
      <c r="S916" s="3" t="inlineStr">
        <is>
          <t>오송좋은날</t>
        </is>
      </c>
      <c r="T916" s="4" t="n">
        <v>1</v>
      </c>
      <c r="U916" s="5" t="n">
        <v>281.2</v>
      </c>
      <c r="V916" s="4" t="n">
        <v>268.1</v>
      </c>
      <c r="W916" s="3" t="inlineStr">
        <is>
          <t>지정되지않음</t>
        </is>
      </c>
      <c r="X916" s="3" t="inlineStr">
        <is>
          <t>주상용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중로각지</t>
        </is>
      </c>
    </row>
    <row r="917">
      <c r="A917" s="3" t="inlineStr">
        <is>
          <t>오송읍 봉산리 1363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3</t>
        </is>
      </c>
      <c r="E917" s="3" t="inlineStr">
        <is>
          <t>일반원룸</t>
        </is>
      </c>
      <c r="F917" s="3" t="inlineStr">
        <is>
          <t>월세</t>
        </is>
      </c>
      <c r="G917" s="4" t="n">
        <v>1000</v>
      </c>
      <c r="H917" s="4" t="n">
        <v>45</v>
      </c>
      <c r="I917" s="4" t="n">
        <v>0</v>
      </c>
      <c r="J917" s="4" t="n">
        <v>0</v>
      </c>
      <c r="K917" s="5" t="n">
        <v>0</v>
      </c>
      <c r="L917" s="4" t="n">
        <v>25</v>
      </c>
      <c r="M917" s="4" t="n">
        <v>8</v>
      </c>
      <c r="N917" s="5" t="n">
        <v>5.6</v>
      </c>
      <c r="O917" s="3" t="inlineStr">
        <is>
          <t>KTX오송역 초인근 분리형 원룸 10월 입주 가능,탑층 층간소음 걱정없음</t>
        </is>
      </c>
      <c r="P917" s="6">
        <f>HYPERLINK("https://fin.land.naver.com/articles/2654433409", "매물Link")</f>
        <v/>
      </c>
      <c r="Q917" s="6">
        <f>HYPERLINK("https://map.naver.com/p/search/오송읍 봉산리 1363", "지도Link")</f>
        <v/>
      </c>
      <c r="R917" s="6">
        <f>HYPERLINK("http://www.eum.go.kr/web/ar/lu/luLandDet.jsp?pnu=4311325031113630000&amp;isNoScr=script&amp;mode=search", "토지이음")</f>
        <v/>
      </c>
      <c r="S917" s="3" t="inlineStr">
        <is>
          <t>오송바이오창조</t>
        </is>
      </c>
      <c r="T917" s="4" t="n">
        <v>1</v>
      </c>
      <c r="U917" s="5" t="n">
        <v>215.7</v>
      </c>
      <c r="V917" s="4" t="n">
        <v>408.1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사다리형</t>
        </is>
      </c>
      <c r="AA917" s="3" t="inlineStr">
        <is>
          <t>소로각지</t>
        </is>
      </c>
    </row>
    <row r="918">
      <c r="A918" s="3" t="inlineStr">
        <is>
          <t>오송읍 봉산리 1366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140000</v>
      </c>
      <c r="H918" s="4" t="n">
        <v>0</v>
      </c>
      <c r="I918" s="4" t="n">
        <v>300</v>
      </c>
      <c r="J918" s="4" t="n">
        <v>91</v>
      </c>
      <c r="K918" s="5" t="n">
        <v>1538.5</v>
      </c>
      <c r="L918" s="4" t="n">
        <v>494</v>
      </c>
      <c r="M918" s="4" t="n">
        <v>149</v>
      </c>
      <c r="N918" s="5" t="n">
        <v>939.6</v>
      </c>
      <c r="O918" s="3" t="inlineStr">
        <is>
          <t>nan</t>
        </is>
      </c>
      <c r="P918" s="6">
        <f>HYPERLINK("https://fin.land.naver.com/articles/2652142114", "매물Link")</f>
        <v/>
      </c>
      <c r="Q918" s="6">
        <f>HYPERLINK("https://map.naver.com/p/search/오송읍 봉산리 1366", "지도Link")</f>
        <v/>
      </c>
      <c r="R918" s="6">
        <f>HYPERLINK("http://www.eum.go.kr/web/ar/lu/luLandDet.jsp?pnu=4311325031113660000&amp;isNoScr=script&amp;mode=search",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290</v>
      </c>
      <c r="V918" s="4" t="n">
        <v>300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1382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일반원룸</t>
        </is>
      </c>
      <c r="F919" s="3" t="inlineStr">
        <is>
          <t>전세</t>
        </is>
      </c>
      <c r="G919" s="4" t="n">
        <v>8000</v>
      </c>
      <c r="H919" s="4" t="n">
        <v>0</v>
      </c>
      <c r="I919" s="4" t="n">
        <v>51</v>
      </c>
      <c r="J919" s="4" t="n">
        <v>15</v>
      </c>
      <c r="K919" s="5" t="n">
        <v>533.3</v>
      </c>
      <c r="L919" s="4" t="n">
        <v>23</v>
      </c>
      <c r="M919" s="4" t="n">
        <v>7</v>
      </c>
      <c r="N919" s="5" t="n">
        <v>1142.9</v>
      </c>
      <c r="O919" s="3" t="inlineStr">
        <is>
          <t>귀한원룸전세</t>
        </is>
      </c>
      <c r="P919" s="6">
        <f>HYPERLINK("https://fin.land.naver.com/articles/2652207797", "매물Link")</f>
        <v/>
      </c>
      <c r="Q919" s="6">
        <f>HYPERLINK("https://map.naver.com/p/search/오송읍 봉산리 1382", "지도Link")</f>
        <v/>
      </c>
      <c r="R919" s="6">
        <f>HYPERLINK("http://www.eum.go.kr/web/ar/lu/luLandDet.jsp?pnu=4311325031113820000&amp;isNoScr=script&amp;mode=search", "토지이음")</f>
        <v/>
      </c>
      <c r="S919" s="3" t="inlineStr">
        <is>
          <t>프로</t>
        </is>
      </c>
      <c r="T919" s="4" t="n">
        <v>1</v>
      </c>
      <c r="U919" s="5" t="n">
        <v>236</v>
      </c>
      <c r="V919" s="4" t="n">
        <v>239.5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1388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153000</v>
      </c>
      <c r="H920" s="4" t="n">
        <v>0</v>
      </c>
      <c r="I920" s="4" t="n">
        <v>270</v>
      </c>
      <c r="J920" s="4" t="n">
        <v>82</v>
      </c>
      <c r="K920" s="5" t="n">
        <v>1865.9</v>
      </c>
      <c r="L920" s="4" t="n">
        <v>494</v>
      </c>
      <c r="M920" s="4" t="n">
        <v>149</v>
      </c>
      <c r="N920" s="5" t="n">
        <v>1026.8</v>
      </c>
      <c r="O920" s="3" t="inlineStr">
        <is>
          <t>추천매물수익율 높으며,누구나 거주하고 싶은 구조,오송역인근 주택매매</t>
        </is>
      </c>
      <c r="P920" s="6">
        <f>HYPERLINK("https://fin.land.naver.com/articles/2655166039", "매물Link")</f>
        <v/>
      </c>
      <c r="Q920" s="6">
        <f>HYPERLINK("https://map.naver.com/p/search/오송읍 봉산리 1388", "지도Link")</f>
        <v/>
      </c>
      <c r="R920" s="6">
        <f>HYPERLINK("http://www.eum.go.kr/web/ar/lu/luLandDet.jsp?pnu=4311325031113880000&amp;isNoScr=script&amp;mode=search", "토지이음")</f>
        <v/>
      </c>
      <c r="S920" s="3" t="inlineStr">
        <is>
          <t>오송2단지창조</t>
        </is>
      </c>
      <c r="T920" s="4" t="n">
        <v>1</v>
      </c>
      <c r="U920" s="5" t="n">
        <v>207.9</v>
      </c>
      <c r="V920" s="4" t="n">
        <v>270.1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1388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상가주택</t>
        </is>
      </c>
      <c r="F921" s="3" t="inlineStr">
        <is>
          <t>매매</t>
        </is>
      </c>
      <c r="G921" s="4" t="n">
        <v>170000</v>
      </c>
      <c r="H921" s="4" t="n">
        <v>0</v>
      </c>
      <c r="I921" s="4" t="n">
        <v>270</v>
      </c>
      <c r="J921" s="4" t="n">
        <v>82</v>
      </c>
      <c r="K921" s="5" t="n">
        <v>2073.2</v>
      </c>
      <c r="L921" s="4" t="n">
        <v>494</v>
      </c>
      <c r="M921" s="4" t="n">
        <v>149</v>
      </c>
      <c r="N921" s="5" t="n">
        <v>1140.9</v>
      </c>
      <c r="O921" s="3" t="inlineStr">
        <is>
          <t>오송역세권. 가치상승기대. 대로변인근</t>
        </is>
      </c>
      <c r="P921" s="6">
        <f>HYPERLINK("https://fin.land.naver.com/articles/2651309277", "매물Link")</f>
        <v/>
      </c>
      <c r="Q921" s="6">
        <f>HYPERLINK("https://map.naver.com/p/search/오송읍 봉산리 1388", "지도Link")</f>
        <v/>
      </c>
      <c r="R921" s="6">
        <f>HYPERLINK("http://www.eum.go.kr/web/ar/lu/luLandDet.jsp?pnu=4311325031113880000&amp;isNoScr=script&amp;mode=search", "토지이음")</f>
        <v/>
      </c>
      <c r="S921" s="3" t="inlineStr">
        <is>
          <t>노른자</t>
        </is>
      </c>
      <c r="T921" s="4" t="n">
        <v>1</v>
      </c>
      <c r="U921" s="5" t="n">
        <v>207.9</v>
      </c>
      <c r="V921" s="4" t="n">
        <v>270.1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1388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매매</t>
        </is>
      </c>
      <c r="G922" s="4" t="n">
        <v>153000</v>
      </c>
      <c r="H922" s="4" t="n">
        <v>0</v>
      </c>
      <c r="I922" s="4" t="n">
        <v>270</v>
      </c>
      <c r="J922" s="4" t="n">
        <v>82</v>
      </c>
      <c r="K922" s="5" t="n">
        <v>1865.9</v>
      </c>
      <c r="L922" s="4" t="n">
        <v>494</v>
      </c>
      <c r="M922" s="4" t="n">
        <v>149</v>
      </c>
      <c r="N922" s="5" t="n">
        <v>1026.8</v>
      </c>
      <c r="O922" s="3" t="inlineStr">
        <is>
          <t>수익률 높은 수익형 상가주택</t>
        </is>
      </c>
      <c r="P922" s="6">
        <f>HYPERLINK("https://fin.land.naver.com/articles/2655113441", "매물Link")</f>
        <v/>
      </c>
      <c r="Q922" s="6">
        <f>HYPERLINK("https://map.naver.com/p/search/오송읍 봉산리 1388", "지도Link")</f>
        <v/>
      </c>
      <c r="R922" s="6">
        <f>HYPERLINK("http://www.eum.go.kr/web/ar/lu/luLandDet.jsp?pnu=4311325031113880000&amp;isNoScr=script&amp;mode=search", "토지이음")</f>
        <v/>
      </c>
      <c r="S922" s="3" t="inlineStr">
        <is>
          <t>오송1단지창조</t>
        </is>
      </c>
      <c r="T922" s="4" t="n">
        <v>1</v>
      </c>
      <c r="U922" s="5" t="n">
        <v>207.9</v>
      </c>
      <c r="V922" s="4" t="n">
        <v>270.1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1388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153000</v>
      </c>
      <c r="H923" s="4" t="n">
        <v>0</v>
      </c>
      <c r="I923" s="4" t="n">
        <v>270</v>
      </c>
      <c r="J923" s="4" t="n">
        <v>82</v>
      </c>
      <c r="K923" s="5" t="n">
        <v>1865.9</v>
      </c>
      <c r="L923" s="4" t="n">
        <v>494</v>
      </c>
      <c r="M923" s="4" t="n">
        <v>149</v>
      </c>
      <c r="N923" s="5" t="n">
        <v>1026.8</v>
      </c>
      <c r="O923" s="3" t="inlineStr">
        <is>
          <t>오송역 도보거리 주인세대 거주하며 월 560만원 수익가능</t>
        </is>
      </c>
      <c r="P923" s="6">
        <f>HYPERLINK("https://fin.land.naver.com/articles/2654685649", "매물Link")</f>
        <v/>
      </c>
      <c r="Q923" s="6">
        <f>HYPERLINK("https://map.naver.com/p/search/오송읍 봉산리 1388", "지도Link")</f>
        <v/>
      </c>
      <c r="R923" s="6">
        <f>HYPERLINK("http://www.eum.go.kr/web/ar/lu/luLandDet.jsp?pnu=4311325031113880000&amp;isNoScr=script&amp;mode=search", "토지이음")</f>
        <v/>
      </c>
      <c r="S923" s="3" t="inlineStr">
        <is>
          <t>미래n</t>
        </is>
      </c>
      <c r="T923" s="4" t="n">
        <v>1</v>
      </c>
      <c r="U923" s="5" t="n">
        <v>207.9</v>
      </c>
      <c r="V923" s="4" t="n">
        <v>270.1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1400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상가주택</t>
        </is>
      </c>
      <c r="F924" s="3" t="inlineStr">
        <is>
          <t>매매</t>
        </is>
      </c>
      <c r="G924" s="4" t="n">
        <v>168000</v>
      </c>
      <c r="H924" s="4" t="n">
        <v>0</v>
      </c>
      <c r="I924" s="4" t="n">
        <v>281</v>
      </c>
      <c r="J924" s="4" t="n">
        <v>85</v>
      </c>
      <c r="K924" s="5" t="n">
        <v>1976.5</v>
      </c>
      <c r="L924" s="4" t="n">
        <v>561</v>
      </c>
      <c r="M924" s="4" t="n">
        <v>170</v>
      </c>
      <c r="N924" s="5" t="n">
        <v>988.2</v>
      </c>
      <c r="O924" s="3" t="inlineStr">
        <is>
          <t>감탄나오는 공원뷰 주인세대, 인프라 짱,  오송역 도보가능</t>
        </is>
      </c>
      <c r="P924" s="6">
        <f>HYPERLINK("https://fin.land.naver.com/articles/2653753236", "매물Link")</f>
        <v/>
      </c>
      <c r="Q924" s="6">
        <f>HYPERLINK("https://map.naver.com/p/search/오송읍 봉산리 1400", "지도Link")</f>
        <v/>
      </c>
      <c r="R924" s="6">
        <f>HYPERLINK("http://www.eum.go.kr/web/ar/lu/luLandDet.jsp?pnu=4311325031114000000&amp;isNoScr=script&amp;mode=search",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339.2</v>
      </c>
      <c r="V924" s="4" t="n">
        <v>281.4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중로각지</t>
        </is>
      </c>
    </row>
    <row r="925">
      <c r="A925" s="3" t="inlineStr">
        <is>
          <t>오송읍 봉산리 1400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168000</v>
      </c>
      <c r="H925" s="4" t="n">
        <v>0</v>
      </c>
      <c r="I925" s="4" t="n">
        <v>281</v>
      </c>
      <c r="J925" s="4" t="n">
        <v>85</v>
      </c>
      <c r="K925" s="5" t="n">
        <v>1976.5</v>
      </c>
      <c r="L925" s="4" t="n">
        <v>561</v>
      </c>
      <c r="M925" s="4" t="n">
        <v>170</v>
      </c>
      <c r="N925" s="5" t="n">
        <v>988.2</v>
      </c>
      <c r="O925" s="3" t="inlineStr">
        <is>
          <t>내 집앞 공원이 있으며, 막힘없는 뷰,수익율이 좋은 매매 매물입니다</t>
        </is>
      </c>
      <c r="P925" s="6">
        <f>HYPERLINK("https://fin.land.naver.com/articles/2655173326", "매물Link")</f>
        <v/>
      </c>
      <c r="Q925" s="6">
        <f>HYPERLINK("https://map.naver.com/p/search/오송읍 봉산리 1400", "지도Link")</f>
        <v/>
      </c>
      <c r="R925" s="6">
        <f>HYPERLINK("http://www.eum.go.kr/web/ar/lu/luLandDet.jsp?pnu=4311325031114000000&amp;isNoScr=script&amp;mode=search", "토지이음")</f>
        <v/>
      </c>
      <c r="S925" s="3" t="inlineStr">
        <is>
          <t>오송2단지창조</t>
        </is>
      </c>
      <c r="T925" s="4" t="n">
        <v>1</v>
      </c>
      <c r="U925" s="5" t="n">
        <v>339.2</v>
      </c>
      <c r="V925" s="4" t="n">
        <v>281.4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중로각지</t>
        </is>
      </c>
    </row>
    <row r="926">
      <c r="A926" s="3" t="inlineStr">
        <is>
          <t>오송읍 봉산리 1400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168000</v>
      </c>
      <c r="H926" s="4" t="n">
        <v>0</v>
      </c>
      <c r="I926" s="4" t="n">
        <v>281</v>
      </c>
      <c r="J926" s="4" t="n">
        <v>85</v>
      </c>
      <c r="K926" s="5" t="n">
        <v>1976.5</v>
      </c>
      <c r="L926" s="4" t="n">
        <v>561</v>
      </c>
      <c r="M926" s="4" t="n">
        <v>170</v>
      </c>
      <c r="N926" s="5" t="n">
        <v>988.2</v>
      </c>
      <c r="O926" s="3" t="inlineStr">
        <is>
          <t>수익률 높고 관리 잘 되었있는 상가주택</t>
        </is>
      </c>
      <c r="P926" s="6">
        <f>HYPERLINK("https://fin.land.naver.com/articles/2654907070", "매물Link")</f>
        <v/>
      </c>
      <c r="Q926" s="6">
        <f>HYPERLINK("https://map.naver.com/p/search/오송읍 봉산리 1400", "지도Link")</f>
        <v/>
      </c>
      <c r="R926" s="6">
        <f>HYPERLINK("http://www.eum.go.kr/web/ar/lu/luLandDet.jsp?pnu=4311325031114000000&amp;isNoScr=script&amp;mode=search", "토지이음")</f>
        <v/>
      </c>
      <c r="S926" s="3" t="inlineStr">
        <is>
          <t>오송1단지창조</t>
        </is>
      </c>
      <c r="T926" s="4" t="n">
        <v>1</v>
      </c>
      <c r="U926" s="5" t="n">
        <v>339.2</v>
      </c>
      <c r="V926" s="4" t="n">
        <v>281.4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중로각지</t>
        </is>
      </c>
    </row>
    <row r="927">
      <c r="A927" s="3" t="inlineStr">
        <is>
          <t>오송읍 봉산리 1400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168000</v>
      </c>
      <c r="H927" s="4" t="n">
        <v>0</v>
      </c>
      <c r="I927" s="4" t="n">
        <v>281</v>
      </c>
      <c r="J927" s="4" t="n">
        <v>85</v>
      </c>
      <c r="K927" s="5" t="n">
        <v>1976.5</v>
      </c>
      <c r="L927" s="4" t="n">
        <v>561</v>
      </c>
      <c r="M927" s="4" t="n">
        <v>170</v>
      </c>
      <c r="N927" s="5" t="n">
        <v>988.2</v>
      </c>
      <c r="O927" s="3" t="inlineStr">
        <is>
          <t>대로변,공원맞은편,입지조건최상,수익율7프로</t>
        </is>
      </c>
      <c r="P927" s="6">
        <f>HYPERLINK("https://fin.land.naver.com/articles/2651377930", "매물Link")</f>
        <v/>
      </c>
      <c r="Q927" s="6">
        <f>HYPERLINK("https://map.naver.com/p/search/오송읍 봉산리 1400", "지도Link")</f>
        <v/>
      </c>
      <c r="R927" s="6">
        <f>HYPERLINK("http://www.eum.go.kr/web/ar/lu/luLandDet.jsp?pnu=4311325031114000000&amp;isNoScr=script&amp;mode=search", "토지이음")</f>
        <v/>
      </c>
      <c r="S927" s="3" t="inlineStr">
        <is>
          <t>오송올래</t>
        </is>
      </c>
      <c r="T927" s="4" t="n">
        <v>1</v>
      </c>
      <c r="U927" s="5" t="n">
        <v>339.2</v>
      </c>
      <c r="V927" s="4" t="n">
        <v>281.4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1403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다가구</t>
        </is>
      </c>
      <c r="F928" s="3" t="inlineStr">
        <is>
          <t>월세</t>
        </is>
      </c>
      <c r="G928" s="4" t="n">
        <v>2000</v>
      </c>
      <c r="H928" s="4" t="n">
        <v>105</v>
      </c>
      <c r="I928" s="4" t="n">
        <v>59</v>
      </c>
      <c r="J928" s="4" t="n">
        <v>18</v>
      </c>
      <c r="K928" s="5" t="n">
        <v>5.8</v>
      </c>
      <c r="L928" s="4" t="n">
        <v>59</v>
      </c>
      <c r="M928" s="4" t="n">
        <v>18</v>
      </c>
      <c r="N928" s="5" t="n">
        <v>5.8</v>
      </c>
      <c r="O928" s="3" t="inlineStr">
        <is>
          <t>10월 중순 입주가능, 화장실 2개 쓰리룸, 채광좋고 따뜻한 집</t>
        </is>
      </c>
      <c r="P928" s="6">
        <f>HYPERLINK("https://fin.land.naver.com/articles/2654353146", "매물Link")</f>
        <v/>
      </c>
      <c r="Q928" s="6">
        <f>HYPERLINK("https://map.naver.com/p/search/오송읍 봉산리 1403", "지도Link")</f>
        <v/>
      </c>
      <c r="R928" s="6">
        <f>HYPERLINK("http://www.eum.go.kr/web/ar/lu/luLandDet.jsp?pnu=4311325031114030000&amp;isNoScr=script&amp;mode=search", "토지이음")</f>
        <v/>
      </c>
      <c r="S928" s="3" t="inlineStr">
        <is>
          <t>광장</t>
        </is>
      </c>
      <c r="T928" s="4" t="n">
        <v>1</v>
      </c>
      <c r="U928" s="5" t="n">
        <v>339.2</v>
      </c>
      <c r="V928" s="4" t="n">
        <v>274.5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1403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2000</v>
      </c>
      <c r="H929" s="4" t="n">
        <v>90</v>
      </c>
      <c r="I929" s="4" t="n">
        <v>138</v>
      </c>
      <c r="J929" s="4" t="n">
        <v>42</v>
      </c>
      <c r="K929" s="5" t="n">
        <v>2.1</v>
      </c>
      <c r="L929" s="4" t="n">
        <v>59</v>
      </c>
      <c r="M929" s="4" t="n">
        <v>18</v>
      </c>
      <c r="N929" s="5" t="n">
        <v>5</v>
      </c>
      <c r="O929" s="3" t="inlineStr">
        <is>
          <t>쓰리룸 오송역세권으로 인프라좋고 주변편의시설확충 파출소 공원 대형마트</t>
        </is>
      </c>
      <c r="P929" s="6">
        <f>HYPERLINK("https://fin.land.naver.com/articles/2652563343", "매물Link")</f>
        <v/>
      </c>
      <c r="Q929" s="6">
        <f>HYPERLINK("https://map.naver.com/p/search/오송읍 봉산리 1403", "지도Link")</f>
        <v/>
      </c>
      <c r="R929" s="6">
        <f>HYPERLINK("http://www.eum.go.kr/web/ar/lu/luLandDet.jsp?pnu=4311325031114030000&amp;isNoScr=script&amp;mode=search", "토지이음")</f>
        <v/>
      </c>
      <c r="S929" s="3" t="inlineStr">
        <is>
          <t>하림</t>
        </is>
      </c>
      <c r="T929" s="4" t="n">
        <v>2</v>
      </c>
      <c r="U929" s="5" t="n">
        <v>339.2</v>
      </c>
      <c r="V929" s="4" t="n">
        <v>274.5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1404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247</v>
      </c>
      <c r="J930" s="4" t="n">
        <v>75</v>
      </c>
      <c r="K930" s="5" t="n">
        <v>2253.3</v>
      </c>
      <c r="L930" s="4" t="n">
        <v>492</v>
      </c>
      <c r="M930" s="4" t="n">
        <v>149</v>
      </c>
      <c r="N930" s="5" t="n">
        <v>1134.2</v>
      </c>
      <c r="O930" s="3" t="inlineStr">
        <is>
          <t>2025년 신축. 코너건물로 가치 상승 기대</t>
        </is>
      </c>
      <c r="P930" s="6">
        <f>HYPERLINK("https://fin.land.naver.com/articles/2651061199", "매물Link")</f>
        <v/>
      </c>
      <c r="Q930" s="6">
        <f>HYPERLINK("https://map.naver.com/p/search/오송읍 봉산리 1404", "지도Link")</f>
        <v/>
      </c>
      <c r="R930" s="6">
        <f>HYPERLINK("http://www.eum.go.kr/web/ar/lu/luLandDet.jsp?pnu=4311325031114040000&amp;isNoScr=script&amp;mode=search", "토지이음")</f>
        <v/>
      </c>
      <c r="S930" s="3" t="inlineStr">
        <is>
          <t>노른자</t>
        </is>
      </c>
      <c r="T930" s="4" t="n">
        <v>1</v>
      </c>
      <c r="U930" s="5" t="n">
        <v>250.2</v>
      </c>
      <c r="V930" s="4" t="n">
        <v>247.5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1404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165000</v>
      </c>
      <c r="H931" s="4" t="n">
        <v>0</v>
      </c>
      <c r="I931" s="4" t="n">
        <v>247</v>
      </c>
      <c r="J931" s="4" t="n">
        <v>75</v>
      </c>
      <c r="K931" s="5" t="n">
        <v>2200</v>
      </c>
      <c r="L931" s="4" t="n">
        <v>492</v>
      </c>
      <c r="M931" s="4" t="n">
        <v>149</v>
      </c>
      <c r="N931" s="5" t="n">
        <v>1107.4</v>
      </c>
      <c r="O931" s="3" t="inlineStr">
        <is>
          <t>원룸촌 중앙에 위치한 사거리 코너 건물</t>
        </is>
      </c>
      <c r="P931" s="6">
        <f>HYPERLINK("https://fin.land.naver.com/articles/2653091295", "매물Link")</f>
        <v/>
      </c>
      <c r="Q931" s="6">
        <f>HYPERLINK("https://map.naver.com/p/search/오송읍 봉산리 1404", "지도Link")</f>
        <v/>
      </c>
      <c r="R931" s="6">
        <f>HYPERLINK("http://www.eum.go.kr/web/ar/lu/luLandDet.jsp?pnu=4311325031114040000&amp;isNoScr=script&amp;mode=search", "토지이음")</f>
        <v/>
      </c>
      <c r="S931" s="3" t="inlineStr">
        <is>
          <t>아시아</t>
        </is>
      </c>
      <c r="T931" s="4" t="n">
        <v>1</v>
      </c>
      <c r="U931" s="5" t="n">
        <v>250.2</v>
      </c>
      <c r="V931" s="4" t="n">
        <v>247.5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1404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다가구</t>
        </is>
      </c>
      <c r="F932" s="3" t="inlineStr">
        <is>
          <t>매매</t>
        </is>
      </c>
      <c r="G932" s="4" t="n">
        <v>165000</v>
      </c>
      <c r="H932" s="4" t="n">
        <v>0</v>
      </c>
      <c r="I932" s="4" t="n">
        <v>247</v>
      </c>
      <c r="J932" s="4" t="n">
        <v>75</v>
      </c>
      <c r="K932" s="5" t="n">
        <v>2200</v>
      </c>
      <c r="L932" s="4" t="n">
        <v>492</v>
      </c>
      <c r="M932" s="4" t="n">
        <v>149</v>
      </c>
      <c r="N932" s="5" t="n">
        <v>1107.4</v>
      </c>
      <c r="O932" s="3" t="inlineStr">
        <is>
          <t>오송역세권,주인세대첫입주,코너건물</t>
        </is>
      </c>
      <c r="P932" s="6">
        <f>HYPERLINK("https://fin.land.naver.com/articles/2653786688", "매물Link")</f>
        <v/>
      </c>
      <c r="Q932" s="6">
        <f>HYPERLINK("https://map.naver.com/p/search/오송읍 봉산리 1404", "지도Link")</f>
        <v/>
      </c>
      <c r="R932" s="6">
        <f>HYPERLINK("http://www.eum.go.kr/web/ar/lu/luLandDet.jsp?pnu=4311325031114040000&amp;isNoScr=script&amp;mode=search", "토지이음")</f>
        <v/>
      </c>
      <c r="S932" s="3" t="inlineStr">
        <is>
          <t>오송올래</t>
        </is>
      </c>
      <c r="T932" s="4" t="n">
        <v>1</v>
      </c>
      <c r="U932" s="5" t="n">
        <v>250.2</v>
      </c>
      <c r="V932" s="4" t="n">
        <v>247.5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1404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165000</v>
      </c>
      <c r="H933" s="4" t="n">
        <v>0</v>
      </c>
      <c r="I933" s="4" t="n">
        <v>247</v>
      </c>
      <c r="J933" s="4" t="n">
        <v>75</v>
      </c>
      <c r="K933" s="5" t="n">
        <v>2200</v>
      </c>
      <c r="L933" s="4" t="n">
        <v>492</v>
      </c>
      <c r="M933" s="4" t="n">
        <v>149</v>
      </c>
      <c r="N933" s="5" t="n">
        <v>1107.4</v>
      </c>
      <c r="O933" s="3" t="inlineStr">
        <is>
          <t>오송역 도보권 신축건물 주인세대 거주하며 548만 수익</t>
        </is>
      </c>
      <c r="P933" s="6">
        <f>HYPERLINK("https://fin.land.naver.com/articles/2655517402", "매물Link")</f>
        <v/>
      </c>
      <c r="Q933" s="6">
        <f>HYPERLINK("https://map.naver.com/p/search/오송읍 봉산리 1404", "지도Link")</f>
        <v/>
      </c>
      <c r="R933" s="6">
        <f>HYPERLINK("http://www.eum.go.kr/web/ar/lu/luLandDet.jsp?pnu=4311325031114040000&amp;isNoScr=script&amp;mode=search", "토지이음")</f>
        <v/>
      </c>
      <c r="S933" s="3" t="inlineStr">
        <is>
          <t>미래n</t>
        </is>
      </c>
      <c r="T933" s="4" t="n">
        <v>1</v>
      </c>
      <c r="U933" s="5" t="n">
        <v>250.2</v>
      </c>
      <c r="V933" s="4" t="n">
        <v>247.5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1404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165000</v>
      </c>
      <c r="H934" s="4" t="n">
        <v>0</v>
      </c>
      <c r="I934" s="4" t="n">
        <v>247</v>
      </c>
      <c r="J934" s="4" t="n">
        <v>75</v>
      </c>
      <c r="K934" s="5" t="n">
        <v>2200</v>
      </c>
      <c r="L934" s="4" t="n">
        <v>492</v>
      </c>
      <c r="M934" s="4" t="n">
        <v>149</v>
      </c>
      <c r="N934" s="5" t="n">
        <v>1107.4</v>
      </c>
      <c r="O934" s="3" t="inlineStr">
        <is>
          <t>오송역 9번 출구. 사거리 코너 핵심 건물.</t>
        </is>
      </c>
      <c r="P934" s="6">
        <f>HYPERLINK("https://fin.land.naver.com/articles/2655556510", "매물Link")</f>
        <v/>
      </c>
      <c r="Q934" s="6">
        <f>HYPERLINK("https://map.naver.com/p/search/오송읍 봉산리 1404", "지도Link")</f>
        <v/>
      </c>
      <c r="R934" s="6">
        <f>HYPERLINK("http://www.eum.go.kr/web/ar/lu/luLandDet.jsp?pnu=4311325031114040000&amp;isNoScr=script&amp;mode=search", "토지이음")</f>
        <v/>
      </c>
      <c r="S934" s="3" t="inlineStr">
        <is>
          <t>당근플러스</t>
        </is>
      </c>
      <c r="T934" s="4" t="n">
        <v>1</v>
      </c>
      <c r="U934" s="5" t="n">
        <v>250.2</v>
      </c>
      <c r="V934" s="4" t="n">
        <v>247.5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1404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169000</v>
      </c>
      <c r="H935" s="4" t="n">
        <v>0</v>
      </c>
      <c r="I935" s="4" t="n">
        <v>247</v>
      </c>
      <c r="J935" s="4" t="n">
        <v>75</v>
      </c>
      <c r="K935" s="5" t="n">
        <v>2253.3</v>
      </c>
      <c r="L935" s="4" t="n">
        <v>492</v>
      </c>
      <c r="M935" s="4" t="n">
        <v>149</v>
      </c>
      <c r="N935" s="5" t="n">
        <v>1134.2</v>
      </c>
      <c r="O935" s="3" t="inlineStr">
        <is>
          <t>오송역 가까운 다가구주택</t>
        </is>
      </c>
      <c r="P935" s="6">
        <f>HYPERLINK("https://fin.land.naver.com/articles/2653410829", "매물Link")</f>
        <v/>
      </c>
      <c r="Q935" s="6">
        <f>HYPERLINK("https://map.naver.com/p/search/오송읍 봉산리 1404", "지도Link")</f>
        <v/>
      </c>
      <c r="R935" s="6">
        <f>HYPERLINK("http://www.eum.go.kr/web/ar/lu/luLandDet.jsp?pnu=4311325031114040000&amp;isNoScr=script&amp;mode=search",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250.2</v>
      </c>
      <c r="V935" s="4" t="n">
        <v>247.5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1404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165000</v>
      </c>
      <c r="H936" s="4" t="n">
        <v>0</v>
      </c>
      <c r="I936" s="4" t="n">
        <v>247</v>
      </c>
      <c r="J936" s="4" t="n">
        <v>75</v>
      </c>
      <c r="K936" s="5" t="n">
        <v>2200</v>
      </c>
      <c r="L936" s="4" t="n">
        <v>455</v>
      </c>
      <c r="M936" s="4" t="n">
        <v>138</v>
      </c>
      <c r="N936" s="5" t="n">
        <v>1195.7</v>
      </c>
      <c r="O936" s="3" t="inlineStr">
        <is>
          <t>반짝반짝 신축. 임대수요 확실한 투자처. 안정적 월세받으세요</t>
        </is>
      </c>
      <c r="P936" s="6">
        <f>HYPERLINK("https://fin.land.naver.com/articles/2653986100", "매물Link")</f>
        <v/>
      </c>
      <c r="Q936" s="6">
        <f>HYPERLINK("https://map.naver.com/p/search/오송읍 봉산리 1404", "지도Link")</f>
        <v/>
      </c>
      <c r="R936" s="6">
        <f>HYPERLINK("http://www.eum.go.kr/web/ar/lu/luLandDet.jsp?pnu=4311325031114040000&amp;isNoScr=script&amp;mode=search",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250.2</v>
      </c>
      <c r="V936" s="4" t="n">
        <v>247.5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1423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60</v>
      </c>
      <c r="I937" s="4" t="n">
        <v>27</v>
      </c>
      <c r="J937" s="4" t="n">
        <v>8</v>
      </c>
      <c r="K937" s="5" t="n">
        <v>7.5</v>
      </c>
      <c r="L937" s="4" t="n">
        <v>27</v>
      </c>
      <c r="M937" s="4" t="n">
        <v>8</v>
      </c>
      <c r="N937" s="5" t="n">
        <v>7.5</v>
      </c>
      <c r="O937" s="3" t="inlineStr">
        <is>
          <t>10월 중순 입주 가능한 이쁜 투베이입니다</t>
        </is>
      </c>
      <c r="P937" s="6">
        <f>HYPERLINK("https://fin.land.naver.com/articles/2652516510", "매물Link")</f>
        <v/>
      </c>
      <c r="Q937" s="6">
        <f>HYPERLINK("https://map.naver.com/p/search/오송읍 봉산리 1423", "지도Link")</f>
        <v/>
      </c>
      <c r="R937" s="6">
        <f>HYPERLINK("http://www.eum.go.kr/web/ar/lu/luLandDet.jsp?pnu=4311325031114230000&amp;isNoScr=script&amp;mode=search", "토지이음")</f>
        <v/>
      </c>
      <c r="S937" s="3" t="inlineStr">
        <is>
          <t>세종오송</t>
        </is>
      </c>
      <c r="T937" s="4" t="n">
        <v>1</v>
      </c>
      <c r="U937" s="5" t="n">
        <v>250.2</v>
      </c>
      <c r="V937" s="4" t="n">
        <v>250.3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1425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0</v>
      </c>
      <c r="J938" s="4" t="n">
        <v>0</v>
      </c>
      <c r="K938" s="5" t="n">
        <v>0</v>
      </c>
      <c r="L938" s="4" t="n">
        <v>25</v>
      </c>
      <c r="M938" s="4" t="n">
        <v>8</v>
      </c>
      <c r="N938" s="5" t="n">
        <v>6.2</v>
      </c>
      <c r="O938" s="3" t="inlineStr">
        <is>
          <t>오송역도보 5분거리  건조기 까지 있는 분리형 예쁜원룸</t>
        </is>
      </c>
      <c r="P938" s="6">
        <f>HYPERLINK("https://fin.land.naver.com/articles/2654726802", "매물Link")</f>
        <v/>
      </c>
      <c r="Q938" s="6">
        <f>HYPERLINK("https://map.naver.com/p/search/오송읍 봉산리 1425", "지도Link")</f>
        <v/>
      </c>
      <c r="R938" s="6">
        <f>HYPERLINK("http://www.eum.go.kr/web/ar/lu/luLandDet.jsp?pnu=4311325031114250000&amp;isNoScr=script&amp;mode=search", "토지이음")</f>
        <v/>
      </c>
      <c r="S938" s="3" t="inlineStr">
        <is>
          <t>스케치</t>
        </is>
      </c>
      <c r="T938" s="4" t="n">
        <v>1</v>
      </c>
      <c r="U938" s="5" t="n">
        <v>236</v>
      </c>
      <c r="V938" s="4" t="n">
        <v>311.5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1427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단독</t>
        </is>
      </c>
      <c r="F939" s="3" t="inlineStr">
        <is>
          <t>월세</t>
        </is>
      </c>
      <c r="G939" s="4" t="n">
        <v>3000</v>
      </c>
      <c r="H939" s="4" t="n">
        <v>120</v>
      </c>
      <c r="I939" s="4" t="n">
        <v>0</v>
      </c>
      <c r="J939" s="4" t="n">
        <v>0</v>
      </c>
      <c r="K939" s="5" t="n">
        <v>0</v>
      </c>
      <c r="L939" s="4" t="n">
        <v>122</v>
      </c>
      <c r="M939" s="4" t="n">
        <v>37</v>
      </c>
      <c r="N939" s="5" t="n">
        <v>3.2</v>
      </c>
      <c r="O939" s="3" t="inlineStr">
        <is>
          <t>공원 앞 뻥 뷰. 9번출구 도보 3분 이내.</t>
        </is>
      </c>
      <c r="P939" s="6">
        <f>HYPERLINK("https://fin.land.naver.com/articles/2651889740", "매물Link")</f>
        <v/>
      </c>
      <c r="Q939" s="6">
        <f>HYPERLINK("https://map.naver.com/p/search/오송읍 봉산리 1427", "지도Link")</f>
        <v/>
      </c>
      <c r="R939" s="6">
        <f>HYPERLINK("http://www.eum.go.kr/web/ar/lu/luLandDet.jsp?pnu=4311325031114270000&amp;isNoScr=script&amp;mode=search", "토지이음")</f>
        <v/>
      </c>
      <c r="S939" s="3" t="inlineStr">
        <is>
          <t>당근플러스</t>
        </is>
      </c>
      <c r="T939" s="4" t="n">
        <v>1</v>
      </c>
      <c r="U939" s="5" t="n">
        <v>233.7</v>
      </c>
      <c r="V939" s="4" t="n">
        <v>311.4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1437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일반원룸</t>
        </is>
      </c>
      <c r="F940" s="3" t="inlineStr">
        <is>
          <t>월세</t>
        </is>
      </c>
      <c r="G940" s="4" t="n">
        <v>300</v>
      </c>
      <c r="H940" s="4" t="n">
        <v>45</v>
      </c>
      <c r="I940" s="4" t="n">
        <v>0</v>
      </c>
      <c r="J940" s="4" t="n">
        <v>0</v>
      </c>
      <c r="K940" s="5" t="n">
        <v>0</v>
      </c>
      <c r="L940" s="4" t="n">
        <v>26</v>
      </c>
      <c r="M940" s="4" t="n">
        <v>8</v>
      </c>
      <c r="N940" s="5" t="n">
        <v>5.6</v>
      </c>
      <c r="O940" s="3" t="inlineStr">
        <is>
          <t>오송역9번출구 도보5분 풀옵션 원룸 채광 좋고 중문 있어요</t>
        </is>
      </c>
      <c r="P940" s="6">
        <f>HYPERLINK("https://fin.land.naver.com/articles/2655206261", "매물Link")</f>
        <v/>
      </c>
      <c r="Q940" s="6">
        <f>HYPERLINK("https://map.naver.com/p/search/오송읍 봉산리 1437", "지도Link")</f>
        <v/>
      </c>
      <c r="R940" s="6">
        <f>HYPERLINK("http://www.eum.go.kr/web/ar/lu/luLandDet.jsp?pnu=4311325031114370000&amp;isNoScr=script&amp;mode=search", "토지이음")</f>
        <v/>
      </c>
      <c r="S940" s="3" t="inlineStr">
        <is>
          <t>스케치</t>
        </is>
      </c>
      <c r="T940" s="4" t="n">
        <v>1</v>
      </c>
      <c r="U940" s="5" t="n">
        <v>205.8</v>
      </c>
      <c r="V940" s="4" t="n">
        <v>314.3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1440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2000</v>
      </c>
      <c r="H941" s="4" t="n">
        <v>121</v>
      </c>
      <c r="I941" s="4" t="n">
        <v>179</v>
      </c>
      <c r="J941" s="4" t="n">
        <v>54</v>
      </c>
      <c r="K941" s="5" t="n">
        <v>2.2</v>
      </c>
      <c r="L941" s="4" t="n">
        <v>134</v>
      </c>
      <c r="M941" s="4" t="n">
        <v>41</v>
      </c>
      <c r="N941" s="5" t="n">
        <v>3</v>
      </c>
      <c r="O941" s="3" t="inlineStr">
        <is>
          <t>nan</t>
        </is>
      </c>
      <c r="P941" s="6">
        <f>HYPERLINK("https://fin.land.naver.com/articles/2650604946", "매물Link")</f>
        <v/>
      </c>
      <c r="Q941" s="6">
        <f>HYPERLINK("https://map.naver.com/p/search/오송읍 봉산리 1440", "지도Link")</f>
        <v/>
      </c>
      <c r="R941" s="6">
        <f>HYPERLINK("http://www.eum.go.kr/web/ar/lu/luLandDet.jsp?pnu=4311325031114400000&amp;isNoScr=script&amp;mode=search",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215.7</v>
      </c>
      <c r="V941" s="4" t="n">
        <v>360.7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1440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월세</t>
        </is>
      </c>
      <c r="G942" s="4" t="n">
        <v>2000</v>
      </c>
      <c r="H942" s="4" t="n">
        <v>110</v>
      </c>
      <c r="I942" s="4" t="n">
        <v>134</v>
      </c>
      <c r="J942" s="4" t="n">
        <v>41</v>
      </c>
      <c r="K942" s="5" t="n">
        <v>2.7</v>
      </c>
      <c r="L942" s="4" t="n">
        <v>134</v>
      </c>
      <c r="M942" s="4" t="n">
        <v>41</v>
      </c>
      <c r="N942" s="5" t="n">
        <v>2.7</v>
      </c>
      <c r="O942" s="3" t="inlineStr">
        <is>
          <t>10월1일입주가능,넓은주인세대,오송역최단거리</t>
        </is>
      </c>
      <c r="P942" s="6">
        <f>HYPERLINK("https://fin.land.naver.com/articles/2653787908", "매물Link")</f>
        <v/>
      </c>
      <c r="Q942" s="6">
        <f>HYPERLINK("https://map.naver.com/p/search/오송읍 봉산리 1440", "지도Link")</f>
        <v/>
      </c>
      <c r="R942" s="6">
        <f>HYPERLINK("http://www.eum.go.kr/web/ar/lu/luLandDet.jsp?pnu=4311325031114400000&amp;isNoScr=script&amp;mode=search", "토지이음")</f>
        <v/>
      </c>
      <c r="S942" s="3" t="inlineStr">
        <is>
          <t>오송올래</t>
        </is>
      </c>
      <c r="T942" s="4" t="n">
        <v>1</v>
      </c>
      <c r="U942" s="5" t="n">
        <v>215.7</v>
      </c>
      <c r="V942" s="4" t="n">
        <v>360.7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소로각지</t>
        </is>
      </c>
    </row>
    <row r="943">
      <c r="A943" s="3" t="inlineStr">
        <is>
          <t>오송읍 봉산리 1440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단독</t>
        </is>
      </c>
      <c r="F943" s="3" t="inlineStr">
        <is>
          <t>월세</t>
        </is>
      </c>
      <c r="G943" s="4" t="n">
        <v>2000</v>
      </c>
      <c r="H943" s="4" t="n">
        <v>120</v>
      </c>
      <c r="I943" s="4" t="n">
        <v>134</v>
      </c>
      <c r="J943" s="4" t="n">
        <v>41</v>
      </c>
      <c r="K943" s="5" t="n">
        <v>2.9</v>
      </c>
      <c r="L943" s="4" t="n">
        <v>134</v>
      </c>
      <c r="M943" s="4" t="n">
        <v>41</v>
      </c>
      <c r="N943" s="5" t="n">
        <v>2.9</v>
      </c>
      <c r="O943" s="3" t="inlineStr">
        <is>
          <t>nan</t>
        </is>
      </c>
      <c r="P943" s="6">
        <f>HYPERLINK("https://fin.land.naver.com/articles/2650858362", "매물Link")</f>
        <v/>
      </c>
      <c r="Q943" s="6">
        <f>HYPERLINK("https://map.naver.com/p/search/오송읍 봉산리 1440", "지도Link")</f>
        <v/>
      </c>
      <c r="R943" s="6">
        <f>HYPERLINK("http://www.eum.go.kr/web/ar/lu/luLandDet.jsp?pnu=4311325031114400000&amp;isNoScr=script&amp;mode=search", "토지이음")</f>
        <v/>
      </c>
      <c r="S943" s="3" t="inlineStr">
        <is>
          <t>오송유진</t>
        </is>
      </c>
      <c r="T943" s="4" t="n">
        <v>1</v>
      </c>
      <c r="U943" s="5" t="n">
        <v>215.7</v>
      </c>
      <c r="V943" s="4" t="n">
        <v>360.7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소로각지</t>
        </is>
      </c>
    </row>
    <row r="944">
      <c r="A944" s="3" t="inlineStr">
        <is>
          <t>오송읍 봉산리 1441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2</t>
        </is>
      </c>
      <c r="E944" s="3" t="inlineStr">
        <is>
          <t>일반원룸</t>
        </is>
      </c>
      <c r="F944" s="3" t="inlineStr">
        <is>
          <t>월세</t>
        </is>
      </c>
      <c r="G944" s="4" t="n">
        <v>500</v>
      </c>
      <c r="H944" s="4" t="n">
        <v>50</v>
      </c>
      <c r="I944" s="4" t="n">
        <v>0</v>
      </c>
      <c r="J944" s="4" t="n">
        <v>0</v>
      </c>
      <c r="K944" s="5" t="n">
        <v>0</v>
      </c>
      <c r="L944" s="4" t="n">
        <v>23</v>
      </c>
      <c r="M944" s="4" t="n">
        <v>7</v>
      </c>
      <c r="N944" s="5" t="n">
        <v>7.1</v>
      </c>
      <c r="O944" s="3" t="inlineStr">
        <is>
          <t>오송역9번출구 도보3분 신축 넓은원룸  채광굿.주차편리 빠른 입주가능</t>
        </is>
      </c>
      <c r="P944" s="6">
        <f>HYPERLINK("https://fin.land.naver.com/articles/2655465370", "매물Link")</f>
        <v/>
      </c>
      <c r="Q944" s="6">
        <f>HYPERLINK("https://map.naver.com/p/search/오송읍 봉산리 1441", "지도Link")</f>
        <v/>
      </c>
      <c r="R944" s="6">
        <f>HYPERLINK("http://www.eum.go.kr/web/ar/lu/luLandDet.jsp?pnu=4311325031114410000&amp;isNoScr=script&amp;mode=search", "토지이음")</f>
        <v/>
      </c>
      <c r="S944" s="3" t="inlineStr">
        <is>
          <t>스케치</t>
        </is>
      </c>
      <c r="T944" s="4" t="n">
        <v>1</v>
      </c>
      <c r="U944" s="5" t="n">
        <v>205.8</v>
      </c>
      <c r="V944" s="4" t="n">
        <v>308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1443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단독</t>
        </is>
      </c>
      <c r="F945" s="3" t="inlineStr">
        <is>
          <t>월세</t>
        </is>
      </c>
      <c r="G945" s="4" t="n">
        <v>5000</v>
      </c>
      <c r="H945" s="4" t="n">
        <v>51</v>
      </c>
      <c r="I945" s="4" t="n">
        <v>81</v>
      </c>
      <c r="J945" s="4" t="n">
        <v>25</v>
      </c>
      <c r="K945" s="5" t="n">
        <v>2</v>
      </c>
      <c r="L945" s="4" t="n">
        <v>55</v>
      </c>
      <c r="M945" s="4" t="n">
        <v>17</v>
      </c>
      <c r="N945" s="5" t="n">
        <v>3</v>
      </c>
      <c r="O945" s="3" t="inlineStr">
        <is>
          <t>중문있는 반전세 투룸</t>
        </is>
      </c>
      <c r="P945" s="6">
        <f>HYPERLINK("https://fin.land.naver.com/articles/2654379213", "매물Link")</f>
        <v/>
      </c>
      <c r="Q945" s="6">
        <f>HYPERLINK("https://map.naver.com/p/search/오송읍 봉산리 1443", "지도Link")</f>
        <v/>
      </c>
      <c r="R945" s="6">
        <f>HYPERLINK("http://www.eum.go.kr/web/ar/lu/luLandDet.jsp?pnu=4311325031114430000&amp;isNoScr=script&amp;mode=search",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207.9</v>
      </c>
      <c r="V945" s="4" t="n">
        <v>309.2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1443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다가구</t>
        </is>
      </c>
      <c r="F946" s="3" t="inlineStr">
        <is>
          <t>월세</t>
        </is>
      </c>
      <c r="G946" s="4" t="n">
        <v>5000</v>
      </c>
      <c r="H946" s="4" t="n">
        <v>50</v>
      </c>
      <c r="I946" s="4" t="n">
        <v>0</v>
      </c>
      <c r="J946" s="4" t="n">
        <v>0</v>
      </c>
      <c r="K946" s="5" t="n">
        <v>0</v>
      </c>
      <c r="L946" s="4" t="n">
        <v>52</v>
      </c>
      <c r="M946" s="4" t="n">
        <v>16</v>
      </c>
      <c r="N946" s="5" t="n">
        <v>3.1</v>
      </c>
      <c r="O946" s="3" t="inlineStr">
        <is>
          <t>귀한 투룸 반전세. 보증금 및 월세 조율 가능</t>
        </is>
      </c>
      <c r="P946" s="6">
        <f>HYPERLINK("https://fin.land.naver.com/articles/2654856038", "매물Link")</f>
        <v/>
      </c>
      <c r="Q946" s="6">
        <f>HYPERLINK("https://map.naver.com/p/search/오송읍 봉산리 1443", "지도Link")</f>
        <v/>
      </c>
      <c r="R946" s="6">
        <f>HYPERLINK("http://www.eum.go.kr/web/ar/lu/luLandDet.jsp?pnu=4311325031114430000&amp;isNoScr=script&amp;mode=search", "토지이음")</f>
        <v/>
      </c>
      <c r="S946" s="3" t="inlineStr">
        <is>
          <t>당근플러스</t>
        </is>
      </c>
      <c r="T946" s="4" t="n">
        <v>3</v>
      </c>
      <c r="U946" s="5" t="n">
        <v>207.9</v>
      </c>
      <c r="V946" s="4" t="n">
        <v>309.2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1444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165000</v>
      </c>
      <c r="H947" s="4" t="n">
        <v>0</v>
      </c>
      <c r="I947" s="4" t="n">
        <v>308</v>
      </c>
      <c r="J947" s="4" t="n">
        <v>93</v>
      </c>
      <c r="K947" s="5" t="n">
        <v>1774.2</v>
      </c>
      <c r="L947" s="4" t="n">
        <v>487</v>
      </c>
      <c r="M947" s="4" t="n">
        <v>147</v>
      </c>
      <c r="N947" s="5" t="n">
        <v>1122.4</v>
      </c>
      <c r="O947" s="3" t="inlineStr">
        <is>
          <t>nan</t>
        </is>
      </c>
      <c r="P947" s="6">
        <f>HYPERLINK("https://fin.land.naver.com/articles/2650076301", "매물Link")</f>
        <v/>
      </c>
      <c r="Q947" s="6">
        <f>HYPERLINK("https://map.naver.com/p/search/오송읍 봉산리 1444", "지도Link")</f>
        <v/>
      </c>
      <c r="R947" s="6">
        <f>HYPERLINK("http://www.eum.go.kr/web/ar/lu/luLandDet.jsp?pnu=4311325031114440000&amp;isNoScr=script&amp;mode=search", "토지이음")</f>
        <v/>
      </c>
      <c r="S947" s="3" t="inlineStr">
        <is>
          <t>오송1단지창조</t>
        </is>
      </c>
      <c r="T947" s="4" t="n">
        <v>1</v>
      </c>
      <c r="U947" s="5" t="n">
        <v>207.9</v>
      </c>
      <c r="V947" s="4" t="n">
        <v>308.7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1444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165000</v>
      </c>
      <c r="H948" s="4" t="n">
        <v>0</v>
      </c>
      <c r="I948" s="4" t="n">
        <v>308</v>
      </c>
      <c r="J948" s="4" t="n">
        <v>93</v>
      </c>
      <c r="K948" s="5" t="n">
        <v>1774.2</v>
      </c>
      <c r="L948" s="4" t="n">
        <v>487</v>
      </c>
      <c r="M948" s="4" t="n">
        <v>147</v>
      </c>
      <c r="N948" s="5" t="n">
        <v>1122.4</v>
      </c>
      <c r="O948" s="3" t="inlineStr">
        <is>
          <t>오송역인근 임대 선호가 많아 공실없는 건물</t>
        </is>
      </c>
      <c r="P948" s="6">
        <f>HYPERLINK("https://fin.land.naver.com/articles/2652266836", "매물Link")</f>
        <v/>
      </c>
      <c r="Q948" s="6">
        <f>HYPERLINK("https://map.naver.com/p/search/오송읍 봉산리 1444", "지도Link")</f>
        <v/>
      </c>
      <c r="R948" s="6">
        <f>HYPERLINK("http://www.eum.go.kr/web/ar/lu/luLandDet.jsp?pnu=4311325031114440000&amp;isNoScr=script&amp;mode=search",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308.7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1448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150000</v>
      </c>
      <c r="H949" s="4" t="n">
        <v>0</v>
      </c>
      <c r="I949" s="4" t="n">
        <v>263</v>
      </c>
      <c r="J949" s="4" t="n">
        <v>80</v>
      </c>
      <c r="K949" s="5" t="n">
        <v>1875</v>
      </c>
      <c r="L949" s="4" t="n">
        <v>525</v>
      </c>
      <c r="M949" s="4" t="n">
        <v>159</v>
      </c>
      <c r="N949" s="5" t="n">
        <v>943.4</v>
      </c>
      <c r="O949" s="3" t="inlineStr">
        <is>
          <t>4차선 도로변 대지넓은 상가주택, 임대수요 풍부</t>
        </is>
      </c>
      <c r="P949" s="6">
        <f>HYPERLINK("https://fin.land.naver.com/articles/2651431163", "매물Link")</f>
        <v/>
      </c>
      <c r="Q949" s="6">
        <f>HYPERLINK("https://map.naver.com/p/search/오송읍 봉산리 1448", "지도Link")</f>
        <v/>
      </c>
      <c r="R949" s="6">
        <f>HYPERLINK("http://www.eum.go.kr/web/ar/lu/luLandDet.jsp?pnu=4311325031114480000&amp;isNoScr=script&amp;mode=search", "토지이음")</f>
        <v/>
      </c>
      <c r="S949" s="3" t="inlineStr">
        <is>
          <t>광장</t>
        </is>
      </c>
      <c r="T949" s="4" t="n">
        <v>1</v>
      </c>
      <c r="U949" s="5" t="n">
        <v>339.2</v>
      </c>
      <c r="V949" s="4" t="n">
        <v>263.3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1451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165000</v>
      </c>
      <c r="H950" s="4" t="n">
        <v>0</v>
      </c>
      <c r="I950" s="4" t="n">
        <v>263</v>
      </c>
      <c r="J950" s="4" t="n">
        <v>80</v>
      </c>
      <c r="K950" s="5" t="n">
        <v>2062.5</v>
      </c>
      <c r="L950" s="4" t="n">
        <v>526</v>
      </c>
      <c r="M950" s="4" t="n">
        <v>159</v>
      </c>
      <c r="N950" s="5" t="n">
        <v>1037.7</v>
      </c>
      <c r="O950" s="3" t="inlineStr">
        <is>
          <t>오송역 9번출구 가까운 대로변 입지조건좋은 건물매매</t>
        </is>
      </c>
      <c r="P950" s="6">
        <f>HYPERLINK("https://fin.land.naver.com/articles/2651887851", "매물Link")</f>
        <v/>
      </c>
      <c r="Q950" s="6">
        <f>HYPERLINK("https://map.naver.com/p/search/오송읍 봉산리 1451", "지도Link")</f>
        <v/>
      </c>
      <c r="R950" s="6">
        <f>HYPERLINK("http://www.eum.go.kr/web/ar/lu/luLandDet.jsp?pnu=4311325031114510000&amp;isNoScr=script&amp;mode=search", "토지이음")</f>
        <v/>
      </c>
      <c r="S950" s="3" t="inlineStr">
        <is>
          <t>오송올래</t>
        </is>
      </c>
      <c r="T950" s="4" t="n">
        <v>1</v>
      </c>
      <c r="U950" s="5" t="n">
        <v>335.9</v>
      </c>
      <c r="V950" s="4" t="n">
        <v>263.4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1451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165000</v>
      </c>
      <c r="H951" s="4" t="n">
        <v>0</v>
      </c>
      <c r="I951" s="4" t="n">
        <v>263</v>
      </c>
      <c r="J951" s="4" t="n">
        <v>80</v>
      </c>
      <c r="K951" s="5" t="n">
        <v>2062.5</v>
      </c>
      <c r="L951" s="4" t="n">
        <v>526</v>
      </c>
      <c r="M951" s="4" t="n">
        <v>159</v>
      </c>
      <c r="N951" s="5" t="n">
        <v>1037.7</v>
      </c>
      <c r="O951" s="3" t="inlineStr">
        <is>
          <t>오송역5분. 안정적 수익률. 전호실 임대완료 실거주가능</t>
        </is>
      </c>
      <c r="P951" s="6">
        <f>HYPERLINK("https://fin.land.naver.com/articles/2653988597", "매물Link")</f>
        <v/>
      </c>
      <c r="Q951" s="6">
        <f>HYPERLINK("https://map.naver.com/p/search/오송읍 봉산리 1451", "지도Link")</f>
        <v/>
      </c>
      <c r="R951" s="6">
        <f>HYPERLINK("http://www.eum.go.kr/web/ar/lu/luLandDet.jsp?pnu=4311325031114510000&amp;isNoScr=script&amp;mode=search",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335.9</v>
      </c>
      <c r="V951" s="4" t="n">
        <v>263.4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1459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0</t>
        </is>
      </c>
      <c r="E952" s="3" t="inlineStr">
        <is>
          <t>단독</t>
        </is>
      </c>
      <c r="F952" s="3" t="inlineStr">
        <is>
          <t>월세</t>
        </is>
      </c>
      <c r="G952" s="4" t="n">
        <v>500</v>
      </c>
      <c r="H952" s="4" t="n">
        <v>56</v>
      </c>
      <c r="I952" s="4" t="n">
        <v>27</v>
      </c>
      <c r="J952" s="4" t="n">
        <v>8</v>
      </c>
      <c r="K952" s="5" t="n">
        <v>7</v>
      </c>
      <c r="L952" s="4" t="n">
        <v>27</v>
      </c>
      <c r="M952" s="4" t="n">
        <v>8</v>
      </c>
      <c r="N952" s="5" t="n">
        <v>7</v>
      </c>
      <c r="O952" s="3" t="inlineStr">
        <is>
          <t>동남형 깔끔하고 깨끗한 투베이</t>
        </is>
      </c>
      <c r="P952" s="6">
        <f>HYPERLINK("https://fin.land.naver.com/articles/2655373898", "매물Link")</f>
        <v/>
      </c>
      <c r="Q952" s="6">
        <f>HYPERLINK("https://map.naver.com/p/search/오송읍 봉산리 1459", "지도Link")</f>
        <v/>
      </c>
      <c r="R952" s="6">
        <f>HYPERLINK("http://www.eum.go.kr/web/ar/lu/luLandDet.jsp?pnu=4311325031114590000&amp;isNoScr=script&amp;mode=search", "토지이음")</f>
        <v/>
      </c>
      <c r="S952" s="3" t="inlineStr">
        <is>
          <t>오송유진</t>
        </is>
      </c>
      <c r="T952" s="4" t="n">
        <v>1</v>
      </c>
      <c r="U952" s="5" t="n">
        <v>281.2</v>
      </c>
      <c r="V952" s="4" t="n">
        <v>294.9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1459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단독</t>
        </is>
      </c>
      <c r="F953" s="3" t="inlineStr">
        <is>
          <t>월세</t>
        </is>
      </c>
      <c r="G953" s="4" t="n">
        <v>500</v>
      </c>
      <c r="H953" s="4" t="n">
        <v>56</v>
      </c>
      <c r="I953" s="4" t="n">
        <v>25</v>
      </c>
      <c r="J953" s="4" t="n">
        <v>8</v>
      </c>
      <c r="K953" s="5" t="n">
        <v>7</v>
      </c>
      <c r="L953" s="4" t="n">
        <v>25</v>
      </c>
      <c r="M953" s="4" t="n">
        <v>8</v>
      </c>
      <c r="N953" s="5" t="n">
        <v>7</v>
      </c>
      <c r="O953" s="3" t="inlineStr">
        <is>
          <t>동남형 깔끔하고 깨끗한 투베이</t>
        </is>
      </c>
      <c r="P953" s="6">
        <f>HYPERLINK("https://fin.land.naver.com/articles/2652304883", "매물Link")</f>
        <v/>
      </c>
      <c r="Q953" s="6">
        <f>HYPERLINK("https://map.naver.com/p/search/오송읍 봉산리 1459", "지도Link")</f>
        <v/>
      </c>
      <c r="R953" s="6">
        <f>HYPERLINK("http://www.eum.go.kr/web/ar/lu/luLandDet.jsp?pnu=4311325031114590000&amp;isNoScr=script&amp;mode=search", "토지이음")</f>
        <v/>
      </c>
      <c r="S953" s="3" t="inlineStr">
        <is>
          <t>오송유진</t>
        </is>
      </c>
      <c r="T953" s="4" t="n">
        <v>1</v>
      </c>
      <c r="U953" s="5" t="n">
        <v>281.2</v>
      </c>
      <c r="V953" s="4" t="n">
        <v>294.9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1465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일반원룸</t>
        </is>
      </c>
      <c r="F954" s="3" t="inlineStr">
        <is>
          <t>월세</t>
        </is>
      </c>
      <c r="G954" s="4" t="n">
        <v>1000</v>
      </c>
      <c r="H954" s="4" t="n">
        <v>60</v>
      </c>
      <c r="I954" s="4" t="n">
        <v>0</v>
      </c>
      <c r="J954" s="4" t="n">
        <v>0</v>
      </c>
      <c r="K954" s="5" t="n">
        <v>0</v>
      </c>
      <c r="L954" s="4" t="n">
        <v>32</v>
      </c>
      <c r="M954" s="4" t="n">
        <v>10</v>
      </c>
      <c r="N954" s="5" t="n">
        <v>6</v>
      </c>
      <c r="O954" s="3" t="inlineStr">
        <is>
          <t>10월입주가능 투베이 중문, 시스템에어컨, 채광굿, 오송파출소 사거리</t>
        </is>
      </c>
      <c r="P954" s="6">
        <f>HYPERLINK("https://fin.land.naver.com/articles/2653048187", "매물Link")</f>
        <v/>
      </c>
      <c r="Q954" s="6">
        <f>HYPERLINK("https://map.naver.com/p/search/오송읍 봉산리 1465", "지도Link")</f>
        <v/>
      </c>
      <c r="R954" s="6">
        <f>HYPERLINK("http://www.eum.go.kr/web/ar/lu/luLandDet.jsp?pnu=4311325031114650000&amp;isNoScr=script&amp;mode=search", "토지이음")</f>
        <v/>
      </c>
      <c r="S954" s="3" t="inlineStr">
        <is>
          <t>스케치</t>
        </is>
      </c>
      <c r="T954" s="4" t="n">
        <v>1</v>
      </c>
      <c r="U954" s="5" t="n">
        <v>339.2</v>
      </c>
      <c r="V954" s="4" t="n">
        <v>286.8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1473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160000</v>
      </c>
      <c r="H955" s="4" t="n">
        <v>0</v>
      </c>
      <c r="I955" s="4" t="n">
        <v>285</v>
      </c>
      <c r="J955" s="4" t="n">
        <v>86</v>
      </c>
      <c r="K955" s="5" t="n">
        <v>1860.5</v>
      </c>
      <c r="L955" s="4" t="n">
        <v>519</v>
      </c>
      <c r="M955" s="4" t="n">
        <v>157</v>
      </c>
      <c r="N955" s="5" t="n">
        <v>1019.1</v>
      </c>
      <c r="O955" s="3" t="inlineStr">
        <is>
          <t>추천매물 탁트인 거실뷰가 너무나 예뻐요,주방에서 보이는 뷰가 멋진 건물</t>
        </is>
      </c>
      <c r="P955" s="6">
        <f>HYPERLINK("https://fin.land.naver.com/articles/2655167594", "매물Link")</f>
        <v/>
      </c>
      <c r="Q955" s="6">
        <f>HYPERLINK("https://map.naver.com/p/search/오송읍 봉산리 1473", "지도Link")</f>
        <v/>
      </c>
      <c r="R955" s="6">
        <f>HYPERLINK("http://www.eum.go.kr/web/ar/lu/luLandDet.jsp?pnu=4311325031114730000&amp;isNoScr=script&amp;mode=search", "토지이음")</f>
        <v/>
      </c>
      <c r="S955" s="3" t="inlineStr">
        <is>
          <t>오송2단지창조</t>
        </is>
      </c>
      <c r="T955" s="4" t="n">
        <v>1</v>
      </c>
      <c r="U955" s="5" t="n">
        <v>281.2</v>
      </c>
      <c r="V955" s="4" t="n">
        <v>285.3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1483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2</t>
        </is>
      </c>
      <c r="E956" s="3" t="inlineStr">
        <is>
          <t>일반원룸</t>
        </is>
      </c>
      <c r="F956" s="3" t="inlineStr">
        <is>
          <t>월세</t>
        </is>
      </c>
      <c r="G956" s="4" t="n">
        <v>300</v>
      </c>
      <c r="H956" s="4" t="n">
        <v>45</v>
      </c>
      <c r="I956" s="4" t="n">
        <v>151</v>
      </c>
      <c r="J956" s="4" t="n">
        <v>46</v>
      </c>
      <c r="K956" s="5" t="n">
        <v>1</v>
      </c>
      <c r="L956" s="4" t="n">
        <v>22</v>
      </c>
      <c r="M956" s="4" t="n">
        <v>7</v>
      </c>
      <c r="N956" s="5" t="n">
        <v>6.4</v>
      </c>
      <c r="O956" s="3" t="inlineStr">
        <is>
          <t>원룸 오송역세권으로 인프라좋고 주변편의시설확충 파출소 공원 대형마트부근</t>
        </is>
      </c>
      <c r="P956" s="6">
        <f>HYPERLINK("https://fin.land.naver.com/articles/2652566094", "매물Link")</f>
        <v/>
      </c>
      <c r="Q956" s="6">
        <f>HYPERLINK("https://map.naver.com/p/search/오송읍 봉산리 1483", "지도Link")</f>
        <v/>
      </c>
      <c r="R956" s="6">
        <f>HYPERLINK("http://www.eum.go.kr/web/ar/lu/luLandDet.jsp?pnu=4311325031114830000&amp;isNoScr=script&amp;mode=search", "토지이음")</f>
        <v/>
      </c>
      <c r="S956" s="3" t="inlineStr">
        <is>
          <t>하림</t>
        </is>
      </c>
      <c r="T956" s="4" t="n">
        <v>1</v>
      </c>
      <c r="U956" s="5" t="n">
        <v>207.9</v>
      </c>
      <c r="V956" s="4" t="n">
        <v>273.5</v>
      </c>
      <c r="W956" s="3" t="inlineStr">
        <is>
          <t>지정되지않음</t>
        </is>
      </c>
      <c r="X956" s="3" t="inlineStr">
        <is>
          <t>주거기타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1483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300</v>
      </c>
      <c r="H957" s="4" t="n">
        <v>45</v>
      </c>
      <c r="I957" s="4" t="n">
        <v>0</v>
      </c>
      <c r="J957" s="4" t="n">
        <v>0</v>
      </c>
      <c r="K957" s="5" t="n">
        <v>0</v>
      </c>
      <c r="L957" s="4" t="n">
        <v>22</v>
      </c>
      <c r="M957" s="4" t="n">
        <v>7</v>
      </c>
      <c r="N957" s="5" t="n">
        <v>6.4</v>
      </c>
      <c r="O957" s="3" t="inlineStr">
        <is>
          <t>저렴한 원룸. 10월 말 입주가능</t>
        </is>
      </c>
      <c r="P957" s="6">
        <f>HYPERLINK("https://fin.land.naver.com/articles/2653421065", "매물Link")</f>
        <v/>
      </c>
      <c r="Q957" s="6">
        <f>HYPERLINK("https://map.naver.com/p/search/오송읍 봉산리 1483", "지도Link")</f>
        <v/>
      </c>
      <c r="R957" s="6">
        <f>HYPERLINK("http://www.eum.go.kr/web/ar/lu/luLandDet.jsp?pnu=4311325031114830000&amp;isNoScr=script&amp;mode=search", "토지이음")</f>
        <v/>
      </c>
      <c r="S957" s="3" t="inlineStr">
        <is>
          <t>당근플러스</t>
        </is>
      </c>
      <c r="T957" s="4" t="n">
        <v>1</v>
      </c>
      <c r="U957" s="5" t="n">
        <v>207.9</v>
      </c>
      <c r="V957" s="4" t="n">
        <v>273.5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소로한면</t>
        </is>
      </c>
    </row>
    <row r="958">
      <c r="A958" s="3" t="inlineStr">
        <is>
          <t>오송읍 봉산리 1489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일반원룸</t>
        </is>
      </c>
      <c r="F958" s="3" t="inlineStr">
        <is>
          <t>월세</t>
        </is>
      </c>
      <c r="G958" s="4" t="n">
        <v>1000</v>
      </c>
      <c r="H958" s="4" t="n">
        <v>65</v>
      </c>
      <c r="I958" s="4" t="n">
        <v>50</v>
      </c>
      <c r="J958" s="4" t="n">
        <v>15</v>
      </c>
      <c r="K958" s="5" t="n">
        <v>4.3</v>
      </c>
      <c r="L958" s="4" t="n">
        <v>50</v>
      </c>
      <c r="M958" s="4" t="n">
        <v>15</v>
      </c>
      <c r="N958" s="5" t="n">
        <v>4.3</v>
      </c>
      <c r="O958" s="3" t="inlineStr">
        <is>
          <t>오송 투베이 중 가장 넓고 좋은 투베이입니다.</t>
        </is>
      </c>
      <c r="P958" s="6">
        <f>HYPERLINK("https://fin.land.naver.com/articles/2652514052", "매물Link")</f>
        <v/>
      </c>
      <c r="Q958" s="6">
        <f>HYPERLINK("https://map.naver.com/p/search/오송읍 봉산리 1489", "지도Link")</f>
        <v/>
      </c>
      <c r="R958" s="6">
        <f>HYPERLINK("http://www.eum.go.kr/web/ar/lu/luLandDet.jsp?pnu=4311325031114890000&amp;isNoScr=script&amp;mode=search", "토지이음")</f>
        <v/>
      </c>
      <c r="S958" s="3" t="inlineStr">
        <is>
          <t>세종오송</t>
        </is>
      </c>
      <c r="T958" s="4" t="n">
        <v>1</v>
      </c>
      <c r="U958" s="5" t="n">
        <v>207.9</v>
      </c>
      <c r="V958" s="4" t="n">
        <v>267.8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1500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다가구</t>
        </is>
      </c>
      <c r="F959" s="3" t="inlineStr">
        <is>
          <t>매매</t>
        </is>
      </c>
      <c r="G959" s="4" t="n">
        <v>135000</v>
      </c>
      <c r="H959" s="4" t="n">
        <v>0</v>
      </c>
      <c r="I959" s="4" t="n">
        <v>298</v>
      </c>
      <c r="J959" s="4" t="n">
        <v>90</v>
      </c>
      <c r="K959" s="5" t="n">
        <v>1500</v>
      </c>
      <c r="L959" s="4" t="n">
        <v>494</v>
      </c>
      <c r="M959" s="4" t="n">
        <v>149</v>
      </c>
      <c r="N959" s="5" t="n">
        <v>906</v>
      </c>
      <c r="O959" s="3" t="inlineStr">
        <is>
          <t>임대하기 좋은 투베이로 구성된 건물,공실 걱정 없는 건물입니다</t>
        </is>
      </c>
      <c r="P959" s="6">
        <f>HYPERLINK("https://fin.land.naver.com/articles/2654014208", "매물Link")</f>
        <v/>
      </c>
      <c r="Q959" s="6">
        <f>HYPERLINK("https://map.naver.com/p/search/오송읍 봉산리 1500", "지도Link")</f>
        <v/>
      </c>
      <c r="R959" s="6">
        <f>HYPERLINK("http://www.eum.go.kr/web/ar/lu/luLandDet.jsp?pnu=4311325031115000000&amp;isNoScr=script&amp;mode=search", "토지이음")</f>
        <v/>
      </c>
      <c r="S959" s="3" t="inlineStr">
        <is>
          <t>오송2단지창조</t>
        </is>
      </c>
      <c r="T959" s="4" t="n">
        <v>1</v>
      </c>
      <c r="U959" s="5" t="n">
        <v>207.9</v>
      </c>
      <c r="V959" s="4" t="n">
        <v>298.5</v>
      </c>
      <c r="W959" s="3" t="inlineStr">
        <is>
          <t>지정되지않음</t>
        </is>
      </c>
      <c r="X959" s="3" t="inlineStr">
        <is>
          <t>주거기타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소로한면</t>
        </is>
      </c>
    </row>
    <row r="960">
      <c r="A960" s="3" t="inlineStr">
        <is>
          <t>오송읍 봉산리 1500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135000</v>
      </c>
      <c r="H960" s="4" t="n">
        <v>0</v>
      </c>
      <c r="I960" s="4" t="n">
        <v>298</v>
      </c>
      <c r="J960" s="4" t="n">
        <v>90</v>
      </c>
      <c r="K960" s="5" t="n">
        <v>1500</v>
      </c>
      <c r="L960" s="4" t="n">
        <v>494</v>
      </c>
      <c r="M960" s="4" t="n">
        <v>149</v>
      </c>
      <c r="N960" s="5" t="n">
        <v>906</v>
      </c>
      <c r="O960" s="3" t="inlineStr">
        <is>
          <t>수익형 투자 매물로 추천드리는 상가주택</t>
        </is>
      </c>
      <c r="P960" s="6">
        <f>HYPERLINK("https://fin.land.naver.com/articles/2655114188", "매물Link")</f>
        <v/>
      </c>
      <c r="Q960" s="6">
        <f>HYPERLINK("https://map.naver.com/p/search/오송읍 봉산리 1500", "지도Link")</f>
        <v/>
      </c>
      <c r="R960" s="6">
        <f>HYPERLINK("http://www.eum.go.kr/web/ar/lu/luLandDet.jsp?pnu=4311325031115000000&amp;isNoScr=script&amp;mode=search", "토지이음")</f>
        <v/>
      </c>
      <c r="S960" s="3" t="inlineStr">
        <is>
          <t>오송1단지창조</t>
        </is>
      </c>
      <c r="T960" s="4" t="n">
        <v>1</v>
      </c>
      <c r="U960" s="5" t="n">
        <v>207.9</v>
      </c>
      <c r="V960" s="4" t="n">
        <v>298.5</v>
      </c>
      <c r="W960" s="3" t="inlineStr">
        <is>
          <t>지정되지않음</t>
        </is>
      </c>
      <c r="X960" s="3" t="inlineStr">
        <is>
          <t>주거기타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1500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135000</v>
      </c>
      <c r="H961" s="4" t="n">
        <v>0</v>
      </c>
      <c r="I961" s="4" t="n">
        <v>298</v>
      </c>
      <c r="J961" s="4" t="n">
        <v>90</v>
      </c>
      <c r="K961" s="5" t="n">
        <v>1500</v>
      </c>
      <c r="L961" s="4" t="n">
        <v>494</v>
      </c>
      <c r="M961" s="4" t="n">
        <v>149</v>
      </c>
      <c r="N961" s="5" t="n">
        <v>906</v>
      </c>
      <c r="O961" s="3" t="inlineStr">
        <is>
          <t>수익율 좋은 투자하기 좋은 매물,임대형으로 적합한 추천 매물</t>
        </is>
      </c>
      <c r="P961" s="6">
        <f>HYPERLINK("https://fin.land.naver.com/articles/2655168266", "매물Link")</f>
        <v/>
      </c>
      <c r="Q961" s="6">
        <f>HYPERLINK("https://map.naver.com/p/search/오송읍 봉산리 1500", "지도Link")</f>
        <v/>
      </c>
      <c r="R961" s="6">
        <f>HYPERLINK("http://www.eum.go.kr/web/ar/lu/luLandDet.jsp?pnu=4311325031115000000&amp;isNoScr=script&amp;mode=search", "토지이음")</f>
        <v/>
      </c>
      <c r="S961" s="3" t="inlineStr">
        <is>
          <t>오송2단지창조</t>
        </is>
      </c>
      <c r="T961" s="4" t="n">
        <v>1</v>
      </c>
      <c r="U961" s="5" t="n">
        <v>207.9</v>
      </c>
      <c r="V961" s="4" t="n">
        <v>298.5</v>
      </c>
      <c r="W961" s="3" t="inlineStr">
        <is>
          <t>지정되지않음</t>
        </is>
      </c>
      <c r="X961" s="3" t="inlineStr">
        <is>
          <t>주거기타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1506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단독</t>
        </is>
      </c>
      <c r="F962" s="3" t="inlineStr">
        <is>
          <t>매매</t>
        </is>
      </c>
      <c r="G962" s="4" t="n">
        <v>135000</v>
      </c>
      <c r="H962" s="4" t="n">
        <v>0</v>
      </c>
      <c r="I962" s="4" t="n">
        <v>298</v>
      </c>
      <c r="J962" s="4" t="n">
        <v>90</v>
      </c>
      <c r="K962" s="5" t="n">
        <v>1500</v>
      </c>
      <c r="L962" s="4" t="n">
        <v>560</v>
      </c>
      <c r="M962" s="4" t="n">
        <v>169</v>
      </c>
      <c r="N962" s="5" t="n">
        <v>798.8</v>
      </c>
      <c r="O962" s="3" t="inlineStr">
        <is>
          <t>nan</t>
        </is>
      </c>
      <c r="P962" s="6">
        <f>HYPERLINK("https://fin.land.naver.com/articles/2650307996", "매물Link")</f>
        <v/>
      </c>
      <c r="Q962" s="6">
        <f>HYPERLINK("https://map.naver.com/p/search/오송읍 봉산리 1506", "지도Link")</f>
        <v/>
      </c>
      <c r="R962" s="6">
        <f>HYPERLINK("http://www.eum.go.kr/web/ar/lu/luLandDet.jsp?pnu=4311325031115060000&amp;isNoScr=script&amp;mode=search",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207.9</v>
      </c>
      <c r="V962" s="4" t="n">
        <v>298.2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1506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135000</v>
      </c>
      <c r="H963" s="4" t="n">
        <v>0</v>
      </c>
      <c r="I963" s="4" t="n">
        <v>298</v>
      </c>
      <c r="J963" s="4" t="n">
        <v>90</v>
      </c>
      <c r="K963" s="5" t="n">
        <v>1500</v>
      </c>
      <c r="L963" s="4" t="n">
        <v>560</v>
      </c>
      <c r="M963" s="4" t="n">
        <v>169</v>
      </c>
      <c r="N963" s="5" t="n">
        <v>798.8</v>
      </c>
      <c r="O963" s="3" t="inlineStr">
        <is>
          <t>회사 기숙사용으로 활용하기 좋은 원룸으로 구성된 건물,수익율좋음</t>
        </is>
      </c>
      <c r="P963" s="6">
        <f>HYPERLINK("https://fin.land.naver.com/articles/2652110647", "매물Link")</f>
        <v/>
      </c>
      <c r="Q963" s="6">
        <f>HYPERLINK("https://map.naver.com/p/search/오송읍 봉산리 1506", "지도Link")</f>
        <v/>
      </c>
      <c r="R963" s="6">
        <f>HYPERLINK("http://www.eum.go.kr/web/ar/lu/luLandDet.jsp?pnu=4311325031115060000&amp;isNoScr=script&amp;mode=search", "토지이음")</f>
        <v/>
      </c>
      <c r="S963" s="3" t="inlineStr">
        <is>
          <t>오송2단지창조</t>
        </is>
      </c>
      <c r="T963" s="4" t="n">
        <v>1</v>
      </c>
      <c r="U963" s="5" t="n">
        <v>207.9</v>
      </c>
      <c r="V963" s="4" t="n">
        <v>298.2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1506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135000</v>
      </c>
      <c r="H964" s="4" t="n">
        <v>0</v>
      </c>
      <c r="I964" s="4" t="n">
        <v>298</v>
      </c>
      <c r="J964" s="4" t="n">
        <v>90</v>
      </c>
      <c r="K964" s="5" t="n">
        <v>1500</v>
      </c>
      <c r="L964" s="4" t="n">
        <v>560</v>
      </c>
      <c r="M964" s="4" t="n">
        <v>169</v>
      </c>
      <c r="N964" s="5" t="n">
        <v>798.8</v>
      </c>
      <c r="O964" s="3" t="inlineStr">
        <is>
          <t>아파트 인접하여 쾌적. 수익률 좋음. 역세권 다가구</t>
        </is>
      </c>
      <c r="P964" s="6">
        <f>HYPERLINK("https://fin.land.naver.com/articles/2651757758", "매물Link")</f>
        <v/>
      </c>
      <c r="Q964" s="6">
        <f>HYPERLINK("https://map.naver.com/p/search/오송읍 봉산리 1506", "지도Link")</f>
        <v/>
      </c>
      <c r="R964" s="6">
        <f>HYPERLINK("http://www.eum.go.kr/web/ar/lu/luLandDet.jsp?pnu=4311325031115060000&amp;isNoScr=script&amp;mode=search",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207.9</v>
      </c>
      <c r="V964" s="4" t="n">
        <v>298.2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1506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매매</t>
        </is>
      </c>
      <c r="G965" s="4" t="n">
        <v>135000</v>
      </c>
      <c r="H965" s="4" t="n">
        <v>0</v>
      </c>
      <c r="I965" s="4" t="n">
        <v>298</v>
      </c>
      <c r="J965" s="4" t="n">
        <v>90</v>
      </c>
      <c r="K965" s="5" t="n">
        <v>1500</v>
      </c>
      <c r="L965" s="4" t="n">
        <v>560</v>
      </c>
      <c r="M965" s="4" t="n">
        <v>169</v>
      </c>
      <c r="N965" s="5" t="n">
        <v>798.8</v>
      </c>
      <c r="O965" s="3" t="inlineStr">
        <is>
          <t>대단위아파트단지앞,오송역근거리,총11가구 수익률 굿</t>
        </is>
      </c>
      <c r="P965" s="6">
        <f>HYPERLINK("https://fin.land.naver.com/articles/2651378467", "매물Link")</f>
        <v/>
      </c>
      <c r="Q965" s="6">
        <f>HYPERLINK("https://map.naver.com/p/search/오송읍 봉산리 1506", "지도Link")</f>
        <v/>
      </c>
      <c r="R965" s="6">
        <f>HYPERLINK("http://www.eum.go.kr/web/ar/lu/luLandDet.jsp?pnu=4311325031115060000&amp;isNoScr=script&amp;mode=search",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207.9</v>
      </c>
      <c r="V965" s="4" t="n">
        <v>298.2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598-6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35000</v>
      </c>
      <c r="H966" s="4" t="n">
        <v>0</v>
      </c>
      <c r="I966" s="4" t="n">
        <v>304</v>
      </c>
      <c r="J966" s="4" t="n">
        <v>92</v>
      </c>
      <c r="K966" s="5" t="n">
        <v>380.4</v>
      </c>
      <c r="L966" s="4" t="n">
        <v>47</v>
      </c>
      <c r="M966" s="4" t="n">
        <v>14</v>
      </c>
      <c r="N966" s="5" t="n">
        <v>2500</v>
      </c>
      <c r="O966" s="3" t="inlineStr">
        <is>
          <t>오송3산단 인근 봉산리 단독주택으로 1가구안에 건물2개가 독립 되어있음.</t>
        </is>
      </c>
      <c r="P966" s="6">
        <f>HYPERLINK("https://fin.land.naver.com/articles/2655558030", "매물Link")</f>
        <v/>
      </c>
      <c r="Q966" s="6">
        <f>HYPERLINK("https://map.naver.com/p/search/오송읍 봉산리 598-6", "지도Link")</f>
        <v/>
      </c>
      <c r="R966" s="6">
        <f>HYPERLINK("http://www.eum.go.kr/web/ar/lu/luLandDet.jsp?pnu=4311325031105980006&amp;isNoScr=script&amp;mode=search", "토지이음")</f>
        <v/>
      </c>
      <c r="S966" s="3" t="inlineStr">
        <is>
          <t>세종대장</t>
        </is>
      </c>
      <c r="T966" s="4" t="n">
        <v>1</v>
      </c>
      <c r="U966" s="5" t="n">
        <v>158.5</v>
      </c>
      <c r="V966" s="4" t="n">
        <v>304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세로한면(불)</t>
        </is>
      </c>
    </row>
    <row r="967">
      <c r="A967" s="3" t="inlineStr">
        <is>
          <t>오송읍 봉산리 775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130000</v>
      </c>
      <c r="H967" s="4" t="n">
        <v>0</v>
      </c>
      <c r="I967" s="4" t="n">
        <v>233</v>
      </c>
      <c r="J967" s="4" t="n">
        <v>70</v>
      </c>
      <c r="K967" s="5" t="n">
        <v>1857.1</v>
      </c>
      <c r="L967" s="4" t="n">
        <v>464</v>
      </c>
      <c r="M967" s="4" t="n">
        <v>140</v>
      </c>
      <c r="N967" s="5" t="n">
        <v>928.6</v>
      </c>
      <c r="O967" s="3" t="inlineStr">
        <is>
          <t>실투자금 4억대로 전원주택같은 상가주택, 전호실 임대 완료</t>
        </is>
      </c>
      <c r="P967" s="6">
        <f>HYPERLINK("https://fin.land.naver.com/articles/2650860548", "매물Link")</f>
        <v/>
      </c>
      <c r="Q967" s="6">
        <f>HYPERLINK("https://map.naver.com/p/search/오송읍 봉산리 775", "지도Link")</f>
        <v/>
      </c>
      <c r="R967" s="6">
        <f>HYPERLINK("http://www.eum.go.kr/web/ar/lu/luLandDet.jsp?pnu=4311325031107750000&amp;isNoScr=script&amp;mode=search",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204.3</v>
      </c>
      <c r="V967" s="4" t="n">
        <v>233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소로한면</t>
        </is>
      </c>
    </row>
    <row r="968">
      <c r="A968" s="3" t="inlineStr">
        <is>
          <t>오송읍 봉산리 780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3</t>
        </is>
      </c>
      <c r="E968" s="3" t="inlineStr">
        <is>
          <t>단독</t>
        </is>
      </c>
      <c r="F968" s="3" t="inlineStr">
        <is>
          <t>월세</t>
        </is>
      </c>
      <c r="G968" s="4" t="n">
        <v>500</v>
      </c>
      <c r="H968" s="4" t="n">
        <v>56</v>
      </c>
      <c r="I968" s="4" t="n">
        <v>30</v>
      </c>
      <c r="J968" s="4" t="n">
        <v>9</v>
      </c>
      <c r="K968" s="5" t="n">
        <v>6.2</v>
      </c>
      <c r="L968" s="4" t="n">
        <v>30</v>
      </c>
      <c r="M968" s="4" t="n">
        <v>9</v>
      </c>
      <c r="N968" s="5" t="n">
        <v>6.2</v>
      </c>
      <c r="O968" s="3" t="inlineStr">
        <is>
          <t>조용하고 주차 좋은 투베이</t>
        </is>
      </c>
      <c r="P968" s="6">
        <f>HYPERLINK("https://fin.land.naver.com/articles/2655373237", "매물Link")</f>
        <v/>
      </c>
      <c r="Q968" s="6">
        <f>HYPERLINK("https://map.naver.com/p/search/오송읍 봉산리 780", "지도Link")</f>
        <v/>
      </c>
      <c r="R968" s="6">
        <f>HYPERLINK("http://www.eum.go.kr/web/ar/lu/luLandDet.jsp?pnu=4311325031107800000&amp;isNoScr=script&amp;mode=search", "토지이음")</f>
        <v/>
      </c>
      <c r="S968" s="3" t="inlineStr">
        <is>
          <t>오송유진</t>
        </is>
      </c>
      <c r="T968" s="4" t="n">
        <v>1</v>
      </c>
      <c r="U968" s="5" t="n">
        <v>216.4</v>
      </c>
      <c r="V968" s="4" t="n">
        <v>322.6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오송읍 봉산리 781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3</t>
        </is>
      </c>
      <c r="E969" s="3" t="inlineStr">
        <is>
          <t>일반원룸</t>
        </is>
      </c>
      <c r="F969" s="3" t="inlineStr">
        <is>
          <t>월세</t>
        </is>
      </c>
      <c r="G969" s="4" t="n">
        <v>3000</v>
      </c>
      <c r="H969" s="4" t="n">
        <v>51</v>
      </c>
      <c r="I969" s="4" t="n">
        <v>62</v>
      </c>
      <c r="J969" s="4" t="n">
        <v>19</v>
      </c>
      <c r="K969" s="5" t="n">
        <v>2.7</v>
      </c>
      <c r="L969" s="4" t="n">
        <v>31</v>
      </c>
      <c r="M969" s="4" t="n">
        <v>9</v>
      </c>
      <c r="N969" s="5" t="n">
        <v>5.7</v>
      </c>
      <c r="O969" s="3" t="inlineStr">
        <is>
          <t>채광좋은 신축 첫 입주 투베이 반전세</t>
        </is>
      </c>
      <c r="P969" s="6">
        <f>HYPERLINK("https://fin.land.naver.com/articles/2652944206", "매물Link")</f>
        <v/>
      </c>
      <c r="Q969" s="6">
        <f>HYPERLINK("https://map.naver.com/p/search/오송읍 봉산리 781", "지도Link")</f>
        <v/>
      </c>
      <c r="R969" s="6">
        <f>HYPERLINK("http://www.eum.go.kr/web/ar/lu/luLandDet.jsp?pnu=4311325031107810000&amp;isNoScr=script&amp;mode=search",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206.3</v>
      </c>
      <c r="V969" s="4" t="n">
        <v>287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782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일반원룸</t>
        </is>
      </c>
      <c r="F970" s="3" t="inlineStr">
        <is>
          <t>월세</t>
        </is>
      </c>
      <c r="G970" s="4" t="n">
        <v>1000</v>
      </c>
      <c r="H970" s="4" t="n">
        <v>60</v>
      </c>
      <c r="I970" s="4" t="n">
        <v>0</v>
      </c>
      <c r="J970" s="4" t="n">
        <v>0</v>
      </c>
      <c r="K970" s="5" t="n">
        <v>0</v>
      </c>
      <c r="L970" s="4" t="n">
        <v>31</v>
      </c>
      <c r="M970" s="4" t="n">
        <v>9</v>
      </c>
      <c r="N970" s="5" t="n">
        <v>6.7</v>
      </c>
      <c r="O970" s="3" t="inlineStr">
        <is>
          <t>오송2단지 즉시입주 신축 첫입주 투베이 주차편리 에어컨2</t>
        </is>
      </c>
      <c r="P970" s="6">
        <f>HYPERLINK("https://fin.land.naver.com/articles/2655702444", "매물Link")</f>
        <v/>
      </c>
      <c r="Q970" s="6">
        <f>HYPERLINK("https://map.naver.com/p/search/오송읍 봉산리 782", "지도Link")</f>
        <v/>
      </c>
      <c r="R970" s="6">
        <f>HYPERLINK("http://www.eum.go.kr/web/ar/lu/luLandDet.jsp?pnu=4311325031107820000&amp;isNoScr=script&amp;mode=search",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206.3</v>
      </c>
      <c r="V970" s="4" t="n">
        <v>287.2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782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2</t>
        </is>
      </c>
      <c r="E971" s="3" t="inlineStr">
        <is>
          <t>일반원룸</t>
        </is>
      </c>
      <c r="F971" s="3" t="inlineStr">
        <is>
          <t>전세</t>
        </is>
      </c>
      <c r="G971" s="4" t="n">
        <v>10000</v>
      </c>
      <c r="H971" s="4" t="n">
        <v>0</v>
      </c>
      <c r="I971" s="4" t="n">
        <v>82</v>
      </c>
      <c r="J971" s="4" t="n">
        <v>25</v>
      </c>
      <c r="K971" s="5" t="n">
        <v>400</v>
      </c>
      <c r="L971" s="4" t="n">
        <v>27</v>
      </c>
      <c r="M971" s="4" t="n">
        <v>8</v>
      </c>
      <c r="N971" s="5" t="n">
        <v>1250</v>
      </c>
      <c r="O971" s="3" t="inlineStr">
        <is>
          <t>즉시 입주 가능한 채광좋은 전세 투베이</t>
        </is>
      </c>
      <c r="P971" s="6">
        <f>HYPERLINK("https://fin.land.naver.com/articles/2653303849", "매물Link")</f>
        <v/>
      </c>
      <c r="Q971" s="6">
        <f>HYPERLINK("https://map.naver.com/p/search/오송읍 봉산리 782", "지도Link")</f>
        <v/>
      </c>
      <c r="R971" s="6">
        <f>HYPERLINK("http://www.eum.go.kr/web/ar/lu/luLandDet.jsp?pnu=4311325031107820000&amp;isNoScr=script&amp;mode=search", "토지이음")</f>
        <v/>
      </c>
      <c r="S971" s="3" t="inlineStr">
        <is>
          <t>프로</t>
        </is>
      </c>
      <c r="T971" s="4" t="n">
        <v>1</v>
      </c>
      <c r="U971" s="5" t="n">
        <v>206.3</v>
      </c>
      <c r="V971" s="4" t="n">
        <v>287.2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782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3</t>
        </is>
      </c>
      <c r="E972" s="3" t="inlineStr">
        <is>
          <t>일반원룸</t>
        </is>
      </c>
      <c r="F972" s="3" t="inlineStr">
        <is>
          <t>월세</t>
        </is>
      </c>
      <c r="G972" s="4" t="n">
        <v>1000</v>
      </c>
      <c r="H972" s="4" t="n">
        <v>61</v>
      </c>
      <c r="I972" s="4" t="n">
        <v>0</v>
      </c>
      <c r="J972" s="4" t="n">
        <v>0</v>
      </c>
      <c r="K972" s="5" t="n">
        <v>0</v>
      </c>
      <c r="L972" s="4" t="n">
        <v>27</v>
      </c>
      <c r="M972" s="4" t="n">
        <v>8</v>
      </c>
      <c r="N972" s="5" t="n">
        <v>7.6</v>
      </c>
      <c r="O972" s="3" t="inlineStr">
        <is>
          <t>ㄸr봉 26년 신축 채광이 쏟아지고  화이트톤 깔끔한 풀옵션 투베이</t>
        </is>
      </c>
      <c r="P972" s="6">
        <f>HYPERLINK("https://fin.land.naver.com/articles/2651645479", "매물Link")</f>
        <v/>
      </c>
      <c r="Q972" s="6">
        <f>HYPERLINK("https://map.naver.com/p/search/오송읍 봉산리 782", "지도Link")</f>
        <v/>
      </c>
      <c r="R972" s="6">
        <f>HYPERLINK("http://www.eum.go.kr/web/ar/lu/luLandDet.jsp?pnu=4311325031107820000&amp;isNoScr=script&amp;mode=search", "토지이음")</f>
        <v/>
      </c>
      <c r="S972" s="3" t="inlineStr">
        <is>
          <t>오송프렌즈</t>
        </is>
      </c>
      <c r="T972" s="4" t="n">
        <v>2</v>
      </c>
      <c r="U972" s="5" t="n">
        <v>206.3</v>
      </c>
      <c r="V972" s="4" t="n">
        <v>287.2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782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2</t>
        </is>
      </c>
      <c r="E973" s="3" t="inlineStr">
        <is>
          <t>일반원룸</t>
        </is>
      </c>
      <c r="F973" s="3" t="inlineStr">
        <is>
          <t>전세</t>
        </is>
      </c>
      <c r="G973" s="4" t="n">
        <v>10000</v>
      </c>
      <c r="H973" s="4" t="n">
        <v>0</v>
      </c>
      <c r="I973" s="4" t="n">
        <v>0</v>
      </c>
      <c r="J973" s="4" t="n">
        <v>0</v>
      </c>
      <c r="K973" s="5" t="n">
        <v>0</v>
      </c>
      <c r="L973" s="4" t="n">
        <v>31</v>
      </c>
      <c r="M973" s="4" t="n">
        <v>9</v>
      </c>
      <c r="N973" s="5" t="n">
        <v>1111.1</v>
      </c>
      <c r="O973" s="3" t="inlineStr">
        <is>
          <t>ㄸr봉 26년 신축 화이트톤 깔끔한 풀옵션 투베이 전세</t>
        </is>
      </c>
      <c r="P973" s="6">
        <f>HYPERLINK("https://fin.land.naver.com/articles/2652848204", "매물Link")</f>
        <v/>
      </c>
      <c r="Q973" s="6">
        <f>HYPERLINK("https://map.naver.com/p/search/오송읍 봉산리 782", "지도Link")</f>
        <v/>
      </c>
      <c r="R973" s="6">
        <f>HYPERLINK("http://www.eum.go.kr/web/ar/lu/luLandDet.jsp?pnu=4311325031107820000&amp;isNoScr=script&amp;mode=search", "토지이음")</f>
        <v/>
      </c>
      <c r="S973" s="3" t="inlineStr">
        <is>
          <t>오송프렌즈</t>
        </is>
      </c>
      <c r="T973" s="4" t="n">
        <v>1</v>
      </c>
      <c r="U973" s="5" t="n">
        <v>206.3</v>
      </c>
      <c r="V973" s="4" t="n">
        <v>287.2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783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3</t>
        </is>
      </c>
      <c r="E974" s="3" t="inlineStr">
        <is>
          <t>단독</t>
        </is>
      </c>
      <c r="F974" s="3" t="inlineStr">
        <is>
          <t>전세</t>
        </is>
      </c>
      <c r="G974" s="4" t="n">
        <v>13000</v>
      </c>
      <c r="H974" s="4" t="n">
        <v>0</v>
      </c>
      <c r="I974" s="4" t="n">
        <v>52</v>
      </c>
      <c r="J974" s="4" t="n">
        <v>16</v>
      </c>
      <c r="K974" s="5" t="n">
        <v>812.5</v>
      </c>
      <c r="L974" s="4" t="n">
        <v>52</v>
      </c>
      <c r="M974" s="4" t="n">
        <v>16</v>
      </c>
      <c r="N974" s="5" t="n">
        <v>812.5</v>
      </c>
      <c r="O974" s="3" t="inlineStr">
        <is>
          <t>풀옵션 조용한동네 오송국민체육센터 인접</t>
        </is>
      </c>
      <c r="P974" s="6">
        <f>HYPERLINK("https://fin.land.naver.com/articles/2651129752", "매물Link")</f>
        <v/>
      </c>
      <c r="Q974" s="6">
        <f>HYPERLINK("https://map.naver.com/p/search/오송읍 봉산리 783", "지도Link")</f>
        <v/>
      </c>
      <c r="R974" s="6">
        <f>HYPERLINK("http://www.eum.go.kr/web/ar/lu/luLandDet.jsp?pnu=4311325031107830000&amp;isNoScr=script&amp;mode=search", "토지이음")</f>
        <v/>
      </c>
      <c r="S974" s="3" t="inlineStr">
        <is>
          <t>오송원</t>
        </is>
      </c>
      <c r="T974" s="4" t="n">
        <v>1</v>
      </c>
      <c r="U974" s="5" t="n">
        <v>206.3</v>
      </c>
      <c r="V974" s="4" t="n">
        <v>287.3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784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전세</t>
        </is>
      </c>
      <c r="G975" s="4" t="n">
        <v>10000</v>
      </c>
      <c r="H975" s="4" t="n">
        <v>0</v>
      </c>
      <c r="I975" s="4" t="n">
        <v>32</v>
      </c>
      <c r="J975" s="4" t="n">
        <v>10</v>
      </c>
      <c r="K975" s="5" t="n">
        <v>1000</v>
      </c>
      <c r="L975" s="4" t="n">
        <v>32</v>
      </c>
      <c r="M975" s="4" t="n">
        <v>10</v>
      </c>
      <c r="N975" s="5" t="n">
        <v>1000</v>
      </c>
      <c r="O975" s="3" t="inlineStr">
        <is>
          <t>정남향 채광 1등 투베이 전세 ,화이트톤,수납도 넉넉해요,컨디션 최상</t>
        </is>
      </c>
      <c r="P975" s="6">
        <f>HYPERLINK("https://fin.land.naver.com/articles/2650393451", "매물Link")</f>
        <v/>
      </c>
      <c r="Q975" s="6">
        <f>HYPERLINK("https://map.naver.com/p/search/오송읍 봉산리 784", "지도Link")</f>
        <v/>
      </c>
      <c r="R975" s="6">
        <f>HYPERLINK("http://www.eum.go.kr/web/ar/lu/luLandDet.jsp?pnu=4311325031107840000&amp;isNoScr=script&amp;mode=search", "토지이음")</f>
        <v/>
      </c>
      <c r="S975" s="3" t="inlineStr">
        <is>
          <t>오송바이오창조</t>
        </is>
      </c>
      <c r="T975" s="4" t="n">
        <v>1</v>
      </c>
      <c r="U975" s="5" t="n">
        <v>206.3</v>
      </c>
      <c r="V975" s="4" t="n">
        <v>287.2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791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300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20</v>
      </c>
      <c r="M976" s="4" t="n">
        <v>6</v>
      </c>
      <c r="N976" s="5" t="n">
        <v>7.5</v>
      </c>
      <c r="O976" s="3" t="inlineStr">
        <is>
          <t>즉시입주 가능 침대까지 풀옵션 분리형 원룸 정석</t>
        </is>
      </c>
      <c r="P976" s="6">
        <f>HYPERLINK("https://fin.land.naver.com/articles/2655663669", "매물Link")</f>
        <v/>
      </c>
      <c r="Q976" s="6">
        <f>HYPERLINK("https://map.naver.com/p/search/오송읍 봉산리 791", "지도Link")</f>
        <v/>
      </c>
      <c r="R976" s="6">
        <f>HYPERLINK("http://www.eum.go.kr/web/ar/lu/luLandDet.jsp?pnu=4311325031107910000&amp;isNoScr=script&amp;mode=search",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296.3</v>
      </c>
      <c r="V976" s="4" t="n">
        <v>299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791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300</v>
      </c>
      <c r="H977" s="4" t="n">
        <v>45</v>
      </c>
      <c r="I977" s="4" t="n">
        <v>20</v>
      </c>
      <c r="J977" s="4" t="n">
        <v>6</v>
      </c>
      <c r="K977" s="5" t="n">
        <v>7.5</v>
      </c>
      <c r="L977" s="4" t="n">
        <v>20</v>
      </c>
      <c r="M977" s="4" t="n">
        <v>6</v>
      </c>
      <c r="N977" s="5" t="n">
        <v>7.5</v>
      </c>
      <c r="O977" s="3" t="inlineStr">
        <is>
          <t>분리형 원룸. 즉시입주가능. 조용한 주택가 내.</t>
        </is>
      </c>
      <c r="P977" s="6">
        <f>HYPERLINK("https://fin.land.naver.com/articles/2655604615", "매물Link")</f>
        <v/>
      </c>
      <c r="Q977" s="6">
        <f>HYPERLINK("https://map.naver.com/p/search/오송읍 봉산리 791", "지도Link")</f>
        <v/>
      </c>
      <c r="R977" s="6">
        <f>HYPERLINK("http://www.eum.go.kr/web/ar/lu/luLandDet.jsp?pnu=4311325031107910000&amp;isNoScr=script&amp;mode=search", "토지이음")</f>
        <v/>
      </c>
      <c r="S977" s="3" t="inlineStr">
        <is>
          <t>당근플러스</t>
        </is>
      </c>
      <c r="T977" s="4" t="n">
        <v>1</v>
      </c>
      <c r="U977" s="5" t="n">
        <v>296.3</v>
      </c>
      <c r="V977" s="4" t="n">
        <v>299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811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300</v>
      </c>
      <c r="H978" s="4" t="n">
        <v>45</v>
      </c>
      <c r="I978" s="4" t="n">
        <v>150</v>
      </c>
      <c r="J978" s="4" t="n">
        <v>45</v>
      </c>
      <c r="K978" s="5" t="n">
        <v>1</v>
      </c>
      <c r="L978" s="4" t="n">
        <v>17</v>
      </c>
      <c r="M978" s="4" t="n">
        <v>5</v>
      </c>
      <c r="N978" s="5" t="n">
        <v>9</v>
      </c>
      <c r="O978" s="3" t="inlineStr">
        <is>
          <t>원룸  오송역세권으로 인프라좋고 주변편의시설확충 넓은대형주차장 교통편리</t>
        </is>
      </c>
      <c r="P978" s="6">
        <f>HYPERLINK("https://fin.land.naver.com/articles/2655705640", "매물Link")</f>
        <v/>
      </c>
      <c r="Q978" s="6">
        <f>HYPERLINK("https://map.naver.com/p/search/오송읍 봉산리 811", "지도Link")</f>
        <v/>
      </c>
      <c r="R978" s="6">
        <f>HYPERLINK("http://www.eum.go.kr/web/ar/lu/luLandDet.jsp?pnu=4311325031108110000&amp;isNoScr=script&amp;mode=search", "토지이음")</f>
        <v/>
      </c>
      <c r="S978" s="3" t="inlineStr">
        <is>
          <t>하림</t>
        </is>
      </c>
      <c r="T978" s="4" t="n">
        <v>1</v>
      </c>
      <c r="U978" s="5" t="n">
        <v>220.6</v>
      </c>
      <c r="V978" s="4" t="n">
        <v>297.2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812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3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500</v>
      </c>
      <c r="H979" s="4" t="n">
        <v>55</v>
      </c>
      <c r="I979" s="4" t="n">
        <v>0</v>
      </c>
      <c r="J979" s="4" t="n">
        <v>0</v>
      </c>
      <c r="K979" s="5" t="n">
        <v>0</v>
      </c>
      <c r="L979" s="4" t="n">
        <v>28</v>
      </c>
      <c r="M979" s="4" t="n">
        <v>8</v>
      </c>
      <c r="N979" s="5" t="n">
        <v>6.9</v>
      </c>
      <c r="O979" s="3" t="inlineStr">
        <is>
          <t>공원,솔미초 바로 앞 ,대형 투베이 월세, 건물 앞 대형 주차장 있음</t>
        </is>
      </c>
      <c r="P979" s="6">
        <f>HYPERLINK("https://fin.land.naver.com/articles/2655292492", "매물Link")</f>
        <v/>
      </c>
      <c r="Q979" s="6">
        <f>HYPERLINK("https://map.naver.com/p/search/오송읍 봉산리 812", "지도Link")</f>
        <v/>
      </c>
      <c r="R979" s="6">
        <f>HYPERLINK("http://www.eum.go.kr/web/ar/lu/luLandDet.jsp?pnu=4311325031108120000&amp;isNoScr=script&amp;mode=search", "토지이음")</f>
        <v/>
      </c>
      <c r="S979" s="3" t="inlineStr">
        <is>
          <t>오송바이오창조</t>
        </is>
      </c>
      <c r="T979" s="4" t="n">
        <v>2</v>
      </c>
      <c r="U979" s="5" t="n">
        <v>233.7</v>
      </c>
      <c r="V979" s="4" t="n">
        <v>291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812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145000</v>
      </c>
      <c r="H980" s="4" t="n">
        <v>0</v>
      </c>
      <c r="I980" s="4" t="n">
        <v>291</v>
      </c>
      <c r="J980" s="4" t="n">
        <v>88</v>
      </c>
      <c r="K980" s="5" t="n">
        <v>1647.7</v>
      </c>
      <c r="L980" s="4" t="n">
        <v>540</v>
      </c>
      <c r="M980" s="4" t="n">
        <v>163</v>
      </c>
      <c r="N980" s="5" t="n">
        <v>889.6</v>
      </c>
      <c r="O980" s="3" t="inlineStr">
        <is>
          <t>코너 상가주택</t>
        </is>
      </c>
      <c r="P980" s="6">
        <f>HYPERLINK("https://fin.land.naver.com/articles/2652000728", "매물Link")</f>
        <v/>
      </c>
      <c r="Q980" s="6">
        <f>HYPERLINK("https://map.naver.com/p/search/오송읍 봉산리 812", "지도Link")</f>
        <v/>
      </c>
      <c r="R980" s="6">
        <f>HYPERLINK("http://www.eum.go.kr/web/ar/lu/luLandDet.jsp?pnu=4311325031108120000&amp;isNoScr=script&amp;mode=search", "토지이음")</f>
        <v/>
      </c>
      <c r="S980" s="3" t="inlineStr">
        <is>
          <t>오송1단지창조</t>
        </is>
      </c>
      <c r="T980" s="4" t="n">
        <v>1</v>
      </c>
      <c r="U980" s="5" t="n">
        <v>233.7</v>
      </c>
      <c r="V980" s="4" t="n">
        <v>291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812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다가구</t>
        </is>
      </c>
      <c r="F981" s="3" t="inlineStr">
        <is>
          <t>매매</t>
        </is>
      </c>
      <c r="G981" s="4" t="n">
        <v>150000</v>
      </c>
      <c r="H981" s="4" t="n">
        <v>0</v>
      </c>
      <c r="I981" s="4" t="n">
        <v>291</v>
      </c>
      <c r="J981" s="4" t="n">
        <v>88</v>
      </c>
      <c r="K981" s="5" t="n">
        <v>1704.5</v>
      </c>
      <c r="L981" s="4" t="n">
        <v>540</v>
      </c>
      <c r="M981" s="4" t="n">
        <v>163</v>
      </c>
      <c r="N981" s="5" t="n">
        <v>920.2</v>
      </c>
      <c r="O981" s="3" t="inlineStr">
        <is>
          <t>월수익600만원가능,공원뷰코너건물,실투자금5억미만</t>
        </is>
      </c>
      <c r="P981" s="6">
        <f>HYPERLINK("https://fin.land.naver.com/articles/2654025853", "매물Link")</f>
        <v/>
      </c>
      <c r="Q981" s="6">
        <f>HYPERLINK("https://map.naver.com/p/search/오송읍 봉산리 812", "지도Link")</f>
        <v/>
      </c>
      <c r="R981" s="6">
        <f>HYPERLINK("http://www.eum.go.kr/web/ar/lu/luLandDet.jsp?pnu=4311325031108120000&amp;isNoScr=script&amp;mode=search", "토지이음")</f>
        <v/>
      </c>
      <c r="S981" s="3" t="inlineStr">
        <is>
          <t>오송올래</t>
        </is>
      </c>
      <c r="T981" s="4" t="n">
        <v>1</v>
      </c>
      <c r="U981" s="5" t="n">
        <v>233.7</v>
      </c>
      <c r="V981" s="4" t="n">
        <v>291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소로각지</t>
        </is>
      </c>
    </row>
    <row r="982">
      <c r="A982" s="3" t="inlineStr">
        <is>
          <t>오송읍 봉산리 812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150000</v>
      </c>
      <c r="H982" s="4" t="n">
        <v>0</v>
      </c>
      <c r="I982" s="4" t="n">
        <v>291</v>
      </c>
      <c r="J982" s="4" t="n">
        <v>88</v>
      </c>
      <c r="K982" s="5" t="n">
        <v>1704.5</v>
      </c>
      <c r="L982" s="4" t="n">
        <v>540</v>
      </c>
      <c r="M982" s="4" t="n">
        <v>163</v>
      </c>
      <c r="N982" s="5" t="n">
        <v>920.2</v>
      </c>
      <c r="O982" s="3" t="inlineStr">
        <is>
          <t>공원앞 실투4억대</t>
        </is>
      </c>
      <c r="P982" s="6">
        <f>HYPERLINK("https://fin.land.naver.com/articles/2654757229", "매물Link")</f>
        <v/>
      </c>
      <c r="Q982" s="6">
        <f>HYPERLINK("https://map.naver.com/p/search/오송읍 봉산리 812", "지도Link")</f>
        <v/>
      </c>
      <c r="R982" s="6">
        <f>HYPERLINK("http://www.eum.go.kr/web/ar/lu/luLandDet.jsp?pnu=4311325031108120000&amp;isNoScr=script&amp;mode=search", "토지이음")</f>
        <v/>
      </c>
      <c r="S982" s="3" t="inlineStr">
        <is>
          <t>e복덕방</t>
        </is>
      </c>
      <c r="T982" s="4" t="n">
        <v>1</v>
      </c>
      <c r="U982" s="5" t="n">
        <v>233.7</v>
      </c>
      <c r="V982" s="4" t="n">
        <v>291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소로각지</t>
        </is>
      </c>
    </row>
    <row r="983">
      <c r="A983" s="3" t="inlineStr">
        <is>
          <t>오송읍 봉산리 812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0</t>
        </is>
      </c>
      <c r="E983" s="3" t="inlineStr">
        <is>
          <t>다가구</t>
        </is>
      </c>
      <c r="F983" s="3" t="inlineStr">
        <is>
          <t>월세</t>
        </is>
      </c>
      <c r="G983" s="4" t="n">
        <v>500</v>
      </c>
      <c r="H983" s="4" t="n">
        <v>58</v>
      </c>
      <c r="I983" s="4" t="n">
        <v>28</v>
      </c>
      <c r="J983" s="4" t="n">
        <v>8</v>
      </c>
      <c r="K983" s="5" t="n">
        <v>7.2</v>
      </c>
      <c r="L983" s="4" t="n">
        <v>28</v>
      </c>
      <c r="M983" s="4" t="n">
        <v>8</v>
      </c>
      <c r="N983" s="5" t="n">
        <v>7.2</v>
      </c>
      <c r="O983" s="3" t="inlineStr">
        <is>
          <t>OSoNg.채광좋은 예쁜투베이.</t>
        </is>
      </c>
      <c r="P983" s="6">
        <f>HYPERLINK("https://fin.land.naver.com/articles/2654571970", "매물Link")</f>
        <v/>
      </c>
      <c r="Q983" s="6">
        <f>HYPERLINK("https://map.naver.com/p/search/오송읍 봉산리 812", "지도Link")</f>
        <v/>
      </c>
      <c r="R983" s="6">
        <f>HYPERLINK("http://www.eum.go.kr/web/ar/lu/luLandDet.jsp?pnu=4311325031108120000&amp;isNoScr=script&amp;mode=search", "토지이음")</f>
        <v/>
      </c>
      <c r="S983" s="3" t="inlineStr">
        <is>
          <t>이룸</t>
        </is>
      </c>
      <c r="T983" s="4" t="n">
        <v>2</v>
      </c>
      <c r="U983" s="5" t="n">
        <v>233.7</v>
      </c>
      <c r="V983" s="4" t="n">
        <v>291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소로각지</t>
        </is>
      </c>
    </row>
    <row r="984">
      <c r="A984" s="3" t="inlineStr">
        <is>
          <t>오송읍 봉산리 812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3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500</v>
      </c>
      <c r="H984" s="4" t="n">
        <v>56</v>
      </c>
      <c r="I984" s="4" t="n">
        <v>85</v>
      </c>
      <c r="J984" s="4" t="n">
        <v>26</v>
      </c>
      <c r="K984" s="5" t="n">
        <v>2.2</v>
      </c>
      <c r="L984" s="4" t="n">
        <v>28</v>
      </c>
      <c r="M984" s="4" t="n">
        <v>8</v>
      </c>
      <c r="N984" s="5" t="n">
        <v>7</v>
      </c>
      <c r="O984" s="3" t="inlineStr">
        <is>
          <t>깔끔한 투베이,시세대비저렴,솔미초근처위치</t>
        </is>
      </c>
      <c r="P984" s="6">
        <f>HYPERLINK("https://fin.land.naver.com/articles/2655392540", "매물Link")</f>
        <v/>
      </c>
      <c r="Q984" s="6">
        <f>HYPERLINK("https://map.naver.com/p/search/오송읍 봉산리 812", "지도Link")</f>
        <v/>
      </c>
      <c r="R984" s="6">
        <f>HYPERLINK("http://www.eum.go.kr/web/ar/lu/luLandDet.jsp?pnu=4311325031108120000&amp;isNoScr=script&amp;mode=search", "토지이음")</f>
        <v/>
      </c>
      <c r="S984" s="3" t="inlineStr">
        <is>
          <t>프로</t>
        </is>
      </c>
      <c r="T984" s="4" t="n">
        <v>1</v>
      </c>
      <c r="U984" s="5" t="n">
        <v>233.7</v>
      </c>
      <c r="V984" s="4" t="n">
        <v>291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816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65</v>
      </c>
      <c r="I985" s="4" t="n">
        <v>0</v>
      </c>
      <c r="J985" s="4" t="n">
        <v>0</v>
      </c>
      <c r="K985" s="5" t="n">
        <v>0</v>
      </c>
      <c r="L985" s="4" t="n">
        <v>28</v>
      </c>
      <c r="M985" s="4" t="n">
        <v>8</v>
      </c>
      <c r="N985" s="5" t="n">
        <v>8.1</v>
      </c>
      <c r="O985" s="3" t="inlineStr">
        <is>
          <t>10월18일 입주가능, 신축, 독립공관</t>
        </is>
      </c>
      <c r="P985" s="6">
        <f>HYPERLINK("https://fin.land.naver.com/articles/2650650519", "매물Link")</f>
        <v/>
      </c>
      <c r="Q985" s="6">
        <f>HYPERLINK("https://map.naver.com/p/search/오송읍 봉산리 816", "지도Link")</f>
        <v/>
      </c>
      <c r="R985" s="6">
        <f>HYPERLINK("http://www.eum.go.kr/web/ar/lu/luLandDet.jsp?pnu=4311325031108160000&amp;isNoScr=script&amp;mode=search", "토지이음")</f>
        <v/>
      </c>
      <c r="S985" s="3" t="inlineStr">
        <is>
          <t>태원</t>
        </is>
      </c>
      <c r="T985" s="4" t="n">
        <v>1</v>
      </c>
      <c r="U985" s="5" t="n">
        <v>231.5</v>
      </c>
      <c r="V985" s="4" t="n">
        <v>290.7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816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2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65</v>
      </c>
      <c r="I986" s="4" t="n">
        <v>0</v>
      </c>
      <c r="J986" s="4" t="n">
        <v>0</v>
      </c>
      <c r="K986" s="5" t="n">
        <v>0</v>
      </c>
      <c r="L986" s="4" t="n">
        <v>28</v>
      </c>
      <c r="M986" s="4" t="n">
        <v>8</v>
      </c>
      <c r="N986" s="5" t="n">
        <v>8.1</v>
      </c>
      <c r="O986" s="3" t="inlineStr">
        <is>
          <t>10월18일입주가능, 신축 첫입주, 넓은팬트리</t>
        </is>
      </c>
      <c r="P986" s="6">
        <f>HYPERLINK("https://fin.land.naver.com/articles/2650647997", "매물Link")</f>
        <v/>
      </c>
      <c r="Q986" s="6">
        <f>HYPERLINK("https://map.naver.com/p/search/오송읍 봉산리 816", "지도Link")</f>
        <v/>
      </c>
      <c r="R986" s="6">
        <f>HYPERLINK("http://www.eum.go.kr/web/ar/lu/luLandDet.jsp?pnu=4311325031108160000&amp;isNoScr=script&amp;mode=search", "토지이음")</f>
        <v/>
      </c>
      <c r="S986" s="3" t="inlineStr">
        <is>
          <t>태원</t>
        </is>
      </c>
      <c r="T986" s="4" t="n">
        <v>1</v>
      </c>
      <c r="U986" s="5" t="n">
        <v>231.5</v>
      </c>
      <c r="V986" s="4" t="n">
        <v>290.7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817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2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51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7.3</v>
      </c>
      <c r="O987" s="3" t="inlineStr">
        <is>
          <t>넓고 밝은 신축 첫입주 원룸 ,서두르면 좋은 호실 선택 가능</t>
        </is>
      </c>
      <c r="P987" s="6">
        <f>HYPERLINK("https://fin.land.naver.com/articles/2651307865", "매물Link")</f>
        <v/>
      </c>
      <c r="Q987" s="6">
        <f>HYPERLINK("https://map.naver.com/p/search/오송읍 봉산리 817", "지도Link")</f>
        <v/>
      </c>
      <c r="R987" s="6">
        <f>HYPERLINK("http://www.eum.go.kr/web/ar/lu/luLandDet.jsp?pnu=4311325031108170000&amp;isNoScr=script&amp;mode=search",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231.5</v>
      </c>
      <c r="V987" s="4" t="n">
        <v>290.8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820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3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300</v>
      </c>
      <c r="H988" s="4" t="n">
        <v>45</v>
      </c>
      <c r="I988" s="4" t="n">
        <v>0</v>
      </c>
      <c r="J988" s="4" t="n">
        <v>0</v>
      </c>
      <c r="K988" s="5" t="n">
        <v>0</v>
      </c>
      <c r="L988" s="4" t="n">
        <v>23</v>
      </c>
      <c r="M988" s="4" t="n">
        <v>7</v>
      </c>
      <c r="N988" s="5" t="n">
        <v>6.4</v>
      </c>
      <c r="O988" s="3" t="inlineStr">
        <is>
          <t>10월빠른입주 가능 중문, 투베이 느낌의 완벽 분리형 원룸</t>
        </is>
      </c>
      <c r="P988" s="6">
        <f>HYPERLINK("https://fin.land.naver.com/articles/2654514473", "매물Link")</f>
        <v/>
      </c>
      <c r="Q988" s="6">
        <f>HYPERLINK("https://map.naver.com/p/search/오송읍 봉산리 820", "지도Link")</f>
        <v/>
      </c>
      <c r="R988" s="6">
        <f>HYPERLINK("http://www.eum.go.kr/web/ar/lu/luLandDet.jsp?pnu=4311325031108200000&amp;isNoScr=script&amp;mode=search", "토지이음")</f>
        <v/>
      </c>
      <c r="S988" s="3" t="inlineStr">
        <is>
          <t>오송바이오창조</t>
        </is>
      </c>
      <c r="T988" s="4" t="n">
        <v>1</v>
      </c>
      <c r="U988" s="5" t="n">
        <v>231.5</v>
      </c>
      <c r="V988" s="4" t="n">
        <v>291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831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단독</t>
        </is>
      </c>
      <c r="F989" s="3" t="inlineStr">
        <is>
          <t>전세</t>
        </is>
      </c>
      <c r="G989" s="4" t="n">
        <v>24000</v>
      </c>
      <c r="H989" s="4" t="n">
        <v>0</v>
      </c>
      <c r="I989" s="4" t="n">
        <v>159</v>
      </c>
      <c r="J989" s="4" t="n">
        <v>48</v>
      </c>
      <c r="K989" s="5" t="n">
        <v>500</v>
      </c>
      <c r="L989" s="4" t="n">
        <v>141</v>
      </c>
      <c r="M989" s="4" t="n">
        <v>43</v>
      </c>
      <c r="N989" s="5" t="n">
        <v>558.1</v>
      </c>
      <c r="O989" s="3" t="inlineStr">
        <is>
          <t>27년1월입주 가능,신축첫입주 주인세대,세련된인테리어</t>
        </is>
      </c>
      <c r="P989" s="6">
        <f>HYPERLINK("https://fin.land.naver.com/articles/2655192995", "매물Link")</f>
        <v/>
      </c>
      <c r="Q989" s="6">
        <f>HYPERLINK("https://map.naver.com/p/search/오송읍 봉산리 831", "지도Link")</f>
        <v/>
      </c>
      <c r="R989" s="6">
        <f>HYPERLINK("http://www.eum.go.kr/web/ar/lu/luLandDet.jsp?pnu=4311325031108310000&amp;isNoScr=script&amp;mode=search",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294</v>
      </c>
      <c r="V989" s="4" t="n">
        <v>268.1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정방형</t>
        </is>
      </c>
      <c r="AA989" s="3" t="inlineStr">
        <is>
          <t>중로각지</t>
        </is>
      </c>
    </row>
    <row r="990">
      <c r="A990" s="3" t="inlineStr">
        <is>
          <t>오송읍 봉산리 835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3</t>
        </is>
      </c>
      <c r="E990" s="3" t="inlineStr">
        <is>
          <t>단독</t>
        </is>
      </c>
      <c r="F990" s="3" t="inlineStr">
        <is>
          <t>월세</t>
        </is>
      </c>
      <c r="G990" s="4" t="n">
        <v>1000</v>
      </c>
      <c r="H990" s="4" t="n">
        <v>100</v>
      </c>
      <c r="I990" s="4" t="n">
        <v>79</v>
      </c>
      <c r="J990" s="4" t="n">
        <v>24</v>
      </c>
      <c r="K990" s="5" t="n">
        <v>4.2</v>
      </c>
      <c r="L990" s="4" t="n">
        <v>54</v>
      </c>
      <c r="M990" s="4" t="n">
        <v>16</v>
      </c>
      <c r="N990" s="5" t="n">
        <v>6.2</v>
      </c>
      <c r="O990" s="3" t="inlineStr">
        <is>
          <t>깨끗한고 예쁜 쓰리룸,큰길가위치</t>
        </is>
      </c>
      <c r="P990" s="6">
        <f>HYPERLINK("https://fin.land.naver.com/articles/2651097157", "매물Link")</f>
        <v/>
      </c>
      <c r="Q990" s="6">
        <f>HYPERLINK("https://map.naver.com/p/search/오송읍 봉산리 835", "지도Link")</f>
        <v/>
      </c>
      <c r="R990" s="6">
        <f>HYPERLINK("http://www.eum.go.kr/web/ar/lu/luLandDet.jsp?pnu=4311325031108350000&amp;isNoScr=script&amp;mode=search", "토지이음")</f>
        <v/>
      </c>
      <c r="S990" s="3" t="inlineStr">
        <is>
          <t>프로</t>
        </is>
      </c>
      <c r="T990" s="4" t="n">
        <v>1</v>
      </c>
      <c r="U990" s="5" t="n">
        <v>288.1</v>
      </c>
      <c r="V990" s="4" t="n">
        <v>294.8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중로각지</t>
        </is>
      </c>
    </row>
    <row r="991">
      <c r="A991" s="3" t="inlineStr">
        <is>
          <t>오송읍 봉산리 835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1000</v>
      </c>
      <c r="H991" s="4" t="n">
        <v>95</v>
      </c>
      <c r="I991" s="4" t="n">
        <v>0</v>
      </c>
      <c r="J991" s="4" t="n">
        <v>0</v>
      </c>
      <c r="K991" s="5" t="n">
        <v>0</v>
      </c>
      <c r="L991" s="4" t="n">
        <v>54</v>
      </c>
      <c r="M991" s="4" t="n">
        <v>16</v>
      </c>
      <c r="N991" s="5" t="n">
        <v>5.9</v>
      </c>
      <c r="O991" s="3" t="inlineStr">
        <is>
          <t>채광좋은 남향의 쓰리룸, 즉시입주가능</t>
        </is>
      </c>
      <c r="P991" s="6">
        <f>HYPERLINK("https://fin.land.naver.com/articles/2651157258", "매물Link")</f>
        <v/>
      </c>
      <c r="Q991" s="6">
        <f>HYPERLINK("https://map.naver.com/p/search/오송읍 봉산리 835", "지도Link")</f>
        <v/>
      </c>
      <c r="R991" s="6">
        <f>HYPERLINK("http://www.eum.go.kr/web/ar/lu/luLandDet.jsp?pnu=4311325031108350000&amp;isNoScr=script&amp;mode=search", "토지이음")</f>
        <v/>
      </c>
      <c r="S991" s="3" t="inlineStr">
        <is>
          <t>태원</t>
        </is>
      </c>
      <c r="T991" s="4" t="n">
        <v>1</v>
      </c>
      <c r="U991" s="5" t="n">
        <v>288.1</v>
      </c>
      <c r="V991" s="4" t="n">
        <v>294.8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중로각지</t>
        </is>
      </c>
    </row>
    <row r="992">
      <c r="A992" s="3" t="inlineStr">
        <is>
          <t>오송읍 봉산리 839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상가주택</t>
        </is>
      </c>
      <c r="F992" s="3" t="inlineStr">
        <is>
          <t>매매</t>
        </is>
      </c>
      <c r="G992" s="4" t="n">
        <v>150000</v>
      </c>
      <c r="H992" s="4" t="n">
        <v>0</v>
      </c>
      <c r="I992" s="4" t="n">
        <v>249</v>
      </c>
      <c r="J992" s="4" t="n">
        <v>75</v>
      </c>
      <c r="K992" s="5" t="n">
        <v>2000</v>
      </c>
      <c r="L992" s="4" t="n">
        <v>494</v>
      </c>
      <c r="M992" s="4" t="n">
        <v>149</v>
      </c>
      <c r="N992" s="5" t="n">
        <v>1006.7</v>
      </c>
      <c r="O992" s="3" t="inlineStr">
        <is>
          <t>주변이 조용해서 거주하는 입주민들의 만족도가 좋은 건물</t>
        </is>
      </c>
      <c r="P992" s="6">
        <f>HYPERLINK("https://fin.land.naver.com/articles/2654603695", "매물Link")</f>
        <v/>
      </c>
      <c r="Q992" s="6">
        <f>HYPERLINK("https://map.naver.com/p/search/오송읍 봉산리 839", "지도Link")</f>
        <v/>
      </c>
      <c r="R992" s="6">
        <f>HYPERLINK("http://www.eum.go.kr/web/ar/lu/luLandDet.jsp?pnu=4311325031108390000&amp;isNoScr=script&amp;mode=search",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342.8</v>
      </c>
      <c r="V992" s="4" t="n">
        <v>249.3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정방형</t>
        </is>
      </c>
      <c r="AA992" s="3" t="inlineStr">
        <is>
          <t>중로각지</t>
        </is>
      </c>
    </row>
    <row r="993">
      <c r="A993" s="3" t="inlineStr">
        <is>
          <t>오송읍 봉산리 839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150000</v>
      </c>
      <c r="H993" s="4" t="n">
        <v>0</v>
      </c>
      <c r="I993" s="4" t="n">
        <v>249</v>
      </c>
      <c r="J993" s="4" t="n">
        <v>75</v>
      </c>
      <c r="K993" s="5" t="n">
        <v>2000</v>
      </c>
      <c r="L993" s="4" t="n">
        <v>494</v>
      </c>
      <c r="M993" s="4" t="n">
        <v>149</v>
      </c>
      <c r="N993" s="5" t="n">
        <v>1006.7</v>
      </c>
      <c r="O993" s="3" t="inlineStr">
        <is>
          <t>초,유,고등학교 인근, 높은 층고 넓고 쾌적한 주인세대, 옥탑,태양광있음</t>
        </is>
      </c>
      <c r="P993" s="6">
        <f>HYPERLINK("https://fin.land.naver.com/articles/2651757753", "매물Link")</f>
        <v/>
      </c>
      <c r="Q993" s="6">
        <f>HYPERLINK("https://map.naver.com/p/search/오송읍 봉산리 839", "지도Link")</f>
        <v/>
      </c>
      <c r="R993" s="6">
        <f>HYPERLINK("http://www.eum.go.kr/web/ar/lu/luLandDet.jsp?pnu=4311325031108390000&amp;isNoScr=script&amp;mode=search",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342.8</v>
      </c>
      <c r="V993" s="4" t="n">
        <v>249.3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정방형</t>
        </is>
      </c>
      <c r="AA993" s="3" t="inlineStr">
        <is>
          <t>중로각지</t>
        </is>
      </c>
    </row>
    <row r="994">
      <c r="A994" s="3" t="inlineStr">
        <is>
          <t>오송읍 봉산리 839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단독</t>
        </is>
      </c>
      <c r="F994" s="3" t="inlineStr">
        <is>
          <t>매매</t>
        </is>
      </c>
      <c r="G994" s="4" t="n">
        <v>150000</v>
      </c>
      <c r="H994" s="4" t="n">
        <v>0</v>
      </c>
      <c r="I994" s="4" t="n">
        <v>249</v>
      </c>
      <c r="J994" s="4" t="n">
        <v>75</v>
      </c>
      <c r="K994" s="5" t="n">
        <v>2000</v>
      </c>
      <c r="L994" s="4" t="n">
        <v>494</v>
      </c>
      <c r="M994" s="4" t="n">
        <v>149</v>
      </c>
      <c r="N994" s="5" t="n">
        <v>1006.7</v>
      </c>
      <c r="O994" s="3" t="inlineStr">
        <is>
          <t>솔미초 건너 적정 가격 태양광 설치 주인 세대 전기료 0원 가까이</t>
        </is>
      </c>
      <c r="P994" s="6">
        <f>HYPERLINK("https://fin.land.naver.com/articles/2651994435", "매물Link")</f>
        <v/>
      </c>
      <c r="Q994" s="6">
        <f>HYPERLINK("https://map.naver.com/p/search/오송읍 봉산리 839", "지도Link")</f>
        <v/>
      </c>
      <c r="R994" s="6">
        <f>HYPERLINK("http://www.eum.go.kr/web/ar/lu/luLandDet.jsp?pnu=4311325031108390000&amp;isNoScr=script&amp;mode=search", "토지이음")</f>
        <v/>
      </c>
      <c r="S994" s="3" t="inlineStr">
        <is>
          <t>오송퍼스트영웅</t>
        </is>
      </c>
      <c r="T994" s="4" t="n">
        <v>1</v>
      </c>
      <c r="U994" s="5" t="n">
        <v>342.8</v>
      </c>
      <c r="V994" s="4" t="n">
        <v>249.3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중로각지</t>
        </is>
      </c>
    </row>
    <row r="995">
      <c r="A995" s="3" t="inlineStr">
        <is>
          <t>오송읍 봉산리 844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2000</v>
      </c>
      <c r="H995" s="4" t="n">
        <v>55</v>
      </c>
      <c r="I995" s="4" t="n">
        <v>0</v>
      </c>
      <c r="J995" s="4" t="n">
        <v>0</v>
      </c>
      <c r="K995" s="5" t="n">
        <v>0</v>
      </c>
      <c r="L995" s="4" t="n">
        <v>30</v>
      </c>
      <c r="M995" s="4" t="n">
        <v>9</v>
      </c>
      <c r="N995" s="5" t="n">
        <v>6.1</v>
      </c>
      <c r="O995" s="3" t="inlineStr">
        <is>
          <t>솔미초 앞 대로변,안전귀가, 예쁜 화이트톤 넓은 투베이,실거주 만족최고</t>
        </is>
      </c>
      <c r="P995" s="6">
        <f>HYPERLINK("https://fin.land.naver.com/articles/2653139508", "매물Link")</f>
        <v/>
      </c>
      <c r="Q995" s="6">
        <f>HYPERLINK("https://map.naver.com/p/search/오송읍 봉산리 844", "지도Link")</f>
        <v/>
      </c>
      <c r="R995" s="6">
        <f>HYPERLINK("http://www.eum.go.kr/web/ar/lu/luLandDet.jsp?pnu=4311325031108440000&amp;isNoScr=script&amp;mode=search",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342.8</v>
      </c>
      <c r="V995" s="4" t="n">
        <v>249.3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정방형</t>
        </is>
      </c>
      <c r="AA995" s="3" t="inlineStr">
        <is>
          <t>중로각지</t>
        </is>
      </c>
    </row>
    <row r="996">
      <c r="A996" s="3" t="inlineStr">
        <is>
          <t>오송읍 봉산리 844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3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2000</v>
      </c>
      <c r="H996" s="4" t="n">
        <v>56</v>
      </c>
      <c r="I996" s="4" t="n">
        <v>83</v>
      </c>
      <c r="J996" s="4" t="n">
        <v>25</v>
      </c>
      <c r="K996" s="5" t="n">
        <v>2.2</v>
      </c>
      <c r="L996" s="4" t="n">
        <v>30</v>
      </c>
      <c r="M996" s="4" t="n">
        <v>9</v>
      </c>
      <c r="N996" s="5" t="n">
        <v>6.2</v>
      </c>
      <c r="O996" s="3" t="inlineStr">
        <is>
          <t>10월입주, 큰길가위치,예쁜 투베이</t>
        </is>
      </c>
      <c r="P996" s="6">
        <f>HYPERLINK("https://fin.land.naver.com/articles/2652955071", "매물Link")</f>
        <v/>
      </c>
      <c r="Q996" s="6">
        <f>HYPERLINK("https://map.naver.com/p/search/오송읍 봉산리 844", "지도Link")</f>
        <v/>
      </c>
      <c r="R996" s="6">
        <f>HYPERLINK("http://www.eum.go.kr/web/ar/lu/luLandDet.jsp?pnu=4311325031108440000&amp;isNoScr=script&amp;mode=search", "토지이음")</f>
        <v/>
      </c>
      <c r="S996" s="3" t="inlineStr">
        <is>
          <t>프로</t>
        </is>
      </c>
      <c r="T996" s="4" t="n">
        <v>1</v>
      </c>
      <c r="U996" s="5" t="n">
        <v>342.8</v>
      </c>
      <c r="V996" s="4" t="n">
        <v>249.3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정방형</t>
        </is>
      </c>
      <c r="AA996" s="3" t="inlineStr">
        <is>
          <t>중로각지</t>
        </is>
      </c>
    </row>
    <row r="997">
      <c r="A997" s="3" t="inlineStr">
        <is>
          <t>오송읍 봉산리 844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2000</v>
      </c>
      <c r="H997" s="4" t="n">
        <v>55</v>
      </c>
      <c r="I997" s="4" t="n">
        <v>0</v>
      </c>
      <c r="J997" s="4" t="n">
        <v>0</v>
      </c>
      <c r="K997" s="5" t="n">
        <v>0</v>
      </c>
      <c r="L997" s="4" t="n">
        <v>30</v>
      </c>
      <c r="M997" s="4" t="n">
        <v>9</v>
      </c>
      <c r="N997" s="5" t="n">
        <v>6.1</v>
      </c>
      <c r="O997" s="3" t="inlineStr">
        <is>
          <t>큰길가 투베이 뻥뷰 예쁜 투베이 빠른입주 가능</t>
        </is>
      </c>
      <c r="P997" s="6">
        <f>HYPERLINK("https://fin.land.naver.com/articles/2653892183", "매물Link")</f>
        <v/>
      </c>
      <c r="Q997" s="6">
        <f>HYPERLINK("https://map.naver.com/p/search/오송읍 봉산리 844", "지도Link")</f>
        <v/>
      </c>
      <c r="R997" s="6">
        <f>HYPERLINK("http://www.eum.go.kr/web/ar/lu/luLandDet.jsp?pnu=4311325031108440000&amp;isNoScr=script&amp;mode=search", "토지이음")</f>
        <v/>
      </c>
      <c r="S997" s="3" t="inlineStr">
        <is>
          <t>스케치</t>
        </is>
      </c>
      <c r="T997" s="4" t="n">
        <v>1</v>
      </c>
      <c r="U997" s="5" t="n">
        <v>342.8</v>
      </c>
      <c r="V997" s="4" t="n">
        <v>249.3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정방형</t>
        </is>
      </c>
      <c r="AA997" s="3" t="inlineStr">
        <is>
          <t>중로각지</t>
        </is>
      </c>
    </row>
    <row r="998">
      <c r="A998" s="3" t="inlineStr">
        <is>
          <t>오송읍 봉산리 844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다가구</t>
        </is>
      </c>
      <c r="F998" s="3" t="inlineStr">
        <is>
          <t>월세</t>
        </is>
      </c>
      <c r="G998" s="4" t="n">
        <v>2000</v>
      </c>
      <c r="H998" s="4" t="n">
        <v>56</v>
      </c>
      <c r="I998" s="4" t="n">
        <v>0</v>
      </c>
      <c r="J998" s="4" t="n">
        <v>0</v>
      </c>
      <c r="K998" s="5" t="n">
        <v>0</v>
      </c>
      <c r="L998" s="4" t="n">
        <v>30</v>
      </c>
      <c r="M998" s="4" t="n">
        <v>9</v>
      </c>
      <c r="N998" s="5" t="n">
        <v>6.2</v>
      </c>
      <c r="O998" s="3" t="inlineStr">
        <is>
          <t>ㄸr봉 막힘업는 뷰에 깔끔하게 관리 잘된 풀옵션 투베이 채광좋음</t>
        </is>
      </c>
      <c r="P998" s="6">
        <f>HYPERLINK("https://fin.land.naver.com/articles/2652841561", "매물Link")</f>
        <v/>
      </c>
      <c r="Q998" s="6">
        <f>HYPERLINK("https://map.naver.com/p/search/오송읍 봉산리 844", "지도Link")</f>
        <v/>
      </c>
      <c r="R998" s="6">
        <f>HYPERLINK("http://www.eum.go.kr/web/ar/lu/luLandDet.jsp?pnu=4311325031108440000&amp;isNoScr=script&amp;mode=search", "토지이음")</f>
        <v/>
      </c>
      <c r="S998" s="3" t="inlineStr">
        <is>
          <t>오송프렌즈</t>
        </is>
      </c>
      <c r="T998" s="4" t="n">
        <v>1</v>
      </c>
      <c r="U998" s="5" t="n">
        <v>342.8</v>
      </c>
      <c r="V998" s="4" t="n">
        <v>249.3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정방형</t>
        </is>
      </c>
      <c r="AA998" s="3" t="inlineStr">
        <is>
          <t>중로각지</t>
        </is>
      </c>
    </row>
    <row r="999">
      <c r="A999" s="3" t="inlineStr">
        <is>
          <t>오송읍 봉산리 846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0</t>
        </is>
      </c>
      <c r="E999" s="3" t="inlineStr">
        <is>
          <t>단독</t>
        </is>
      </c>
      <c r="F999" s="3" t="inlineStr">
        <is>
          <t>전세</t>
        </is>
      </c>
      <c r="G999" s="4" t="n">
        <v>15000</v>
      </c>
      <c r="H999" s="4" t="n">
        <v>0</v>
      </c>
      <c r="I999" s="4" t="n">
        <v>59</v>
      </c>
      <c r="J999" s="4" t="n">
        <v>18</v>
      </c>
      <c r="K999" s="5" t="n">
        <v>833.3</v>
      </c>
      <c r="L999" s="4" t="n">
        <v>59</v>
      </c>
      <c r="M999" s="4" t="n">
        <v>18</v>
      </c>
      <c r="N999" s="5" t="n">
        <v>833.3</v>
      </c>
      <c r="O999" s="3" t="inlineStr">
        <is>
          <t>화장실 2개 에어컨 4개 있는 쓰리룸 전세. 신혼부부 환영.</t>
        </is>
      </c>
      <c r="P999" s="6">
        <f>HYPERLINK("https://fin.land.naver.com/articles/2654826817", "매물Link")</f>
        <v/>
      </c>
      <c r="Q999" s="6">
        <f>HYPERLINK("https://map.naver.com/p/search/오송읍 봉산리 846", "지도Link")</f>
        <v/>
      </c>
      <c r="R999" s="6">
        <f>HYPERLINK("http://www.eum.go.kr/web/ar/lu/luLandDet.jsp?pnu=4311325031108460000&amp;isNoScr=script&amp;mode=search", "토지이음")</f>
        <v/>
      </c>
      <c r="S999" s="3" t="inlineStr">
        <is>
          <t>오송미소</t>
        </is>
      </c>
      <c r="T999" s="4" t="n">
        <v>1</v>
      </c>
      <c r="U999" s="5" t="n">
        <v>342.8</v>
      </c>
      <c r="V999" s="4" t="n">
        <v>248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정방형</t>
        </is>
      </c>
      <c r="AA999" s="3" t="inlineStr">
        <is>
          <t>중로각지</t>
        </is>
      </c>
    </row>
    <row r="1000">
      <c r="A1000" s="3" t="inlineStr">
        <is>
          <t>오송읍 봉산리 846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단독</t>
        </is>
      </c>
      <c r="F1000" s="3" t="inlineStr">
        <is>
          <t>매매</t>
        </is>
      </c>
      <c r="G1000" s="4" t="n">
        <v>160000</v>
      </c>
      <c r="H1000" s="4" t="n">
        <v>0</v>
      </c>
      <c r="I1000" s="4" t="n">
        <v>248</v>
      </c>
      <c r="J1000" s="4" t="n">
        <v>75</v>
      </c>
      <c r="K1000" s="5" t="n">
        <v>2133.3</v>
      </c>
      <c r="L1000" s="4" t="n">
        <v>495</v>
      </c>
      <c r="M1000" s="4" t="n">
        <v>150</v>
      </c>
      <c r="N1000" s="5" t="n">
        <v>1066.7</v>
      </c>
      <c r="O1000" s="3" t="inlineStr">
        <is>
          <t>코너건물 상가,주인세대 모두 사용가능한 매물</t>
        </is>
      </c>
      <c r="P1000" s="6">
        <f>HYPERLINK("https://fin.land.naver.com/articles/2652143311", "매물Link")</f>
        <v/>
      </c>
      <c r="Q1000" s="6">
        <f>HYPERLINK("https://map.naver.com/p/search/오송읍 봉산리 846", "지도Link")</f>
        <v/>
      </c>
      <c r="R1000" s="6">
        <f>HYPERLINK("http://www.eum.go.kr/web/ar/lu/luLandDet.jsp?pnu=4311325031108460000&amp;isNoScr=script&amp;mode=search", "토지이음")</f>
        <v/>
      </c>
      <c r="S1000" s="3" t="inlineStr">
        <is>
          <t>오송2단지창조</t>
        </is>
      </c>
      <c r="T1000" s="4" t="n">
        <v>1</v>
      </c>
      <c r="U1000" s="5" t="n">
        <v>342.8</v>
      </c>
      <c r="V1000" s="4" t="n">
        <v>248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정방형</t>
        </is>
      </c>
      <c r="AA1000" s="3" t="inlineStr">
        <is>
          <t>중로각지</t>
        </is>
      </c>
    </row>
    <row r="1001">
      <c r="A1001" s="3" t="inlineStr">
        <is>
          <t>오송읍 봉산리 847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55</v>
      </c>
      <c r="I1001" s="4" t="n">
        <v>29</v>
      </c>
      <c r="J1001" s="4" t="n">
        <v>9</v>
      </c>
      <c r="K1001" s="5" t="n">
        <v>6.1</v>
      </c>
      <c r="L1001" s="4" t="n">
        <v>29</v>
      </c>
      <c r="M1001" s="4" t="n">
        <v>9</v>
      </c>
      <c r="N1001" s="5" t="n">
        <v>6.1</v>
      </c>
      <c r="O1001" s="3" t="inlineStr">
        <is>
          <t>오송2단지 투베이 풀옵션 채광,주차편리 10월 입주가능</t>
        </is>
      </c>
      <c r="P1001" s="6">
        <f>HYPERLINK("https://fin.land.naver.com/articles/2652890007", "매물Link")</f>
        <v/>
      </c>
      <c r="Q1001" s="6">
        <f>HYPERLINK("https://map.naver.com/p/search/오송읍 봉산리 847", "지도Link")</f>
        <v/>
      </c>
      <c r="R1001" s="6">
        <f>HYPERLINK("http://www.eum.go.kr/web/ar/lu/luLandDet.jsp?pnu=4311325031108470000&amp;isNoScr=script&amp;mode=search",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250.2</v>
      </c>
      <c r="V1001" s="4" t="n">
        <v>271.4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848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전세</t>
        </is>
      </c>
      <c r="G1002" s="4" t="n">
        <v>23000</v>
      </c>
      <c r="H1002" s="4" t="n">
        <v>0</v>
      </c>
      <c r="I1002" s="4" t="n">
        <v>135</v>
      </c>
      <c r="J1002" s="4" t="n">
        <v>41</v>
      </c>
      <c r="K1002" s="5" t="n">
        <v>561</v>
      </c>
      <c r="L1002" s="4" t="n">
        <v>117</v>
      </c>
      <c r="M1002" s="4" t="n">
        <v>35</v>
      </c>
      <c r="N1002" s="5" t="n">
        <v>657.1</v>
      </c>
      <c r="O1002" s="3" t="inlineStr">
        <is>
          <t>아주 넓은 주인세대 전세입니다.</t>
        </is>
      </c>
      <c r="P1002" s="6">
        <f>HYPERLINK("https://fin.land.naver.com/articles/2652508181", "매물Link")</f>
        <v/>
      </c>
      <c r="Q1002" s="6">
        <f>HYPERLINK("https://map.naver.com/p/search/오송읍 봉산리 848", "지도Link")</f>
        <v/>
      </c>
      <c r="R1002" s="6">
        <f>HYPERLINK("http://www.eum.go.kr/web/ar/lu/luLandDet.jsp?pnu=4311325031108480000&amp;isNoScr=script&amp;mode=search", "토지이음")</f>
        <v/>
      </c>
      <c r="S1002" s="3" t="inlineStr">
        <is>
          <t>세종오송</t>
        </is>
      </c>
      <c r="T1002" s="4" t="n">
        <v>1</v>
      </c>
      <c r="U1002" s="5" t="n">
        <v>205.7</v>
      </c>
      <c r="V1002" s="4" t="n">
        <v>278.1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851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19</v>
      </c>
      <c r="M1003" s="4" t="n">
        <v>6</v>
      </c>
      <c r="N1003" s="5" t="n">
        <v>7.5</v>
      </c>
      <c r="O1003" s="3" t="inlineStr">
        <is>
          <t>오송2단지 ,즉시입주 원룸,중문,도배완료 , 실속있는 매물</t>
        </is>
      </c>
      <c r="P1003" s="6">
        <f>HYPERLINK("https://fin.land.naver.com/articles/2654243484", "매물Link")</f>
        <v/>
      </c>
      <c r="Q1003" s="6">
        <f>HYPERLINK("https://map.naver.com/p/search/오송읍 봉산리 851", "지도Link")</f>
        <v/>
      </c>
      <c r="R1003" s="6">
        <f>HYPERLINK("http://www.eum.go.kr/web/ar/lu/luLandDet.jsp?pnu=4311325031108510000&amp;isNoScr=script&amp;mode=search",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205.7</v>
      </c>
      <c r="V1003" s="4" t="n">
        <v>277.1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855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255000</v>
      </c>
      <c r="H1004" s="4" t="n">
        <v>0</v>
      </c>
      <c r="I1004" s="4" t="n">
        <v>436</v>
      </c>
      <c r="J1004" s="4" t="n">
        <v>132</v>
      </c>
      <c r="K1004" s="5" t="n">
        <v>1931.8</v>
      </c>
      <c r="L1004" s="4" t="n">
        <v>727</v>
      </c>
      <c r="M1004" s="4" t="n">
        <v>220</v>
      </c>
      <c r="N1004" s="5" t="n">
        <v>1159.1</v>
      </c>
      <c r="O1004" s="3" t="inlineStr">
        <is>
          <t>대지면적, 월세 수익 오송 전체 1등. A급 매물 입니다.</t>
        </is>
      </c>
      <c r="P1004" s="6">
        <f>HYPERLINK("https://fin.land.naver.com/articles/2654840074", "매물Link")</f>
        <v/>
      </c>
      <c r="Q1004" s="6">
        <f>HYPERLINK("https://map.naver.com/p/search/오송읍 봉산리 855", "지도Link")</f>
        <v/>
      </c>
      <c r="R1004" s="6">
        <f>HYPERLINK("http://www.eum.go.kr/web/ar/lu/luLandDet.jsp?pnu=4311325031108550000&amp;isNoScr=script&amp;mode=search", "토지이음")</f>
        <v/>
      </c>
      <c r="S1004" s="3" t="inlineStr">
        <is>
          <t>당근플러스</t>
        </is>
      </c>
      <c r="T1004" s="4" t="n">
        <v>1</v>
      </c>
      <c r="U1004" s="5" t="n">
        <v>215.7</v>
      </c>
      <c r="V1004" s="4" t="n">
        <v>436.2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855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255000</v>
      </c>
      <c r="H1005" s="4" t="n">
        <v>0</v>
      </c>
      <c r="I1005" s="4" t="n">
        <v>436</v>
      </c>
      <c r="J1005" s="4" t="n">
        <v>132</v>
      </c>
      <c r="K1005" s="5" t="n">
        <v>1931.8</v>
      </c>
      <c r="L1005" s="4" t="n">
        <v>727</v>
      </c>
      <c r="M1005" s="4" t="n">
        <v>220</v>
      </c>
      <c r="N1005" s="5" t="n">
        <v>1159.1</v>
      </c>
      <c r="O1005" s="3" t="inlineStr">
        <is>
          <t>대지크기,월수익 압도적 1위 다가구주택</t>
        </is>
      </c>
      <c r="P1005" s="6">
        <f>HYPERLINK("https://fin.land.naver.com/articles/2651061009", "매물Link")</f>
        <v/>
      </c>
      <c r="Q1005" s="6">
        <f>HYPERLINK("https://map.naver.com/p/search/오송읍 봉산리 855", "지도Link")</f>
        <v/>
      </c>
      <c r="R1005" s="6">
        <f>HYPERLINK("http://www.eum.go.kr/web/ar/lu/luLandDet.jsp?pnu=4311325031108550000&amp;isNoScr=script&amp;mode=search", "토지이음")</f>
        <v/>
      </c>
      <c r="S1005" s="3" t="inlineStr">
        <is>
          <t>e복덕방</t>
        </is>
      </c>
      <c r="T1005" s="4" t="n">
        <v>1</v>
      </c>
      <c r="U1005" s="5" t="n">
        <v>215.7</v>
      </c>
      <c r="V1005" s="4" t="n">
        <v>436.2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855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255000</v>
      </c>
      <c r="H1006" s="4" t="n">
        <v>0</v>
      </c>
      <c r="I1006" s="4" t="n">
        <v>436</v>
      </c>
      <c r="J1006" s="4" t="n">
        <v>132</v>
      </c>
      <c r="K1006" s="5" t="n">
        <v>1931.8</v>
      </c>
      <c r="L1006" s="4" t="n">
        <v>727</v>
      </c>
      <c r="M1006" s="4" t="n">
        <v>220</v>
      </c>
      <c r="N1006" s="5" t="n">
        <v>1159.1</v>
      </c>
      <c r="O1006" s="3" t="inlineStr">
        <is>
          <t>오송2산단 다가구주택 매매</t>
        </is>
      </c>
      <c r="P1006" s="6">
        <f>HYPERLINK("https://fin.land.naver.com/articles/2653410221", "매물Link")</f>
        <v/>
      </c>
      <c r="Q1006" s="6">
        <f>HYPERLINK("https://map.naver.com/p/search/오송읍 봉산리 855", "지도Link")</f>
        <v/>
      </c>
      <c r="R1006" s="6">
        <f>HYPERLINK("http://www.eum.go.kr/web/ar/lu/luLandDet.jsp?pnu=4311325031108550000&amp;isNoScr=script&amp;mode=search", "토지이음")</f>
        <v/>
      </c>
      <c r="S1006" s="3" t="inlineStr">
        <is>
          <t>오송좋은날</t>
        </is>
      </c>
      <c r="T1006" s="4" t="n">
        <v>1</v>
      </c>
      <c r="U1006" s="5" t="n">
        <v>215.7</v>
      </c>
      <c r="V1006" s="4" t="n">
        <v>436.2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사다리형</t>
        </is>
      </c>
      <c r="AA1006" s="3" t="inlineStr">
        <is>
          <t>소로각지</t>
        </is>
      </c>
    </row>
    <row r="1007">
      <c r="A1007" s="3" t="inlineStr">
        <is>
          <t>오송읍 봉산리 855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255000</v>
      </c>
      <c r="H1007" s="4" t="n">
        <v>0</v>
      </c>
      <c r="I1007" s="4" t="n">
        <v>436</v>
      </c>
      <c r="J1007" s="4" t="n">
        <v>132</v>
      </c>
      <c r="K1007" s="5" t="n">
        <v>1931.8</v>
      </c>
      <c r="L1007" s="4" t="n">
        <v>727</v>
      </c>
      <c r="M1007" s="4" t="n">
        <v>220</v>
      </c>
      <c r="N1007" s="5" t="n">
        <v>1159.1</v>
      </c>
      <c r="O1007" s="3" t="inlineStr">
        <is>
          <t>nan</t>
        </is>
      </c>
      <c r="P1007" s="6">
        <f>HYPERLINK("https://fin.land.naver.com/articles/2651801970", "매물Link")</f>
        <v/>
      </c>
      <c r="Q1007" s="6">
        <f>HYPERLINK("https://map.naver.com/p/search/오송읍 봉산리 855", "지도Link")</f>
        <v/>
      </c>
      <c r="R1007" s="6">
        <f>HYPERLINK("http://www.eum.go.kr/web/ar/lu/luLandDet.jsp?pnu=4311325031108550000&amp;isNoScr=script&amp;mode=search", "토지이음")</f>
        <v/>
      </c>
      <c r="S1007" s="3" t="inlineStr">
        <is>
          <t>미래n</t>
        </is>
      </c>
      <c r="T1007" s="4" t="n">
        <v>1</v>
      </c>
      <c r="U1007" s="5" t="n">
        <v>215.7</v>
      </c>
      <c r="V1007" s="4" t="n">
        <v>436.2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사다리형</t>
        </is>
      </c>
      <c r="AA1007" s="3" t="inlineStr">
        <is>
          <t>소로각지</t>
        </is>
      </c>
    </row>
    <row r="1008">
      <c r="A1008" s="3" t="inlineStr">
        <is>
          <t>오송읍 봉산리 855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상가주택</t>
        </is>
      </c>
      <c r="F1008" s="3" t="inlineStr">
        <is>
          <t>매매</t>
        </is>
      </c>
      <c r="G1008" s="4" t="n">
        <v>255000</v>
      </c>
      <c r="H1008" s="4" t="n">
        <v>0</v>
      </c>
      <c r="I1008" s="4" t="n">
        <v>436</v>
      </c>
      <c r="J1008" s="4" t="n">
        <v>132</v>
      </c>
      <c r="K1008" s="5" t="n">
        <v>1931.8</v>
      </c>
      <c r="L1008" s="4" t="n">
        <v>727</v>
      </c>
      <c r="M1008" s="4" t="n">
        <v>220</v>
      </c>
      <c r="N1008" s="5" t="n">
        <v>1159.1</v>
      </c>
      <c r="O1008" s="3" t="inlineStr">
        <is>
          <t>월1천이상 신축단지 땅 제일 큰 상가주택, 초반짝반짝 새건물</t>
        </is>
      </c>
      <c r="P1008" s="6">
        <f>HYPERLINK("https://fin.land.naver.com/articles/2653989477", "매물Link")</f>
        <v/>
      </c>
      <c r="Q1008" s="6">
        <f>HYPERLINK("https://map.naver.com/p/search/오송읍 봉산리 855", "지도Link")</f>
        <v/>
      </c>
      <c r="R1008" s="6">
        <f>HYPERLINK("http://www.eum.go.kr/web/ar/lu/luLandDet.jsp?pnu=4311325031108550000&amp;isNoScr=script&amp;mode=search",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215.7</v>
      </c>
      <c r="V1008" s="4" t="n">
        <v>436.2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사다리형</t>
        </is>
      </c>
      <c r="AA1008" s="3" t="inlineStr">
        <is>
          <t>소로각지</t>
        </is>
      </c>
    </row>
    <row r="1009">
      <c r="A1009" s="3" t="inlineStr">
        <is>
          <t>오송읍 봉산리 860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다가구</t>
        </is>
      </c>
      <c r="F1009" s="3" t="inlineStr">
        <is>
          <t>매매</t>
        </is>
      </c>
      <c r="G1009" s="4" t="n">
        <v>135000</v>
      </c>
      <c r="H1009" s="4" t="n">
        <v>0</v>
      </c>
      <c r="I1009" s="4" t="n">
        <v>280</v>
      </c>
      <c r="J1009" s="4" t="n">
        <v>85</v>
      </c>
      <c r="K1009" s="5" t="n">
        <v>1588.2</v>
      </c>
      <c r="L1009" s="4" t="n">
        <v>494</v>
      </c>
      <c r="M1009" s="4" t="n">
        <v>149</v>
      </c>
      <c r="N1009" s="5" t="n">
        <v>906</v>
      </c>
      <c r="O1009" s="3" t="inlineStr">
        <is>
          <t>임대공실 없는 매물입니다, 건물관리가 잘되어 있는 건물 입니다</t>
        </is>
      </c>
      <c r="P1009" s="6">
        <f>HYPERLINK("https://fin.land.naver.com/articles/2654014641", "매물Link")</f>
        <v/>
      </c>
      <c r="Q1009" s="6">
        <f>HYPERLINK("https://map.naver.com/p/search/오송읍 봉산리 860", "지도Link")</f>
        <v/>
      </c>
      <c r="R1009" s="6">
        <f>HYPERLINK("http://www.eum.go.kr/web/ar/lu/luLandDet.jsp?pnu=4311325031108600000&amp;isNoScr=script&amp;mode=search",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205.7</v>
      </c>
      <c r="V1009" s="4" t="n">
        <v>280.1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860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135000</v>
      </c>
      <c r="H1010" s="4" t="n">
        <v>0</v>
      </c>
      <c r="I1010" s="4" t="n">
        <v>280</v>
      </c>
      <c r="J1010" s="4" t="n">
        <v>85</v>
      </c>
      <c r="K1010" s="5" t="n">
        <v>1588.2</v>
      </c>
      <c r="L1010" s="4" t="n">
        <v>494</v>
      </c>
      <c r="M1010" s="4" t="n">
        <v>149</v>
      </c>
      <c r="N1010" s="5" t="n">
        <v>906</v>
      </c>
      <c r="O1010" s="3" t="inlineStr">
        <is>
          <t>한적한 주택가  매매가 강력추천 매물</t>
        </is>
      </c>
      <c r="P1010" s="6">
        <f>HYPERLINK("https://fin.land.naver.com/articles/2652989986", "매물Link")</f>
        <v/>
      </c>
      <c r="Q1010" s="6">
        <f>HYPERLINK("https://map.naver.com/p/search/오송읍 봉산리 860", "지도Link")</f>
        <v/>
      </c>
      <c r="R1010" s="6">
        <f>HYPERLINK("http://www.eum.go.kr/web/ar/lu/luLandDet.jsp?pnu=4311325031108600000&amp;isNoScr=script&amp;mode=search",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205.7</v>
      </c>
      <c r="V1010" s="4" t="n">
        <v>280.1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860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1000</v>
      </c>
      <c r="H1011" s="4" t="n">
        <v>70</v>
      </c>
      <c r="I1011" s="4" t="n">
        <v>0</v>
      </c>
      <c r="J1011" s="4" t="n">
        <v>0</v>
      </c>
      <c r="K1011" s="5" t="n">
        <v>0</v>
      </c>
      <c r="L1011" s="4" t="n">
        <v>41</v>
      </c>
      <c r="M1011" s="4" t="n">
        <v>12</v>
      </c>
      <c r="N1011" s="5" t="n">
        <v>5.8</v>
      </c>
      <c r="O1011" s="3" t="inlineStr">
        <is>
          <t>주차 편리 조용한 주택가에 위치한 대형 투룸 월세,대형 붙박이장,풀옵</t>
        </is>
      </c>
      <c r="P1011" s="6">
        <f>HYPERLINK("https://fin.land.naver.com/articles/2653527284", "매물Link")</f>
        <v/>
      </c>
      <c r="Q1011" s="6">
        <f>HYPERLINK("https://map.naver.com/p/search/오송읍 봉산리 860", "지도Link")</f>
        <v/>
      </c>
      <c r="R1011" s="6">
        <f>HYPERLINK("http://www.eum.go.kr/web/ar/lu/luLandDet.jsp?pnu=4311325031108600000&amp;isNoScr=script&amp;mode=search", "토지이음")</f>
        <v/>
      </c>
      <c r="S1011" s="3" t="inlineStr">
        <is>
          <t>오송바이오창조</t>
        </is>
      </c>
      <c r="T1011" s="4" t="n">
        <v>1</v>
      </c>
      <c r="U1011" s="5" t="n">
        <v>205.7</v>
      </c>
      <c r="V1011" s="4" t="n">
        <v>280.1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860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60</v>
      </c>
      <c r="I1012" s="4" t="n">
        <v>0</v>
      </c>
      <c r="J1012" s="4" t="n">
        <v>0</v>
      </c>
      <c r="K1012" s="5" t="n">
        <v>0</v>
      </c>
      <c r="L1012" s="4" t="n">
        <v>24</v>
      </c>
      <c r="M1012" s="4" t="n">
        <v>7</v>
      </c>
      <c r="N1012" s="5" t="n">
        <v>8.6</v>
      </c>
      <c r="O1012" s="3" t="inlineStr">
        <is>
          <t>11월초 입주 가능, 공원 앞에 위치한 투베이,주차 편리한 위치</t>
        </is>
      </c>
      <c r="P1012" s="6">
        <f>HYPERLINK("https://fin.land.naver.com/articles/2654295939", "매물Link")</f>
        <v/>
      </c>
      <c r="Q1012" s="6">
        <f>HYPERLINK("https://map.naver.com/p/search/오송읍 봉산리 860", "지도Link")</f>
        <v/>
      </c>
      <c r="R1012" s="6">
        <f>HYPERLINK("http://www.eum.go.kr/web/ar/lu/luLandDet.jsp?pnu=4311325031108600000&amp;isNoScr=script&amp;mode=search", "토지이음")</f>
        <v/>
      </c>
      <c r="S1012" s="3" t="inlineStr">
        <is>
          <t>오송바이오창조</t>
        </is>
      </c>
      <c r="T1012" s="4" t="n">
        <v>1</v>
      </c>
      <c r="U1012" s="5" t="n">
        <v>205.7</v>
      </c>
      <c r="V1012" s="4" t="n">
        <v>280.1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867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271</v>
      </c>
      <c r="J1013" s="4" t="n">
        <v>82</v>
      </c>
      <c r="K1013" s="5" t="n">
        <v>1768.3</v>
      </c>
      <c r="L1013" s="4" t="n">
        <v>500</v>
      </c>
      <c r="M1013" s="4" t="n">
        <v>151</v>
      </c>
      <c r="N1013" s="5" t="n">
        <v>960.3</v>
      </c>
      <c r="O1013" s="3" t="inlineStr">
        <is>
          <t>풀옵션 역세권  오송역KTX  도보 이용 가능 교통 교육 생활 인프라 굿</t>
        </is>
      </c>
      <c r="P1013" s="6">
        <f>HYPERLINK("https://fin.land.naver.com/articles/2651272857", "매물Link")</f>
        <v/>
      </c>
      <c r="Q1013" s="6">
        <f>HYPERLINK("https://map.naver.com/p/search/오송읍 봉산리 867", "지도Link")</f>
        <v/>
      </c>
      <c r="R1013" s="6">
        <f>HYPERLINK("http://www.eum.go.kr/web/ar/lu/luLandDet.jsp?pnu=4311325031108670000&amp;isNoScr=script&amp;mode=search", "토지이음")</f>
        <v/>
      </c>
      <c r="S1013" s="3" t="inlineStr">
        <is>
          <t>오송퍼스트영웅</t>
        </is>
      </c>
      <c r="T1013" s="4" t="n">
        <v>1</v>
      </c>
      <c r="U1013" s="5" t="n">
        <v>205.7</v>
      </c>
      <c r="V1013" s="4" t="n">
        <v>271.4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867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271</v>
      </c>
      <c r="J1014" s="4" t="n">
        <v>82</v>
      </c>
      <c r="K1014" s="5" t="n">
        <v>1829.3</v>
      </c>
      <c r="L1014" s="4" t="n">
        <v>500</v>
      </c>
      <c r="M1014" s="4" t="n">
        <v>151</v>
      </c>
      <c r="N1014" s="5" t="n">
        <v>993.4</v>
      </c>
      <c r="O1014" s="3" t="inlineStr">
        <is>
          <t>공원인근 산책하기 좋은 건물위치,투자매물입니다</t>
        </is>
      </c>
      <c r="P1014" s="6">
        <f>HYPERLINK("https://fin.land.naver.com/articles/2654604430", "매물Link")</f>
        <v/>
      </c>
      <c r="Q1014" s="6">
        <f>HYPERLINK("https://map.naver.com/p/search/오송읍 봉산리 867", "지도Link")</f>
        <v/>
      </c>
      <c r="R1014" s="6">
        <f>HYPERLINK("http://www.eum.go.kr/web/ar/lu/luLandDet.jsp?pnu=4311325031108670000&amp;isNoScr=script&amp;mode=search",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205.7</v>
      </c>
      <c r="V1014" s="4" t="n">
        <v>271.4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867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145000</v>
      </c>
      <c r="H1015" s="4" t="n">
        <v>0</v>
      </c>
      <c r="I1015" s="4" t="n">
        <v>271</v>
      </c>
      <c r="J1015" s="4" t="n">
        <v>82</v>
      </c>
      <c r="K1015" s="5" t="n">
        <v>1768.3</v>
      </c>
      <c r="L1015" s="4" t="n">
        <v>500</v>
      </c>
      <c r="M1015" s="4" t="n">
        <v>151</v>
      </c>
      <c r="N1015" s="5" t="n">
        <v>960.3</v>
      </c>
      <c r="O1015" s="3" t="inlineStr">
        <is>
          <t>초등학교 유치원 인근, 임대완료, 건물구성 좋아요</t>
        </is>
      </c>
      <c r="P1015" s="6">
        <f>HYPERLINK("https://fin.land.naver.com/articles/2650881457", "매물Link")</f>
        <v/>
      </c>
      <c r="Q1015" s="6">
        <f>HYPERLINK("https://map.naver.com/p/search/오송읍 봉산리 867", "지도Link")</f>
        <v/>
      </c>
      <c r="R1015" s="6">
        <f>HYPERLINK("http://www.eum.go.kr/web/ar/lu/luLandDet.jsp?pnu=4311325031108670000&amp;isNoScr=script&amp;mode=search",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205.7</v>
      </c>
      <c r="V1015" s="4" t="n">
        <v>271.4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876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500</v>
      </c>
      <c r="H1016" s="4" t="n">
        <v>61</v>
      </c>
      <c r="I1016" s="4" t="n">
        <v>61</v>
      </c>
      <c r="J1016" s="4" t="n">
        <v>18</v>
      </c>
      <c r="K1016" s="5" t="n">
        <v>3.4</v>
      </c>
      <c r="L1016" s="4" t="n">
        <v>31</v>
      </c>
      <c r="M1016" s="4" t="n">
        <v>9</v>
      </c>
      <c r="N1016" s="5" t="n">
        <v>6.8</v>
      </c>
      <c r="O1016" s="3" t="inlineStr">
        <is>
          <t>큰길가,베란다 있는 넓은 투베이</t>
        </is>
      </c>
      <c r="P1016" s="6">
        <f>HYPERLINK("https://fin.land.naver.com/articles/2655293457", "매물Link")</f>
        <v/>
      </c>
      <c r="Q1016" s="6">
        <f>HYPERLINK("https://map.naver.com/p/search/오송읍 봉산리 876", "지도Link")</f>
        <v/>
      </c>
      <c r="R1016" s="6">
        <f>HYPERLINK("http://www.eum.go.kr/web/ar/lu/luLandDet.jsp?pnu=4311325031108760000&amp;isNoScr=script&amp;mode=search",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236</v>
      </c>
      <c r="V1016" s="4" t="n">
        <v>261.2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906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160000</v>
      </c>
      <c r="H1017" s="4" t="n">
        <v>0</v>
      </c>
      <c r="I1017" s="4" t="n">
        <v>247</v>
      </c>
      <c r="J1017" s="4" t="n">
        <v>75</v>
      </c>
      <c r="K1017" s="5" t="n">
        <v>2133.3</v>
      </c>
      <c r="L1017" s="4" t="n">
        <v>493</v>
      </c>
      <c r="M1017" s="4" t="n">
        <v>149</v>
      </c>
      <c r="N1017" s="5" t="n">
        <v>1073.8</v>
      </c>
      <c r="O1017" s="3" t="inlineStr">
        <is>
          <t>대로변 캠핑장 같은 옥상 태양광 설치로 전기세 공짜</t>
        </is>
      </c>
      <c r="P1017" s="6">
        <f>HYPERLINK("https://fin.land.naver.com/articles/2655104581", "매물Link")</f>
        <v/>
      </c>
      <c r="Q1017" s="6">
        <f>HYPERLINK("https://map.naver.com/p/search/오송읍 봉산리 906", "지도Link")</f>
        <v/>
      </c>
      <c r="R1017" s="6">
        <f>HYPERLINK("http://www.eum.go.kr/web/ar/lu/luLandDet.jsp?pnu=4311325031109060000&amp;isNoScr=script&amp;mode=search", "토지이음")</f>
        <v/>
      </c>
      <c r="S1017" s="3" t="inlineStr">
        <is>
          <t>프렌즈</t>
        </is>
      </c>
      <c r="T1017" s="4" t="n">
        <v>1</v>
      </c>
      <c r="U1017" s="5" t="n">
        <v>339.2</v>
      </c>
      <c r="V1017" s="4" t="n">
        <v>247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906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247</v>
      </c>
      <c r="J1018" s="4" t="n">
        <v>75</v>
      </c>
      <c r="K1018" s="5" t="n">
        <v>2133.3</v>
      </c>
      <c r="L1018" s="4" t="n">
        <v>493</v>
      </c>
      <c r="M1018" s="4" t="n">
        <v>149</v>
      </c>
      <c r="N1018" s="5" t="n">
        <v>1073.8</v>
      </c>
      <c r="O1018" s="3" t="inlineStr">
        <is>
          <t>운동장같은 단독 옥상이 매력적인 상가주택, 대로변, 태양광설치완료</t>
        </is>
      </c>
      <c r="P1018" s="6">
        <f>HYPERLINK("https://fin.land.naver.com/articles/2653783825", "매물Link")</f>
        <v/>
      </c>
      <c r="Q1018" s="6">
        <f>HYPERLINK("https://map.naver.com/p/search/오송읍 봉산리 906", "지도Link")</f>
        <v/>
      </c>
      <c r="R1018" s="6">
        <f>HYPERLINK("http://www.eum.go.kr/web/ar/lu/luLandDet.jsp?pnu=4311325031109060000&amp;isNoScr=script&amp;mode=search",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339.2</v>
      </c>
      <c r="V1018" s="4" t="n">
        <v>247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922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2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300</v>
      </c>
      <c r="H1019" s="4" t="n">
        <v>46</v>
      </c>
      <c r="I1019" s="4" t="n">
        <v>58</v>
      </c>
      <c r="J1019" s="4" t="n">
        <v>18</v>
      </c>
      <c r="K1019" s="5" t="n">
        <v>2.6</v>
      </c>
      <c r="L1019" s="4" t="n">
        <v>24</v>
      </c>
      <c r="M1019" s="4" t="n">
        <v>7</v>
      </c>
      <c r="N1019" s="5" t="n">
        <v>6.6</v>
      </c>
      <c r="O1019" s="3" t="inlineStr">
        <is>
          <t>원룸의 정석 , 군더더기없는 원룸</t>
        </is>
      </c>
      <c r="P1019" s="6">
        <f>HYPERLINK("https://fin.land.naver.com/articles/2652442632", "매물Link")</f>
        <v/>
      </c>
      <c r="Q1019" s="6">
        <f>HYPERLINK("https://map.naver.com/p/search/오송읍 봉산리 922", "지도Link")</f>
        <v/>
      </c>
      <c r="R1019" s="6">
        <f>HYPERLINK("http://www.eum.go.kr/web/ar/lu/luLandDet.jsp?pnu=4311325031109220000&amp;isNoScr=script&amp;mode=search", "토지이음")</f>
        <v/>
      </c>
      <c r="S1019" s="3" t="inlineStr">
        <is>
          <t>프로</t>
        </is>
      </c>
      <c r="T1019" s="4" t="n">
        <v>1</v>
      </c>
      <c r="U1019" s="5" t="n">
        <v>205.7</v>
      </c>
      <c r="V1019" s="4" t="n">
        <v>274.1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922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단독</t>
        </is>
      </c>
      <c r="F1020" s="3" t="inlineStr">
        <is>
          <t>월세</t>
        </is>
      </c>
      <c r="G1020" s="4" t="n">
        <v>300</v>
      </c>
      <c r="H1020" s="4" t="n">
        <v>46</v>
      </c>
      <c r="I1020" s="4" t="n">
        <v>0</v>
      </c>
      <c r="J1020" s="4" t="n">
        <v>0</v>
      </c>
      <c r="K1020" s="5" t="n">
        <v>0</v>
      </c>
      <c r="L1020" s="4" t="n">
        <v>24</v>
      </c>
      <c r="M1020" s="4" t="n">
        <v>7</v>
      </c>
      <c r="N1020" s="5" t="n">
        <v>6.6</v>
      </c>
      <c r="O1020" s="3" t="inlineStr">
        <is>
          <t>ㄸr봉 오송2산단 가성비 좋고 침대까지 갖춘 풀옵션 원룸</t>
        </is>
      </c>
      <c r="P1020" s="6">
        <f>HYPERLINK("https://fin.land.naver.com/articles/2652371093", "매물Link")</f>
        <v/>
      </c>
      <c r="Q1020" s="6">
        <f>HYPERLINK("https://map.naver.com/p/search/오송읍 봉산리 922", "지도Link")</f>
        <v/>
      </c>
      <c r="R1020" s="6">
        <f>HYPERLINK("http://www.eum.go.kr/web/ar/lu/luLandDet.jsp?pnu=4311325031109220000&amp;isNoScr=script&amp;mode=search", "토지이음")</f>
        <v/>
      </c>
      <c r="S1020" s="3" t="inlineStr">
        <is>
          <t>오송프렌즈</t>
        </is>
      </c>
      <c r="T1020" s="4" t="n">
        <v>1</v>
      </c>
      <c r="U1020" s="5" t="n">
        <v>205.7</v>
      </c>
      <c r="V1020" s="4" t="n">
        <v>274.1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923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다가구</t>
        </is>
      </c>
      <c r="F1021" s="3" t="inlineStr">
        <is>
          <t>월세</t>
        </is>
      </c>
      <c r="G1021" s="4" t="n">
        <v>300</v>
      </c>
      <c r="H1021" s="4" t="n">
        <v>47</v>
      </c>
      <c r="I1021" s="4" t="n">
        <v>0</v>
      </c>
      <c r="J1021" s="4" t="n">
        <v>0</v>
      </c>
      <c r="K1021" s="5" t="n">
        <v>0</v>
      </c>
      <c r="L1021" s="4" t="n">
        <v>19</v>
      </c>
      <c r="M1021" s="4" t="n">
        <v>6</v>
      </c>
      <c r="N1021" s="5" t="n">
        <v>7.8</v>
      </c>
      <c r="O1021" s="3" t="inlineStr">
        <is>
          <t>빠른입주 가능한 깔끔한 신축 분리형 원룸 ,컨디션 좋아요</t>
        </is>
      </c>
      <c r="P1021" s="6">
        <f>HYPERLINK("https://fin.land.naver.com/articles/2653748913", "매물Link")</f>
        <v/>
      </c>
      <c r="Q1021" s="6">
        <f>HYPERLINK("https://map.naver.com/p/search/오송읍 봉산리 923", "지도Link")</f>
        <v/>
      </c>
      <c r="R1021" s="6">
        <f>HYPERLINK("http://www.eum.go.kr/web/ar/lu/luLandDet.jsp?pnu=4311325031109230000&amp;isNoScr=script&amp;mode=search",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205.7</v>
      </c>
      <c r="V1021" s="4" t="n">
        <v>274.2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923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단독</t>
        </is>
      </c>
      <c r="F1022" s="3" t="inlineStr">
        <is>
          <t>월세</t>
        </is>
      </c>
      <c r="G1022" s="4" t="n">
        <v>10000</v>
      </c>
      <c r="H1022" s="4" t="n">
        <v>20</v>
      </c>
      <c r="I1022" s="4" t="n">
        <v>144</v>
      </c>
      <c r="J1022" s="4" t="n">
        <v>44</v>
      </c>
      <c r="K1022" s="5" t="n">
        <v>0.5</v>
      </c>
      <c r="L1022" s="4" t="n">
        <v>53</v>
      </c>
      <c r="M1022" s="4" t="n">
        <v>16</v>
      </c>
      <c r="N1022" s="5" t="n">
        <v>1.2</v>
      </c>
      <c r="O1022" s="3" t="inlineStr">
        <is>
          <t>즉시 입주, 반전세 투룸</t>
        </is>
      </c>
      <c r="P1022" s="6">
        <f>HYPERLINK("https://fin.land.naver.com/articles/2651737949", "매물Link")</f>
        <v/>
      </c>
      <c r="Q1022" s="6">
        <f>HYPERLINK("https://map.naver.com/p/search/오송읍 봉산리 923", "지도Link")</f>
        <v/>
      </c>
      <c r="R1022" s="6">
        <f>HYPERLINK("http://www.eum.go.kr/web/ar/lu/luLandDet.jsp?pnu=4311325031109230000&amp;isNoScr=script&amp;mode=search",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205.7</v>
      </c>
      <c r="V1022" s="4" t="n">
        <v>274.2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923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월세</t>
        </is>
      </c>
      <c r="G1023" s="4" t="n">
        <v>2000</v>
      </c>
      <c r="H1023" s="4" t="n">
        <v>100</v>
      </c>
      <c r="I1023" s="4" t="n">
        <v>0</v>
      </c>
      <c r="J1023" s="4" t="n">
        <v>0</v>
      </c>
      <c r="K1023" s="5" t="n">
        <v>0</v>
      </c>
      <c r="L1023" s="4" t="n">
        <v>59</v>
      </c>
      <c r="M1023" s="4" t="n">
        <v>18</v>
      </c>
      <c r="N1023" s="5" t="n">
        <v>5.6</v>
      </c>
      <c r="O1023" s="3" t="inlineStr">
        <is>
          <t>쓰리룸 주인세대,필로티 주차장,수납력 짱짱인 매물,신혼부부,회사숙소 추천</t>
        </is>
      </c>
      <c r="P1023" s="6">
        <f>HYPERLINK("https://fin.land.naver.com/articles/2654903922", "매물Link")</f>
        <v/>
      </c>
      <c r="Q1023" s="6">
        <f>HYPERLINK("https://map.naver.com/p/search/오송읍 봉산리 923", "지도Link")</f>
        <v/>
      </c>
      <c r="R1023" s="6">
        <f>HYPERLINK("http://www.eum.go.kr/web/ar/lu/luLandDet.jsp?pnu=4311325031109230000&amp;isNoScr=script&amp;mode=search", "토지이음")</f>
        <v/>
      </c>
      <c r="S1023" s="3" t="inlineStr">
        <is>
          <t>오송바이오창조</t>
        </is>
      </c>
      <c r="T1023" s="4" t="n">
        <v>1</v>
      </c>
      <c r="U1023" s="5" t="n">
        <v>205.7</v>
      </c>
      <c r="V1023" s="4" t="n">
        <v>274.2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926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2500</v>
      </c>
      <c r="H1024" s="4" t="n">
        <v>54</v>
      </c>
      <c r="I1024" s="4" t="n">
        <v>0</v>
      </c>
      <c r="J1024" s="4" t="n">
        <v>0</v>
      </c>
      <c r="K1024" s="5" t="n">
        <v>0</v>
      </c>
      <c r="L1024" s="4" t="n">
        <v>35</v>
      </c>
      <c r="M1024" s="4" t="n">
        <v>11</v>
      </c>
      <c r="N1024" s="5" t="n">
        <v>4.9</v>
      </c>
      <c r="O1024" s="3" t="inlineStr">
        <is>
          <t>ㄸr봉 26년 신축 깔끔하고 세련된 화이트톤   풀옵션 투베이</t>
        </is>
      </c>
      <c r="P1024" s="6">
        <f>HYPERLINK("https://fin.land.naver.com/articles/2651138467", "매물Link")</f>
        <v/>
      </c>
      <c r="Q1024" s="6">
        <f>HYPERLINK("https://map.naver.com/p/search/오송읍 봉산리 926", "지도Link")</f>
        <v/>
      </c>
      <c r="R1024" s="6">
        <f>HYPERLINK("http://www.eum.go.kr/web/ar/lu/luLandDet.jsp?pnu=4311325031109260000&amp;isNoScr=script&amp;mode=search", "토지이음")</f>
        <v/>
      </c>
      <c r="S1024" s="3" t="inlineStr">
        <is>
          <t>오송프렌즈</t>
        </is>
      </c>
      <c r="T1024" s="4" t="n">
        <v>1</v>
      </c>
      <c r="U1024" s="5" t="n">
        <v>218</v>
      </c>
      <c r="V1024" s="4" t="n">
        <v>266.8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소로각지</t>
        </is>
      </c>
    </row>
    <row r="1025">
      <c r="A1025" s="3" t="inlineStr">
        <is>
          <t>오송읍 봉산리 927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다가구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273</v>
      </c>
      <c r="J1025" s="4" t="n">
        <v>83</v>
      </c>
      <c r="K1025" s="5" t="n">
        <v>1807.2</v>
      </c>
      <c r="L1025" s="4" t="n">
        <v>491</v>
      </c>
      <c r="M1025" s="4" t="n">
        <v>149</v>
      </c>
      <c r="N1025" s="5" t="n">
        <v>1006.7</v>
      </c>
      <c r="O1025" s="3" t="inlineStr">
        <is>
          <t>코너 각지 상가주택</t>
        </is>
      </c>
      <c r="P1025" s="6">
        <f>HYPERLINK("https://fin.land.naver.com/articles/2655538498", "매물Link")</f>
        <v/>
      </c>
      <c r="Q1025" s="6">
        <f>HYPERLINK("https://map.naver.com/p/search/오송읍 봉산리 927", "지도Link")</f>
        <v/>
      </c>
      <c r="R1025" s="6">
        <f>HYPERLINK("http://www.eum.go.kr/web/ar/lu/luLandDet.jsp?pnu=4311325031109270000&amp;isNoScr=script&amp;mode=search", "토지이음")</f>
        <v/>
      </c>
      <c r="S1025" s="3" t="inlineStr">
        <is>
          <t>오송1단지창조</t>
        </is>
      </c>
      <c r="T1025" s="4" t="n">
        <v>1</v>
      </c>
      <c r="U1025" s="5" t="n">
        <v>218</v>
      </c>
      <c r="V1025" s="4" t="n">
        <v>273.3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927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273</v>
      </c>
      <c r="J1026" s="4" t="n">
        <v>83</v>
      </c>
      <c r="K1026" s="5" t="n">
        <v>1807.2</v>
      </c>
      <c r="L1026" s="4" t="n">
        <v>491</v>
      </c>
      <c r="M1026" s="4" t="n">
        <v>149</v>
      </c>
      <c r="N1026" s="5" t="n">
        <v>1006.7</v>
      </c>
      <c r="O1026" s="3" t="inlineStr">
        <is>
          <t>주인세대가 아주 넓고 햇살이 잘드는 코너건물의 장점이 많은 건물입니다</t>
        </is>
      </c>
      <c r="P1026" s="6">
        <f>HYPERLINK("https://fin.land.naver.com/articles/2654604656", "매물Link")</f>
        <v/>
      </c>
      <c r="Q1026" s="6">
        <f>HYPERLINK("https://map.naver.com/p/search/오송읍 봉산리 927", "지도Link")</f>
        <v/>
      </c>
      <c r="R1026" s="6">
        <f>HYPERLINK("http://www.eum.go.kr/web/ar/lu/luLandDet.jsp?pnu=4311325031109270000&amp;isNoScr=script&amp;mode=search",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218</v>
      </c>
      <c r="V1026" s="4" t="n">
        <v>273.3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소로각지</t>
        </is>
      </c>
    </row>
    <row r="1027">
      <c r="A1027" s="3" t="inlineStr">
        <is>
          <t>오송읍 봉산리 929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500</v>
      </c>
      <c r="H1027" s="4" t="n">
        <v>55</v>
      </c>
      <c r="I1027" s="4" t="n">
        <v>33</v>
      </c>
      <c r="J1027" s="4" t="n">
        <v>10</v>
      </c>
      <c r="K1027" s="5" t="n">
        <v>5.5</v>
      </c>
      <c r="L1027" s="4" t="n">
        <v>33</v>
      </c>
      <c r="M1027" s="4" t="n">
        <v>10</v>
      </c>
      <c r="N1027" s="5" t="n">
        <v>5.5</v>
      </c>
      <c r="O1027" s="3" t="inlineStr">
        <is>
          <t>오송2단지 빠른입주 투베이 풀옵션 깔끔하고 환한 집</t>
        </is>
      </c>
      <c r="P1027" s="6">
        <f>HYPERLINK("https://fin.land.naver.com/articles/2650819306", "매물Link")</f>
        <v/>
      </c>
      <c r="Q1027" s="6">
        <f>HYPERLINK("https://map.naver.com/p/search/오송읍 봉산리 929", "지도Link")</f>
        <v/>
      </c>
      <c r="R1027" s="6">
        <f>HYPERLINK("http://www.eum.go.kr/web/ar/lu/luLandDet.jsp?pnu=4311325031109290000&amp;isNoScr=script&amp;mode=search",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278.3</v>
      </c>
      <c r="W1027" s="3" t="inlineStr">
        <is>
          <t>지정되지않음</t>
        </is>
      </c>
      <c r="X1027" s="3" t="inlineStr">
        <is>
          <t>단독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929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다가구</t>
        </is>
      </c>
      <c r="F1028" s="3" t="inlineStr">
        <is>
          <t>매매</t>
        </is>
      </c>
      <c r="G1028" s="4" t="n">
        <v>165000</v>
      </c>
      <c r="H1028" s="4" t="n">
        <v>0</v>
      </c>
      <c r="I1028" s="4" t="n">
        <v>278</v>
      </c>
      <c r="J1028" s="4" t="n">
        <v>84</v>
      </c>
      <c r="K1028" s="5" t="n">
        <v>1964.3</v>
      </c>
      <c r="L1028" s="4" t="n">
        <v>488</v>
      </c>
      <c r="M1028" s="4" t="n">
        <v>148</v>
      </c>
      <c r="N1028" s="5" t="n">
        <v>1114.9</v>
      </c>
      <c r="O1028" s="3" t="inlineStr">
        <is>
          <t>건물 특징</t>
        </is>
      </c>
      <c r="P1028" s="6">
        <f>HYPERLINK("https://fin.land.naver.com/articles/2653146019", "매물Link")</f>
        <v/>
      </c>
      <c r="Q1028" s="6">
        <f>HYPERLINK("https://map.naver.com/p/search/오송읍 봉산리 929", "지도Link")</f>
        <v/>
      </c>
      <c r="R1028" s="6">
        <f>HYPERLINK("http://www.eum.go.kr/web/ar/lu/luLandDet.jsp?pnu=4311325031109290000&amp;isNoScr=script&amp;mode=search", "토지이음")</f>
        <v/>
      </c>
      <c r="S1028" s="3" t="inlineStr">
        <is>
          <t>오송궁평마을</t>
        </is>
      </c>
      <c r="T1028" s="4" t="n">
        <v>1</v>
      </c>
      <c r="U1028" s="5" t="n">
        <v>205.7</v>
      </c>
      <c r="V1028" s="4" t="n">
        <v>278.3</v>
      </c>
      <c r="W1028" s="3" t="inlineStr">
        <is>
          <t>지정되지않음</t>
        </is>
      </c>
      <c r="X1028" s="3" t="inlineStr">
        <is>
          <t>단독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929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단독</t>
        </is>
      </c>
      <c r="F1029" s="3" t="inlineStr">
        <is>
          <t>월세</t>
        </is>
      </c>
      <c r="G1029" s="4" t="n">
        <v>3000</v>
      </c>
      <c r="H1029" s="4" t="n">
        <v>100</v>
      </c>
      <c r="I1029" s="4" t="n">
        <v>119</v>
      </c>
      <c r="J1029" s="4" t="n">
        <v>36</v>
      </c>
      <c r="K1029" s="5" t="n">
        <v>2.8</v>
      </c>
      <c r="L1029" s="4" t="n">
        <v>101</v>
      </c>
      <c r="M1029" s="4" t="n">
        <v>31</v>
      </c>
      <c r="N1029" s="5" t="n">
        <v>3.2</v>
      </c>
      <c r="O1029" s="3" t="inlineStr">
        <is>
          <t>주인세대 신축건물로 오송역세권의 인프라좋고 주변편의시설확충 공원산책</t>
        </is>
      </c>
      <c r="P1029" s="6">
        <f>HYPERLINK("https://fin.land.naver.com/articles/2652811473", "매물Link")</f>
        <v/>
      </c>
      <c r="Q1029" s="6">
        <f>HYPERLINK("https://map.naver.com/p/search/오송읍 봉산리 929", "지도Link")</f>
        <v/>
      </c>
      <c r="R1029" s="6">
        <f>HYPERLINK("http://www.eum.go.kr/web/ar/lu/luLandDet.jsp?pnu=4311325031109290000&amp;isNoScr=script&amp;mode=search",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205.7</v>
      </c>
      <c r="V1029" s="4" t="n">
        <v>278.3</v>
      </c>
      <c r="W1029" s="3" t="inlineStr">
        <is>
          <t>지정되지않음</t>
        </is>
      </c>
      <c r="X1029" s="3" t="inlineStr">
        <is>
          <t>단독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932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다가구</t>
        </is>
      </c>
      <c r="F1030" s="3" t="inlineStr">
        <is>
          <t>매매</t>
        </is>
      </c>
      <c r="G1030" s="4" t="n">
        <v>125000</v>
      </c>
      <c r="H1030" s="4" t="n">
        <v>0</v>
      </c>
      <c r="I1030" s="4" t="n">
        <v>278</v>
      </c>
      <c r="J1030" s="4" t="n">
        <v>84</v>
      </c>
      <c r="K1030" s="5" t="n">
        <v>1488.1</v>
      </c>
      <c r="L1030" s="4" t="n">
        <v>495</v>
      </c>
      <c r="M1030" s="4" t="n">
        <v>150</v>
      </c>
      <c r="N1030" s="5" t="n">
        <v>833.3</v>
      </c>
      <c r="O1030" s="3" t="inlineStr">
        <is>
          <t>임대사업 시작하기 좋은 상가주택</t>
        </is>
      </c>
      <c r="P1030" s="6">
        <f>HYPERLINK("https://fin.land.naver.com/articles/2654128964", "매물Link")</f>
        <v/>
      </c>
      <c r="Q1030" s="6">
        <f>HYPERLINK("https://map.naver.com/p/search/오송읍 봉산리 932", "지도Link")</f>
        <v/>
      </c>
      <c r="R1030" s="6">
        <f>HYPERLINK("http://www.eum.go.kr/web/ar/lu/luLandDet.jsp?pnu=4311325031109320000&amp;isNoScr=script&amp;mode=search", "토지이음")</f>
        <v/>
      </c>
      <c r="S1030" s="3" t="inlineStr">
        <is>
          <t>오송1단지창조</t>
        </is>
      </c>
      <c r="T1030" s="4" t="n">
        <v>1</v>
      </c>
      <c r="U1030" s="5" t="n">
        <v>205.7</v>
      </c>
      <c r="V1030" s="4" t="n">
        <v>278.8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933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다가구</t>
        </is>
      </c>
      <c r="F1031" s="3" t="inlineStr">
        <is>
          <t>월세</t>
        </is>
      </c>
      <c r="G1031" s="4" t="n">
        <v>500</v>
      </c>
      <c r="H1031" s="4" t="n">
        <v>56</v>
      </c>
      <c r="I1031" s="4" t="n">
        <v>0</v>
      </c>
      <c r="J1031" s="4" t="n">
        <v>0</v>
      </c>
      <c r="K1031" s="5" t="n">
        <v>0</v>
      </c>
      <c r="L1031" s="4" t="n">
        <v>25</v>
      </c>
      <c r="M1031" s="4" t="n">
        <v>8</v>
      </c>
      <c r="N1031" s="5" t="n">
        <v>7</v>
      </c>
      <c r="O1031" s="3" t="inlineStr">
        <is>
          <t>ㄸr봉  위치좋고 넓게 잘빠진 투베이</t>
        </is>
      </c>
      <c r="P1031" s="6">
        <f>HYPERLINK("https://fin.land.naver.com/articles/2655170514", "매물Link")</f>
        <v/>
      </c>
      <c r="Q1031" s="6">
        <f>HYPERLINK("https://map.naver.com/p/search/오송읍 봉산리 933", "지도Link")</f>
        <v/>
      </c>
      <c r="R1031" s="6">
        <f>HYPERLINK("http://www.eum.go.kr/web/ar/lu/luLandDet.jsp?pnu=4311325031109330000&amp;isNoScr=script&amp;mode=search", "토지이음")</f>
        <v/>
      </c>
      <c r="S1031" s="3" t="inlineStr">
        <is>
          <t>오송프렌즈</t>
        </is>
      </c>
      <c r="T1031" s="4" t="n">
        <v>1</v>
      </c>
      <c r="U1031" s="5" t="n">
        <v>250.2</v>
      </c>
      <c r="V1031" s="4" t="n">
        <v>283.1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소로각지</t>
        </is>
      </c>
    </row>
    <row r="1032">
      <c r="A1032" s="3" t="inlineStr">
        <is>
          <t>오송읍 봉산리 933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500</v>
      </c>
      <c r="H1032" s="4" t="n">
        <v>56</v>
      </c>
      <c r="I1032" s="4" t="n">
        <v>61</v>
      </c>
      <c r="J1032" s="4" t="n">
        <v>18</v>
      </c>
      <c r="K1032" s="5" t="n">
        <v>3.1</v>
      </c>
      <c r="L1032" s="4" t="n">
        <v>30</v>
      </c>
      <c r="M1032" s="4" t="n">
        <v>9</v>
      </c>
      <c r="N1032" s="5" t="n">
        <v>6.2</v>
      </c>
      <c r="O1032" s="3" t="inlineStr">
        <is>
          <t>즉시입주,넓은 투베이</t>
        </is>
      </c>
      <c r="P1032" s="6">
        <f>HYPERLINK("https://fin.land.naver.com/articles/2654954396", "매물Link")</f>
        <v/>
      </c>
      <c r="Q1032" s="6">
        <f>HYPERLINK("https://map.naver.com/p/search/오송읍 봉산리 933", "지도Link")</f>
        <v/>
      </c>
      <c r="R1032" s="6">
        <f>HYPERLINK("http://www.eum.go.kr/web/ar/lu/luLandDet.jsp?pnu=4311325031109330000&amp;isNoScr=script&amp;mode=search", "토지이음")</f>
        <v/>
      </c>
      <c r="S1032" s="3" t="inlineStr">
        <is>
          <t>프로</t>
        </is>
      </c>
      <c r="T1032" s="4" t="n">
        <v>1</v>
      </c>
      <c r="U1032" s="5" t="n">
        <v>250.2</v>
      </c>
      <c r="V1032" s="4" t="n">
        <v>283.1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소로각지</t>
        </is>
      </c>
    </row>
    <row r="1033">
      <c r="A1033" s="3" t="inlineStr">
        <is>
          <t>오송읍 봉산리 933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55</v>
      </c>
      <c r="I1033" s="4" t="n">
        <v>0</v>
      </c>
      <c r="J1033" s="4" t="n">
        <v>0</v>
      </c>
      <c r="K1033" s="5" t="n">
        <v>0</v>
      </c>
      <c r="L1033" s="4" t="n">
        <v>30</v>
      </c>
      <c r="M1033" s="4" t="n">
        <v>9</v>
      </c>
      <c r="N1033" s="5" t="n">
        <v>6.1</v>
      </c>
      <c r="O1033" s="3" t="inlineStr">
        <is>
          <t>즉시입주 가능공원 앞 깔끔한 신축 대형 투베이 월세</t>
        </is>
      </c>
      <c r="P1033" s="6">
        <f>HYPERLINK("https://fin.land.naver.com/articles/2655169080", "매물Link")</f>
        <v/>
      </c>
      <c r="Q1033" s="6">
        <f>HYPERLINK("https://map.naver.com/p/search/오송읍 봉산리 933", "지도Link")</f>
        <v/>
      </c>
      <c r="R1033" s="6">
        <f>HYPERLINK("http://www.eum.go.kr/web/ar/lu/luLandDet.jsp?pnu=4311325031109330000&amp;isNoScr=script&amp;mode=search", "토지이음")</f>
        <v/>
      </c>
      <c r="S1033" s="3" t="inlineStr">
        <is>
          <t>오송바이오창조</t>
        </is>
      </c>
      <c r="T1033" s="4" t="n">
        <v>3</v>
      </c>
      <c r="U1033" s="5" t="n">
        <v>250.2</v>
      </c>
      <c r="V1033" s="4" t="n">
        <v>283.1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소로각지</t>
        </is>
      </c>
    </row>
    <row r="1034">
      <c r="A1034" s="3" t="inlineStr">
        <is>
          <t>오송읍 봉산리 942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단독</t>
        </is>
      </c>
      <c r="F1034" s="3" t="inlineStr">
        <is>
          <t>월세</t>
        </is>
      </c>
      <c r="G1034" s="4" t="n">
        <v>500</v>
      </c>
      <c r="H1034" s="4" t="n">
        <v>56</v>
      </c>
      <c r="I1034" s="4" t="n">
        <v>34</v>
      </c>
      <c r="J1034" s="4" t="n">
        <v>10</v>
      </c>
      <c r="K1034" s="5" t="n">
        <v>5.6</v>
      </c>
      <c r="L1034" s="4" t="n">
        <v>34</v>
      </c>
      <c r="M1034" s="4" t="n">
        <v>10</v>
      </c>
      <c r="N1034" s="5" t="n">
        <v>5.6</v>
      </c>
      <c r="O1034" s="3" t="inlineStr">
        <is>
          <t>최신식시설 깨끗한 남향 투베이 월세</t>
        </is>
      </c>
      <c r="P1034" s="6">
        <f>HYPERLINK("https://fin.land.naver.com/articles/2652303791", "매물Link")</f>
        <v/>
      </c>
      <c r="Q1034" s="6">
        <f>HYPERLINK("https://map.naver.com/p/search/오송읍 봉산리 942", "지도Link")</f>
        <v/>
      </c>
      <c r="R1034" s="6">
        <f>HYPERLINK("http://www.eum.go.kr/web/ar/lu/luLandDet.jsp?pnu=4311325031109420000&amp;isNoScr=script&amp;mode=search", "토지이음")</f>
        <v/>
      </c>
      <c r="S1034" s="3" t="inlineStr">
        <is>
          <t>오송유진</t>
        </is>
      </c>
      <c r="T1034" s="4" t="n">
        <v>1</v>
      </c>
      <c r="U1034" s="5" t="n">
        <v>236</v>
      </c>
      <c r="V1034" s="4" t="n">
        <v>276.3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944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단독</t>
        </is>
      </c>
      <c r="F1035" s="3" t="inlineStr">
        <is>
          <t>월세</t>
        </is>
      </c>
      <c r="G1035" s="4" t="n">
        <v>2000</v>
      </c>
      <c r="H1035" s="4" t="n">
        <v>90</v>
      </c>
      <c r="I1035" s="4" t="n">
        <v>0</v>
      </c>
      <c r="J1035" s="4" t="n">
        <v>0</v>
      </c>
      <c r="K1035" s="5" t="n">
        <v>0</v>
      </c>
      <c r="L1035" s="4" t="n">
        <v>106</v>
      </c>
      <c r="M1035" s="4" t="n">
        <v>32</v>
      </c>
      <c r="N1035" s="5" t="n">
        <v>2.8</v>
      </c>
      <c r="O1035" s="3" t="inlineStr">
        <is>
          <t>개인테라스, 흔치 않은 쓰리룸 복층구조 주인세대 월세,가성비 최고</t>
        </is>
      </c>
      <c r="P1035" s="6">
        <f>HYPERLINK("https://fin.land.naver.com/articles/2655400019", "매물Link")</f>
        <v/>
      </c>
      <c r="Q1035" s="6">
        <f>HYPERLINK("https://map.naver.com/p/search/오송읍 봉산리 944", "지도Link")</f>
        <v/>
      </c>
      <c r="R1035" s="6">
        <f>HYPERLINK("http://www.eum.go.kr/web/ar/lu/luLandDet.jsp?pnu=4311325031109440000&amp;isNoScr=script&amp;mode=search",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236</v>
      </c>
      <c r="V1035" s="4" t="n">
        <v>276.2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959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300</v>
      </c>
      <c r="H1036" s="4" t="n">
        <v>50</v>
      </c>
      <c r="I1036" s="4" t="n">
        <v>0</v>
      </c>
      <c r="J1036" s="4" t="n">
        <v>0</v>
      </c>
      <c r="K1036" s="5" t="n">
        <v>0</v>
      </c>
      <c r="L1036" s="4" t="n">
        <v>24</v>
      </c>
      <c r="M1036" s="4" t="n">
        <v>7</v>
      </c>
      <c r="N1036" s="5" t="n">
        <v>7.1</v>
      </c>
      <c r="O1036" s="3" t="inlineStr">
        <is>
          <t>완벽 분리 ,깔끔한 신축 원룸 빠른입주 가능,주차 편리한 곳,강추매물</t>
        </is>
      </c>
      <c r="P1036" s="6">
        <f>HYPERLINK("https://fin.land.naver.com/articles/2654430167", "매물Link")</f>
        <v/>
      </c>
      <c r="Q1036" s="6">
        <f>HYPERLINK("https://map.naver.com/p/search/오송읍 봉산리 959", "지도Link")</f>
        <v/>
      </c>
      <c r="R1036" s="6">
        <f>HYPERLINK("http://www.eum.go.kr/web/ar/lu/luLandDet.jsp?pnu=4311325031109590000&amp;isNoScr=script&amp;mode=search",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271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960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51</v>
      </c>
      <c r="I1037" s="4" t="n">
        <v>0</v>
      </c>
      <c r="J1037" s="4" t="n">
        <v>0</v>
      </c>
      <c r="K1037" s="5" t="n">
        <v>0</v>
      </c>
      <c r="L1037" s="4" t="n">
        <v>23</v>
      </c>
      <c r="M1037" s="4" t="n">
        <v>7</v>
      </c>
      <c r="N1037" s="5" t="n">
        <v>7.3</v>
      </c>
      <c r="O1037" s="3" t="inlineStr">
        <is>
          <t>즉시입주 가능 완벽 분리형 원룸, 넓게 빠져 공간 활용도 좋아요</t>
        </is>
      </c>
      <c r="P1037" s="6">
        <f>HYPERLINK("https://fin.land.naver.com/articles/2654959899", "매물Link")</f>
        <v/>
      </c>
      <c r="Q1037" s="6">
        <f>HYPERLINK("https://map.naver.com/p/search/오송읍 봉산리 960", "지도Link")</f>
        <v/>
      </c>
      <c r="R1037" s="6">
        <f>HYPERLINK("http://www.eum.go.kr/web/ar/lu/luLandDet.jsp?pnu=4311325031109600000&amp;isNoScr=script&amp;mode=search",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271.1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965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단독</t>
        </is>
      </c>
      <c r="F1038" s="3" t="inlineStr">
        <is>
          <t>월세</t>
        </is>
      </c>
      <c r="G1038" s="4" t="n">
        <v>500</v>
      </c>
      <c r="H1038" s="4" t="n">
        <v>51</v>
      </c>
      <c r="I1038" s="4" t="n">
        <v>0</v>
      </c>
      <c r="J1038" s="4" t="n">
        <v>0</v>
      </c>
      <c r="K1038" s="5" t="n">
        <v>0</v>
      </c>
      <c r="L1038" s="4" t="n">
        <v>22</v>
      </c>
      <c r="M1038" s="4" t="n">
        <v>7</v>
      </c>
      <c r="N1038" s="5" t="n">
        <v>7.3</v>
      </c>
      <c r="O1038" s="3" t="inlineStr">
        <is>
          <t>첫입주,서두르면 좋은 호실 선택 가능</t>
        </is>
      </c>
      <c r="P1038" s="6">
        <f>HYPERLINK("https://fin.land.naver.com/articles/2655339633", "매물Link")</f>
        <v/>
      </c>
      <c r="Q1038" s="6">
        <f>HYPERLINK("https://map.naver.com/p/search/오송읍 봉산리 965", "지도Link")</f>
        <v/>
      </c>
      <c r="R1038" s="6">
        <f>HYPERLINK("http://www.eum.go.kr/web/ar/lu/luLandDet.jsp?pnu=4311325031109650000&amp;isNoScr=script&amp;mode=search",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205.7</v>
      </c>
      <c r="V1038" s="4" t="n">
        <v>271.1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975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120000</v>
      </c>
      <c r="H1039" s="4" t="n">
        <v>0</v>
      </c>
      <c r="I1039" s="4" t="n">
        <v>271</v>
      </c>
      <c r="J1039" s="4" t="n">
        <v>82</v>
      </c>
      <c r="K1039" s="5" t="n">
        <v>1463.4</v>
      </c>
      <c r="L1039" s="4" t="n">
        <v>394</v>
      </c>
      <c r="M1039" s="4" t="n">
        <v>119</v>
      </c>
      <c r="N1039" s="5" t="n">
        <v>1008.4</v>
      </c>
      <c r="O1039" s="3" t="inlineStr">
        <is>
          <t>상가까지 만실668만원 즉시 수익뭐 하나 빠지는게 없는 건물입니다</t>
        </is>
      </c>
      <c r="P1039" s="6">
        <f>HYPERLINK("https://fin.land.naver.com/articles/2650365014", "매물Link")</f>
        <v/>
      </c>
      <c r="Q1039" s="6">
        <f>HYPERLINK("https://map.naver.com/p/search/오송읍 봉산리 975", "지도Link")</f>
        <v/>
      </c>
      <c r="R1039" s="6">
        <f>HYPERLINK("http://www.eum.go.kr/web/ar/lu/luLandDet.jsp?pnu=4311325031109750000&amp;isNoScr=script&amp;mode=search",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205.7</v>
      </c>
      <c r="V1039" s="4" t="n">
        <v>271.3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975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120000</v>
      </c>
      <c r="H1040" s="4" t="n">
        <v>0</v>
      </c>
      <c r="I1040" s="4" t="n">
        <v>271</v>
      </c>
      <c r="J1040" s="4" t="n">
        <v>82</v>
      </c>
      <c r="K1040" s="5" t="n">
        <v>1463.4</v>
      </c>
      <c r="L1040" s="4" t="n">
        <v>394</v>
      </c>
      <c r="M1040" s="4" t="n">
        <v>119</v>
      </c>
      <c r="N1040" s="5" t="n">
        <v>1008.4</v>
      </c>
      <c r="O1040" s="3" t="inlineStr">
        <is>
          <t>추천매물 수익율 좋은 관리가 아주 잘된 건물 입니다</t>
        </is>
      </c>
      <c r="P1040" s="6">
        <f>HYPERLINK("https://fin.land.naver.com/articles/2654016226", "매물Link")</f>
        <v/>
      </c>
      <c r="Q1040" s="6">
        <f>HYPERLINK("https://map.naver.com/p/search/오송읍 봉산리 975", "지도Link")</f>
        <v/>
      </c>
      <c r="R1040" s="6">
        <f>HYPERLINK("http://www.eum.go.kr/web/ar/lu/luLandDet.jsp?pnu=4311325031109750000&amp;isNoScr=script&amp;mode=search", "토지이음")</f>
        <v/>
      </c>
      <c r="S1040" s="3" t="inlineStr">
        <is>
          <t>오송2단지창조</t>
        </is>
      </c>
      <c r="T1040" s="4" t="n">
        <v>1</v>
      </c>
      <c r="U1040" s="5" t="n">
        <v>205.7</v>
      </c>
      <c r="V1040" s="4" t="n">
        <v>271.3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975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120000</v>
      </c>
      <c r="H1041" s="4" t="n">
        <v>0</v>
      </c>
      <c r="I1041" s="4" t="n">
        <v>271</v>
      </c>
      <c r="J1041" s="4" t="n">
        <v>82</v>
      </c>
      <c r="K1041" s="5" t="n">
        <v>1463.4</v>
      </c>
      <c r="L1041" s="4" t="n">
        <v>394</v>
      </c>
      <c r="M1041" s="4" t="n">
        <v>119</v>
      </c>
      <c r="N1041" s="5" t="n">
        <v>1008.4</v>
      </c>
      <c r="O1041" s="3" t="inlineStr">
        <is>
          <t>오송역세권. 미래가치상승기대. 신축예쁜건물</t>
        </is>
      </c>
      <c r="P1041" s="6">
        <f>HYPERLINK("https://fin.land.naver.com/articles/2651055949", "매물Link")</f>
        <v/>
      </c>
      <c r="Q1041" s="6">
        <f>HYPERLINK("https://map.naver.com/p/search/오송읍 봉산리 975", "지도Link")</f>
        <v/>
      </c>
      <c r="R1041" s="6">
        <f>HYPERLINK("http://www.eum.go.kr/web/ar/lu/luLandDet.jsp?pnu=4311325031109750000&amp;isNoScr=script&amp;mode=search", "토지이음")</f>
        <v/>
      </c>
      <c r="S1041" s="3" t="inlineStr">
        <is>
          <t>노른자</t>
        </is>
      </c>
      <c r="T1041" s="4" t="n">
        <v>1</v>
      </c>
      <c r="U1041" s="5" t="n">
        <v>205.7</v>
      </c>
      <c r="V1041" s="4" t="n">
        <v>271.3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975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120000</v>
      </c>
      <c r="H1042" s="4" t="n">
        <v>0</v>
      </c>
      <c r="I1042" s="4" t="n">
        <v>271</v>
      </c>
      <c r="J1042" s="4" t="n">
        <v>82</v>
      </c>
      <c r="K1042" s="5" t="n">
        <v>1463.4</v>
      </c>
      <c r="L1042" s="4" t="n">
        <v>394</v>
      </c>
      <c r="M1042" s="4" t="n">
        <v>119</v>
      </c>
      <c r="N1042" s="5" t="n">
        <v>1008.4</v>
      </c>
      <c r="O1042" s="3" t="inlineStr">
        <is>
          <t>월세668. 전층임대완료. 매수즉시 월세 수익 발생.</t>
        </is>
      </c>
      <c r="P1042" s="6">
        <f>HYPERLINK("https://fin.land.naver.com/articles/2654054125", "매물Link")</f>
        <v/>
      </c>
      <c r="Q1042" s="6">
        <f>HYPERLINK("https://map.naver.com/p/search/오송읍 봉산리 975", "지도Link")</f>
        <v/>
      </c>
      <c r="R1042" s="6">
        <f>HYPERLINK("http://www.eum.go.kr/web/ar/lu/luLandDet.jsp?pnu=4311325031109750000&amp;isNoScr=script&amp;mode=search", "토지이음")</f>
        <v/>
      </c>
      <c r="S1042" s="3" t="inlineStr">
        <is>
          <t>프로</t>
        </is>
      </c>
      <c r="T1042" s="4" t="n">
        <v>1</v>
      </c>
      <c r="U1042" s="5" t="n">
        <v>205.7</v>
      </c>
      <c r="V1042" s="4" t="n">
        <v>271.3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상봉리 176-1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1</t>
        </is>
      </c>
      <c r="E1043" s="3" t="inlineStr">
        <is>
          <t>단독</t>
        </is>
      </c>
      <c r="F1043" s="3" t="inlineStr">
        <is>
          <t>매매</t>
        </is>
      </c>
      <c r="G1043" s="4" t="n">
        <v>40000</v>
      </c>
      <c r="H1043" s="4" t="n">
        <v>0</v>
      </c>
      <c r="I1043" s="4" t="n">
        <v>937</v>
      </c>
      <c r="J1043" s="4" t="n">
        <v>283</v>
      </c>
      <c r="K1043" s="5" t="n">
        <v>141.3</v>
      </c>
      <c r="L1043" s="4" t="n">
        <v>102</v>
      </c>
      <c r="M1043" s="4" t="n">
        <v>31</v>
      </c>
      <c r="N1043" s="5" t="n">
        <v>1290.3</v>
      </c>
      <c r="O1043" s="3" t="inlineStr">
        <is>
          <t>남향, 텃밭가꾸면서 전원생활 하실분 오세요. 행복이 깃든 집입니다.</t>
        </is>
      </c>
      <c r="P1043" s="6">
        <f>HYPERLINK("https://fin.land.naver.com/articles/2653283785", "매물Link")</f>
        <v/>
      </c>
      <c r="Q1043" s="6">
        <f>HYPERLINK("https://map.naver.com/p/search/오송읍 상봉리 176-1", "지도Link")</f>
        <v/>
      </c>
      <c r="R1043" s="6">
        <f>HYPERLINK("http://www.eum.go.kr/web/ar/lu/luLandDet.jsp?pnu=4311325033101760001&amp;isNoScr=script&amp;mode=search", "토지이음")</f>
        <v/>
      </c>
      <c r="S1043" s="3" t="inlineStr">
        <is>
          <t>세종공감</t>
        </is>
      </c>
      <c r="T1043" s="4" t="n">
        <v>1</v>
      </c>
      <c r="U1043" s="5" t="n">
        <v>63.6</v>
      </c>
      <c r="V1043" s="4" t="n">
        <v>941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세로한면(가)</t>
        </is>
      </c>
    </row>
    <row r="1044">
      <c r="A1044" s="3" t="inlineStr">
        <is>
          <t>오송읍 상정리 729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단독</t>
        </is>
      </c>
      <c r="F1044" s="3" t="inlineStr">
        <is>
          <t>매매</t>
        </is>
      </c>
      <c r="G1044" s="4" t="n">
        <v>65000</v>
      </c>
      <c r="H1044" s="4" t="n">
        <v>0</v>
      </c>
      <c r="I1044" s="4" t="n">
        <v>527</v>
      </c>
      <c r="J1044" s="4" t="n">
        <v>159</v>
      </c>
      <c r="K1044" s="5" t="n">
        <v>408.8</v>
      </c>
      <c r="L1044" s="4" t="n">
        <v>161</v>
      </c>
      <c r="M1044" s="4" t="n">
        <v>49</v>
      </c>
      <c r="N1044" s="5" t="n">
        <v>1326.5</v>
      </c>
      <c r="O1044" s="3" t="inlineStr">
        <is>
          <t>사계절 자연을 느끼며 여유로운 하루를 지낼수 있는 나만의 주거공간</t>
        </is>
      </c>
      <c r="P1044" s="6">
        <f>HYPERLINK("https://fin.land.naver.com/articles/2652109676", "매물Link")</f>
        <v/>
      </c>
      <c r="Q1044" s="6">
        <f>HYPERLINK("https://map.naver.com/p/search/오송읍 상정리 729", "지도Link")</f>
        <v/>
      </c>
      <c r="R1044" s="6">
        <f>HYPERLINK("http://www.eum.go.kr/web/ar/lu/luLandDet.jsp?pnu=4311325022107290000&amp;isNoScr=script&amp;mode=search", "토지이음")</f>
        <v/>
      </c>
      <c r="S1044" s="3" t="inlineStr">
        <is>
          <t>오송2단지창조</t>
        </is>
      </c>
      <c r="T1044" s="4" t="n">
        <v>1</v>
      </c>
      <c r="U1044" s="5" t="n">
        <v>80.09999999999999</v>
      </c>
      <c r="V1044" s="4" t="n">
        <v>527.2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완경사</t>
        </is>
      </c>
      <c r="Z1044" s="3" t="inlineStr">
        <is>
          <t>세로장방</t>
        </is>
      </c>
      <c r="AA1044" s="3" t="inlineStr">
        <is>
          <t>세로한면(가)</t>
        </is>
      </c>
    </row>
    <row r="1045">
      <c r="A1045" s="3" t="inlineStr">
        <is>
          <t>오송읍 상정리 740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1</t>
        </is>
      </c>
      <c r="E1045" s="3" t="inlineStr">
        <is>
          <t>단독</t>
        </is>
      </c>
      <c r="F1045" s="3" t="inlineStr">
        <is>
          <t>매매</t>
        </is>
      </c>
      <c r="G1045" s="4" t="n">
        <v>70000</v>
      </c>
      <c r="H1045" s="4" t="n">
        <v>0</v>
      </c>
      <c r="I1045" s="4" t="n">
        <v>590</v>
      </c>
      <c r="J1045" s="4" t="n">
        <v>178</v>
      </c>
      <c r="K1045" s="5" t="n">
        <v>393.3</v>
      </c>
      <c r="L1045" s="4" t="n">
        <v>147</v>
      </c>
      <c r="M1045" s="4" t="n">
        <v>44</v>
      </c>
      <c r="N1045" s="5" t="n">
        <v>1590.9</v>
      </c>
      <c r="O1045" s="3" t="inlineStr">
        <is>
          <t>튼튼한 벽돌집, 주택단지, 깔끔하고 넓고 해 잘드는 집</t>
        </is>
      </c>
      <c r="P1045" s="6">
        <f>HYPERLINK("https://fin.land.naver.com/articles/2650528781", "매물Link")</f>
        <v/>
      </c>
      <c r="Q1045" s="6">
        <f>HYPERLINK("https://map.naver.com/p/search/오송읍 상정리 740", "지도Link")</f>
        <v/>
      </c>
      <c r="R1045" s="6">
        <f>HYPERLINK("http://www.eum.go.kr/web/ar/lu/luLandDet.jsp?pnu=4311325022107400000&amp;isNoScr=script&amp;mode=search", "토지이음")</f>
        <v/>
      </c>
      <c r="S1045" s="3" t="inlineStr">
        <is>
          <t>오송채움</t>
        </is>
      </c>
      <c r="T1045" s="4" t="n">
        <v>1</v>
      </c>
      <c r="U1045" s="5" t="n">
        <v>80.09999999999999</v>
      </c>
      <c r="V1045" s="4" t="n">
        <v>590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완경사</t>
        </is>
      </c>
      <c r="Z1045" s="3" t="inlineStr">
        <is>
          <t>가로장방</t>
        </is>
      </c>
      <c r="AA1045" s="3" t="inlineStr">
        <is>
          <t>세로한면(가)</t>
        </is>
      </c>
    </row>
    <row r="1046">
      <c r="A1046" s="3" t="inlineStr">
        <is>
          <t>오송읍 상정리 89-3</t>
        </is>
      </c>
      <c r="B1046" s="3" t="inlineStr">
        <is>
          <t>생산관리지역</t>
        </is>
      </c>
      <c r="C1046" s="3" t="inlineStr">
        <is>
          <t>대</t>
        </is>
      </c>
      <c r="D1046" s="3" t="inlineStr">
        <is>
          <t>1</t>
        </is>
      </c>
      <c r="E1046" s="3" t="inlineStr">
        <is>
          <t>단독</t>
        </is>
      </c>
      <c r="F1046" s="3" t="inlineStr">
        <is>
          <t>매매</t>
        </is>
      </c>
      <c r="G1046" s="4" t="n">
        <v>25000</v>
      </c>
      <c r="H1046" s="4" t="n">
        <v>0</v>
      </c>
      <c r="I1046" s="4" t="n">
        <v>494</v>
      </c>
      <c r="J1046" s="4" t="n">
        <v>149</v>
      </c>
      <c r="K1046" s="5" t="n">
        <v>167.8</v>
      </c>
      <c r="L1046" s="4" t="n">
        <v>84</v>
      </c>
      <c r="M1046" s="4" t="n">
        <v>25</v>
      </c>
      <c r="N1046" s="5" t="n">
        <v>1000</v>
      </c>
      <c r="O1046" s="3" t="inlineStr">
        <is>
          <t>마당이 있는 햇살담은 주택, 협의 입주 가능한 세대입니다</t>
        </is>
      </c>
      <c r="P1046" s="6">
        <f>HYPERLINK("https://fin.land.naver.com/articles/2652265350", "매물Link")</f>
        <v/>
      </c>
      <c r="Q1046" s="6">
        <f>HYPERLINK("https://map.naver.com/p/search/오송읍 상정리 89-3", "지도Link")</f>
        <v/>
      </c>
      <c r="R1046" s="6">
        <f>HYPERLINK("http://www.eum.go.kr/web/ar/lu/luLandDet.jsp?pnu=4311325022100890003&amp;isNoScr=script&amp;mode=search", "토지이음")</f>
        <v/>
      </c>
      <c r="S1046" s="3" t="inlineStr">
        <is>
          <t>오송2단지창조</t>
        </is>
      </c>
      <c r="T1046" s="4" t="n">
        <v>1</v>
      </c>
      <c r="U1046" s="5" t="n">
        <v>72.7</v>
      </c>
      <c r="V1046" s="4" t="n">
        <v>494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완경사</t>
        </is>
      </c>
      <c r="Z1046" s="3" t="inlineStr">
        <is>
          <t>부정형</t>
        </is>
      </c>
      <c r="AA1046" s="3" t="inlineStr">
        <is>
          <t>세로한면(가)</t>
        </is>
      </c>
    </row>
    <row r="1047">
      <c r="A1047" s="3" t="inlineStr">
        <is>
          <t>오송읍 서평리 373-11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1</t>
        </is>
      </c>
      <c r="E1047" s="3" t="inlineStr">
        <is>
          <t>단독</t>
        </is>
      </c>
      <c r="F1047" s="3" t="inlineStr">
        <is>
          <t>매매</t>
        </is>
      </c>
      <c r="G1047" s="4" t="n">
        <v>20000</v>
      </c>
      <c r="H1047" s="4" t="n">
        <v>0</v>
      </c>
      <c r="I1047" s="4" t="n">
        <v>314</v>
      </c>
      <c r="J1047" s="4" t="n">
        <v>95</v>
      </c>
      <c r="K1047" s="5" t="n">
        <v>210.5</v>
      </c>
      <c r="L1047" s="4" t="n">
        <v>134</v>
      </c>
      <c r="M1047" s="4" t="n">
        <v>41</v>
      </c>
      <c r="N1047" s="5" t="n">
        <v>487.8</v>
      </c>
      <c r="O1047" s="3" t="inlineStr">
        <is>
          <t>아담한 시골집, 수리해야 함.관리하기 적절한 사이즈.</t>
        </is>
      </c>
      <c r="P1047" s="6">
        <f>HYPERLINK("https://fin.land.naver.com/articles/2652711509", "매물Link")</f>
        <v/>
      </c>
      <c r="Q1047" s="6">
        <f>HYPERLINK("https://map.naver.com/p/search/오송읍 서평리 373-11", "지도Link")</f>
        <v/>
      </c>
      <c r="R1047" s="6">
        <f>HYPERLINK("http://www.eum.go.kr/web/ar/lu/luLandDet.jsp?pnu=4311325030103730011&amp;isNoScr=script&amp;mode=search", "토지이음")</f>
        <v/>
      </c>
      <c r="S1047" s="3" t="inlineStr">
        <is>
          <t>동남이지</t>
        </is>
      </c>
      <c r="T1047" s="4" t="n">
        <v>1</v>
      </c>
      <c r="U1047" s="5" t="n">
        <v>101.7</v>
      </c>
      <c r="V1047" s="4" t="n">
        <v>314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사다리형</t>
        </is>
      </c>
      <c r="AA1047" s="3" t="inlineStr">
        <is>
          <t>세로한면(가)</t>
        </is>
      </c>
    </row>
    <row r="1048">
      <c r="A1048" s="3" t="inlineStr">
        <is>
          <t>오송읍 서평리 594-1</t>
        </is>
      </c>
      <c r="B1048" s="3" t="inlineStr">
        <is>
          <t>농림지역</t>
        </is>
      </c>
      <c r="C1048" s="3" t="inlineStr">
        <is>
          <t>대</t>
        </is>
      </c>
      <c r="D1048" s="3" t="inlineStr">
        <is>
          <t>1</t>
        </is>
      </c>
      <c r="E1048" s="3" t="inlineStr">
        <is>
          <t>단독</t>
        </is>
      </c>
      <c r="F1048" s="3" t="inlineStr">
        <is>
          <t>매매</t>
        </is>
      </c>
      <c r="G1048" s="4" t="n">
        <v>13000</v>
      </c>
      <c r="H1048" s="4" t="n">
        <v>0</v>
      </c>
      <c r="I1048" s="4" t="n">
        <v>119</v>
      </c>
      <c r="J1048" s="4" t="n">
        <v>36</v>
      </c>
      <c r="K1048" s="5" t="n">
        <v>361.1</v>
      </c>
      <c r="L1048" s="4" t="n">
        <v>67</v>
      </c>
      <c r="M1048" s="4" t="n">
        <v>20</v>
      </c>
      <c r="N1048" s="5" t="n">
        <v>650</v>
      </c>
      <c r="O1048" s="3" t="inlineStr">
        <is>
          <t>오송자동차극장인근 단층주택 내부샷시포함 수리되어깨끗해요</t>
        </is>
      </c>
      <c r="P1048" s="6">
        <f>HYPERLINK("https://fin.land.naver.com/articles/2654755268", "매물Link")</f>
        <v/>
      </c>
      <c r="Q1048" s="6">
        <f>HYPERLINK("https://map.naver.com/p/search/오송읍 서평리 594-1", "지도Link")</f>
        <v/>
      </c>
      <c r="R1048" s="6">
        <f>HYPERLINK("http://www.eum.go.kr/web/ar/lu/luLandDet.jsp?pnu=4311325030105940001&amp;isNoScr=script&amp;mode=search", "토지이음")</f>
        <v/>
      </c>
      <c r="S1048" s="3" t="inlineStr">
        <is>
          <t>베스트</t>
        </is>
      </c>
      <c r="T1048" s="4" t="n">
        <v>1</v>
      </c>
      <c r="U1048" s="5" t="n">
        <v>65</v>
      </c>
      <c r="V1048" s="4" t="n">
        <v>119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부정형</t>
        </is>
      </c>
      <c r="AA1048" s="3" t="inlineStr">
        <is>
          <t>세로한면(불)</t>
        </is>
      </c>
    </row>
    <row r="1049">
      <c r="A1049" s="3" t="inlineStr">
        <is>
          <t>오송읍 쌍청리 108-22</t>
        </is>
      </c>
      <c r="B1049" s="3" t="inlineStr">
        <is>
          <t>계획관리지역</t>
        </is>
      </c>
      <c r="C1049" s="3" t="inlineStr">
        <is>
          <t>공장용지</t>
        </is>
      </c>
      <c r="D1049" s="3" t="inlineStr">
        <is>
          <t>3</t>
        </is>
      </c>
      <c r="E1049" s="3" t="inlineStr">
        <is>
          <t>빌라</t>
        </is>
      </c>
      <c r="F1049" s="3" t="inlineStr">
        <is>
          <t>매매</t>
        </is>
      </c>
      <c r="G1049" s="4" t="n">
        <v>15000</v>
      </c>
      <c r="H1049" s="4" t="n">
        <v>0</v>
      </c>
      <c r="I1049" s="4" t="n">
        <v>81</v>
      </c>
      <c r="J1049" s="4" t="n">
        <v>25</v>
      </c>
      <c r="K1049" s="5" t="n">
        <v>600</v>
      </c>
      <c r="L1049" s="4" t="n">
        <v>59</v>
      </c>
      <c r="M1049" s="4" t="n">
        <v>18</v>
      </c>
      <c r="N1049" s="5" t="n">
        <v>833.3</v>
      </c>
      <c r="O1049" s="3" t="inlineStr">
        <is>
          <t>오송역 7분 오송생명단지 옆 도심속 조용하고 깨끗한 전원주택형 빌라</t>
        </is>
      </c>
      <c r="P1049" s="6">
        <f>HYPERLINK("https://fin.land.naver.com/articles/2654416226", "매물Link")</f>
        <v/>
      </c>
      <c r="Q1049" s="6">
        <f>HYPERLINK("https://map.naver.com/p/search/오송읍 쌍청리 108-22", "지도Link")</f>
        <v/>
      </c>
      <c r="R1049" s="6">
        <f>HYPERLINK("http://www.eum.go.kr/web/ar/lu/luLandDet.jsp?pnu=4311325024101080022&amp;isNoScr=script&amp;mode=search", "토지이음")</f>
        <v/>
      </c>
      <c r="S1049" s="3" t="inlineStr">
        <is>
          <t>아임</t>
        </is>
      </c>
      <c r="T1049" s="4" t="n">
        <v>1</v>
      </c>
      <c r="U1049" s="5" t="n">
        <v>83.2</v>
      </c>
      <c r="V1049" s="4" t="n">
        <v>2075</v>
      </c>
      <c r="W1049" s="3" t="inlineStr">
        <is>
          <t>지정되지않음</t>
        </is>
      </c>
      <c r="X1049" s="3" t="inlineStr">
        <is>
          <t>연립</t>
        </is>
      </c>
      <c r="Y1049" s="3" t="inlineStr">
        <is>
          <t>완경사</t>
        </is>
      </c>
      <c r="Z1049" s="3" t="inlineStr">
        <is>
          <t>사다리형</t>
        </is>
      </c>
      <c r="AA1049" s="3" t="inlineStr">
        <is>
          <t>세로한면(가)</t>
        </is>
      </c>
    </row>
    <row r="1050">
      <c r="A1050" s="3" t="inlineStr">
        <is>
          <t>오송읍 쌍청리 108-43</t>
        </is>
      </c>
      <c r="B1050" s="3" t="inlineStr">
        <is>
          <t>계획관리지역</t>
        </is>
      </c>
      <c r="C1050" s="3" t="inlineStr">
        <is>
          <t>공장용지</t>
        </is>
      </c>
      <c r="D1050" s="3" t="inlineStr">
        <is>
          <t>3</t>
        </is>
      </c>
      <c r="E1050" s="3" t="inlineStr">
        <is>
          <t>빌라</t>
        </is>
      </c>
      <c r="F1050" s="3" t="inlineStr">
        <is>
          <t>매매</t>
        </is>
      </c>
      <c r="G1050" s="4" t="n">
        <v>15000</v>
      </c>
      <c r="H1050" s="4" t="n">
        <v>0</v>
      </c>
      <c r="I1050" s="4" t="n">
        <v>82</v>
      </c>
      <c r="J1050" s="4" t="n">
        <v>25</v>
      </c>
      <c r="K1050" s="5" t="n">
        <v>600</v>
      </c>
      <c r="L1050" s="4" t="n">
        <v>59</v>
      </c>
      <c r="M1050" s="4" t="n">
        <v>18</v>
      </c>
      <c r="N1050" s="5" t="n">
        <v>833.3</v>
      </c>
      <c r="O1050" s="3" t="inlineStr">
        <is>
          <t>예당마을 소형 빌라</t>
        </is>
      </c>
      <c r="P1050" s="6">
        <f>HYPERLINK("https://fin.land.naver.com/articles/2652189221", "매물Link")</f>
        <v/>
      </c>
      <c r="Q1050" s="6">
        <f>HYPERLINK("https://map.naver.com/p/search/오송읍 쌍청리 108-43", "지도Link")</f>
        <v/>
      </c>
      <c r="R1050" s="6">
        <f>HYPERLINK("http://www.eum.go.kr/web/ar/lu/luLandDet.jsp?pnu=4311325024101080043&amp;isNoScr=script&amp;mode=search", "토지이음")</f>
        <v/>
      </c>
      <c r="S1050" s="3" t="inlineStr">
        <is>
          <t>연주영</t>
        </is>
      </c>
      <c r="T1050" s="4" t="n">
        <v>1</v>
      </c>
      <c r="U1050" s="5" t="n">
        <v>83.2</v>
      </c>
      <c r="V1050" s="4" t="n">
        <v>2063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완경사</t>
        </is>
      </c>
      <c r="Z1050" s="3" t="inlineStr">
        <is>
          <t>사다리형</t>
        </is>
      </c>
      <c r="AA1050" s="3" t="inlineStr">
        <is>
          <t>세로한면(가)</t>
        </is>
      </c>
    </row>
    <row r="1051">
      <c r="A1051" s="3" t="inlineStr">
        <is>
          <t>오송읍 쌍청리 440-7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1</t>
        </is>
      </c>
      <c r="E1051" s="3" t="inlineStr">
        <is>
          <t>단독</t>
        </is>
      </c>
      <c r="F1051" s="3" t="inlineStr">
        <is>
          <t>매매</t>
        </is>
      </c>
      <c r="G1051" s="4" t="n">
        <v>84000</v>
      </c>
      <c r="H1051" s="4" t="n">
        <v>0</v>
      </c>
      <c r="I1051" s="4" t="n">
        <v>722</v>
      </c>
      <c r="J1051" s="4" t="n">
        <v>218</v>
      </c>
      <c r="K1051" s="5" t="n">
        <v>385.3</v>
      </c>
      <c r="L1051" s="4" t="n">
        <v>169</v>
      </c>
      <c r="M1051" s="4" t="n">
        <v>51</v>
      </c>
      <c r="N1051" s="5" t="n">
        <v>1647.1</v>
      </c>
      <c r="O1051" s="3" t="inlineStr">
        <is>
          <t>총2필지매매 구옥이지만 집관리잘됨.</t>
        </is>
      </c>
      <c r="P1051" s="6">
        <f>HYPERLINK("https://fin.land.naver.com/articles/2654014410", "매물Link")</f>
        <v/>
      </c>
      <c r="Q1051" s="6">
        <f>HYPERLINK("https://map.naver.com/p/search/오송읍 쌍청리 440-7", "지도Link")</f>
        <v/>
      </c>
      <c r="R1051" s="6">
        <f>HYPERLINK("http://www.eum.go.kr/web/ar/lu/luLandDet.jsp?pnu=4311325024104400007&amp;isNoScr=script&amp;mode=search",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86.90000000000001</v>
      </c>
      <c r="V1051" s="4" t="n">
        <v>382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사다리형</t>
        </is>
      </c>
      <c r="AA1051" s="3" t="inlineStr">
        <is>
          <t>세로한면(가)</t>
        </is>
      </c>
    </row>
    <row r="1052">
      <c r="A1052" s="3" t="inlineStr">
        <is>
          <t>오송읍 쌍청리 440-7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1</t>
        </is>
      </c>
      <c r="E1052" s="3" t="inlineStr">
        <is>
          <t>단독</t>
        </is>
      </c>
      <c r="F1052" s="3" t="inlineStr">
        <is>
          <t>매매</t>
        </is>
      </c>
      <c r="G1052" s="4" t="n">
        <v>84000</v>
      </c>
      <c r="H1052" s="4" t="n">
        <v>0</v>
      </c>
      <c r="I1052" s="4" t="n">
        <v>382</v>
      </c>
      <c r="J1052" s="4" t="n">
        <v>116</v>
      </c>
      <c r="K1052" s="5" t="n">
        <v>724.1</v>
      </c>
      <c r="L1052" s="4" t="n">
        <v>109</v>
      </c>
      <c r="M1052" s="4" t="n">
        <v>33</v>
      </c>
      <c r="N1052" s="5" t="n">
        <v>2545.5</v>
      </c>
      <c r="O1052" s="3" t="inlineStr">
        <is>
          <t>마당에 예쁜 꽃들이 만발하는 단독주택 여러 가족이 함께 별도공간 거주가능</t>
        </is>
      </c>
      <c r="P1052" s="6">
        <f>HYPERLINK("https://fin.land.naver.com/articles/2654595676", "매물Link")</f>
        <v/>
      </c>
      <c r="Q1052" s="6">
        <f>HYPERLINK("https://map.naver.com/p/search/오송읍 쌍청리 440-7", "지도Link")</f>
        <v/>
      </c>
      <c r="R1052" s="6">
        <f>HYPERLINK("http://www.eum.go.kr/web/ar/lu/luLandDet.jsp?pnu=4311325024104400007&amp;isNoScr=script&amp;mode=search",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86.90000000000001</v>
      </c>
      <c r="V1052" s="4" t="n">
        <v>382</v>
      </c>
      <c r="W1052" s="3" t="inlineStr">
        <is>
          <t>지정되지않음</t>
        </is>
      </c>
      <c r="X1052" s="3" t="inlineStr">
        <is>
          <t>단독</t>
        </is>
      </c>
      <c r="Y1052" s="3" t="inlineStr">
        <is>
          <t>평지</t>
        </is>
      </c>
      <c r="Z1052" s="3" t="inlineStr">
        <is>
          <t>사다리형</t>
        </is>
      </c>
      <c r="AA1052" s="3" t="inlineStr">
        <is>
          <t>세로한면(가)</t>
        </is>
      </c>
    </row>
    <row r="1053">
      <c r="A1053" s="3" t="inlineStr">
        <is>
          <t>오송읍 연제리 405-7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1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400</v>
      </c>
      <c r="H1053" s="4" t="n">
        <v>31</v>
      </c>
      <c r="I1053" s="4" t="n">
        <v>0</v>
      </c>
      <c r="J1053" s="4" t="n">
        <v>0</v>
      </c>
      <c r="K1053" s="5" t="n">
        <v>0</v>
      </c>
      <c r="L1053" s="4" t="n">
        <v>33</v>
      </c>
      <c r="M1053" s="4" t="n">
        <v>10</v>
      </c>
      <c r="N1053" s="5" t="n">
        <v>3.1</v>
      </c>
      <c r="O1053" s="3" t="inlineStr">
        <is>
          <t>저렴한 가격으로 전원생활 , 반려동물가능</t>
        </is>
      </c>
      <c r="P1053" s="6">
        <f>HYPERLINK("https://fin.land.naver.com/articles/2653248236", "매물Link")</f>
        <v/>
      </c>
      <c r="Q1053" s="6">
        <f>HYPERLINK("https://map.naver.com/p/search/오송읍 연제리 405-7", "지도Link")</f>
        <v/>
      </c>
      <c r="R1053" s="6">
        <f>HYPERLINK("http://www.eum.go.kr/web/ar/lu/luLandDet.jsp?pnu=4311325026104050007&amp;isNoScr=script&amp;mode=search",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124.4</v>
      </c>
      <c r="V1053" s="4" t="n">
        <v>359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사다리형</t>
        </is>
      </c>
      <c r="AA1053" s="3" t="inlineStr">
        <is>
          <t>세로한면(가)</t>
        </is>
      </c>
    </row>
    <row r="1054">
      <c r="A1054" s="3" t="inlineStr">
        <is>
          <t>오송읍 연제리 405-7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1</t>
        </is>
      </c>
      <c r="E1054" s="3" t="inlineStr">
        <is>
          <t>단독</t>
        </is>
      </c>
      <c r="F1054" s="3" t="inlineStr">
        <is>
          <t>월세</t>
        </is>
      </c>
      <c r="G1054" s="4" t="n">
        <v>500</v>
      </c>
      <c r="H1054" s="4" t="n">
        <v>35</v>
      </c>
      <c r="I1054" s="4" t="n">
        <v>45</v>
      </c>
      <c r="J1054" s="4" t="n">
        <v>14</v>
      </c>
      <c r="K1054" s="5" t="n">
        <v>2.5</v>
      </c>
      <c r="L1054" s="4" t="n">
        <v>35</v>
      </c>
      <c r="M1054" s="4" t="n">
        <v>11</v>
      </c>
      <c r="N1054" s="5" t="n">
        <v>3.2</v>
      </c>
      <c r="O1054" s="3" t="inlineStr">
        <is>
          <t>단독이라 전원느낌 물씬,저렴이 매물인 투베이</t>
        </is>
      </c>
      <c r="P1054" s="6">
        <f>HYPERLINK("https://fin.land.naver.com/articles/2653032755", "매물Link")</f>
        <v/>
      </c>
      <c r="Q1054" s="6">
        <f>HYPERLINK("https://map.naver.com/p/search/오송읍 연제리 405-7", "지도Link")</f>
        <v/>
      </c>
      <c r="R1054" s="6">
        <f>HYPERLINK("http://www.eum.go.kr/web/ar/lu/luLandDet.jsp?pnu=4311325026104050007&amp;isNoScr=script&amp;mode=search", "토지이음")</f>
        <v/>
      </c>
      <c r="S1054" s="3" t="inlineStr">
        <is>
          <t>오송유나</t>
        </is>
      </c>
      <c r="T1054" s="4" t="n">
        <v>1</v>
      </c>
      <c r="U1054" s="5" t="n">
        <v>124.4</v>
      </c>
      <c r="V1054" s="4" t="n">
        <v>359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사다리형</t>
        </is>
      </c>
      <c r="AA1054" s="3" t="inlineStr">
        <is>
          <t>세로한면(가)</t>
        </is>
      </c>
    </row>
    <row r="1055">
      <c r="A1055" s="3" t="inlineStr">
        <is>
          <t>오송읍 연제리 405-7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1</t>
        </is>
      </c>
      <c r="E1055" s="3" t="inlineStr">
        <is>
          <t>단독</t>
        </is>
      </c>
      <c r="F1055" s="3" t="inlineStr">
        <is>
          <t>월세</t>
        </is>
      </c>
      <c r="G1055" s="4" t="n">
        <v>500</v>
      </c>
      <c r="H1055" s="4" t="n">
        <v>30</v>
      </c>
      <c r="I1055" s="4" t="n">
        <v>44</v>
      </c>
      <c r="J1055" s="4" t="n">
        <v>13</v>
      </c>
      <c r="K1055" s="5" t="n">
        <v>2.3</v>
      </c>
      <c r="L1055" s="4" t="n">
        <v>44</v>
      </c>
      <c r="M1055" s="4" t="n">
        <v>13</v>
      </c>
      <c r="N1055" s="5" t="n">
        <v>2.3</v>
      </c>
      <c r="O1055" s="3" t="inlineStr">
        <is>
          <t>nan</t>
        </is>
      </c>
      <c r="P1055" s="6">
        <f>HYPERLINK("https://fin.land.naver.com/articles/2653471936", "매물Link")</f>
        <v/>
      </c>
      <c r="Q1055" s="6">
        <f>HYPERLINK("https://map.naver.com/p/search/오송읍 연제리 405-7", "지도Link")</f>
        <v/>
      </c>
      <c r="R1055" s="6">
        <f>HYPERLINK("http://www.eum.go.kr/web/ar/lu/luLandDet.jsp?pnu=4311325026104050007&amp;isNoScr=script&amp;mode=search", "토지이음")</f>
        <v/>
      </c>
      <c r="S1055" s="3" t="inlineStr">
        <is>
          <t>하림</t>
        </is>
      </c>
      <c r="T1055" s="4" t="n">
        <v>1</v>
      </c>
      <c r="U1055" s="5" t="n">
        <v>124.4</v>
      </c>
      <c r="V1055" s="4" t="n">
        <v>359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사다리형</t>
        </is>
      </c>
      <c r="AA1055" s="3" t="inlineStr">
        <is>
          <t>세로한면(가)</t>
        </is>
      </c>
    </row>
    <row r="1056">
      <c r="A1056" s="3" t="inlineStr">
        <is>
          <t>오송읍 연제리 410-17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1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45</v>
      </c>
      <c r="I1056" s="4" t="n">
        <v>33</v>
      </c>
      <c r="J1056" s="4" t="n">
        <v>10</v>
      </c>
      <c r="K1056" s="5" t="n">
        <v>4.5</v>
      </c>
      <c r="L1056" s="4" t="n">
        <v>33</v>
      </c>
      <c r="M1056" s="4" t="n">
        <v>10</v>
      </c>
      <c r="N1056" s="5" t="n">
        <v>4.5</v>
      </c>
      <c r="O1056" s="3" t="inlineStr">
        <is>
          <t>nan</t>
        </is>
      </c>
      <c r="P1056" s="6">
        <f>HYPERLINK("https://fin.land.naver.com/articles/2655605524", "매물Link")</f>
        <v/>
      </c>
      <c r="Q1056" s="6">
        <f>HYPERLINK("https://map.naver.com/p/search/오송읍 연제리 410-17", "지도Link")</f>
        <v/>
      </c>
      <c r="R1056" s="6">
        <f>HYPERLINK("http://www.eum.go.kr/web/ar/lu/luLandDet.jsp?pnu=4311325026104100017&amp;isNoScr=script&amp;mode=search", "토지이음")</f>
        <v/>
      </c>
      <c r="S1056" s="3" t="inlineStr">
        <is>
          <t>뉴오송현대</t>
        </is>
      </c>
      <c r="T1056" s="4" t="n">
        <v>1</v>
      </c>
      <c r="U1056" s="5" t="n">
        <v>140.6</v>
      </c>
      <c r="V1056" s="4" t="n">
        <v>146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오송읍 연제리 444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2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21</v>
      </c>
      <c r="I1057" s="4" t="n">
        <v>0</v>
      </c>
      <c r="J1057" s="4" t="n">
        <v>0</v>
      </c>
      <c r="K1057" s="5" t="n">
        <v>0</v>
      </c>
      <c r="L1057" s="4" t="n">
        <v>21</v>
      </c>
      <c r="M1057" s="4" t="n">
        <v>6</v>
      </c>
      <c r="N1057" s="5" t="n">
        <v>3.5</v>
      </c>
      <c r="O1057" s="3" t="inlineStr">
        <is>
          <t>가성비 원룸, 10월초 입주가능</t>
        </is>
      </c>
      <c r="P1057" s="6">
        <f>HYPERLINK("https://fin.land.naver.com/articles/2653379976", "매물Link")</f>
        <v/>
      </c>
      <c r="Q1057" s="6">
        <f>HYPERLINK("https://map.naver.com/p/search/오송읍 연제리 444", "지도Link")</f>
        <v/>
      </c>
      <c r="R1057" s="6">
        <f>HYPERLINK("http://www.eum.go.kr/web/ar/lu/luLandDet.jsp?pnu=4311325026104440000&amp;isNoScr=script&amp;mode=search", "토지이음")</f>
        <v/>
      </c>
      <c r="S1057" s="3" t="inlineStr">
        <is>
          <t>프로</t>
        </is>
      </c>
      <c r="T1057" s="4" t="n">
        <v>1</v>
      </c>
      <c r="U1057" s="5" t="n">
        <v>169.4</v>
      </c>
      <c r="V1057" s="4" t="n">
        <v>831</v>
      </c>
      <c r="W1057" s="3" t="inlineStr">
        <is>
          <t>지정되지않음</t>
        </is>
      </c>
      <c r="X1057" s="3" t="inlineStr">
        <is>
          <t>주상용</t>
        </is>
      </c>
      <c r="Y1057" s="3" t="inlineStr">
        <is>
          <t>완경사</t>
        </is>
      </c>
      <c r="Z1057" s="3" t="inlineStr">
        <is>
          <t>사다리형</t>
        </is>
      </c>
      <c r="AA1057" s="3" t="inlineStr">
        <is>
          <t>세로한면(가)</t>
        </is>
      </c>
    </row>
    <row r="1058">
      <c r="A1058" s="3" t="inlineStr">
        <is>
          <t>오송읍 연제리 503-10</t>
        </is>
      </c>
      <c r="B1058" s="3" t="inlineStr">
        <is>
          <t>농림지역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전원주택</t>
        </is>
      </c>
      <c r="F1058" s="3" t="inlineStr">
        <is>
          <t>매매</t>
        </is>
      </c>
      <c r="G1058" s="4" t="n">
        <v>24000</v>
      </c>
      <c r="H1058" s="4" t="n">
        <v>0</v>
      </c>
      <c r="I1058" s="4" t="n">
        <v>158</v>
      </c>
      <c r="J1058" s="4" t="n">
        <v>48</v>
      </c>
      <c r="K1058" s="5" t="n">
        <v>500</v>
      </c>
      <c r="L1058" s="4" t="n">
        <v>31</v>
      </c>
      <c r="M1058" s="4" t="n">
        <v>9</v>
      </c>
      <c r="N1058" s="5" t="n">
        <v>2666.7</v>
      </c>
      <c r="O1058" s="3" t="inlineStr">
        <is>
          <t>오송역10분,1,2산단차량10분,호수공원5분, 철도클러스트부지,투자최적</t>
        </is>
      </c>
      <c r="P1058" s="6">
        <f>HYPERLINK("https://fin.land.naver.com/articles/2655194734", "매물Link")</f>
        <v/>
      </c>
      <c r="Q1058" s="6">
        <f>HYPERLINK("https://map.naver.com/p/search/오송읍 연제리 503-10", "지도Link")</f>
        <v/>
      </c>
      <c r="R1058" s="6">
        <f>HYPERLINK("http://www.eum.go.kr/web/ar/lu/luLandDet.jsp?pnu=4311325026105030010&amp;isNoScr=script&amp;mode=search", "토지이음")</f>
        <v/>
      </c>
      <c r="S1058" s="3" t="inlineStr">
        <is>
          <t>오송메카</t>
        </is>
      </c>
      <c r="T1058" s="4" t="n">
        <v>1</v>
      </c>
      <c r="U1058" s="5" t="n">
        <v>70.5</v>
      </c>
      <c r="V1058" s="4" t="n">
        <v>158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평지</t>
        </is>
      </c>
      <c r="Z1058" s="3" t="inlineStr">
        <is>
          <t>자루형</t>
        </is>
      </c>
      <c r="AA1058" s="3" t="inlineStr">
        <is>
          <t>세로한면(불)</t>
        </is>
      </c>
    </row>
    <row r="1059">
      <c r="A1059" s="3" t="inlineStr">
        <is>
          <t>오송읍 연제리 503-10</t>
        </is>
      </c>
      <c r="B1059" s="3" t="inlineStr">
        <is>
          <t>농림지역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전원주택</t>
        </is>
      </c>
      <c r="F1059" s="3" t="inlineStr">
        <is>
          <t>월세</t>
        </is>
      </c>
      <c r="G1059" s="4" t="n">
        <v>200</v>
      </c>
      <c r="H1059" s="4" t="n">
        <v>45</v>
      </c>
      <c r="I1059" s="4" t="n">
        <v>158</v>
      </c>
      <c r="J1059" s="4" t="n">
        <v>48</v>
      </c>
      <c r="K1059" s="5" t="n">
        <v>0.9</v>
      </c>
      <c r="L1059" s="4" t="n">
        <v>31</v>
      </c>
      <c r="M1059" s="4" t="n">
        <v>9</v>
      </c>
      <c r="N1059" s="5" t="n">
        <v>5</v>
      </c>
      <c r="O1059" s="3" t="inlineStr">
        <is>
          <t>오송역10분,1,2산단차량10분,호수공원5분, 철도클러스트부지,투자최적</t>
        </is>
      </c>
      <c r="P1059" s="6">
        <f>HYPERLINK("https://fin.land.naver.com/articles/2655195208", "매물Link")</f>
        <v/>
      </c>
      <c r="Q1059" s="6">
        <f>HYPERLINK("https://map.naver.com/p/search/오송읍 연제리 503-10", "지도Link")</f>
        <v/>
      </c>
      <c r="R1059" s="6">
        <f>HYPERLINK("http://www.eum.go.kr/web/ar/lu/luLandDet.jsp?pnu=4311325026105030010&amp;isNoScr=script&amp;mode=search", "토지이음")</f>
        <v/>
      </c>
      <c r="S1059" s="3" t="inlineStr">
        <is>
          <t>오송메카</t>
        </is>
      </c>
      <c r="T1059" s="4" t="n">
        <v>1</v>
      </c>
      <c r="U1059" s="5" t="n">
        <v>70.5</v>
      </c>
      <c r="V1059" s="4" t="n">
        <v>158</v>
      </c>
      <c r="W1059" s="3" t="inlineStr">
        <is>
          <t>지정되지않음</t>
        </is>
      </c>
      <c r="X1059" s="3" t="inlineStr">
        <is>
          <t>단독</t>
        </is>
      </c>
      <c r="Y1059" s="3" t="inlineStr">
        <is>
          <t>평지</t>
        </is>
      </c>
      <c r="Z1059" s="3" t="inlineStr">
        <is>
          <t>자루형</t>
        </is>
      </c>
      <c r="AA1059" s="3" t="inlineStr">
        <is>
          <t>세로한면(불)</t>
        </is>
      </c>
    </row>
    <row r="1060">
      <c r="A1060" s="3" t="inlineStr">
        <is>
          <t>오송읍 연제리 529-1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상가주택</t>
        </is>
      </c>
      <c r="F1060" s="3" t="inlineStr">
        <is>
          <t>매매</t>
        </is>
      </c>
      <c r="G1060" s="4" t="n">
        <v>45000</v>
      </c>
      <c r="H1060" s="4" t="n">
        <v>0</v>
      </c>
      <c r="I1060" s="4" t="n">
        <v>435</v>
      </c>
      <c r="J1060" s="4" t="n">
        <v>132</v>
      </c>
      <c r="K1060" s="5" t="n">
        <v>340.9</v>
      </c>
      <c r="L1060" s="4" t="n">
        <v>82</v>
      </c>
      <c r="M1060" s="4" t="n">
        <v>25</v>
      </c>
      <c r="N1060" s="5" t="n">
        <v>1800</v>
      </c>
      <c r="O1060" s="3" t="inlineStr">
        <is>
          <t>nan</t>
        </is>
      </c>
      <c r="P1060" s="6">
        <f>HYPERLINK("https://fin.land.naver.com/articles/2650528979", "매물Link")</f>
        <v/>
      </c>
      <c r="Q1060" s="6">
        <f>HYPERLINK("https://map.naver.com/p/search/오송읍 연제리 529-1", "지도Link")</f>
        <v/>
      </c>
      <c r="R1060" s="6">
        <f>HYPERLINK("http://www.eum.go.kr/web/ar/lu/luLandDet.jsp?pnu=4311325026105290001&amp;isNoScr=script&amp;mode=search", "토지이음")</f>
        <v/>
      </c>
      <c r="S1060" s="3" t="inlineStr">
        <is>
          <t>오송채움</t>
        </is>
      </c>
      <c r="T1060" s="4" t="n">
        <v>1</v>
      </c>
      <c r="U1060" s="5" t="n">
        <v>124.3</v>
      </c>
      <c r="V1060" s="4" t="n">
        <v>435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사다리형</t>
        </is>
      </c>
      <c r="AA1060" s="3" t="inlineStr">
        <is>
          <t>세로각지(가)</t>
        </is>
      </c>
    </row>
    <row r="1061">
      <c r="A1061" s="3" t="inlineStr">
        <is>
          <t>오송읍 연제리 539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1</t>
        </is>
      </c>
      <c r="E1061" s="3" t="inlineStr">
        <is>
          <t>단독</t>
        </is>
      </c>
      <c r="F1061" s="3" t="inlineStr">
        <is>
          <t>매매</t>
        </is>
      </c>
      <c r="G1061" s="4" t="n">
        <v>55000</v>
      </c>
      <c r="H1061" s="4" t="n">
        <v>0</v>
      </c>
      <c r="I1061" s="4" t="n">
        <v>468</v>
      </c>
      <c r="J1061" s="4" t="n">
        <v>142</v>
      </c>
      <c r="K1061" s="5" t="n">
        <v>387.3</v>
      </c>
      <c r="L1061" s="4" t="n">
        <v>56</v>
      </c>
      <c r="M1061" s="4" t="n">
        <v>17</v>
      </c>
      <c r="N1061" s="5" t="n">
        <v>3235.3</v>
      </c>
      <c r="O1061" s="3" t="inlineStr">
        <is>
          <t>호수공원 인접 소형 단독주택</t>
        </is>
      </c>
      <c r="P1061" s="6">
        <f>HYPERLINK("https://fin.land.naver.com/articles/2654970193", "매물Link")</f>
        <v/>
      </c>
      <c r="Q1061" s="6">
        <f>HYPERLINK("https://map.naver.com/p/search/오송읍 연제리 539", "지도Link")</f>
        <v/>
      </c>
      <c r="R1061" s="6">
        <f>HYPERLINK("http://www.eum.go.kr/web/ar/lu/luLandDet.jsp?pnu=4311325026105390000&amp;isNoScr=script&amp;mode=search", "토지이음")</f>
        <v/>
      </c>
      <c r="S1061" s="3" t="inlineStr">
        <is>
          <t>광장</t>
        </is>
      </c>
      <c r="T1061" s="4" t="n">
        <v>1</v>
      </c>
      <c r="U1061" s="5" t="n">
        <v>115.7</v>
      </c>
      <c r="V1061" s="4" t="n">
        <v>493</v>
      </c>
      <c r="W1061" s="3" t="inlineStr">
        <is>
          <t>지정되지않음</t>
        </is>
      </c>
      <c r="X1061" s="3" t="inlineStr">
        <is>
          <t>단독</t>
        </is>
      </c>
      <c r="Y1061" s="3" t="inlineStr">
        <is>
          <t>평지</t>
        </is>
      </c>
      <c r="Z1061" s="3" t="inlineStr">
        <is>
          <t>부정형</t>
        </is>
      </c>
      <c r="AA1061" s="3" t="inlineStr">
        <is>
          <t>세로각지(가)</t>
        </is>
      </c>
    </row>
    <row r="1062">
      <c r="A1062" s="3" t="inlineStr">
        <is>
          <t>오송읍 연제리 745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다가구</t>
        </is>
      </c>
      <c r="F1062" s="3" t="inlineStr">
        <is>
          <t>매매</t>
        </is>
      </c>
      <c r="G1062" s="4" t="n">
        <v>85000</v>
      </c>
      <c r="H1062" s="4" t="n">
        <v>0</v>
      </c>
      <c r="I1062" s="4" t="n">
        <v>239</v>
      </c>
      <c r="J1062" s="4" t="n">
        <v>72</v>
      </c>
      <c r="K1062" s="5" t="n">
        <v>1180.6</v>
      </c>
      <c r="L1062" s="4" t="n">
        <v>344</v>
      </c>
      <c r="M1062" s="4" t="n">
        <v>104</v>
      </c>
      <c r="N1062" s="5" t="n">
        <v>817.3</v>
      </c>
      <c r="O1062" s="3" t="inlineStr">
        <is>
          <t>오송1산단 수익률 높은 준신축 다가구</t>
        </is>
      </c>
      <c r="P1062" s="6">
        <f>HYPERLINK("https://fin.land.naver.com/articles/2650273211", "매물Link")</f>
        <v/>
      </c>
      <c r="Q1062" s="6">
        <f>HYPERLINK("https://map.naver.com/p/search/오송읍 연제리 745", "지도Link")</f>
        <v/>
      </c>
      <c r="R1062" s="6">
        <f>HYPERLINK("http://www.eum.go.kr/web/ar/lu/luLandDet.jsp?pnu=4311325026107450000&amp;isNoScr=script&amp;mode=search", "토지이음")</f>
        <v/>
      </c>
      <c r="S1062" s="3" t="inlineStr">
        <is>
          <t>오송1단지창조</t>
        </is>
      </c>
      <c r="T1062" s="4" t="n">
        <v>1</v>
      </c>
      <c r="U1062" s="5" t="n">
        <v>227</v>
      </c>
      <c r="V1062" s="4" t="n">
        <v>239.2</v>
      </c>
      <c r="W1062" s="3" t="inlineStr">
        <is>
          <t>지정되지않음</t>
        </is>
      </c>
      <c r="X1062" s="3" t="inlineStr">
        <is>
          <t>단독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연제리 758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75000</v>
      </c>
      <c r="H1063" s="4" t="n">
        <v>0</v>
      </c>
      <c r="I1063" s="4" t="n">
        <v>274</v>
      </c>
      <c r="J1063" s="4" t="n">
        <v>83</v>
      </c>
      <c r="K1063" s="5" t="n">
        <v>903.6</v>
      </c>
      <c r="L1063" s="4" t="n">
        <v>401</v>
      </c>
      <c r="M1063" s="4" t="n">
        <v>121</v>
      </c>
      <c r="N1063" s="5" t="n">
        <v>619.8</v>
      </c>
      <c r="O1063" s="3" t="inlineStr">
        <is>
          <t>호수공원초근접 코너변위치.카이스트등 호재.주인세대 없는매물.</t>
        </is>
      </c>
      <c r="P1063" s="6">
        <f>HYPERLINK("https://fin.land.naver.com/articles/2655194010", "매물Link")</f>
        <v/>
      </c>
      <c r="Q1063" s="6">
        <f>HYPERLINK("https://map.naver.com/p/search/오송읍 연제리 758", "지도Link")</f>
        <v/>
      </c>
      <c r="R1063" s="6">
        <f>HYPERLINK("http://www.eum.go.kr/web/ar/lu/luLandDet.jsp?pnu=4311325026107580000&amp;isNoScr=script&amp;mode=search", "토지이음")</f>
        <v/>
      </c>
      <c r="S1063" s="3" t="inlineStr">
        <is>
          <t>이룸</t>
        </is>
      </c>
      <c r="T1063" s="4" t="n">
        <v>2</v>
      </c>
      <c r="U1063" s="5" t="n">
        <v>239</v>
      </c>
      <c r="V1063" s="4" t="n">
        <v>274.9</v>
      </c>
      <c r="W1063" s="3" t="inlineStr">
        <is>
          <t>지정되지않음</t>
        </is>
      </c>
      <c r="X1063" s="3" t="inlineStr">
        <is>
          <t>다세대</t>
        </is>
      </c>
      <c r="Y1063" s="3" t="inlineStr">
        <is>
          <t>평지</t>
        </is>
      </c>
      <c r="Z1063" s="3" t="inlineStr">
        <is>
          <t>가로장방</t>
        </is>
      </c>
      <c r="AA1063" s="3" t="inlineStr">
        <is>
          <t>소로각지</t>
        </is>
      </c>
    </row>
    <row r="1064">
      <c r="A1064" s="3" t="inlineStr">
        <is>
          <t>오송읍 연제리 758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다가구</t>
        </is>
      </c>
      <c r="F1064" s="3" t="inlineStr">
        <is>
          <t>매매</t>
        </is>
      </c>
      <c r="G1064" s="4" t="n">
        <v>75000</v>
      </c>
      <c r="H1064" s="4" t="n">
        <v>0</v>
      </c>
      <c r="I1064" s="4" t="n">
        <v>274</v>
      </c>
      <c r="J1064" s="4" t="n">
        <v>83</v>
      </c>
      <c r="K1064" s="5" t="n">
        <v>903.6</v>
      </c>
      <c r="L1064" s="4" t="n">
        <v>401</v>
      </c>
      <c r="M1064" s="4" t="n">
        <v>121</v>
      </c>
      <c r="N1064" s="5" t="n">
        <v>619.8</v>
      </c>
      <c r="O1064" s="3" t="inlineStr">
        <is>
          <t>투자수익율이 아주 높은 매물입니다</t>
        </is>
      </c>
      <c r="P1064" s="6">
        <f>HYPERLINK("https://fin.land.naver.com/articles/2654012339", "매물Link")</f>
        <v/>
      </c>
      <c r="Q1064" s="6">
        <f>HYPERLINK("https://map.naver.com/p/search/오송읍 연제리 758", "지도Link")</f>
        <v/>
      </c>
      <c r="R1064" s="6">
        <f>HYPERLINK("http://www.eum.go.kr/web/ar/lu/luLandDet.jsp?pnu=4311325026107580000&amp;isNoScr=script&amp;mode=search",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239</v>
      </c>
      <c r="V1064" s="4" t="n">
        <v>274.9</v>
      </c>
      <c r="W1064" s="3" t="inlineStr">
        <is>
          <t>지정되지않음</t>
        </is>
      </c>
      <c r="X1064" s="3" t="inlineStr">
        <is>
          <t>다세대</t>
        </is>
      </c>
      <c r="Y1064" s="3" t="inlineStr">
        <is>
          <t>평지</t>
        </is>
      </c>
      <c r="Z1064" s="3" t="inlineStr">
        <is>
          <t>가로장방</t>
        </is>
      </c>
      <c r="AA1064" s="3" t="inlineStr">
        <is>
          <t>소로각지</t>
        </is>
      </c>
    </row>
    <row r="1065">
      <c r="A1065" s="3" t="inlineStr">
        <is>
          <t>오송읍 연제리 764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상가주택</t>
        </is>
      </c>
      <c r="F1065" s="3" t="inlineStr">
        <is>
          <t>매매</t>
        </is>
      </c>
      <c r="G1065" s="4" t="n">
        <v>73000</v>
      </c>
      <c r="H1065" s="4" t="n">
        <v>0</v>
      </c>
      <c r="I1065" s="4" t="n">
        <v>242</v>
      </c>
      <c r="J1065" s="4" t="n">
        <v>73</v>
      </c>
      <c r="K1065" s="5" t="n">
        <v>1000</v>
      </c>
      <c r="L1065" s="4" t="n">
        <v>348</v>
      </c>
      <c r="M1065" s="4" t="n">
        <v>105</v>
      </c>
      <c r="N1065" s="5" t="n">
        <v>695.2</v>
      </c>
      <c r="O1065" s="3" t="inlineStr">
        <is>
          <t>먹자 골목에 위치한 아파트 앞에 상가주택</t>
        </is>
      </c>
      <c r="P1065" s="6">
        <f>HYPERLINK("https://fin.land.naver.com/articles/2651950527", "매물Link")</f>
        <v/>
      </c>
      <c r="Q1065" s="6">
        <f>HYPERLINK("https://map.naver.com/p/search/오송읍 연제리 764", "지도Link")</f>
        <v/>
      </c>
      <c r="R1065" s="6">
        <f>HYPERLINK("http://www.eum.go.kr/web/ar/lu/luLandDet.jsp?pnu=4311325026107640000&amp;isNoScr=script&amp;mode=search", "토지이음")</f>
        <v/>
      </c>
      <c r="S1065" s="3" t="inlineStr">
        <is>
          <t>아시아</t>
        </is>
      </c>
      <c r="T1065" s="4" t="n">
        <v>1</v>
      </c>
      <c r="U1065" s="5" t="n">
        <v>277.4</v>
      </c>
      <c r="V1065" s="4" t="n">
        <v>242.8</v>
      </c>
      <c r="W1065" s="3" t="inlineStr">
        <is>
          <t>지정되지않음</t>
        </is>
      </c>
      <c r="X1065" s="3" t="inlineStr">
        <is>
          <t>주상용</t>
        </is>
      </c>
      <c r="Y1065" s="3" t="inlineStr">
        <is>
          <t>평지</t>
        </is>
      </c>
      <c r="Z1065" s="3" t="inlineStr">
        <is>
          <t>가로장방</t>
        </is>
      </c>
      <c r="AA1065" s="3" t="inlineStr">
        <is>
          <t>중로한면</t>
        </is>
      </c>
    </row>
    <row r="1066">
      <c r="A1066" s="3" t="inlineStr">
        <is>
          <t>오송읍 연제리 768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31</v>
      </c>
      <c r="I1066" s="4" t="n">
        <v>24</v>
      </c>
      <c r="J1066" s="4" t="n">
        <v>7</v>
      </c>
      <c r="K1066" s="5" t="n">
        <v>4.4</v>
      </c>
      <c r="L1066" s="4" t="n">
        <v>24</v>
      </c>
      <c r="M1066" s="4" t="n">
        <v>7</v>
      </c>
      <c r="N1066" s="5" t="n">
        <v>4.4</v>
      </c>
      <c r="O1066" s="3" t="inlineStr">
        <is>
          <t>깔끔하고 조용한 원룸,단기가능요</t>
        </is>
      </c>
      <c r="P1066" s="6">
        <f>HYPERLINK("https://fin.land.naver.com/articles/2654207637", "매물Link")</f>
        <v/>
      </c>
      <c r="Q1066" s="6">
        <f>HYPERLINK("https://map.naver.com/p/search/오송읍 연제리 768", "지도Link")</f>
        <v/>
      </c>
      <c r="R1066" s="6">
        <f>HYPERLINK("http://www.eum.go.kr/web/ar/lu/luLandDet.jsp?pnu=4311325026107680000&amp;isNoScr=script&amp;mode=search", "토지이음")</f>
        <v/>
      </c>
      <c r="S1066" s="3" t="inlineStr">
        <is>
          <t>오송조은</t>
        </is>
      </c>
      <c r="T1066" s="4" t="n">
        <v>1</v>
      </c>
      <c r="U1066" s="5" t="n">
        <v>229.4</v>
      </c>
      <c r="V1066" s="4" t="n">
        <v>281</v>
      </c>
      <c r="W1066" s="3" t="inlineStr">
        <is>
          <t>지정되지않음</t>
        </is>
      </c>
      <c r="X1066" s="3" t="inlineStr">
        <is>
          <t>다세대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소로한면</t>
        </is>
      </c>
    </row>
    <row r="1067">
      <c r="A1067" s="3" t="inlineStr">
        <is>
          <t>오송읍 연제리 770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매매</t>
        </is>
      </c>
      <c r="G1067" s="4" t="n">
        <v>83000</v>
      </c>
      <c r="H1067" s="4" t="n">
        <v>0</v>
      </c>
      <c r="I1067" s="4" t="n">
        <v>325</v>
      </c>
      <c r="J1067" s="4" t="n">
        <v>98</v>
      </c>
      <c r="K1067" s="5" t="n">
        <v>846.9</v>
      </c>
      <c r="L1067" s="4" t="n">
        <v>446</v>
      </c>
      <c r="M1067" s="4" t="n">
        <v>135</v>
      </c>
      <c r="N1067" s="5" t="n">
        <v>614.8</v>
      </c>
      <c r="O1067" s="3" t="inlineStr">
        <is>
          <t>급매, 신축급 큰 상가주택, 오송역도보권, 호수공원 코앞</t>
        </is>
      </c>
      <c r="P1067" s="6">
        <f>HYPERLINK("https://fin.land.naver.com/articles/2653995909", "매물Link")</f>
        <v/>
      </c>
      <c r="Q1067" s="6">
        <f>HYPERLINK("https://map.naver.com/p/search/오송읍 연제리 770", "지도Link")</f>
        <v/>
      </c>
      <c r="R1067" s="6">
        <f>HYPERLINK("http://www.eum.go.kr/web/ar/lu/luLandDet.jsp?pnu=4311325026107700000&amp;isNoScr=script&amp;mode=search",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227</v>
      </c>
      <c r="V1067" s="4" t="n">
        <v>325.7</v>
      </c>
      <c r="W1067" s="3" t="inlineStr">
        <is>
          <t>지정되지않음</t>
        </is>
      </c>
      <c r="X1067" s="3" t="inlineStr">
        <is>
          <t>다세대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연제리 770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단독</t>
        </is>
      </c>
      <c r="F1068" s="3" t="inlineStr">
        <is>
          <t>매매</t>
        </is>
      </c>
      <c r="G1068" s="4" t="n">
        <v>83000</v>
      </c>
      <c r="H1068" s="4" t="n">
        <v>0</v>
      </c>
      <c r="I1068" s="4" t="n">
        <v>325</v>
      </c>
      <c r="J1068" s="4" t="n">
        <v>98</v>
      </c>
      <c r="K1068" s="5" t="n">
        <v>846.9</v>
      </c>
      <c r="L1068" s="4" t="n">
        <v>446</v>
      </c>
      <c r="M1068" s="4" t="n">
        <v>135</v>
      </c>
      <c r="N1068" s="5" t="n">
        <v>614.8</v>
      </c>
      <c r="O1068" s="3" t="inlineStr">
        <is>
          <t>오송역세권. 호수공원인근으로 생활권 편리</t>
        </is>
      </c>
      <c r="P1068" s="6">
        <f>HYPERLINK("https://fin.land.naver.com/articles/2651065703", "매물Link")</f>
        <v/>
      </c>
      <c r="Q1068" s="6">
        <f>HYPERLINK("https://map.naver.com/p/search/오송읍 연제리 770", "지도Link")</f>
        <v/>
      </c>
      <c r="R1068" s="6">
        <f>HYPERLINK("http://www.eum.go.kr/web/ar/lu/luLandDet.jsp?pnu=4311325026107700000&amp;isNoScr=script&amp;mode=search",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227</v>
      </c>
      <c r="V1068" s="4" t="n">
        <v>325.7</v>
      </c>
      <c r="W1068" s="3" t="inlineStr">
        <is>
          <t>지정되지않음</t>
        </is>
      </c>
      <c r="X1068" s="3" t="inlineStr">
        <is>
          <t>다세대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연제리 780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100000</v>
      </c>
      <c r="H1069" s="4" t="n">
        <v>0</v>
      </c>
      <c r="I1069" s="4" t="n">
        <v>292</v>
      </c>
      <c r="J1069" s="4" t="n">
        <v>88</v>
      </c>
      <c r="K1069" s="5" t="n">
        <v>1136.4</v>
      </c>
      <c r="L1069" s="4" t="n">
        <v>437</v>
      </c>
      <c r="M1069" s="4" t="n">
        <v>132</v>
      </c>
      <c r="N1069" s="5" t="n">
        <v>757.6</v>
      </c>
      <c r="O1069" s="3" t="inlineStr">
        <is>
          <t>nan</t>
        </is>
      </c>
      <c r="P1069" s="6">
        <f>HYPERLINK("https://fin.land.naver.com/articles/2654594983", "매물Link")</f>
        <v/>
      </c>
      <c r="Q1069" s="6">
        <f>HYPERLINK("https://map.naver.com/p/search/오송읍 연제리 780", "지도Link")</f>
        <v/>
      </c>
      <c r="R1069" s="6">
        <f>HYPERLINK("http://www.eum.go.kr/web/ar/lu/luLandDet.jsp?pnu=4311325026107800000&amp;isNoScr=script&amp;mode=search", "토지이음")</f>
        <v/>
      </c>
      <c r="S1069" s="3" t="inlineStr">
        <is>
          <t>포유사사무소</t>
        </is>
      </c>
      <c r="T1069" s="4" t="n">
        <v>1</v>
      </c>
      <c r="U1069" s="5" t="n">
        <v>308.1</v>
      </c>
      <c r="V1069" s="4" t="n">
        <v>292.7</v>
      </c>
      <c r="W1069" s="3" t="inlineStr">
        <is>
          <t>지정되지않음</t>
        </is>
      </c>
      <c r="X1069" s="3" t="inlineStr">
        <is>
          <t>주상용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중로각지</t>
        </is>
      </c>
    </row>
    <row r="1070">
      <c r="A1070" s="3" t="inlineStr">
        <is>
          <t>오송읍 연제리 794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매매</t>
        </is>
      </c>
      <c r="G1070" s="4" t="n">
        <v>72000</v>
      </c>
      <c r="H1070" s="4" t="n">
        <v>0</v>
      </c>
      <c r="I1070" s="4" t="n">
        <v>246</v>
      </c>
      <c r="J1070" s="4" t="n">
        <v>74</v>
      </c>
      <c r="K1070" s="5" t="n">
        <v>973</v>
      </c>
      <c r="L1070" s="4" t="n">
        <v>368</v>
      </c>
      <c r="M1070" s="4" t="n">
        <v>111</v>
      </c>
      <c r="N1070" s="5" t="n">
        <v>648.6</v>
      </c>
      <c r="O1070" s="3" t="inlineStr">
        <is>
          <t>원룸이 많은 다가구주택.주인세대 관리잘됨.</t>
        </is>
      </c>
      <c r="P1070" s="6">
        <f>HYPERLINK("https://fin.land.naver.com/articles/2654895864", "매물Link")</f>
        <v/>
      </c>
      <c r="Q1070" s="6">
        <f>HYPERLINK("https://map.naver.com/p/search/오송읍 연제리 794", "지도Link")</f>
        <v/>
      </c>
      <c r="R1070" s="6">
        <f>HYPERLINK("http://www.eum.go.kr/web/ar/lu/luLandDet.jsp?pnu=4311325026107940000&amp;isNoScr=script&amp;mode=search", "토지이음")</f>
        <v/>
      </c>
      <c r="S1070" s="3" t="inlineStr">
        <is>
          <t>이룸</t>
        </is>
      </c>
      <c r="T1070" s="4" t="n">
        <v>1</v>
      </c>
      <c r="U1070" s="5" t="n">
        <v>227</v>
      </c>
      <c r="V1070" s="4" t="n">
        <v>246.8</v>
      </c>
      <c r="W1070" s="3" t="inlineStr">
        <is>
          <t>지정되지않음</t>
        </is>
      </c>
      <c r="X1070" s="3" t="inlineStr">
        <is>
          <t>다세대</t>
        </is>
      </c>
      <c r="Y1070" s="3" t="inlineStr">
        <is>
          <t>평지</t>
        </is>
      </c>
      <c r="Z1070" s="3" t="inlineStr">
        <is>
          <t>가로장방</t>
        </is>
      </c>
      <c r="AA1070" s="3" t="inlineStr">
        <is>
          <t>소로한면</t>
        </is>
      </c>
    </row>
    <row r="1071">
      <c r="A1071" s="3" t="inlineStr">
        <is>
          <t>오송읍 연제리 794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73000</v>
      </c>
      <c r="H1071" s="4" t="n">
        <v>0</v>
      </c>
      <c r="I1071" s="4" t="n">
        <v>246</v>
      </c>
      <c r="J1071" s="4" t="n">
        <v>74</v>
      </c>
      <c r="K1071" s="5" t="n">
        <v>986.5</v>
      </c>
      <c r="L1071" s="4" t="n">
        <v>368</v>
      </c>
      <c r="M1071" s="4" t="n">
        <v>111</v>
      </c>
      <c r="N1071" s="5" t="n">
        <v>657.7</v>
      </c>
      <c r="O1071" s="3" t="inlineStr">
        <is>
          <t>산업단지 개발로 임대수요 풍부한 오송1산단 다가구</t>
        </is>
      </c>
      <c r="P1071" s="6">
        <f>HYPERLINK("https://fin.land.naver.com/articles/2655539920", "매물Link")</f>
        <v/>
      </c>
      <c r="Q1071" s="6">
        <f>HYPERLINK("https://map.naver.com/p/search/오송읍 연제리 794", "지도Link")</f>
        <v/>
      </c>
      <c r="R1071" s="6">
        <f>HYPERLINK("http://www.eum.go.kr/web/ar/lu/luLandDet.jsp?pnu=4311325026107940000&amp;isNoScr=script&amp;mode=search", "토지이음")</f>
        <v/>
      </c>
      <c r="S1071" s="3" t="inlineStr">
        <is>
          <t>오송1단지창조</t>
        </is>
      </c>
      <c r="T1071" s="4" t="n">
        <v>1</v>
      </c>
      <c r="U1071" s="5" t="n">
        <v>227</v>
      </c>
      <c r="V1071" s="4" t="n">
        <v>246.8</v>
      </c>
      <c r="W1071" s="3" t="inlineStr">
        <is>
          <t>지정되지않음</t>
        </is>
      </c>
      <c r="X1071" s="3" t="inlineStr">
        <is>
          <t>다세대</t>
        </is>
      </c>
      <c r="Y1071" s="3" t="inlineStr">
        <is>
          <t>평지</t>
        </is>
      </c>
      <c r="Z1071" s="3" t="inlineStr">
        <is>
          <t>가로장방</t>
        </is>
      </c>
      <c r="AA1071" s="3" t="inlineStr">
        <is>
          <t>소로한면</t>
        </is>
      </c>
    </row>
    <row r="1072">
      <c r="A1072" s="3" t="inlineStr">
        <is>
          <t>오송읍 연제리 794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72000</v>
      </c>
      <c r="H1072" s="4" t="n">
        <v>0</v>
      </c>
      <c r="I1072" s="4" t="n">
        <v>246</v>
      </c>
      <c r="J1072" s="4" t="n">
        <v>74</v>
      </c>
      <c r="K1072" s="5" t="n">
        <v>973</v>
      </c>
      <c r="L1072" s="4" t="n">
        <v>368</v>
      </c>
      <c r="M1072" s="4" t="n">
        <v>111</v>
      </c>
      <c r="N1072" s="5" t="n">
        <v>648.6</v>
      </c>
      <c r="O1072" s="3" t="inlineStr">
        <is>
          <t>안정적인 수익율과 직접 거주도 할수 있는 세대 구성을 가진 건물 입니다</t>
        </is>
      </c>
      <c r="P1072" s="6">
        <f>HYPERLINK("https://fin.land.naver.com/articles/2654604943", "매물Link")</f>
        <v/>
      </c>
      <c r="Q1072" s="6">
        <f>HYPERLINK("https://map.naver.com/p/search/오송읍 연제리 794", "지도Link")</f>
        <v/>
      </c>
      <c r="R1072" s="6">
        <f>HYPERLINK("http://www.eum.go.kr/web/ar/lu/luLandDet.jsp?pnu=4311325026107940000&amp;isNoScr=script&amp;mode=search",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227</v>
      </c>
      <c r="V1072" s="4" t="n">
        <v>246.8</v>
      </c>
      <c r="W1072" s="3" t="inlineStr">
        <is>
          <t>지정되지않음</t>
        </is>
      </c>
      <c r="X1072" s="3" t="inlineStr">
        <is>
          <t>다세대</t>
        </is>
      </c>
      <c r="Y1072" s="3" t="inlineStr">
        <is>
          <t>평지</t>
        </is>
      </c>
      <c r="Z1072" s="3" t="inlineStr">
        <is>
          <t>가로장방</t>
        </is>
      </c>
      <c r="AA1072" s="3" t="inlineStr">
        <is>
          <t>소로한면</t>
        </is>
      </c>
    </row>
    <row r="1073">
      <c r="A1073" s="3" t="inlineStr">
        <is>
          <t>오송읍 연제리 805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2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300</v>
      </c>
      <c r="H1073" s="4" t="n">
        <v>31</v>
      </c>
      <c r="I1073" s="4" t="n">
        <v>28</v>
      </c>
      <c r="J1073" s="4" t="n">
        <v>8</v>
      </c>
      <c r="K1073" s="5" t="n">
        <v>3.9</v>
      </c>
      <c r="L1073" s="4" t="n">
        <v>28</v>
      </c>
      <c r="M1073" s="4" t="n">
        <v>8</v>
      </c>
      <c r="N1073" s="5" t="n">
        <v>3.9</v>
      </c>
      <c r="O1073" s="3" t="inlineStr">
        <is>
          <t>즉시입주 가능한 원룸,풀옵션,상태 최상</t>
        </is>
      </c>
      <c r="P1073" s="6">
        <f>HYPERLINK("https://fin.land.naver.com/articles/2654204624", "매물Link")</f>
        <v/>
      </c>
      <c r="Q1073" s="6">
        <f>HYPERLINK("https://map.naver.com/p/search/오송읍 연제리 805", "지도Link")</f>
        <v/>
      </c>
      <c r="R1073" s="6">
        <f>HYPERLINK("http://www.eum.go.kr/web/ar/lu/luLandDet.jsp?pnu=4311325026108050000&amp;isNoScr=script&amp;mode=search", "토지이음")</f>
        <v/>
      </c>
      <c r="S1073" s="3" t="inlineStr">
        <is>
          <t>오송조은</t>
        </is>
      </c>
      <c r="T1073" s="4" t="n">
        <v>1</v>
      </c>
      <c r="U1073" s="5" t="n">
        <v>227</v>
      </c>
      <c r="V1073" s="4" t="n">
        <v>254</v>
      </c>
      <c r="W1073" s="3" t="inlineStr">
        <is>
          <t>지정되지않음</t>
        </is>
      </c>
      <c r="X1073" s="3" t="inlineStr">
        <is>
          <t>다세대</t>
        </is>
      </c>
      <c r="Y1073" s="3" t="inlineStr">
        <is>
          <t>평지</t>
        </is>
      </c>
      <c r="Z1073" s="3" t="inlineStr">
        <is>
          <t>가로장방</t>
        </is>
      </c>
      <c r="AA1073" s="3" t="inlineStr">
        <is>
          <t>소로한면</t>
        </is>
      </c>
    </row>
    <row r="1074">
      <c r="A1074" s="3" t="inlineStr">
        <is>
          <t>오송읍 연제리 807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다가구</t>
        </is>
      </c>
      <c r="F1074" s="3" t="inlineStr">
        <is>
          <t>월세</t>
        </is>
      </c>
      <c r="G1074" s="4" t="n">
        <v>500</v>
      </c>
      <c r="H1074" s="4" t="n">
        <v>47</v>
      </c>
      <c r="I1074" s="4" t="n">
        <v>31</v>
      </c>
      <c r="J1074" s="4" t="n">
        <v>9</v>
      </c>
      <c r="K1074" s="5" t="n">
        <v>5.2</v>
      </c>
      <c r="L1074" s="4" t="n">
        <v>31</v>
      </c>
      <c r="M1074" s="4" t="n">
        <v>9</v>
      </c>
      <c r="N1074" s="5" t="n">
        <v>5.2</v>
      </c>
      <c r="O1074" s="3" t="inlineStr">
        <is>
          <t>즉시입주투베이.리모델링 준신축급.호수공원 근접한 조용한 투베이.</t>
        </is>
      </c>
      <c r="P1074" s="6">
        <f>HYPERLINK("https://fin.land.naver.com/articles/2653603375", "매물Link")</f>
        <v/>
      </c>
      <c r="Q1074" s="6">
        <f>HYPERLINK("https://map.naver.com/p/search/오송읍 연제리 807", "지도Link")</f>
        <v/>
      </c>
      <c r="R1074" s="6">
        <f>HYPERLINK("http://www.eum.go.kr/web/ar/lu/luLandDet.jsp?pnu=4311325026108070000&amp;isNoScr=script&amp;mode=search", "토지이음")</f>
        <v/>
      </c>
      <c r="S1074" s="3" t="inlineStr">
        <is>
          <t>이룸</t>
        </is>
      </c>
      <c r="T1074" s="4" t="n">
        <v>1</v>
      </c>
      <c r="U1074" s="5" t="n">
        <v>227</v>
      </c>
      <c r="V1074" s="4" t="n">
        <v>273.8</v>
      </c>
      <c r="W1074" s="3" t="inlineStr">
        <is>
          <t>지정되지않음</t>
        </is>
      </c>
      <c r="X1074" s="3" t="inlineStr">
        <is>
          <t>다세대</t>
        </is>
      </c>
      <c r="Y1074" s="3" t="inlineStr">
        <is>
          <t>평지</t>
        </is>
      </c>
      <c r="Z1074" s="3" t="inlineStr">
        <is>
          <t>가로장방</t>
        </is>
      </c>
      <c r="AA1074" s="3" t="inlineStr">
        <is>
          <t>소로한면</t>
        </is>
      </c>
    </row>
    <row r="1075">
      <c r="A1075" s="3" t="inlineStr">
        <is>
          <t>오송읍 연제리 809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36</v>
      </c>
      <c r="I1075" s="4" t="n">
        <v>30</v>
      </c>
      <c r="J1075" s="4" t="n">
        <v>9</v>
      </c>
      <c r="K1075" s="5" t="n">
        <v>4</v>
      </c>
      <c r="L1075" s="4" t="n">
        <v>30</v>
      </c>
      <c r="M1075" s="4" t="n">
        <v>9</v>
      </c>
      <c r="N1075" s="5" t="n">
        <v>4</v>
      </c>
      <c r="O1075" s="3" t="inlineStr">
        <is>
          <t>오송역 도보 6분 이내, 오송호수공원 인접, 저렴한 투베이</t>
        </is>
      </c>
      <c r="P1075" s="6">
        <f>HYPERLINK("https://fin.land.naver.com/articles/2653407926", "매물Link")</f>
        <v/>
      </c>
      <c r="Q1075" s="6">
        <f>HYPERLINK("https://map.naver.com/p/search/오송읍 연제리 809", "지도Link")</f>
        <v/>
      </c>
      <c r="R1075" s="6">
        <f>HYPERLINK("http://www.eum.go.kr/web/ar/lu/luLandDet.jsp?pnu=4311325026108090000&amp;isNoScr=script&amp;mode=search",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227</v>
      </c>
      <c r="V1075" s="4" t="n">
        <v>273.9</v>
      </c>
      <c r="W1075" s="3" t="inlineStr">
        <is>
          <t>지정되지않음</t>
        </is>
      </c>
      <c r="X1075" s="3" t="inlineStr">
        <is>
          <t>다세대</t>
        </is>
      </c>
      <c r="Y1075" s="3" t="inlineStr">
        <is>
          <t>평지</t>
        </is>
      </c>
      <c r="Z1075" s="3" t="inlineStr">
        <is>
          <t>가로장방</t>
        </is>
      </c>
      <c r="AA1075" s="3" t="inlineStr">
        <is>
          <t>소로한면</t>
        </is>
      </c>
    </row>
    <row r="1076">
      <c r="A1076" s="3" t="inlineStr">
        <is>
          <t>오송읍 연제리 828</t>
        </is>
      </c>
      <c r="B1076" s="3" t="inlineStr">
        <is>
          <t>준주거지역</t>
        </is>
      </c>
      <c r="C1076" s="3" t="inlineStr">
        <is>
          <t>대</t>
        </is>
      </c>
      <c r="D1076" s="3" t="inlineStr">
        <is>
          <t>0</t>
        </is>
      </c>
      <c r="E1076" s="3" t="inlineStr">
        <is>
          <t>기타</t>
        </is>
      </c>
      <c r="F1076" s="3" t="inlineStr">
        <is>
          <t>월세</t>
        </is>
      </c>
      <c r="G1076" s="4" t="n">
        <v>60</v>
      </c>
      <c r="H1076" s="4" t="n">
        <v>41</v>
      </c>
      <c r="I1076" s="4" t="n">
        <v>19</v>
      </c>
      <c r="J1076" s="4" t="n">
        <v>6</v>
      </c>
      <c r="K1076" s="5" t="n">
        <v>6.8</v>
      </c>
      <c r="L1076" s="4" t="n">
        <v>19</v>
      </c>
      <c r="M1076" s="4" t="n">
        <v>6</v>
      </c>
      <c r="N1076" s="5" t="n">
        <v>6.8</v>
      </c>
      <c r="O1076" s="3" t="inlineStr">
        <is>
          <t>풀옵션 단기방.에어로케이 호수공원,오송역8번출구 초근접.</t>
        </is>
      </c>
      <c r="P1076" s="6">
        <f>HYPERLINK("https://fin.land.naver.com/articles/2655591784", "매물Link")</f>
        <v/>
      </c>
      <c r="Q1076" s="6">
        <f>HYPERLINK("https://map.naver.com/p/search/오송읍 연제리 828", "지도Link")</f>
        <v/>
      </c>
      <c r="R1076" s="6">
        <f>HYPERLINK("http://www.eum.go.kr/web/ar/lu/luLandDet.jsp?pnu=4311325026108280000&amp;isNoScr=script&amp;mode=search", "토지이음")</f>
        <v/>
      </c>
      <c r="S1076" s="3" t="inlineStr">
        <is>
          <t>이룸</t>
        </is>
      </c>
      <c r="T1076" s="4" t="n">
        <v>1</v>
      </c>
      <c r="U1076" s="5" t="n">
        <v>467.1</v>
      </c>
      <c r="V1076" s="4" t="n">
        <v>378</v>
      </c>
      <c r="W1076" s="3" t="inlineStr">
        <is>
          <t>지정되지않음</t>
        </is>
      </c>
      <c r="X1076" s="3" t="inlineStr">
        <is>
          <t>상업용</t>
        </is>
      </c>
      <c r="Y1076" s="3" t="inlineStr">
        <is>
          <t>평지</t>
        </is>
      </c>
      <c r="Z1076" s="3" t="inlineStr">
        <is>
          <t>가로장방</t>
        </is>
      </c>
      <c r="AA1076" s="3" t="inlineStr">
        <is>
          <t>광대소각</t>
        </is>
      </c>
    </row>
    <row r="1077">
      <c r="A1077" s="3" t="inlineStr">
        <is>
          <t>오송읍 연제리 828</t>
        </is>
      </c>
      <c r="B1077" s="3" t="inlineStr">
        <is>
          <t>준주거지역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일반원룸</t>
        </is>
      </c>
      <c r="F1077" s="3" t="inlineStr">
        <is>
          <t>월세</t>
        </is>
      </c>
      <c r="G1077" s="4" t="n">
        <v>60</v>
      </c>
      <c r="H1077" s="4" t="n">
        <v>41</v>
      </c>
      <c r="I1077" s="4" t="n">
        <v>0</v>
      </c>
      <c r="J1077" s="4" t="n">
        <v>0</v>
      </c>
      <c r="K1077" s="5" t="n">
        <v>0</v>
      </c>
      <c r="L1077" s="4" t="n">
        <v>20</v>
      </c>
      <c r="M1077" s="4" t="n">
        <v>6</v>
      </c>
      <c r="N1077" s="5" t="n">
        <v>6.8</v>
      </c>
      <c r="O1077" s="3" t="inlineStr">
        <is>
          <t>오송역 근처 단기 원룸 ,즉시 입주 가능</t>
        </is>
      </c>
      <c r="P1077" s="6">
        <f>HYPERLINK("https://fin.land.naver.com/articles/2653381186", "매물Link")</f>
        <v/>
      </c>
      <c r="Q1077" s="6">
        <f>HYPERLINK("https://map.naver.com/p/search/오송읍 연제리 828", "지도Link")</f>
        <v/>
      </c>
      <c r="R1077" s="6">
        <f>HYPERLINK("http://www.eum.go.kr/web/ar/lu/luLandDet.jsp?pnu=4311325026108280000&amp;isNoScr=script&amp;mode=search", "토지이음")</f>
        <v/>
      </c>
      <c r="S1077" s="3" t="inlineStr">
        <is>
          <t>프로</t>
        </is>
      </c>
      <c r="T1077" s="4" t="n">
        <v>1</v>
      </c>
      <c r="U1077" s="5" t="n">
        <v>467.1</v>
      </c>
      <c r="V1077" s="4" t="n">
        <v>378</v>
      </c>
      <c r="W1077" s="3" t="inlineStr">
        <is>
          <t>지정되지않음</t>
        </is>
      </c>
      <c r="X1077" s="3" t="inlineStr">
        <is>
          <t>상업용</t>
        </is>
      </c>
      <c r="Y1077" s="3" t="inlineStr">
        <is>
          <t>평지</t>
        </is>
      </c>
      <c r="Z1077" s="3" t="inlineStr">
        <is>
          <t>가로장방</t>
        </is>
      </c>
      <c r="AA1077" s="3" t="inlineStr">
        <is>
          <t>광대소각</t>
        </is>
      </c>
    </row>
    <row r="1078">
      <c r="A1078" s="3" t="inlineStr">
        <is>
          <t>오송읍 연제리 828</t>
        </is>
      </c>
      <c r="B1078" s="3" t="inlineStr">
        <is>
          <t>준주거지역</t>
        </is>
      </c>
      <c r="C1078" s="3" t="inlineStr">
        <is>
          <t>대</t>
        </is>
      </c>
      <c r="D1078" s="3" t="inlineStr">
        <is>
          <t>0</t>
        </is>
      </c>
      <c r="E1078" s="3" t="inlineStr">
        <is>
          <t>일반원룸</t>
        </is>
      </c>
      <c r="F1078" s="3" t="inlineStr">
        <is>
          <t>단기임대</t>
        </is>
      </c>
      <c r="G1078" s="4" t="n">
        <v>60</v>
      </c>
      <c r="H1078" s="4" t="n">
        <v>50</v>
      </c>
      <c r="I1078" s="4" t="n">
        <v>0</v>
      </c>
      <c r="J1078" s="4" t="n">
        <v>0</v>
      </c>
      <c r="K1078" s="5" t="n">
        <v>0</v>
      </c>
      <c r="L1078" s="4" t="n">
        <v>20</v>
      </c>
      <c r="M1078" s="4" t="n">
        <v>6</v>
      </c>
      <c r="N1078" s="5" t="n">
        <v>10</v>
      </c>
      <c r="O1078" s="3" t="inlineStr">
        <is>
          <t>오송역 도보 7분 깔끔한 단기임대 원룸인턴직장 단기발령 추천</t>
        </is>
      </c>
      <c r="P1078" s="6">
        <f>HYPERLINK("https://fin.land.naver.com/articles/2655184408", "매물Link")</f>
        <v/>
      </c>
      <c r="Q1078" s="6">
        <f>HYPERLINK("https://map.naver.com/p/search/오송읍 연제리 828", "지도Link")</f>
        <v/>
      </c>
      <c r="R1078" s="6">
        <f>HYPERLINK("http://www.eum.go.kr/web/ar/lu/luLandDet.jsp?pnu=4311325026108280000&amp;isNoScr=script&amp;mode=search", "토지이음")</f>
        <v/>
      </c>
      <c r="S1078" s="3" t="inlineStr">
        <is>
          <t>오송시티</t>
        </is>
      </c>
      <c r="T1078" s="4" t="n">
        <v>1</v>
      </c>
      <c r="U1078" s="5" t="n">
        <v>467.1</v>
      </c>
      <c r="V1078" s="4" t="n">
        <v>378</v>
      </c>
      <c r="W1078" s="3" t="inlineStr">
        <is>
          <t>지정되지않음</t>
        </is>
      </c>
      <c r="X1078" s="3" t="inlineStr">
        <is>
          <t>상업용</t>
        </is>
      </c>
      <c r="Y1078" s="3" t="inlineStr">
        <is>
          <t>평지</t>
        </is>
      </c>
      <c r="Z1078" s="3" t="inlineStr">
        <is>
          <t>가로장방</t>
        </is>
      </c>
      <c r="AA1078" s="3" t="inlineStr">
        <is>
          <t>광대소각</t>
        </is>
      </c>
    </row>
    <row r="1079">
      <c r="A1079" s="3" t="inlineStr">
        <is>
          <t>오송읍 오송리 129-3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다가구</t>
        </is>
      </c>
      <c r="F1079" s="3" t="inlineStr">
        <is>
          <t>월세</t>
        </is>
      </c>
      <c r="G1079" s="4" t="n">
        <v>500</v>
      </c>
      <c r="H1079" s="4" t="n">
        <v>70</v>
      </c>
      <c r="I1079" s="4" t="n">
        <v>40</v>
      </c>
      <c r="J1079" s="4" t="n">
        <v>12</v>
      </c>
      <c r="K1079" s="5" t="n">
        <v>5.8</v>
      </c>
      <c r="L1079" s="4" t="n">
        <v>40</v>
      </c>
      <c r="M1079" s="4" t="n">
        <v>12</v>
      </c>
      <c r="N1079" s="5" t="n">
        <v>5.8</v>
      </c>
      <c r="O1079" s="3" t="inlineStr">
        <is>
          <t>방2개  투룸으로 거실이 크고 옵션이 모두 있는 저렴한 월세입니다.</t>
        </is>
      </c>
      <c r="P1079" s="6">
        <f>HYPERLINK("https://fin.land.naver.com/articles/2650536055", "매물Link")</f>
        <v/>
      </c>
      <c r="Q1079" s="6">
        <f>HYPERLINK("https://map.naver.com/p/search/오송읍 오송리 129-3", "지도Link")</f>
        <v/>
      </c>
      <c r="R1079" s="6">
        <f>HYPERLINK("http://www.eum.go.kr/web/ar/lu/luLandDet.jsp?pnu=4311325028101290003&amp;isNoScr=script&amp;mode=search", "토지이음")</f>
        <v/>
      </c>
      <c r="S1079" s="3" t="inlineStr">
        <is>
          <t>오송역센트럴</t>
        </is>
      </c>
      <c r="T1079" s="4" t="n">
        <v>1</v>
      </c>
      <c r="U1079" s="5" t="n">
        <v>404.6</v>
      </c>
      <c r="V1079" s="4" t="n">
        <v>227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광대세각</t>
        </is>
      </c>
    </row>
    <row r="1080">
      <c r="A1080" s="3" t="inlineStr">
        <is>
          <t>오송읍 오송리 143-19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72000</v>
      </c>
      <c r="H1080" s="4" t="n">
        <v>0</v>
      </c>
      <c r="I1080" s="4" t="n">
        <v>416</v>
      </c>
      <c r="J1080" s="4" t="n">
        <v>126</v>
      </c>
      <c r="K1080" s="5" t="n">
        <v>571.4</v>
      </c>
      <c r="L1080" s="4" t="n">
        <v>343</v>
      </c>
      <c r="M1080" s="4" t="n">
        <v>104</v>
      </c>
      <c r="N1080" s="5" t="n">
        <v>692.3</v>
      </c>
      <c r="O1080" s="3" t="inlineStr">
        <is>
          <t>청주 조치원 간 40m 대로에 인접한 상업용지 주택 및 창고 급매</t>
        </is>
      </c>
      <c r="P1080" s="6">
        <f>HYPERLINK("https://fin.land.naver.com/articles/2651402991", "매물Link")</f>
        <v/>
      </c>
      <c r="Q1080" s="6">
        <f>HYPERLINK("https://map.naver.com/p/search/오송읍 오송리 143-19", "지도Link")</f>
        <v/>
      </c>
      <c r="R1080" s="6">
        <f>HYPERLINK("http://www.eum.go.kr/web/ar/lu/luLandDet.jsp?pnu=4311325028101430019&amp;isNoScr=script&amp;mode=search", "토지이음")</f>
        <v/>
      </c>
      <c r="S1080" s="3" t="inlineStr">
        <is>
          <t>오송3산단  사무소</t>
        </is>
      </c>
      <c r="T1080" s="4" t="n">
        <v>1</v>
      </c>
      <c r="U1080" s="5" t="n">
        <v>176.9</v>
      </c>
      <c r="V1080" s="4" t="n">
        <v>140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오송리 143-24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60</v>
      </c>
      <c r="I1081" s="4" t="n">
        <v>45</v>
      </c>
      <c r="J1081" s="4" t="n">
        <v>14</v>
      </c>
      <c r="K1081" s="5" t="n">
        <v>4.3</v>
      </c>
      <c r="L1081" s="4" t="n">
        <v>45</v>
      </c>
      <c r="M1081" s="4" t="n">
        <v>14</v>
      </c>
      <c r="N1081" s="5" t="n">
        <v>4.3</v>
      </c>
      <c r="O1081" s="3" t="inlineStr">
        <is>
          <t>2층 큰방2개에 저렴한 월세입니다.</t>
        </is>
      </c>
      <c r="P1081" s="6">
        <f>HYPERLINK("https://fin.land.naver.com/articles/2650549561", "매물Link")</f>
        <v/>
      </c>
      <c r="Q1081" s="6">
        <f>HYPERLINK("https://map.naver.com/p/search/오송읍 오송리 143-24", "지도Link")</f>
        <v/>
      </c>
      <c r="R1081" s="6">
        <f>HYPERLINK("http://www.eum.go.kr/web/ar/lu/luLandDet.jsp?pnu=4311325028101430024&amp;isNoScr=script&amp;mode=search", "토지이음")</f>
        <v/>
      </c>
      <c r="S1081" s="3" t="inlineStr">
        <is>
          <t>오송역센트럴</t>
        </is>
      </c>
      <c r="T1081" s="4" t="n">
        <v>1</v>
      </c>
      <c r="U1081" s="5" t="n">
        <v>175.2</v>
      </c>
      <c r="V1081" s="4" t="n">
        <v>211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오송리 144-8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빌라</t>
        </is>
      </c>
      <c r="F1082" s="3" t="inlineStr">
        <is>
          <t>매매</t>
        </is>
      </c>
      <c r="G1082" s="4" t="n">
        <v>10000</v>
      </c>
      <c r="H1082" s="4" t="n">
        <v>0</v>
      </c>
      <c r="I1082" s="4" t="n">
        <v>65</v>
      </c>
      <c r="J1082" s="4" t="n">
        <v>20</v>
      </c>
      <c r="K1082" s="5" t="n">
        <v>500</v>
      </c>
      <c r="L1082" s="4" t="n">
        <v>59</v>
      </c>
      <c r="M1082" s="4" t="n">
        <v>18</v>
      </c>
      <c r="N1082" s="5" t="n">
        <v>555.6</v>
      </c>
      <c r="O1082" s="3" t="inlineStr">
        <is>
          <t>즉시입주, 따뜻한 남동향, 엘리베이터 없어도 좋은 2층</t>
        </is>
      </c>
      <c r="P1082" s="6">
        <f>HYPERLINK("https://fin.land.naver.com/articles/2651400013", "매물Link")</f>
        <v/>
      </c>
      <c r="Q1082" s="6">
        <f>HYPERLINK("https://map.naver.com/p/search/오송읍 오송리 144-8", "지도Link")</f>
        <v/>
      </c>
      <c r="R1082" s="6">
        <f>HYPERLINK("http://www.eum.go.kr/web/ar/lu/luLandDet.jsp?pnu=4311325028101440008&amp;isNoScr=script&amp;mode=search", "토지이음")</f>
        <v/>
      </c>
      <c r="S1082" s="3" t="inlineStr">
        <is>
          <t>오송3산단  사무소</t>
        </is>
      </c>
      <c r="T1082" s="4" t="n">
        <v>1</v>
      </c>
      <c r="U1082" s="5" t="n">
        <v>177</v>
      </c>
      <c r="V1082" s="4" t="n">
        <v>215</v>
      </c>
      <c r="W1082" s="3" t="inlineStr">
        <is>
          <t>지정되지않음</t>
        </is>
      </c>
      <c r="X1082" s="3" t="inlineStr">
        <is>
          <t>연립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세로각지(가)</t>
        </is>
      </c>
    </row>
    <row r="1083">
      <c r="A1083" s="3" t="inlineStr">
        <is>
          <t>오송읍 오송리 20-1</t>
        </is>
      </c>
      <c r="B1083" s="3" t="inlineStr">
        <is>
          <t>농림지역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월세</t>
        </is>
      </c>
      <c r="G1083" s="4" t="n">
        <v>3000</v>
      </c>
      <c r="H1083" s="4" t="n">
        <v>250</v>
      </c>
      <c r="I1083" s="4" t="n">
        <v>655</v>
      </c>
      <c r="J1083" s="4" t="n">
        <v>198</v>
      </c>
      <c r="K1083" s="5" t="n">
        <v>1.3</v>
      </c>
      <c r="L1083" s="4" t="n">
        <v>193</v>
      </c>
      <c r="M1083" s="4" t="n">
        <v>58</v>
      </c>
      <c r="N1083" s="5" t="n">
        <v>4.3</v>
      </c>
      <c r="O1083" s="3" t="inlineStr">
        <is>
          <t>오송역 도보 3분 마당 있는 주택단기단체숙소환영</t>
        </is>
      </c>
      <c r="P1083" s="6">
        <f>HYPERLINK("https://fin.land.naver.com/articles/2655183188", "매물Link")</f>
        <v/>
      </c>
      <c r="Q1083" s="6">
        <f>HYPERLINK("https://map.naver.com/p/search/오송읍 오송리 20-1", "지도Link")</f>
        <v/>
      </c>
      <c r="R1083" s="6">
        <f>HYPERLINK("http://www.eum.go.kr/web/ar/lu/luLandDet.jsp?pnu=4311325028100200001&amp;isNoScr=script&amp;mode=search", "토지이음")</f>
        <v/>
      </c>
      <c r="S1083" s="3" t="inlineStr">
        <is>
          <t>오송시티</t>
        </is>
      </c>
      <c r="T1083" s="4" t="n">
        <v>1</v>
      </c>
      <c r="U1083" s="5" t="n">
        <v>132.8</v>
      </c>
      <c r="V1083" s="4" t="n">
        <v>522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오송리 210-38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85000</v>
      </c>
      <c r="H1084" s="4" t="n">
        <v>0</v>
      </c>
      <c r="I1084" s="4" t="n">
        <v>454</v>
      </c>
      <c r="J1084" s="4" t="n">
        <v>137</v>
      </c>
      <c r="K1084" s="5" t="n">
        <v>620.4</v>
      </c>
      <c r="L1084" s="4" t="n">
        <v>181</v>
      </c>
      <c r="M1084" s="4" t="n">
        <v>55</v>
      </c>
      <c r="N1084" s="5" t="n">
        <v>1545.5</v>
      </c>
      <c r="O1084" s="3" t="inlineStr">
        <is>
          <t>nan</t>
        </is>
      </c>
      <c r="P1084" s="6">
        <f>HYPERLINK("https://fin.land.naver.com/articles/2650179868", "매물Link")</f>
        <v/>
      </c>
      <c r="Q1084" s="6">
        <f>HYPERLINK("https://map.naver.com/p/search/오송읍 오송리 210-38", "지도Link")</f>
        <v/>
      </c>
      <c r="R1084" s="6">
        <f>HYPERLINK("http://www.eum.go.kr/web/ar/lu/luLandDet.jsp?pnu=4311325028102100038&amp;isNoScr=script&amp;mode=search", "토지이음")</f>
        <v/>
      </c>
      <c r="S1084" s="3" t="inlineStr">
        <is>
          <t>오송3산단  사무소</t>
        </is>
      </c>
      <c r="T1084" s="4" t="n">
        <v>1</v>
      </c>
      <c r="U1084" s="5" t="n">
        <v>142.6</v>
      </c>
      <c r="V1084" s="4" t="n">
        <v>455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세로한면(가)</t>
        </is>
      </c>
    </row>
    <row r="1085">
      <c r="A1085" s="3" t="inlineStr">
        <is>
          <t>오송읍 오송리 245-1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180000</v>
      </c>
      <c r="H1085" s="4" t="n">
        <v>0</v>
      </c>
      <c r="I1085" s="4" t="n">
        <v>1190</v>
      </c>
      <c r="J1085" s="4" t="n">
        <v>360</v>
      </c>
      <c r="K1085" s="5" t="n">
        <v>500</v>
      </c>
      <c r="L1085" s="4" t="n">
        <v>360</v>
      </c>
      <c r="M1085" s="4" t="n">
        <v>109</v>
      </c>
      <c r="N1085" s="5" t="n">
        <v>1651.4</v>
      </c>
      <c r="O1085" s="3" t="inlineStr">
        <is>
          <t>오송3산단주출입구쪽 근생시설설치 최적입지의 정사각형 토지.</t>
        </is>
      </c>
      <c r="P1085" s="6">
        <f>HYPERLINK("https://fin.land.naver.com/articles/2655313949", "매물Link")</f>
        <v/>
      </c>
      <c r="Q1085" s="6">
        <f>HYPERLINK("https://map.naver.com/p/search/오송읍 오송리 245-1", "지도Link")</f>
        <v/>
      </c>
      <c r="R1085" s="6">
        <f>HYPERLINK("http://www.eum.go.kr/web/ar/lu/luLandDet.jsp?pnu=4311325028102450001&amp;isNoScr=script&amp;mode=search", "토지이음")</f>
        <v/>
      </c>
      <c r="S1085" s="3" t="inlineStr">
        <is>
          <t>오송k랜드</t>
        </is>
      </c>
      <c r="T1085" s="4" t="n">
        <v>1</v>
      </c>
      <c r="U1085" s="5" t="n">
        <v>166.7</v>
      </c>
      <c r="V1085" s="4" t="n">
        <v>1190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세로각지(가)</t>
        </is>
      </c>
    </row>
    <row r="1086">
      <c r="A1086" s="3" t="inlineStr">
        <is>
          <t>오송읍 오송리 246-63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단독</t>
        </is>
      </c>
      <c r="F1086" s="3" t="inlineStr">
        <is>
          <t>월세</t>
        </is>
      </c>
      <c r="G1086" s="4" t="n">
        <v>1000</v>
      </c>
      <c r="H1086" s="4" t="n">
        <v>60</v>
      </c>
      <c r="I1086" s="4" t="n">
        <v>169</v>
      </c>
      <c r="J1086" s="4" t="n">
        <v>51</v>
      </c>
      <c r="K1086" s="5" t="n">
        <v>1.2</v>
      </c>
      <c r="L1086" s="4" t="n">
        <v>92</v>
      </c>
      <c r="M1086" s="4" t="n">
        <v>28</v>
      </c>
      <c r="N1086" s="5" t="n">
        <v>2.1</v>
      </c>
      <c r="O1086" s="3" t="inlineStr">
        <is>
          <t>Osong.구 오송에 위치한 사무실등으로 사용하기좋은 단독 2층</t>
        </is>
      </c>
      <c r="P1086" s="6">
        <f>HYPERLINK("https://fin.land.naver.com/articles/2653715784", "매물Link")</f>
        <v/>
      </c>
      <c r="Q1086" s="6">
        <f>HYPERLINK("https://map.naver.com/p/search/오송읍 오송리 246-63", "지도Link")</f>
        <v/>
      </c>
      <c r="R1086" s="6">
        <f>HYPERLINK("http://www.eum.go.kr/web/ar/lu/luLandDet.jsp?pnu=4311325028102460063&amp;isNoScr=script&amp;mode=search", "토지이음")</f>
        <v/>
      </c>
      <c r="S1086" s="3" t="inlineStr">
        <is>
          <t>송림(松林) 사무소</t>
        </is>
      </c>
      <c r="T1086" s="4" t="n">
        <v>1</v>
      </c>
      <c r="U1086" s="5" t="n">
        <v>268.3</v>
      </c>
      <c r="V1086" s="4" t="n">
        <v>289</v>
      </c>
      <c r="W1086" s="3" t="inlineStr">
        <is>
          <t>지정되지않음</t>
        </is>
      </c>
      <c r="X1086" s="3" t="inlineStr">
        <is>
          <t>주상용</t>
        </is>
      </c>
      <c r="Y1086" s="3" t="inlineStr">
        <is>
          <t>평지</t>
        </is>
      </c>
      <c r="Z1086" s="3" t="inlineStr">
        <is>
          <t>사다리형</t>
        </is>
      </c>
      <c r="AA1086" s="3" t="inlineStr">
        <is>
          <t>세로한면(가)</t>
        </is>
      </c>
    </row>
    <row r="1087">
      <c r="A1087" s="3" t="inlineStr">
        <is>
          <t>오송읍 오송리 60-78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60</v>
      </c>
      <c r="I1087" s="4" t="n">
        <v>55</v>
      </c>
      <c r="J1087" s="4" t="n">
        <v>17</v>
      </c>
      <c r="K1087" s="5" t="n">
        <v>3.5</v>
      </c>
      <c r="L1087" s="4" t="n">
        <v>53</v>
      </c>
      <c r="M1087" s="4" t="n">
        <v>16</v>
      </c>
      <c r="N1087" s="5" t="n">
        <v>3.8</v>
      </c>
      <c r="O1087" s="3" t="inlineStr">
        <is>
          <t>오송역 가까운 3룸 저렴한 월세입니다.</t>
        </is>
      </c>
      <c r="P1087" s="6">
        <f>HYPERLINK("https://fin.land.naver.com/articles/2650534565", "매물Link")</f>
        <v/>
      </c>
      <c r="Q1087" s="6">
        <f>HYPERLINK("https://map.naver.com/p/search/오송읍 오송리 60-78", "지도Link")</f>
        <v/>
      </c>
      <c r="R1087" s="6">
        <f>HYPERLINK("http://www.eum.go.kr/web/ar/lu/luLandDet.jsp?pnu=4311325028100600078&amp;isNoScr=script&amp;mode=search", "토지이음")</f>
        <v/>
      </c>
      <c r="S1087" s="3" t="inlineStr">
        <is>
          <t>오송역센트럴</t>
        </is>
      </c>
      <c r="T1087" s="4" t="n">
        <v>1</v>
      </c>
      <c r="U1087" s="5" t="n">
        <v>196.7</v>
      </c>
      <c r="V1087" s="4" t="n">
        <v>258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오송리 60-93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65000</v>
      </c>
      <c r="H1088" s="4" t="n">
        <v>0</v>
      </c>
      <c r="I1088" s="4" t="n">
        <v>516</v>
      </c>
      <c r="J1088" s="4" t="n">
        <v>156</v>
      </c>
      <c r="K1088" s="5" t="n">
        <v>416.7</v>
      </c>
      <c r="L1088" s="4" t="n">
        <v>86</v>
      </c>
      <c r="M1088" s="4" t="n">
        <v>26</v>
      </c>
      <c r="N1088" s="5" t="n">
        <v>2500</v>
      </c>
      <c r="O1088" s="3" t="inlineStr">
        <is>
          <t>오송1리 오송초 바로 인접한 대지 및 구옥주택으로 투자자 추천</t>
        </is>
      </c>
      <c r="P1088" s="6">
        <f>HYPERLINK("https://fin.land.naver.com/articles/2654113832", "매물Link")</f>
        <v/>
      </c>
      <c r="Q1088" s="6">
        <f>HYPERLINK("https://map.naver.com/p/search/오송읍 오송리 60-93", "지도Link")</f>
        <v/>
      </c>
      <c r="R1088" s="6">
        <f>HYPERLINK("http://www.eum.go.kr/web/ar/lu/luLandDet.jsp?pnu=4311325028100600093&amp;isNoScr=script&amp;mode=search", "토지이음")</f>
        <v/>
      </c>
      <c r="S1088" s="3" t="inlineStr">
        <is>
          <t>오송k랜드</t>
        </is>
      </c>
      <c r="T1088" s="4" t="n">
        <v>1</v>
      </c>
      <c r="U1088" s="5" t="n">
        <v>200.7</v>
      </c>
      <c r="V1088" s="4" t="n">
        <v>516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정중리 205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77432</v>
      </c>
      <c r="H1089" s="4" t="n">
        <v>0</v>
      </c>
      <c r="I1089" s="4" t="n">
        <v>890</v>
      </c>
      <c r="J1089" s="4" t="n">
        <v>269</v>
      </c>
      <c r="K1089" s="5" t="n">
        <v>287.9</v>
      </c>
      <c r="L1089" s="4" t="n">
        <v>98</v>
      </c>
      <c r="M1089" s="4" t="n">
        <v>30</v>
      </c>
      <c r="N1089" s="5" t="n">
        <v>2581.1</v>
      </c>
      <c r="O1089" s="3" t="inlineStr">
        <is>
          <t>정중리 단독주택및 인근 전일괄매매 상세설명참조</t>
        </is>
      </c>
      <c r="P1089" s="6">
        <f>HYPERLINK("https://fin.land.naver.com/articles/2652838770", "매물Link")</f>
        <v/>
      </c>
      <c r="Q1089" s="6">
        <f>HYPERLINK("https://map.naver.com/p/search/오송읍 정중리 205", "지도Link")</f>
        <v/>
      </c>
      <c r="R1089" s="6">
        <f>HYPERLINK("http://www.eum.go.kr/web/ar/lu/luLandDet.jsp?pnu=4311325032102050000&amp;isNoScr=script&amp;mode=search", "토지이음")</f>
        <v/>
      </c>
      <c r="S1089" s="3" t="inlineStr">
        <is>
          <t>오송휴먼캐슬</t>
        </is>
      </c>
      <c r="T1089" s="4" t="n">
        <v>1</v>
      </c>
      <c r="U1089" s="5" t="n">
        <v>91.3</v>
      </c>
      <c r="V1089" s="4" t="n">
        <v>330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세로한면(가)</t>
        </is>
      </c>
    </row>
    <row r="1090">
      <c r="A1090" s="3" t="inlineStr">
        <is>
          <t>오송읍 정중리 284-7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단독</t>
        </is>
      </c>
      <c r="F1090" s="3" t="inlineStr">
        <is>
          <t>매매</t>
        </is>
      </c>
      <c r="G1090" s="4" t="n">
        <v>75000</v>
      </c>
      <c r="H1090" s="4" t="n">
        <v>0</v>
      </c>
      <c r="I1090" s="4" t="n">
        <v>8114</v>
      </c>
      <c r="J1090" s="4" t="n">
        <v>2454</v>
      </c>
      <c r="K1090" s="5" t="n">
        <v>30.6</v>
      </c>
      <c r="L1090" s="4" t="n">
        <v>84</v>
      </c>
      <c r="M1090" s="4" t="n">
        <v>25</v>
      </c>
      <c r="N1090" s="5" t="n">
        <v>3000</v>
      </c>
      <c r="O1090" s="3" t="inlineStr">
        <is>
          <t>오송생명과학단지 인근 주택포함 전 일괄 매매</t>
        </is>
      </c>
      <c r="P1090" s="6">
        <f>HYPERLINK("https://fin.land.naver.com/articles/2654796611", "매물Link")</f>
        <v/>
      </c>
      <c r="Q1090" s="6">
        <f>HYPERLINK("https://map.naver.com/p/search/오송읍 정중리 284-7", "지도Link")</f>
        <v/>
      </c>
      <c r="R1090" s="6">
        <f>HYPERLINK("http://www.eum.go.kr/web/ar/lu/luLandDet.jsp?pnu=4311325032102840007&amp;isNoScr=script&amp;mode=search", "토지이음")</f>
        <v/>
      </c>
      <c r="S1090" s="3" t="inlineStr">
        <is>
          <t>스타트</t>
        </is>
      </c>
      <c r="T1090" s="4" t="n">
        <v>1</v>
      </c>
      <c r="U1090" s="5" t="n">
        <v>83.5</v>
      </c>
      <c r="V1090" s="4" t="n">
        <v>380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정중리 556-12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13000</v>
      </c>
      <c r="H1091" s="4" t="n">
        <v>0</v>
      </c>
      <c r="I1091" s="4" t="n">
        <v>133</v>
      </c>
      <c r="J1091" s="4" t="n">
        <v>40</v>
      </c>
      <c r="K1091" s="5" t="n">
        <v>325</v>
      </c>
      <c r="L1091" s="4" t="n">
        <v>29</v>
      </c>
      <c r="M1091" s="4" t="n">
        <v>9</v>
      </c>
      <c r="N1091" s="5" t="n">
        <v>1444.4</v>
      </c>
      <c r="O1091" s="3" t="inlineStr">
        <is>
          <t>주말주택겸 투자용 단독주택</t>
        </is>
      </c>
      <c r="P1091" s="6">
        <f>HYPERLINK("https://fin.land.naver.com/articles/2654656929", "매물Link")</f>
        <v/>
      </c>
      <c r="Q1091" s="6">
        <f>HYPERLINK("https://map.naver.com/p/search/오송읍 정중리 556-12", "지도Link")</f>
        <v/>
      </c>
      <c r="R1091" s="6">
        <f>HYPERLINK("http://www.eum.go.kr/web/ar/lu/luLandDet.jsp?pnu=4311325032105560012&amp;isNoScr=script&amp;mode=search", "토지이음")</f>
        <v/>
      </c>
      <c r="S1091" s="3" t="inlineStr">
        <is>
          <t>원</t>
        </is>
      </c>
      <c r="T1091" s="4" t="n">
        <v>1</v>
      </c>
      <c r="U1091" s="5" t="n">
        <v>138.1</v>
      </c>
      <c r="V1091" s="4" t="n">
        <v>50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세로한면(가)</t>
        </is>
      </c>
    </row>
    <row r="1092">
      <c r="A1092" s="3" t="inlineStr">
        <is>
          <t>오송읍 정중리 556-5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34000</v>
      </c>
      <c r="H1092" s="4" t="n">
        <v>0</v>
      </c>
      <c r="I1092" s="4" t="n">
        <v>268</v>
      </c>
      <c r="J1092" s="4" t="n">
        <v>81</v>
      </c>
      <c r="K1092" s="5" t="n">
        <v>419.8</v>
      </c>
      <c r="L1092" s="4" t="n">
        <v>73</v>
      </c>
      <c r="M1092" s="4" t="n">
        <v>22</v>
      </c>
      <c r="N1092" s="5" t="n">
        <v>1545.5</v>
      </c>
      <c r="O1092" s="3" t="inlineStr">
        <is>
          <t>오송3산단 인근 정중리 도로변 옆 단독주택 즉시입주. 전세도 가능.</t>
        </is>
      </c>
      <c r="P1092" s="6">
        <f>HYPERLINK("https://fin.land.naver.com/articles/2651858414", "매물Link")</f>
        <v/>
      </c>
      <c r="Q1092" s="6">
        <f>HYPERLINK("https://map.naver.com/p/search/오송읍 정중리 556-5", "지도Link")</f>
        <v/>
      </c>
      <c r="R1092" s="6">
        <f>HYPERLINK("http://www.eum.go.kr/web/ar/lu/luLandDet.jsp?pnu=4311325032105560005&amp;isNoScr=script&amp;mode=search", "토지이음")</f>
        <v/>
      </c>
      <c r="S1092" s="3" t="inlineStr">
        <is>
          <t>세종대장</t>
        </is>
      </c>
      <c r="T1092" s="4" t="n">
        <v>1</v>
      </c>
      <c r="U1092" s="5" t="n">
        <v>154.7</v>
      </c>
      <c r="V1092" s="4" t="n">
        <v>268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소로각지</t>
        </is>
      </c>
    </row>
    <row r="1093">
      <c r="A1093" s="3" t="inlineStr">
        <is>
          <t>오송읍 정중리 556-5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전세</t>
        </is>
      </c>
      <c r="G1093" s="4" t="n">
        <v>8000</v>
      </c>
      <c r="H1093" s="4" t="n">
        <v>0</v>
      </c>
      <c r="I1093" s="4" t="n">
        <v>73</v>
      </c>
      <c r="J1093" s="4" t="n">
        <v>22</v>
      </c>
      <c r="K1093" s="5" t="n">
        <v>363.6</v>
      </c>
      <c r="L1093" s="4" t="n">
        <v>73</v>
      </c>
      <c r="M1093" s="4" t="n">
        <v>22</v>
      </c>
      <c r="N1093" s="5" t="n">
        <v>363.6</v>
      </c>
      <c r="O1093" s="3" t="inlineStr">
        <is>
          <t>오랫된 구옥이며 마당에 야채 심을 수 있어요.</t>
        </is>
      </c>
      <c r="P1093" s="6">
        <f>HYPERLINK("https://fin.land.naver.com/articles/2651265798", "매물Link")</f>
        <v/>
      </c>
      <c r="Q1093" s="6">
        <f>HYPERLINK("https://map.naver.com/p/search/오송읍 정중리 556-5", "지도Link")</f>
        <v/>
      </c>
      <c r="R1093" s="6">
        <f>HYPERLINK("http://www.eum.go.kr/web/ar/lu/luLandDet.jsp?pnu=4311325032105560005&amp;isNoScr=script&amp;mode=search", "토지이음")</f>
        <v/>
      </c>
      <c r="S1093" s="3" t="inlineStr">
        <is>
          <t>이순이</t>
        </is>
      </c>
      <c r="T1093" s="4" t="n">
        <v>1</v>
      </c>
      <c r="U1093" s="5" t="n">
        <v>154.7</v>
      </c>
      <c r="V1093" s="4" t="n">
        <v>268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소로각지</t>
        </is>
      </c>
    </row>
    <row r="1094">
      <c r="A1094" s="3" t="inlineStr">
        <is>
          <t>오송읍 정중리 557-17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35000</v>
      </c>
      <c r="H1094" s="4" t="n">
        <v>0</v>
      </c>
      <c r="I1094" s="4" t="n">
        <v>231</v>
      </c>
      <c r="J1094" s="4" t="n">
        <v>70</v>
      </c>
      <c r="K1094" s="5" t="n">
        <v>500</v>
      </c>
      <c r="L1094" s="4" t="n">
        <v>110</v>
      </c>
      <c r="M1094" s="4" t="n">
        <v>33</v>
      </c>
      <c r="N1094" s="5" t="n">
        <v>1060.6</v>
      </c>
      <c r="O1094" s="3" t="inlineStr">
        <is>
          <t>1982년 단독 주택  조치원 인근 투자, 거주 목적으로도 좋아요</t>
        </is>
      </c>
      <c r="P1094" s="6">
        <f>HYPERLINK("https://fin.land.naver.com/articles/2651279765", "매물Link")</f>
        <v/>
      </c>
      <c r="Q1094" s="6">
        <f>HYPERLINK("https://map.naver.com/p/search/오송읍 정중리 557-17", "지도Link")</f>
        <v/>
      </c>
      <c r="R1094" s="6">
        <f>HYPERLINK("http://www.eum.go.kr/web/ar/lu/luLandDet.jsp?pnu=4311325032105570017&amp;isNoScr=script&amp;mode=search", "토지이음")</f>
        <v/>
      </c>
      <c r="S1094" s="3" t="inlineStr">
        <is>
          <t>오송퍼스트영웅</t>
        </is>
      </c>
      <c r="T1094" s="4" t="n">
        <v>1</v>
      </c>
      <c r="U1094" s="5" t="n">
        <v>150.2</v>
      </c>
      <c r="V1094" s="4" t="n">
        <v>231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장군면 금암리 261-15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80000</v>
      </c>
      <c r="H1095" s="4" t="n">
        <v>0</v>
      </c>
      <c r="I1095" s="4" t="n">
        <v>317</v>
      </c>
      <c r="J1095" s="4" t="n">
        <v>96</v>
      </c>
      <c r="K1095" s="5" t="n">
        <v>833.3</v>
      </c>
      <c r="L1095" s="4" t="n">
        <v>499</v>
      </c>
      <c r="M1095" s="4" t="n">
        <v>151</v>
      </c>
      <c r="N1095" s="5" t="n">
        <v>529.8</v>
      </c>
      <c r="O1095" s="3" t="inlineStr">
        <is>
          <t>룸21개, 지하1층2층, 조율가능, 다가구주택</t>
        </is>
      </c>
      <c r="P1095" s="6">
        <f>HYPERLINK("https://fin.land.naver.com/articles/2650893441", "매물Link")</f>
        <v/>
      </c>
      <c r="Q1095" s="6">
        <f>HYPERLINK("https://map.naver.com/p/search/장군면 금암리 261-15", "지도Link")</f>
        <v/>
      </c>
      <c r="R1095" s="6">
        <f>HYPERLINK("http://www.eum.go.kr/web/ar/lu/luLandDet.jsp?pnu=3611035025102610015&amp;isNoScr=script&amp;mode=search", "토지이음")</f>
        <v/>
      </c>
      <c r="S1095" s="3" t="inlineStr">
        <is>
          <t>세종무지개</t>
        </is>
      </c>
      <c r="T1095" s="4" t="n">
        <v>1</v>
      </c>
      <c r="U1095" s="5" t="n">
        <v>180.5</v>
      </c>
      <c r="V1095" s="4" t="n">
        <v>317</v>
      </c>
      <c r="W1095" s="3" t="inlineStr">
        <is>
          <t>지정되지않음</t>
        </is>
      </c>
      <c r="X1095" s="3" t="inlineStr">
        <is>
          <t>연립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소로한면</t>
        </is>
      </c>
    </row>
    <row r="1096">
      <c r="A1096" s="3" t="inlineStr">
        <is>
          <t>장군면 금암리 263-1</t>
        </is>
      </c>
      <c r="B1096" s="3" t="inlineStr">
        <is>
          <t>계획관리지역</t>
        </is>
      </c>
      <c r="C1096" s="3" t="inlineStr">
        <is>
          <t>잡종지</t>
        </is>
      </c>
      <c r="D1096" s="3" t="inlineStr">
        <is>
          <t>2</t>
        </is>
      </c>
      <c r="E1096" s="3" t="inlineStr">
        <is>
          <t>단독</t>
        </is>
      </c>
      <c r="F1096" s="3" t="inlineStr">
        <is>
          <t>매매</t>
        </is>
      </c>
      <c r="G1096" s="4" t="n">
        <v>50000</v>
      </c>
      <c r="H1096" s="4" t="n">
        <v>0</v>
      </c>
      <c r="I1096" s="4" t="n">
        <v>664</v>
      </c>
      <c r="J1096" s="4" t="n">
        <v>201</v>
      </c>
      <c r="K1096" s="5" t="n">
        <v>248.8</v>
      </c>
      <c r="L1096" s="4" t="n">
        <v>147</v>
      </c>
      <c r="M1096" s="4" t="n">
        <v>44</v>
      </c>
      <c r="N1096" s="5" t="n">
        <v>1136.4</v>
      </c>
      <c r="O1096" s="3" t="inlineStr">
        <is>
          <t>2층 단독주택 테라스 마당 있으며 조용하게 거주가능</t>
        </is>
      </c>
      <c r="P1096" s="6">
        <f>HYPERLINK("https://fin.land.naver.com/articles/2651572708", "매물Link")</f>
        <v/>
      </c>
      <c r="Q1096" s="6">
        <f>HYPERLINK("https://map.naver.com/p/search/장군면 금암리 263-1", "지도Link")</f>
        <v/>
      </c>
      <c r="R1096" s="6">
        <f>HYPERLINK("http://www.eum.go.kr/web/ar/lu/luLandDet.jsp?pnu=3611035025102630001&amp;isNoScr=script&amp;mode=search", "토지이음")</f>
        <v/>
      </c>
      <c r="S1096" s="3" t="inlineStr">
        <is>
          <t>여기로</t>
        </is>
      </c>
      <c r="T1096" s="4" t="n">
        <v>1</v>
      </c>
      <c r="U1096" s="5" t="n">
        <v>167.1</v>
      </c>
      <c r="V1096" s="4" t="n">
        <v>280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소로한면</t>
        </is>
      </c>
    </row>
    <row r="1097">
      <c r="A1097" s="3" t="inlineStr">
        <is>
          <t>장군면 금암리 263-4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상가주택</t>
        </is>
      </c>
      <c r="F1097" s="3" t="inlineStr">
        <is>
          <t>매매</t>
        </is>
      </c>
      <c r="G1097" s="4" t="n">
        <v>110000</v>
      </c>
      <c r="H1097" s="4" t="n">
        <v>0</v>
      </c>
      <c r="I1097" s="4" t="n">
        <v>679</v>
      </c>
      <c r="J1097" s="4" t="n">
        <v>205</v>
      </c>
      <c r="K1097" s="5" t="n">
        <v>536.6</v>
      </c>
      <c r="L1097" s="4" t="n">
        <v>282</v>
      </c>
      <c r="M1097" s="4" t="n">
        <v>85</v>
      </c>
      <c r="N1097" s="5" t="n">
        <v>1294.1</v>
      </c>
      <c r="O1097" s="3" t="inlineStr">
        <is>
          <t>대지 매우 큰 상가주택, 1층 음식점 카페 주택 I 행복도심 바로 인</t>
        </is>
      </c>
      <c r="P1097" s="6">
        <f>HYPERLINK("https://fin.land.naver.com/articles/2655033674", "매물Link")</f>
        <v/>
      </c>
      <c r="Q1097" s="6">
        <f>HYPERLINK("https://map.naver.com/p/search/장군면 금암리 263-4", "지도Link")</f>
        <v/>
      </c>
      <c r="R1097" s="6">
        <f>HYPERLINK("http://www.eum.go.kr/web/ar/lu/luLandDet.jsp?pnu=3611035025102630004&amp;isNoScr=script&amp;mode=search", "토지이음")</f>
        <v/>
      </c>
      <c r="S1097" s="3" t="inlineStr">
        <is>
          <t>세종신한</t>
        </is>
      </c>
      <c r="T1097" s="4" t="n">
        <v>1</v>
      </c>
      <c r="U1097" s="5" t="n">
        <v>147.1</v>
      </c>
      <c r="V1097" s="4" t="n">
        <v>679</v>
      </c>
      <c r="W1097" s="3" t="inlineStr">
        <is>
          <t>지정되지않음</t>
        </is>
      </c>
      <c r="X1097" s="3" t="inlineStr">
        <is>
          <t>상업용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소로한면</t>
        </is>
      </c>
    </row>
    <row r="1098">
      <c r="A1098" s="3" t="inlineStr">
        <is>
          <t>장군면 금암리 263-4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상가주택</t>
        </is>
      </c>
      <c r="F1098" s="3" t="inlineStr">
        <is>
          <t>매매</t>
        </is>
      </c>
      <c r="G1098" s="4" t="n">
        <v>110000</v>
      </c>
      <c r="H1098" s="4" t="n">
        <v>0</v>
      </c>
      <c r="I1098" s="4" t="n">
        <v>1193</v>
      </c>
      <c r="J1098" s="4" t="n">
        <v>361</v>
      </c>
      <c r="K1098" s="5" t="n">
        <v>304.7</v>
      </c>
      <c r="L1098" s="4" t="n">
        <v>282</v>
      </c>
      <c r="M1098" s="4" t="n">
        <v>85</v>
      </c>
      <c r="N1098" s="5" t="n">
        <v>1294.1</v>
      </c>
      <c r="O1098" s="3" t="inlineStr">
        <is>
          <t>영상정보대 입구 2차선 도로와 연접한 위치의 상가주택 대형 주차장</t>
        </is>
      </c>
      <c r="P1098" s="6">
        <f>HYPERLINK("https://fin.land.naver.com/articles/2650884237", "매물Link")</f>
        <v/>
      </c>
      <c r="Q1098" s="6">
        <f>HYPERLINK("https://map.naver.com/p/search/장군면 금암리 263-4", "지도Link")</f>
        <v/>
      </c>
      <c r="R1098" s="6">
        <f>HYPERLINK("http://www.eum.go.kr/web/ar/lu/luLandDet.jsp?pnu=3611035025102630004&amp;isNoScr=script&amp;mode=search", "토지이음")</f>
        <v/>
      </c>
      <c r="S1098" s="3" t="inlineStr">
        <is>
          <t>세종공주원탑</t>
        </is>
      </c>
      <c r="T1098" s="4" t="n">
        <v>1</v>
      </c>
      <c r="U1098" s="5" t="n">
        <v>147.1</v>
      </c>
      <c r="V1098" s="4" t="n">
        <v>679</v>
      </c>
      <c r="W1098" s="3" t="inlineStr">
        <is>
          <t>지정되지않음</t>
        </is>
      </c>
      <c r="X1098" s="3" t="inlineStr">
        <is>
          <t>상업용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소로한면</t>
        </is>
      </c>
    </row>
    <row r="1099">
      <c r="A1099" s="3" t="inlineStr">
        <is>
          <t>장군면 금암리 287-3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다가구</t>
        </is>
      </c>
      <c r="F1099" s="3" t="inlineStr">
        <is>
          <t>월세</t>
        </is>
      </c>
      <c r="G1099" s="4" t="n">
        <v>300</v>
      </c>
      <c r="H1099" s="4" t="n">
        <v>40</v>
      </c>
      <c r="I1099" s="4" t="n">
        <v>46</v>
      </c>
      <c r="J1099" s="4" t="n">
        <v>14</v>
      </c>
      <c r="K1099" s="5" t="n">
        <v>2.9</v>
      </c>
      <c r="L1099" s="4" t="n">
        <v>46</v>
      </c>
      <c r="M1099" s="4" t="n">
        <v>14</v>
      </c>
      <c r="N1099" s="5" t="n">
        <v>2.9</v>
      </c>
      <c r="O1099" s="3" t="inlineStr">
        <is>
          <t>즉시입주 채광좋음 전망굿</t>
        </is>
      </c>
      <c r="P1099" s="6">
        <f>HYPERLINK("https://fin.land.naver.com/articles/2652894240", "매물Link")</f>
        <v/>
      </c>
      <c r="Q1099" s="6">
        <f>HYPERLINK("https://map.naver.com/p/search/장군면 금암리 287-3", "지도Link")</f>
        <v/>
      </c>
      <c r="R1099" s="6">
        <f>HYPERLINK("http://www.eum.go.kr/web/ar/lu/luLandDet.jsp?pnu=3611035025102870003&amp;isNoScr=script&amp;mode=search", "토지이음")</f>
        <v/>
      </c>
      <c r="S1099" s="3" t="inlineStr">
        <is>
          <t>세종몽땅</t>
        </is>
      </c>
      <c r="T1099" s="4" t="n">
        <v>1</v>
      </c>
      <c r="U1099" s="5" t="n">
        <v>200.6</v>
      </c>
      <c r="V1099" s="4" t="n">
        <v>1104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완경사</t>
        </is>
      </c>
      <c r="Z1099" s="3" t="inlineStr">
        <is>
          <t>사다리형</t>
        </is>
      </c>
      <c r="AA1099" s="3" t="inlineStr">
        <is>
          <t>세로한면(가)</t>
        </is>
      </c>
    </row>
    <row r="1100">
      <c r="A1100" s="3" t="inlineStr">
        <is>
          <t>장군면 금암리 302-18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매매</t>
        </is>
      </c>
      <c r="G1100" s="4" t="n">
        <v>82000</v>
      </c>
      <c r="H1100" s="4" t="n">
        <v>0</v>
      </c>
      <c r="I1100" s="4" t="n">
        <v>776</v>
      </c>
      <c r="J1100" s="4" t="n">
        <v>235</v>
      </c>
      <c r="K1100" s="5" t="n">
        <v>348.9</v>
      </c>
      <c r="L1100" s="4" t="n">
        <v>83</v>
      </c>
      <c r="M1100" s="4" t="n">
        <v>25</v>
      </c>
      <c r="N1100" s="5" t="n">
        <v>3280</v>
      </c>
      <c r="O1100" s="3" t="inlineStr">
        <is>
          <t>급매, 주택가격 미포함, 단독주택지 추천</t>
        </is>
      </c>
      <c r="P1100" s="6">
        <f>HYPERLINK("https://fin.land.naver.com/articles/2650706341", "매물Link")</f>
        <v/>
      </c>
      <c r="Q1100" s="6">
        <f>HYPERLINK("https://map.naver.com/p/search/장군면 금암리 302-18", "지도Link")</f>
        <v/>
      </c>
      <c r="R1100" s="6">
        <f>HYPERLINK("http://www.eum.go.kr/web/ar/lu/luLandDet.jsp?pnu=3611035025103020018&amp;isNoScr=script&amp;mode=search", "토지이음")</f>
        <v/>
      </c>
      <c r="S1100" s="3" t="inlineStr">
        <is>
          <t>두진</t>
        </is>
      </c>
      <c r="T1100" s="4" t="n">
        <v>1</v>
      </c>
      <c r="U1100" s="5" t="n">
        <v>202.6</v>
      </c>
      <c r="V1100" s="4" t="n">
        <v>776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완경사</t>
        </is>
      </c>
      <c r="Z1100" s="3" t="inlineStr">
        <is>
          <t>사다리형</t>
        </is>
      </c>
      <c r="AA1100" s="3" t="inlineStr">
        <is>
          <t>세로한면(가)</t>
        </is>
      </c>
    </row>
    <row r="1101">
      <c r="A1101" s="3" t="inlineStr">
        <is>
          <t>장군면 금암리 302-43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매매</t>
        </is>
      </c>
      <c r="G1101" s="4" t="n">
        <v>140000</v>
      </c>
      <c r="H1101" s="4" t="n">
        <v>0</v>
      </c>
      <c r="I1101" s="4" t="n">
        <v>585</v>
      </c>
      <c r="J1101" s="4" t="n">
        <v>177</v>
      </c>
      <c r="K1101" s="5" t="n">
        <v>791</v>
      </c>
      <c r="L1101" s="4" t="n">
        <v>174</v>
      </c>
      <c r="M1101" s="4" t="n">
        <v>53</v>
      </c>
      <c r="N1101" s="5" t="n">
        <v>2641.5</v>
      </c>
      <c r="O1101" s="3" t="inlineStr">
        <is>
          <t>nan</t>
        </is>
      </c>
      <c r="P1101" s="6">
        <f>HYPERLINK("https://fin.land.naver.com/articles/2650707118", "매물Link")</f>
        <v/>
      </c>
      <c r="Q1101" s="6">
        <f>HYPERLINK("https://map.naver.com/p/search/장군면 금암리 302-43", "지도Link")</f>
        <v/>
      </c>
      <c r="R1101" s="6">
        <f>HYPERLINK("http://www.eum.go.kr/web/ar/lu/luLandDet.jsp?pnu=3611035025103020043&amp;isNoScr=script&amp;mode=search", "토지이음")</f>
        <v/>
      </c>
      <c r="S1101" s="3" t="inlineStr">
        <is>
          <t>세종대평</t>
        </is>
      </c>
      <c r="T1101" s="4" t="n">
        <v>1</v>
      </c>
      <c r="U1101" s="5" t="n">
        <v>202.6</v>
      </c>
      <c r="V1101" s="4" t="n">
        <v>585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완경사</t>
        </is>
      </c>
      <c r="Z1101" s="3" t="inlineStr">
        <is>
          <t>사다리형</t>
        </is>
      </c>
      <c r="AA1101" s="3" t="inlineStr">
        <is>
          <t>세로한면(가)</t>
        </is>
      </c>
    </row>
    <row r="1102">
      <c r="A1102" s="3" t="inlineStr">
        <is>
          <t>장군면 금암리 302-59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전원주택</t>
        </is>
      </c>
      <c r="F1102" s="3" t="inlineStr">
        <is>
          <t>월세</t>
        </is>
      </c>
      <c r="G1102" s="4" t="n">
        <v>5000</v>
      </c>
      <c r="H1102" s="4" t="n">
        <v>250</v>
      </c>
      <c r="I1102" s="4" t="n">
        <v>629</v>
      </c>
      <c r="J1102" s="4" t="n">
        <v>190</v>
      </c>
      <c r="K1102" s="5" t="n">
        <v>1.3</v>
      </c>
      <c r="L1102" s="4" t="n">
        <v>198</v>
      </c>
      <c r="M1102" s="4" t="n">
        <v>60</v>
      </c>
      <c r="N1102" s="5" t="n">
        <v>4.2</v>
      </c>
      <c r="O1102" s="3" t="inlineStr">
        <is>
          <t>전망 최고,2층 목조주택,</t>
        </is>
      </c>
      <c r="P1102" s="6">
        <f>HYPERLINK("https://fin.land.naver.com/articles/2654469986", "매물Link")</f>
        <v/>
      </c>
      <c r="Q1102" s="6">
        <f>HYPERLINK("https://map.naver.com/p/search/장군면 금암리 302-59", "지도Link")</f>
        <v/>
      </c>
      <c r="R1102" s="6">
        <f>HYPERLINK("http://www.eum.go.kr/web/ar/lu/luLandDet.jsp?pnu=3611035025103020059&amp;isNoScr=script&amp;mode=search", "토지이음")</f>
        <v/>
      </c>
      <c r="S1102" s="3" t="inlineStr">
        <is>
          <t>나릿재OK</t>
        </is>
      </c>
      <c r="T1102" s="4" t="n">
        <v>1</v>
      </c>
      <c r="U1102" s="5" t="n">
        <v>200.6</v>
      </c>
      <c r="V1102" s="4" t="n">
        <v>743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완경사</t>
        </is>
      </c>
      <c r="Z1102" s="3" t="inlineStr">
        <is>
          <t>사다리형</t>
        </is>
      </c>
      <c r="AA1102" s="3" t="inlineStr">
        <is>
          <t>세로한면(가)</t>
        </is>
      </c>
    </row>
    <row r="1103">
      <c r="A1103" s="3" t="inlineStr">
        <is>
          <t>장군면 금암리 302-62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월세</t>
        </is>
      </c>
      <c r="G1103" s="4" t="n">
        <v>2000</v>
      </c>
      <c r="H1103" s="4" t="n">
        <v>70</v>
      </c>
      <c r="I1103" s="4" t="n">
        <v>656</v>
      </c>
      <c r="J1103" s="4" t="n">
        <v>198</v>
      </c>
      <c r="K1103" s="5" t="n">
        <v>0.4</v>
      </c>
      <c r="L1103" s="4" t="n">
        <v>68</v>
      </c>
      <c r="M1103" s="4" t="n">
        <v>21</v>
      </c>
      <c r="N1103" s="5" t="n">
        <v>3.3</v>
      </c>
      <c r="O1103" s="3" t="inlineStr">
        <is>
          <t>마당 넒은 전원주택, 이마트 자차10분,세종청사 근거리</t>
        </is>
      </c>
      <c r="P1103" s="6">
        <f>HYPERLINK("https://fin.land.naver.com/articles/2651664330", "매물Link")</f>
        <v/>
      </c>
      <c r="Q1103" s="6">
        <f>HYPERLINK("https://map.naver.com/p/search/장군면 금암리 302-62", "지도Link")</f>
        <v/>
      </c>
      <c r="R1103" s="6">
        <f>HYPERLINK("http://www.eum.go.kr/web/ar/lu/luLandDet.jsp?pnu=3611035025103020062&amp;isNoScr=script&amp;mode=search", "토지이음")</f>
        <v/>
      </c>
      <c r="S1103" s="3" t="inlineStr">
        <is>
          <t>나릿재OK</t>
        </is>
      </c>
      <c r="T1103" s="4" t="n">
        <v>1</v>
      </c>
      <c r="U1103" s="5" t="n">
        <v>200.6</v>
      </c>
      <c r="V1103" s="4" t="n">
        <v>656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완경사</t>
        </is>
      </c>
      <c r="Z1103" s="3" t="inlineStr">
        <is>
          <t>사다리형</t>
        </is>
      </c>
      <c r="AA1103" s="3" t="inlineStr">
        <is>
          <t>세로한면(가)</t>
        </is>
      </c>
    </row>
    <row r="1104">
      <c r="A1104" s="3" t="inlineStr">
        <is>
          <t>장군면 금암리 302-84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단독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327</v>
      </c>
      <c r="J1104" s="4" t="n">
        <v>99</v>
      </c>
      <c r="K1104" s="5" t="n">
        <v>757.6</v>
      </c>
      <c r="L1104" s="4" t="n">
        <v>157</v>
      </c>
      <c r="M1104" s="4" t="n">
        <v>47</v>
      </c>
      <c r="N1104" s="5" t="n">
        <v>1595.7</v>
      </c>
      <c r="O1104" s="3" t="inlineStr">
        <is>
          <t>조용하고 쾌적한 전원마을, 근접한 세종시 인프라 그대로 누릴수 있음</t>
        </is>
      </c>
      <c r="P1104" s="6">
        <f>HYPERLINK("https://fin.land.naver.com/articles/2655359766", "매물Link")</f>
        <v/>
      </c>
      <c r="Q1104" s="6">
        <f>HYPERLINK("https://map.naver.com/p/search/장군면 금암리 302-84", "지도Link")</f>
        <v/>
      </c>
      <c r="R1104" s="6">
        <f>HYPERLINK("http://www.eum.go.kr/web/ar/lu/luLandDet.jsp?pnu=3611035025103020084&amp;isNoScr=script&amp;mode=search", "토지이음")</f>
        <v/>
      </c>
      <c r="S1104" s="3" t="inlineStr">
        <is>
          <t>the다올</t>
        </is>
      </c>
      <c r="T1104" s="4" t="n">
        <v>1</v>
      </c>
      <c r="U1104" s="5" t="n">
        <v>204.6</v>
      </c>
      <c r="V1104" s="4" t="n">
        <v>327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완경사</t>
        </is>
      </c>
      <c r="Z1104" s="3" t="inlineStr">
        <is>
          <t>사다리형</t>
        </is>
      </c>
      <c r="AA1104" s="3" t="inlineStr">
        <is>
          <t>세로각지(가)</t>
        </is>
      </c>
    </row>
    <row r="1105">
      <c r="A1105" s="3" t="inlineStr">
        <is>
          <t>장군면 금암리 314-13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전원주택</t>
        </is>
      </c>
      <c r="F1105" s="3" t="inlineStr">
        <is>
          <t>매매</t>
        </is>
      </c>
      <c r="G1105" s="4" t="n">
        <v>130000</v>
      </c>
      <c r="H1105" s="4" t="n">
        <v>0</v>
      </c>
      <c r="I1105" s="4" t="n">
        <v>464</v>
      </c>
      <c r="J1105" s="4" t="n">
        <v>140</v>
      </c>
      <c r="K1105" s="5" t="n">
        <v>928.6</v>
      </c>
      <c r="L1105" s="4" t="n">
        <v>191</v>
      </c>
      <c r="M1105" s="4" t="n">
        <v>58</v>
      </c>
      <c r="N1105" s="5" t="n">
        <v>2241.4</v>
      </c>
      <c r="O1105" s="3" t="inlineStr">
        <is>
          <t>시원한 뻥뷰 대지 넓은 청벽마을 사계절예쁜</t>
        </is>
      </c>
      <c r="P1105" s="6">
        <f>HYPERLINK("https://fin.land.naver.com/articles/2651733839", "매물Link")</f>
        <v/>
      </c>
      <c r="Q1105" s="6">
        <f>HYPERLINK("https://map.naver.com/p/search/장군면 금암리 314-13", "지도Link")</f>
        <v/>
      </c>
      <c r="R1105" s="6">
        <f>HYPERLINK("http://www.eum.go.kr/web/ar/lu/luLandDet.jsp?pnu=3611035025103140013&amp;isNoScr=script&amp;mode=search", "토지이음")</f>
        <v/>
      </c>
      <c r="S1105" s="3" t="inlineStr">
        <is>
          <t>THE행복</t>
        </is>
      </c>
      <c r="T1105" s="4" t="n">
        <v>1</v>
      </c>
      <c r="U1105" s="5" t="n">
        <v>200.6</v>
      </c>
      <c r="V1105" s="4" t="n">
        <v>464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완경사</t>
        </is>
      </c>
      <c r="Z1105" s="3" t="inlineStr">
        <is>
          <t>사다리형</t>
        </is>
      </c>
      <c r="AA1105" s="3" t="inlineStr">
        <is>
          <t>세로한면(가)</t>
        </is>
      </c>
    </row>
    <row r="1106">
      <c r="A1106" s="3" t="inlineStr">
        <is>
          <t>장군면 금암리 314-20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전원주택</t>
        </is>
      </c>
      <c r="F1106" s="3" t="inlineStr">
        <is>
          <t>매매</t>
        </is>
      </c>
      <c r="G1106" s="4" t="n">
        <v>67000</v>
      </c>
      <c r="H1106" s="4" t="n">
        <v>0</v>
      </c>
      <c r="I1106" s="4" t="n">
        <v>523</v>
      </c>
      <c r="J1106" s="4" t="n">
        <v>158</v>
      </c>
      <c r="K1106" s="5" t="n">
        <v>424.1</v>
      </c>
      <c r="L1106" s="4" t="n">
        <v>95</v>
      </c>
      <c r="M1106" s="4" t="n">
        <v>29</v>
      </c>
      <c r="N1106" s="5" t="n">
        <v>2310.3</v>
      </c>
      <c r="O1106" s="3" t="inlineStr">
        <is>
          <t>nan</t>
        </is>
      </c>
      <c r="P1106" s="6">
        <f>HYPERLINK("https://fin.land.naver.com/articles/2655399853", "매물Link")</f>
        <v/>
      </c>
      <c r="Q1106" s="6">
        <f>HYPERLINK("https://map.naver.com/p/search/장군면 금암리 314-20", "지도Link")</f>
        <v/>
      </c>
      <c r="R1106" s="6">
        <f>HYPERLINK("http://www.eum.go.kr/web/ar/lu/luLandDet.jsp?pnu=3611035025103140020&amp;isNoScr=script&amp;mode=search", "토지이음")</f>
        <v/>
      </c>
      <c r="S1106" s="3" t="inlineStr">
        <is>
          <t>세종참</t>
        </is>
      </c>
      <c r="T1106" s="4" t="n">
        <v>2</v>
      </c>
      <c r="U1106" s="5" t="n">
        <v>200.6</v>
      </c>
      <c r="V1106" s="4" t="n">
        <v>523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완경사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장군면 금암리 314-20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67000</v>
      </c>
      <c r="H1107" s="4" t="n">
        <v>0</v>
      </c>
      <c r="I1107" s="4" t="n">
        <v>523</v>
      </c>
      <c r="J1107" s="4" t="n">
        <v>158</v>
      </c>
      <c r="K1107" s="5" t="n">
        <v>424.1</v>
      </c>
      <c r="L1107" s="4" t="n">
        <v>95</v>
      </c>
      <c r="M1107" s="4" t="n">
        <v>29</v>
      </c>
      <c r="N1107" s="5" t="n">
        <v>2310.3</v>
      </c>
      <c r="O1107" s="3" t="inlineStr">
        <is>
          <t>복층  집 청벽마을 입주 매수 조건 적극적으로  협의 하시게요</t>
        </is>
      </c>
      <c r="P1107" s="6">
        <f>HYPERLINK("https://fin.land.naver.com/articles/2654651656", "매물Link")</f>
        <v/>
      </c>
      <c r="Q1107" s="6">
        <f>HYPERLINK("https://map.naver.com/p/search/장군면 금암리 314-20", "지도Link")</f>
        <v/>
      </c>
      <c r="R1107" s="6">
        <f>HYPERLINK("http://www.eum.go.kr/web/ar/lu/luLandDet.jsp?pnu=3611035025103140020&amp;isNoScr=script&amp;mode=search", "토지이음")</f>
        <v/>
      </c>
      <c r="S1107" s="3" t="inlineStr">
        <is>
          <t>삼성래미안</t>
        </is>
      </c>
      <c r="T1107" s="4" t="n">
        <v>4</v>
      </c>
      <c r="U1107" s="5" t="n">
        <v>200.6</v>
      </c>
      <c r="V1107" s="4" t="n">
        <v>523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완경사</t>
        </is>
      </c>
      <c r="Z1107" s="3" t="inlineStr">
        <is>
          <t>사다리형</t>
        </is>
      </c>
      <c r="AA1107" s="3" t="inlineStr">
        <is>
          <t>세로한면(가)</t>
        </is>
      </c>
    </row>
    <row r="1108">
      <c r="A1108" s="3" t="inlineStr">
        <is>
          <t>장군면 금암리 314-24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75000</v>
      </c>
      <c r="H1108" s="4" t="n">
        <v>0</v>
      </c>
      <c r="I1108" s="4" t="n">
        <v>434</v>
      </c>
      <c r="J1108" s="4" t="n">
        <v>131</v>
      </c>
      <c r="K1108" s="5" t="n">
        <v>572.5</v>
      </c>
      <c r="L1108" s="4" t="n">
        <v>173</v>
      </c>
      <c r="M1108" s="4" t="n">
        <v>52</v>
      </c>
      <c r="N1108" s="5" t="n">
        <v>1442.3</v>
      </c>
      <c r="O1108" s="3" t="inlineStr">
        <is>
          <t>청벽마을 청벽의 절경 금강 뷰 최상, 아담한 태양열 전원주택,가격조정가능</t>
        </is>
      </c>
      <c r="P1108" s="6">
        <f>HYPERLINK("https://fin.land.naver.com/articles/2653220866", "매물Link")</f>
        <v/>
      </c>
      <c r="Q1108" s="6">
        <f>HYPERLINK("https://map.naver.com/p/search/장군면 금암리 314-24", "지도Link")</f>
        <v/>
      </c>
      <c r="R1108" s="6">
        <f>HYPERLINK("http://www.eum.go.kr/web/ar/lu/luLandDet.jsp?pnu=3611035025103140024&amp;isNoScr=script&amp;mode=search", "토지이음")</f>
        <v/>
      </c>
      <c r="S1108" s="3" t="inlineStr">
        <is>
          <t>고운맘</t>
        </is>
      </c>
      <c r="T1108" s="4" t="n">
        <v>1</v>
      </c>
      <c r="U1108" s="5" t="n">
        <v>200.6</v>
      </c>
      <c r="V1108" s="4" t="n">
        <v>434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완경사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장군면 금암리 314-24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매매</t>
        </is>
      </c>
      <c r="G1109" s="4" t="n">
        <v>75000</v>
      </c>
      <c r="H1109" s="4" t="n">
        <v>0</v>
      </c>
      <c r="I1109" s="4" t="n">
        <v>434</v>
      </c>
      <c r="J1109" s="4" t="n">
        <v>131</v>
      </c>
      <c r="K1109" s="5" t="n">
        <v>572.5</v>
      </c>
      <c r="L1109" s="4" t="n">
        <v>173</v>
      </c>
      <c r="M1109" s="4" t="n">
        <v>52</v>
      </c>
      <c r="N1109" s="5" t="n">
        <v>1442.3</v>
      </c>
      <c r="O1109" s="3" t="inlineStr">
        <is>
          <t>금암리 귀한 주택. 전화주셔요</t>
        </is>
      </c>
      <c r="P1109" s="6">
        <f>HYPERLINK("https://fin.land.naver.com/articles/2652834506", "매물Link")</f>
        <v/>
      </c>
      <c r="Q1109" s="6">
        <f>HYPERLINK("https://map.naver.com/p/search/장군면 금암리 314-24", "지도Link")</f>
        <v/>
      </c>
      <c r="R1109" s="6">
        <f>HYPERLINK("http://www.eum.go.kr/web/ar/lu/luLandDet.jsp?pnu=3611035025103140024&amp;isNoScr=script&amp;mode=search", "토지이음")</f>
        <v/>
      </c>
      <c r="S1109" s="3" t="inlineStr">
        <is>
          <t>최무연</t>
        </is>
      </c>
      <c r="T1109" s="4" t="n">
        <v>1</v>
      </c>
      <c r="U1109" s="5" t="n">
        <v>200.6</v>
      </c>
      <c r="V1109" s="4" t="n">
        <v>434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완경사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장군면 금암리 314-71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단독</t>
        </is>
      </c>
      <c r="F1110" s="3" t="inlineStr">
        <is>
          <t>매매</t>
        </is>
      </c>
      <c r="G1110" s="4" t="n">
        <v>95000</v>
      </c>
      <c r="H1110" s="4" t="n">
        <v>0</v>
      </c>
      <c r="I1110" s="4" t="n">
        <v>597</v>
      </c>
      <c r="J1110" s="4" t="n">
        <v>181</v>
      </c>
      <c r="K1110" s="5" t="n">
        <v>524.9</v>
      </c>
      <c r="L1110" s="4" t="n">
        <v>150</v>
      </c>
      <c r="M1110" s="4" t="n">
        <v>45</v>
      </c>
      <c r="N1110" s="5" t="n">
        <v>2111.1</v>
      </c>
      <c r="O1110" s="3" t="inlineStr">
        <is>
          <t>수목원앞 위치한 전원마을 단독주택</t>
        </is>
      </c>
      <c r="P1110" s="6">
        <f>HYPERLINK("https://fin.land.naver.com/articles/2650339728", "매물Link")</f>
        <v/>
      </c>
      <c r="Q1110" s="6">
        <f>HYPERLINK("https://map.naver.com/p/search/장군면 금암리 314-71", "지도Link")</f>
        <v/>
      </c>
      <c r="R1110" s="6">
        <f>HYPERLINK("http://www.eum.go.kr/web/ar/lu/luLandDet.jsp?pnu=3611035025103140071&amp;isNoScr=script&amp;mode=search", "토지이음")</f>
        <v/>
      </c>
      <c r="S1110" s="3" t="inlineStr">
        <is>
          <t>해들마루</t>
        </is>
      </c>
      <c r="T1110" s="4" t="n">
        <v>1</v>
      </c>
      <c r="U1110" s="5" t="n">
        <v>200.6</v>
      </c>
      <c r="V1110" s="4" t="n">
        <v>597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완경사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장군면 금암리 314-84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매매</t>
        </is>
      </c>
      <c r="G1111" s="4" t="n">
        <v>120000</v>
      </c>
      <c r="H1111" s="4" t="n">
        <v>0</v>
      </c>
      <c r="I1111" s="4" t="n">
        <v>632</v>
      </c>
      <c r="J1111" s="4" t="n">
        <v>191</v>
      </c>
      <c r="K1111" s="5" t="n">
        <v>628.3</v>
      </c>
      <c r="L1111" s="4" t="n">
        <v>189</v>
      </c>
      <c r="M1111" s="4" t="n">
        <v>57</v>
      </c>
      <c r="N1111" s="5" t="n">
        <v>2105.3</v>
      </c>
      <c r="O1111" s="3" t="inlineStr">
        <is>
          <t>도심의 접근성과 힐링형 주거지, 입체적인 정원, 마당 활용도 높음</t>
        </is>
      </c>
      <c r="P1111" s="6">
        <f>HYPERLINK("https://fin.land.naver.com/articles/2652685633", "매물Link")</f>
        <v/>
      </c>
      <c r="Q1111" s="6">
        <f>HYPERLINK("https://map.naver.com/p/search/장군면 금암리 314-84", "지도Link")</f>
        <v/>
      </c>
      <c r="R1111" s="6">
        <f>HYPERLINK("http://www.eum.go.kr/web/ar/lu/luLandDet.jsp?pnu=3611035025103140084&amp;isNoScr=script&amp;mode=search", "토지이음")</f>
        <v/>
      </c>
      <c r="S1111" s="3" t="inlineStr">
        <is>
          <t>죽전역에일린의뜰</t>
        </is>
      </c>
      <c r="T1111" s="4" t="n">
        <v>1</v>
      </c>
      <c r="U1111" s="5" t="n">
        <v>200.6</v>
      </c>
      <c r="V1111" s="4" t="n">
        <v>632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완경사</t>
        </is>
      </c>
      <c r="Z1111" s="3" t="inlineStr">
        <is>
          <t>정방형</t>
        </is>
      </c>
      <c r="AA1111" s="3" t="inlineStr">
        <is>
          <t>세로한면(가)</t>
        </is>
      </c>
    </row>
    <row r="1112">
      <c r="A1112" s="3" t="inlineStr">
        <is>
          <t>장군면 금암리 327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전원주택</t>
        </is>
      </c>
      <c r="F1112" s="3" t="inlineStr">
        <is>
          <t>매매</t>
        </is>
      </c>
      <c r="G1112" s="4" t="n">
        <v>90000</v>
      </c>
      <c r="H1112" s="4" t="n">
        <v>0</v>
      </c>
      <c r="I1112" s="4" t="n">
        <v>795</v>
      </c>
      <c r="J1112" s="4" t="n">
        <v>240</v>
      </c>
      <c r="K1112" s="5" t="n">
        <v>375</v>
      </c>
      <c r="L1112" s="4" t="n">
        <v>146</v>
      </c>
      <c r="M1112" s="4" t="n">
        <v>44</v>
      </c>
      <c r="N1112" s="5" t="n">
        <v>2045.5</v>
      </c>
      <c r="O1112" s="3" t="inlineStr">
        <is>
          <t>잔디밭과 정원 등이 잘 가꾸어진 양지바른 정남향의 전원주택 협의입주가능</t>
        </is>
      </c>
      <c r="P1112" s="6">
        <f>HYPERLINK("https://fin.land.naver.com/articles/2650730292", "매물Link")</f>
        <v/>
      </c>
      <c r="Q1112" s="6">
        <f>HYPERLINK("https://map.naver.com/p/search/장군면 금암리 327", "지도Link")</f>
        <v/>
      </c>
      <c r="R1112" s="6">
        <f>HYPERLINK("http://www.eum.go.kr/web/ar/lu/luLandDet.jsp?pnu=3611035025103270000&amp;isNoScr=script&amp;mode=search", "토지이음")</f>
        <v/>
      </c>
      <c r="S1112" s="3" t="inlineStr">
        <is>
          <t>정보은행</t>
        </is>
      </c>
      <c r="T1112" s="4" t="n">
        <v>1</v>
      </c>
      <c r="U1112" s="5" t="n">
        <v>164.5</v>
      </c>
      <c r="V1112" s="4" t="n">
        <v>724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부정형</t>
        </is>
      </c>
      <c r="AA1112" s="3" t="inlineStr">
        <is>
          <t>세로한면(가)</t>
        </is>
      </c>
    </row>
    <row r="1113">
      <c r="A1113" s="3" t="inlineStr">
        <is>
          <t>장군면 금암리 378-29</t>
        </is>
      </c>
      <c r="B1113" s="3" t="inlineStr">
        <is>
          <t>보전관리지역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매매</t>
        </is>
      </c>
      <c r="G1113" s="4" t="n">
        <v>169000</v>
      </c>
      <c r="H1113" s="4" t="n">
        <v>0</v>
      </c>
      <c r="I1113" s="4" t="n">
        <v>495</v>
      </c>
      <c r="J1113" s="4" t="n">
        <v>150</v>
      </c>
      <c r="K1113" s="5" t="n">
        <v>1126.7</v>
      </c>
      <c r="L1113" s="4" t="n">
        <v>368</v>
      </c>
      <c r="M1113" s="4" t="n">
        <v>111</v>
      </c>
      <c r="N1113" s="5" t="n">
        <v>1522.5</v>
      </c>
      <c r="O1113" s="3" t="inlineStr">
        <is>
          <t>앞에는 금강뷰가 환상적인 단독주택,뒤에는 산조망권</t>
        </is>
      </c>
      <c r="P1113" s="6">
        <f>HYPERLINK("https://fin.land.naver.com/articles/2653123650", "매물Link")</f>
        <v/>
      </c>
      <c r="Q1113" s="6">
        <f>HYPERLINK("https://map.naver.com/p/search/장군면 금암리 378-29", "지도Link")</f>
        <v/>
      </c>
      <c r="R1113" s="6">
        <f>HYPERLINK("http://www.eum.go.kr/web/ar/lu/luLandDet.jsp?pnu=3611035025103780029&amp;isNoScr=script&amp;mode=search", "토지이음")</f>
        <v/>
      </c>
      <c r="S1113" s="3" t="inlineStr">
        <is>
          <t>다산</t>
        </is>
      </c>
      <c r="T1113" s="4" t="n">
        <v>1</v>
      </c>
      <c r="U1113" s="5" t="n">
        <v>196.2</v>
      </c>
      <c r="V1113" s="4" t="n">
        <v>495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완경사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장군면 금암리 378-43</t>
        </is>
      </c>
      <c r="B1114" s="3" t="inlineStr">
        <is>
          <t>보전관리지역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전원주택</t>
        </is>
      </c>
      <c r="F1114" s="3" t="inlineStr">
        <is>
          <t>매매</t>
        </is>
      </c>
      <c r="G1114" s="4" t="n">
        <v>150000</v>
      </c>
      <c r="H1114" s="4" t="n">
        <v>0</v>
      </c>
      <c r="I1114" s="4" t="n">
        <v>585</v>
      </c>
      <c r="J1114" s="4" t="n">
        <v>177</v>
      </c>
      <c r="K1114" s="5" t="n">
        <v>847.5</v>
      </c>
      <c r="L1114" s="4" t="n">
        <v>230</v>
      </c>
      <c r="M1114" s="4" t="n">
        <v>70</v>
      </c>
      <c r="N1114" s="5" t="n">
        <v>2142.9</v>
      </c>
      <c r="O1114" s="3" t="inlineStr">
        <is>
          <t>예쁜 2층 주택, 금강뷰, 펜션, 월세</t>
        </is>
      </c>
      <c r="P1114" s="6">
        <f>HYPERLINK("https://fin.land.naver.com/articles/2655013472", "매물Link")</f>
        <v/>
      </c>
      <c r="Q1114" s="6">
        <f>HYPERLINK("https://map.naver.com/p/search/장군면 금암리 378-43", "지도Link")</f>
        <v/>
      </c>
      <c r="R1114" s="6">
        <f>HYPERLINK("http://www.eum.go.kr/web/ar/lu/luLandDet.jsp?pnu=3611035025103780043&amp;isNoScr=script&amp;mode=search", "토지이음")</f>
        <v/>
      </c>
      <c r="S1114" s="3" t="inlineStr">
        <is>
          <t>한뜰금빛</t>
        </is>
      </c>
      <c r="T1114" s="4" t="n">
        <v>1</v>
      </c>
      <c r="U1114" s="5" t="n">
        <v>198.1</v>
      </c>
      <c r="V1114" s="4" t="n">
        <v>585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완경사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장군면 금암리 378-43</t>
        </is>
      </c>
      <c r="B1115" s="3" t="inlineStr">
        <is>
          <t>보전관리지역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전세</t>
        </is>
      </c>
      <c r="G1115" s="4" t="n">
        <v>25000</v>
      </c>
      <c r="H1115" s="4" t="n">
        <v>0</v>
      </c>
      <c r="I1115" s="4" t="n">
        <v>0</v>
      </c>
      <c r="J1115" s="4" t="n">
        <v>0</v>
      </c>
      <c r="K1115" s="5" t="n">
        <v>0</v>
      </c>
      <c r="L1115" s="4" t="n">
        <v>187</v>
      </c>
      <c r="M1115" s="4" t="n">
        <v>57</v>
      </c>
      <c r="N1115" s="5" t="n">
        <v>438.6</v>
      </c>
      <c r="O1115" s="3" t="inlineStr">
        <is>
          <t>명성공인, 2층 중 1층만 사용, 금암리 주택 전세 추천 매물</t>
        </is>
      </c>
      <c r="P1115" s="6">
        <f>HYPERLINK("https://fin.land.naver.com/articles/2651701640", "매물Link")</f>
        <v/>
      </c>
      <c r="Q1115" s="6">
        <f>HYPERLINK("https://map.naver.com/p/search/장군면 금암리 378-43", "지도Link")</f>
        <v/>
      </c>
      <c r="R1115" s="6">
        <f>HYPERLINK("http://www.eum.go.kr/web/ar/lu/luLandDet.jsp?pnu=3611035025103780043&amp;isNoScr=script&amp;mode=search", "토지이음")</f>
        <v/>
      </c>
      <c r="S1115" s="3" t="inlineStr">
        <is>
          <t>명성</t>
        </is>
      </c>
      <c r="T1115" s="4" t="n">
        <v>1</v>
      </c>
      <c r="U1115" s="5" t="n">
        <v>198.1</v>
      </c>
      <c r="V1115" s="4" t="n">
        <v>585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완경사</t>
        </is>
      </c>
      <c r="Z1115" s="3" t="inlineStr">
        <is>
          <t>세로장방</t>
        </is>
      </c>
      <c r="AA1115" s="3" t="inlineStr">
        <is>
          <t>세로한면(가)</t>
        </is>
      </c>
    </row>
    <row r="1116">
      <c r="A1116" s="3" t="inlineStr">
        <is>
          <t>장군면 금암리 378-43</t>
        </is>
      </c>
      <c r="B1116" s="3" t="inlineStr">
        <is>
          <t>보전관리지역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매매</t>
        </is>
      </c>
      <c r="G1116" s="4" t="n">
        <v>150000</v>
      </c>
      <c r="H1116" s="4" t="n">
        <v>0</v>
      </c>
      <c r="I1116" s="4" t="n">
        <v>585</v>
      </c>
      <c r="J1116" s="4" t="n">
        <v>177</v>
      </c>
      <c r="K1116" s="5" t="n">
        <v>847.5</v>
      </c>
      <c r="L1116" s="4" t="n">
        <v>42</v>
      </c>
      <c r="M1116" s="4" t="n">
        <v>13</v>
      </c>
      <c r="N1116" s="5" t="n">
        <v>11538.5</v>
      </c>
      <c r="O1116" s="3" t="inlineStr">
        <is>
          <t>뷰가 좋은 금암리 유일의 주택</t>
        </is>
      </c>
      <c r="P1116" s="6">
        <f>HYPERLINK("https://fin.land.naver.com/articles/2655699429", "매물Link")</f>
        <v/>
      </c>
      <c r="Q1116" s="6">
        <f>HYPERLINK("https://map.naver.com/p/search/장군면 금암리 378-43", "지도Link")</f>
        <v/>
      </c>
      <c r="R1116" s="6">
        <f>HYPERLINK("http://www.eum.go.kr/web/ar/lu/luLandDet.jsp?pnu=3611035025103780043&amp;isNoScr=script&amp;mode=search", "토지이음")</f>
        <v/>
      </c>
      <c r="S1116" s="3" t="inlineStr">
        <is>
          <t>최무연</t>
        </is>
      </c>
      <c r="T1116" s="4" t="n">
        <v>2</v>
      </c>
      <c r="U1116" s="5" t="n">
        <v>198.1</v>
      </c>
      <c r="V1116" s="4" t="n">
        <v>585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완경사</t>
        </is>
      </c>
      <c r="Z1116" s="3" t="inlineStr">
        <is>
          <t>세로장방</t>
        </is>
      </c>
      <c r="AA1116" s="3" t="inlineStr">
        <is>
          <t>세로한면(가)</t>
        </is>
      </c>
    </row>
    <row r="1117">
      <c r="A1117" s="3" t="inlineStr">
        <is>
          <t>장군면 금암리 378-43</t>
        </is>
      </c>
      <c r="B1117" s="3" t="inlineStr">
        <is>
          <t>보전관리지역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전세</t>
        </is>
      </c>
      <c r="G1117" s="4" t="n">
        <v>25000</v>
      </c>
      <c r="H1117" s="4" t="n">
        <v>0</v>
      </c>
      <c r="I1117" s="4" t="n">
        <v>96</v>
      </c>
      <c r="J1117" s="4" t="n">
        <v>29</v>
      </c>
      <c r="K1117" s="5" t="n">
        <v>862.1</v>
      </c>
      <c r="L1117" s="4" t="n">
        <v>96</v>
      </c>
      <c r="M1117" s="4" t="n">
        <v>29</v>
      </c>
      <c r="N1117" s="5" t="n">
        <v>862.1</v>
      </c>
      <c r="O1117" s="3" t="inlineStr">
        <is>
          <t>전원주택 1층 무융자 전세</t>
        </is>
      </c>
      <c r="P1117" s="6">
        <f>HYPERLINK("https://fin.land.naver.com/articles/2654519341", "매물Link")</f>
        <v/>
      </c>
      <c r="Q1117" s="6">
        <f>HYPERLINK("https://map.naver.com/p/search/장군면 금암리 378-43", "지도Link")</f>
        <v/>
      </c>
      <c r="R1117" s="6">
        <f>HYPERLINK("http://www.eum.go.kr/web/ar/lu/luLandDet.jsp?pnu=3611035025103780043&amp;isNoScr=script&amp;mode=search", "토지이음")</f>
        <v/>
      </c>
      <c r="S1117" s="3" t="inlineStr">
        <is>
          <t>THE행복</t>
        </is>
      </c>
      <c r="T1117" s="4" t="n">
        <v>2</v>
      </c>
      <c r="U1117" s="5" t="n">
        <v>198.1</v>
      </c>
      <c r="V1117" s="4" t="n">
        <v>585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완경사</t>
        </is>
      </c>
      <c r="Z1117" s="3" t="inlineStr">
        <is>
          <t>세로장방</t>
        </is>
      </c>
      <c r="AA1117" s="3" t="inlineStr">
        <is>
          <t>세로한면(가)</t>
        </is>
      </c>
    </row>
    <row r="1118">
      <c r="A1118" s="3" t="inlineStr">
        <is>
          <t>장군면 금암리 378-81</t>
        </is>
      </c>
      <c r="B1118" s="3" t="inlineStr">
        <is>
          <t>보전관리지역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120000</v>
      </c>
      <c r="H1118" s="4" t="n">
        <v>0</v>
      </c>
      <c r="I1118" s="4" t="n">
        <v>587</v>
      </c>
      <c r="J1118" s="4" t="n">
        <v>178</v>
      </c>
      <c r="K1118" s="5" t="n">
        <v>674.2</v>
      </c>
      <c r="L1118" s="4" t="n">
        <v>191</v>
      </c>
      <c r="M1118" s="4" t="n">
        <v>58</v>
      </c>
      <c r="N1118" s="5" t="n">
        <v>2069</v>
      </c>
      <c r="O1118" s="3" t="inlineStr">
        <is>
          <t>풍경채마을 .한옥주택 소나무 자재썼구요  태양광 ,지열난방 사용하고있어요</t>
        </is>
      </c>
      <c r="P1118" s="6">
        <f>HYPERLINK("https://fin.land.naver.com/articles/2652232177", "매물Link")</f>
        <v/>
      </c>
      <c r="Q1118" s="6">
        <f>HYPERLINK("https://map.naver.com/p/search/장군면 금암리 378-81", "지도Link")</f>
        <v/>
      </c>
      <c r="R1118" s="6">
        <f>HYPERLINK("http://www.eum.go.kr/web/ar/lu/luLandDet.jsp?pnu=3611035025103780081&amp;isNoScr=script&amp;mode=search", "토지이음")</f>
        <v/>
      </c>
      <c r="S1118" s="3" t="inlineStr">
        <is>
          <t>생명나무</t>
        </is>
      </c>
      <c r="T1118" s="4" t="n">
        <v>1</v>
      </c>
      <c r="U1118" s="5" t="n">
        <v>196.2</v>
      </c>
      <c r="V1118" s="4" t="n">
        <v>587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완경사</t>
        </is>
      </c>
      <c r="Z1118" s="3" t="inlineStr">
        <is>
          <t>가로장방</t>
        </is>
      </c>
      <c r="AA1118" s="3" t="inlineStr">
        <is>
          <t>세로한면(가)</t>
        </is>
      </c>
    </row>
    <row r="1119">
      <c r="A1119" s="3" t="inlineStr">
        <is>
          <t>장군면 금암리 378-90</t>
        </is>
      </c>
      <c r="B1119" s="3" t="inlineStr">
        <is>
          <t>보전관리지역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전원주택</t>
        </is>
      </c>
      <c r="F1119" s="3" t="inlineStr">
        <is>
          <t>매매</t>
        </is>
      </c>
      <c r="G1119" s="4" t="n">
        <v>130000</v>
      </c>
      <c r="H1119" s="4" t="n">
        <v>0</v>
      </c>
      <c r="I1119" s="4" t="n">
        <v>660</v>
      </c>
      <c r="J1119" s="4" t="n">
        <v>200</v>
      </c>
      <c r="K1119" s="5" t="n">
        <v>650</v>
      </c>
      <c r="L1119" s="4" t="n">
        <v>198</v>
      </c>
      <c r="M1119" s="4" t="n">
        <v>60</v>
      </c>
      <c r="N1119" s="5" t="n">
        <v>2166.7</v>
      </c>
      <c r="O1119" s="3" t="inlineStr">
        <is>
          <t>넓은 대지에 조망이 멋진 주택(금강 및 청벽산 뷰)</t>
        </is>
      </c>
      <c r="P1119" s="6">
        <f>HYPERLINK("https://fin.land.naver.com/articles/2652838805", "매물Link")</f>
        <v/>
      </c>
      <c r="Q1119" s="6">
        <f>HYPERLINK("https://map.naver.com/p/search/장군면 금암리 378-90", "지도Link")</f>
        <v/>
      </c>
      <c r="R1119" s="6">
        <f>HYPERLINK("http://www.eum.go.kr/web/ar/lu/luLandDet.jsp?pnu=3611035025103780090&amp;isNoScr=script&amp;mode=search", "토지이음")</f>
        <v/>
      </c>
      <c r="S1119" s="3" t="inlineStr">
        <is>
          <t>원조대박</t>
        </is>
      </c>
      <c r="T1119" s="4" t="n">
        <v>1</v>
      </c>
      <c r="U1119" s="5" t="n">
        <v>196.2</v>
      </c>
      <c r="V1119" s="4" t="n">
        <v>660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완경사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장군면 금암리 387-4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3</t>
        </is>
      </c>
      <c r="E1120" s="3" t="inlineStr">
        <is>
          <t>다가구</t>
        </is>
      </c>
      <c r="F1120" s="3" t="inlineStr">
        <is>
          <t>매매</t>
        </is>
      </c>
      <c r="G1120" s="4" t="n">
        <v>35000</v>
      </c>
      <c r="H1120" s="4" t="n">
        <v>0</v>
      </c>
      <c r="I1120" s="4" t="n">
        <v>314</v>
      </c>
      <c r="J1120" s="4" t="n">
        <v>95</v>
      </c>
      <c r="K1120" s="5" t="n">
        <v>368.4</v>
      </c>
      <c r="L1120" s="4" t="n">
        <v>442</v>
      </c>
      <c r="M1120" s="4" t="n">
        <v>134</v>
      </c>
      <c r="N1120" s="5" t="n">
        <v>261.2</v>
      </c>
      <c r="O1120" s="3" t="inlineStr">
        <is>
          <t>수익률 좋은 대학원룸가, 정류장 앞, 풀옵션</t>
        </is>
      </c>
      <c r="P1120" s="6">
        <f>HYPERLINK("https://fin.land.naver.com/articles/2654032785", "매물Link")</f>
        <v/>
      </c>
      <c r="Q1120" s="6">
        <f>HYPERLINK("https://map.naver.com/p/search/장군면 금암리 387-4", "지도Link")</f>
        <v/>
      </c>
      <c r="R1120" s="6">
        <f>HYPERLINK("http://www.eum.go.kr/web/ar/lu/luLandDet.jsp?pnu=3611035025103870004&amp;isNoScr=script&amp;mode=search", "토지이음")</f>
        <v/>
      </c>
      <c r="S1120" s="3" t="inlineStr">
        <is>
          <t>한뜰금빛</t>
        </is>
      </c>
      <c r="T1120" s="4" t="n">
        <v>1</v>
      </c>
      <c r="U1120" s="5" t="n">
        <v>94.90000000000001</v>
      </c>
      <c r="V1120" s="4" t="n">
        <v>314</v>
      </c>
      <c r="W1120" s="3" t="inlineStr">
        <is>
          <t>지정되지않음</t>
        </is>
      </c>
      <c r="X1120" s="3" t="inlineStr">
        <is>
          <t>연립</t>
        </is>
      </c>
      <c r="Y1120" s="3" t="inlineStr">
        <is>
          <t>평지</t>
        </is>
      </c>
      <c r="Z1120" s="3" t="inlineStr">
        <is>
          <t>자루형</t>
        </is>
      </c>
      <c r="AA1120" s="3" t="inlineStr">
        <is>
          <t>소로한면</t>
        </is>
      </c>
    </row>
    <row r="1121">
      <c r="A1121" s="3" t="inlineStr">
        <is>
          <t>장군면 대교리 147-62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2</t>
        </is>
      </c>
      <c r="E1121" s="3" t="inlineStr">
        <is>
          <t>단독</t>
        </is>
      </c>
      <c r="F1121" s="3" t="inlineStr">
        <is>
          <t>매매</t>
        </is>
      </c>
      <c r="G1121" s="4" t="n">
        <v>83000</v>
      </c>
      <c r="H1121" s="4" t="n">
        <v>0</v>
      </c>
      <c r="I1121" s="4" t="n">
        <v>226</v>
      </c>
      <c r="J1121" s="4" t="n">
        <v>68</v>
      </c>
      <c r="K1121" s="5" t="n">
        <v>1220.6</v>
      </c>
      <c r="L1121" s="4" t="n">
        <v>175</v>
      </c>
      <c r="M1121" s="4" t="n">
        <v>53</v>
      </c>
      <c r="N1121" s="5" t="n">
        <v>1566</v>
      </c>
      <c r="O1121" s="3" t="inlineStr">
        <is>
          <t>친환경 제로에너지마을,최상의 자재및컨디션,보시면 반할 전원주택뷰</t>
        </is>
      </c>
      <c r="P1121" s="6">
        <f>HYPERLINK("https://fin.land.naver.com/articles/2653696888", "매물Link")</f>
        <v/>
      </c>
      <c r="Q1121" s="6">
        <f>HYPERLINK("https://map.naver.com/p/search/장군면 대교리 147-62", "지도Link")</f>
        <v/>
      </c>
      <c r="R1121" s="6">
        <f>HYPERLINK("http://www.eum.go.kr/web/ar/lu/luLandDet.jsp?pnu=3611035023101470062&amp;isNoScr=script&amp;mode=search", "토지이음")</f>
        <v/>
      </c>
      <c r="S1121" s="3" t="inlineStr">
        <is>
          <t>더책임</t>
        </is>
      </c>
      <c r="T1121" s="4" t="n">
        <v>1</v>
      </c>
      <c r="U1121" s="5" t="n">
        <v>182.9</v>
      </c>
      <c r="V1121" s="4" t="n">
        <v>226</v>
      </c>
      <c r="W1121" s="3" t="inlineStr">
        <is>
          <t>보전관리지역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대교리 147-67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44000</v>
      </c>
      <c r="H1122" s="4" t="n">
        <v>0</v>
      </c>
      <c r="I1122" s="4" t="n">
        <v>223</v>
      </c>
      <c r="J1122" s="4" t="n">
        <v>67</v>
      </c>
      <c r="K1122" s="5" t="n">
        <v>656.7</v>
      </c>
      <c r="L1122" s="4" t="n">
        <v>122</v>
      </c>
      <c r="M1122" s="4" t="n">
        <v>37</v>
      </c>
      <c r="N1122" s="5" t="n">
        <v>1189.2</v>
      </c>
      <c r="O1122" s="3" t="inlineStr">
        <is>
          <t>월세낀 급매,제로에너지 타운하우스,테라스,정원마당</t>
        </is>
      </c>
      <c r="P1122" s="6">
        <f>HYPERLINK("https://fin.land.naver.com/articles/2651742228", "매물Link")</f>
        <v/>
      </c>
      <c r="Q1122" s="6">
        <f>HYPERLINK("https://map.naver.com/p/search/장군면 대교리 147-67", "지도Link")</f>
        <v/>
      </c>
      <c r="R1122" s="6">
        <f>HYPERLINK("http://www.eum.go.kr/web/ar/lu/luLandDet.jsp?pnu=3611035023101470067&amp;isNoScr=script&amp;mode=search", "토지이음")</f>
        <v/>
      </c>
      <c r="S1122" s="3" t="inlineStr">
        <is>
          <t>고운맘</t>
        </is>
      </c>
      <c r="T1122" s="4" t="n">
        <v>1</v>
      </c>
      <c r="U1122" s="5" t="n">
        <v>183.1</v>
      </c>
      <c r="V1122" s="4" t="n">
        <v>223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대교리 147-67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45000</v>
      </c>
      <c r="H1123" s="4" t="n">
        <v>0</v>
      </c>
      <c r="I1123" s="4" t="n">
        <v>223</v>
      </c>
      <c r="J1123" s="4" t="n">
        <v>67</v>
      </c>
      <c r="K1123" s="5" t="n">
        <v>671.6</v>
      </c>
      <c r="L1123" s="4" t="n">
        <v>122</v>
      </c>
      <c r="M1123" s="4" t="n">
        <v>37</v>
      </c>
      <c r="N1123" s="5" t="n">
        <v>1216.2</v>
      </c>
      <c r="O1123" s="3" t="inlineStr">
        <is>
          <t>공실,가격조절가,시스템냉방기6대,친환경자재,친환경에너지 적용, 잔디마당</t>
        </is>
      </c>
      <c r="P1123" s="6">
        <f>HYPERLINK("https://fin.land.naver.com/articles/2651518935", "매물Link")</f>
        <v/>
      </c>
      <c r="Q1123" s="6">
        <f>HYPERLINK("https://map.naver.com/p/search/장군면 대교리 147-67", "지도Link")</f>
        <v/>
      </c>
      <c r="R1123" s="6">
        <f>HYPERLINK("http://www.eum.go.kr/web/ar/lu/luLandDet.jsp?pnu=3611035023101470067&amp;isNoScr=script&amp;mode=search", "토지이음")</f>
        <v/>
      </c>
      <c r="S1123" s="3" t="inlineStr">
        <is>
          <t>만땅</t>
        </is>
      </c>
      <c r="T1123" s="4" t="n">
        <v>1</v>
      </c>
      <c r="U1123" s="5" t="n">
        <v>183.1</v>
      </c>
      <c r="V1123" s="4" t="n">
        <v>223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대교리 147-67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매매</t>
        </is>
      </c>
      <c r="G1124" s="4" t="n">
        <v>42000</v>
      </c>
      <c r="H1124" s="4" t="n">
        <v>0</v>
      </c>
      <c r="I1124" s="4" t="n">
        <v>223</v>
      </c>
      <c r="J1124" s="4" t="n">
        <v>67</v>
      </c>
      <c r="K1124" s="5" t="n">
        <v>626.9</v>
      </c>
      <c r="L1124" s="4" t="n">
        <v>122</v>
      </c>
      <c r="M1124" s="4" t="n">
        <v>37</v>
      </c>
      <c r="N1124" s="5" t="n">
        <v>1135.1</v>
      </c>
      <c r="O1124" s="3" t="inlineStr">
        <is>
          <t>전원생활의 로망을 생활권가까이로, 접근성과 효율성좋은 주택, 실입주가</t>
        </is>
      </c>
      <c r="P1124" s="6">
        <f>HYPERLINK("https://fin.land.naver.com/articles/2652908549", "매물Link")</f>
        <v/>
      </c>
      <c r="Q1124" s="6">
        <f>HYPERLINK("https://map.naver.com/p/search/장군면 대교리 147-67", "지도Link")</f>
        <v/>
      </c>
      <c r="R1124" s="6">
        <f>HYPERLINK("http://www.eum.go.kr/web/ar/lu/luLandDet.jsp?pnu=3611035023101470067&amp;isNoScr=script&amp;mode=search", "토지이음")</f>
        <v/>
      </c>
      <c r="S1124" s="3" t="inlineStr">
        <is>
          <t>세종복댕이</t>
        </is>
      </c>
      <c r="T1124" s="4" t="n">
        <v>1</v>
      </c>
      <c r="U1124" s="5" t="n">
        <v>183.1</v>
      </c>
      <c r="V1124" s="4" t="n">
        <v>223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대교리 147-67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45000</v>
      </c>
      <c r="H1125" s="4" t="n">
        <v>0</v>
      </c>
      <c r="I1125" s="4" t="n">
        <v>263</v>
      </c>
      <c r="J1125" s="4" t="n">
        <v>80</v>
      </c>
      <c r="K1125" s="5" t="n">
        <v>562.5</v>
      </c>
      <c r="L1125" s="4" t="n">
        <v>122</v>
      </c>
      <c r="M1125" s="4" t="n">
        <v>37</v>
      </c>
      <c r="N1125" s="5" t="n">
        <v>1216.2</v>
      </c>
      <c r="O1125" s="3" t="inlineStr">
        <is>
          <t>입주협의 저렴한장군면단독주택입니다.</t>
        </is>
      </c>
      <c r="P1125" s="6">
        <f>HYPERLINK("https://fin.land.naver.com/articles/2654260371", "매물Link")</f>
        <v/>
      </c>
      <c r="Q1125" s="6">
        <f>HYPERLINK("https://map.naver.com/p/search/장군면 대교리 147-67", "지도Link")</f>
        <v/>
      </c>
      <c r="R1125" s="6">
        <f>HYPERLINK("http://www.eum.go.kr/web/ar/lu/luLandDet.jsp?pnu=3611035023101470067&amp;isNoScr=script&amp;mode=search", "토지이음")</f>
        <v/>
      </c>
      <c r="S1125" s="3" t="inlineStr">
        <is>
          <t>새롬스마트</t>
        </is>
      </c>
      <c r="T1125" s="4" t="n">
        <v>2</v>
      </c>
      <c r="U1125" s="5" t="n">
        <v>183.1</v>
      </c>
      <c r="V1125" s="4" t="n">
        <v>223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대교리 147-68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44000</v>
      </c>
      <c r="H1126" s="4" t="n">
        <v>0</v>
      </c>
      <c r="I1126" s="4" t="n">
        <v>263</v>
      </c>
      <c r="J1126" s="4" t="n">
        <v>80</v>
      </c>
      <c r="K1126" s="5" t="n">
        <v>550</v>
      </c>
      <c r="L1126" s="4" t="n">
        <v>122</v>
      </c>
      <c r="M1126" s="4" t="n">
        <v>37</v>
      </c>
      <c r="N1126" s="5" t="n">
        <v>1189.2</v>
      </c>
      <c r="O1126" s="3" t="inlineStr">
        <is>
          <t>난방비없는 저렴한 단독주택</t>
        </is>
      </c>
      <c r="P1126" s="6">
        <f>HYPERLINK("https://fin.land.naver.com/articles/2650613262", "매물Link")</f>
        <v/>
      </c>
      <c r="Q1126" s="6">
        <f>HYPERLINK("https://map.naver.com/p/search/장군면 대교리 147-68", "지도Link")</f>
        <v/>
      </c>
      <c r="R1126" s="6">
        <f>HYPERLINK("http://www.eum.go.kr/web/ar/lu/luLandDet.jsp?pnu=3611035023101470068&amp;isNoScr=script&amp;mode=search", "토지이음")</f>
        <v/>
      </c>
      <c r="S1126" s="3" t="inlineStr">
        <is>
          <t>THE행복</t>
        </is>
      </c>
      <c r="T1126" s="4" t="n">
        <v>1</v>
      </c>
      <c r="U1126" s="5" t="n">
        <v>183.1</v>
      </c>
      <c r="V1126" s="4" t="n">
        <v>263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대교리 147-68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44000</v>
      </c>
      <c r="H1127" s="4" t="n">
        <v>0</v>
      </c>
      <c r="I1127" s="4" t="n">
        <v>263</v>
      </c>
      <c r="J1127" s="4" t="n">
        <v>80</v>
      </c>
      <c r="K1127" s="5" t="n">
        <v>550</v>
      </c>
      <c r="L1127" s="4" t="n">
        <v>122</v>
      </c>
      <c r="M1127" s="4" t="n">
        <v>37</v>
      </c>
      <c r="N1127" s="5" t="n">
        <v>1189.2</v>
      </c>
      <c r="O1127" s="3" t="inlineStr">
        <is>
          <t>월세낀 급매,제로에너지 타운하우스,테라스,정원마당</t>
        </is>
      </c>
      <c r="P1127" s="6">
        <f>HYPERLINK("https://fin.land.naver.com/articles/2651742264", "매물Link")</f>
        <v/>
      </c>
      <c r="Q1127" s="6">
        <f>HYPERLINK("https://map.naver.com/p/search/장군면 대교리 147-68", "지도Link")</f>
        <v/>
      </c>
      <c r="R1127" s="6">
        <f>HYPERLINK("http://www.eum.go.kr/web/ar/lu/luLandDet.jsp?pnu=3611035023101470068&amp;isNoScr=script&amp;mode=search", "토지이음")</f>
        <v/>
      </c>
      <c r="S1127" s="3" t="inlineStr">
        <is>
          <t>고운맘</t>
        </is>
      </c>
      <c r="T1127" s="4" t="n">
        <v>1</v>
      </c>
      <c r="U1127" s="5" t="n">
        <v>183.1</v>
      </c>
      <c r="V1127" s="4" t="n">
        <v>263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대교리 147-68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45000</v>
      </c>
      <c r="H1128" s="4" t="n">
        <v>0</v>
      </c>
      <c r="I1128" s="4" t="n">
        <v>263</v>
      </c>
      <c r="J1128" s="4" t="n">
        <v>80</v>
      </c>
      <c r="K1128" s="5" t="n">
        <v>562.5</v>
      </c>
      <c r="L1128" s="4" t="n">
        <v>122</v>
      </c>
      <c r="M1128" s="4" t="n">
        <v>37</v>
      </c>
      <c r="N1128" s="5" t="n">
        <v>1216.2</v>
      </c>
      <c r="O1128" s="3" t="inlineStr">
        <is>
          <t>난방비 걱정없는 친환경 주택, 시스템냉방기, 전망좋고 저렴한 전원주택</t>
        </is>
      </c>
      <c r="P1128" s="6">
        <f>HYPERLINK("https://fin.land.naver.com/articles/2651520256", "매물Link")</f>
        <v/>
      </c>
      <c r="Q1128" s="6">
        <f>HYPERLINK("https://map.naver.com/p/search/장군면 대교리 147-68", "지도Link")</f>
        <v/>
      </c>
      <c r="R1128" s="6">
        <f>HYPERLINK("http://www.eum.go.kr/web/ar/lu/luLandDet.jsp?pnu=3611035023101470068&amp;isNoScr=script&amp;mode=search", "토지이음")</f>
        <v/>
      </c>
      <c r="S1128" s="3" t="inlineStr">
        <is>
          <t>만땅</t>
        </is>
      </c>
      <c r="T1128" s="4" t="n">
        <v>1</v>
      </c>
      <c r="U1128" s="5" t="n">
        <v>183.1</v>
      </c>
      <c r="V1128" s="4" t="n">
        <v>263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대교리 147-68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45000</v>
      </c>
      <c r="H1129" s="4" t="n">
        <v>0</v>
      </c>
      <c r="I1129" s="4" t="n">
        <v>263</v>
      </c>
      <c r="J1129" s="4" t="n">
        <v>80</v>
      </c>
      <c r="K1129" s="5" t="n">
        <v>562.5</v>
      </c>
      <c r="L1129" s="4" t="n">
        <v>122</v>
      </c>
      <c r="M1129" s="4" t="n">
        <v>37</v>
      </c>
      <c r="N1129" s="5" t="n">
        <v>1216.2</v>
      </c>
      <c r="O1129" s="3" t="inlineStr">
        <is>
          <t>입주협의세종시와5분거리 도심형전원주택 가격조정가능</t>
        </is>
      </c>
      <c r="P1129" s="6">
        <f>HYPERLINK("https://fin.land.naver.com/articles/2654963196", "매물Link")</f>
        <v/>
      </c>
      <c r="Q1129" s="6">
        <f>HYPERLINK("https://map.naver.com/p/search/장군면 대교리 147-68", "지도Link")</f>
        <v/>
      </c>
      <c r="R1129" s="6">
        <f>HYPERLINK("http://www.eum.go.kr/web/ar/lu/luLandDet.jsp?pnu=3611035023101470068&amp;isNoScr=script&amp;mode=search", "토지이음")</f>
        <v/>
      </c>
      <c r="S1129" s="3" t="inlineStr">
        <is>
          <t>세종시토지</t>
        </is>
      </c>
      <c r="T1129" s="4" t="n">
        <v>1</v>
      </c>
      <c r="U1129" s="5" t="n">
        <v>183.1</v>
      </c>
      <c r="V1129" s="4" t="n">
        <v>263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대교리 169-15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76000</v>
      </c>
      <c r="H1130" s="4" t="n">
        <v>0</v>
      </c>
      <c r="I1130" s="4" t="n">
        <v>511</v>
      </c>
      <c r="J1130" s="4" t="n">
        <v>155</v>
      </c>
      <c r="K1130" s="5" t="n">
        <v>490.3</v>
      </c>
      <c r="L1130" s="4" t="n">
        <v>178</v>
      </c>
      <c r="M1130" s="4" t="n">
        <v>54</v>
      </c>
      <c r="N1130" s="5" t="n">
        <v>1407.4</v>
      </c>
      <c r="O1130" s="3" t="inlineStr">
        <is>
          <t>행복도시 5분 거리 장군면 대교리 리모델링 완료 단독주택</t>
        </is>
      </c>
      <c r="P1130" s="6">
        <f>HYPERLINK("https://fin.land.naver.com/articles/2650316009", "매물Link")</f>
        <v/>
      </c>
      <c r="Q1130" s="6">
        <f>HYPERLINK("https://map.naver.com/p/search/장군면 대교리 169-15", "지도Link")</f>
        <v/>
      </c>
      <c r="R1130" s="6">
        <f>HYPERLINK("http://www.eum.go.kr/web/ar/lu/luLandDet.jsp?pnu=3611035023101690015&amp;isNoScr=script&amp;mode=search", "토지이음")</f>
        <v/>
      </c>
      <c r="S1130" s="3" t="inlineStr">
        <is>
          <t>세종신한</t>
        </is>
      </c>
      <c r="T1130" s="4" t="n">
        <v>1</v>
      </c>
      <c r="U1130" s="5" t="n">
        <v>249.9</v>
      </c>
      <c r="V1130" s="4" t="n">
        <v>511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대교리 169-15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76000</v>
      </c>
      <c r="H1131" s="4" t="n">
        <v>0</v>
      </c>
      <c r="I1131" s="4" t="n">
        <v>511</v>
      </c>
      <c r="J1131" s="4" t="n">
        <v>155</v>
      </c>
      <c r="K1131" s="5" t="n">
        <v>490.3</v>
      </c>
      <c r="L1131" s="4" t="n">
        <v>178</v>
      </c>
      <c r="M1131" s="4" t="n">
        <v>54</v>
      </c>
      <c r="N1131" s="5" t="n">
        <v>1407.4</v>
      </c>
      <c r="O1131" s="3" t="inlineStr">
        <is>
          <t>nan</t>
        </is>
      </c>
      <c r="P1131" s="6">
        <f>HYPERLINK("https://fin.land.naver.com/articles/2652677478", "매물Link")</f>
        <v/>
      </c>
      <c r="Q1131" s="6">
        <f>HYPERLINK("https://map.naver.com/p/search/장군면 대교리 169-15", "지도Link")</f>
        <v/>
      </c>
      <c r="R1131" s="6">
        <f>HYPERLINK("http://www.eum.go.kr/web/ar/lu/luLandDet.jsp?pnu=3611035023101690015&amp;isNoScr=script&amp;mode=search", "토지이음")</f>
        <v/>
      </c>
      <c r="S1131" s="3" t="inlineStr">
        <is>
          <t>새땅</t>
        </is>
      </c>
      <c r="T1131" s="4" t="n">
        <v>1</v>
      </c>
      <c r="U1131" s="5" t="n">
        <v>249.9</v>
      </c>
      <c r="V1131" s="4" t="n">
        <v>511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대교리 169-15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76000</v>
      </c>
      <c r="H1132" s="4" t="n">
        <v>0</v>
      </c>
      <c r="I1132" s="4" t="n">
        <v>511</v>
      </c>
      <c r="J1132" s="4" t="n">
        <v>155</v>
      </c>
      <c r="K1132" s="5" t="n">
        <v>490.3</v>
      </c>
      <c r="L1132" s="4" t="n">
        <v>178</v>
      </c>
      <c r="M1132" s="4" t="n">
        <v>54</v>
      </c>
      <c r="N1132" s="5" t="n">
        <v>1407.4</v>
      </c>
      <c r="O1132" s="3" t="inlineStr">
        <is>
          <t>고운동 5분 거리에 위치한 조용한 전원 주택입니다</t>
        </is>
      </c>
      <c r="P1132" s="6">
        <f>HYPERLINK("https://fin.land.naver.com/articles/2654678521", "매물Link")</f>
        <v/>
      </c>
      <c r="Q1132" s="6">
        <f>HYPERLINK("https://map.naver.com/p/search/장군면 대교리 169-15", "지도Link")</f>
        <v/>
      </c>
      <c r="R1132" s="6">
        <f>HYPERLINK("http://www.eum.go.kr/web/ar/lu/luLandDet.jsp?pnu=3611035023101690015&amp;isNoScr=script&amp;mode=search", "토지이음")</f>
        <v/>
      </c>
      <c r="S1132" s="3" t="inlineStr">
        <is>
          <t>세종공주원탑</t>
        </is>
      </c>
      <c r="T1132" s="4" t="n">
        <v>1</v>
      </c>
      <c r="U1132" s="5" t="n">
        <v>249.9</v>
      </c>
      <c r="V1132" s="4" t="n">
        <v>511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대교리 172-7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32000</v>
      </c>
      <c r="H1133" s="4" t="n">
        <v>0</v>
      </c>
      <c r="I1133" s="4" t="n">
        <v>320</v>
      </c>
      <c r="J1133" s="4" t="n">
        <v>97</v>
      </c>
      <c r="K1133" s="5" t="n">
        <v>329.9</v>
      </c>
      <c r="L1133" s="4" t="n">
        <v>71</v>
      </c>
      <c r="M1133" s="4" t="n">
        <v>21</v>
      </c>
      <c r="N1133" s="5" t="n">
        <v>1523.8</v>
      </c>
      <c r="O1133" s="3" t="inlineStr">
        <is>
          <t>급매, 마당있는 단독주택 , 도시가스난방, 12월협의입주</t>
        </is>
      </c>
      <c r="P1133" s="6">
        <f>HYPERLINK("https://fin.land.naver.com/articles/2651304448", "매물Link")</f>
        <v/>
      </c>
      <c r="Q1133" s="6">
        <f>HYPERLINK("https://map.naver.com/p/search/장군면 대교리 172-7", "지도Link")</f>
        <v/>
      </c>
      <c r="R1133" s="6">
        <f>HYPERLINK("http://www.eum.go.kr/web/ar/lu/luLandDet.jsp?pnu=3611035023101720007&amp;isNoScr=script&amp;mode=search", "토지이음")</f>
        <v/>
      </c>
      <c r="S1133" s="3" t="inlineStr">
        <is>
          <t>백프로</t>
        </is>
      </c>
      <c r="T1133" s="4" t="n">
        <v>3</v>
      </c>
      <c r="U1133" s="5" t="n">
        <v>252.6</v>
      </c>
      <c r="V1133" s="4" t="n">
        <v>300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가로장방</t>
        </is>
      </c>
      <c r="AA1133" s="3" t="inlineStr">
        <is>
          <t>세로한면(가)</t>
        </is>
      </c>
    </row>
    <row r="1134">
      <c r="A1134" s="3" t="inlineStr">
        <is>
          <t>장군면 대교리 176-1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4</t>
        </is>
      </c>
      <c r="E1134" s="3" t="inlineStr">
        <is>
          <t>일반원룸</t>
        </is>
      </c>
      <c r="F1134" s="3" t="inlineStr">
        <is>
          <t>월세</t>
        </is>
      </c>
      <c r="G1134" s="4" t="n">
        <v>100</v>
      </c>
      <c r="H1134" s="4" t="n">
        <v>30</v>
      </c>
      <c r="I1134" s="4" t="n">
        <v>24</v>
      </c>
      <c r="J1134" s="4" t="n">
        <v>7</v>
      </c>
      <c r="K1134" s="5" t="n">
        <v>4.3</v>
      </c>
      <c r="L1134" s="4" t="n">
        <v>21</v>
      </c>
      <c r="M1134" s="4" t="n">
        <v>6</v>
      </c>
      <c r="N1134" s="5" t="n">
        <v>5</v>
      </c>
      <c r="O1134" s="3" t="inlineStr">
        <is>
          <t>000주방분리형 ,고운동 인접000</t>
        </is>
      </c>
      <c r="P1134" s="6">
        <f>HYPERLINK("https://fin.land.naver.com/articles/2653842601", "매물Link")</f>
        <v/>
      </c>
      <c r="Q1134" s="6">
        <f>HYPERLINK("https://map.naver.com/p/search/장군면 대교리 176-1", "지도Link")</f>
        <v/>
      </c>
      <c r="R1134" s="6">
        <f>HYPERLINK("http://www.eum.go.kr/web/ar/lu/luLandDet.jsp?pnu=3611035023101760001&amp;isNoScr=script&amp;mode=search", "토지이음")</f>
        <v/>
      </c>
      <c r="S1134" s="3" t="inlineStr">
        <is>
          <t>신황제</t>
        </is>
      </c>
      <c r="T1134" s="4" t="n">
        <v>1</v>
      </c>
      <c r="U1134" s="5" t="n">
        <v>269.1</v>
      </c>
      <c r="V1134" s="4" t="n">
        <v>585</v>
      </c>
      <c r="W1134" s="3" t="inlineStr">
        <is>
          <t>지정되지않음</t>
        </is>
      </c>
      <c r="X1134" s="3" t="inlineStr">
        <is>
          <t>주거기타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대교리 176-1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4</t>
        </is>
      </c>
      <c r="E1135" s="3" t="inlineStr">
        <is>
          <t>일반원룸</t>
        </is>
      </c>
      <c r="F1135" s="3" t="inlineStr">
        <is>
          <t>월세</t>
        </is>
      </c>
      <c r="G1135" s="4" t="n">
        <v>100</v>
      </c>
      <c r="H1135" s="4" t="n">
        <v>30</v>
      </c>
      <c r="I1135" s="4" t="n">
        <v>24</v>
      </c>
      <c r="J1135" s="4" t="n">
        <v>7</v>
      </c>
      <c r="K1135" s="5" t="n">
        <v>4.3</v>
      </c>
      <c r="L1135" s="4" t="n">
        <v>22</v>
      </c>
      <c r="M1135" s="4" t="n">
        <v>7</v>
      </c>
      <c r="N1135" s="5" t="n">
        <v>4.3</v>
      </c>
      <c r="O1135" s="3" t="inlineStr">
        <is>
          <t>내국인 전용, 주차좋고 조용하고 깨끗한 분리형 저렴한 원룸</t>
        </is>
      </c>
      <c r="P1135" s="6">
        <f>HYPERLINK("https://fin.land.naver.com/articles/2653877350", "매물Link")</f>
        <v/>
      </c>
      <c r="Q1135" s="6">
        <f>HYPERLINK("https://map.naver.com/p/search/장군면 대교리 176-1", "지도Link")</f>
        <v/>
      </c>
      <c r="R1135" s="6">
        <f>HYPERLINK("http://www.eum.go.kr/web/ar/lu/luLandDet.jsp?pnu=3611035023101760001&amp;isNoScr=script&amp;mode=search", "토지이음")</f>
        <v/>
      </c>
      <c r="S1135" s="3" t="inlineStr">
        <is>
          <t>황제</t>
        </is>
      </c>
      <c r="T1135" s="4" t="n">
        <v>1</v>
      </c>
      <c r="U1135" s="5" t="n">
        <v>269.1</v>
      </c>
      <c r="V1135" s="4" t="n">
        <v>585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소로한면</t>
        </is>
      </c>
    </row>
    <row r="1136">
      <c r="A1136" s="3" t="inlineStr">
        <is>
          <t>장군면 대교리 228-78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746</v>
      </c>
      <c r="J1136" s="4" t="n">
        <v>226</v>
      </c>
      <c r="K1136" s="5" t="n">
        <v>486.7</v>
      </c>
      <c r="L1136" s="4" t="n">
        <v>192</v>
      </c>
      <c r="M1136" s="4" t="n">
        <v>58</v>
      </c>
      <c r="N1136" s="5" t="n">
        <v>1896.6</v>
      </c>
      <c r="O1136" s="3" t="inlineStr">
        <is>
          <t>추천매물세종시 장군면  전원생활과 도시 접근성을 동시에 잡은 주택</t>
        </is>
      </c>
      <c r="P1136" s="6">
        <f>HYPERLINK("https://fin.land.naver.com/articles/2652544883", "매물Link")</f>
        <v/>
      </c>
      <c r="Q1136" s="6">
        <f>HYPERLINK("https://map.naver.com/p/search/장군면 대교리 228-78", "지도Link")</f>
        <v/>
      </c>
      <c r="R1136" s="6">
        <f>HYPERLINK("http://www.eum.go.kr/web/ar/lu/luLandDet.jsp?pnu=3611035023102280078&amp;isNoScr=script&amp;mode=search", "토지이음")</f>
        <v/>
      </c>
      <c r="S1136" s="3" t="inlineStr">
        <is>
          <t>고운하임</t>
        </is>
      </c>
      <c r="T1136" s="4" t="n">
        <v>2</v>
      </c>
      <c r="U1136" s="5" t="n">
        <v>151.2</v>
      </c>
      <c r="V1136" s="4" t="n">
        <v>746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대교리 243</t>
        </is>
      </c>
      <c r="B1137" s="3" t="inlineStr">
        <is>
          <t>생산관리지역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54800</v>
      </c>
      <c r="H1137" s="4" t="n">
        <v>0</v>
      </c>
      <c r="I1137" s="4" t="n">
        <v>907</v>
      </c>
      <c r="J1137" s="4" t="n">
        <v>274</v>
      </c>
      <c r="K1137" s="5" t="n">
        <v>200</v>
      </c>
      <c r="L1137" s="4" t="n">
        <v>85</v>
      </c>
      <c r="M1137" s="4" t="n">
        <v>26</v>
      </c>
      <c r="N1137" s="5" t="n">
        <v>2107.7</v>
      </c>
      <c r="O1137" s="3" t="inlineStr">
        <is>
          <t>뷰 좋고 공기좋은 위치의 전원주택 매매</t>
        </is>
      </c>
      <c r="P1137" s="6">
        <f>HYPERLINK("https://fin.land.naver.com/articles/2655169384", "매물Link")</f>
        <v/>
      </c>
      <c r="Q1137" s="6">
        <f>HYPERLINK("https://map.naver.com/p/search/장군면 대교리 243", "지도Link")</f>
        <v/>
      </c>
      <c r="R1137" s="6">
        <f>HYPERLINK("http://www.eum.go.kr/web/ar/lu/luLandDet.jsp?pnu=3611035023102430000&amp;isNoScr=script&amp;mode=search", "토지이음")</f>
        <v/>
      </c>
      <c r="S1137" s="3" t="inlineStr">
        <is>
          <t>세종대박</t>
        </is>
      </c>
      <c r="T1137" s="4" t="n">
        <v>1</v>
      </c>
      <c r="U1137" s="5" t="n">
        <v>99.2</v>
      </c>
      <c r="V1137" s="4" t="n">
        <v>907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가로장방</t>
        </is>
      </c>
      <c r="AA1137" s="3" t="inlineStr">
        <is>
          <t>세로한면(불)</t>
        </is>
      </c>
    </row>
    <row r="1138">
      <c r="A1138" s="3" t="inlineStr">
        <is>
          <t>장군면 대교리 326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전세</t>
        </is>
      </c>
      <c r="G1138" s="4" t="n">
        <v>35000</v>
      </c>
      <c r="H1138" s="4" t="n">
        <v>0</v>
      </c>
      <c r="I1138" s="4" t="n">
        <v>495</v>
      </c>
      <c r="J1138" s="4" t="n">
        <v>150</v>
      </c>
      <c r="K1138" s="5" t="n">
        <v>233.3</v>
      </c>
      <c r="L1138" s="4" t="n">
        <v>495</v>
      </c>
      <c r="M1138" s="4" t="n">
        <v>150</v>
      </c>
      <c r="N1138" s="5" t="n">
        <v>233.3</v>
      </c>
      <c r="O1138" s="3" t="inlineStr">
        <is>
          <t>대교리 타운하우스 2층 단독주택, 넓은 마당.정원.텃밭</t>
        </is>
      </c>
      <c r="P1138" s="6">
        <f>HYPERLINK("https://fin.land.naver.com/articles/2653434012", "매물Link")</f>
        <v/>
      </c>
      <c r="Q1138" s="6">
        <f>HYPERLINK("https://map.naver.com/p/search/장군면 대교리 326", "지도Link")</f>
        <v/>
      </c>
      <c r="R1138" s="6">
        <f>HYPERLINK("http://www.eum.go.kr/web/ar/lu/luLandDet.jsp?pnu=3611035023103260000&amp;isNoScr=script&amp;mode=search", "토지이음")</f>
        <v/>
      </c>
      <c r="S1138" s="3" t="inlineStr">
        <is>
          <t>고운맘</t>
        </is>
      </c>
      <c r="T1138" s="4" t="n">
        <v>1</v>
      </c>
      <c r="U1138" s="5" t="n">
        <v>155</v>
      </c>
      <c r="V1138" s="4" t="n">
        <v>184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대교리 326-14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27000</v>
      </c>
      <c r="H1139" s="4" t="n">
        <v>0</v>
      </c>
      <c r="I1139" s="4" t="n">
        <v>177</v>
      </c>
      <c r="J1139" s="4" t="n">
        <v>54</v>
      </c>
      <c r="K1139" s="5" t="n">
        <v>500</v>
      </c>
      <c r="L1139" s="4" t="n">
        <v>102</v>
      </c>
      <c r="M1139" s="4" t="n">
        <v>31</v>
      </c>
      <c r="N1139" s="5" t="n">
        <v>871</v>
      </c>
      <c r="O1139" s="3" t="inlineStr">
        <is>
          <t>텃밭있는 타운하우스, 태양광설치로  전기세절약,  상수도설치함.</t>
        </is>
      </c>
      <c r="P1139" s="6">
        <f>HYPERLINK("https://fin.land.naver.com/articles/2651514533", "매물Link")</f>
        <v/>
      </c>
      <c r="Q1139" s="6">
        <f>HYPERLINK("https://map.naver.com/p/search/장군면 대교리 326-14", "지도Link")</f>
        <v/>
      </c>
      <c r="R1139" s="6">
        <f>HYPERLINK("http://www.eum.go.kr/web/ar/lu/luLandDet.jsp?pnu=3611035023103260014&amp;isNoScr=script&amp;mode=search", "토지이음")</f>
        <v/>
      </c>
      <c r="S1139" s="3" t="inlineStr">
        <is>
          <t>Home</t>
        </is>
      </c>
      <c r="T1139" s="4" t="n">
        <v>1</v>
      </c>
      <c r="U1139" s="5" t="n">
        <v>144.1</v>
      </c>
      <c r="V1139" s="4" t="n">
        <v>177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대교리 326-14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25000</v>
      </c>
      <c r="H1140" s="4" t="n">
        <v>0</v>
      </c>
      <c r="I1140" s="4" t="n">
        <v>177</v>
      </c>
      <c r="J1140" s="4" t="n">
        <v>54</v>
      </c>
      <c r="K1140" s="5" t="n">
        <v>463</v>
      </c>
      <c r="L1140" s="4" t="n">
        <v>102</v>
      </c>
      <c r="M1140" s="4" t="n">
        <v>31</v>
      </c>
      <c r="N1140" s="5" t="n">
        <v>806.5</v>
      </c>
      <c r="O1140" s="3" t="inlineStr">
        <is>
          <t>대교리 타운하우스 2층 테라스, 태양열 주택, 저렴한 급매물,가격조정가능</t>
        </is>
      </c>
      <c r="P1140" s="6">
        <f>HYPERLINK("https://fin.land.naver.com/articles/2651742058", "매물Link")</f>
        <v/>
      </c>
      <c r="Q1140" s="6">
        <f>HYPERLINK("https://map.naver.com/p/search/장군면 대교리 326-14", "지도Link")</f>
        <v/>
      </c>
      <c r="R1140" s="6">
        <f>HYPERLINK("http://www.eum.go.kr/web/ar/lu/luLandDet.jsp?pnu=3611035023103260014&amp;isNoScr=script&amp;mode=search", "토지이음")</f>
        <v/>
      </c>
      <c r="S1140" s="3" t="inlineStr">
        <is>
          <t>고운맘</t>
        </is>
      </c>
      <c r="T1140" s="4" t="n">
        <v>1</v>
      </c>
      <c r="U1140" s="5" t="n">
        <v>144.1</v>
      </c>
      <c r="V1140" s="4" t="n">
        <v>177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부정형</t>
        </is>
      </c>
      <c r="AA1140" s="3" t="inlineStr">
        <is>
          <t>세로한면(가)</t>
        </is>
      </c>
    </row>
    <row r="1141">
      <c r="A1141" s="3" t="inlineStr">
        <is>
          <t>장군면 대교리 326-14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매매</t>
        </is>
      </c>
      <c r="G1141" s="4" t="n">
        <v>25000</v>
      </c>
      <c r="H1141" s="4" t="n">
        <v>0</v>
      </c>
      <c r="I1141" s="4" t="n">
        <v>177</v>
      </c>
      <c r="J1141" s="4" t="n">
        <v>54</v>
      </c>
      <c r="K1141" s="5" t="n">
        <v>463</v>
      </c>
      <c r="L1141" s="4" t="n">
        <v>102</v>
      </c>
      <c r="M1141" s="4" t="n">
        <v>31</v>
      </c>
      <c r="N1141" s="5" t="n">
        <v>806.5</v>
      </c>
      <c r="O1141" s="3" t="inlineStr">
        <is>
          <t>장군면 대교리 전원주택 매매</t>
        </is>
      </c>
      <c r="P1141" s="6">
        <f>HYPERLINK("https://fin.land.naver.com/articles/2654997402", "매물Link")</f>
        <v/>
      </c>
      <c r="Q1141" s="6">
        <f>HYPERLINK("https://map.naver.com/p/search/장군면 대교리 326-14", "지도Link")</f>
        <v/>
      </c>
      <c r="R1141" s="6">
        <f>HYPERLINK("http://www.eum.go.kr/web/ar/lu/luLandDet.jsp?pnu=3611035023103260014&amp;isNoScr=script&amp;mode=search", "토지이음")</f>
        <v/>
      </c>
      <c r="S1141" s="3" t="inlineStr">
        <is>
          <t>다모아</t>
        </is>
      </c>
      <c r="T1141" s="4" t="n">
        <v>1</v>
      </c>
      <c r="U1141" s="5" t="n">
        <v>144.1</v>
      </c>
      <c r="V1141" s="4" t="n">
        <v>177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부정형</t>
        </is>
      </c>
      <c r="AA1141" s="3" t="inlineStr">
        <is>
          <t>세로한면(가)</t>
        </is>
      </c>
    </row>
    <row r="1142">
      <c r="A1142" s="3" t="inlineStr">
        <is>
          <t>장군면 대교리 326-4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34000</v>
      </c>
      <c r="H1142" s="4" t="n">
        <v>0</v>
      </c>
      <c r="I1142" s="4" t="n">
        <v>188</v>
      </c>
      <c r="J1142" s="4" t="n">
        <v>57</v>
      </c>
      <c r="K1142" s="5" t="n">
        <v>596.5</v>
      </c>
      <c r="L1142" s="4" t="n">
        <v>107</v>
      </c>
      <c r="M1142" s="4" t="n">
        <v>32</v>
      </c>
      <c r="N1142" s="5" t="n">
        <v>1062.5</v>
      </c>
      <c r="O1142" s="3" t="inlineStr">
        <is>
          <t>전원주택, 추천매매</t>
        </is>
      </c>
      <c r="P1142" s="6">
        <f>HYPERLINK("https://fin.land.naver.com/articles/2653740072", "매물Link")</f>
        <v/>
      </c>
      <c r="Q1142" s="6">
        <f>HYPERLINK("https://map.naver.com/p/search/장군면 대교리 326-4", "지도Link")</f>
        <v/>
      </c>
      <c r="R1142" s="6">
        <f>HYPERLINK("http://www.eum.go.kr/web/ar/lu/luLandDet.jsp?pnu=3611035023103260004&amp;isNoScr=script&amp;mode=search", "토지이음")</f>
        <v/>
      </c>
      <c r="S1142" s="3" t="inlineStr">
        <is>
          <t>Home</t>
        </is>
      </c>
      <c r="T1142" s="4" t="n">
        <v>1</v>
      </c>
      <c r="U1142" s="5" t="n">
        <v>155</v>
      </c>
      <c r="V1142" s="4" t="n">
        <v>188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대교리 326-6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24500</v>
      </c>
      <c r="H1143" s="4" t="n">
        <v>0</v>
      </c>
      <c r="I1143" s="4" t="n">
        <v>179</v>
      </c>
      <c r="J1143" s="4" t="n">
        <v>54</v>
      </c>
      <c r="K1143" s="5" t="n">
        <v>453.7</v>
      </c>
      <c r="L1143" s="4" t="n">
        <v>111</v>
      </c>
      <c r="M1143" s="4" t="n">
        <v>34</v>
      </c>
      <c r="N1143" s="5" t="n">
        <v>720.6</v>
      </c>
      <c r="O1143" s="3" t="inlineStr">
        <is>
          <t>방3개, 화장실2개, 장군면타운하우스</t>
        </is>
      </c>
      <c r="P1143" s="6">
        <f>HYPERLINK("https://fin.land.naver.com/articles/2654723878", "매물Link")</f>
        <v/>
      </c>
      <c r="Q1143" s="6">
        <f>HYPERLINK("https://map.naver.com/p/search/장군면 대교리 326-6", "지도Link")</f>
        <v/>
      </c>
      <c r="R1143" s="6">
        <f>HYPERLINK("http://www.eum.go.kr/web/ar/lu/luLandDet.jsp?pnu=3611035023103260006&amp;isNoScr=script&amp;mode=search", "토지이음")</f>
        <v/>
      </c>
      <c r="S1143" s="3" t="inlineStr">
        <is>
          <t>세종무지개</t>
        </is>
      </c>
      <c r="T1143" s="4" t="n">
        <v>2</v>
      </c>
      <c r="U1143" s="5" t="n">
        <v>155</v>
      </c>
      <c r="V1143" s="4" t="n">
        <v>179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대교리 326-7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25000</v>
      </c>
      <c r="H1144" s="4" t="n">
        <v>0</v>
      </c>
      <c r="I1144" s="4" t="n">
        <v>179</v>
      </c>
      <c r="J1144" s="4" t="n">
        <v>54</v>
      </c>
      <c r="K1144" s="5" t="n">
        <v>463</v>
      </c>
      <c r="L1144" s="4" t="n">
        <v>111</v>
      </c>
      <c r="M1144" s="4" t="n">
        <v>34</v>
      </c>
      <c r="N1144" s="5" t="n">
        <v>735.3</v>
      </c>
      <c r="O1144" s="3" t="inlineStr">
        <is>
          <t>세종시 근접 단독 복층 주택,여유로운 전원생활을 누려보세요</t>
        </is>
      </c>
      <c r="P1144" s="6">
        <f>HYPERLINK("https://fin.land.naver.com/articles/2654779985", "매물Link")</f>
        <v/>
      </c>
      <c r="Q1144" s="6">
        <f>HYPERLINK("https://map.naver.com/p/search/장군면 대교리 326-7", "지도Link")</f>
        <v/>
      </c>
      <c r="R1144" s="6">
        <f>HYPERLINK("http://www.eum.go.kr/web/ar/lu/luLandDet.jsp?pnu=3611035023103260007&amp;isNoScr=script&amp;mode=search", "토지이음")</f>
        <v/>
      </c>
      <c r="S1144" s="3" t="inlineStr">
        <is>
          <t>가치잇는</t>
        </is>
      </c>
      <c r="T1144" s="4" t="n">
        <v>1</v>
      </c>
      <c r="U1144" s="5" t="n">
        <v>130.2</v>
      </c>
      <c r="V1144" s="4" t="n">
        <v>179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대교리 335-26</t>
        </is>
      </c>
      <c r="B1145" s="3" t="inlineStr">
        <is>
          <t>생산관리지역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매매</t>
        </is>
      </c>
      <c r="G1145" s="4" t="n">
        <v>58000</v>
      </c>
      <c r="H1145" s="4" t="n">
        <v>0</v>
      </c>
      <c r="I1145" s="4" t="n">
        <v>670</v>
      </c>
      <c r="J1145" s="4" t="n">
        <v>203</v>
      </c>
      <c r="K1145" s="5" t="n">
        <v>285.7</v>
      </c>
      <c r="L1145" s="4" t="n">
        <v>80</v>
      </c>
      <c r="M1145" s="4" t="n">
        <v>24</v>
      </c>
      <c r="N1145" s="5" t="n">
        <v>2416.7</v>
      </c>
      <c r="O1145" s="3" t="inlineStr">
        <is>
          <t>멋진 데크있는 단독주택</t>
        </is>
      </c>
      <c r="P1145" s="6">
        <f>HYPERLINK("https://fin.land.naver.com/articles/2654910916", "매물Link")</f>
        <v/>
      </c>
      <c r="Q1145" s="6">
        <f>HYPERLINK("https://map.naver.com/p/search/장군면 대교리 335-26", "지도Link")</f>
        <v/>
      </c>
      <c r="R1145" s="6">
        <f>HYPERLINK("http://www.eum.go.kr/web/ar/lu/luLandDet.jsp?pnu=3611035023103350026&amp;isNoScr=script&amp;mode=search", "토지이음")</f>
        <v/>
      </c>
      <c r="S1145" s="3" t="inlineStr">
        <is>
          <t>THE행복</t>
        </is>
      </c>
      <c r="T1145" s="4" t="n">
        <v>1</v>
      </c>
      <c r="U1145" s="5" t="n">
        <v>117.7</v>
      </c>
      <c r="V1145" s="4" t="n">
        <v>398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대교리 335-26</t>
        </is>
      </c>
      <c r="B1146" s="3" t="inlineStr">
        <is>
          <t>생산관리지역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58000</v>
      </c>
      <c r="H1146" s="4" t="n">
        <v>0</v>
      </c>
      <c r="I1146" s="4" t="n">
        <v>670</v>
      </c>
      <c r="J1146" s="4" t="n">
        <v>203</v>
      </c>
      <c r="K1146" s="5" t="n">
        <v>285.7</v>
      </c>
      <c r="L1146" s="4" t="n">
        <v>80</v>
      </c>
      <c r="M1146" s="4" t="n">
        <v>24</v>
      </c>
      <c r="N1146" s="5" t="n">
        <v>2416.7</v>
      </c>
      <c r="O1146" s="3" t="inlineStr">
        <is>
          <t>장군면 대교리 조용한 전원주택</t>
        </is>
      </c>
      <c r="P1146" s="6">
        <f>HYPERLINK("https://fin.land.naver.com/articles/2655038534", "매물Link")</f>
        <v/>
      </c>
      <c r="Q1146" s="6">
        <f>HYPERLINK("https://map.naver.com/p/search/장군면 대교리 335-26", "지도Link")</f>
        <v/>
      </c>
      <c r="R1146" s="6">
        <f>HYPERLINK("http://www.eum.go.kr/web/ar/lu/luLandDet.jsp?pnu=3611035023103350026&amp;isNoScr=script&amp;mode=search", "토지이음")</f>
        <v/>
      </c>
      <c r="S1146" s="3" t="inlineStr">
        <is>
          <t>세종천지</t>
        </is>
      </c>
      <c r="T1146" s="4" t="n">
        <v>1</v>
      </c>
      <c r="U1146" s="5" t="n">
        <v>117.7</v>
      </c>
      <c r="V1146" s="4" t="n">
        <v>398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335-27</t>
        </is>
      </c>
      <c r="B1147" s="3" t="inlineStr">
        <is>
          <t>생산관리지역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63000</v>
      </c>
      <c r="H1147" s="4" t="n">
        <v>0</v>
      </c>
      <c r="I1147" s="4" t="n">
        <v>623</v>
      </c>
      <c r="J1147" s="4" t="n">
        <v>188</v>
      </c>
      <c r="K1147" s="5" t="n">
        <v>335.1</v>
      </c>
      <c r="L1147" s="4" t="n">
        <v>82</v>
      </c>
      <c r="M1147" s="4" t="n">
        <v>25</v>
      </c>
      <c r="N1147" s="5" t="n">
        <v>2520</v>
      </c>
      <c r="O1147" s="3" t="inlineStr">
        <is>
          <t>행복도시 10분이내 거리의 예쁜 전원주택지입니다</t>
        </is>
      </c>
      <c r="P1147" s="6">
        <f>HYPERLINK("https://fin.land.naver.com/articles/2652122425", "매물Link")</f>
        <v/>
      </c>
      <c r="Q1147" s="6">
        <f>HYPERLINK("https://map.naver.com/p/search/장군면 대교리 335-27", "지도Link")</f>
        <v/>
      </c>
      <c r="R1147" s="6">
        <f>HYPERLINK("http://www.eum.go.kr/web/ar/lu/luLandDet.jsp?pnu=3611035023103350027&amp;isNoScr=script&amp;mode=search", "토지이음")</f>
        <v/>
      </c>
      <c r="S1147" s="3" t="inlineStr">
        <is>
          <t>미스터홈즈강남지사</t>
        </is>
      </c>
      <c r="T1147" s="4" t="n">
        <v>1</v>
      </c>
      <c r="U1147" s="5" t="n">
        <v>117.7</v>
      </c>
      <c r="V1147" s="4" t="n">
        <v>623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413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전원주택</t>
        </is>
      </c>
      <c r="F1148" s="3" t="inlineStr">
        <is>
          <t>매매</t>
        </is>
      </c>
      <c r="G1148" s="4" t="n">
        <v>32000</v>
      </c>
      <c r="H1148" s="4" t="n">
        <v>0</v>
      </c>
      <c r="I1148" s="4" t="n">
        <v>329</v>
      </c>
      <c r="J1148" s="4" t="n">
        <v>100</v>
      </c>
      <c r="K1148" s="5" t="n">
        <v>320</v>
      </c>
      <c r="L1148" s="4" t="n">
        <v>48</v>
      </c>
      <c r="M1148" s="4" t="n">
        <v>15</v>
      </c>
      <c r="N1148" s="5" t="n">
        <v>2133.3</v>
      </c>
      <c r="O1148" s="3" t="inlineStr">
        <is>
          <t>대교리 농가주택 매매</t>
        </is>
      </c>
      <c r="P1148" s="6">
        <f>HYPERLINK("https://fin.land.naver.com/articles/2653538275", "매물Link")</f>
        <v/>
      </c>
      <c r="Q1148" s="6">
        <f>HYPERLINK("https://map.naver.com/p/search/장군면 대교리 413", "지도Link")</f>
        <v/>
      </c>
      <c r="R1148" s="6">
        <f>HYPERLINK("http://www.eum.go.kr/web/ar/lu/luLandDet.jsp?pnu=3611035023104130000&amp;isNoScr=script&amp;mode=search", "토지이음")</f>
        <v/>
      </c>
      <c r="S1148" s="3" t="inlineStr">
        <is>
          <t>세종천지</t>
        </is>
      </c>
      <c r="T1148" s="4" t="n">
        <v>1</v>
      </c>
      <c r="U1148" s="5" t="n">
        <v>141.6</v>
      </c>
      <c r="V1148" s="4" t="n">
        <v>329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평지</t>
        </is>
      </c>
      <c r="Z1148" s="3" t="inlineStr">
        <is>
          <t>부정형</t>
        </is>
      </c>
      <c r="AA1148" s="3" t="inlineStr">
        <is>
          <t>세로한면(가)</t>
        </is>
      </c>
    </row>
    <row r="1149">
      <c r="A1149" s="3" t="inlineStr">
        <is>
          <t>장군면 대교리 516-5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매매</t>
        </is>
      </c>
      <c r="G1149" s="4" t="n">
        <v>31000</v>
      </c>
      <c r="H1149" s="4" t="n">
        <v>0</v>
      </c>
      <c r="I1149" s="4" t="n">
        <v>281</v>
      </c>
      <c r="J1149" s="4" t="n">
        <v>85</v>
      </c>
      <c r="K1149" s="5" t="n">
        <v>364.7</v>
      </c>
      <c r="L1149" s="4" t="n">
        <v>78</v>
      </c>
      <c r="M1149" s="4" t="n">
        <v>24</v>
      </c>
      <c r="N1149" s="5" t="n">
        <v>1291.7</v>
      </c>
      <c r="O1149" s="3" t="inlineStr">
        <is>
          <t>장군면 단독주택 매매</t>
        </is>
      </c>
      <c r="P1149" s="6">
        <f>HYPERLINK("https://fin.land.naver.com/articles/2653435455", "매물Link")</f>
        <v/>
      </c>
      <c r="Q1149" s="6">
        <f>HYPERLINK("https://map.naver.com/p/search/장군면 대교리 516-5", "지도Link")</f>
        <v/>
      </c>
      <c r="R1149" s="6">
        <f>HYPERLINK("http://www.eum.go.kr/web/ar/lu/luLandDet.jsp?pnu=3611035023105160005&amp;isNoScr=script&amp;mode=search", "토지이음")</f>
        <v/>
      </c>
      <c r="S1149" s="3" t="inlineStr">
        <is>
          <t>대박</t>
        </is>
      </c>
      <c r="T1149" s="4" t="n">
        <v>1</v>
      </c>
      <c r="U1149" s="5" t="n">
        <v>232.6</v>
      </c>
      <c r="V1149" s="4" t="n">
        <v>281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평지</t>
        </is>
      </c>
      <c r="Z1149" s="3" t="inlineStr">
        <is>
          <t>부정형</t>
        </is>
      </c>
      <c r="AA1149" s="3" t="inlineStr">
        <is>
          <t>세로한면(가)</t>
        </is>
      </c>
    </row>
    <row r="1150">
      <c r="A1150" s="3" t="inlineStr">
        <is>
          <t>장군면 대교리 596-3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일반원룸</t>
        </is>
      </c>
      <c r="F1150" s="3" t="inlineStr">
        <is>
          <t>월세</t>
        </is>
      </c>
      <c r="G1150" s="4" t="n">
        <v>100</v>
      </c>
      <c r="H1150" s="4" t="n">
        <v>27</v>
      </c>
      <c r="I1150" s="4" t="n">
        <v>24</v>
      </c>
      <c r="J1150" s="4" t="n">
        <v>7</v>
      </c>
      <c r="K1150" s="5" t="n">
        <v>3.9</v>
      </c>
      <c r="L1150" s="4" t="n">
        <v>20</v>
      </c>
      <c r="M1150" s="4" t="n">
        <v>6</v>
      </c>
      <c r="N1150" s="5" t="n">
        <v>4.5</v>
      </c>
      <c r="O1150" s="3" t="inlineStr">
        <is>
          <t>000 착한임대료 조용한 원룸 수납최고 000</t>
        </is>
      </c>
      <c r="P1150" s="6">
        <f>HYPERLINK("https://fin.land.naver.com/articles/2654364978", "매물Link")</f>
        <v/>
      </c>
      <c r="Q1150" s="6">
        <f>HYPERLINK("https://map.naver.com/p/search/장군면 대교리 596-3", "지도Link")</f>
        <v/>
      </c>
      <c r="R1150" s="6">
        <f>HYPERLINK("http://www.eum.go.kr/web/ar/lu/luLandDet.jsp?pnu=3611035023105960003&amp;isNoScr=script&amp;mode=search", "토지이음")</f>
        <v/>
      </c>
      <c r="S1150" s="3" t="inlineStr">
        <is>
          <t>신황제</t>
        </is>
      </c>
      <c r="T1150" s="4" t="n">
        <v>1</v>
      </c>
      <c r="U1150" s="5" t="n">
        <v>252.6</v>
      </c>
      <c r="V1150" s="4" t="n">
        <v>296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596-3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일반원룸</t>
        </is>
      </c>
      <c r="F1151" s="3" t="inlineStr">
        <is>
          <t>월세</t>
        </is>
      </c>
      <c r="G1151" s="4" t="n">
        <v>100</v>
      </c>
      <c r="H1151" s="4" t="n">
        <v>27</v>
      </c>
      <c r="I1151" s="4" t="n">
        <v>20</v>
      </c>
      <c r="J1151" s="4" t="n">
        <v>6</v>
      </c>
      <c r="K1151" s="5" t="n">
        <v>4.5</v>
      </c>
      <c r="L1151" s="4" t="n">
        <v>19</v>
      </c>
      <c r="M1151" s="4" t="n">
        <v>6</v>
      </c>
      <c r="N1151" s="5" t="n">
        <v>4.5</v>
      </c>
      <c r="O1151" s="3" t="inlineStr">
        <is>
          <t>세종 최저 저렴이 원룸 빌트인장 수납공간많고 싸게 딱 좋아</t>
        </is>
      </c>
      <c r="P1151" s="6">
        <f>HYPERLINK("https://fin.land.naver.com/articles/2654408385", "매물Link")</f>
        <v/>
      </c>
      <c r="Q1151" s="6">
        <f>HYPERLINK("https://map.naver.com/p/search/장군면 대교리 596-3", "지도Link")</f>
        <v/>
      </c>
      <c r="R1151" s="6">
        <f>HYPERLINK("http://www.eum.go.kr/web/ar/lu/luLandDet.jsp?pnu=3611035023105960003&amp;isNoScr=script&amp;mode=search", "토지이음")</f>
        <v/>
      </c>
      <c r="S1151" s="3" t="inlineStr">
        <is>
          <t>황제</t>
        </is>
      </c>
      <c r="T1151" s="4" t="n">
        <v>1</v>
      </c>
      <c r="U1151" s="5" t="n">
        <v>252.6</v>
      </c>
      <c r="V1151" s="4" t="n">
        <v>296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596-7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단기임대</t>
        </is>
      </c>
      <c r="G1152" s="4" t="n">
        <v>100</v>
      </c>
      <c r="H1152" s="4" t="n">
        <v>27</v>
      </c>
      <c r="I1152" s="4" t="n">
        <v>24</v>
      </c>
      <c r="J1152" s="4" t="n">
        <v>7</v>
      </c>
      <c r="K1152" s="5" t="n">
        <v>14.3</v>
      </c>
      <c r="L1152" s="4" t="n">
        <v>20</v>
      </c>
      <c r="M1152" s="4" t="n">
        <v>6</v>
      </c>
      <c r="N1152" s="5" t="n">
        <v>16.7</v>
      </c>
      <c r="O1152" s="3" t="inlineStr">
        <is>
          <t>000 저렴  수납좋은 원룸 000</t>
        </is>
      </c>
      <c r="P1152" s="6">
        <f>HYPERLINK("https://fin.land.naver.com/articles/2655235328", "매물Link")</f>
        <v/>
      </c>
      <c r="Q1152" s="6">
        <f>HYPERLINK("https://map.naver.com/p/search/장군면 대교리 596-7", "지도Link")</f>
        <v/>
      </c>
      <c r="R1152" s="6">
        <f>HYPERLINK("http://www.eum.go.kr/web/ar/lu/luLandDet.jsp?pnu=3611035023105960007&amp;isNoScr=script&amp;mode=search", "토지이음")</f>
        <v/>
      </c>
      <c r="S1152" s="3" t="inlineStr">
        <is>
          <t>신황제</t>
        </is>
      </c>
      <c r="T1152" s="4" t="n">
        <v>1</v>
      </c>
      <c r="U1152" s="5" t="n">
        <v>252.6</v>
      </c>
      <c r="V1152" s="4" t="n">
        <v>295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596-7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일반원룸</t>
        </is>
      </c>
      <c r="F1153" s="3" t="inlineStr">
        <is>
          <t>단기임대</t>
        </is>
      </c>
      <c r="G1153" s="4" t="n">
        <v>100</v>
      </c>
      <c r="H1153" s="4" t="n">
        <v>27</v>
      </c>
      <c r="I1153" s="4" t="n">
        <v>24</v>
      </c>
      <c r="J1153" s="4" t="n">
        <v>7</v>
      </c>
      <c r="K1153" s="5" t="n">
        <v>14.3</v>
      </c>
      <c r="L1153" s="4" t="n">
        <v>20</v>
      </c>
      <c r="M1153" s="4" t="n">
        <v>6</v>
      </c>
      <c r="N1153" s="5" t="n">
        <v>16.7</v>
      </c>
      <c r="O1153" s="3" t="inlineStr">
        <is>
          <t>000 추천추천 저렴  수납좋은 원룸 000</t>
        </is>
      </c>
      <c r="P1153" s="6">
        <f>HYPERLINK("https://fin.land.naver.com/articles/2655615423", "매물Link")</f>
        <v/>
      </c>
      <c r="Q1153" s="6">
        <f>HYPERLINK("https://map.naver.com/p/search/장군면 대교리 596-7", "지도Link")</f>
        <v/>
      </c>
      <c r="R1153" s="6">
        <f>HYPERLINK("http://www.eum.go.kr/web/ar/lu/luLandDet.jsp?pnu=3611035023105960007&amp;isNoScr=script&amp;mode=search", "토지이음")</f>
        <v/>
      </c>
      <c r="S1153" s="3" t="inlineStr">
        <is>
          <t>신황제</t>
        </is>
      </c>
      <c r="T1153" s="4" t="n">
        <v>1</v>
      </c>
      <c r="U1153" s="5" t="n">
        <v>252.6</v>
      </c>
      <c r="V1153" s="4" t="n">
        <v>295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596-7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100</v>
      </c>
      <c r="H1154" s="4" t="n">
        <v>27</v>
      </c>
      <c r="I1154" s="4" t="n">
        <v>22</v>
      </c>
      <c r="J1154" s="4" t="n">
        <v>7</v>
      </c>
      <c r="K1154" s="5" t="n">
        <v>3.9</v>
      </c>
      <c r="L1154" s="4" t="n">
        <v>20</v>
      </c>
      <c r="M1154" s="4" t="n">
        <v>6</v>
      </c>
      <c r="N1154" s="5" t="n">
        <v>4.5</v>
      </c>
      <c r="O1154" s="3" t="inlineStr">
        <is>
          <t>세종 최저 저렴이 원룸 빌트인장 수납공간 싸게 딱 좋아</t>
        </is>
      </c>
      <c r="P1154" s="6">
        <f>HYPERLINK("https://fin.land.naver.com/articles/2655244712", "매물Link")</f>
        <v/>
      </c>
      <c r="Q1154" s="6">
        <f>HYPERLINK("https://map.naver.com/p/search/장군면 대교리 596-7", "지도Link")</f>
        <v/>
      </c>
      <c r="R1154" s="6">
        <f>HYPERLINK("http://www.eum.go.kr/web/ar/lu/luLandDet.jsp?pnu=3611035023105960007&amp;isNoScr=script&amp;mode=search", "토지이음")</f>
        <v/>
      </c>
      <c r="S1154" s="3" t="inlineStr">
        <is>
          <t>황제</t>
        </is>
      </c>
      <c r="T1154" s="4" t="n">
        <v>1</v>
      </c>
      <c r="U1154" s="5" t="n">
        <v>252.6</v>
      </c>
      <c r="V1154" s="4" t="n">
        <v>295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74-27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매매</t>
        </is>
      </c>
      <c r="G1155" s="4" t="n">
        <v>40000</v>
      </c>
      <c r="H1155" s="4" t="n">
        <v>0</v>
      </c>
      <c r="I1155" s="4" t="n">
        <v>476</v>
      </c>
      <c r="J1155" s="4" t="n">
        <v>144</v>
      </c>
      <c r="K1155" s="5" t="n">
        <v>277.8</v>
      </c>
      <c r="L1155" s="4" t="n">
        <v>83</v>
      </c>
      <c r="M1155" s="4" t="n">
        <v>25</v>
      </c>
      <c r="N1155" s="5" t="n">
        <v>1600</v>
      </c>
      <c r="O1155" s="3" t="inlineStr">
        <is>
          <t>신도시가 내려다 보이는 국사봉마을 전원주택단지</t>
        </is>
      </c>
      <c r="P1155" s="6">
        <f>HYPERLINK("https://fin.land.naver.com/articles/2654547823", "매물Link")</f>
        <v/>
      </c>
      <c r="Q1155" s="6">
        <f>HYPERLINK("https://map.naver.com/p/search/장군면 대교리 74-27", "지도Link")</f>
        <v/>
      </c>
      <c r="R1155" s="6">
        <f>HYPERLINK("http://www.eum.go.kr/web/ar/lu/luLandDet.jsp?pnu=3611035023100740027&amp;isNoScr=script&amp;mode=search", "토지이음")</f>
        <v/>
      </c>
      <c r="S1155" s="3" t="inlineStr">
        <is>
          <t>온뜰</t>
        </is>
      </c>
      <c r="T1155" s="4" t="n">
        <v>1</v>
      </c>
      <c r="U1155" s="5" t="n">
        <v>107.7</v>
      </c>
      <c r="V1155" s="4" t="n">
        <v>430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74-27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단독</t>
        </is>
      </c>
      <c r="F1156" s="3" t="inlineStr">
        <is>
          <t>매매</t>
        </is>
      </c>
      <c r="G1156" s="4" t="n">
        <v>40000</v>
      </c>
      <c r="H1156" s="4" t="n">
        <v>0</v>
      </c>
      <c r="I1156" s="4" t="n">
        <v>1015</v>
      </c>
      <c r="J1156" s="4" t="n">
        <v>307</v>
      </c>
      <c r="K1156" s="5" t="n">
        <v>130.3</v>
      </c>
      <c r="L1156" s="4" t="n">
        <v>83</v>
      </c>
      <c r="M1156" s="4" t="n">
        <v>25</v>
      </c>
      <c r="N1156" s="5" t="n">
        <v>1600</v>
      </c>
      <c r="O1156" s="3" t="inlineStr">
        <is>
          <t>세종시내 5분 거리 국사봉마을 전원주택,세컨하우스,토지 투자 적극 추천</t>
        </is>
      </c>
      <c r="P1156" s="6">
        <f>HYPERLINK("https://fin.land.naver.com/articles/2650200636", "매물Link")</f>
        <v/>
      </c>
      <c r="Q1156" s="6">
        <f>HYPERLINK("https://map.naver.com/p/search/장군면 대교리 74-27", "지도Link")</f>
        <v/>
      </c>
      <c r="R1156" s="6">
        <f>HYPERLINK("http://www.eum.go.kr/web/ar/lu/luLandDet.jsp?pnu=3611035023100740027&amp;isNoScr=script&amp;mode=search", "토지이음")</f>
        <v/>
      </c>
      <c r="S1156" s="3" t="inlineStr">
        <is>
          <t>세종신한</t>
        </is>
      </c>
      <c r="T1156" s="4" t="n">
        <v>1</v>
      </c>
      <c r="U1156" s="5" t="n">
        <v>107.7</v>
      </c>
      <c r="V1156" s="4" t="n">
        <v>430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74-32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전원주택</t>
        </is>
      </c>
      <c r="F1157" s="3" t="inlineStr">
        <is>
          <t>매매</t>
        </is>
      </c>
      <c r="G1157" s="4" t="n">
        <v>62000</v>
      </c>
      <c r="H1157" s="4" t="n">
        <v>0</v>
      </c>
      <c r="I1157" s="4" t="n">
        <v>680</v>
      </c>
      <c r="J1157" s="4" t="n">
        <v>206</v>
      </c>
      <c r="K1157" s="5" t="n">
        <v>301</v>
      </c>
      <c r="L1157" s="4" t="n">
        <v>98</v>
      </c>
      <c r="M1157" s="4" t="n">
        <v>30</v>
      </c>
      <c r="N1157" s="5" t="n">
        <v>2066.7</v>
      </c>
      <c r="O1157" s="3" t="inlineStr">
        <is>
          <t>환상적인 산뷰,복층,고운동 차량5분거리,월세안고 매매 또는 입주협의가능</t>
        </is>
      </c>
      <c r="P1157" s="6">
        <f>HYPERLINK("https://fin.land.naver.com/articles/2651993245", "매물Link")</f>
        <v/>
      </c>
      <c r="Q1157" s="6">
        <f>HYPERLINK("https://map.naver.com/p/search/장군면 대교리 74-32", "지도Link")</f>
        <v/>
      </c>
      <c r="R1157" s="6">
        <f>HYPERLINK("http://www.eum.go.kr/web/ar/lu/luLandDet.jsp?pnu=3611035023100740032&amp;isNoScr=script&amp;mode=search", "토지이음")</f>
        <v/>
      </c>
      <c r="S1157" s="3" t="inlineStr">
        <is>
          <t>담뜰</t>
        </is>
      </c>
      <c r="T1157" s="4" t="n">
        <v>1</v>
      </c>
      <c r="U1157" s="5" t="n">
        <v>104.8</v>
      </c>
      <c r="V1157" s="4" t="n">
        <v>680</v>
      </c>
      <c r="W1157" s="3" t="inlineStr">
        <is>
          <t>농림지역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74-35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98</v>
      </c>
      <c r="J1158" s="4" t="n">
        <v>30</v>
      </c>
      <c r="K1158" s="5" t="n">
        <v>1500</v>
      </c>
      <c r="L1158" s="4" t="n">
        <v>631</v>
      </c>
      <c r="M1158" s="4" t="n">
        <v>191</v>
      </c>
      <c r="N1158" s="5" t="n">
        <v>235.6</v>
      </c>
      <c r="O1158" s="3" t="inlineStr">
        <is>
          <t>산뷰로 전망좋으며 일조량 좋음,집상태 깨끗함,폴리싱타일거실바닥,붙박이장,</t>
        </is>
      </c>
      <c r="P1158" s="6">
        <f>HYPERLINK("https://fin.land.naver.com/articles/2653062650", "매물Link")</f>
        <v/>
      </c>
      <c r="Q1158" s="6">
        <f>HYPERLINK("https://map.naver.com/p/search/장군면 대교리 74-35", "지도Link")</f>
        <v/>
      </c>
      <c r="R1158" s="6">
        <f>HYPERLINK("http://www.eum.go.kr/web/ar/lu/luLandDet.jsp?pnu=3611035023100740035&amp;isNoScr=script&amp;mode=search", "토지이음")</f>
        <v/>
      </c>
      <c r="S1158" s="3" t="inlineStr">
        <is>
          <t>담뜰</t>
        </is>
      </c>
      <c r="T1158" s="4" t="n">
        <v>1</v>
      </c>
      <c r="U1158" s="5" t="n">
        <v>107.7</v>
      </c>
      <c r="V1158" s="4" t="n">
        <v>589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79-140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50000</v>
      </c>
      <c r="H1159" s="4" t="n">
        <v>0</v>
      </c>
      <c r="I1159" s="4" t="n">
        <v>780</v>
      </c>
      <c r="J1159" s="4" t="n">
        <v>236</v>
      </c>
      <c r="K1159" s="5" t="n">
        <v>211.9</v>
      </c>
      <c r="L1159" s="4" t="n">
        <v>77</v>
      </c>
      <c r="M1159" s="4" t="n">
        <v>23</v>
      </c>
      <c r="N1159" s="5" t="n">
        <v>2173.9</v>
      </c>
      <c r="O1159" s="3" t="inlineStr">
        <is>
          <t>경량철골구조, 소매점, 태양광설치, 대교리 저렴한 토지.주택</t>
        </is>
      </c>
      <c r="P1159" s="6">
        <f>HYPERLINK("https://fin.land.naver.com/articles/2652841688", "매물Link")</f>
        <v/>
      </c>
      <c r="Q1159" s="6">
        <f>HYPERLINK("https://map.naver.com/p/search/장군면 대교리 79-140", "지도Link")</f>
        <v/>
      </c>
      <c r="R1159" s="6">
        <f>HYPERLINK("http://www.eum.go.kr/web/ar/lu/luLandDet.jsp?pnu=3611035023100790140&amp;isNoScr=script&amp;mode=search", "토지이음")</f>
        <v/>
      </c>
      <c r="S1159" s="3" t="inlineStr">
        <is>
          <t>세종무지개</t>
        </is>
      </c>
      <c r="T1159" s="4" t="n">
        <v>1</v>
      </c>
      <c r="U1159" s="5" t="n">
        <v>157.2</v>
      </c>
      <c r="V1159" s="4" t="n">
        <v>390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완경사</t>
        </is>
      </c>
      <c r="Z1159" s="3" t="inlineStr">
        <is>
          <t>정방형</t>
        </is>
      </c>
      <c r="AA1159" s="3" t="inlineStr">
        <is>
          <t>세로한면(가)</t>
        </is>
      </c>
    </row>
    <row r="1160">
      <c r="A1160" s="3" t="inlineStr">
        <is>
          <t>장군면 대교리 79-64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50000</v>
      </c>
      <c r="H1160" s="4" t="n">
        <v>0</v>
      </c>
      <c r="I1160" s="4" t="n">
        <v>290</v>
      </c>
      <c r="J1160" s="4" t="n">
        <v>88</v>
      </c>
      <c r="K1160" s="5" t="n">
        <v>568.2</v>
      </c>
      <c r="L1160" s="4" t="n">
        <v>115</v>
      </c>
      <c r="M1160" s="4" t="n">
        <v>35</v>
      </c>
      <c r="N1160" s="5" t="n">
        <v>1428.6</v>
      </c>
      <c r="O1160" s="3" t="inlineStr">
        <is>
          <t>급매.많은 발전 호재 기대되는 대교리. 서세종IC 5분</t>
        </is>
      </c>
      <c r="P1160" s="6">
        <f>HYPERLINK("https://fin.land.naver.com/articles/2651959877", "매물Link")</f>
        <v/>
      </c>
      <c r="Q1160" s="6">
        <f>HYPERLINK("https://map.naver.com/p/search/장군면 대교리 79-64", "지도Link")</f>
        <v/>
      </c>
      <c r="R1160" s="6">
        <f>HYPERLINK("http://www.eum.go.kr/web/ar/lu/luLandDet.jsp?pnu=3611035023100790064&amp;isNoScr=script&amp;mode=search", "토지이음")</f>
        <v/>
      </c>
      <c r="S1160" s="3" t="inlineStr">
        <is>
          <t>세종올리브</t>
        </is>
      </c>
      <c r="T1160" s="4" t="n">
        <v>2</v>
      </c>
      <c r="U1160" s="5" t="n">
        <v>157.2</v>
      </c>
      <c r="V1160" s="4" t="n">
        <v>290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세로장방</t>
        </is>
      </c>
      <c r="AA1160" s="3" t="inlineStr">
        <is>
          <t>세로한면(가)</t>
        </is>
      </c>
    </row>
    <row r="1161">
      <c r="A1161" s="3" t="inlineStr">
        <is>
          <t>장군면 대교리 79-64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매매</t>
        </is>
      </c>
      <c r="G1161" s="4" t="n">
        <v>50000</v>
      </c>
      <c r="H1161" s="4" t="n">
        <v>0</v>
      </c>
      <c r="I1161" s="4" t="n">
        <v>290</v>
      </c>
      <c r="J1161" s="4" t="n">
        <v>88</v>
      </c>
      <c r="K1161" s="5" t="n">
        <v>568.2</v>
      </c>
      <c r="L1161" s="4" t="n">
        <v>115</v>
      </c>
      <c r="M1161" s="4" t="n">
        <v>35</v>
      </c>
      <c r="N1161" s="5" t="n">
        <v>1428.6</v>
      </c>
      <c r="O1161" s="3" t="inlineStr">
        <is>
          <t>마당 및 지하주차장, 복층,방4, 실매물사진, 11월입주가능</t>
        </is>
      </c>
      <c r="P1161" s="6">
        <f>HYPERLINK("https://fin.land.naver.com/articles/2651508577", "매물Link")</f>
        <v/>
      </c>
      <c r="Q1161" s="6">
        <f>HYPERLINK("https://map.naver.com/p/search/장군면 대교리 79-64", "지도Link")</f>
        <v/>
      </c>
      <c r="R1161" s="6">
        <f>HYPERLINK("http://www.eum.go.kr/web/ar/lu/luLandDet.jsp?pnu=3611035023100790064&amp;isNoScr=script&amp;mode=search", "토지이음")</f>
        <v/>
      </c>
      <c r="S1161" s="3" t="inlineStr">
        <is>
          <t>한방</t>
        </is>
      </c>
      <c r="T1161" s="4" t="n">
        <v>1</v>
      </c>
      <c r="U1161" s="5" t="n">
        <v>157.2</v>
      </c>
      <c r="V1161" s="4" t="n">
        <v>290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세로장방</t>
        </is>
      </c>
      <c r="AA1161" s="3" t="inlineStr">
        <is>
          <t>세로한면(가)</t>
        </is>
      </c>
    </row>
    <row r="1162">
      <c r="A1162" s="3" t="inlineStr">
        <is>
          <t>장군면 도계리 151-1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100</v>
      </c>
      <c r="H1162" s="4" t="n">
        <v>30</v>
      </c>
      <c r="I1162" s="4" t="n">
        <v>23</v>
      </c>
      <c r="J1162" s="4" t="n">
        <v>7</v>
      </c>
      <c r="K1162" s="5" t="n">
        <v>4.3</v>
      </c>
      <c r="L1162" s="4" t="n">
        <v>22</v>
      </c>
      <c r="M1162" s="4" t="n">
        <v>7</v>
      </c>
      <c r="N1162" s="5" t="n">
        <v>4.3</v>
      </c>
      <c r="O1162" s="3" t="inlineStr">
        <is>
          <t>정부청사15분 편의시설완비 밝고 빌트인 깔끔한 원룸</t>
        </is>
      </c>
      <c r="P1162" s="6">
        <f>HYPERLINK("https://fin.land.naver.com/articles/2654407339", "매물Link")</f>
        <v/>
      </c>
      <c r="Q1162" s="6">
        <f>HYPERLINK("https://map.naver.com/p/search/장군면 도계리 151-1", "지도Link")</f>
        <v/>
      </c>
      <c r="R1162" s="6">
        <f>HYPERLINK("http://www.eum.go.kr/web/ar/lu/luLandDet.jsp?pnu=3611035021101510001&amp;isNoScr=script&amp;mode=search", "토지이음")</f>
        <v/>
      </c>
      <c r="S1162" s="3" t="inlineStr">
        <is>
          <t>황제</t>
        </is>
      </c>
      <c r="T1162" s="4" t="n">
        <v>1</v>
      </c>
      <c r="U1162" s="5" t="n">
        <v>220.1</v>
      </c>
      <c r="V1162" s="4" t="n">
        <v>329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자루형</t>
        </is>
      </c>
      <c r="AA1162" s="3" t="inlineStr">
        <is>
          <t>세로한면(가)</t>
        </is>
      </c>
    </row>
    <row r="1163">
      <c r="A1163" s="3" t="inlineStr">
        <is>
          <t>장군면 도계리 151-1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100</v>
      </c>
      <c r="H1163" s="4" t="n">
        <v>30</v>
      </c>
      <c r="I1163" s="4" t="n">
        <v>24</v>
      </c>
      <c r="J1163" s="4" t="n">
        <v>7</v>
      </c>
      <c r="K1163" s="5" t="n">
        <v>4.3</v>
      </c>
      <c r="L1163" s="4" t="n">
        <v>20</v>
      </c>
      <c r="M1163" s="4" t="n">
        <v>6</v>
      </c>
      <c r="N1163" s="5" t="n">
        <v>5</v>
      </c>
      <c r="O1163" s="3" t="inlineStr">
        <is>
          <t>000편의시설 최상 초,중교 부근000</t>
        </is>
      </c>
      <c r="P1163" s="6">
        <f>HYPERLINK("https://fin.land.naver.com/articles/2654174668", "매물Link")</f>
        <v/>
      </c>
      <c r="Q1163" s="6">
        <f>HYPERLINK("https://map.naver.com/p/search/장군면 도계리 151-1", "지도Link")</f>
        <v/>
      </c>
      <c r="R1163" s="6">
        <f>HYPERLINK("http://www.eum.go.kr/web/ar/lu/luLandDet.jsp?pnu=3611035021101510001&amp;isNoScr=script&amp;mode=search", "토지이음")</f>
        <v/>
      </c>
      <c r="S1163" s="3" t="inlineStr">
        <is>
          <t>신황제</t>
        </is>
      </c>
      <c r="T1163" s="4" t="n">
        <v>1</v>
      </c>
      <c r="U1163" s="5" t="n">
        <v>220.1</v>
      </c>
      <c r="V1163" s="4" t="n">
        <v>329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세로한면(가)</t>
        </is>
      </c>
    </row>
    <row r="1164">
      <c r="A1164" s="3" t="inlineStr">
        <is>
          <t>장군면 도계리 151-15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일반원룸</t>
        </is>
      </c>
      <c r="F1164" s="3" t="inlineStr">
        <is>
          <t>월세</t>
        </is>
      </c>
      <c r="G1164" s="4" t="n">
        <v>200</v>
      </c>
      <c r="H1164" s="4" t="n">
        <v>29</v>
      </c>
      <c r="I1164" s="4" t="n">
        <v>26</v>
      </c>
      <c r="J1164" s="4" t="n">
        <v>8</v>
      </c>
      <c r="K1164" s="5" t="n">
        <v>3.6</v>
      </c>
      <c r="L1164" s="4" t="n">
        <v>24</v>
      </c>
      <c r="M1164" s="4" t="n">
        <v>7</v>
      </c>
      <c r="N1164" s="5" t="n">
        <v>4.1</v>
      </c>
      <c r="O1164" s="3" t="inlineStr">
        <is>
          <t>nan</t>
        </is>
      </c>
      <c r="P1164" s="6">
        <f>HYPERLINK("https://fin.land.naver.com/articles/2655116319", "매물Link")</f>
        <v/>
      </c>
      <c r="Q1164" s="6">
        <f>HYPERLINK("https://map.naver.com/p/search/장군면 도계리 151-15", "지도Link")</f>
        <v/>
      </c>
      <c r="R1164" s="6">
        <f>HYPERLINK("http://www.eum.go.kr/web/ar/lu/luLandDet.jsp?pnu=3611035021101510015&amp;isNoScr=script&amp;mode=search", "토지이음")</f>
        <v/>
      </c>
      <c r="S1164" s="3" t="inlineStr">
        <is>
          <t>신황제</t>
        </is>
      </c>
      <c r="T1164" s="4" t="n">
        <v>1</v>
      </c>
      <c r="U1164" s="5" t="n">
        <v>241.4</v>
      </c>
      <c r="V1164" s="4" t="n">
        <v>348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정방형</t>
        </is>
      </c>
      <c r="AA1164" s="3" t="inlineStr">
        <is>
          <t>세로각지(가)</t>
        </is>
      </c>
    </row>
    <row r="1165">
      <c r="A1165" s="3" t="inlineStr">
        <is>
          <t>장군면 도계리 151-32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0</t>
        </is>
      </c>
      <c r="E1165" s="3" t="inlineStr">
        <is>
          <t>일반원룸</t>
        </is>
      </c>
      <c r="F1165" s="3" t="inlineStr">
        <is>
          <t>전세</t>
        </is>
      </c>
      <c r="G1165" s="4" t="n">
        <v>3800</v>
      </c>
      <c r="H1165" s="4" t="n">
        <v>0</v>
      </c>
      <c r="I1165" s="4" t="n">
        <v>22</v>
      </c>
      <c r="J1165" s="4" t="n">
        <v>7</v>
      </c>
      <c r="K1165" s="5" t="n">
        <v>542.9</v>
      </c>
      <c r="L1165" s="4" t="n">
        <v>22</v>
      </c>
      <c r="M1165" s="4" t="n">
        <v>7</v>
      </c>
      <c r="N1165" s="5" t="n">
        <v>542.9</v>
      </c>
      <c r="O1165" s="3" t="inlineStr">
        <is>
          <t>장군면소재지로 생활 편리</t>
        </is>
      </c>
      <c r="P1165" s="6">
        <f>HYPERLINK("https://fin.land.naver.com/articles/2652273822", "매물Link")</f>
        <v/>
      </c>
      <c r="Q1165" s="6">
        <f>HYPERLINK("https://map.naver.com/p/search/장군면 도계리 151-32", "지도Link")</f>
        <v/>
      </c>
      <c r="R1165" s="6">
        <f>HYPERLINK("http://www.eum.go.kr/web/ar/lu/luLandDet.jsp?pnu=3611035021101510032&amp;isNoScr=script&amp;mode=search", "토지이음")</f>
        <v/>
      </c>
      <c r="S1165" s="3" t="inlineStr">
        <is>
          <t>새땅</t>
        </is>
      </c>
      <c r="T1165" s="4" t="n">
        <v>1</v>
      </c>
      <c r="U1165" s="5" t="n">
        <v>220.1</v>
      </c>
      <c r="V1165" s="4" t="n">
        <v>329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자루형</t>
        </is>
      </c>
      <c r="AA1165" s="3" t="inlineStr">
        <is>
          <t>세로한면(가)</t>
        </is>
      </c>
    </row>
    <row r="1166">
      <c r="A1166" s="3" t="inlineStr">
        <is>
          <t>장군면 도계리 159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100</v>
      </c>
      <c r="H1166" s="4" t="n">
        <v>30</v>
      </c>
      <c r="I1166" s="4" t="n">
        <v>21</v>
      </c>
      <c r="J1166" s="4" t="n">
        <v>6</v>
      </c>
      <c r="K1166" s="5" t="n">
        <v>5</v>
      </c>
      <c r="L1166" s="4" t="n">
        <v>21</v>
      </c>
      <c r="M1166" s="4" t="n">
        <v>6</v>
      </c>
      <c r="N1166" s="5" t="n">
        <v>5</v>
      </c>
      <c r="O1166" s="3" t="inlineStr">
        <is>
          <t>장군면 소재지 최고 생활 편리한 위치</t>
        </is>
      </c>
      <c r="P1166" s="6">
        <f>HYPERLINK("https://fin.land.naver.com/articles/2652705054", "매물Link")</f>
        <v/>
      </c>
      <c r="Q1166" s="6">
        <f>HYPERLINK("https://map.naver.com/p/search/장군면 도계리 159", "지도Link")</f>
        <v/>
      </c>
      <c r="R1166" s="6">
        <f>HYPERLINK("http://www.eum.go.kr/web/ar/lu/luLandDet.jsp?pnu=3611035021101590000&amp;isNoScr=script&amp;mode=search",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236.8</v>
      </c>
      <c r="V1166" s="4" t="n">
        <v>508</v>
      </c>
      <c r="W1166" s="3" t="inlineStr">
        <is>
          <t>지정되지않음</t>
        </is>
      </c>
      <c r="X1166" s="3" t="inlineStr">
        <is>
          <t>다세대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도계리 159-1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일반원룸</t>
        </is>
      </c>
      <c r="F1167" s="3" t="inlineStr">
        <is>
          <t>월세</t>
        </is>
      </c>
      <c r="G1167" s="4" t="n">
        <v>100</v>
      </c>
      <c r="H1167" s="4" t="n">
        <v>30</v>
      </c>
      <c r="I1167" s="4" t="n">
        <v>24</v>
      </c>
      <c r="J1167" s="4" t="n">
        <v>7</v>
      </c>
      <c r="K1167" s="5" t="n">
        <v>4.3</v>
      </c>
      <c r="L1167" s="4" t="n">
        <v>21</v>
      </c>
      <c r="M1167" s="4" t="n">
        <v>6</v>
      </c>
      <c r="N1167" s="5" t="n">
        <v>5</v>
      </c>
      <c r="O1167" s="3" t="inlineStr">
        <is>
          <t>000  분리형 원룸 편의시설 최상 000</t>
        </is>
      </c>
      <c r="P1167" s="6">
        <f>HYPERLINK("https://fin.land.naver.com/articles/2650462107", "매물Link")</f>
        <v/>
      </c>
      <c r="Q1167" s="6">
        <f>HYPERLINK("https://map.naver.com/p/search/장군면 도계리 159-1", "지도Link")</f>
        <v/>
      </c>
      <c r="R1167" s="6">
        <f>HYPERLINK("http://www.eum.go.kr/web/ar/lu/luLandDet.jsp?pnu=3611035021101590001&amp;isNoScr=script&amp;mode=search", "토지이음")</f>
        <v/>
      </c>
      <c r="S1167" s="3" t="inlineStr">
        <is>
          <t>신황제</t>
        </is>
      </c>
      <c r="T1167" s="4" t="n">
        <v>1</v>
      </c>
      <c r="U1167" s="5" t="n">
        <v>236.8</v>
      </c>
      <c r="V1167" s="4" t="n">
        <v>507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도계리 159-1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30</v>
      </c>
      <c r="I1168" s="4" t="n">
        <v>24</v>
      </c>
      <c r="J1168" s="4" t="n">
        <v>7</v>
      </c>
      <c r="K1168" s="5" t="n">
        <v>4.3</v>
      </c>
      <c r="L1168" s="4" t="n">
        <v>23</v>
      </c>
      <c r="M1168" s="4" t="n">
        <v>7</v>
      </c>
      <c r="N1168" s="5" t="n">
        <v>4.3</v>
      </c>
      <c r="O1168" s="3" t="inlineStr">
        <is>
          <t>면소재지 인근 편의시설 많은 초대형 분리형 원룸 너무좋네요</t>
        </is>
      </c>
      <c r="P1168" s="6">
        <f>HYPERLINK("https://fin.land.naver.com/articles/2653112339", "매물Link")</f>
        <v/>
      </c>
      <c r="Q1168" s="6">
        <f>HYPERLINK("https://map.naver.com/p/search/장군면 도계리 159-1", "지도Link")</f>
        <v/>
      </c>
      <c r="R1168" s="6">
        <f>HYPERLINK("http://www.eum.go.kr/web/ar/lu/luLandDet.jsp?pnu=3611035021101590001&amp;isNoScr=script&amp;mode=search", "토지이음")</f>
        <v/>
      </c>
      <c r="S1168" s="3" t="inlineStr">
        <is>
          <t>황제</t>
        </is>
      </c>
      <c r="T1168" s="4" t="n">
        <v>1</v>
      </c>
      <c r="U1168" s="5" t="n">
        <v>236.8</v>
      </c>
      <c r="V1168" s="4" t="n">
        <v>507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세로장방</t>
        </is>
      </c>
      <c r="AA1168" s="3" t="inlineStr">
        <is>
          <t>세로한면(가)</t>
        </is>
      </c>
    </row>
    <row r="1169">
      <c r="A1169" s="3" t="inlineStr">
        <is>
          <t>장군면 도계리 159-2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200</v>
      </c>
      <c r="H1169" s="4" t="n">
        <v>60</v>
      </c>
      <c r="I1169" s="4" t="n">
        <v>49</v>
      </c>
      <c r="J1169" s="4" t="n">
        <v>15</v>
      </c>
      <c r="K1169" s="5" t="n">
        <v>4</v>
      </c>
      <c r="L1169" s="4" t="n">
        <v>48</v>
      </c>
      <c r="M1169" s="4" t="n">
        <v>15</v>
      </c>
      <c r="N1169" s="5" t="n">
        <v>4</v>
      </c>
      <c r="O1169" s="3" t="inlineStr">
        <is>
          <t>인기좋은 거실 큰 투룸 엘레베이터있는 투룸 넚고 크고 좋아요</t>
        </is>
      </c>
      <c r="P1169" s="6">
        <f>HYPERLINK("https://fin.land.naver.com/articles/2654110056", "매물Link")</f>
        <v/>
      </c>
      <c r="Q1169" s="6">
        <f>HYPERLINK("https://map.naver.com/p/search/장군면 도계리 159-2", "지도Link")</f>
        <v/>
      </c>
      <c r="R1169" s="6">
        <f>HYPERLINK("http://www.eum.go.kr/web/ar/lu/luLandDet.jsp?pnu=3611035021101590002&amp;isNoScr=script&amp;mode=search",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220.1</v>
      </c>
      <c r="V1169" s="4" t="n">
        <v>571</v>
      </c>
      <c r="W1169" s="3" t="inlineStr">
        <is>
          <t>지정되지않음</t>
        </is>
      </c>
      <c r="X1169" s="3" t="inlineStr">
        <is>
          <t>다세대</t>
        </is>
      </c>
      <c r="Y1169" s="3" t="inlineStr">
        <is>
          <t>평지</t>
        </is>
      </c>
      <c r="Z1169" s="3" t="inlineStr">
        <is>
          <t>부정형</t>
        </is>
      </c>
      <c r="AA1169" s="3" t="inlineStr">
        <is>
          <t>세로한면(가)</t>
        </is>
      </c>
    </row>
    <row r="1170">
      <c r="A1170" s="3" t="inlineStr">
        <is>
          <t>장군면 도계리 178-1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0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200</v>
      </c>
      <c r="H1170" s="4" t="n">
        <v>30</v>
      </c>
      <c r="I1170" s="4" t="n">
        <v>21</v>
      </c>
      <c r="J1170" s="4" t="n">
        <v>6</v>
      </c>
      <c r="K1170" s="5" t="n">
        <v>5</v>
      </c>
      <c r="L1170" s="4" t="n">
        <v>21</v>
      </c>
      <c r="M1170" s="4" t="n">
        <v>6</v>
      </c>
      <c r="N1170" s="5" t="n">
        <v>5</v>
      </c>
      <c r="O1170" s="3" t="inlineStr">
        <is>
          <t>세종 공주 등 접근성 양호(각 15분 거리)</t>
        </is>
      </c>
      <c r="P1170" s="6">
        <f>HYPERLINK("https://fin.land.naver.com/articles/2653340297", "매물Link")</f>
        <v/>
      </c>
      <c r="Q1170" s="6">
        <f>HYPERLINK("https://map.naver.com/p/search/장군면 도계리 178-1", "지도Link")</f>
        <v/>
      </c>
      <c r="R1170" s="6">
        <f>HYPERLINK("http://www.eum.go.kr/web/ar/lu/luLandDet.jsp?pnu=3611035021101780001&amp;isNoScr=script&amp;mode=search", "토지이음")</f>
        <v/>
      </c>
      <c r="S1170" s="3" t="inlineStr">
        <is>
          <t>상상</t>
        </is>
      </c>
      <c r="T1170" s="4" t="n">
        <v>2</v>
      </c>
      <c r="U1170" s="5" t="n">
        <v>251.7</v>
      </c>
      <c r="V1170" s="4" t="n">
        <v>292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도계리 178-10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4</t>
        </is>
      </c>
      <c r="E1171" s="3" t="inlineStr">
        <is>
          <t>일반원룸</t>
        </is>
      </c>
      <c r="F1171" s="3" t="inlineStr">
        <is>
          <t>월세</t>
        </is>
      </c>
      <c r="G1171" s="4" t="n">
        <v>100</v>
      </c>
      <c r="H1171" s="4" t="n">
        <v>35</v>
      </c>
      <c r="I1171" s="4" t="n">
        <v>21</v>
      </c>
      <c r="J1171" s="4" t="n">
        <v>6</v>
      </c>
      <c r="K1171" s="5" t="n">
        <v>5.8</v>
      </c>
      <c r="L1171" s="4" t="n">
        <v>21</v>
      </c>
      <c r="M1171" s="4" t="n">
        <v>6</v>
      </c>
      <c r="N1171" s="5" t="n">
        <v>5.8</v>
      </c>
      <c r="O1171" s="3" t="inlineStr">
        <is>
          <t>장군면 최요지, 세종 시내버스 종점과 인접</t>
        </is>
      </c>
      <c r="P1171" s="6">
        <f>HYPERLINK("https://fin.land.naver.com/articles/2652706914", "매물Link")</f>
        <v/>
      </c>
      <c r="Q1171" s="6">
        <f>HYPERLINK("https://map.naver.com/p/search/장군면 도계리 178-10", "지도Link")</f>
        <v/>
      </c>
      <c r="R1171" s="6">
        <f>HYPERLINK("http://www.eum.go.kr/web/ar/lu/luLandDet.jsp?pnu=3611035021101780010&amp;isNoScr=script&amp;mode=search", "토지이음")</f>
        <v/>
      </c>
      <c r="S1171" s="3" t="inlineStr">
        <is>
          <t>새땅</t>
        </is>
      </c>
      <c r="T1171" s="4" t="n">
        <v>1</v>
      </c>
      <c r="U1171" s="5" t="n">
        <v>249.4</v>
      </c>
      <c r="V1171" s="4" t="n">
        <v>288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도계리 178-4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4</t>
        </is>
      </c>
      <c r="E1172" s="3" t="inlineStr">
        <is>
          <t>다가구</t>
        </is>
      </c>
      <c r="F1172" s="3" t="inlineStr">
        <is>
          <t>매매</t>
        </is>
      </c>
      <c r="G1172" s="4" t="n">
        <v>68000</v>
      </c>
      <c r="H1172" s="4" t="n">
        <v>0</v>
      </c>
      <c r="I1172" s="4" t="n">
        <v>317</v>
      </c>
      <c r="J1172" s="4" t="n">
        <v>96</v>
      </c>
      <c r="K1172" s="5" t="n">
        <v>708.3</v>
      </c>
      <c r="L1172" s="4" t="n">
        <v>315</v>
      </c>
      <c r="M1172" s="4" t="n">
        <v>95</v>
      </c>
      <c r="N1172" s="5" t="n">
        <v>715.8</v>
      </c>
      <c r="O1172" s="3" t="inlineStr">
        <is>
          <t>000 장군면 예약1순위   공실없는 다가구 건물 000</t>
        </is>
      </c>
      <c r="P1172" s="6">
        <f>HYPERLINK("https://fin.land.naver.com/articles/2655358703", "매물Link")</f>
        <v/>
      </c>
      <c r="Q1172" s="6">
        <f>HYPERLINK("https://map.naver.com/p/search/장군면 도계리 178-4", "지도Link")</f>
        <v/>
      </c>
      <c r="R1172" s="6">
        <f>HYPERLINK("http://www.eum.go.kr/web/ar/lu/luLandDet.jsp?pnu=3611035021101780004&amp;isNoScr=script&amp;mode=search", "토지이음")</f>
        <v/>
      </c>
      <c r="S1172" s="3" t="inlineStr">
        <is>
          <t>신황제</t>
        </is>
      </c>
      <c r="T1172" s="4" t="n">
        <v>1</v>
      </c>
      <c r="U1172" s="5" t="n">
        <v>237.5</v>
      </c>
      <c r="V1172" s="4" t="n">
        <v>317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도계리 178-4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다가구</t>
        </is>
      </c>
      <c r="F1173" s="3" t="inlineStr">
        <is>
          <t>매매</t>
        </is>
      </c>
      <c r="G1173" s="4" t="n">
        <v>69000</v>
      </c>
      <c r="H1173" s="4" t="n">
        <v>0</v>
      </c>
      <c r="I1173" s="4" t="n">
        <v>317</v>
      </c>
      <c r="J1173" s="4" t="n">
        <v>96</v>
      </c>
      <c r="K1173" s="5" t="n">
        <v>718.8</v>
      </c>
      <c r="L1173" s="4" t="n">
        <v>315</v>
      </c>
      <c r="M1173" s="4" t="n">
        <v>95</v>
      </c>
      <c r="N1173" s="5" t="n">
        <v>726.3</v>
      </c>
      <c r="O1173" s="3" t="inlineStr">
        <is>
          <t>가성비 짱 몸만 들어오면되는방 소액으로 투자하기 좋은집, 수익률좋아요</t>
        </is>
      </c>
      <c r="P1173" s="6">
        <f>HYPERLINK("https://fin.land.naver.com/articles/2653762356", "매물Link")</f>
        <v/>
      </c>
      <c r="Q1173" s="6">
        <f>HYPERLINK("https://map.naver.com/p/search/장군면 도계리 178-4", "지도Link")</f>
        <v/>
      </c>
      <c r="R1173" s="6">
        <f>HYPERLINK("http://www.eum.go.kr/web/ar/lu/luLandDet.jsp?pnu=3611035021101780004&amp;isNoScr=script&amp;mode=search", "토지이음")</f>
        <v/>
      </c>
      <c r="S1173" s="3" t="inlineStr">
        <is>
          <t>황제</t>
        </is>
      </c>
      <c r="T1173" s="4" t="n">
        <v>1</v>
      </c>
      <c r="U1173" s="5" t="n">
        <v>237.5</v>
      </c>
      <c r="V1173" s="4" t="n">
        <v>317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도계리 218-11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3</t>
        </is>
      </c>
      <c r="E1174" s="3" t="inlineStr">
        <is>
          <t>빌라</t>
        </is>
      </c>
      <c r="F1174" s="3" t="inlineStr">
        <is>
          <t>매매</t>
        </is>
      </c>
      <c r="G1174" s="4" t="n">
        <v>9000</v>
      </c>
      <c r="H1174" s="4" t="n">
        <v>0</v>
      </c>
      <c r="I1174" s="4" t="n">
        <v>68</v>
      </c>
      <c r="J1174" s="4" t="n">
        <v>21</v>
      </c>
      <c r="K1174" s="5" t="n">
        <v>428.6</v>
      </c>
      <c r="L1174" s="4" t="n">
        <v>63</v>
      </c>
      <c r="M1174" s="4" t="n">
        <v>19</v>
      </c>
      <c r="N1174" s="5" t="n">
        <v>473.7</v>
      </c>
      <c r="O1174" s="3" t="inlineStr">
        <is>
          <t>소형 다세대 주택</t>
        </is>
      </c>
      <c r="P1174" s="6">
        <f>HYPERLINK("https://fin.land.naver.com/articles/2650124349", "매물Link")</f>
        <v/>
      </c>
      <c r="Q1174" s="6">
        <f>HYPERLINK("https://map.naver.com/p/search/장군면 도계리 218-11", "지도Link")</f>
        <v/>
      </c>
      <c r="R1174" s="6">
        <f>HYPERLINK("http://www.eum.go.kr/web/ar/lu/luLandDet.jsp?pnu=3611035021102180011&amp;isNoScr=script&amp;mode=search", "토지이음")</f>
        <v/>
      </c>
      <c r="S1174" s="3" t="inlineStr">
        <is>
          <t>새땅</t>
        </is>
      </c>
      <c r="T1174" s="4" t="n">
        <v>1</v>
      </c>
      <c r="U1174" s="5" t="n">
        <v>213.9</v>
      </c>
      <c r="V1174" s="4" t="n">
        <v>996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도계리 218-2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48000</v>
      </c>
      <c r="H1175" s="4" t="n">
        <v>0</v>
      </c>
      <c r="I1175" s="4" t="n">
        <v>305</v>
      </c>
      <c r="J1175" s="4" t="n">
        <v>92</v>
      </c>
      <c r="K1175" s="5" t="n">
        <v>521.7</v>
      </c>
      <c r="L1175" s="4" t="n">
        <v>95</v>
      </c>
      <c r="M1175" s="4" t="n">
        <v>29</v>
      </c>
      <c r="N1175" s="5" t="n">
        <v>1655.2</v>
      </c>
      <c r="O1175" s="3" t="inlineStr">
        <is>
          <t>장기초근접, 작은텃밭과 마당,채광이 잘 드는집,</t>
        </is>
      </c>
      <c r="P1175" s="6">
        <f>HYPERLINK("https://fin.land.naver.com/articles/2650293764", "매물Link")</f>
        <v/>
      </c>
      <c r="Q1175" s="6">
        <f>HYPERLINK("https://map.naver.com/p/search/장군면 도계리 218-2", "지도Link")</f>
        <v/>
      </c>
      <c r="R1175" s="6">
        <f>HYPERLINK("http://www.eum.go.kr/web/ar/lu/luLandDet.jsp?pnu=3611035021102180002&amp;isNoScr=script&amp;mode=search", "토지이음")</f>
        <v/>
      </c>
      <c r="S1175" s="3" t="inlineStr">
        <is>
          <t>담뜰</t>
        </is>
      </c>
      <c r="T1175" s="4" t="n">
        <v>1</v>
      </c>
      <c r="U1175" s="5" t="n">
        <v>225.4</v>
      </c>
      <c r="V1175" s="4" t="n">
        <v>305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도계리 218-2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48000</v>
      </c>
      <c r="H1176" s="4" t="n">
        <v>0</v>
      </c>
      <c r="I1176" s="4" t="n">
        <v>305</v>
      </c>
      <c r="J1176" s="4" t="n">
        <v>92</v>
      </c>
      <c r="K1176" s="5" t="n">
        <v>521.7</v>
      </c>
      <c r="L1176" s="4" t="n">
        <v>95</v>
      </c>
      <c r="M1176" s="4" t="n">
        <v>29</v>
      </c>
      <c r="N1176" s="5" t="n">
        <v>1655.2</v>
      </c>
      <c r="O1176" s="3" t="inlineStr">
        <is>
          <t>막힘없는 정남향 도로접한 계획관리지역 마당정원과 텃밭,가격조정가능</t>
        </is>
      </c>
      <c r="P1176" s="6">
        <f>HYPERLINK("https://fin.land.naver.com/articles/2650061600", "매물Link")</f>
        <v/>
      </c>
      <c r="Q1176" s="6">
        <f>HYPERLINK("https://map.naver.com/p/search/장군면 도계리 218-2", "지도Link")</f>
        <v/>
      </c>
      <c r="R1176" s="6">
        <f>HYPERLINK("http://www.eum.go.kr/web/ar/lu/luLandDet.jsp?pnu=3611035021102180002&amp;isNoScr=script&amp;mode=search", "토지이음")</f>
        <v/>
      </c>
      <c r="S1176" s="3" t="inlineStr">
        <is>
          <t>고운맘</t>
        </is>
      </c>
      <c r="T1176" s="4" t="n">
        <v>1</v>
      </c>
      <c r="U1176" s="5" t="n">
        <v>225.4</v>
      </c>
      <c r="V1176" s="4" t="n">
        <v>305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도계리 220-2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월세</t>
        </is>
      </c>
      <c r="G1177" s="4" t="n">
        <v>500</v>
      </c>
      <c r="H1177" s="4" t="n">
        <v>30</v>
      </c>
      <c r="I1177" s="4" t="n">
        <v>24</v>
      </c>
      <c r="J1177" s="4" t="n">
        <v>7</v>
      </c>
      <c r="K1177" s="5" t="n">
        <v>4.3</v>
      </c>
      <c r="L1177" s="4" t="n">
        <v>24</v>
      </c>
      <c r="M1177" s="4" t="n">
        <v>7</v>
      </c>
      <c r="N1177" s="5" t="n">
        <v>4.3</v>
      </c>
      <c r="O1177" s="3" t="inlineStr">
        <is>
          <t>2층 월세임.작은방2.화1.</t>
        </is>
      </c>
      <c r="P1177" s="6">
        <f>HYPERLINK("https://fin.land.naver.com/articles/2652407597", "매물Link")</f>
        <v/>
      </c>
      <c r="Q1177" s="6">
        <f>HYPERLINK("https://map.naver.com/p/search/장군면 도계리 220-2", "지도Link")</f>
        <v/>
      </c>
      <c r="R1177" s="6">
        <f>HYPERLINK("http://www.eum.go.kr/web/ar/lu/luLandDet.jsp?pnu=3611035021102200002&amp;isNoScr=script&amp;mode=search", "토지이음")</f>
        <v/>
      </c>
      <c r="S1177" s="3" t="inlineStr">
        <is>
          <t>세종공주제일</t>
        </is>
      </c>
      <c r="T1177" s="4" t="n">
        <v>1</v>
      </c>
      <c r="U1177" s="5" t="n">
        <v>194.8</v>
      </c>
      <c r="V1177" s="4" t="n">
        <v>688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부정형</t>
        </is>
      </c>
      <c r="AA1177" s="3" t="inlineStr">
        <is>
          <t>세로한면(가)</t>
        </is>
      </c>
    </row>
    <row r="1178">
      <c r="A1178" s="3" t="inlineStr">
        <is>
          <t>장군면 도계리 224-1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100</v>
      </c>
      <c r="H1178" s="4" t="n">
        <v>25</v>
      </c>
      <c r="I1178" s="4" t="n">
        <v>20</v>
      </c>
      <c r="J1178" s="4" t="n">
        <v>6</v>
      </c>
      <c r="K1178" s="5" t="n">
        <v>4.2</v>
      </c>
      <c r="L1178" s="4" t="n">
        <v>17</v>
      </c>
      <c r="M1178" s="4" t="n">
        <v>5</v>
      </c>
      <c r="N1178" s="5" t="n">
        <v>5</v>
      </c>
      <c r="O1178" s="3" t="inlineStr">
        <is>
          <t>버스정류장앞,세종시 최고 저렴한 원룸 세종청사10분거리</t>
        </is>
      </c>
      <c r="P1178" s="6">
        <f>HYPERLINK("https://fin.land.naver.com/articles/2653873286", "매물Link")</f>
        <v/>
      </c>
      <c r="Q1178" s="6">
        <f>HYPERLINK("https://map.naver.com/p/search/장군면 도계리 224-1", "지도Link")</f>
        <v/>
      </c>
      <c r="R1178" s="6">
        <f>HYPERLINK("http://www.eum.go.kr/web/ar/lu/luLandDet.jsp?pnu=3611035021102240001&amp;isNoScr=script&amp;mode=search", "토지이음")</f>
        <v/>
      </c>
      <c r="S1178" s="3" t="inlineStr">
        <is>
          <t>황제</t>
        </is>
      </c>
      <c r="T1178" s="4" t="n">
        <v>1</v>
      </c>
      <c r="U1178" s="5" t="n">
        <v>235.1</v>
      </c>
      <c r="V1178" s="4" t="n">
        <v>326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도계리 224-1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100</v>
      </c>
      <c r="H1179" s="4" t="n">
        <v>25</v>
      </c>
      <c r="I1179" s="4" t="n">
        <v>20</v>
      </c>
      <c r="J1179" s="4" t="n">
        <v>6</v>
      </c>
      <c r="K1179" s="5" t="n">
        <v>4.2</v>
      </c>
      <c r="L1179" s="4" t="n">
        <v>17</v>
      </c>
      <c r="M1179" s="4" t="n">
        <v>5</v>
      </c>
      <c r="N1179" s="5" t="n">
        <v>5</v>
      </c>
      <c r="O1179" s="3" t="inlineStr">
        <is>
          <t>버스정류장앞,세종시 최고 저렴한 원룸 세종청사10분거리</t>
        </is>
      </c>
      <c r="P1179" s="6">
        <f>HYPERLINK("https://fin.land.naver.com/articles/2655109393", "매물Link")</f>
        <v/>
      </c>
      <c r="Q1179" s="6">
        <f>HYPERLINK("https://map.naver.com/p/search/장군면 도계리 224-1", "지도Link")</f>
        <v/>
      </c>
      <c r="R1179" s="6">
        <f>HYPERLINK("http://www.eum.go.kr/web/ar/lu/luLandDet.jsp?pnu=3611035021102240001&amp;isNoScr=script&amp;mode=search", "토지이음")</f>
        <v/>
      </c>
      <c r="S1179" s="3" t="inlineStr">
        <is>
          <t>황제</t>
        </is>
      </c>
      <c r="T1179" s="4" t="n">
        <v>1</v>
      </c>
      <c r="U1179" s="5" t="n">
        <v>235.1</v>
      </c>
      <c r="V1179" s="4" t="n">
        <v>326</v>
      </c>
      <c r="W1179" s="3" t="inlineStr">
        <is>
          <t>지정되지않음</t>
        </is>
      </c>
      <c r="X1179" s="3" t="inlineStr">
        <is>
          <t>다세대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도계리 224-1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100</v>
      </c>
      <c r="H1180" s="4" t="n">
        <v>25</v>
      </c>
      <c r="I1180" s="4" t="n">
        <v>23</v>
      </c>
      <c r="J1180" s="4" t="n">
        <v>7</v>
      </c>
      <c r="K1180" s="5" t="n">
        <v>3.6</v>
      </c>
      <c r="L1180" s="4" t="n">
        <v>20</v>
      </c>
      <c r="M1180" s="4" t="n">
        <v>6</v>
      </c>
      <c r="N1180" s="5" t="n">
        <v>4.2</v>
      </c>
      <c r="O1180" s="3" t="inlineStr">
        <is>
          <t>000  세종시 아주 착한 월세 000</t>
        </is>
      </c>
      <c r="P1180" s="6">
        <f>HYPERLINK("https://fin.land.naver.com/articles/2655101545", "매물Link")</f>
        <v/>
      </c>
      <c r="Q1180" s="6">
        <f>HYPERLINK("https://map.naver.com/p/search/장군면 도계리 224-1", "지도Link")</f>
        <v/>
      </c>
      <c r="R1180" s="6">
        <f>HYPERLINK("http://www.eum.go.kr/web/ar/lu/luLandDet.jsp?pnu=3611035021102240001&amp;isNoScr=script&amp;mode=search", "토지이음")</f>
        <v/>
      </c>
      <c r="S1180" s="3" t="inlineStr">
        <is>
          <t>신황제</t>
        </is>
      </c>
      <c r="T1180" s="4" t="n">
        <v>2</v>
      </c>
      <c r="U1180" s="5" t="n">
        <v>235.1</v>
      </c>
      <c r="V1180" s="4" t="n">
        <v>326</v>
      </c>
      <c r="W1180" s="3" t="inlineStr">
        <is>
          <t>지정되지않음</t>
        </is>
      </c>
      <c r="X1180" s="3" t="inlineStr">
        <is>
          <t>다세대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도계리 224-1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25</v>
      </c>
      <c r="I1181" s="4" t="n">
        <v>20</v>
      </c>
      <c r="J1181" s="4" t="n">
        <v>6</v>
      </c>
      <c r="K1181" s="5" t="n">
        <v>4.2</v>
      </c>
      <c r="L1181" s="4" t="n">
        <v>17</v>
      </c>
      <c r="M1181" s="4" t="n">
        <v>5</v>
      </c>
      <c r="N1181" s="5" t="n">
        <v>5</v>
      </c>
      <c r="O1181" s="3" t="inlineStr">
        <is>
          <t>버스정류장앞,세종시 최고 저렴한 원룸 세종청사10분거리</t>
        </is>
      </c>
      <c r="P1181" s="6">
        <f>HYPERLINK("https://fin.land.naver.com/articles/2653567657", "매물Link")</f>
        <v/>
      </c>
      <c r="Q1181" s="6">
        <f>HYPERLINK("https://map.naver.com/p/search/장군면 도계리 224-1", "지도Link")</f>
        <v/>
      </c>
      <c r="R1181" s="6">
        <f>HYPERLINK("http://www.eum.go.kr/web/ar/lu/luLandDet.jsp?pnu=3611035021102240001&amp;isNoScr=script&amp;mode=search",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235.1</v>
      </c>
      <c r="V1181" s="4" t="n">
        <v>326</v>
      </c>
      <c r="W1181" s="3" t="inlineStr">
        <is>
          <t>지정되지않음</t>
        </is>
      </c>
      <c r="X1181" s="3" t="inlineStr">
        <is>
          <t>다세대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도계리 224-1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25</v>
      </c>
      <c r="I1182" s="4" t="n">
        <v>22</v>
      </c>
      <c r="J1182" s="4" t="n">
        <v>7</v>
      </c>
      <c r="K1182" s="5" t="n">
        <v>3.6</v>
      </c>
      <c r="L1182" s="4" t="n">
        <v>20</v>
      </c>
      <c r="M1182" s="4" t="n">
        <v>6</v>
      </c>
      <c r="N1182" s="5" t="n">
        <v>4.2</v>
      </c>
      <c r="O1182" s="3" t="inlineStr">
        <is>
          <t>000  조용한 저렴 원룸  000</t>
        </is>
      </c>
      <c r="P1182" s="6">
        <f>HYPERLINK("https://fin.land.naver.com/articles/2653561757", "매물Link")</f>
        <v/>
      </c>
      <c r="Q1182" s="6">
        <f>HYPERLINK("https://map.naver.com/p/search/장군면 도계리 224-1", "지도Link")</f>
        <v/>
      </c>
      <c r="R1182" s="6">
        <f>HYPERLINK("http://www.eum.go.kr/web/ar/lu/luLandDet.jsp?pnu=3611035021102240001&amp;isNoScr=script&amp;mode=search", "토지이음")</f>
        <v/>
      </c>
      <c r="S1182" s="3" t="inlineStr">
        <is>
          <t>신황제</t>
        </is>
      </c>
      <c r="T1182" s="4" t="n">
        <v>1</v>
      </c>
      <c r="U1182" s="5" t="n">
        <v>235.1</v>
      </c>
      <c r="V1182" s="4" t="n">
        <v>326</v>
      </c>
      <c r="W1182" s="3" t="inlineStr">
        <is>
          <t>지정되지않음</t>
        </is>
      </c>
      <c r="X1182" s="3" t="inlineStr">
        <is>
          <t>다세대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도계리 224-1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일반원룸</t>
        </is>
      </c>
      <c r="F1183" s="3" t="inlineStr">
        <is>
          <t>월세</t>
        </is>
      </c>
      <c r="G1183" s="4" t="n">
        <v>100</v>
      </c>
      <c r="H1183" s="4" t="n">
        <v>25</v>
      </c>
      <c r="I1183" s="4" t="n">
        <v>24</v>
      </c>
      <c r="J1183" s="4" t="n">
        <v>7</v>
      </c>
      <c r="K1183" s="5" t="n">
        <v>3.6</v>
      </c>
      <c r="L1183" s="4" t="n">
        <v>20</v>
      </c>
      <c r="M1183" s="4" t="n">
        <v>6</v>
      </c>
      <c r="N1183" s="5" t="n">
        <v>4.2</v>
      </c>
      <c r="O1183" s="3" t="inlineStr">
        <is>
          <t>000  조용한 저렴 원룸  000</t>
        </is>
      </c>
      <c r="P1183" s="6">
        <f>HYPERLINK("https://fin.land.naver.com/articles/2653841664", "매물Link")</f>
        <v/>
      </c>
      <c r="Q1183" s="6">
        <f>HYPERLINK("https://map.naver.com/p/search/장군면 도계리 224-1", "지도Link")</f>
        <v/>
      </c>
      <c r="R1183" s="6">
        <f>HYPERLINK("http://www.eum.go.kr/web/ar/lu/luLandDet.jsp?pnu=3611035021102240001&amp;isNoScr=script&amp;mode=search", "토지이음")</f>
        <v/>
      </c>
      <c r="S1183" s="3" t="inlineStr">
        <is>
          <t>신황제</t>
        </is>
      </c>
      <c r="T1183" s="4" t="n">
        <v>2</v>
      </c>
      <c r="U1183" s="5" t="n">
        <v>235.1</v>
      </c>
      <c r="V1183" s="4" t="n">
        <v>326</v>
      </c>
      <c r="W1183" s="3" t="inlineStr">
        <is>
          <t>지정되지않음</t>
        </is>
      </c>
      <c r="X1183" s="3" t="inlineStr">
        <is>
          <t>다세대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도계리 226-1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상가주택</t>
        </is>
      </c>
      <c r="F1184" s="3" t="inlineStr">
        <is>
          <t>매매</t>
        </is>
      </c>
      <c r="G1184" s="4" t="n">
        <v>48000</v>
      </c>
      <c r="H1184" s="4" t="n">
        <v>0</v>
      </c>
      <c r="I1184" s="4" t="n">
        <v>275</v>
      </c>
      <c r="J1184" s="4" t="n">
        <v>83</v>
      </c>
      <c r="K1184" s="5" t="n">
        <v>578.3</v>
      </c>
      <c r="L1184" s="4" t="n">
        <v>196</v>
      </c>
      <c r="M1184" s="4" t="n">
        <v>59</v>
      </c>
      <c r="N1184" s="5" t="n">
        <v>813.6</v>
      </c>
      <c r="O1184" s="3" t="inlineStr">
        <is>
          <t>단독주택상가 도계지구 귀한수익형건물,조율가능,현재임차중</t>
        </is>
      </c>
      <c r="P1184" s="6">
        <f>HYPERLINK("https://fin.land.naver.com/articles/2654594336", "매물Link")</f>
        <v/>
      </c>
      <c r="Q1184" s="6">
        <f>HYPERLINK("https://map.naver.com/p/search/장군면 도계리 226-1", "지도Link")</f>
        <v/>
      </c>
      <c r="R1184" s="6">
        <f>HYPERLINK("http://www.eum.go.kr/web/ar/lu/luLandDet.jsp?pnu=3611035021102260001&amp;isNoScr=script&amp;mode=search", "토지이음")</f>
        <v/>
      </c>
      <c r="S1184" s="3" t="inlineStr">
        <is>
          <t>이루다</t>
        </is>
      </c>
      <c r="T1184" s="4" t="n">
        <v>1</v>
      </c>
      <c r="U1184" s="5" t="n">
        <v>213.9</v>
      </c>
      <c r="V1184" s="4" t="n">
        <v>275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도계리 276-25</t>
        </is>
      </c>
      <c r="B1185" s="3" t="inlineStr">
        <is>
          <t>계획관리지역</t>
        </is>
      </c>
      <c r="C1185" s="3" t="inlineStr">
        <is>
          <t>임야</t>
        </is>
      </c>
      <c r="D1185" s="3" t="inlineStr">
        <is>
          <t>3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200</v>
      </c>
      <c r="H1185" s="4" t="n">
        <v>30</v>
      </c>
      <c r="I1185" s="4" t="n">
        <v>26</v>
      </c>
      <c r="J1185" s="4" t="n">
        <v>8</v>
      </c>
      <c r="K1185" s="5" t="n">
        <v>3.8</v>
      </c>
      <c r="L1185" s="4" t="n">
        <v>23</v>
      </c>
      <c r="M1185" s="4" t="n">
        <v>7</v>
      </c>
      <c r="N1185" s="5" t="n">
        <v>4.3</v>
      </c>
      <c r="O1185" s="3" t="inlineStr">
        <is>
          <t>세종시 장군면 넒은 원룸 풀옵션</t>
        </is>
      </c>
      <c r="P1185" s="6">
        <f>HYPERLINK("https://fin.land.naver.com/articles/2652727219", "매물Link")</f>
        <v/>
      </c>
      <c r="Q1185" s="6">
        <f>HYPERLINK("https://map.naver.com/p/search/장군면 도계리 276-25", "지도Link")</f>
        <v/>
      </c>
      <c r="R1185" s="6">
        <f>HYPERLINK("http://www.eum.go.kr/web/ar/lu/luLandDet.jsp?pnu=3611035021102760025&amp;isNoScr=script&amp;mode=search", "토지이음")</f>
        <v/>
      </c>
      <c r="S1185" s="3" t="inlineStr">
        <is>
          <t>황금</t>
        </is>
      </c>
      <c r="T1185" s="4" t="n">
        <v>1</v>
      </c>
      <c r="U1185" s="5" t="n">
        <v>225.3</v>
      </c>
      <c r="V1185" s="4" t="n">
        <v>494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도계리 276-27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4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200</v>
      </c>
      <c r="H1186" s="4" t="n">
        <v>30</v>
      </c>
      <c r="I1186" s="4" t="n">
        <v>24</v>
      </c>
      <c r="J1186" s="4" t="n">
        <v>7</v>
      </c>
      <c r="K1186" s="5" t="n">
        <v>4.3</v>
      </c>
      <c r="L1186" s="4" t="n">
        <v>20</v>
      </c>
      <c r="M1186" s="4" t="n">
        <v>6</v>
      </c>
      <c r="N1186" s="5" t="n">
        <v>5</v>
      </c>
      <c r="O1186" s="3" t="inlineStr">
        <is>
          <t>000층간소음 0,베란다,주차최고,깔끔,화사한  원룸000</t>
        </is>
      </c>
      <c r="P1186" s="6">
        <f>HYPERLINK("https://fin.land.naver.com/articles/2653565939", "매물Link")</f>
        <v/>
      </c>
      <c r="Q1186" s="6">
        <f>HYPERLINK("https://map.naver.com/p/search/장군면 도계리 276-27", "지도Link")</f>
        <v/>
      </c>
      <c r="R1186" s="6">
        <f>HYPERLINK("http://www.eum.go.kr/web/ar/lu/luLandDet.jsp?pnu=3611035021102760027&amp;isNoScr=script&amp;mode=search", "토지이음")</f>
        <v/>
      </c>
      <c r="S1186" s="3" t="inlineStr">
        <is>
          <t>신황제</t>
        </is>
      </c>
      <c r="T1186" s="4" t="n">
        <v>1</v>
      </c>
      <c r="U1186" s="5" t="n">
        <v>225.3</v>
      </c>
      <c r="V1186" s="4" t="n">
        <v>252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도계리 276-27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4</t>
        </is>
      </c>
      <c r="E1187" s="3" t="inlineStr">
        <is>
          <t>일반원룸</t>
        </is>
      </c>
      <c r="F1187" s="3" t="inlineStr">
        <is>
          <t>월세</t>
        </is>
      </c>
      <c r="G1187" s="4" t="n">
        <v>200</v>
      </c>
      <c r="H1187" s="4" t="n">
        <v>30</v>
      </c>
      <c r="I1187" s="4" t="n">
        <v>24</v>
      </c>
      <c r="J1187" s="4" t="n">
        <v>7</v>
      </c>
      <c r="K1187" s="5" t="n">
        <v>4.3</v>
      </c>
      <c r="L1187" s="4" t="n">
        <v>23</v>
      </c>
      <c r="M1187" s="4" t="n">
        <v>7</v>
      </c>
      <c r="N1187" s="5" t="n">
        <v>4.3</v>
      </c>
      <c r="O1187" s="3" t="inlineStr">
        <is>
          <t>조용하고 주차좋은 저렴한 원룸,세종청사10분,공주10분거리</t>
        </is>
      </c>
      <c r="P1187" s="6">
        <f>HYPERLINK("https://fin.land.naver.com/articles/2653565766", "매물Link")</f>
        <v/>
      </c>
      <c r="Q1187" s="6">
        <f>HYPERLINK("https://map.naver.com/p/search/장군면 도계리 276-27", "지도Link")</f>
        <v/>
      </c>
      <c r="R1187" s="6">
        <f>HYPERLINK("http://www.eum.go.kr/web/ar/lu/luLandDet.jsp?pnu=3611035021102760027&amp;isNoScr=script&amp;mode=search", "토지이음")</f>
        <v/>
      </c>
      <c r="S1187" s="3" t="inlineStr">
        <is>
          <t>황제</t>
        </is>
      </c>
      <c r="T1187" s="4" t="n">
        <v>1</v>
      </c>
      <c r="U1187" s="5" t="n">
        <v>225.3</v>
      </c>
      <c r="V1187" s="4" t="n">
        <v>252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도계리 276-27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200</v>
      </c>
      <c r="H1188" s="4" t="n">
        <v>30</v>
      </c>
      <c r="I1188" s="4" t="n">
        <v>24</v>
      </c>
      <c r="J1188" s="4" t="n">
        <v>7</v>
      </c>
      <c r="K1188" s="5" t="n">
        <v>4.3</v>
      </c>
      <c r="L1188" s="4" t="n">
        <v>20</v>
      </c>
      <c r="M1188" s="4" t="n">
        <v>6</v>
      </c>
      <c r="N1188" s="5" t="n">
        <v>5</v>
      </c>
      <c r="O1188" s="3" t="inlineStr">
        <is>
          <t>000깔끔 원룸 환영합나다 000</t>
        </is>
      </c>
      <c r="P1188" s="6">
        <f>HYPERLINK("https://fin.land.naver.com/articles/2655104066", "매물Link")</f>
        <v/>
      </c>
      <c r="Q1188" s="6">
        <f>HYPERLINK("https://map.naver.com/p/search/장군면 도계리 276-27", "지도Link")</f>
        <v/>
      </c>
      <c r="R1188" s="6">
        <f>HYPERLINK("http://www.eum.go.kr/web/ar/lu/luLandDet.jsp?pnu=3611035021102760027&amp;isNoScr=script&amp;mode=search",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225.3</v>
      </c>
      <c r="V1188" s="4" t="n">
        <v>252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도계리 276-27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nan</t>
        </is>
      </c>
      <c r="P1189" s="6">
        <f>HYPERLINK("https://fin.land.naver.com/articles/2653576372", "매물Link")</f>
        <v/>
      </c>
      <c r="Q1189" s="6">
        <f>HYPERLINK("https://map.naver.com/p/search/장군면 도계리 276-27", "지도Link")</f>
        <v/>
      </c>
      <c r="R1189" s="6">
        <f>HYPERLINK("http://www.eum.go.kr/web/ar/lu/luLandDet.jsp?pnu=3611035021102760027&amp;isNoScr=script&amp;mode=search",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225.3</v>
      </c>
      <c r="V1189" s="4" t="n">
        <v>252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도계리 282-14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전원주택</t>
        </is>
      </c>
      <c r="F1190" s="3" t="inlineStr">
        <is>
          <t>매매</t>
        </is>
      </c>
      <c r="G1190" s="4" t="n">
        <v>57000</v>
      </c>
      <c r="H1190" s="4" t="n">
        <v>0</v>
      </c>
      <c r="I1190" s="4" t="n">
        <v>490</v>
      </c>
      <c r="J1190" s="4" t="n">
        <v>148</v>
      </c>
      <c r="K1190" s="5" t="n">
        <v>385.1</v>
      </c>
      <c r="L1190" s="4" t="n">
        <v>164</v>
      </c>
      <c r="M1190" s="4" t="n">
        <v>50</v>
      </c>
      <c r="N1190" s="5" t="n">
        <v>1140</v>
      </c>
      <c r="O1190" s="3" t="inlineStr">
        <is>
          <t>전망좋은2층집,에어컨5,인덕션,세종시내 접근용이</t>
        </is>
      </c>
      <c r="P1190" s="6">
        <f>HYPERLINK("https://fin.land.naver.com/articles/2653031808", "매물Link")</f>
        <v/>
      </c>
      <c r="Q1190" s="6">
        <f>HYPERLINK("https://map.naver.com/p/search/장군면 도계리 282-14", "지도Link")</f>
        <v/>
      </c>
      <c r="R1190" s="6">
        <f>HYPERLINK("http://www.eum.go.kr/web/ar/lu/luLandDet.jsp?pnu=3611035021102820014&amp;isNoScr=script&amp;mode=search", "토지이음")</f>
        <v/>
      </c>
      <c r="S1190" s="3" t="inlineStr">
        <is>
          <t>세종나라</t>
        </is>
      </c>
      <c r="T1190" s="4" t="n">
        <v>3</v>
      </c>
      <c r="U1190" s="5" t="n">
        <v>122.1</v>
      </c>
      <c r="V1190" s="4" t="n">
        <v>490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도계리 282-31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59000</v>
      </c>
      <c r="H1191" s="4" t="n">
        <v>0</v>
      </c>
      <c r="I1191" s="4" t="n">
        <v>570</v>
      </c>
      <c r="J1191" s="4" t="n">
        <v>172</v>
      </c>
      <c r="K1191" s="5" t="n">
        <v>343</v>
      </c>
      <c r="L1191" s="4" t="n">
        <v>196</v>
      </c>
      <c r="M1191" s="4" t="n">
        <v>59</v>
      </c>
      <c r="N1191" s="5" t="n">
        <v>1000</v>
      </c>
      <c r="O1191" s="3" t="inlineStr">
        <is>
          <t>급매,도계리 조망권 뷰 최상의  벙커형 파인빌리지 태양열 전원주택</t>
        </is>
      </c>
      <c r="P1191" s="6">
        <f>HYPERLINK("https://fin.land.naver.com/articles/2650782337", "매물Link")</f>
        <v/>
      </c>
      <c r="Q1191" s="6">
        <f>HYPERLINK("https://map.naver.com/p/search/장군면 도계리 282-31", "지도Link")</f>
        <v/>
      </c>
      <c r="R1191" s="6">
        <f>HYPERLINK("http://www.eum.go.kr/web/ar/lu/luLandDet.jsp?pnu=3611035021102820031&amp;isNoScr=script&amp;mode=search", "토지이음")</f>
        <v/>
      </c>
      <c r="S1191" s="3" t="inlineStr">
        <is>
          <t>고운맘</t>
        </is>
      </c>
      <c r="T1191" s="4" t="n">
        <v>1</v>
      </c>
      <c r="U1191" s="5" t="n">
        <v>122.1</v>
      </c>
      <c r="V1191" s="4" t="n">
        <v>570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도계리 282-31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59000</v>
      </c>
      <c r="H1192" s="4" t="n">
        <v>0</v>
      </c>
      <c r="I1192" s="4" t="n">
        <v>570</v>
      </c>
      <c r="J1192" s="4" t="n">
        <v>172</v>
      </c>
      <c r="K1192" s="5" t="n">
        <v>343</v>
      </c>
      <c r="L1192" s="4" t="n">
        <v>196</v>
      </c>
      <c r="M1192" s="4" t="n">
        <v>59</v>
      </c>
      <c r="N1192" s="5" t="n">
        <v>1000</v>
      </c>
      <c r="O1192" s="3" t="inlineStr">
        <is>
          <t>도계리 전원주택 , 조망권 최상</t>
        </is>
      </c>
      <c r="P1192" s="6">
        <f>HYPERLINK("https://fin.land.naver.com/articles/2651916189", "매물Link")</f>
        <v/>
      </c>
      <c r="Q1192" s="6">
        <f>HYPERLINK("https://map.naver.com/p/search/장군면 도계리 282-31", "지도Link")</f>
        <v/>
      </c>
      <c r="R1192" s="6">
        <f>HYPERLINK("http://www.eum.go.kr/web/ar/lu/luLandDet.jsp?pnu=3611035021102820031&amp;isNoScr=script&amp;mode=search", "토지이음")</f>
        <v/>
      </c>
      <c r="S1192" s="3" t="inlineStr">
        <is>
          <t>THE다온</t>
        </is>
      </c>
      <c r="T1192" s="4" t="n">
        <v>1</v>
      </c>
      <c r="U1192" s="5" t="n">
        <v>122.1</v>
      </c>
      <c r="V1192" s="4" t="n">
        <v>570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282-31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59000</v>
      </c>
      <c r="H1193" s="4" t="n">
        <v>0</v>
      </c>
      <c r="I1193" s="4" t="n">
        <v>570</v>
      </c>
      <c r="J1193" s="4" t="n">
        <v>172</v>
      </c>
      <c r="K1193" s="5" t="n">
        <v>343</v>
      </c>
      <c r="L1193" s="4" t="n">
        <v>196</v>
      </c>
      <c r="M1193" s="4" t="n">
        <v>59</v>
      </c>
      <c r="N1193" s="5" t="n">
        <v>1000</v>
      </c>
      <c r="O1193" s="3" t="inlineStr">
        <is>
          <t>nan</t>
        </is>
      </c>
      <c r="P1193" s="6">
        <f>HYPERLINK("https://fin.land.naver.com/articles/2654330580", "매물Link")</f>
        <v/>
      </c>
      <c r="Q1193" s="6">
        <f>HYPERLINK("https://map.naver.com/p/search/장군면 도계리 282-31", "지도Link")</f>
        <v/>
      </c>
      <c r="R1193" s="6">
        <f>HYPERLINK("http://www.eum.go.kr/web/ar/lu/luLandDet.jsp?pnu=3611035021102820031&amp;isNoScr=script&amp;mode=search", "토지이음")</f>
        <v/>
      </c>
      <c r="S1193" s="3" t="inlineStr">
        <is>
          <t>링크</t>
        </is>
      </c>
      <c r="T1193" s="4" t="n">
        <v>1</v>
      </c>
      <c r="U1193" s="5" t="n">
        <v>122.1</v>
      </c>
      <c r="V1193" s="4" t="n">
        <v>570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도계리 43-9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4</t>
        </is>
      </c>
      <c r="E1194" s="3" t="inlineStr">
        <is>
          <t>다가구</t>
        </is>
      </c>
      <c r="F1194" s="3" t="inlineStr">
        <is>
          <t>매매</t>
        </is>
      </c>
      <c r="G1194" s="4" t="n">
        <v>73000</v>
      </c>
      <c r="H1194" s="4" t="n">
        <v>0</v>
      </c>
      <c r="I1194" s="4" t="n">
        <v>412</v>
      </c>
      <c r="J1194" s="4" t="n">
        <v>125</v>
      </c>
      <c r="K1194" s="5" t="n">
        <v>584</v>
      </c>
      <c r="L1194" s="4" t="n">
        <v>124</v>
      </c>
      <c r="M1194" s="4" t="n">
        <v>38</v>
      </c>
      <c r="N1194" s="5" t="n">
        <v>1921.1</v>
      </c>
      <c r="O1194" s="3" t="inlineStr">
        <is>
          <t>nan</t>
        </is>
      </c>
      <c r="P1194" s="6">
        <f>HYPERLINK("https://fin.land.naver.com/articles/2655435099", "매물Link")</f>
        <v/>
      </c>
      <c r="Q1194" s="6">
        <f>HYPERLINK("https://map.naver.com/p/search/장군면 도계리 43-9", "지도Link")</f>
        <v/>
      </c>
      <c r="R1194" s="6">
        <f>HYPERLINK("http://www.eum.go.kr/web/ar/lu/luLandDet.jsp?pnu=3611035021100430009&amp;isNoScr=script&amp;mode=search",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237.5</v>
      </c>
      <c r="V1194" s="4" t="n">
        <v>416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가로장방</t>
        </is>
      </c>
      <c r="AA1194" s="3" t="inlineStr">
        <is>
          <t>세로한면(가)</t>
        </is>
      </c>
    </row>
    <row r="1195">
      <c r="A1195" s="3" t="inlineStr">
        <is>
          <t>장군면 도계리 43-9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4</t>
        </is>
      </c>
      <c r="E1195" s="3" t="inlineStr">
        <is>
          <t>다가구</t>
        </is>
      </c>
      <c r="F1195" s="3" t="inlineStr">
        <is>
          <t>매매</t>
        </is>
      </c>
      <c r="G1195" s="4" t="n">
        <v>73000</v>
      </c>
      <c r="H1195" s="4" t="n">
        <v>0</v>
      </c>
      <c r="I1195" s="4" t="n">
        <v>416</v>
      </c>
      <c r="J1195" s="4" t="n">
        <v>126</v>
      </c>
      <c r="K1195" s="5" t="n">
        <v>579.4</v>
      </c>
      <c r="L1195" s="4" t="n">
        <v>412</v>
      </c>
      <c r="M1195" s="4" t="n">
        <v>125</v>
      </c>
      <c r="N1195" s="5" t="n">
        <v>584</v>
      </c>
      <c r="O1195" s="3" t="inlineStr">
        <is>
          <t>000 수익 최고형 다가구  주인세대2룸  000</t>
        </is>
      </c>
      <c r="P1195" s="6">
        <f>HYPERLINK("https://fin.land.naver.com/articles/2655356678", "매물Link")</f>
        <v/>
      </c>
      <c r="Q1195" s="6">
        <f>HYPERLINK("https://map.naver.com/p/search/장군면 도계리 43-9", "지도Link")</f>
        <v/>
      </c>
      <c r="R1195" s="6">
        <f>HYPERLINK("http://www.eum.go.kr/web/ar/lu/luLandDet.jsp?pnu=3611035021100430009&amp;isNoScr=script&amp;mode=search", "토지이음")</f>
        <v/>
      </c>
      <c r="S1195" s="3" t="inlineStr">
        <is>
          <t>신황제</t>
        </is>
      </c>
      <c r="T1195" s="4" t="n">
        <v>1</v>
      </c>
      <c r="U1195" s="5" t="n">
        <v>237.5</v>
      </c>
      <c r="V1195" s="4" t="n">
        <v>416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가로장방</t>
        </is>
      </c>
      <c r="AA1195" s="3" t="inlineStr">
        <is>
          <t>세로한면(가)</t>
        </is>
      </c>
    </row>
    <row r="1196">
      <c r="A1196" s="3" t="inlineStr">
        <is>
          <t>장군면 봉안리 176-14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다가구</t>
        </is>
      </c>
      <c r="F1196" s="3" t="inlineStr">
        <is>
          <t>매매</t>
        </is>
      </c>
      <c r="G1196" s="4" t="n">
        <v>130000</v>
      </c>
      <c r="H1196" s="4" t="n">
        <v>0</v>
      </c>
      <c r="I1196" s="4" t="n">
        <v>496</v>
      </c>
      <c r="J1196" s="4" t="n">
        <v>150</v>
      </c>
      <c r="K1196" s="5" t="n">
        <v>866.7</v>
      </c>
      <c r="L1196" s="4" t="n">
        <v>484</v>
      </c>
      <c r="M1196" s="4" t="n">
        <v>146</v>
      </c>
      <c r="N1196" s="5" t="n">
        <v>890.4</v>
      </c>
      <c r="O1196" s="3" t="inlineStr">
        <is>
          <t>장군면 봉안리 다가구주택 19호실 통매매, 수익율 7.0P,적극조율</t>
        </is>
      </c>
      <c r="P1196" s="6">
        <f>HYPERLINK("https://fin.land.naver.com/articles/2652893943", "매물Link")</f>
        <v/>
      </c>
      <c r="Q1196" s="6">
        <f>HYPERLINK("https://map.naver.com/p/search/장군면 봉안리 176-14", "지도Link")</f>
        <v/>
      </c>
      <c r="R1196" s="6">
        <f>HYPERLINK("http://www.eum.go.kr/web/ar/lu/luLandDet.jsp?pnu=3611035024101760014&amp;isNoScr=script&amp;mode=search", "토지이음")</f>
        <v/>
      </c>
      <c r="S1196" s="3" t="inlineStr">
        <is>
          <t>광장</t>
        </is>
      </c>
      <c r="T1196" s="4" t="n">
        <v>1</v>
      </c>
      <c r="U1196" s="5" t="n">
        <v>271.6</v>
      </c>
      <c r="V1196" s="4" t="n">
        <v>438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가로장방</t>
        </is>
      </c>
      <c r="AA1196" s="3" t="inlineStr">
        <is>
          <t>세로한면(가)</t>
        </is>
      </c>
    </row>
    <row r="1197">
      <c r="A1197" s="3" t="inlineStr">
        <is>
          <t>장군면 봉안리 176-14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130000</v>
      </c>
      <c r="H1197" s="4" t="n">
        <v>0</v>
      </c>
      <c r="I1197" s="4" t="n">
        <v>496</v>
      </c>
      <c r="J1197" s="4" t="n">
        <v>150</v>
      </c>
      <c r="K1197" s="5" t="n">
        <v>866.7</v>
      </c>
      <c r="L1197" s="4" t="n">
        <v>484</v>
      </c>
      <c r="M1197" s="4" t="n">
        <v>146</v>
      </c>
      <c r="N1197" s="5" t="n">
        <v>890.4</v>
      </c>
      <c r="O1197" s="3" t="inlineStr">
        <is>
          <t>세종시 장군면 봉안리 소미길 해오름2동 통매매 매매가적극조율가능</t>
        </is>
      </c>
      <c r="P1197" s="6">
        <f>HYPERLINK("https://fin.land.naver.com/articles/2654015669", "매물Link")</f>
        <v/>
      </c>
      <c r="Q1197" s="6">
        <f>HYPERLINK("https://map.naver.com/p/search/장군면 봉안리 176-14", "지도Link")</f>
        <v/>
      </c>
      <c r="R1197" s="6">
        <f>HYPERLINK("http://www.eum.go.kr/web/ar/lu/luLandDet.jsp?pnu=3611035024101760014&amp;isNoScr=script&amp;mode=search", "토지이음")</f>
        <v/>
      </c>
      <c r="S1197" s="3" t="inlineStr">
        <is>
          <t>고운하임</t>
        </is>
      </c>
      <c r="T1197" s="4" t="n">
        <v>1</v>
      </c>
      <c r="U1197" s="5" t="n">
        <v>271.6</v>
      </c>
      <c r="V1197" s="4" t="n">
        <v>438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가로장방</t>
        </is>
      </c>
      <c r="AA1197" s="3" t="inlineStr">
        <is>
          <t>세로한면(가)</t>
        </is>
      </c>
    </row>
    <row r="1198">
      <c r="A1198" s="3" t="inlineStr">
        <is>
          <t>장군면 봉안리 201-1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200</v>
      </c>
      <c r="H1198" s="4" t="n">
        <v>30</v>
      </c>
      <c r="I1198" s="4" t="n">
        <v>24</v>
      </c>
      <c r="J1198" s="4" t="n">
        <v>7</v>
      </c>
      <c r="K1198" s="5" t="n">
        <v>4.3</v>
      </c>
      <c r="L1198" s="4" t="n">
        <v>20</v>
      </c>
      <c r="M1198" s="4" t="n">
        <v>6</v>
      </c>
      <c r="N1198" s="5" t="n">
        <v>5</v>
      </c>
      <c r="O1198" s="3" t="inlineStr">
        <is>
          <t>깔끔한 빌트인구조의 오픈형 원룸 1인가구 필수품 전자렌지 있는 원룸 월세</t>
        </is>
      </c>
      <c r="P1198" s="6">
        <f>HYPERLINK("https://fin.land.naver.com/articles/2655380050", "매물Link")</f>
        <v/>
      </c>
      <c r="Q1198" s="6">
        <f>HYPERLINK("https://map.naver.com/p/search/장군면 봉안리 201-1", "지도Link")</f>
        <v/>
      </c>
      <c r="R1198" s="6">
        <f>HYPERLINK("http://www.eum.go.kr/web/ar/lu/luLandDet.jsp?pnu=3611035024102010001&amp;isNoScr=script&amp;mode=search", "토지이음")</f>
        <v/>
      </c>
      <c r="S1198" s="3" t="inlineStr">
        <is>
          <t>이지</t>
        </is>
      </c>
      <c r="T1198" s="4" t="n">
        <v>1</v>
      </c>
      <c r="U1198" s="5" t="n">
        <v>271.6</v>
      </c>
      <c r="V1198" s="4" t="n">
        <v>521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봉안리 201-16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일반원룸</t>
        </is>
      </c>
      <c r="F1199" s="3" t="inlineStr">
        <is>
          <t>전세</t>
        </is>
      </c>
      <c r="G1199" s="4" t="n">
        <v>4000</v>
      </c>
      <c r="H1199" s="4" t="n">
        <v>0</v>
      </c>
      <c r="I1199" s="4" t="n">
        <v>24</v>
      </c>
      <c r="J1199" s="4" t="n">
        <v>7</v>
      </c>
      <c r="K1199" s="5" t="n">
        <v>571.4</v>
      </c>
      <c r="L1199" s="4" t="n">
        <v>22</v>
      </c>
      <c r="M1199" s="4" t="n">
        <v>7</v>
      </c>
      <c r="N1199" s="5" t="n">
        <v>571.4</v>
      </c>
      <c r="O1199" s="3" t="inlineStr">
        <is>
          <t>12월초 입주가능 .청사,공주10분,대형 마트 부근 풀옵션 원룸 전세</t>
        </is>
      </c>
      <c r="P1199" s="6">
        <f>HYPERLINK("https://fin.land.naver.com/articles/2655249404", "매물Link")</f>
        <v/>
      </c>
      <c r="Q1199" s="6">
        <f>HYPERLINK("https://map.naver.com/p/search/장군면 봉안리 201-16", "지도Link")</f>
        <v/>
      </c>
      <c r="R1199" s="6">
        <f>HYPERLINK("http://www.eum.go.kr/web/ar/lu/luLandDet.jsp?pnu=3611035024102010016&amp;isNoScr=script&amp;mode=search", "토지이음")</f>
        <v/>
      </c>
      <c r="S1199" s="3" t="inlineStr">
        <is>
          <t>이지</t>
        </is>
      </c>
      <c r="T1199" s="4" t="n">
        <v>1</v>
      </c>
      <c r="U1199" s="5" t="n">
        <v>271.6</v>
      </c>
      <c r="V1199" s="4" t="n">
        <v>477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봉안리 201-21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다가구</t>
        </is>
      </c>
      <c r="F1200" s="3" t="inlineStr">
        <is>
          <t>매매</t>
        </is>
      </c>
      <c r="G1200" s="4" t="n">
        <v>100000</v>
      </c>
      <c r="H1200" s="4" t="n">
        <v>0</v>
      </c>
      <c r="I1200" s="4" t="n">
        <v>410</v>
      </c>
      <c r="J1200" s="4" t="n">
        <v>124</v>
      </c>
      <c r="K1200" s="5" t="n">
        <v>806.5</v>
      </c>
      <c r="L1200" s="4" t="n">
        <v>403</v>
      </c>
      <c r="M1200" s="4" t="n">
        <v>122</v>
      </c>
      <c r="N1200" s="5" t="n">
        <v>819.7</v>
      </c>
      <c r="O1200" s="3" t="inlineStr">
        <is>
          <t>급매 19호실 임대완료, 세종행정복합도시와 근접하여 빠르게임차인 입주</t>
        </is>
      </c>
      <c r="P1200" s="6">
        <f>HYPERLINK("https://fin.land.naver.com/articles/2655554799", "매물Link")</f>
        <v/>
      </c>
      <c r="Q1200" s="6">
        <f>HYPERLINK("https://map.naver.com/p/search/장군면 봉안리 201-21", "지도Link")</f>
        <v/>
      </c>
      <c r="R1200" s="6">
        <f>HYPERLINK("http://www.eum.go.kr/web/ar/lu/luLandDet.jsp?pnu=3611035024102010021&amp;isNoScr=script&amp;mode=search", "토지이음")</f>
        <v/>
      </c>
      <c r="S1200" s="3" t="inlineStr">
        <is>
          <t>세종태양</t>
        </is>
      </c>
      <c r="T1200" s="4" t="n">
        <v>1</v>
      </c>
      <c r="U1200" s="5" t="n">
        <v>271.6</v>
      </c>
      <c r="V1200" s="4" t="n">
        <v>410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봉안리 201-21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4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200</v>
      </c>
      <c r="H1201" s="4" t="n">
        <v>30</v>
      </c>
      <c r="I1201" s="4" t="n">
        <v>24</v>
      </c>
      <c r="J1201" s="4" t="n">
        <v>7</v>
      </c>
      <c r="K1201" s="5" t="n">
        <v>4.3</v>
      </c>
      <c r="L1201" s="4" t="n">
        <v>20</v>
      </c>
      <c r="M1201" s="4" t="n">
        <v>6</v>
      </c>
      <c r="N1201" s="5" t="n">
        <v>5</v>
      </c>
      <c r="O1201" s="3" t="inlineStr">
        <is>
          <t>청사, 공주10분, 어울링 자전거 이용가능 깔끔 실속 탑층 원룸 월세</t>
        </is>
      </c>
      <c r="P1201" s="6">
        <f>HYPERLINK("https://fin.land.naver.com/articles/2650228440", "매물Link")</f>
        <v/>
      </c>
      <c r="Q1201" s="6">
        <f>HYPERLINK("https://map.naver.com/p/search/장군면 봉안리 201-21", "지도Link")</f>
        <v/>
      </c>
      <c r="R1201" s="6">
        <f>HYPERLINK("http://www.eum.go.kr/web/ar/lu/luLandDet.jsp?pnu=3611035024102010021&amp;isNoScr=script&amp;mode=search", "토지이음")</f>
        <v/>
      </c>
      <c r="S1201" s="3" t="inlineStr">
        <is>
          <t>이지</t>
        </is>
      </c>
      <c r="T1201" s="4" t="n">
        <v>1</v>
      </c>
      <c r="U1201" s="5" t="n">
        <v>271.6</v>
      </c>
      <c r="V1201" s="4" t="n">
        <v>410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봉안리 205-2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56000</v>
      </c>
      <c r="H1202" s="4" t="n">
        <v>0</v>
      </c>
      <c r="I1202" s="4" t="n">
        <v>396</v>
      </c>
      <c r="J1202" s="4" t="n">
        <v>120</v>
      </c>
      <c r="K1202" s="5" t="n">
        <v>466.7</v>
      </c>
      <c r="L1202" s="4" t="n">
        <v>83</v>
      </c>
      <c r="M1202" s="4" t="n">
        <v>25</v>
      </c>
      <c r="N1202" s="5" t="n">
        <v>2240</v>
      </c>
      <c r="O1202" s="3" t="inlineStr">
        <is>
          <t>장군면 봉안리 리모텔링 완료한 단독주택</t>
        </is>
      </c>
      <c r="P1202" s="6">
        <f>HYPERLINK("https://fin.land.naver.com/articles/2653539942", "매물Link")</f>
        <v/>
      </c>
      <c r="Q1202" s="6">
        <f>HYPERLINK("https://map.naver.com/p/search/장군면 봉안리 205-2", "지도Link")</f>
        <v/>
      </c>
      <c r="R1202" s="6">
        <f>HYPERLINK("http://www.eum.go.kr/web/ar/lu/luLandDet.jsp?pnu=3611035024102050002&amp;isNoScr=script&amp;mode=search", "토지이음")</f>
        <v/>
      </c>
      <c r="S1202" s="3" t="inlineStr">
        <is>
          <t>세종천지</t>
        </is>
      </c>
      <c r="T1202" s="4" t="n">
        <v>1</v>
      </c>
      <c r="U1202" s="5" t="n">
        <v>254.8</v>
      </c>
      <c r="V1202" s="4" t="n">
        <v>396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봉안리 210-5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200</v>
      </c>
      <c r="H1203" s="4" t="n">
        <v>30</v>
      </c>
      <c r="I1203" s="4" t="n">
        <v>23</v>
      </c>
      <c r="J1203" s="4" t="n">
        <v>7</v>
      </c>
      <c r="K1203" s="5" t="n">
        <v>4.3</v>
      </c>
      <c r="L1203" s="4" t="n">
        <v>22</v>
      </c>
      <c r="M1203" s="4" t="n">
        <v>7</v>
      </c>
      <c r="N1203" s="5" t="n">
        <v>4.3</v>
      </c>
      <c r="O1203" s="3" t="inlineStr">
        <is>
          <t>승강기있는 면소재지 근처 주변편의 시설완비 환기잘되는 원룸</t>
        </is>
      </c>
      <c r="P1203" s="6">
        <f>HYPERLINK("https://fin.land.naver.com/articles/2651425691", "매물Link")</f>
        <v/>
      </c>
      <c r="Q1203" s="6">
        <f>HYPERLINK("https://map.naver.com/p/search/장군면 봉안리 210-5", "지도Link")</f>
        <v/>
      </c>
      <c r="R1203" s="6">
        <f>HYPERLINK("http://www.eum.go.kr/web/ar/lu/luLandDet.jsp?pnu=3611035024102100005&amp;isNoScr=script&amp;mode=search", "토지이음")</f>
        <v/>
      </c>
      <c r="S1203" s="3" t="inlineStr">
        <is>
          <t>황제</t>
        </is>
      </c>
      <c r="T1203" s="4" t="n">
        <v>1</v>
      </c>
      <c r="U1203" s="5" t="n">
        <v>254.8</v>
      </c>
      <c r="V1203" s="4" t="n">
        <v>420</v>
      </c>
      <c r="W1203" s="3" t="inlineStr">
        <is>
          <t>지정되지않음</t>
        </is>
      </c>
      <c r="X1203" s="3" t="inlineStr">
        <is>
          <t>주거기타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봉안리 210-5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4</t>
        </is>
      </c>
      <c r="E1204" s="3" t="inlineStr">
        <is>
          <t>다가구</t>
        </is>
      </c>
      <c r="F1204" s="3" t="inlineStr">
        <is>
          <t>매매</t>
        </is>
      </c>
      <c r="G1204" s="4" t="n">
        <v>125000</v>
      </c>
      <c r="H1204" s="4" t="n">
        <v>0</v>
      </c>
      <c r="I1204" s="4" t="n">
        <v>430</v>
      </c>
      <c r="J1204" s="4" t="n">
        <v>130</v>
      </c>
      <c r="K1204" s="5" t="n">
        <v>961.5</v>
      </c>
      <c r="L1204" s="4" t="n">
        <v>425</v>
      </c>
      <c r="M1204" s="4" t="n">
        <v>129</v>
      </c>
      <c r="N1204" s="5" t="n">
        <v>969</v>
      </c>
      <c r="O1204" s="3" t="inlineStr">
        <is>
          <t>엘리베이터, 풀옵션, 관리최상</t>
        </is>
      </c>
      <c r="P1204" s="6">
        <f>HYPERLINK("https://fin.land.naver.com/articles/2654036749", "매물Link")</f>
        <v/>
      </c>
      <c r="Q1204" s="6">
        <f>HYPERLINK("https://map.naver.com/p/search/장군면 봉안리 210-5", "지도Link")</f>
        <v/>
      </c>
      <c r="R1204" s="6">
        <f>HYPERLINK("http://www.eum.go.kr/web/ar/lu/luLandDet.jsp?pnu=3611035024102100005&amp;isNoScr=script&amp;mode=search", "토지이음")</f>
        <v/>
      </c>
      <c r="S1204" s="3" t="inlineStr">
        <is>
          <t>한뜰금빛</t>
        </is>
      </c>
      <c r="T1204" s="4" t="n">
        <v>1</v>
      </c>
      <c r="U1204" s="5" t="n">
        <v>254.8</v>
      </c>
      <c r="V1204" s="4" t="n">
        <v>420</v>
      </c>
      <c r="W1204" s="3" t="inlineStr">
        <is>
          <t>지정되지않음</t>
        </is>
      </c>
      <c r="X1204" s="3" t="inlineStr">
        <is>
          <t>주거기타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봉안리 210-5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4</t>
        </is>
      </c>
      <c r="E1205" s="3" t="inlineStr">
        <is>
          <t>다가구</t>
        </is>
      </c>
      <c r="F1205" s="3" t="inlineStr">
        <is>
          <t>매매</t>
        </is>
      </c>
      <c r="G1205" s="4" t="n">
        <v>123000</v>
      </c>
      <c r="H1205" s="4" t="n">
        <v>0</v>
      </c>
      <c r="I1205" s="4" t="n">
        <v>430</v>
      </c>
      <c r="J1205" s="4" t="n">
        <v>130</v>
      </c>
      <c r="K1205" s="5" t="n">
        <v>946.2</v>
      </c>
      <c r="L1205" s="4" t="n">
        <v>425</v>
      </c>
      <c r="M1205" s="4" t="n">
        <v>129</v>
      </c>
      <c r="N1205" s="5" t="n">
        <v>953.5</v>
      </c>
      <c r="O1205" s="3" t="inlineStr">
        <is>
          <t>000 주인세대있는매물 1층상가,엘리베이터가동 000</t>
        </is>
      </c>
      <c r="P1205" s="6">
        <f>HYPERLINK("https://fin.land.naver.com/articles/2655357137", "매물Link")</f>
        <v/>
      </c>
      <c r="Q1205" s="6">
        <f>HYPERLINK("https://map.naver.com/p/search/장군면 봉안리 210-5", "지도Link")</f>
        <v/>
      </c>
      <c r="R1205" s="6">
        <f>HYPERLINK("http://www.eum.go.kr/web/ar/lu/luLandDet.jsp?pnu=3611035024102100005&amp;isNoScr=script&amp;mode=search", "토지이음")</f>
        <v/>
      </c>
      <c r="S1205" s="3" t="inlineStr">
        <is>
          <t>신황제</t>
        </is>
      </c>
      <c r="T1205" s="4" t="n">
        <v>1</v>
      </c>
      <c r="U1205" s="5" t="n">
        <v>254.8</v>
      </c>
      <c r="V1205" s="4" t="n">
        <v>420</v>
      </c>
      <c r="W1205" s="3" t="inlineStr">
        <is>
          <t>지정되지않음</t>
        </is>
      </c>
      <c r="X1205" s="3" t="inlineStr">
        <is>
          <t>주거기타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봉안리 216-36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전원주택</t>
        </is>
      </c>
      <c r="F1206" s="3" t="inlineStr">
        <is>
          <t>전세</t>
        </is>
      </c>
      <c r="G1206" s="4" t="n">
        <v>25000</v>
      </c>
      <c r="H1206" s="4" t="n">
        <v>0</v>
      </c>
      <c r="I1206" s="4" t="n">
        <v>911</v>
      </c>
      <c r="J1206" s="4" t="n">
        <v>276</v>
      </c>
      <c r="K1206" s="5" t="n">
        <v>90.59999999999999</v>
      </c>
      <c r="L1206" s="4" t="n">
        <v>443</v>
      </c>
      <c r="M1206" s="4" t="n">
        <v>134</v>
      </c>
      <c r="N1206" s="5" t="n">
        <v>186.6</v>
      </c>
      <c r="O1206" s="3" t="inlineStr">
        <is>
          <t>방4, 욕실3, 넓은화장실, 에어컨4대, 단독주택 월세 전세 조율가능</t>
        </is>
      </c>
      <c r="P1206" s="6">
        <f>HYPERLINK("https://fin.land.naver.com/articles/2653776521", "매물Link")</f>
        <v/>
      </c>
      <c r="Q1206" s="6">
        <f>HYPERLINK("https://map.naver.com/p/search/장군면 봉안리 216-36", "지도Link")</f>
        <v/>
      </c>
      <c r="R1206" s="6">
        <f>HYPERLINK("http://www.eum.go.kr/web/ar/lu/luLandDet.jsp?pnu=3611035024102160036&amp;isNoScr=script&amp;mode=search", "토지이음")</f>
        <v/>
      </c>
      <c r="S1206" s="3" t="inlineStr">
        <is>
          <t>헌또</t>
        </is>
      </c>
      <c r="T1206" s="4" t="n">
        <v>1</v>
      </c>
      <c r="U1206" s="5" t="n">
        <v>330.6</v>
      </c>
      <c r="V1206" s="4" t="n">
        <v>472</v>
      </c>
      <c r="W1206" s="3" t="inlineStr">
        <is>
          <t>지정되지않음</t>
        </is>
      </c>
      <c r="X1206" s="3" t="inlineStr">
        <is>
          <t>주상용</t>
        </is>
      </c>
      <c r="Y1206" s="3" t="inlineStr">
        <is>
          <t>완경사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봉안리 22-109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78000</v>
      </c>
      <c r="H1207" s="4" t="n">
        <v>0</v>
      </c>
      <c r="I1207" s="4" t="n">
        <v>320</v>
      </c>
      <c r="J1207" s="4" t="n">
        <v>97</v>
      </c>
      <c r="K1207" s="5" t="n">
        <v>804.1</v>
      </c>
      <c r="L1207" s="4" t="n">
        <v>120</v>
      </c>
      <c r="M1207" s="4" t="n">
        <v>36</v>
      </c>
      <c r="N1207" s="5" t="n">
        <v>2166.7</v>
      </c>
      <c r="O1207" s="3" t="inlineStr">
        <is>
          <t>정원이 있는 아담한잡. 급매</t>
        </is>
      </c>
      <c r="P1207" s="6">
        <f>HYPERLINK("https://fin.land.naver.com/articles/2654930426", "매물Link")</f>
        <v/>
      </c>
      <c r="Q1207" s="6">
        <f>HYPERLINK("https://map.naver.com/p/search/장군면 봉안리 22-109", "지도Link")</f>
        <v/>
      </c>
      <c r="R1207" s="6">
        <f>HYPERLINK("http://www.eum.go.kr/web/ar/lu/luLandDet.jsp?pnu=3611035024100220109&amp;isNoScr=script&amp;mode=search", "토지이음")</f>
        <v/>
      </c>
      <c r="S1207" s="3" t="inlineStr">
        <is>
          <t>최무연</t>
        </is>
      </c>
      <c r="T1207" s="4" t="n">
        <v>1</v>
      </c>
      <c r="U1207" s="5" t="n">
        <v>212.5</v>
      </c>
      <c r="V1207" s="4" t="n">
        <v>320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소로한면</t>
        </is>
      </c>
    </row>
    <row r="1208">
      <c r="A1208" s="3" t="inlineStr">
        <is>
          <t>장군면 봉안리 259-4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300</v>
      </c>
      <c r="H1208" s="4" t="n">
        <v>55</v>
      </c>
      <c r="I1208" s="4" t="n">
        <v>49</v>
      </c>
      <c r="J1208" s="4" t="n">
        <v>15</v>
      </c>
      <c r="K1208" s="5" t="n">
        <v>3.7</v>
      </c>
      <c r="L1208" s="4" t="n">
        <v>47</v>
      </c>
      <c r="M1208" s="4" t="n">
        <v>14</v>
      </c>
      <c r="N1208" s="5" t="n">
        <v>3.9</v>
      </c>
      <c r="O1208" s="3" t="inlineStr">
        <is>
          <t>세종시 장군면 풀옵션 투룸</t>
        </is>
      </c>
      <c r="P1208" s="6">
        <f>HYPERLINK("https://fin.land.naver.com/articles/2654296079", "매물Link")</f>
        <v/>
      </c>
      <c r="Q1208" s="6">
        <f>HYPERLINK("https://map.naver.com/p/search/장군면 봉안리 259-4", "지도Link")</f>
        <v/>
      </c>
      <c r="R1208" s="6">
        <f>HYPERLINK("http://www.eum.go.kr/web/ar/lu/luLandDet.jsp?pnu=3611035024102590004&amp;isNoScr=script&amp;mode=search", "토지이음")</f>
        <v/>
      </c>
      <c r="S1208" s="3" t="inlineStr">
        <is>
          <t>황금</t>
        </is>
      </c>
      <c r="T1208" s="4" t="n">
        <v>1</v>
      </c>
      <c r="U1208" s="5" t="n">
        <v>257.1</v>
      </c>
      <c r="V1208" s="4" t="n">
        <v>491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부정형</t>
        </is>
      </c>
      <c r="AA1208" s="3" t="inlineStr">
        <is>
          <t>세로한면(가)</t>
        </is>
      </c>
    </row>
    <row r="1209">
      <c r="A1209" s="3" t="inlineStr">
        <is>
          <t>장군면 봉안리 29-17</t>
        </is>
      </c>
      <c r="B1209" s="3" t="inlineStr">
        <is>
          <t>보전관리지역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115000</v>
      </c>
      <c r="H1209" s="4" t="n">
        <v>0</v>
      </c>
      <c r="I1209" s="4" t="n">
        <v>661</v>
      </c>
      <c r="J1209" s="4" t="n">
        <v>200</v>
      </c>
      <c r="K1209" s="5" t="n">
        <v>575</v>
      </c>
      <c r="L1209" s="4" t="n">
        <v>240</v>
      </c>
      <c r="M1209" s="4" t="n">
        <v>73</v>
      </c>
      <c r="N1209" s="5" t="n">
        <v>1575.3</v>
      </c>
      <c r="O1209" s="3" t="inlineStr">
        <is>
          <t>생명나무, 봉안리 대지200p 벙커주차장. 넓은정원. 정부청사 7분거리</t>
        </is>
      </c>
      <c r="P1209" s="6">
        <f>HYPERLINK("https://fin.land.naver.com/articles/2652249654", "매물Link")</f>
        <v/>
      </c>
      <c r="Q1209" s="6">
        <f>HYPERLINK("https://map.naver.com/p/search/장군면 봉안리 29-17", "지도Link")</f>
        <v/>
      </c>
      <c r="R1209" s="6">
        <f>HYPERLINK("http://www.eum.go.kr/web/ar/lu/luLandDet.jsp?pnu=3611035024100290017&amp;isNoScr=script&amp;mode=search", "토지이음")</f>
        <v/>
      </c>
      <c r="S1209" s="3" t="inlineStr">
        <is>
          <t>생명나무</t>
        </is>
      </c>
      <c r="T1209" s="4" t="n">
        <v>1</v>
      </c>
      <c r="U1209" s="5" t="n">
        <v>168.6</v>
      </c>
      <c r="V1209" s="4" t="n">
        <v>661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봉안리 296-3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3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35</v>
      </c>
      <c r="I1210" s="4" t="n">
        <v>24</v>
      </c>
      <c r="J1210" s="4" t="n">
        <v>7</v>
      </c>
      <c r="K1210" s="5" t="n">
        <v>5</v>
      </c>
      <c r="L1210" s="4" t="n">
        <v>20</v>
      </c>
      <c r="M1210" s="4" t="n">
        <v>6</v>
      </c>
      <c r="N1210" s="5" t="n">
        <v>5.8</v>
      </c>
      <c r="O1210" s="3" t="inlineStr">
        <is>
          <t>nan</t>
        </is>
      </c>
      <c r="P1210" s="6">
        <f>HYPERLINK("https://fin.land.naver.com/articles/2655251353", "매물Link")</f>
        <v/>
      </c>
      <c r="Q1210" s="6">
        <f>HYPERLINK("https://map.naver.com/p/search/장군면 봉안리 296-3", "지도Link")</f>
        <v/>
      </c>
      <c r="R1210" s="6">
        <f>HYPERLINK("http://www.eum.go.kr/web/ar/lu/luLandDet.jsp?pnu=3611035024102960003&amp;isNoScr=script&amp;mode=search", "토지이음")</f>
        <v/>
      </c>
      <c r="S1210" s="3" t="inlineStr">
        <is>
          <t>이지</t>
        </is>
      </c>
      <c r="T1210" s="4" t="n">
        <v>1</v>
      </c>
      <c r="U1210" s="5" t="n">
        <v>284.3</v>
      </c>
      <c r="V1210" s="4" t="n">
        <v>415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부정형</t>
        </is>
      </c>
      <c r="AA1210" s="3" t="inlineStr">
        <is>
          <t>세로한면(가)</t>
        </is>
      </c>
    </row>
    <row r="1211">
      <c r="A1211" s="3" t="inlineStr">
        <is>
          <t>장군면 봉안리 296-3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3</t>
        </is>
      </c>
      <c r="E1211" s="3" t="inlineStr">
        <is>
          <t>단독</t>
        </is>
      </c>
      <c r="F1211" s="3" t="inlineStr">
        <is>
          <t>월세</t>
        </is>
      </c>
      <c r="G1211" s="4" t="n">
        <v>300</v>
      </c>
      <c r="H1211" s="4" t="n">
        <v>60</v>
      </c>
      <c r="I1211" s="4" t="n">
        <v>38</v>
      </c>
      <c r="J1211" s="4" t="n">
        <v>11</v>
      </c>
      <c r="K1211" s="5" t="n">
        <v>5.5</v>
      </c>
      <c r="L1211" s="4" t="n">
        <v>36</v>
      </c>
      <c r="M1211" s="4" t="n">
        <v>11</v>
      </c>
      <c r="N1211" s="5" t="n">
        <v>5.5</v>
      </c>
      <c r="O1211" s="3" t="inlineStr">
        <is>
          <t>대출없음.다정동 고운동3분, 깔끔한 주방분리형 방2개 투룸 월세</t>
        </is>
      </c>
      <c r="P1211" s="6">
        <f>HYPERLINK("https://fin.land.naver.com/articles/2655012293", "매물Link")</f>
        <v/>
      </c>
      <c r="Q1211" s="6">
        <f>HYPERLINK("https://map.naver.com/p/search/장군면 봉안리 296-3", "지도Link")</f>
        <v/>
      </c>
      <c r="R1211" s="6">
        <f>HYPERLINK("http://www.eum.go.kr/web/ar/lu/luLandDet.jsp?pnu=3611035024102960003&amp;isNoScr=script&amp;mode=search", "토지이음")</f>
        <v/>
      </c>
      <c r="S1211" s="3" t="inlineStr">
        <is>
          <t>이지</t>
        </is>
      </c>
      <c r="T1211" s="4" t="n">
        <v>1</v>
      </c>
      <c r="U1211" s="5" t="n">
        <v>284.3</v>
      </c>
      <c r="V1211" s="4" t="n">
        <v>415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부정형</t>
        </is>
      </c>
      <c r="AA1211" s="3" t="inlineStr">
        <is>
          <t>세로한면(가)</t>
        </is>
      </c>
    </row>
    <row r="1212">
      <c r="A1212" s="3" t="inlineStr">
        <is>
          <t>장군면 봉안리 296-4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3</t>
        </is>
      </c>
      <c r="E1212" s="3" t="inlineStr">
        <is>
          <t>단독</t>
        </is>
      </c>
      <c r="F1212" s="3" t="inlineStr">
        <is>
          <t>월세</t>
        </is>
      </c>
      <c r="G1212" s="4" t="n">
        <v>200</v>
      </c>
      <c r="H1212" s="4" t="n">
        <v>65</v>
      </c>
      <c r="I1212" s="4" t="n">
        <v>40</v>
      </c>
      <c r="J1212" s="4" t="n">
        <v>12</v>
      </c>
      <c r="K1212" s="5" t="n">
        <v>5.4</v>
      </c>
      <c r="L1212" s="4" t="n">
        <v>38</v>
      </c>
      <c r="M1212" s="4" t="n">
        <v>11</v>
      </c>
      <c r="N1212" s="5" t="n">
        <v>5.9</v>
      </c>
      <c r="O1212" s="3" t="inlineStr">
        <is>
          <t>대출없음,새롬동,나성동10분, 화장실,에어컨2개 있는 투룸</t>
        </is>
      </c>
      <c r="P1212" s="6">
        <f>HYPERLINK("https://fin.land.naver.com/articles/2655213854", "매물Link")</f>
        <v/>
      </c>
      <c r="Q1212" s="6">
        <f>HYPERLINK("https://map.naver.com/p/search/장군면 봉안리 296-4", "지도Link")</f>
        <v/>
      </c>
      <c r="R1212" s="6">
        <f>HYPERLINK("http://www.eum.go.kr/web/ar/lu/luLandDet.jsp?pnu=3611035024102960004&amp;isNoScr=script&amp;mode=search", "토지이음")</f>
        <v/>
      </c>
      <c r="S1212" s="3" t="inlineStr">
        <is>
          <t>이지</t>
        </is>
      </c>
      <c r="T1212" s="4" t="n">
        <v>1</v>
      </c>
      <c r="U1212" s="5" t="n">
        <v>284.3</v>
      </c>
      <c r="V1212" s="4" t="n">
        <v>677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봉안리 296-4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3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65</v>
      </c>
      <c r="I1213" s="4" t="n">
        <v>40</v>
      </c>
      <c r="J1213" s="4" t="n">
        <v>12</v>
      </c>
      <c r="K1213" s="5" t="n">
        <v>5.4</v>
      </c>
      <c r="L1213" s="4" t="n">
        <v>38</v>
      </c>
      <c r="M1213" s="4" t="n">
        <v>11</v>
      </c>
      <c r="N1213" s="5" t="n">
        <v>5.9</v>
      </c>
      <c r="O1213" s="3" t="inlineStr">
        <is>
          <t>000  깔끔 투룸 화장살 2, 청사,공주인접 000</t>
        </is>
      </c>
      <c r="P1213" s="6">
        <f>HYPERLINK("https://fin.land.naver.com/articles/2655100777", "매물Link")</f>
        <v/>
      </c>
      <c r="Q1213" s="6">
        <f>HYPERLINK("https://map.naver.com/p/search/장군면 봉안리 296-4", "지도Link")</f>
        <v/>
      </c>
      <c r="R1213" s="6">
        <f>HYPERLINK("http://www.eum.go.kr/web/ar/lu/luLandDet.jsp?pnu=3611035024102960004&amp;isNoScr=script&amp;mode=search",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284.3</v>
      </c>
      <c r="V1213" s="4" t="n">
        <v>677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부정형</t>
        </is>
      </c>
      <c r="AA1213" s="3" t="inlineStr">
        <is>
          <t>세로한면(가)</t>
        </is>
      </c>
    </row>
    <row r="1214">
      <c r="A1214" s="3" t="inlineStr">
        <is>
          <t>장군면 봉안리 298-2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다가구</t>
        </is>
      </c>
      <c r="F1214" s="3" t="inlineStr">
        <is>
          <t>월세</t>
        </is>
      </c>
      <c r="G1214" s="4" t="n">
        <v>200</v>
      </c>
      <c r="H1214" s="4" t="n">
        <v>60</v>
      </c>
      <c r="I1214" s="4" t="n">
        <v>38</v>
      </c>
      <c r="J1214" s="4" t="n">
        <v>11</v>
      </c>
      <c r="K1214" s="5" t="n">
        <v>5.5</v>
      </c>
      <c r="L1214" s="4" t="n">
        <v>36</v>
      </c>
      <c r="M1214" s="4" t="n">
        <v>11</v>
      </c>
      <c r="N1214" s="5" t="n">
        <v>5.5</v>
      </c>
      <c r="O1214" s="3" t="inlineStr">
        <is>
          <t>대출없음.다정동 고운동3분, 깔끔하고 전망 좋은 투룸 월세</t>
        </is>
      </c>
      <c r="P1214" s="6">
        <f>HYPERLINK("https://fin.land.naver.com/articles/2655213267", "매물Link")</f>
        <v/>
      </c>
      <c r="Q1214" s="6">
        <f>HYPERLINK("https://map.naver.com/p/search/장군면 봉안리 298-2", "지도Link")</f>
        <v/>
      </c>
      <c r="R1214" s="6">
        <f>HYPERLINK("http://www.eum.go.kr/web/ar/lu/luLandDet.jsp?pnu=3611035024102980002&amp;isNoScr=script&amp;mode=search", "토지이음")</f>
        <v/>
      </c>
      <c r="S1214" s="3" t="inlineStr">
        <is>
          <t>이지</t>
        </is>
      </c>
      <c r="T1214" s="4" t="n">
        <v>1</v>
      </c>
      <c r="U1214" s="5" t="n">
        <v>305.7</v>
      </c>
      <c r="V1214" s="4" t="n">
        <v>435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봉안리 298-2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3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60</v>
      </c>
      <c r="I1215" s="4" t="n">
        <v>50</v>
      </c>
      <c r="J1215" s="4" t="n">
        <v>15</v>
      </c>
      <c r="K1215" s="5" t="n">
        <v>4</v>
      </c>
      <c r="L1215" s="4" t="n">
        <v>48</v>
      </c>
      <c r="M1215" s="4" t="n">
        <v>15</v>
      </c>
      <c r="N1215" s="5" t="n">
        <v>4</v>
      </c>
      <c r="O1215" s="3" t="inlineStr">
        <is>
          <t>밝은 남향방 깨끗한 방, 과기부7분 세종청사가까운 깔끔한 투룸</t>
        </is>
      </c>
      <c r="P1215" s="6">
        <f>HYPERLINK("https://fin.land.naver.com/articles/2655100671", "매물Link")</f>
        <v/>
      </c>
      <c r="Q1215" s="6">
        <f>HYPERLINK("https://map.naver.com/p/search/장군면 봉안리 298-2", "지도Link")</f>
        <v/>
      </c>
      <c r="R1215" s="6">
        <f>HYPERLINK("http://www.eum.go.kr/web/ar/lu/luLandDet.jsp?pnu=3611035024102980002&amp;isNoScr=script&amp;mode=search", "토지이음")</f>
        <v/>
      </c>
      <c r="S1215" s="3" t="inlineStr">
        <is>
          <t>황제</t>
        </is>
      </c>
      <c r="T1215" s="4" t="n">
        <v>1</v>
      </c>
      <c r="U1215" s="5" t="n">
        <v>305.7</v>
      </c>
      <c r="V1215" s="4" t="n">
        <v>435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봉안리 298-2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3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200</v>
      </c>
      <c r="H1216" s="4" t="n">
        <v>60</v>
      </c>
      <c r="I1216" s="4" t="n">
        <v>49</v>
      </c>
      <c r="J1216" s="4" t="n">
        <v>15</v>
      </c>
      <c r="K1216" s="5" t="n">
        <v>4</v>
      </c>
      <c r="L1216" s="4" t="n">
        <v>46</v>
      </c>
      <c r="M1216" s="4" t="n">
        <v>14</v>
      </c>
      <c r="N1216" s="5" t="n">
        <v>4.3</v>
      </c>
      <c r="O1216" s="3" t="inlineStr">
        <is>
          <t>세종시 장군면 투룸 월세 풀옵션</t>
        </is>
      </c>
      <c r="P1216" s="6">
        <f>HYPERLINK("https://fin.land.naver.com/articles/2654993048", "매물Link")</f>
        <v/>
      </c>
      <c r="Q1216" s="6">
        <f>HYPERLINK("https://map.naver.com/p/search/장군면 봉안리 298-2", "지도Link")</f>
        <v/>
      </c>
      <c r="R1216" s="6">
        <f>HYPERLINK("http://www.eum.go.kr/web/ar/lu/luLandDet.jsp?pnu=3611035024102980002&amp;isNoScr=script&amp;mode=search", "토지이음")</f>
        <v/>
      </c>
      <c r="S1216" s="3" t="inlineStr">
        <is>
          <t>황금</t>
        </is>
      </c>
      <c r="T1216" s="4" t="n">
        <v>1</v>
      </c>
      <c r="U1216" s="5" t="n">
        <v>305.7</v>
      </c>
      <c r="V1216" s="4" t="n">
        <v>435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봉안리 299-1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1000</v>
      </c>
      <c r="H1217" s="4" t="n">
        <v>28</v>
      </c>
      <c r="I1217" s="4" t="n">
        <v>23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청사10분, 침대,책상,전자렌지 1인가구필수품 다 있는 풀옵션 원룸 월세</t>
        </is>
      </c>
      <c r="P1217" s="6">
        <f>HYPERLINK("https://fin.land.naver.com/articles/2654603536", "매물Link")</f>
        <v/>
      </c>
      <c r="Q1217" s="6">
        <f>HYPERLINK("https://map.naver.com/p/search/장군면 봉안리 299-1", "지도Link")</f>
        <v/>
      </c>
      <c r="R1217" s="6">
        <f>HYPERLINK("http://www.eum.go.kr/web/ar/lu/luLandDet.jsp?pnu=3611035024102990001&amp;isNoScr=script&amp;mode=search", "토지이음")</f>
        <v/>
      </c>
      <c r="S1217" s="3" t="inlineStr">
        <is>
          <t>이지</t>
        </is>
      </c>
      <c r="T1217" s="4" t="n">
        <v>1</v>
      </c>
      <c r="U1217" s="5" t="n">
        <v>284.3</v>
      </c>
      <c r="V1217" s="4" t="n">
        <v>349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부정형</t>
        </is>
      </c>
      <c r="AA1217" s="3" t="inlineStr">
        <is>
          <t>세로한면(가)</t>
        </is>
      </c>
    </row>
    <row r="1218">
      <c r="A1218" s="3" t="inlineStr">
        <is>
          <t>장군면 봉안리 303-2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97000</v>
      </c>
      <c r="H1218" s="4" t="n">
        <v>0</v>
      </c>
      <c r="I1218" s="4" t="n">
        <v>474</v>
      </c>
      <c r="J1218" s="4" t="n">
        <v>143</v>
      </c>
      <c r="K1218" s="5" t="n">
        <v>678.3</v>
      </c>
      <c r="L1218" s="4" t="n">
        <v>472</v>
      </c>
      <c r="M1218" s="4" t="n">
        <v>143</v>
      </c>
      <c r="N1218" s="5" t="n">
        <v>678.3</v>
      </c>
      <c r="O1218" s="3" t="inlineStr">
        <is>
          <t>000 급매물 수익형 장군면 최강추 다가구 000</t>
        </is>
      </c>
      <c r="P1218" s="6">
        <f>HYPERLINK("https://fin.land.naver.com/articles/2655363795", "매물Link")</f>
        <v/>
      </c>
      <c r="Q1218" s="6">
        <f>HYPERLINK("https://map.naver.com/p/search/장군면 봉안리 303-2", "지도Link")</f>
        <v/>
      </c>
      <c r="R1218" s="6">
        <f>HYPERLINK("http://www.eum.go.kr/web/ar/lu/luLandDet.jsp?pnu=3611035024103030002&amp;isNoScr=script&amp;mode=search",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305.7</v>
      </c>
      <c r="V1218" s="4" t="n">
        <v>474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봉안리 303-2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97000</v>
      </c>
      <c r="H1219" s="4" t="n">
        <v>0</v>
      </c>
      <c r="I1219" s="4" t="n">
        <v>474</v>
      </c>
      <c r="J1219" s="4" t="n">
        <v>143</v>
      </c>
      <c r="K1219" s="5" t="n">
        <v>678.3</v>
      </c>
      <c r="L1219" s="4" t="n">
        <v>472</v>
      </c>
      <c r="M1219" s="4" t="n">
        <v>143</v>
      </c>
      <c r="N1219" s="5" t="n">
        <v>678.3</v>
      </c>
      <c r="O1219" s="3" t="inlineStr">
        <is>
          <t>가성비 짱 봉안리 풀옵션방 거실 크고 방 큰 대형 투룸,원룸,투베이18실</t>
        </is>
      </c>
      <c r="P1219" s="6">
        <f>HYPERLINK("https://fin.land.naver.com/articles/2655420002", "매물Link")</f>
        <v/>
      </c>
      <c r="Q1219" s="6">
        <f>HYPERLINK("https://map.naver.com/p/search/장군면 봉안리 303-2", "지도Link")</f>
        <v/>
      </c>
      <c r="R1219" s="6">
        <f>HYPERLINK("http://www.eum.go.kr/web/ar/lu/luLandDet.jsp?pnu=3611035024103030002&amp;isNoScr=script&amp;mode=search",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305.7</v>
      </c>
      <c r="V1219" s="4" t="n">
        <v>474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봉안리 303-7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35</v>
      </c>
      <c r="I1220" s="4" t="n">
        <v>27</v>
      </c>
      <c r="J1220" s="4" t="n">
        <v>8</v>
      </c>
      <c r="K1220" s="5" t="n">
        <v>4.4</v>
      </c>
      <c r="L1220" s="4" t="n">
        <v>24</v>
      </c>
      <c r="M1220" s="4" t="n">
        <v>7</v>
      </c>
      <c r="N1220" s="5" t="n">
        <v>5</v>
      </c>
      <c r="O1220" s="3" t="inlineStr">
        <is>
          <t>세종시 장군면 풀옵션 원룸</t>
        </is>
      </c>
      <c r="P1220" s="6">
        <f>HYPERLINK("https://fin.land.naver.com/articles/2655466346", "매물Link")</f>
        <v/>
      </c>
      <c r="Q1220" s="6">
        <f>HYPERLINK("https://map.naver.com/p/search/장군면 봉안리 303-7", "지도Link")</f>
        <v/>
      </c>
      <c r="R1220" s="6">
        <f>HYPERLINK("http://www.eum.go.kr/web/ar/lu/luLandDet.jsp?pnu=3611035024103030007&amp;isNoScr=script&amp;mode=search", "토지이음")</f>
        <v/>
      </c>
      <c r="S1220" s="3" t="inlineStr">
        <is>
          <t>황금</t>
        </is>
      </c>
      <c r="T1220" s="4" t="n">
        <v>1</v>
      </c>
      <c r="U1220" s="5" t="n">
        <v>305.7</v>
      </c>
      <c r="V1220" s="4" t="n">
        <v>488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봉안리 303-7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45</v>
      </c>
      <c r="I1221" s="4" t="n">
        <v>33</v>
      </c>
      <c r="J1221" s="4" t="n">
        <v>10</v>
      </c>
      <c r="K1221" s="5" t="n">
        <v>4.5</v>
      </c>
      <c r="L1221" s="4" t="n">
        <v>32</v>
      </c>
      <c r="M1221" s="4" t="n">
        <v>10</v>
      </c>
      <c r="N1221" s="5" t="n">
        <v>4.5</v>
      </c>
      <c r="O1221" s="3" t="inlineStr">
        <is>
          <t>깨끗하고 깔끔한 투베이 방하나 거실하나, 과기부7분 청사가까운 1.5룸</t>
        </is>
      </c>
      <c r="P1221" s="6">
        <f>HYPERLINK("https://fin.land.naver.com/articles/2654655181", "매물Link")</f>
        <v/>
      </c>
      <c r="Q1221" s="6">
        <f>HYPERLINK("https://map.naver.com/p/search/장군면 봉안리 303-7", "지도Link")</f>
        <v/>
      </c>
      <c r="R1221" s="6">
        <f>HYPERLINK("http://www.eum.go.kr/web/ar/lu/luLandDet.jsp?pnu=3611035024103030007&amp;isNoScr=script&amp;mode=search",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305.7</v>
      </c>
      <c r="V1221" s="4" t="n">
        <v>488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봉안리 303-7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단독</t>
        </is>
      </c>
      <c r="F1222" s="3" t="inlineStr">
        <is>
          <t>매매</t>
        </is>
      </c>
      <c r="G1222" s="4" t="n">
        <v>120000</v>
      </c>
      <c r="H1222" s="4" t="n">
        <v>0</v>
      </c>
      <c r="I1222" s="4" t="n">
        <v>488</v>
      </c>
      <c r="J1222" s="4" t="n">
        <v>148</v>
      </c>
      <c r="K1222" s="5" t="n">
        <v>810.8</v>
      </c>
      <c r="L1222" s="4" t="n">
        <v>487</v>
      </c>
      <c r="M1222" s="4" t="n">
        <v>147</v>
      </c>
      <c r="N1222" s="5" t="n">
        <v>816.3</v>
      </c>
      <c r="O1222" s="3" t="inlineStr">
        <is>
          <t>편의시설 형성되어 있는 1층 편의점 상가주택 매매</t>
        </is>
      </c>
      <c r="P1222" s="6">
        <f>HYPERLINK("https://fin.land.naver.com/articles/2652022748", "매물Link")</f>
        <v/>
      </c>
      <c r="Q1222" s="6">
        <f>HYPERLINK("https://map.naver.com/p/search/장군면 봉안리 303-7", "지도Link")</f>
        <v/>
      </c>
      <c r="R1222" s="6">
        <f>HYPERLINK("http://www.eum.go.kr/web/ar/lu/luLandDet.jsp?pnu=3611035024103030007&amp;isNoScr=script&amp;mode=search", "토지이음")</f>
        <v/>
      </c>
      <c r="S1222" s="3" t="inlineStr">
        <is>
          <t>이지</t>
        </is>
      </c>
      <c r="T1222" s="4" t="n">
        <v>1</v>
      </c>
      <c r="U1222" s="5" t="n">
        <v>305.7</v>
      </c>
      <c r="V1222" s="4" t="n">
        <v>488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봉안리 303-7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35</v>
      </c>
      <c r="I1223" s="4" t="n">
        <v>24</v>
      </c>
      <c r="J1223" s="4" t="n">
        <v>7</v>
      </c>
      <c r="K1223" s="5" t="n">
        <v>5</v>
      </c>
      <c r="L1223" s="4" t="n">
        <v>20</v>
      </c>
      <c r="M1223" s="4" t="n">
        <v>6</v>
      </c>
      <c r="N1223" s="5" t="n">
        <v>5.8</v>
      </c>
      <c r="O1223" s="3" t="inlineStr">
        <is>
          <t>000 봉안리 1룸 추천추천 000</t>
        </is>
      </c>
      <c r="P1223" s="6">
        <f>HYPERLINK("https://fin.land.naver.com/articles/2655451902", "매물Link")</f>
        <v/>
      </c>
      <c r="Q1223" s="6">
        <f>HYPERLINK("https://map.naver.com/p/search/장군면 봉안리 303-7", "지도Link")</f>
        <v/>
      </c>
      <c r="R1223" s="6">
        <f>HYPERLINK("http://www.eum.go.kr/web/ar/lu/luLandDet.jsp?pnu=3611035024103030007&amp;isNoScr=script&amp;mode=search",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305.7</v>
      </c>
      <c r="V1223" s="4" t="n">
        <v>488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311-2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전원주택</t>
        </is>
      </c>
      <c r="F1224" s="3" t="inlineStr">
        <is>
          <t>매매</t>
        </is>
      </c>
      <c r="G1224" s="4" t="n">
        <v>75000</v>
      </c>
      <c r="H1224" s="4" t="n">
        <v>0</v>
      </c>
      <c r="I1224" s="4" t="n">
        <v>571</v>
      </c>
      <c r="J1224" s="4" t="n">
        <v>173</v>
      </c>
      <c r="K1224" s="5" t="n">
        <v>433.5</v>
      </c>
      <c r="L1224" s="4" t="n">
        <v>91</v>
      </c>
      <c r="M1224" s="4" t="n">
        <v>28</v>
      </c>
      <c r="N1224" s="5" t="n">
        <v>2678.6</v>
      </c>
      <c r="O1224" s="3" t="inlineStr">
        <is>
          <t>장군면 봉안리 위치최상의 단독주택</t>
        </is>
      </c>
      <c r="P1224" s="6">
        <f>HYPERLINK("https://fin.land.naver.com/articles/2655037871", "매물Link")</f>
        <v/>
      </c>
      <c r="Q1224" s="6">
        <f>HYPERLINK("https://map.naver.com/p/search/장군면 봉안리 311-2", "지도Link")</f>
        <v/>
      </c>
      <c r="R1224" s="6">
        <f>HYPERLINK("http://www.eum.go.kr/web/ar/lu/luLandDet.jsp?pnu=3611035024103110002&amp;isNoScr=script&amp;mode=search", "토지이음")</f>
        <v/>
      </c>
      <c r="S1224" s="3" t="inlineStr">
        <is>
          <t>세종천지</t>
        </is>
      </c>
      <c r="T1224" s="4" t="n">
        <v>1</v>
      </c>
      <c r="U1224" s="5" t="n">
        <v>305.7</v>
      </c>
      <c r="V1224" s="4" t="n">
        <v>571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가로장방</t>
        </is>
      </c>
      <c r="AA1224" s="3" t="inlineStr">
        <is>
          <t>세로한면(가)</t>
        </is>
      </c>
    </row>
    <row r="1225">
      <c r="A1225" s="3" t="inlineStr">
        <is>
          <t>장군면 봉안리 311-2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단독</t>
        </is>
      </c>
      <c r="F1225" s="3" t="inlineStr">
        <is>
          <t>매매</t>
        </is>
      </c>
      <c r="G1225" s="4" t="n">
        <v>75000</v>
      </c>
      <c r="H1225" s="4" t="n">
        <v>0</v>
      </c>
      <c r="I1225" s="4" t="n">
        <v>571</v>
      </c>
      <c r="J1225" s="4" t="n">
        <v>173</v>
      </c>
      <c r="K1225" s="5" t="n">
        <v>433.5</v>
      </c>
      <c r="L1225" s="4" t="n">
        <v>91</v>
      </c>
      <c r="M1225" s="4" t="n">
        <v>28</v>
      </c>
      <c r="N1225" s="5" t="n">
        <v>2678.6</v>
      </c>
      <c r="O1225" s="3" t="inlineStr">
        <is>
          <t>봉안리 요지 주택</t>
        </is>
      </c>
      <c r="P1225" s="6">
        <f>HYPERLINK("https://fin.land.naver.com/articles/2652279101", "매물Link")</f>
        <v/>
      </c>
      <c r="Q1225" s="6">
        <f>HYPERLINK("https://map.naver.com/p/search/장군면 봉안리 311-2", "지도Link")</f>
        <v/>
      </c>
      <c r="R1225" s="6">
        <f>HYPERLINK("http://www.eum.go.kr/web/ar/lu/luLandDet.jsp?pnu=3611035024103110002&amp;isNoScr=script&amp;mode=search", "토지이음")</f>
        <v/>
      </c>
      <c r="S1225" s="3" t="inlineStr">
        <is>
          <t>새땅</t>
        </is>
      </c>
      <c r="T1225" s="4" t="n">
        <v>1</v>
      </c>
      <c r="U1225" s="5" t="n">
        <v>305.7</v>
      </c>
      <c r="V1225" s="4" t="n">
        <v>571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가로장방</t>
        </is>
      </c>
      <c r="AA1225" s="3" t="inlineStr">
        <is>
          <t>세로한면(가)</t>
        </is>
      </c>
    </row>
    <row r="1226">
      <c r="A1226" s="3" t="inlineStr">
        <is>
          <t>장군면 봉안리 311-2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75000</v>
      </c>
      <c r="H1226" s="4" t="n">
        <v>0</v>
      </c>
      <c r="I1226" s="4" t="n">
        <v>571</v>
      </c>
      <c r="J1226" s="4" t="n">
        <v>173</v>
      </c>
      <c r="K1226" s="5" t="n">
        <v>433.5</v>
      </c>
      <c r="L1226" s="4" t="n">
        <v>91</v>
      </c>
      <c r="M1226" s="4" t="n">
        <v>28</v>
      </c>
      <c r="N1226" s="5" t="n">
        <v>2678.6</v>
      </c>
      <c r="O1226" s="3" t="inlineStr">
        <is>
          <t>급매,투자가치 상승 계획관리지역 단독주택  급매매,투자용 적극추천</t>
        </is>
      </c>
      <c r="P1226" s="6">
        <f>HYPERLINK("https://fin.land.naver.com/articles/2650782349", "매물Link")</f>
        <v/>
      </c>
      <c r="Q1226" s="6">
        <f>HYPERLINK("https://map.naver.com/p/search/장군면 봉안리 311-2", "지도Link")</f>
        <v/>
      </c>
      <c r="R1226" s="6">
        <f>HYPERLINK("http://www.eum.go.kr/web/ar/lu/luLandDet.jsp?pnu=3611035024103110002&amp;isNoScr=script&amp;mode=search",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305.7</v>
      </c>
      <c r="V1226" s="4" t="n">
        <v>571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봉안리 311-2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75000</v>
      </c>
      <c r="H1227" s="4" t="n">
        <v>0</v>
      </c>
      <c r="I1227" s="4" t="n">
        <v>571</v>
      </c>
      <c r="J1227" s="4" t="n">
        <v>173</v>
      </c>
      <c r="K1227" s="5" t="n">
        <v>433.5</v>
      </c>
      <c r="L1227" s="4" t="n">
        <v>91</v>
      </c>
      <c r="M1227" s="4" t="n">
        <v>28</v>
      </c>
      <c r="N1227" s="5" t="n">
        <v>2678.6</v>
      </c>
      <c r="O1227" s="3" t="inlineStr">
        <is>
          <t>(급매)근린생활시설 가능한 단독주택 세종시 경계지역</t>
        </is>
      </c>
      <c r="P1227" s="6">
        <f>HYPERLINK("https://fin.land.naver.com/articles/2653340029", "매물Link")</f>
        <v/>
      </c>
      <c r="Q1227" s="6">
        <f>HYPERLINK("https://map.naver.com/p/search/장군면 봉안리 311-2", "지도Link")</f>
        <v/>
      </c>
      <c r="R1227" s="6">
        <f>HYPERLINK("http://www.eum.go.kr/web/ar/lu/luLandDet.jsp?pnu=3611035024103110002&amp;isNoScr=script&amp;mode=search", "토지이음")</f>
        <v/>
      </c>
      <c r="S1227" s="3" t="inlineStr">
        <is>
          <t>상상</t>
        </is>
      </c>
      <c r="T1227" s="4" t="n">
        <v>2</v>
      </c>
      <c r="U1227" s="5" t="n">
        <v>305.7</v>
      </c>
      <c r="V1227" s="4" t="n">
        <v>571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가로장방</t>
        </is>
      </c>
      <c r="AA1227" s="3" t="inlineStr">
        <is>
          <t>세로한면(가)</t>
        </is>
      </c>
    </row>
    <row r="1228">
      <c r="A1228" s="3" t="inlineStr">
        <is>
          <t>장군면 봉안리 313-2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3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32</v>
      </c>
      <c r="I1228" s="4" t="n">
        <v>24</v>
      </c>
      <c r="J1228" s="4" t="n">
        <v>7</v>
      </c>
      <c r="K1228" s="5" t="n">
        <v>4.6</v>
      </c>
      <c r="L1228" s="4" t="n">
        <v>20</v>
      </c>
      <c r="M1228" s="4" t="n">
        <v>6</v>
      </c>
      <c r="N1228" s="5" t="n">
        <v>5.3</v>
      </c>
      <c r="O1228" s="3" t="inlineStr">
        <is>
          <t>00수납최고 ,주차 걱정N0,최상원룸   00</t>
        </is>
      </c>
      <c r="P1228" s="6">
        <f>HYPERLINK("https://fin.land.naver.com/articles/2655618530", "매물Link")</f>
        <v/>
      </c>
      <c r="Q1228" s="6">
        <f>HYPERLINK("https://map.naver.com/p/search/장군면 봉안리 313-2", "지도Link")</f>
        <v/>
      </c>
      <c r="R1228" s="6">
        <f>HYPERLINK("http://www.eum.go.kr/web/ar/lu/luLandDet.jsp?pnu=3611035024103130002&amp;isNoScr=script&amp;mode=search",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284.3</v>
      </c>
      <c r="V1228" s="4" t="n">
        <v>491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부정형</t>
        </is>
      </c>
      <c r="AA1228" s="3" t="inlineStr">
        <is>
          <t>세로한면(가)</t>
        </is>
      </c>
    </row>
    <row r="1229">
      <c r="A1229" s="3" t="inlineStr">
        <is>
          <t>장군면 봉안리 313-2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32</v>
      </c>
      <c r="I1229" s="4" t="n">
        <v>26</v>
      </c>
      <c r="J1229" s="4" t="n">
        <v>8</v>
      </c>
      <c r="K1229" s="5" t="n">
        <v>4</v>
      </c>
      <c r="L1229" s="4" t="n">
        <v>25</v>
      </c>
      <c r="M1229" s="4" t="n">
        <v>8</v>
      </c>
      <c r="N1229" s="5" t="n">
        <v>4</v>
      </c>
      <c r="O1229" s="3" t="inlineStr">
        <is>
          <t>봉안리 빌트인 풀옵션 편의시설 최고, 살기 좋은 대형 원룸</t>
        </is>
      </c>
      <c r="P1229" s="6">
        <f>HYPERLINK("https://fin.land.naver.com/articles/2653493604", "매물Link")</f>
        <v/>
      </c>
      <c r="Q1229" s="6">
        <f>HYPERLINK("https://map.naver.com/p/search/장군면 봉안리 313-2", "지도Link")</f>
        <v/>
      </c>
      <c r="R1229" s="6">
        <f>HYPERLINK("http://www.eum.go.kr/web/ar/lu/luLandDet.jsp?pnu=3611035024103130002&amp;isNoScr=script&amp;mode=search", "토지이음")</f>
        <v/>
      </c>
      <c r="S1229" s="3" t="inlineStr">
        <is>
          <t>황제</t>
        </is>
      </c>
      <c r="T1229" s="4" t="n">
        <v>1</v>
      </c>
      <c r="U1229" s="5" t="n">
        <v>284.3</v>
      </c>
      <c r="V1229" s="4" t="n">
        <v>491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부정형</t>
        </is>
      </c>
      <c r="AA1229" s="3" t="inlineStr">
        <is>
          <t>세로한면(가)</t>
        </is>
      </c>
    </row>
    <row r="1230">
      <c r="A1230" s="3" t="inlineStr">
        <is>
          <t>장군면 봉안리 313-2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3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32</v>
      </c>
      <c r="I1230" s="4" t="n">
        <v>25</v>
      </c>
      <c r="J1230" s="4" t="n">
        <v>8</v>
      </c>
      <c r="K1230" s="5" t="n">
        <v>4</v>
      </c>
      <c r="L1230" s="4" t="n">
        <v>22</v>
      </c>
      <c r="M1230" s="4" t="n">
        <v>7</v>
      </c>
      <c r="N1230" s="5" t="n">
        <v>4.6</v>
      </c>
      <c r="O1230" s="3" t="inlineStr">
        <is>
          <t>00수납최고 ,주차 걱정N0,최상원룸   00</t>
        </is>
      </c>
      <c r="P1230" s="6">
        <f>HYPERLINK("https://fin.land.naver.com/articles/2653137114", "매물Link")</f>
        <v/>
      </c>
      <c r="Q1230" s="6">
        <f>HYPERLINK("https://map.naver.com/p/search/장군면 봉안리 313-2", "지도Link")</f>
        <v/>
      </c>
      <c r="R1230" s="6">
        <f>HYPERLINK("http://www.eum.go.kr/web/ar/lu/luLandDet.jsp?pnu=3611035024103130002&amp;isNoScr=script&amp;mode=search",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284.3</v>
      </c>
      <c r="V1230" s="4" t="n">
        <v>491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봉안리 313-2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3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32</v>
      </c>
      <c r="I1231" s="4" t="n">
        <v>27</v>
      </c>
      <c r="J1231" s="4" t="n">
        <v>8</v>
      </c>
      <c r="K1231" s="5" t="n">
        <v>4</v>
      </c>
      <c r="L1231" s="4" t="n">
        <v>24</v>
      </c>
      <c r="M1231" s="4" t="n">
        <v>7</v>
      </c>
      <c r="N1231" s="5" t="n">
        <v>4.6</v>
      </c>
      <c r="O1231" s="3" t="inlineStr">
        <is>
          <t>000 대형1룸수납짱 최상옵션 내국인전용 000</t>
        </is>
      </c>
      <c r="P1231" s="6">
        <f>HYPERLINK("https://fin.land.naver.com/articles/2653153288", "매물Link")</f>
        <v/>
      </c>
      <c r="Q1231" s="6">
        <f>HYPERLINK("https://map.naver.com/p/search/장군면 봉안리 313-2", "지도Link")</f>
        <v/>
      </c>
      <c r="R1231" s="6">
        <f>HYPERLINK("http://www.eum.go.kr/web/ar/lu/luLandDet.jsp?pnu=3611035024103130002&amp;isNoScr=script&amp;mode=search",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284.3</v>
      </c>
      <c r="V1231" s="4" t="n">
        <v>491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봉안리 314-2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23</v>
      </c>
      <c r="J1232" s="4" t="n">
        <v>7</v>
      </c>
      <c r="K1232" s="5" t="n">
        <v>4.3</v>
      </c>
      <c r="L1232" s="4" t="n">
        <v>22</v>
      </c>
      <c r="M1232" s="4" t="n">
        <v>7</v>
      </c>
      <c r="N1232" s="5" t="n">
        <v>4.3</v>
      </c>
      <c r="O1232" s="3" t="inlineStr">
        <is>
          <t>수납공간많음,청사10분  빌트인장 가성비 짱 북서향의 밝고 깨끗한 원룸</t>
        </is>
      </c>
      <c r="P1232" s="6">
        <f>HYPERLINK("https://fin.land.naver.com/articles/2653759477", "매물Link")</f>
        <v/>
      </c>
      <c r="Q1232" s="6">
        <f>HYPERLINK("https://map.naver.com/p/search/장군면 봉안리 314-2", "지도Link")</f>
        <v/>
      </c>
      <c r="R1232" s="6">
        <f>HYPERLINK("http://www.eum.go.kr/web/ar/lu/luLandDet.jsp?pnu=3611035024103140002&amp;isNoScr=script&amp;mode=search",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284.3</v>
      </c>
      <c r="V1232" s="4" t="n">
        <v>383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봉안리 314-4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32</v>
      </c>
      <c r="I1233" s="4" t="n">
        <v>23</v>
      </c>
      <c r="J1233" s="4" t="n">
        <v>7</v>
      </c>
      <c r="K1233" s="5" t="n">
        <v>4.6</v>
      </c>
      <c r="L1233" s="4" t="n">
        <v>22</v>
      </c>
      <c r="M1233" s="4" t="n">
        <v>7</v>
      </c>
      <c r="N1233" s="5" t="n">
        <v>4.6</v>
      </c>
      <c r="O1233" s="3" t="inlineStr">
        <is>
          <t>햇빛 쨍쨍 청사10분  빌트인장 가성비 짱 수납공간 짱  깨끗한 원룸</t>
        </is>
      </c>
      <c r="P1233" s="6">
        <f>HYPERLINK("https://fin.land.naver.com/articles/2653926030", "매물Link")</f>
        <v/>
      </c>
      <c r="Q1233" s="6">
        <f>HYPERLINK("https://map.naver.com/p/search/장군면 봉안리 314-4", "지도Link")</f>
        <v/>
      </c>
      <c r="R1233" s="6">
        <f>HYPERLINK("http://www.eum.go.kr/web/ar/lu/luLandDet.jsp?pnu=3611035024103140004&amp;isNoScr=script&amp;mode=search", "토지이음")</f>
        <v/>
      </c>
      <c r="S1233" s="3" t="inlineStr">
        <is>
          <t>황제</t>
        </is>
      </c>
      <c r="T1233" s="4" t="n">
        <v>1</v>
      </c>
      <c r="U1233" s="5" t="n">
        <v>284.3</v>
      </c>
      <c r="V1233" s="4" t="n">
        <v>299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315-2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단독</t>
        </is>
      </c>
      <c r="F1234" s="3" t="inlineStr">
        <is>
          <t>월세</t>
        </is>
      </c>
      <c r="G1234" s="4" t="n">
        <v>5000</v>
      </c>
      <c r="H1234" s="4" t="n">
        <v>120</v>
      </c>
      <c r="I1234" s="4" t="n">
        <v>372</v>
      </c>
      <c r="J1234" s="4" t="n">
        <v>113</v>
      </c>
      <c r="K1234" s="5" t="n">
        <v>1.1</v>
      </c>
      <c r="L1234" s="4" t="n">
        <v>92</v>
      </c>
      <c r="M1234" s="4" t="n">
        <v>28</v>
      </c>
      <c r="N1234" s="5" t="n">
        <v>4.3</v>
      </c>
      <c r="O1234" s="3" t="inlineStr">
        <is>
          <t>애견가능, 창고별도, 도시가스, 잔디마당, 일부인테리어, 내년2월협의입주</t>
        </is>
      </c>
      <c r="P1234" s="6">
        <f>HYPERLINK("https://fin.land.naver.com/articles/2653783057", "매물Link")</f>
        <v/>
      </c>
      <c r="Q1234" s="6">
        <f>HYPERLINK("https://map.naver.com/p/search/장군면 봉안리 315-2", "지도Link")</f>
        <v/>
      </c>
      <c r="R1234" s="6">
        <f>HYPERLINK("http://www.eum.go.kr/web/ar/lu/luLandDet.jsp?pnu=3611035024103150002&amp;isNoScr=script&amp;mode=search", "토지이음")</f>
        <v/>
      </c>
      <c r="S1234" s="3" t="inlineStr">
        <is>
          <t>백프로</t>
        </is>
      </c>
      <c r="T1234" s="4" t="n">
        <v>1</v>
      </c>
      <c r="U1234" s="5" t="n">
        <v>308.7</v>
      </c>
      <c r="V1234" s="4" t="n">
        <v>370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가로장방</t>
        </is>
      </c>
      <c r="AA1234" s="3" t="inlineStr">
        <is>
          <t>세로한면(가)</t>
        </is>
      </c>
    </row>
    <row r="1235">
      <c r="A1235" s="3" t="inlineStr">
        <is>
          <t>장군면 봉안리 316-2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일반원룸</t>
        </is>
      </c>
      <c r="F1235" s="3" t="inlineStr">
        <is>
          <t>월세</t>
        </is>
      </c>
      <c r="G1235" s="4" t="n">
        <v>200</v>
      </c>
      <c r="H1235" s="4" t="n">
        <v>35</v>
      </c>
      <c r="I1235" s="4" t="n">
        <v>24</v>
      </c>
      <c r="J1235" s="4" t="n">
        <v>7</v>
      </c>
      <c r="K1235" s="5" t="n">
        <v>5</v>
      </c>
      <c r="L1235" s="4" t="n">
        <v>22</v>
      </c>
      <c r="M1235" s="4" t="n">
        <v>7</v>
      </c>
      <c r="N1235" s="5" t="n">
        <v>5</v>
      </c>
      <c r="O1235" s="3" t="inlineStr">
        <is>
          <t>승강기있음 버스정류장3분 깔끔 풀옵션 침대 원룸 월세</t>
        </is>
      </c>
      <c r="P1235" s="6">
        <f>HYPERLINK("https://fin.land.naver.com/articles/2654214443", "매물Link")</f>
        <v/>
      </c>
      <c r="Q1235" s="6">
        <f>HYPERLINK("https://map.naver.com/p/search/장군면 봉안리 316-2", "지도Link")</f>
        <v/>
      </c>
      <c r="R1235" s="6">
        <f>HYPERLINK("http://www.eum.go.kr/web/ar/lu/luLandDet.jsp?pnu=3611035024103160002&amp;isNoScr=script&amp;mode=search",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309</v>
      </c>
      <c r="V1235" s="4" t="n">
        <v>535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자루형</t>
        </is>
      </c>
      <c r="AA1235" s="3" t="inlineStr">
        <is>
          <t>세로한면(가)</t>
        </is>
      </c>
    </row>
    <row r="1236">
      <c r="A1236" s="3" t="inlineStr">
        <is>
          <t>장군면 봉안리 316-2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22</v>
      </c>
      <c r="M1236" s="4" t="n">
        <v>7</v>
      </c>
      <c r="N1236" s="5" t="n">
        <v>5</v>
      </c>
      <c r="O1236" s="3" t="inlineStr">
        <is>
          <t>버스정류장 주변 큰길가 즉시입주가능 승강기 원룸</t>
        </is>
      </c>
      <c r="P1236" s="6">
        <f>HYPERLINK("https://fin.land.naver.com/articles/2655033733", "매물Link")</f>
        <v/>
      </c>
      <c r="Q1236" s="6">
        <f>HYPERLINK("https://map.naver.com/p/search/장군면 봉안리 316-2", "지도Link")</f>
        <v/>
      </c>
      <c r="R1236" s="6">
        <f>HYPERLINK("http://www.eum.go.kr/web/ar/lu/luLandDet.jsp?pnu=3611035024103160002&amp;isNoScr=script&amp;mode=search",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309</v>
      </c>
      <c r="V1236" s="4" t="n">
        <v>535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자루형</t>
        </is>
      </c>
      <c r="AA1236" s="3" t="inlineStr">
        <is>
          <t>세로한면(가)</t>
        </is>
      </c>
    </row>
    <row r="1237">
      <c r="A1237" s="3" t="inlineStr">
        <is>
          <t>장군면 봉안리 317-3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300</v>
      </c>
      <c r="H1237" s="4" t="n">
        <v>45</v>
      </c>
      <c r="I1237" s="4" t="n">
        <v>33</v>
      </c>
      <c r="J1237" s="4" t="n">
        <v>10</v>
      </c>
      <c r="K1237" s="5" t="n">
        <v>4.5</v>
      </c>
      <c r="L1237" s="4" t="n">
        <v>30</v>
      </c>
      <c r="M1237" s="4" t="n">
        <v>9</v>
      </c>
      <c r="N1237" s="5" t="n">
        <v>5</v>
      </c>
      <c r="O1237" s="3" t="inlineStr">
        <is>
          <t>엘레베이터 있고 깔끔한 투베이 밝고 좋아요환기 잘됨</t>
        </is>
      </c>
      <c r="P1237" s="6">
        <f>HYPERLINK("https://fin.land.naver.com/articles/2654916196", "매물Link")</f>
        <v/>
      </c>
      <c r="Q1237" s="6">
        <f>HYPERLINK("https://map.naver.com/p/search/장군면 봉안리 317-3", "지도Link")</f>
        <v/>
      </c>
      <c r="R1237" s="6">
        <f>HYPERLINK("http://www.eum.go.kr/web/ar/lu/luLandDet.jsp?pnu=3611035024103170003&amp;isNoScr=script&amp;mode=search", "토지이음")</f>
        <v/>
      </c>
      <c r="S1237" s="3" t="inlineStr">
        <is>
          <t>황제</t>
        </is>
      </c>
      <c r="T1237" s="4" t="n">
        <v>1</v>
      </c>
      <c r="U1237" s="5" t="n">
        <v>332.2</v>
      </c>
      <c r="V1237" s="4" t="n">
        <v>530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319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200</v>
      </c>
      <c r="H1238" s="4" t="n">
        <v>31</v>
      </c>
      <c r="I1238" s="4" t="n">
        <v>24</v>
      </c>
      <c r="J1238" s="4" t="n">
        <v>7</v>
      </c>
      <c r="K1238" s="5" t="n">
        <v>4.4</v>
      </c>
      <c r="L1238" s="4" t="n">
        <v>20</v>
      </c>
      <c r="M1238" s="4" t="n">
        <v>6</v>
      </c>
      <c r="N1238" s="5" t="n">
        <v>5.2</v>
      </c>
      <c r="O1238" s="3" t="inlineStr">
        <is>
          <t>000 분리형 원룸 000</t>
        </is>
      </c>
      <c r="P1238" s="6">
        <f>HYPERLINK("https://fin.land.naver.com/articles/2655051655", "매물Link")</f>
        <v/>
      </c>
      <c r="Q1238" s="6">
        <f>HYPERLINK("https://map.naver.com/p/search/장군면 봉안리 319", "지도Link")</f>
        <v/>
      </c>
      <c r="R1238" s="6">
        <f>HYPERLINK("http://www.eum.go.kr/web/ar/lu/luLandDet.jsp?pnu=3611035024103190000&amp;isNoScr=script&amp;mode=search",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332.2</v>
      </c>
      <c r="V1238" s="4" t="n">
        <v>487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319-4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30</v>
      </c>
      <c r="I1239" s="4" t="n">
        <v>25</v>
      </c>
      <c r="J1239" s="4" t="n">
        <v>8</v>
      </c>
      <c r="K1239" s="5" t="n">
        <v>3.8</v>
      </c>
      <c r="L1239" s="4" t="n">
        <v>24</v>
      </c>
      <c r="M1239" s="4" t="n">
        <v>7</v>
      </c>
      <c r="N1239" s="5" t="n">
        <v>4.3</v>
      </c>
      <c r="O1239" s="3" t="inlineStr">
        <is>
          <t>청사 근접 큰원룸 딱 좋아,주변 맛집및 편의점인접 넘좋아요</t>
        </is>
      </c>
      <c r="P1239" s="6">
        <f>HYPERLINK("https://fin.land.naver.com/articles/2655093831", "매물Link")</f>
        <v/>
      </c>
      <c r="Q1239" s="6">
        <f>HYPERLINK("https://map.naver.com/p/search/장군면 봉안리 319-4", "지도Link")</f>
        <v/>
      </c>
      <c r="R1239" s="6">
        <f>HYPERLINK("http://www.eum.go.kr/web/ar/lu/luLandDet.jsp?pnu=3611035024103190004&amp;isNoScr=script&amp;mode=search",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335.9</v>
      </c>
      <c r="V1239" s="4" t="n">
        <v>481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319-4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200</v>
      </c>
      <c r="H1240" s="4" t="n">
        <v>30</v>
      </c>
      <c r="I1240" s="4" t="n">
        <v>24</v>
      </c>
      <c r="J1240" s="4" t="n">
        <v>7</v>
      </c>
      <c r="K1240" s="5" t="n">
        <v>4.3</v>
      </c>
      <c r="L1240" s="4" t="n">
        <v>20</v>
      </c>
      <c r="M1240" s="4" t="n">
        <v>6</v>
      </c>
      <c r="N1240" s="5" t="n">
        <v>5</v>
      </c>
      <c r="O1240" s="3" t="inlineStr">
        <is>
          <t>nan</t>
        </is>
      </c>
      <c r="P1240" s="6">
        <f>HYPERLINK("https://fin.land.naver.com/articles/2655085629", "매물Link")</f>
        <v/>
      </c>
      <c r="Q1240" s="6">
        <f>HYPERLINK("https://map.naver.com/p/search/장군면 봉안리 319-4", "지도Link")</f>
        <v/>
      </c>
      <c r="R1240" s="6">
        <f>HYPERLINK("http://www.eum.go.kr/web/ar/lu/luLandDet.jsp?pnu=3611035024103190004&amp;isNoScr=script&amp;mode=search",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335.9</v>
      </c>
      <c r="V1240" s="4" t="n">
        <v>481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봉안리 326-12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4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300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000 분리형 원룸 타운하우스   000</t>
        </is>
      </c>
      <c r="P1241" s="6">
        <f>HYPERLINK("https://fin.land.naver.com/articles/2654155980", "매물Link")</f>
        <v/>
      </c>
      <c r="Q1241" s="6">
        <f>HYPERLINK("https://map.naver.com/p/search/장군면 봉안리 326-12", "지도Link")</f>
        <v/>
      </c>
      <c r="R1241" s="6">
        <f>HYPERLINK("http://www.eum.go.kr/web/ar/lu/luLandDet.jsp?pnu=3611035024103260012&amp;isNoScr=script&amp;mode=search", "토지이음")</f>
        <v/>
      </c>
      <c r="S1241" s="3" t="inlineStr">
        <is>
          <t>신황제</t>
        </is>
      </c>
      <c r="T1241" s="4" t="n">
        <v>1</v>
      </c>
      <c r="U1241" s="5" t="n">
        <v>332.2</v>
      </c>
      <c r="V1241" s="4" t="n">
        <v>353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정방형</t>
        </is>
      </c>
      <c r="AA1241" s="3" t="inlineStr">
        <is>
          <t>세로한면(가)</t>
        </is>
      </c>
    </row>
    <row r="1242">
      <c r="A1242" s="3" t="inlineStr">
        <is>
          <t>장군면 봉안리 327-1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단독</t>
        </is>
      </c>
      <c r="F1242" s="3" t="inlineStr">
        <is>
          <t>월세</t>
        </is>
      </c>
      <c r="G1242" s="4" t="n">
        <v>5000</v>
      </c>
      <c r="H1242" s="4" t="n">
        <v>20</v>
      </c>
      <c r="I1242" s="4" t="n">
        <v>40</v>
      </c>
      <c r="J1242" s="4" t="n">
        <v>12</v>
      </c>
      <c r="K1242" s="5" t="n">
        <v>1.7</v>
      </c>
      <c r="L1242" s="4" t="n">
        <v>38</v>
      </c>
      <c r="M1242" s="4" t="n">
        <v>11</v>
      </c>
      <c r="N1242" s="5" t="n">
        <v>1.8</v>
      </c>
      <c r="O1242" s="3" t="inlineStr">
        <is>
          <t>큰길가, 도로변,대중교통 이용 편리한 깔끔 복층 투룸 반전세</t>
        </is>
      </c>
      <c r="P1242" s="6">
        <f>HYPERLINK("https://fin.land.naver.com/articles/2654487856", "매물Link")</f>
        <v/>
      </c>
      <c r="Q1242" s="6">
        <f>HYPERLINK("https://map.naver.com/p/search/장군면 봉안리 327-1", "지도Link")</f>
        <v/>
      </c>
      <c r="R1242" s="6">
        <f>HYPERLINK("http://www.eum.go.kr/web/ar/lu/luLandDet.jsp?pnu=3611035024103270001&amp;isNoScr=script&amp;mode=search",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332.2</v>
      </c>
      <c r="V1242" s="4" t="n">
        <v>335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327-1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전세</t>
        </is>
      </c>
      <c r="G1243" s="4" t="n">
        <v>7300</v>
      </c>
      <c r="H1243" s="4" t="n">
        <v>0</v>
      </c>
      <c r="I1243" s="4" t="n">
        <v>40</v>
      </c>
      <c r="J1243" s="4" t="n">
        <v>12</v>
      </c>
      <c r="K1243" s="5" t="n">
        <v>608.3</v>
      </c>
      <c r="L1243" s="4" t="n">
        <v>38</v>
      </c>
      <c r="M1243" s="4" t="n">
        <v>11</v>
      </c>
      <c r="N1243" s="5" t="n">
        <v>663.6</v>
      </c>
      <c r="O1243" s="3" t="inlineStr">
        <is>
          <t>새롬동,나성동10분 , 도로변, 깔끔 복층 투룸 전세</t>
        </is>
      </c>
      <c r="P1243" s="6">
        <f>HYPERLINK("https://fin.land.naver.com/articles/2655032709", "매물Link")</f>
        <v/>
      </c>
      <c r="Q1243" s="6">
        <f>HYPERLINK("https://map.naver.com/p/search/장군면 봉안리 327-1", "지도Link")</f>
        <v/>
      </c>
      <c r="R1243" s="6">
        <f>HYPERLINK("http://www.eum.go.kr/web/ar/lu/luLandDet.jsp?pnu=3611035024103270001&amp;isNoScr=script&amp;mode=search",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332.2</v>
      </c>
      <c r="V1243" s="4" t="n">
        <v>335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327-6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31</v>
      </c>
      <c r="I1244" s="4" t="n">
        <v>23</v>
      </c>
      <c r="J1244" s="4" t="n">
        <v>7</v>
      </c>
      <c r="K1244" s="5" t="n">
        <v>4.4</v>
      </c>
      <c r="L1244" s="4" t="n">
        <v>21</v>
      </c>
      <c r="M1244" s="4" t="n">
        <v>6</v>
      </c>
      <c r="N1244" s="5" t="n">
        <v>5.2</v>
      </c>
      <c r="O1244" s="3" t="inlineStr">
        <is>
          <t>깔끔하고 깨끗한방  햇빛잘드는방 남향세종청사 가까운 도생st 원룸</t>
        </is>
      </c>
      <c r="P1244" s="6">
        <f>HYPERLINK("https://fin.land.naver.com/articles/2655245300", "매물Link")</f>
        <v/>
      </c>
      <c r="Q1244" s="6">
        <f>HYPERLINK("https://map.naver.com/p/search/장군면 봉안리 327-6", "지도Link")</f>
        <v/>
      </c>
      <c r="R1244" s="6">
        <f>HYPERLINK("http://www.eum.go.kr/web/ar/lu/luLandDet.jsp?pnu=3611035024103270006&amp;isNoScr=script&amp;mode=search",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332.2</v>
      </c>
      <c r="V1244" s="4" t="n">
        <v>362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가로장방</t>
        </is>
      </c>
      <c r="AA1244" s="3" t="inlineStr">
        <is>
          <t>세로한면(가)</t>
        </is>
      </c>
    </row>
    <row r="1245">
      <c r="A1245" s="3" t="inlineStr">
        <is>
          <t>장군면 봉안리 327-6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100</v>
      </c>
      <c r="H1245" s="4" t="n">
        <v>31</v>
      </c>
      <c r="I1245" s="4" t="n">
        <v>24</v>
      </c>
      <c r="J1245" s="4" t="n">
        <v>7</v>
      </c>
      <c r="K1245" s="5" t="n">
        <v>4.4</v>
      </c>
      <c r="L1245" s="4" t="n">
        <v>20</v>
      </c>
      <c r="M1245" s="4" t="n">
        <v>6</v>
      </c>
      <c r="N1245" s="5" t="n">
        <v>5.2</v>
      </c>
      <c r="O1245" s="3" t="inlineStr">
        <is>
          <t>000 내국인 타운하우스,청사인접 00</t>
        </is>
      </c>
      <c r="P1245" s="6">
        <f>HYPERLINK("https://fin.land.naver.com/articles/2655074519", "매물Link")</f>
        <v/>
      </c>
      <c r="Q1245" s="6">
        <f>HYPERLINK("https://map.naver.com/p/search/장군면 봉안리 327-6", "지도Link")</f>
        <v/>
      </c>
      <c r="R1245" s="6">
        <f>HYPERLINK("http://www.eum.go.kr/web/ar/lu/luLandDet.jsp?pnu=3611035024103270006&amp;isNoScr=script&amp;mode=search", "토지이음")</f>
        <v/>
      </c>
      <c r="S1245" s="3" t="inlineStr">
        <is>
          <t>신황제</t>
        </is>
      </c>
      <c r="T1245" s="4" t="n">
        <v>1</v>
      </c>
      <c r="U1245" s="5" t="n">
        <v>332.2</v>
      </c>
      <c r="V1245" s="4" t="n">
        <v>362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가로장방</t>
        </is>
      </c>
      <c r="AA1245" s="3" t="inlineStr">
        <is>
          <t>세로한면(가)</t>
        </is>
      </c>
    </row>
    <row r="1246">
      <c r="A1246" s="3" t="inlineStr">
        <is>
          <t>장군면 봉안리 327-7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전세</t>
        </is>
      </c>
      <c r="G1246" s="4" t="n">
        <v>4000</v>
      </c>
      <c r="H1246" s="4" t="n">
        <v>0</v>
      </c>
      <c r="I1246" s="4" t="n">
        <v>24</v>
      </c>
      <c r="J1246" s="4" t="n">
        <v>7</v>
      </c>
      <c r="K1246" s="5" t="n">
        <v>571.4</v>
      </c>
      <c r="L1246" s="4" t="n">
        <v>20</v>
      </c>
      <c r="M1246" s="4" t="n">
        <v>6</v>
      </c>
      <c r="N1246" s="5" t="n">
        <v>666.7</v>
      </c>
      <c r="O1246" s="3" t="inlineStr">
        <is>
          <t>고운동5분,아름동10분, 버스정류장주변 책상 풀옵션 귀한원룸 전세</t>
        </is>
      </c>
      <c r="P1246" s="6">
        <f>HYPERLINK("https://fin.land.naver.com/articles/2655637447", "매물Link")</f>
        <v/>
      </c>
      <c r="Q1246" s="6">
        <f>HYPERLINK("https://map.naver.com/p/search/장군면 봉안리 327-7", "지도Link")</f>
        <v/>
      </c>
      <c r="R1246" s="6">
        <f>HYPERLINK("http://www.eum.go.kr/web/ar/lu/luLandDet.jsp?pnu=3611035024103270007&amp;isNoScr=script&amp;mode=search",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335.9</v>
      </c>
      <c r="V1246" s="4" t="n">
        <v>362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341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30</v>
      </c>
      <c r="I1247" s="4" t="n">
        <v>24</v>
      </c>
      <c r="J1247" s="4" t="n">
        <v>7</v>
      </c>
      <c r="K1247" s="5" t="n">
        <v>4.3</v>
      </c>
      <c r="L1247" s="4" t="n">
        <v>20</v>
      </c>
      <c r="M1247" s="4" t="n">
        <v>6</v>
      </c>
      <c r="N1247" s="5" t="n">
        <v>5</v>
      </c>
      <c r="O1247" s="3" t="inlineStr">
        <is>
          <t>000 버스 승강장 부근 ,주차좋은 원룸  000</t>
        </is>
      </c>
      <c r="P1247" s="6">
        <f>HYPERLINK("https://fin.land.naver.com/articles/2654493360", "매물Link")</f>
        <v/>
      </c>
      <c r="Q1247" s="6">
        <f>HYPERLINK("https://map.naver.com/p/search/장군면 봉안리 341", "지도Link")</f>
        <v/>
      </c>
      <c r="R1247" s="6">
        <f>HYPERLINK("http://www.eum.go.kr/web/ar/lu/luLandDet.jsp?pnu=3611035024103410000&amp;isNoScr=script&amp;mode=search",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312.3</v>
      </c>
      <c r="V1247" s="4" t="n">
        <v>553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341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4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30</v>
      </c>
      <c r="I1248" s="4" t="n">
        <v>24</v>
      </c>
      <c r="J1248" s="4" t="n">
        <v>7</v>
      </c>
      <c r="K1248" s="5" t="n">
        <v>4.3</v>
      </c>
      <c r="L1248" s="4" t="n">
        <v>20</v>
      </c>
      <c r="M1248" s="4" t="n">
        <v>6</v>
      </c>
      <c r="N1248" s="5" t="n">
        <v>5</v>
      </c>
      <c r="O1248" s="3" t="inlineStr">
        <is>
          <t>000 버스 승강장 부근 ,주차좋은 원룸  000</t>
        </is>
      </c>
      <c r="P1248" s="6">
        <f>HYPERLINK("https://fin.land.naver.com/articles/2654096741", "매물Link")</f>
        <v/>
      </c>
      <c r="Q1248" s="6">
        <f>HYPERLINK("https://map.naver.com/p/search/장군면 봉안리 341", "지도Link")</f>
        <v/>
      </c>
      <c r="R1248" s="6">
        <f>HYPERLINK("http://www.eum.go.kr/web/ar/lu/luLandDet.jsp?pnu=3611035024103410000&amp;isNoScr=script&amp;mode=search", "토지이음")</f>
        <v/>
      </c>
      <c r="S1248" s="3" t="inlineStr">
        <is>
          <t>신황제</t>
        </is>
      </c>
      <c r="T1248" s="4" t="n">
        <v>1</v>
      </c>
      <c r="U1248" s="5" t="n">
        <v>312.3</v>
      </c>
      <c r="V1248" s="4" t="n">
        <v>553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부정형</t>
        </is>
      </c>
      <c r="AA1248" s="3" t="inlineStr">
        <is>
          <t>세로한면(가)</t>
        </is>
      </c>
    </row>
    <row r="1249">
      <c r="A1249" s="3" t="inlineStr">
        <is>
          <t>장군면 봉안리 341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30</v>
      </c>
      <c r="I1249" s="4" t="n">
        <v>26</v>
      </c>
      <c r="J1249" s="4" t="n">
        <v>8</v>
      </c>
      <c r="K1249" s="5" t="n">
        <v>3.8</v>
      </c>
      <c r="L1249" s="4" t="n">
        <v>25</v>
      </c>
      <c r="M1249" s="4" t="n">
        <v>8</v>
      </c>
      <c r="N1249" s="5" t="n">
        <v>3.8</v>
      </c>
      <c r="O1249" s="3" t="inlineStr">
        <is>
          <t>버스정류장인접 방 크고 밝고 깔끔 풀옵션 살기좋은 대형원룸</t>
        </is>
      </c>
      <c r="P1249" s="6">
        <f>HYPERLINK("https://fin.land.naver.com/articles/2654354020", "매물Link")</f>
        <v/>
      </c>
      <c r="Q1249" s="6">
        <f>HYPERLINK("https://map.naver.com/p/search/장군면 봉안리 341", "지도Link")</f>
        <v/>
      </c>
      <c r="R1249" s="6">
        <f>HYPERLINK("http://www.eum.go.kr/web/ar/lu/luLandDet.jsp?pnu=3611035024103410000&amp;isNoScr=script&amp;mode=search", "토지이음")</f>
        <v/>
      </c>
      <c r="S1249" s="3" t="inlineStr">
        <is>
          <t>황제</t>
        </is>
      </c>
      <c r="T1249" s="4" t="n">
        <v>1</v>
      </c>
      <c r="U1249" s="5" t="n">
        <v>312.3</v>
      </c>
      <c r="V1249" s="4" t="n">
        <v>553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봉안리 342-1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23</v>
      </c>
      <c r="J1250" s="4" t="n">
        <v>7</v>
      </c>
      <c r="K1250" s="5" t="n">
        <v>4.3</v>
      </c>
      <c r="L1250" s="4" t="n">
        <v>22</v>
      </c>
      <c r="M1250" s="4" t="n">
        <v>7</v>
      </c>
      <c r="N1250" s="5" t="n">
        <v>4.3</v>
      </c>
      <c r="O1250" s="3" t="inlineStr">
        <is>
          <t>버스 정류장 앞,주차 좋은 분리형 원룸 동남향이라 좋아요</t>
        </is>
      </c>
      <c r="P1250" s="6">
        <f>HYPERLINK("https://fin.land.naver.com/articles/2653110916", "매물Link")</f>
        <v/>
      </c>
      <c r="Q1250" s="6">
        <f>HYPERLINK("https://map.naver.com/p/search/장군면 봉안리 342-1", "지도Link")</f>
        <v/>
      </c>
      <c r="R1250" s="6">
        <f>HYPERLINK("http://www.eum.go.kr/web/ar/lu/luLandDet.jsp?pnu=3611035024103420001&amp;isNoScr=script&amp;mode=search", "토지이음")</f>
        <v/>
      </c>
      <c r="S1250" s="3" t="inlineStr">
        <is>
          <t>황제</t>
        </is>
      </c>
      <c r="T1250" s="4" t="n">
        <v>1</v>
      </c>
      <c r="U1250" s="5" t="n">
        <v>363.3</v>
      </c>
      <c r="V1250" s="4" t="n">
        <v>357</v>
      </c>
      <c r="W1250" s="3" t="inlineStr">
        <is>
          <t>지정되지않음</t>
        </is>
      </c>
      <c r="X1250" s="3" t="inlineStr">
        <is>
          <t>주상기타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소로한면</t>
        </is>
      </c>
    </row>
    <row r="1251">
      <c r="A1251" s="3" t="inlineStr">
        <is>
          <t>장군면 봉안리 342-1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28</v>
      </c>
      <c r="I1251" s="4" t="n">
        <v>24</v>
      </c>
      <c r="J1251" s="4" t="n">
        <v>7</v>
      </c>
      <c r="K1251" s="5" t="n">
        <v>4</v>
      </c>
      <c r="L1251" s="4" t="n">
        <v>20</v>
      </c>
      <c r="M1251" s="4" t="n">
        <v>6</v>
      </c>
      <c r="N1251" s="5" t="n">
        <v>4.7</v>
      </c>
      <c r="O1251" s="3" t="inlineStr">
        <is>
          <t>000 봉안리초입 도시가스 초저가,분리형 원룸 000</t>
        </is>
      </c>
      <c r="P1251" s="6">
        <f>HYPERLINK("https://fin.land.naver.com/articles/2653048561", "매물Link")</f>
        <v/>
      </c>
      <c r="Q1251" s="6">
        <f>HYPERLINK("https://map.naver.com/p/search/장군면 봉안리 342-1", "지도Link")</f>
        <v/>
      </c>
      <c r="R1251" s="6">
        <f>HYPERLINK("http://www.eum.go.kr/web/ar/lu/luLandDet.jsp?pnu=3611035024103420001&amp;isNoScr=script&amp;mode=search",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363.3</v>
      </c>
      <c r="V1251" s="4" t="n">
        <v>357</v>
      </c>
      <c r="W1251" s="3" t="inlineStr">
        <is>
          <t>지정되지않음</t>
        </is>
      </c>
      <c r="X1251" s="3" t="inlineStr">
        <is>
          <t>주상기타</t>
        </is>
      </c>
      <c r="Y1251" s="3" t="inlineStr">
        <is>
          <t>평지</t>
        </is>
      </c>
      <c r="Z1251" s="3" t="inlineStr">
        <is>
          <t>부정형</t>
        </is>
      </c>
      <c r="AA1251" s="3" t="inlineStr">
        <is>
          <t>소로한면</t>
        </is>
      </c>
    </row>
    <row r="1252">
      <c r="A1252" s="3" t="inlineStr">
        <is>
          <t>장군면 봉안리 342-10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25</v>
      </c>
      <c r="J1252" s="4" t="n">
        <v>8</v>
      </c>
      <c r="K1252" s="5" t="n">
        <v>4.4</v>
      </c>
      <c r="L1252" s="4" t="n">
        <v>21</v>
      </c>
      <c r="M1252" s="4" t="n">
        <v>6</v>
      </c>
      <c r="N1252" s="5" t="n">
        <v>5.8</v>
      </c>
      <c r="O1252" s="3" t="inlineStr">
        <is>
          <t>000 대형 원룸  세종청사, 나성동 인접, 분리형  00</t>
        </is>
      </c>
      <c r="P1252" s="6">
        <f>HYPERLINK("https://fin.land.naver.com/articles/2655595668", "매물Link")</f>
        <v/>
      </c>
      <c r="Q1252" s="6">
        <f>HYPERLINK("https://map.naver.com/p/search/장군면 봉안리 342-10", "지도Link")</f>
        <v/>
      </c>
      <c r="R1252" s="6">
        <f>HYPERLINK("http://www.eum.go.kr/web/ar/lu/luLandDet.jsp?pnu=3611035024103420010&amp;isNoScr=script&amp;mode=search",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363.3</v>
      </c>
      <c r="V1252" s="4" t="n">
        <v>741</v>
      </c>
      <c r="W1252" s="3" t="inlineStr">
        <is>
          <t>지정되지않음</t>
        </is>
      </c>
      <c r="X1252" s="3" t="inlineStr">
        <is>
          <t>주상기타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소로한면</t>
        </is>
      </c>
    </row>
    <row r="1253">
      <c r="A1253" s="3" t="inlineStr">
        <is>
          <t>장군면 봉안리 342-7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단기임대</t>
        </is>
      </c>
      <c r="G1253" s="4" t="n">
        <v>100</v>
      </c>
      <c r="H1253" s="4" t="n">
        <v>30</v>
      </c>
      <c r="I1253" s="4" t="n">
        <v>24</v>
      </c>
      <c r="J1253" s="4" t="n">
        <v>7</v>
      </c>
      <c r="K1253" s="5" t="n">
        <v>14.3</v>
      </c>
      <c r="L1253" s="4" t="n">
        <v>20</v>
      </c>
      <c r="M1253" s="4" t="n">
        <v>6</v>
      </c>
      <c r="N1253" s="5" t="n">
        <v>16.7</v>
      </c>
      <c r="O1253" s="3" t="inlineStr">
        <is>
          <t>000 단기가능 분리형 초저렴 00</t>
        </is>
      </c>
      <c r="P1253" s="6">
        <f>HYPERLINK("https://fin.land.naver.com/articles/2652517559", "매물Link")</f>
        <v/>
      </c>
      <c r="Q1253" s="6">
        <f>HYPERLINK("https://map.naver.com/p/search/장군면 봉안리 342-7", "지도Link")</f>
        <v/>
      </c>
      <c r="R1253" s="6">
        <f>HYPERLINK("http://www.eum.go.kr/web/ar/lu/luLandDet.jsp?pnu=3611035024103420007&amp;isNoScr=script&amp;mode=search", "토지이음")</f>
        <v/>
      </c>
      <c r="S1253" s="3" t="inlineStr">
        <is>
          <t>신황제</t>
        </is>
      </c>
      <c r="T1253" s="4" t="n">
        <v>1</v>
      </c>
      <c r="U1253" s="5" t="n">
        <v>390.7</v>
      </c>
      <c r="V1253" s="4" t="n">
        <v>354</v>
      </c>
      <c r="W1253" s="3" t="inlineStr">
        <is>
          <t>지정되지않음</t>
        </is>
      </c>
      <c r="X1253" s="3" t="inlineStr">
        <is>
          <t>주상기타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소로한면</t>
        </is>
      </c>
    </row>
    <row r="1254">
      <c r="A1254" s="3" t="inlineStr">
        <is>
          <t>장군면 봉안리 342-7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단기임대</t>
        </is>
      </c>
      <c r="G1254" s="4" t="n">
        <v>100</v>
      </c>
      <c r="H1254" s="4" t="n">
        <v>30</v>
      </c>
      <c r="I1254" s="4" t="n">
        <v>24</v>
      </c>
      <c r="J1254" s="4" t="n">
        <v>7</v>
      </c>
      <c r="K1254" s="5" t="n">
        <v>14.3</v>
      </c>
      <c r="L1254" s="4" t="n">
        <v>20</v>
      </c>
      <c r="M1254" s="4" t="n">
        <v>6</v>
      </c>
      <c r="N1254" s="5" t="n">
        <v>16.7</v>
      </c>
      <c r="O1254" s="3" t="inlineStr">
        <is>
          <t>000 단기가능 봉안리 분리형 초저렴 도로변 버스승강장 앞 원룸00</t>
        </is>
      </c>
      <c r="P1254" s="6">
        <f>HYPERLINK("https://fin.land.naver.com/articles/2652520930", "매물Link")</f>
        <v/>
      </c>
      <c r="Q1254" s="6">
        <f>HYPERLINK("https://map.naver.com/p/search/장군면 봉안리 342-7", "지도Link")</f>
        <v/>
      </c>
      <c r="R1254" s="6">
        <f>HYPERLINK("http://www.eum.go.kr/web/ar/lu/luLandDet.jsp?pnu=3611035024103420007&amp;isNoScr=script&amp;mode=search",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390.7</v>
      </c>
      <c r="V1254" s="4" t="n">
        <v>354</v>
      </c>
      <c r="W1254" s="3" t="inlineStr">
        <is>
          <t>지정되지않음</t>
        </is>
      </c>
      <c r="X1254" s="3" t="inlineStr">
        <is>
          <t>주상기타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소로한면</t>
        </is>
      </c>
    </row>
    <row r="1255">
      <c r="A1255" s="3" t="inlineStr">
        <is>
          <t>장군면 봉안리 342-7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버스 정류장 앞 저렴이원룸 나성동 한솔동 10분거리 원룸</t>
        </is>
      </c>
      <c r="P1255" s="6">
        <f>HYPERLINK("https://fin.land.naver.com/articles/2653109183", "매물Link")</f>
        <v/>
      </c>
      <c r="Q1255" s="6">
        <f>HYPERLINK("https://map.naver.com/p/search/장군면 봉안리 342-7", "지도Link")</f>
        <v/>
      </c>
      <c r="R1255" s="6">
        <f>HYPERLINK("http://www.eum.go.kr/web/ar/lu/luLandDet.jsp?pnu=3611035024103420007&amp;isNoScr=script&amp;mode=search",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390.7</v>
      </c>
      <c r="V1255" s="4" t="n">
        <v>354</v>
      </c>
      <c r="W1255" s="3" t="inlineStr">
        <is>
          <t>지정되지않음</t>
        </is>
      </c>
      <c r="X1255" s="3" t="inlineStr">
        <is>
          <t>주상기타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소로한면</t>
        </is>
      </c>
    </row>
    <row r="1256">
      <c r="A1256" s="3" t="inlineStr">
        <is>
          <t>장군면 봉안리 342-7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일반원룸</t>
        </is>
      </c>
      <c r="F1256" s="3" t="inlineStr">
        <is>
          <t>단기임대</t>
        </is>
      </c>
      <c r="G1256" s="4" t="n">
        <v>100</v>
      </c>
      <c r="H1256" s="4" t="n">
        <v>30</v>
      </c>
      <c r="I1256" s="4" t="n">
        <v>24</v>
      </c>
      <c r="J1256" s="4" t="n">
        <v>7</v>
      </c>
      <c r="K1256" s="5" t="n">
        <v>14.3</v>
      </c>
      <c r="L1256" s="4" t="n">
        <v>20</v>
      </c>
      <c r="M1256" s="4" t="n">
        <v>6</v>
      </c>
      <c r="N1256" s="5" t="n">
        <v>16.7</v>
      </c>
      <c r="O1256" s="3" t="inlineStr">
        <is>
          <t>000 단기가능 봉안리 분리형 초저렴 도로변 버스승강장 앞 원룸00</t>
        </is>
      </c>
      <c r="P1256" s="6">
        <f>HYPERLINK("https://fin.land.naver.com/articles/2653157319", "매물Link")</f>
        <v/>
      </c>
      <c r="Q1256" s="6">
        <f>HYPERLINK("https://map.naver.com/p/search/장군면 봉안리 342-7", "지도Link")</f>
        <v/>
      </c>
      <c r="R1256" s="6">
        <f>HYPERLINK("http://www.eum.go.kr/web/ar/lu/luLandDet.jsp?pnu=3611035024103420007&amp;isNoScr=script&amp;mode=search",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390.7</v>
      </c>
      <c r="V1256" s="4" t="n">
        <v>354</v>
      </c>
      <c r="W1256" s="3" t="inlineStr">
        <is>
          <t>지정되지않음</t>
        </is>
      </c>
      <c r="X1256" s="3" t="inlineStr">
        <is>
          <t>주상기타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봉안리 342-8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버스 정류장앞 분리형 풀옵션원룸 세종청사,과기부 10분거리</t>
        </is>
      </c>
      <c r="P1257" s="6">
        <f>HYPERLINK("https://fin.land.naver.com/articles/2654356648", "매물Link")</f>
        <v/>
      </c>
      <c r="Q1257" s="6">
        <f>HYPERLINK("https://map.naver.com/p/search/장군면 봉안리 342-8", "지도Link")</f>
        <v/>
      </c>
      <c r="R1257" s="6">
        <f>HYPERLINK("http://www.eum.go.kr/web/ar/lu/luLandDet.jsp?pnu=3611035024103420008&amp;isNoScr=script&amp;mode=search",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390.7</v>
      </c>
      <c r="V1257" s="4" t="n">
        <v>359</v>
      </c>
      <c r="W1257" s="3" t="inlineStr">
        <is>
          <t>지정되지않음</t>
        </is>
      </c>
      <c r="X1257" s="3" t="inlineStr">
        <is>
          <t>주상기타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봉안리 342-8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83000</v>
      </c>
      <c r="H1258" s="4" t="n">
        <v>0</v>
      </c>
      <c r="I1258" s="4" t="n">
        <v>359</v>
      </c>
      <c r="J1258" s="4" t="n">
        <v>109</v>
      </c>
      <c r="K1258" s="5" t="n">
        <v>761.5</v>
      </c>
      <c r="L1258" s="4" t="n">
        <v>329</v>
      </c>
      <c r="M1258" s="4" t="n">
        <v>100</v>
      </c>
      <c r="N1258" s="5" t="n">
        <v>830</v>
      </c>
      <c r="O1258" s="3" t="inlineStr">
        <is>
          <t>000 버스 정류장 도로변 수익형 다가구 000</t>
        </is>
      </c>
      <c r="P1258" s="6">
        <f>HYPERLINK("https://fin.land.naver.com/articles/2653976220", "매물Link")</f>
        <v/>
      </c>
      <c r="Q1258" s="6">
        <f>HYPERLINK("https://map.naver.com/p/search/장군면 봉안리 342-8", "지도Link")</f>
        <v/>
      </c>
      <c r="R1258" s="6">
        <f>HYPERLINK("http://www.eum.go.kr/web/ar/lu/luLandDet.jsp?pnu=3611035024103420008&amp;isNoScr=script&amp;mode=search",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390.7</v>
      </c>
      <c r="V1258" s="4" t="n">
        <v>359</v>
      </c>
      <c r="W1258" s="3" t="inlineStr">
        <is>
          <t>지정되지않음</t>
        </is>
      </c>
      <c r="X1258" s="3" t="inlineStr">
        <is>
          <t>주상기타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소로한면</t>
        </is>
      </c>
    </row>
    <row r="1259">
      <c r="A1259" s="3" t="inlineStr">
        <is>
          <t>장군면 봉안리 342-8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83000</v>
      </c>
      <c r="H1259" s="4" t="n">
        <v>0</v>
      </c>
      <c r="I1259" s="4" t="n">
        <v>359</v>
      </c>
      <c r="J1259" s="4" t="n">
        <v>109</v>
      </c>
      <c r="K1259" s="5" t="n">
        <v>761.5</v>
      </c>
      <c r="L1259" s="4" t="n">
        <v>326</v>
      </c>
      <c r="M1259" s="4" t="n">
        <v>99</v>
      </c>
      <c r="N1259" s="5" t="n">
        <v>838.4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HYPERLINK("https://fin.land.naver.com/articles/2653777805", "매물Link")</f>
        <v/>
      </c>
      <c r="Q1259" s="6">
        <f>HYPERLINK("https://map.naver.com/p/search/장군면 봉안리 342-8", "지도Link")</f>
        <v/>
      </c>
      <c r="R1259" s="6">
        <f>HYPERLINK("http://www.eum.go.kr/web/ar/lu/luLandDet.jsp?pnu=3611035024103420008&amp;isNoScr=script&amp;mode=search",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390.7</v>
      </c>
      <c r="V1259" s="4" t="n">
        <v>359</v>
      </c>
      <c r="W1259" s="3" t="inlineStr">
        <is>
          <t>지정되지않음</t>
        </is>
      </c>
      <c r="X1259" s="3" t="inlineStr">
        <is>
          <t>주상기타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소로한면</t>
        </is>
      </c>
    </row>
    <row r="1260">
      <c r="A1260" s="3" t="inlineStr">
        <is>
          <t>장군면 봉안리 377-13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단독</t>
        </is>
      </c>
      <c r="F1260" s="3" t="inlineStr">
        <is>
          <t>월세</t>
        </is>
      </c>
      <c r="G1260" s="4" t="n">
        <v>300</v>
      </c>
      <c r="H1260" s="4" t="n">
        <v>65</v>
      </c>
      <c r="I1260" s="4" t="n">
        <v>42</v>
      </c>
      <c r="J1260" s="4" t="n">
        <v>13</v>
      </c>
      <c r="K1260" s="5" t="n">
        <v>5</v>
      </c>
      <c r="L1260" s="4" t="n">
        <v>38</v>
      </c>
      <c r="M1260" s="4" t="n">
        <v>11</v>
      </c>
      <c r="N1260" s="5" t="n">
        <v>5.9</v>
      </c>
      <c r="O1260" s="3" t="inlineStr">
        <is>
          <t>대출없음. 큰길가,버스정류장 주변,거실있는 투룸 월세</t>
        </is>
      </c>
      <c r="P1260" s="6">
        <f>HYPERLINK("https://fin.land.naver.com/articles/2654689176", "매물Link")</f>
        <v/>
      </c>
      <c r="Q1260" s="6">
        <f>HYPERLINK("https://map.naver.com/p/search/장군면 봉안리 377-13", "지도Link")</f>
        <v/>
      </c>
      <c r="R1260" s="6">
        <f>HYPERLINK("http://www.eum.go.kr/web/ar/lu/luLandDet.jsp?pnu=3611035024103770013&amp;isNoScr=script&amp;mode=search",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540.5</v>
      </c>
      <c r="V1260" s="4" t="n">
        <v>672</v>
      </c>
      <c r="W1260" s="3" t="inlineStr">
        <is>
          <t>지정되지않음</t>
        </is>
      </c>
      <c r="X1260" s="3" t="inlineStr">
        <is>
          <t>상업용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439-10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100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20</v>
      </c>
      <c r="M1261" s="4" t="n">
        <v>6</v>
      </c>
      <c r="N1261" s="5" t="n">
        <v>5</v>
      </c>
      <c r="O1261" s="3" t="inlineStr">
        <is>
          <t>000 봉안리 추천매물 승강장부근000</t>
        </is>
      </c>
      <c r="P1261" s="6">
        <f>HYPERLINK("https://fin.land.naver.com/articles/2652699994", "매물Link")</f>
        <v/>
      </c>
      <c r="Q1261" s="6">
        <f>HYPERLINK("https://map.naver.com/p/search/장군면 봉안리 439-10", "지도Link")</f>
        <v/>
      </c>
      <c r="R1261" s="6">
        <f>HYPERLINK("http://www.eum.go.kr/web/ar/lu/luLandDet.jsp?pnu=3611035024104390010&amp;isNoScr=script&amp;mode=search",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312.3</v>
      </c>
      <c r="V1261" s="4" t="n">
        <v>306</v>
      </c>
      <c r="W1261" s="3" t="inlineStr">
        <is>
          <t>지정되지않음</t>
        </is>
      </c>
      <c r="X1261" s="3" t="inlineStr">
        <is>
          <t>다세대</t>
        </is>
      </c>
      <c r="Y1261" s="3" t="inlineStr">
        <is>
          <t>평지</t>
        </is>
      </c>
      <c r="Z1261" s="3" t="inlineStr">
        <is>
          <t>부정형</t>
        </is>
      </c>
      <c r="AA1261" s="3" t="inlineStr">
        <is>
          <t>세로한면(가)</t>
        </is>
      </c>
    </row>
    <row r="1262">
      <c r="A1262" s="3" t="inlineStr">
        <is>
          <t>장군면 봉안리 439-10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nan</t>
        </is>
      </c>
      <c r="P1262" s="6">
        <f>HYPERLINK("https://fin.land.naver.com/articles/2653049577", "매물Link")</f>
        <v/>
      </c>
      <c r="Q1262" s="6">
        <f>HYPERLINK("https://map.naver.com/p/search/장군면 봉안리 439-10", "지도Link")</f>
        <v/>
      </c>
      <c r="R1262" s="6">
        <f>HYPERLINK("http://www.eum.go.kr/web/ar/lu/luLandDet.jsp?pnu=3611035024104390010&amp;isNoScr=script&amp;mode=search",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312.3</v>
      </c>
      <c r="V1262" s="4" t="n">
        <v>306</v>
      </c>
      <c r="W1262" s="3" t="inlineStr">
        <is>
          <t>지정되지않음</t>
        </is>
      </c>
      <c r="X1262" s="3" t="inlineStr">
        <is>
          <t>다세대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봉안리 439-12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85000</v>
      </c>
      <c r="H1263" s="4" t="n">
        <v>0</v>
      </c>
      <c r="I1263" s="4" t="n">
        <v>306</v>
      </c>
      <c r="J1263" s="4" t="n">
        <v>93</v>
      </c>
      <c r="K1263" s="5" t="n">
        <v>914</v>
      </c>
      <c r="L1263" s="4" t="n">
        <v>301</v>
      </c>
      <c r="M1263" s="4" t="n">
        <v>91</v>
      </c>
      <c r="N1263" s="5" t="n">
        <v>934.1</v>
      </c>
      <c r="O1263" s="3" t="inlineStr">
        <is>
          <t>장군면 봉안리 도로변 다가구 주택</t>
        </is>
      </c>
      <c r="P1263" s="6">
        <f>HYPERLINK("https://fin.land.naver.com/articles/2651430775", "매물Link")</f>
        <v/>
      </c>
      <c r="Q1263" s="6">
        <f>HYPERLINK("https://map.naver.com/p/search/장군면 봉안리 439-12", "지도Link")</f>
        <v/>
      </c>
      <c r="R1263" s="6">
        <f>HYPERLINK("http://www.eum.go.kr/web/ar/lu/luLandDet.jsp?pnu=3611035024104390012&amp;isNoScr=script&amp;mode=search", "토지이음")</f>
        <v/>
      </c>
      <c r="S1263" s="3" t="inlineStr">
        <is>
          <t>세종천지</t>
        </is>
      </c>
      <c r="T1263" s="4" t="n">
        <v>1</v>
      </c>
      <c r="U1263" s="5" t="n">
        <v>363.3</v>
      </c>
      <c r="V1263" s="4" t="n">
        <v>306</v>
      </c>
      <c r="W1263" s="3" t="inlineStr">
        <is>
          <t>지정되지않음</t>
        </is>
      </c>
      <c r="X1263" s="3" t="inlineStr">
        <is>
          <t>주상기타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소로한면</t>
        </is>
      </c>
    </row>
    <row r="1264">
      <c r="A1264" s="3" t="inlineStr">
        <is>
          <t>장군면 봉안리 439-8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29</v>
      </c>
      <c r="J1264" s="4" t="n">
        <v>9</v>
      </c>
      <c r="K1264" s="5" t="n">
        <v>3.9</v>
      </c>
      <c r="L1264" s="4" t="n">
        <v>25</v>
      </c>
      <c r="M1264" s="4" t="n">
        <v>8</v>
      </c>
      <c r="N1264" s="5" t="n">
        <v>4.4</v>
      </c>
      <c r="O1264" s="3" t="inlineStr">
        <is>
          <t>세종시 장군면 넒은 원룸 풀옵션</t>
        </is>
      </c>
      <c r="P1264" s="6">
        <f>HYPERLINK("https://fin.land.naver.com/articles/2652737933", "매물Link")</f>
        <v/>
      </c>
      <c r="Q1264" s="6">
        <f>HYPERLINK("https://map.naver.com/p/search/장군면 봉안리 439-8", "지도Link")</f>
        <v/>
      </c>
      <c r="R1264" s="6">
        <f>HYPERLINK("http://www.eum.go.kr/web/ar/lu/luLandDet.jsp?pnu=3611035024104390008&amp;isNoScr=script&amp;mode=search", "토지이음")</f>
        <v/>
      </c>
      <c r="S1264" s="3" t="inlineStr">
        <is>
          <t>황금</t>
        </is>
      </c>
      <c r="T1264" s="4" t="n">
        <v>1</v>
      </c>
      <c r="U1264" s="5" t="n">
        <v>399</v>
      </c>
      <c r="V1264" s="4" t="n">
        <v>755</v>
      </c>
      <c r="W1264" s="3" t="inlineStr">
        <is>
          <t>지정되지않음</t>
        </is>
      </c>
      <c r="X1264" s="3" t="inlineStr">
        <is>
          <t>주상용</t>
        </is>
      </c>
      <c r="Y1264" s="3" t="inlineStr">
        <is>
          <t>평지</t>
        </is>
      </c>
      <c r="Z1264" s="3" t="inlineStr">
        <is>
          <t>세로장방</t>
        </is>
      </c>
      <c r="AA1264" s="3" t="inlineStr">
        <is>
          <t>소로각지</t>
        </is>
      </c>
    </row>
    <row r="1265">
      <c r="A1265" s="3" t="inlineStr">
        <is>
          <t>장군면 봉안리 439-8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4</t>
        </is>
      </c>
      <c r="E1265" s="3" t="inlineStr">
        <is>
          <t>일반원룸</t>
        </is>
      </c>
      <c r="F1265" s="3" t="inlineStr">
        <is>
          <t>전세</t>
        </is>
      </c>
      <c r="G1265" s="4" t="n">
        <v>5000</v>
      </c>
      <c r="H1265" s="4" t="n">
        <v>0</v>
      </c>
      <c r="I1265" s="4" t="n">
        <v>29</v>
      </c>
      <c r="J1265" s="4" t="n">
        <v>9</v>
      </c>
      <c r="K1265" s="5" t="n">
        <v>555.6</v>
      </c>
      <c r="L1265" s="4" t="n">
        <v>25</v>
      </c>
      <c r="M1265" s="4" t="n">
        <v>8</v>
      </c>
      <c r="N1265" s="5" t="n">
        <v>625</v>
      </c>
      <c r="O1265" s="3" t="inlineStr">
        <is>
          <t>세종시 장군면 풀옵션 원룸 전세</t>
        </is>
      </c>
      <c r="P1265" s="6">
        <f>HYPERLINK("https://fin.land.naver.com/articles/2653914191", "매물Link")</f>
        <v/>
      </c>
      <c r="Q1265" s="6">
        <f>HYPERLINK("https://map.naver.com/p/search/장군면 봉안리 439-8", "지도Link")</f>
        <v/>
      </c>
      <c r="R1265" s="6">
        <f>HYPERLINK("http://www.eum.go.kr/web/ar/lu/luLandDet.jsp?pnu=3611035024104390008&amp;isNoScr=script&amp;mode=search", "토지이음")</f>
        <v/>
      </c>
      <c r="S1265" s="3" t="inlineStr">
        <is>
          <t>황금</t>
        </is>
      </c>
      <c r="T1265" s="4" t="n">
        <v>1</v>
      </c>
      <c r="U1265" s="5" t="n">
        <v>399</v>
      </c>
      <c r="V1265" s="4" t="n">
        <v>755</v>
      </c>
      <c r="W1265" s="3" t="inlineStr">
        <is>
          <t>지정되지않음</t>
        </is>
      </c>
      <c r="X1265" s="3" t="inlineStr">
        <is>
          <t>주상용</t>
        </is>
      </c>
      <c r="Y1265" s="3" t="inlineStr">
        <is>
          <t>평지</t>
        </is>
      </c>
      <c r="Z1265" s="3" t="inlineStr">
        <is>
          <t>세로장방</t>
        </is>
      </c>
      <c r="AA1265" s="3" t="inlineStr">
        <is>
          <t>소로각지</t>
        </is>
      </c>
    </row>
    <row r="1266">
      <c r="A1266" s="3" t="inlineStr">
        <is>
          <t>장군면 봉안리 451-10</t>
        </is>
      </c>
      <c r="B1266" s="3" t="inlineStr">
        <is>
          <t>보전관리지역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전원주택</t>
        </is>
      </c>
      <c r="F1266" s="3" t="inlineStr">
        <is>
          <t>매매</t>
        </is>
      </c>
      <c r="G1266" s="4" t="n">
        <v>99000</v>
      </c>
      <c r="H1266" s="4" t="n">
        <v>0</v>
      </c>
      <c r="I1266" s="4" t="n">
        <v>672</v>
      </c>
      <c r="J1266" s="4" t="n">
        <v>203</v>
      </c>
      <c r="K1266" s="5" t="n">
        <v>487.7</v>
      </c>
      <c r="L1266" s="4" t="n">
        <v>416</v>
      </c>
      <c r="M1266" s="4" t="n">
        <v>126</v>
      </c>
      <c r="N1266" s="5" t="n">
        <v>785.7</v>
      </c>
      <c r="O1266" s="3" t="inlineStr">
        <is>
          <t>급매 관리최상 조망최상 온수풀 별채방갈로 방3개 욕실3개 주차4대</t>
        </is>
      </c>
      <c r="P1266" s="6">
        <f>HYPERLINK("https://fin.land.naver.com/articles/2652439528", "매물Link")</f>
        <v/>
      </c>
      <c r="Q1266" s="6">
        <f>HYPERLINK("https://map.naver.com/p/search/장군면 봉안리 451-10", "지도Link")</f>
        <v/>
      </c>
      <c r="R1266" s="6">
        <f>HYPERLINK("http://www.eum.go.kr/web/ar/lu/luLandDet.jsp?pnu=3611035024104510010&amp;isNoScr=script&amp;mode=search", "토지이음")</f>
        <v/>
      </c>
      <c r="S1266" s="3" t="inlineStr">
        <is>
          <t>세종스타</t>
        </is>
      </c>
      <c r="T1266" s="4" t="n">
        <v>1</v>
      </c>
      <c r="U1266" s="5" t="n">
        <v>193.8</v>
      </c>
      <c r="V1266" s="4" t="n">
        <v>672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완경사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송문리 356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매매</t>
        </is>
      </c>
      <c r="G1267" s="4" t="n">
        <v>32000</v>
      </c>
      <c r="H1267" s="4" t="n">
        <v>0</v>
      </c>
      <c r="I1267" s="4" t="n">
        <v>445</v>
      </c>
      <c r="J1267" s="4" t="n">
        <v>135</v>
      </c>
      <c r="K1267" s="5" t="n">
        <v>237</v>
      </c>
      <c r="L1267" s="4" t="n">
        <v>95</v>
      </c>
      <c r="M1267" s="4" t="n">
        <v>29</v>
      </c>
      <c r="N1267" s="5" t="n">
        <v>1103.4</v>
      </c>
      <c r="O1267" s="3" t="inlineStr">
        <is>
          <t>H해온H 급매, 세종시 장군면 조용한 전원생활 최적지, 차고, 텃밭,</t>
        </is>
      </c>
      <c r="P1267" s="6">
        <f>HYPERLINK("https://fin.land.naver.com/articles/2655494592", "매물Link")</f>
        <v/>
      </c>
      <c r="Q1267" s="6">
        <f>HYPERLINK("https://map.naver.com/p/search/장군면 송문리 356", "지도Link")</f>
        <v/>
      </c>
      <c r="R1267" s="6">
        <f>HYPERLINK("http://www.eum.go.kr/web/ar/lu/luLandDet.jsp?pnu=3611035029103560000&amp;isNoScr=script&amp;mode=search", "토지이음")</f>
        <v/>
      </c>
      <c r="S1267" s="3" t="inlineStr">
        <is>
          <t>세종해온</t>
        </is>
      </c>
      <c r="T1267" s="4" t="n">
        <v>2</v>
      </c>
      <c r="U1267" s="5" t="n">
        <v>74.3</v>
      </c>
      <c r="V1267" s="4" t="n">
        <v>445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송문리 40-1</t>
        </is>
      </c>
      <c r="B1268" s="3" t="inlineStr">
        <is>
          <t>보전관리지역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전원주택</t>
        </is>
      </c>
      <c r="F1268" s="3" t="inlineStr">
        <is>
          <t>매매</t>
        </is>
      </c>
      <c r="G1268" s="4" t="n">
        <v>63000</v>
      </c>
      <c r="H1268" s="4" t="n">
        <v>0</v>
      </c>
      <c r="I1268" s="4" t="n">
        <v>554</v>
      </c>
      <c r="J1268" s="4" t="n">
        <v>168</v>
      </c>
      <c r="K1268" s="5" t="n">
        <v>375</v>
      </c>
      <c r="L1268" s="4" t="n">
        <v>130</v>
      </c>
      <c r="M1268" s="4" t="n">
        <v>39</v>
      </c>
      <c r="N1268" s="5" t="n">
        <v>1615.4</v>
      </c>
      <c r="O1268" s="3" t="inlineStr">
        <is>
          <t>시야가 뻥뚫렸음,조용하고 아늑한 그리고 시원함도 덤</t>
        </is>
      </c>
      <c r="P1268" s="6">
        <f>HYPERLINK("https://fin.land.naver.com/articles/2655175935", "매물Link")</f>
        <v/>
      </c>
      <c r="Q1268" s="6">
        <f>HYPERLINK("https://map.naver.com/p/search/장군면 송문리 40-1", "지도Link")</f>
        <v/>
      </c>
      <c r="R1268" s="6">
        <f>HYPERLINK("http://www.eum.go.kr/web/ar/lu/luLandDet.jsp?pnu=3611035029100400001&amp;isNoScr=script&amp;mode=search", "토지이음")</f>
        <v/>
      </c>
      <c r="S1268" s="3" t="inlineStr">
        <is>
          <t>세종공주제일</t>
        </is>
      </c>
      <c r="T1268" s="4" t="n">
        <v>2</v>
      </c>
      <c r="U1268" s="5" t="n">
        <v>82.3</v>
      </c>
      <c r="V1268" s="4" t="n">
        <v>554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세로장방</t>
        </is>
      </c>
      <c r="AA1268" s="3" t="inlineStr">
        <is>
          <t>세로한면(가)</t>
        </is>
      </c>
    </row>
    <row r="1269">
      <c r="A1269" s="3" t="inlineStr">
        <is>
          <t>장군면 송문리 40-1</t>
        </is>
      </c>
      <c r="B1269" s="3" t="inlineStr">
        <is>
          <t>보전관리지역</t>
        </is>
      </c>
      <c r="C1269" s="3" t="inlineStr">
        <is>
          <t>대</t>
        </is>
      </c>
      <c r="D1269" s="3" t="inlineStr">
        <is>
          <t>2</t>
        </is>
      </c>
      <c r="E1269" s="3" t="inlineStr">
        <is>
          <t>단독</t>
        </is>
      </c>
      <c r="F1269" s="3" t="inlineStr">
        <is>
          <t>매매</t>
        </is>
      </c>
      <c r="G1269" s="4" t="n">
        <v>63000</v>
      </c>
      <c r="H1269" s="4" t="n">
        <v>0</v>
      </c>
      <c r="I1269" s="4" t="n">
        <v>554</v>
      </c>
      <c r="J1269" s="4" t="n">
        <v>168</v>
      </c>
      <c r="K1269" s="5" t="n">
        <v>375</v>
      </c>
      <c r="L1269" s="4" t="n">
        <v>130</v>
      </c>
      <c r="M1269" s="4" t="n">
        <v>39</v>
      </c>
      <c r="N1269" s="5" t="n">
        <v>1615.4</v>
      </c>
      <c r="O1269" s="3" t="inlineStr">
        <is>
          <t>1층현재커피숍운영중 세종시도심접근성굿 뛰어난조경 관리상태굿</t>
        </is>
      </c>
      <c r="P1269" s="6">
        <f>HYPERLINK("https://fin.land.naver.com/articles/2650937582", "매물Link")</f>
        <v/>
      </c>
      <c r="Q1269" s="6">
        <f>HYPERLINK("https://map.naver.com/p/search/장군면 송문리 40-1", "지도Link")</f>
        <v/>
      </c>
      <c r="R1269" s="6">
        <f>HYPERLINK("http://www.eum.go.kr/web/ar/lu/luLandDet.jsp?pnu=3611035029100400001&amp;isNoScr=script&amp;mode=search", "토지이음")</f>
        <v/>
      </c>
      <c r="S1269" s="3" t="inlineStr">
        <is>
          <t>고운동리치세종</t>
        </is>
      </c>
      <c r="T1269" s="4" t="n">
        <v>1</v>
      </c>
      <c r="U1269" s="5" t="n">
        <v>82.3</v>
      </c>
      <c r="V1269" s="4" t="n">
        <v>554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세로장방</t>
        </is>
      </c>
      <c r="AA1269" s="3" t="inlineStr">
        <is>
          <t>세로한면(가)</t>
        </is>
      </c>
    </row>
    <row r="1270">
      <c r="A1270" s="3" t="inlineStr">
        <is>
          <t>장군면 송학리 440-12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단독</t>
        </is>
      </c>
      <c r="F1270" s="3" t="inlineStr">
        <is>
          <t>매매</t>
        </is>
      </c>
      <c r="G1270" s="4" t="n">
        <v>61000</v>
      </c>
      <c r="H1270" s="4" t="n">
        <v>0</v>
      </c>
      <c r="I1270" s="4" t="n">
        <v>2203</v>
      </c>
      <c r="J1270" s="4" t="n">
        <v>666</v>
      </c>
      <c r="K1270" s="5" t="n">
        <v>91.59999999999999</v>
      </c>
      <c r="L1270" s="4" t="n">
        <v>126</v>
      </c>
      <c r="M1270" s="4" t="n">
        <v>38</v>
      </c>
      <c r="N1270" s="5" t="n">
        <v>1605.3</v>
      </c>
      <c r="O1270" s="3" t="inlineStr">
        <is>
          <t>nan</t>
        </is>
      </c>
      <c r="P1270" s="6">
        <f>HYPERLINK("https://fin.land.naver.com/articles/2650849712", "매물Link")</f>
        <v/>
      </c>
      <c r="Q1270" s="6">
        <f>HYPERLINK("https://map.naver.com/p/search/장군면 송학리 440-12", "지도Link")</f>
        <v/>
      </c>
      <c r="R1270" s="6">
        <f>HYPERLINK("http://www.eum.go.kr/web/ar/lu/luLandDet.jsp?pnu=3611035031104400012&amp;isNoScr=script&amp;mode=search", "토지이음")</f>
        <v/>
      </c>
      <c r="S1270" s="3" t="inlineStr">
        <is>
          <t>세종신한</t>
        </is>
      </c>
      <c r="T1270" s="4" t="n">
        <v>1</v>
      </c>
      <c r="U1270" s="5" t="n">
        <v>72.90000000000001</v>
      </c>
      <c r="V1270" s="4" t="n">
        <v>727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완경사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용암리 390-1</t>
        </is>
      </c>
      <c r="B1271" s="3" t="inlineStr">
        <is>
          <t>생산관리지역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전원주택</t>
        </is>
      </c>
      <c r="F1271" s="3" t="inlineStr">
        <is>
          <t>매매</t>
        </is>
      </c>
      <c r="G1271" s="4" t="n">
        <v>39000</v>
      </c>
      <c r="H1271" s="4" t="n">
        <v>0</v>
      </c>
      <c r="I1271" s="4" t="n">
        <v>810</v>
      </c>
      <c r="J1271" s="4" t="n">
        <v>245</v>
      </c>
      <c r="K1271" s="5" t="n">
        <v>159.2</v>
      </c>
      <c r="L1271" s="4" t="n">
        <v>97</v>
      </c>
      <c r="M1271" s="4" t="n">
        <v>29</v>
      </c>
      <c r="N1271" s="5" t="n">
        <v>1344.8</v>
      </c>
      <c r="O1271" s="3" t="inlineStr">
        <is>
          <t>정남향 조용하고 쾌적한 단독 주택 매매</t>
        </is>
      </c>
      <c r="P1271" s="6">
        <f>HYPERLINK("https://fin.land.naver.com/articles/2651733837", "매물Link")</f>
        <v/>
      </c>
      <c r="Q1271" s="6">
        <f>HYPERLINK("https://map.naver.com/p/search/장군면 용암리 390-1", "지도Link")</f>
        <v/>
      </c>
      <c r="R1271" s="6">
        <f>HYPERLINK("http://www.eum.go.kr/web/ar/lu/luLandDet.jsp?pnu=3611035033103900001&amp;isNoScr=script&amp;mode=search", "토지이음")</f>
        <v/>
      </c>
      <c r="S1271" s="3" t="inlineStr">
        <is>
          <t>THE행복</t>
        </is>
      </c>
      <c r="T1271" s="4" t="n">
        <v>1</v>
      </c>
      <c r="U1271" s="5" t="n">
        <v>32.6</v>
      </c>
      <c r="V1271" s="4" t="n">
        <v>810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완경사</t>
        </is>
      </c>
      <c r="Z1271" s="3" t="inlineStr">
        <is>
          <t>자루형</t>
        </is>
      </c>
      <c r="AA1271" s="3" t="inlineStr">
        <is>
          <t>세로한면(가)</t>
        </is>
      </c>
    </row>
    <row r="1272">
      <c r="A1272" s="3" t="inlineStr">
        <is>
          <t>장군면 용암리 390-1</t>
        </is>
      </c>
      <c r="B1272" s="3" t="inlineStr">
        <is>
          <t>생산관리지역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단독</t>
        </is>
      </c>
      <c r="F1272" s="3" t="inlineStr">
        <is>
          <t>매매</t>
        </is>
      </c>
      <c r="G1272" s="4" t="n">
        <v>39000</v>
      </c>
      <c r="H1272" s="4" t="n">
        <v>0</v>
      </c>
      <c r="I1272" s="4" t="n">
        <v>810</v>
      </c>
      <c r="J1272" s="4" t="n">
        <v>245</v>
      </c>
      <c r="K1272" s="5" t="n">
        <v>159.2</v>
      </c>
      <c r="L1272" s="4" t="n">
        <v>97</v>
      </c>
      <c r="M1272" s="4" t="n">
        <v>29</v>
      </c>
      <c r="N1272" s="5" t="n">
        <v>1344.8</v>
      </c>
      <c r="O1272" s="3" t="inlineStr">
        <is>
          <t>조용히 전원생활 최적지,조망 트임,송선동택지개발지구 아주 근접</t>
        </is>
      </c>
      <c r="P1272" s="6">
        <f>HYPERLINK("https://fin.land.naver.com/articles/2654352776", "매물Link")</f>
        <v/>
      </c>
      <c r="Q1272" s="6">
        <f>HYPERLINK("https://map.naver.com/p/search/장군면 용암리 390-1", "지도Link")</f>
        <v/>
      </c>
      <c r="R1272" s="6">
        <f>HYPERLINK("http://www.eum.go.kr/web/ar/lu/luLandDet.jsp?pnu=3611035033103900001&amp;isNoScr=script&amp;mode=search", "토지이음")</f>
        <v/>
      </c>
      <c r="S1272" s="3" t="inlineStr">
        <is>
          <t>세종공주제일</t>
        </is>
      </c>
      <c r="T1272" s="4" t="n">
        <v>1</v>
      </c>
      <c r="U1272" s="5" t="n">
        <v>32.6</v>
      </c>
      <c r="V1272" s="4" t="n">
        <v>810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완경사</t>
        </is>
      </c>
      <c r="Z1272" s="3" t="inlineStr">
        <is>
          <t>자루형</t>
        </is>
      </c>
      <c r="AA1272" s="3" t="inlineStr">
        <is>
          <t>세로한면(가)</t>
        </is>
      </c>
    </row>
    <row r="1273">
      <c r="A1273" s="3" t="inlineStr">
        <is>
          <t>장군면 용암리 390-1</t>
        </is>
      </c>
      <c r="B1273" s="3" t="inlineStr">
        <is>
          <t>생산관리지역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매매</t>
        </is>
      </c>
      <c r="G1273" s="4" t="n">
        <v>39000</v>
      </c>
      <c r="H1273" s="4" t="n">
        <v>0</v>
      </c>
      <c r="I1273" s="4" t="n">
        <v>809</v>
      </c>
      <c r="J1273" s="4" t="n">
        <v>245</v>
      </c>
      <c r="K1273" s="5" t="n">
        <v>159.2</v>
      </c>
      <c r="L1273" s="4" t="n">
        <v>99</v>
      </c>
      <c r="M1273" s="4" t="n">
        <v>30</v>
      </c>
      <c r="N1273" s="5" t="n">
        <v>1300</v>
      </c>
      <c r="O1273" s="3" t="inlineStr">
        <is>
          <t>세종시 장군면 전원 주택 황토흑집 가격 조정 가능</t>
        </is>
      </c>
      <c r="P1273" s="6">
        <f>HYPERLINK("https://fin.land.naver.com/articles/2653136134", "매물Link")</f>
        <v/>
      </c>
      <c r="Q1273" s="6">
        <f>HYPERLINK("https://map.naver.com/p/search/장군면 용암리 390-1", "지도Link")</f>
        <v/>
      </c>
      <c r="R1273" s="6">
        <f>HYPERLINK("http://www.eum.go.kr/web/ar/lu/luLandDet.jsp?pnu=3611035033103900001&amp;isNoScr=script&amp;mode=search", "토지이음")</f>
        <v/>
      </c>
      <c r="S1273" s="3" t="inlineStr">
        <is>
          <t>박단아사사무소</t>
        </is>
      </c>
      <c r="T1273" s="4" t="n">
        <v>1</v>
      </c>
      <c r="U1273" s="5" t="n">
        <v>32.6</v>
      </c>
      <c r="V1273" s="4" t="n">
        <v>810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완경사</t>
        </is>
      </c>
      <c r="Z1273" s="3" t="inlineStr">
        <is>
          <t>자루형</t>
        </is>
      </c>
      <c r="AA1273" s="3" t="inlineStr">
        <is>
          <t>세로한면(가)</t>
        </is>
      </c>
    </row>
    <row r="1274">
      <c r="A1274" s="3" t="inlineStr">
        <is>
          <t>장군면 은용리 108-9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27</v>
      </c>
      <c r="I1274" s="4" t="n">
        <v>26</v>
      </c>
      <c r="J1274" s="4" t="n">
        <v>8</v>
      </c>
      <c r="K1274" s="5" t="n">
        <v>3.4</v>
      </c>
      <c r="L1274" s="4" t="n">
        <v>24</v>
      </c>
      <c r="M1274" s="4" t="n">
        <v>7</v>
      </c>
      <c r="N1274" s="5" t="n">
        <v>3.9</v>
      </c>
      <c r="O1274" s="3" t="inlineStr">
        <is>
          <t>풀옵션 원룸 은용리, 오픈형 , 방이 크고  밝고 좋아요</t>
        </is>
      </c>
      <c r="P1274" s="6">
        <f>HYPERLINK("https://fin.land.naver.com/articles/2650787023", "매물Link")</f>
        <v/>
      </c>
      <c r="Q1274" s="6">
        <f>HYPERLINK("https://map.naver.com/p/search/장군면 은용리 108-9", "지도Link")</f>
        <v/>
      </c>
      <c r="R1274" s="6">
        <f>HYPERLINK("http://www.eum.go.kr/web/ar/lu/luLandDet.jsp?pnu=3611035027101080009&amp;isNoScr=script&amp;mode=search",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228.3</v>
      </c>
      <c r="V1274" s="4" t="n">
        <v>413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은용리 108-9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25</v>
      </c>
      <c r="I1275" s="4" t="n">
        <v>23</v>
      </c>
      <c r="J1275" s="4" t="n">
        <v>7</v>
      </c>
      <c r="K1275" s="5" t="n">
        <v>3.6</v>
      </c>
      <c r="L1275" s="4" t="n">
        <v>22</v>
      </c>
      <c r="M1275" s="4" t="n">
        <v>7</v>
      </c>
      <c r="N1275" s="5" t="n">
        <v>3.6</v>
      </c>
      <c r="O1275" s="3" t="inlineStr">
        <is>
          <t>풀옵션 원룸 은용리, 오픈형 , 방이 크고  밝고 좋아요</t>
        </is>
      </c>
      <c r="P1275" s="6">
        <f>HYPERLINK("https://fin.land.naver.com/articles/2650787016", "매물Link")</f>
        <v/>
      </c>
      <c r="Q1275" s="6">
        <f>HYPERLINK("https://map.naver.com/p/search/장군면 은용리 108-9", "지도Link")</f>
        <v/>
      </c>
      <c r="R1275" s="6">
        <f>HYPERLINK("http://www.eum.go.kr/web/ar/lu/luLandDet.jsp?pnu=3611035027101080009&amp;isNoScr=script&amp;mode=search",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228.3</v>
      </c>
      <c r="V1275" s="4" t="n">
        <v>413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은용리 111-10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다가구</t>
        </is>
      </c>
      <c r="F1276" s="3" t="inlineStr">
        <is>
          <t>매매</t>
        </is>
      </c>
      <c r="G1276" s="4" t="n">
        <v>66000</v>
      </c>
      <c r="H1276" s="4" t="n">
        <v>0</v>
      </c>
      <c r="I1276" s="4" t="n">
        <v>367</v>
      </c>
      <c r="J1276" s="4" t="n">
        <v>111</v>
      </c>
      <c r="K1276" s="5" t="n">
        <v>594.6</v>
      </c>
      <c r="L1276" s="4" t="n">
        <v>359</v>
      </c>
      <c r="M1276" s="4" t="n">
        <v>109</v>
      </c>
      <c r="N1276" s="5" t="n">
        <v>605.5</v>
      </c>
      <c r="O1276" s="3" t="inlineStr">
        <is>
          <t>세종시 교통 중심지 원룸건물 수익성 8%이상</t>
        </is>
      </c>
      <c r="P1276" s="6">
        <f>HYPERLINK("https://fin.land.naver.com/articles/2654961883", "매물Link")</f>
        <v/>
      </c>
      <c r="Q1276" s="6">
        <f>HYPERLINK("https://map.naver.com/p/search/장군면 은용리 111-10", "지도Link")</f>
        <v/>
      </c>
      <c r="R1276" s="6">
        <f>HYPERLINK("http://www.eum.go.kr/web/ar/lu/luLandDet.jsp?pnu=3611035027101110010&amp;isNoScr=script&amp;mode=search", "토지이음")</f>
        <v/>
      </c>
      <c r="S1276" s="3" t="inlineStr">
        <is>
          <t>상상</t>
        </is>
      </c>
      <c r="T1276" s="4" t="n">
        <v>1</v>
      </c>
      <c r="U1276" s="5" t="n">
        <v>233.2</v>
      </c>
      <c r="V1276" s="4" t="n">
        <v>367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은용리 111-10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23</v>
      </c>
      <c r="M1277" s="4" t="n">
        <v>7</v>
      </c>
      <c r="N1277" s="5" t="n">
        <v>4</v>
      </c>
      <c r="O1277" s="3" t="inlineStr">
        <is>
          <t>저혐한원룸 풀옵션 원룸,고운동 새롬동 10분 거리, 깨끗한 원룸</t>
        </is>
      </c>
      <c r="P1277" s="6">
        <f>HYPERLINK("https://fin.land.naver.com/articles/2653868970", "매물Link")</f>
        <v/>
      </c>
      <c r="Q1277" s="6">
        <f>HYPERLINK("https://map.naver.com/p/search/장군면 은용리 111-10", "지도Link")</f>
        <v/>
      </c>
      <c r="R1277" s="6">
        <f>HYPERLINK("http://www.eum.go.kr/web/ar/lu/luLandDet.jsp?pnu=3611035027101110010&amp;isNoScr=script&amp;mode=search", "토지이음")</f>
        <v/>
      </c>
      <c r="S1277" s="3" t="inlineStr">
        <is>
          <t>황제</t>
        </is>
      </c>
      <c r="T1277" s="4" t="n">
        <v>1</v>
      </c>
      <c r="U1277" s="5" t="n">
        <v>233.2</v>
      </c>
      <c r="V1277" s="4" t="n">
        <v>367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가로장방</t>
        </is>
      </c>
      <c r="AA1277" s="3" t="inlineStr">
        <is>
          <t>세로한면(가)</t>
        </is>
      </c>
    </row>
    <row r="1278">
      <c r="A1278" s="3" t="inlineStr">
        <is>
          <t>장군면 은용리 111-10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다가구</t>
        </is>
      </c>
      <c r="F1278" s="3" t="inlineStr">
        <is>
          <t>매매</t>
        </is>
      </c>
      <c r="G1278" s="4" t="n">
        <v>66000</v>
      </c>
      <c r="H1278" s="4" t="n">
        <v>0</v>
      </c>
      <c r="I1278" s="4" t="n">
        <v>367</v>
      </c>
      <c r="J1278" s="4" t="n">
        <v>111</v>
      </c>
      <c r="K1278" s="5" t="n">
        <v>594.6</v>
      </c>
      <c r="L1278" s="4" t="n">
        <v>359</v>
      </c>
      <c r="M1278" s="4" t="n">
        <v>109</v>
      </c>
      <c r="N1278" s="5" t="n">
        <v>605.5</v>
      </c>
      <c r="O1278" s="3" t="inlineStr">
        <is>
          <t>정부청사 공주 15분거리</t>
        </is>
      </c>
      <c r="P1278" s="6">
        <f>HYPERLINK("https://fin.land.naver.com/articles/2654969790", "매물Link")</f>
        <v/>
      </c>
      <c r="Q1278" s="6">
        <f>HYPERLINK("https://map.naver.com/p/search/장군면 은용리 111-10", "지도Link")</f>
        <v/>
      </c>
      <c r="R1278" s="6">
        <f>HYPERLINK("http://www.eum.go.kr/web/ar/lu/luLandDet.jsp?pnu=3611035027101110010&amp;isNoScr=script&amp;mode=search", "토지이음")</f>
        <v/>
      </c>
      <c r="S1278" s="3" t="inlineStr">
        <is>
          <t>상상</t>
        </is>
      </c>
      <c r="T1278" s="4" t="n">
        <v>1</v>
      </c>
      <c r="U1278" s="5" t="n">
        <v>233.2</v>
      </c>
      <c r="V1278" s="4" t="n">
        <v>367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가로장방</t>
        </is>
      </c>
      <c r="AA1278" s="3" t="inlineStr">
        <is>
          <t>세로한면(가)</t>
        </is>
      </c>
    </row>
    <row r="1279">
      <c r="A1279" s="3" t="inlineStr">
        <is>
          <t>장군면 은용리 111-10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다가구</t>
        </is>
      </c>
      <c r="F1279" s="3" t="inlineStr">
        <is>
          <t>매매</t>
        </is>
      </c>
      <c r="G1279" s="4" t="n">
        <v>66000</v>
      </c>
      <c r="H1279" s="4" t="n">
        <v>0</v>
      </c>
      <c r="I1279" s="4" t="n">
        <v>367</v>
      </c>
      <c r="J1279" s="4" t="n">
        <v>111</v>
      </c>
      <c r="K1279" s="5" t="n">
        <v>594.6</v>
      </c>
      <c r="L1279" s="4" t="n">
        <v>359</v>
      </c>
      <c r="M1279" s="4" t="n">
        <v>109</v>
      </c>
      <c r="N1279" s="5" t="n">
        <v>605.5</v>
      </c>
      <c r="O1279" s="3" t="inlineStr">
        <is>
          <t>생명나무,집보기0 장군면  수익형다가구 주택  공실 걱정 없는 매물입니다</t>
        </is>
      </c>
      <c r="P1279" s="6">
        <f>HYPERLINK("https://fin.land.naver.com/articles/2651988246", "매물Link")</f>
        <v/>
      </c>
      <c r="Q1279" s="6">
        <f>HYPERLINK("https://map.naver.com/p/search/장군면 은용리 111-10", "지도Link")</f>
        <v/>
      </c>
      <c r="R1279" s="6">
        <f>HYPERLINK("http://www.eum.go.kr/web/ar/lu/luLandDet.jsp?pnu=3611035027101110010&amp;isNoScr=script&amp;mode=search", "토지이음")</f>
        <v/>
      </c>
      <c r="S1279" s="3" t="inlineStr">
        <is>
          <t>생명나무</t>
        </is>
      </c>
      <c r="T1279" s="4" t="n">
        <v>1</v>
      </c>
      <c r="U1279" s="5" t="n">
        <v>233.2</v>
      </c>
      <c r="V1279" s="4" t="n">
        <v>367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은용리 112-11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29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청사,공주인접 엘리베이터가동 000</t>
        </is>
      </c>
      <c r="P1280" s="6">
        <f>HYPERLINK("https://fin.land.naver.com/articles/2650446175", "매물Link")</f>
        <v/>
      </c>
      <c r="Q1280" s="6">
        <f>HYPERLINK("https://map.naver.com/p/search/장군면 은용리 112-11", "지도Link")</f>
        <v/>
      </c>
      <c r="R1280" s="6">
        <f>HYPERLINK("http://www.eum.go.kr/web/ar/lu/luLandDet.jsp?pnu=3611035027101120011&amp;isNoScr=script&amp;mode=search",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233.2</v>
      </c>
      <c r="V1280" s="4" t="n">
        <v>422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은용리 112-11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</v>
      </c>
      <c r="H1281" s="4" t="n">
        <v>29</v>
      </c>
      <c r="I1281" s="4" t="n">
        <v>23</v>
      </c>
      <c r="J1281" s="4" t="n">
        <v>7</v>
      </c>
      <c r="K1281" s="5" t="n">
        <v>4.1</v>
      </c>
      <c r="L1281" s="4" t="n">
        <v>22</v>
      </c>
      <c r="M1281" s="4" t="n">
        <v>7</v>
      </c>
      <c r="N1281" s="5" t="n">
        <v>4.1</v>
      </c>
      <c r="O1281" s="3" t="inlineStr">
        <is>
          <t>승강기 있는 원룸 빌트인장, 방이  깔끔하고 너무 좋은원룸</t>
        </is>
      </c>
      <c r="P1281" s="6">
        <f>HYPERLINK("https://fin.land.naver.com/articles/2653559848", "매물Link")</f>
        <v/>
      </c>
      <c r="Q1281" s="6">
        <f>HYPERLINK("https://map.naver.com/p/search/장군면 은용리 112-11", "지도Link")</f>
        <v/>
      </c>
      <c r="R1281" s="6">
        <f>HYPERLINK("http://www.eum.go.kr/web/ar/lu/luLandDet.jsp?pnu=3611035027101120011&amp;isNoScr=script&amp;mode=search",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233.2</v>
      </c>
      <c r="V1281" s="4" t="n">
        <v>422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은용리 112-11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일반원룸</t>
        </is>
      </c>
      <c r="F1282" s="3" t="inlineStr">
        <is>
          <t>단기임대</t>
        </is>
      </c>
      <c r="G1282" s="4" t="n">
        <v>100</v>
      </c>
      <c r="H1282" s="4" t="n">
        <v>29</v>
      </c>
      <c r="I1282" s="4" t="n">
        <v>24</v>
      </c>
      <c r="J1282" s="4" t="n">
        <v>7</v>
      </c>
      <c r="K1282" s="5" t="n">
        <v>14.3</v>
      </c>
      <c r="L1282" s="4" t="n">
        <v>20</v>
      </c>
      <c r="M1282" s="4" t="n">
        <v>6</v>
      </c>
      <c r="N1282" s="5" t="n">
        <v>16.7</v>
      </c>
      <c r="O1282" s="3" t="inlineStr">
        <is>
          <t>000 청사,공주인접 엘리베이터가동 000</t>
        </is>
      </c>
      <c r="P1282" s="6">
        <f>HYPERLINK("https://fin.land.naver.com/articles/2652242778", "매물Link")</f>
        <v/>
      </c>
      <c r="Q1282" s="6">
        <f>HYPERLINK("https://map.naver.com/p/search/장군면 은용리 112-11", "지도Link")</f>
        <v/>
      </c>
      <c r="R1282" s="6">
        <f>HYPERLINK("http://www.eum.go.kr/web/ar/lu/luLandDet.jsp?pnu=3611035027101120011&amp;isNoScr=script&amp;mode=search",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233.2</v>
      </c>
      <c r="V1282" s="4" t="n">
        <v>422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은용리 135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42</v>
      </c>
      <c r="I1283" s="4" t="n">
        <v>33</v>
      </c>
      <c r="J1283" s="4" t="n">
        <v>10</v>
      </c>
      <c r="K1283" s="5" t="n">
        <v>4.2</v>
      </c>
      <c r="L1283" s="4" t="n">
        <v>32</v>
      </c>
      <c r="M1283" s="4" t="n">
        <v>10</v>
      </c>
      <c r="N1283" s="5" t="n">
        <v>4.2</v>
      </c>
      <c r="O1283" s="3" t="inlineStr">
        <is>
          <t>방 하나 거실 하나  밝고 넓은1.5룸 주차 좋고 환기 짱</t>
        </is>
      </c>
      <c r="P1283" s="6">
        <f>HYPERLINK("https://fin.land.naver.com/articles/2654354662", "매물Link")</f>
        <v/>
      </c>
      <c r="Q1283" s="6">
        <f>HYPERLINK("https://map.naver.com/p/search/장군면 은용리 135", "지도Link")</f>
        <v/>
      </c>
      <c r="R1283" s="6">
        <f>HYPERLINK("http://www.eum.go.kr/web/ar/lu/luLandDet.jsp?pnu=3611035027101350000&amp;isNoScr=script&amp;mode=search",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233.2</v>
      </c>
      <c r="V1283" s="4" t="n">
        <v>409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은용리 135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200</v>
      </c>
      <c r="H1284" s="4" t="n">
        <v>42</v>
      </c>
      <c r="I1284" s="4" t="n">
        <v>27</v>
      </c>
      <c r="J1284" s="4" t="n">
        <v>8</v>
      </c>
      <c r="K1284" s="5" t="n">
        <v>5.2</v>
      </c>
      <c r="L1284" s="4" t="n">
        <v>25</v>
      </c>
      <c r="M1284" s="4" t="n">
        <v>8</v>
      </c>
      <c r="N1284" s="5" t="n">
        <v>5.2</v>
      </c>
      <c r="O1284" s="3" t="inlineStr">
        <is>
          <t>nan</t>
        </is>
      </c>
      <c r="P1284" s="6">
        <f>HYPERLINK("https://fin.land.naver.com/articles/2653886113", "매물Link")</f>
        <v/>
      </c>
      <c r="Q1284" s="6">
        <f>HYPERLINK("https://map.naver.com/p/search/장군면 은용리 135", "지도Link")</f>
        <v/>
      </c>
      <c r="R1284" s="6">
        <f>HYPERLINK("http://www.eum.go.kr/web/ar/lu/luLandDet.jsp?pnu=3611035027101350000&amp;isNoScr=script&amp;mode=search",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233.2</v>
      </c>
      <c r="V1284" s="4" t="n">
        <v>409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은용리 135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200</v>
      </c>
      <c r="H1285" s="4" t="n">
        <v>42</v>
      </c>
      <c r="I1285" s="4" t="n">
        <v>33</v>
      </c>
      <c r="J1285" s="4" t="n">
        <v>10</v>
      </c>
      <c r="K1285" s="5" t="n">
        <v>4.2</v>
      </c>
      <c r="L1285" s="4" t="n">
        <v>32</v>
      </c>
      <c r="M1285" s="4" t="n">
        <v>10</v>
      </c>
      <c r="N1285" s="5" t="n">
        <v>4.2</v>
      </c>
      <c r="O1285" s="3" t="inlineStr">
        <is>
          <t>방 하나 거실 하나  밝고 넓은1.5룸 주차 좋고 환기 짱</t>
        </is>
      </c>
      <c r="P1285" s="6">
        <f>HYPERLINK("https://fin.land.naver.com/articles/2653760670", "매물Link")</f>
        <v/>
      </c>
      <c r="Q1285" s="6">
        <f>HYPERLINK("https://map.naver.com/p/search/장군면 은용리 135", "지도Link")</f>
        <v/>
      </c>
      <c r="R1285" s="6">
        <f>HYPERLINK("http://www.eum.go.kr/web/ar/lu/luLandDet.jsp?pnu=3611035027101350000&amp;isNoScr=script&amp;mode=search",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233.2</v>
      </c>
      <c r="V1285" s="4" t="n">
        <v>409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세로한면(가)</t>
        </is>
      </c>
    </row>
    <row r="1286">
      <c r="A1286" s="3" t="inlineStr">
        <is>
          <t>장군면 은용리 135-4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23</v>
      </c>
      <c r="M1286" s="4" t="n">
        <v>7</v>
      </c>
      <c r="N1286" s="5" t="n">
        <v>4.3</v>
      </c>
      <c r="O1286" s="3" t="inlineStr">
        <is>
          <t>내국인 전용, 주차좋고 조용하고 깨끗한 분리형 저렴한 원룸</t>
        </is>
      </c>
      <c r="P1286" s="6">
        <f>HYPERLINK("https://fin.land.naver.com/articles/2653094630", "매물Link")</f>
        <v/>
      </c>
      <c r="Q1286" s="6">
        <f>HYPERLINK("https://map.naver.com/p/search/장군면 은용리 135-4", "지도Link")</f>
        <v/>
      </c>
      <c r="R1286" s="6">
        <f>HYPERLINK("http://www.eum.go.kr/web/ar/lu/luLandDet.jsp?pnu=3611035027101350004&amp;isNoScr=script&amp;mode=search", "토지이음")</f>
        <v/>
      </c>
      <c r="S1286" s="3" t="inlineStr">
        <is>
          <t>황제</t>
        </is>
      </c>
      <c r="T1286" s="4" t="n">
        <v>1</v>
      </c>
      <c r="U1286" s="5" t="n">
        <v>233.2</v>
      </c>
      <c r="V1286" s="4" t="n">
        <v>296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은용리 135-4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000조용한 원룸  원하시는분 강추,세종청사인접월송지구10분 00</t>
        </is>
      </c>
      <c r="P1287" s="6">
        <f>HYPERLINK("https://fin.land.naver.com/articles/2652717882", "매물Link")</f>
        <v/>
      </c>
      <c r="Q1287" s="6">
        <f>HYPERLINK("https://map.naver.com/p/search/장군면 은용리 135-4", "지도Link")</f>
        <v/>
      </c>
      <c r="R1287" s="6">
        <f>HYPERLINK("http://www.eum.go.kr/web/ar/lu/luLandDet.jsp?pnu=3611035027101350004&amp;isNoScr=script&amp;mode=search",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233.2</v>
      </c>
      <c r="V1287" s="4" t="n">
        <v>296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태산리 59-1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1</t>
        </is>
      </c>
      <c r="E1288" s="3" t="inlineStr">
        <is>
          <t>단독</t>
        </is>
      </c>
      <c r="F1288" s="3" t="inlineStr">
        <is>
          <t>매매</t>
        </is>
      </c>
      <c r="G1288" s="4" t="n">
        <v>42000</v>
      </c>
      <c r="H1288" s="4" t="n">
        <v>0</v>
      </c>
      <c r="I1288" s="4" t="n">
        <v>526</v>
      </c>
      <c r="J1288" s="4" t="n">
        <v>159</v>
      </c>
      <c r="K1288" s="5" t="n">
        <v>264.2</v>
      </c>
      <c r="L1288" s="4" t="n">
        <v>53</v>
      </c>
      <c r="M1288" s="4" t="n">
        <v>16</v>
      </c>
      <c r="N1288" s="5" t="n">
        <v>2625</v>
      </c>
      <c r="O1288" s="3" t="inlineStr">
        <is>
          <t>nan</t>
        </is>
      </c>
      <c r="P1288" s="6">
        <f>HYPERLINK("https://fin.land.naver.com/articles/2654113163", "매물Link")</f>
        <v/>
      </c>
      <c r="Q1288" s="6">
        <f>HYPERLINK("https://map.naver.com/p/search/장군면 태산리 59-1", "지도Link")</f>
        <v/>
      </c>
      <c r="R1288" s="6">
        <f>HYPERLINK("http://www.eum.go.kr/web/ar/lu/luLandDet.jsp?pnu=3611035034100590001&amp;isNoScr=script&amp;mode=search", "토지이음")</f>
        <v/>
      </c>
      <c r="S1288" s="3" t="inlineStr">
        <is>
          <t>세종한울</t>
        </is>
      </c>
      <c r="T1288" s="4" t="n">
        <v>1</v>
      </c>
      <c r="U1288" s="5" t="n">
        <v>34.1</v>
      </c>
      <c r="V1288" s="4" t="n">
        <v>526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평기리 169-5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1</t>
        </is>
      </c>
      <c r="E1289" s="3" t="inlineStr">
        <is>
          <t>단독</t>
        </is>
      </c>
      <c r="F1289" s="3" t="inlineStr">
        <is>
          <t>매매</t>
        </is>
      </c>
      <c r="G1289" s="4" t="n">
        <v>52000</v>
      </c>
      <c r="H1289" s="4" t="n">
        <v>0</v>
      </c>
      <c r="I1289" s="4" t="n">
        <v>646</v>
      </c>
      <c r="J1289" s="4" t="n">
        <v>195</v>
      </c>
      <c r="K1289" s="5" t="n">
        <v>266.7</v>
      </c>
      <c r="L1289" s="4" t="n">
        <v>98</v>
      </c>
      <c r="M1289" s="4" t="n">
        <v>30</v>
      </c>
      <c r="N1289" s="5" t="n">
        <v>1733.3</v>
      </c>
      <c r="O1289" s="3" t="inlineStr">
        <is>
          <t>정남향 양면 도로접한 계획관리 자연취락지구, 싱크대 교체해주는 조건</t>
        </is>
      </c>
      <c r="P1289" s="6">
        <f>HYPERLINK("https://fin.land.naver.com/articles/2652751773", "매물Link")</f>
        <v/>
      </c>
      <c r="Q1289" s="6">
        <f>HYPERLINK("https://map.naver.com/p/search/장군면 평기리 169-5", "지도Link")</f>
        <v/>
      </c>
      <c r="R1289" s="6">
        <f>HYPERLINK("http://www.eum.go.kr/web/ar/lu/luLandDet.jsp?pnu=3611035022101690005&amp;isNoScr=script&amp;mode=search", "토지이음")</f>
        <v/>
      </c>
      <c r="S1289" s="3" t="inlineStr">
        <is>
          <t>고운맘</t>
        </is>
      </c>
      <c r="T1289" s="4" t="n">
        <v>2</v>
      </c>
      <c r="U1289" s="5" t="n">
        <v>117.2</v>
      </c>
      <c r="V1289" s="4" t="n">
        <v>646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세로각지(가)</t>
        </is>
      </c>
    </row>
    <row r="1290">
      <c r="A1290" s="3" t="inlineStr">
        <is>
          <t>장군면 평기리 175-4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전원주택</t>
        </is>
      </c>
      <c r="F1290" s="3" t="inlineStr">
        <is>
          <t>매매</t>
        </is>
      </c>
      <c r="G1290" s="4" t="n">
        <v>52000</v>
      </c>
      <c r="H1290" s="4" t="n">
        <v>0</v>
      </c>
      <c r="I1290" s="4" t="n">
        <v>660</v>
      </c>
      <c r="J1290" s="4" t="n">
        <v>200</v>
      </c>
      <c r="K1290" s="5" t="n">
        <v>260</v>
      </c>
      <c r="L1290" s="4" t="n">
        <v>60</v>
      </c>
      <c r="M1290" s="4" t="n">
        <v>18</v>
      </c>
      <c r="N1290" s="5" t="n">
        <v>2888.9</v>
      </c>
      <c r="O1290" s="3" t="inlineStr">
        <is>
          <t>평기길 후면 시에서 관리하는 포장도로에 접한 자연취락지구 농가주택</t>
        </is>
      </c>
      <c r="P1290" s="6">
        <f>HYPERLINK("https://fin.land.naver.com/articles/2655656281", "매물Link")</f>
        <v/>
      </c>
      <c r="Q1290" s="6">
        <f>HYPERLINK("https://map.naver.com/p/search/장군면 평기리 175-4", "지도Link")</f>
        <v/>
      </c>
      <c r="R1290" s="6">
        <f>HYPERLINK("http://www.eum.go.kr/web/ar/lu/luLandDet.jsp?pnu=3611035022101750004&amp;isNoScr=script&amp;mode=search", "토지이음")</f>
        <v/>
      </c>
      <c r="S1290" s="3" t="inlineStr">
        <is>
          <t>온뜰</t>
        </is>
      </c>
      <c r="T1290" s="4" t="n">
        <v>1</v>
      </c>
      <c r="U1290" s="5" t="n">
        <v>114.9</v>
      </c>
      <c r="V1290" s="4" t="n">
        <v>660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세로한면(가)</t>
        </is>
      </c>
    </row>
    <row r="1291">
      <c r="A1291" s="3" t="inlineStr">
        <is>
          <t>장군면 평기리 229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34000</v>
      </c>
      <c r="H1291" s="4" t="n">
        <v>0</v>
      </c>
      <c r="I1291" s="4" t="n">
        <v>298</v>
      </c>
      <c r="J1291" s="4" t="n">
        <v>90</v>
      </c>
      <c r="K1291" s="5" t="n">
        <v>377.8</v>
      </c>
      <c r="L1291" s="4" t="n">
        <v>49</v>
      </c>
      <c r="M1291" s="4" t="n">
        <v>15</v>
      </c>
      <c r="N1291" s="5" t="n">
        <v>2266.7</v>
      </c>
      <c r="O1291" s="3" t="inlineStr">
        <is>
          <t>리모델링완료,세종버스정류장도보 5분거리,앞뒤 넓은 정원 깨끗한 스몰하우스</t>
        </is>
      </c>
      <c r="P1291" s="6">
        <f>HYPERLINK("https://fin.land.naver.com/articles/2653031661", "매물Link")</f>
        <v/>
      </c>
      <c r="Q1291" s="6">
        <f>HYPERLINK("https://map.naver.com/p/search/장군면 평기리 229", "지도Link")</f>
        <v/>
      </c>
      <c r="R1291" s="6">
        <f>HYPERLINK("http://www.eum.go.kr/web/ar/lu/luLandDet.jsp?pnu=3611035022102290000&amp;isNoScr=script&amp;mode=search", "토지이음")</f>
        <v/>
      </c>
      <c r="S1291" s="3" t="inlineStr">
        <is>
          <t>짱</t>
        </is>
      </c>
      <c r="T1291" s="4" t="n">
        <v>1</v>
      </c>
      <c r="U1291" s="5" t="n">
        <v>106.9</v>
      </c>
      <c r="V1291" s="4" t="n">
        <v>298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평기리 249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단독</t>
        </is>
      </c>
      <c r="F1292" s="3" t="inlineStr">
        <is>
          <t>매매</t>
        </is>
      </c>
      <c r="G1292" s="4" t="n">
        <v>79000</v>
      </c>
      <c r="H1292" s="4" t="n">
        <v>0</v>
      </c>
      <c r="I1292" s="4" t="n">
        <v>1010</v>
      </c>
      <c r="J1292" s="4" t="n">
        <v>306</v>
      </c>
      <c r="K1292" s="5" t="n">
        <v>258.2</v>
      </c>
      <c r="L1292" s="4" t="n">
        <v>140</v>
      </c>
      <c r="M1292" s="4" t="n">
        <v>42</v>
      </c>
      <c r="N1292" s="5" t="n">
        <v>1881</v>
      </c>
      <c r="O1292" s="3" t="inlineStr">
        <is>
          <t>평기리 계획관리지역,자연취락지구 올리모델링 완료된 단독주택.즉시입주가능.</t>
        </is>
      </c>
      <c r="P1292" s="6">
        <f>HYPERLINK("https://fin.land.naver.com/articles/2650695953", "매물Link")</f>
        <v/>
      </c>
      <c r="Q1292" s="6">
        <f>HYPERLINK("https://map.naver.com/p/search/장군면 평기리 249", "지도Link")</f>
        <v/>
      </c>
      <c r="R1292" s="6">
        <f>HYPERLINK("http://www.eum.go.kr/web/ar/lu/luLandDet.jsp?pnu=3611035022102490000&amp;isNoScr=script&amp;mode=search", "토지이음")</f>
        <v/>
      </c>
      <c r="S1292" s="3" t="inlineStr">
        <is>
          <t>세종대장</t>
        </is>
      </c>
      <c r="T1292" s="4" t="n">
        <v>1</v>
      </c>
      <c r="U1292" s="5" t="n">
        <v>99</v>
      </c>
      <c r="V1292" s="4" t="n">
        <v>765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세로한면(가)</t>
        </is>
      </c>
    </row>
    <row r="1293">
      <c r="A1293" s="3" t="inlineStr">
        <is>
          <t>장군면 하봉리 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단독</t>
        </is>
      </c>
      <c r="F1293" s="3" t="inlineStr">
        <is>
          <t>매매</t>
        </is>
      </c>
      <c r="G1293" s="4" t="n">
        <v>91000</v>
      </c>
      <c r="H1293" s="4" t="n">
        <v>0</v>
      </c>
      <c r="I1293" s="4" t="n">
        <v>660</v>
      </c>
      <c r="J1293" s="4" t="n">
        <v>200</v>
      </c>
      <c r="K1293" s="5" t="n">
        <v>455</v>
      </c>
      <c r="L1293" s="4" t="n">
        <v>150</v>
      </c>
      <c r="M1293" s="4" t="n">
        <v>45</v>
      </c>
      <c r="N1293" s="5" t="n">
        <v>2022.2</v>
      </c>
      <c r="O1293" s="3" t="inlineStr">
        <is>
          <t>도시개발이 활발한 세종시 장군면 넓은 대지의 단독주택</t>
        </is>
      </c>
      <c r="P1293" s="6">
        <f>HYPERLINK("https://fin.land.naver.com/articles/2650298071", "매물Link")</f>
        <v/>
      </c>
      <c r="Q1293" s="6">
        <f>HYPERLINK("https://map.naver.com/p/search/장군면 하봉리 1", "지도Link")</f>
        <v/>
      </c>
      <c r="R1293" s="6">
        <f>HYPERLINK("http://www.eum.go.kr/web/ar/lu/luLandDet.jsp?pnu=3611035026100010000&amp;isNoScr=script&amp;mode=search", "토지이음")</f>
        <v/>
      </c>
      <c r="S1293" s="3" t="inlineStr">
        <is>
          <t>그린</t>
        </is>
      </c>
      <c r="T1293" s="4" t="n">
        <v>1</v>
      </c>
      <c r="U1293" s="5" t="n">
        <v>225.3</v>
      </c>
      <c r="V1293" s="4" t="n">
        <v>660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하봉리 296-32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매매</t>
        </is>
      </c>
      <c r="G1294" s="4" t="n">
        <v>80000</v>
      </c>
      <c r="H1294" s="4" t="n">
        <v>0</v>
      </c>
      <c r="I1294" s="4" t="n">
        <v>679</v>
      </c>
      <c r="J1294" s="4" t="n">
        <v>205</v>
      </c>
      <c r="K1294" s="5" t="n">
        <v>390.2</v>
      </c>
      <c r="L1294" s="4" t="n">
        <v>195</v>
      </c>
      <c r="M1294" s="4" t="n">
        <v>59</v>
      </c>
      <c r="N1294" s="5" t="n">
        <v>1355.9</v>
      </c>
      <c r="O1294" s="3" t="inlineStr">
        <is>
          <t>세종시 장군면 신축 전원주택 매매</t>
        </is>
      </c>
      <c r="P1294" s="6">
        <f>HYPERLINK("https://fin.land.naver.com/articles/2651713651", "매물Link")</f>
        <v/>
      </c>
      <c r="Q1294" s="6">
        <f>HYPERLINK("https://map.naver.com/p/search/장군면 하봉리 296-32", "지도Link")</f>
        <v/>
      </c>
      <c r="R1294" s="6">
        <f>HYPERLINK("http://www.eum.go.kr/web/ar/lu/luLandDet.jsp?pnu=3611035026102960032&amp;isNoScr=script&amp;mode=search", "토지이음")</f>
        <v/>
      </c>
      <c r="S1294" s="3" t="inlineStr">
        <is>
          <t>SK랜드</t>
        </is>
      </c>
      <c r="T1294" s="4" t="n">
        <v>1</v>
      </c>
      <c r="U1294" s="5" t="n">
        <v>79.09999999999999</v>
      </c>
      <c r="V1294" s="4" t="n">
        <v>595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하봉리 296-32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80000</v>
      </c>
      <c r="H1295" s="4" t="n">
        <v>0</v>
      </c>
      <c r="I1295" s="4" t="n">
        <v>595</v>
      </c>
      <c r="J1295" s="4" t="n">
        <v>180</v>
      </c>
      <c r="K1295" s="5" t="n">
        <v>444.4</v>
      </c>
      <c r="L1295" s="4" t="n">
        <v>195</v>
      </c>
      <c r="M1295" s="4" t="n">
        <v>59</v>
      </c>
      <c r="N1295" s="5" t="n">
        <v>1355.9</v>
      </c>
      <c r="O1295" s="3" t="inlineStr">
        <is>
          <t>nan</t>
        </is>
      </c>
      <c r="P1295" s="6">
        <f>HYPERLINK("https://fin.land.naver.com/articles/2654051336", "매물Link")</f>
        <v/>
      </c>
      <c r="Q1295" s="6">
        <f>HYPERLINK("https://map.naver.com/p/search/장군면 하봉리 296-32", "지도Link")</f>
        <v/>
      </c>
      <c r="R1295" s="6">
        <f>HYPERLINK("http://www.eum.go.kr/web/ar/lu/luLandDet.jsp?pnu=3611035026102960032&amp;isNoScr=script&amp;mode=search", "토지이음")</f>
        <v/>
      </c>
      <c r="S1295" s="3" t="inlineStr">
        <is>
          <t>찬스</t>
        </is>
      </c>
      <c r="T1295" s="4" t="n">
        <v>1</v>
      </c>
      <c r="U1295" s="5" t="n">
        <v>79.09999999999999</v>
      </c>
      <c r="V1295" s="4" t="n">
        <v>595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하봉리 296-32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80000</v>
      </c>
      <c r="H1296" s="4" t="n">
        <v>0</v>
      </c>
      <c r="I1296" s="4" t="n">
        <v>595</v>
      </c>
      <c r="J1296" s="4" t="n">
        <v>180</v>
      </c>
      <c r="K1296" s="5" t="n">
        <v>444.4</v>
      </c>
      <c r="L1296" s="4" t="n">
        <v>195</v>
      </c>
      <c r="M1296" s="4" t="n">
        <v>59</v>
      </c>
      <c r="N1296" s="5" t="n">
        <v>1355.9</v>
      </c>
      <c r="O1296" s="3" t="inlineStr">
        <is>
          <t>서세종IC인근 , 세종, 공주와 접근성 좋은 위치 전원주택 매매</t>
        </is>
      </c>
      <c r="P1296" s="6">
        <f>HYPERLINK("https://fin.land.naver.com/articles/2652356870", "매물Link")</f>
        <v/>
      </c>
      <c r="Q1296" s="6">
        <f>HYPERLINK("https://map.naver.com/p/search/장군면 하봉리 296-32", "지도Link")</f>
        <v/>
      </c>
      <c r="R1296" s="6">
        <f>HYPERLINK("http://www.eum.go.kr/web/ar/lu/luLandDet.jsp?pnu=3611035026102960032&amp;isNoScr=script&amp;mode=search", "토지이음")</f>
        <v/>
      </c>
      <c r="S1296" s="3" t="inlineStr">
        <is>
          <t>(주)미르</t>
        </is>
      </c>
      <c r="T1296" s="4" t="n">
        <v>1</v>
      </c>
      <c r="U1296" s="5" t="n">
        <v>79.09999999999999</v>
      </c>
      <c r="V1296" s="4" t="n">
        <v>595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하봉리 37-88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80000</v>
      </c>
      <c r="H1297" s="4" t="n">
        <v>0</v>
      </c>
      <c r="I1297" s="4" t="n">
        <v>416</v>
      </c>
      <c r="J1297" s="4" t="n">
        <v>126</v>
      </c>
      <c r="K1297" s="5" t="n">
        <v>634.9</v>
      </c>
      <c r="L1297" s="4" t="n">
        <v>371</v>
      </c>
      <c r="M1297" s="4" t="n">
        <v>112</v>
      </c>
      <c r="N1297" s="5" t="n">
        <v>714.3</v>
      </c>
      <c r="O1297" s="3" t="inlineStr">
        <is>
          <t>급매, 절충가능, 장군면에 위치한 수익률 높은 다가구 주택 급매물입니다</t>
        </is>
      </c>
      <c r="P1297" s="6">
        <f>HYPERLINK("https://fin.land.naver.com/articles/2650935152", "매물Link")</f>
        <v/>
      </c>
      <c r="Q1297" s="6">
        <f>HYPERLINK("https://map.naver.com/p/search/장군면 하봉리 37-88", "지도Link")</f>
        <v/>
      </c>
      <c r="R1297" s="6">
        <f>HYPERLINK("http://www.eum.go.kr/web/ar/lu/luLandDet.jsp?pnu=3611035026100370088&amp;isNoScr=script&amp;mode=search", "토지이음")</f>
        <v/>
      </c>
      <c r="S1297" s="3" t="inlineStr">
        <is>
          <t>스마일세종</t>
        </is>
      </c>
      <c r="T1297" s="4" t="n">
        <v>1</v>
      </c>
      <c r="U1297" s="5" t="n">
        <v>134.7</v>
      </c>
      <c r="V1297" s="4" t="n">
        <v>372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전동면 노장리 219-6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1</t>
        </is>
      </c>
      <c r="E1298" s="3" t="inlineStr">
        <is>
          <t>전원주택</t>
        </is>
      </c>
      <c r="F1298" s="3" t="inlineStr">
        <is>
          <t>매매</t>
        </is>
      </c>
      <c r="G1298" s="4" t="n">
        <v>80000</v>
      </c>
      <c r="H1298" s="4" t="n">
        <v>0</v>
      </c>
      <c r="I1298" s="4" t="n">
        <v>6882</v>
      </c>
      <c r="J1298" s="4" t="n">
        <v>2082</v>
      </c>
      <c r="K1298" s="5" t="n">
        <v>38.4</v>
      </c>
      <c r="L1298" s="4" t="n">
        <v>99</v>
      </c>
      <c r="M1298" s="4" t="n">
        <v>30</v>
      </c>
      <c r="N1298" s="5" t="n">
        <v>2666.7</v>
      </c>
      <c r="O1298" s="3" t="inlineStr">
        <is>
          <t>nan</t>
        </is>
      </c>
      <c r="P1298" s="6">
        <f>HYPERLINK("https://fin.land.naver.com/articles/2655684887", "매물Link")</f>
        <v/>
      </c>
      <c r="Q1298" s="6">
        <f>HYPERLINK("https://map.naver.com/p/search/전동면 노장리 219-6", "지도Link")</f>
        <v/>
      </c>
      <c r="R1298" s="6">
        <f>HYPERLINK("http://www.eum.go.kr/web/ar/lu/luLandDet.jsp?pnu=3611038021102190006&amp;isNoScr=script&amp;mode=search", "토지이음")</f>
        <v/>
      </c>
      <c r="S1298" s="3" t="inlineStr">
        <is>
          <t>오송랜드</t>
        </is>
      </c>
      <c r="T1298" s="4" t="n">
        <v>1</v>
      </c>
      <c r="U1298" s="5" t="n">
        <v>28.9</v>
      </c>
      <c r="V1298" s="4" t="n">
        <v>560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사다리형</t>
        </is>
      </c>
      <c r="AA1298" s="3" t="inlineStr">
        <is>
          <t>세로한면(불)</t>
        </is>
      </c>
    </row>
    <row r="1299">
      <c r="A1299" s="3" t="inlineStr">
        <is>
          <t>전동면 노장리 499-9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단독</t>
        </is>
      </c>
      <c r="F1299" s="3" t="inlineStr">
        <is>
          <t>매매</t>
        </is>
      </c>
      <c r="G1299" s="4" t="n">
        <v>20000</v>
      </c>
      <c r="H1299" s="4" t="n">
        <v>0</v>
      </c>
      <c r="I1299" s="4" t="n">
        <v>430</v>
      </c>
      <c r="J1299" s="4" t="n">
        <v>130</v>
      </c>
      <c r="K1299" s="5" t="n">
        <v>153.8</v>
      </c>
      <c r="L1299" s="4" t="n">
        <v>112</v>
      </c>
      <c r="M1299" s="4" t="n">
        <v>34</v>
      </c>
      <c r="N1299" s="5" t="n">
        <v>588.2</v>
      </c>
      <c r="O1299" s="3" t="inlineStr">
        <is>
          <t>주인분 거주중이라 입주는 협의 가능입니다. 단독주택입니다.</t>
        </is>
      </c>
      <c r="P1299" s="6">
        <f>HYPERLINK("https://fin.land.naver.com/articles/2652929602", "매물Link")</f>
        <v/>
      </c>
      <c r="Q1299" s="6">
        <f>HYPERLINK("https://map.naver.com/p/search/전동면 노장리 499-9", "지도Link")</f>
        <v/>
      </c>
      <c r="R1299" s="6">
        <f>HYPERLINK("http://www.eum.go.kr/web/ar/lu/luLandDet.jsp?pnu=3611038021104990009&amp;isNoScr=script&amp;mode=search", "토지이음")</f>
        <v/>
      </c>
      <c r="S1299" s="3" t="inlineStr">
        <is>
          <t>이순이</t>
        </is>
      </c>
      <c r="T1299" s="4" t="n">
        <v>1</v>
      </c>
      <c r="U1299" s="5" t="n">
        <v>61.5</v>
      </c>
      <c r="V1299" s="4" t="n">
        <v>430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전동면 노장리 590-6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12000</v>
      </c>
      <c r="H1300" s="4" t="n">
        <v>0</v>
      </c>
      <c r="I1300" s="4" t="n">
        <v>133</v>
      </c>
      <c r="J1300" s="4" t="n">
        <v>40</v>
      </c>
      <c r="K1300" s="5" t="n">
        <v>300</v>
      </c>
      <c r="L1300" s="4" t="n">
        <v>38</v>
      </c>
      <c r="M1300" s="4" t="n">
        <v>11</v>
      </c>
      <c r="N1300" s="5" t="n">
        <v>1090.9</v>
      </c>
      <c r="O1300" s="3" t="inlineStr">
        <is>
          <t>임차인승계조건이고 계약종료후 아담한크기의 전원생확에 최적</t>
        </is>
      </c>
      <c r="P1300" s="6">
        <f>HYPERLINK("https://fin.land.naver.com/articles/2651969754", "매물Link")</f>
        <v/>
      </c>
      <c r="Q1300" s="6">
        <f>HYPERLINK("https://map.naver.com/p/search/전동면 노장리 590-6", "지도Link")</f>
        <v/>
      </c>
      <c r="R1300" s="6">
        <f>HYPERLINK("http://www.eum.go.kr/web/ar/lu/luLandDet.jsp?pnu=3611038021105900006&amp;isNoScr=script&amp;mode=search", "토지이음")</f>
        <v/>
      </c>
      <c r="S1300" s="3" t="inlineStr">
        <is>
          <t>만인</t>
        </is>
      </c>
      <c r="T1300" s="4" t="n">
        <v>1</v>
      </c>
      <c r="U1300" s="5" t="n">
        <v>84.09999999999999</v>
      </c>
      <c r="V1300" s="4" t="n">
        <v>133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전동면 노장리 615-7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단독</t>
        </is>
      </c>
      <c r="F1301" s="3" t="inlineStr">
        <is>
          <t>매매</t>
        </is>
      </c>
      <c r="G1301" s="4" t="n">
        <v>75000</v>
      </c>
      <c r="H1301" s="4" t="n">
        <v>0</v>
      </c>
      <c r="I1301" s="4" t="n">
        <v>362</v>
      </c>
      <c r="J1301" s="4" t="n">
        <v>110</v>
      </c>
      <c r="K1301" s="5" t="n">
        <v>681.8</v>
      </c>
      <c r="L1301" s="4" t="n">
        <v>138</v>
      </c>
      <c r="M1301" s="4" t="n">
        <v>42</v>
      </c>
      <c r="N1301" s="5" t="n">
        <v>1785.7</v>
      </c>
      <c r="O1301" s="3" t="inlineStr">
        <is>
          <t>전동초등학교 행정복지센터 인근 노장리 편리한 인프라의 근린상가주택</t>
        </is>
      </c>
      <c r="P1301" s="6">
        <f>HYPERLINK("https://fin.land.naver.com/articles/2650335969", "매물Link")</f>
        <v/>
      </c>
      <c r="Q1301" s="6">
        <f>HYPERLINK("https://map.naver.com/p/search/전동면 노장리 615-7", "지도Link")</f>
        <v/>
      </c>
      <c r="R1301" s="6">
        <f>HYPERLINK("http://www.eum.go.kr/web/ar/lu/luLandDet.jsp?pnu=3611038021106150007&amp;isNoScr=script&amp;mode=search", "토지이음")</f>
        <v/>
      </c>
      <c r="S1301" s="3" t="inlineStr">
        <is>
          <t>세종신한</t>
        </is>
      </c>
      <c r="T1301" s="4" t="n">
        <v>1</v>
      </c>
      <c r="U1301" s="5" t="n">
        <v>132.9</v>
      </c>
      <c r="V1301" s="4" t="n">
        <v>362</v>
      </c>
      <c r="W1301" s="3" t="inlineStr">
        <is>
          <t>지정되지않음</t>
        </is>
      </c>
      <c r="X1301" s="3" t="inlineStr">
        <is>
          <t>주상기타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전동면 미곡리 20-10</t>
        </is>
      </c>
      <c r="B1302" s="3" t="inlineStr">
        <is>
          <t>생산관리지역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단독</t>
        </is>
      </c>
      <c r="F1302" s="3" t="inlineStr">
        <is>
          <t>매매</t>
        </is>
      </c>
      <c r="G1302" s="4" t="n">
        <v>29000</v>
      </c>
      <c r="H1302" s="4" t="n">
        <v>0</v>
      </c>
      <c r="I1302" s="4" t="n">
        <v>628</v>
      </c>
      <c r="J1302" s="4" t="n">
        <v>190</v>
      </c>
      <c r="K1302" s="5" t="n">
        <v>152.6</v>
      </c>
      <c r="L1302" s="4" t="n">
        <v>168</v>
      </c>
      <c r="M1302" s="4" t="n">
        <v>51</v>
      </c>
      <c r="N1302" s="5" t="n">
        <v>568.6</v>
      </c>
      <c r="O1302" s="3" t="inlineStr">
        <is>
          <t>세종시 전동면 전원주택 저렴하게 매매 합니다.</t>
        </is>
      </c>
      <c r="P1302" s="6">
        <f>HYPERLINK("https://fin.land.naver.com/articles/2654800101", "매물Link")</f>
        <v/>
      </c>
      <c r="Q1302" s="6">
        <f>HYPERLINK("https://map.naver.com/p/search/전동면 미곡리 20-10", "지도Link")</f>
        <v/>
      </c>
      <c r="R1302" s="6">
        <f>HYPERLINK("http://www.eum.go.kr/web/ar/lu/luLandDet.jsp?pnu=3611038029100200010&amp;isNoScr=script&amp;mode=search", "토지이음")</f>
        <v/>
      </c>
      <c r="S1302" s="3" t="inlineStr">
        <is>
          <t>성황</t>
        </is>
      </c>
      <c r="T1302" s="4" t="n">
        <v>1</v>
      </c>
      <c r="U1302" s="5" t="n">
        <v>31.8</v>
      </c>
      <c r="V1302" s="4" t="n">
        <v>628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전동면 미곡리 59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50000</v>
      </c>
      <c r="H1303" s="4" t="n">
        <v>0</v>
      </c>
      <c r="I1303" s="4" t="n">
        <v>660</v>
      </c>
      <c r="J1303" s="4" t="n">
        <v>200</v>
      </c>
      <c r="K1303" s="5" t="n">
        <v>250</v>
      </c>
      <c r="L1303" s="4" t="n">
        <v>199</v>
      </c>
      <c r="M1303" s="4" t="n">
        <v>60</v>
      </c>
      <c r="N1303" s="5" t="n">
        <v>833.3</v>
      </c>
      <c r="O1303" s="3" t="inlineStr">
        <is>
          <t>공기좋은 계곡인접한 유럽식 목조 전원주택과 텃밭</t>
        </is>
      </c>
      <c r="P1303" s="6">
        <f>HYPERLINK("https://fin.land.naver.com/articles/2655708436", "매물Link")</f>
        <v/>
      </c>
      <c r="Q1303" s="6">
        <f>HYPERLINK("https://map.naver.com/p/search/전동면 미곡리 59", "지도Link")</f>
        <v/>
      </c>
      <c r="R1303" s="6">
        <f>HYPERLINK("http://www.eum.go.kr/web/ar/lu/luLandDet.jsp?pnu=3611038029100590000&amp;isNoScr=script&amp;mode=search", "토지이음")</f>
        <v/>
      </c>
      <c r="S1303" s="3" t="inlineStr">
        <is>
          <t>대한민국</t>
        </is>
      </c>
      <c r="T1303" s="4" t="n">
        <v>2</v>
      </c>
      <c r="U1303" s="5" t="n">
        <v>29.2</v>
      </c>
      <c r="V1303" s="4" t="n">
        <v>660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사다리형</t>
        </is>
      </c>
      <c r="AA1303" s="3" t="inlineStr">
        <is>
          <t>세로한면(가)</t>
        </is>
      </c>
    </row>
    <row r="1304">
      <c r="A1304" s="3" t="inlineStr">
        <is>
          <t>전동면 미곡리 59</t>
        </is>
      </c>
      <c r="B1304" s="3" t="inlineStr">
        <is>
          <t>생산관리지역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50000</v>
      </c>
      <c r="H1304" s="4" t="n">
        <v>0</v>
      </c>
      <c r="I1304" s="4" t="n">
        <v>660</v>
      </c>
      <c r="J1304" s="4" t="n">
        <v>200</v>
      </c>
      <c r="K1304" s="5" t="n">
        <v>250</v>
      </c>
      <c r="L1304" s="4" t="n">
        <v>199</v>
      </c>
      <c r="M1304" s="4" t="n">
        <v>60</v>
      </c>
      <c r="N1304" s="5" t="n">
        <v>833.3</v>
      </c>
      <c r="O1304" s="3" t="inlineStr">
        <is>
          <t>유럽식목조기와주택,2층 계곡인접한 전원 단독주택</t>
        </is>
      </c>
      <c r="P1304" s="6">
        <f>HYPERLINK("https://fin.land.naver.com/articles/2651403827", "매물Link")</f>
        <v/>
      </c>
      <c r="Q1304" s="6">
        <f>HYPERLINK("https://map.naver.com/p/search/전동면 미곡리 59", "지도Link")</f>
        <v/>
      </c>
      <c r="R1304" s="6">
        <f>HYPERLINK("http://www.eum.go.kr/web/ar/lu/luLandDet.jsp?pnu=3611038029100590000&amp;isNoScr=script&amp;mode=search", "토지이음")</f>
        <v/>
      </c>
      <c r="S1304" s="3" t="inlineStr">
        <is>
          <t>세종대박</t>
        </is>
      </c>
      <c r="T1304" s="4" t="n">
        <v>1</v>
      </c>
      <c r="U1304" s="5" t="n">
        <v>29.2</v>
      </c>
      <c r="V1304" s="4" t="n">
        <v>660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전동면 미곡리 59</t>
        </is>
      </c>
      <c r="B1305" s="3" t="inlineStr">
        <is>
          <t>생산관리지역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50000</v>
      </c>
      <c r="H1305" s="4" t="n">
        <v>0</v>
      </c>
      <c r="I1305" s="4" t="n">
        <v>660</v>
      </c>
      <c r="J1305" s="4" t="n">
        <v>200</v>
      </c>
      <c r="K1305" s="5" t="n">
        <v>250</v>
      </c>
      <c r="L1305" s="4" t="n">
        <v>199</v>
      </c>
      <c r="M1305" s="4" t="n">
        <v>60</v>
      </c>
      <c r="N1305" s="5" t="n">
        <v>833.3</v>
      </c>
      <c r="O1305" s="3" t="inlineStr">
        <is>
          <t>공기좋은 계곡인접한 유럽식 목조 전원주택과 텃밭</t>
        </is>
      </c>
      <c r="P1305" s="6">
        <f>HYPERLINK("https://fin.land.naver.com/articles/2654424554", "매물Link")</f>
        <v/>
      </c>
      <c r="Q1305" s="6">
        <f>HYPERLINK("https://map.naver.com/p/search/전동면 미곡리 59", "지도Link")</f>
        <v/>
      </c>
      <c r="R1305" s="6">
        <f>HYPERLINK("http://www.eum.go.kr/web/ar/lu/luLandDet.jsp?pnu=3611038029100590000&amp;isNoScr=script&amp;mode=search", "토지이음")</f>
        <v/>
      </c>
      <c r="S1305" s="3" t="inlineStr">
        <is>
          <t>대한민국</t>
        </is>
      </c>
      <c r="T1305" s="4" t="n">
        <v>1</v>
      </c>
      <c r="U1305" s="5" t="n">
        <v>29.2</v>
      </c>
      <c r="V1305" s="4" t="n">
        <v>660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전동면 보덕리 178-8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38000</v>
      </c>
      <c r="H1306" s="4" t="n">
        <v>0</v>
      </c>
      <c r="I1306" s="4" t="n">
        <v>592</v>
      </c>
      <c r="J1306" s="4" t="n">
        <v>179</v>
      </c>
      <c r="K1306" s="5" t="n">
        <v>212.3</v>
      </c>
      <c r="L1306" s="4" t="n">
        <v>181</v>
      </c>
      <c r="M1306" s="4" t="n">
        <v>55</v>
      </c>
      <c r="N1306" s="5" t="n">
        <v>690.9</v>
      </c>
      <c r="O1306" s="3" t="inlineStr">
        <is>
          <t>신축전원주택2층,방4,욕실3,2층테라스 썬룸시공,에어컨,시스템공기청정기</t>
        </is>
      </c>
      <c r="P1306" s="6">
        <f>HYPERLINK("https://fin.land.naver.com/articles/2650718766", "매물Link")</f>
        <v/>
      </c>
      <c r="Q1306" s="6">
        <f>HYPERLINK("https://map.naver.com/p/search/전동면 보덕리 178-8", "지도Link")</f>
        <v/>
      </c>
      <c r="R1306" s="6">
        <f>HYPERLINK("http://www.eum.go.kr/web/ar/lu/luLandDet.jsp?pnu=3611038025101780008&amp;isNoScr=script&amp;mode=search", "토지이음")</f>
        <v/>
      </c>
      <c r="S1306" s="3" t="inlineStr">
        <is>
          <t>신안무소</t>
        </is>
      </c>
      <c r="T1306" s="4" t="n">
        <v>1</v>
      </c>
      <c r="U1306" s="5" t="n">
        <v>34.3</v>
      </c>
      <c r="V1306" s="4" t="n">
        <v>495</v>
      </c>
      <c r="W1306" s="3" t="inlineStr">
        <is>
          <t>계획관리지역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전동면 보덕리 271-1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25000</v>
      </c>
      <c r="H1307" s="4" t="n">
        <v>0</v>
      </c>
      <c r="I1307" s="4" t="n">
        <v>573</v>
      </c>
      <c r="J1307" s="4" t="n">
        <v>173</v>
      </c>
      <c r="K1307" s="5" t="n">
        <v>144.5</v>
      </c>
      <c r="L1307" s="4" t="n">
        <v>114</v>
      </c>
      <c r="M1307" s="4" t="n">
        <v>34</v>
      </c>
      <c r="N1307" s="5" t="n">
        <v>735.3</v>
      </c>
      <c r="O1307" s="3" t="inlineStr">
        <is>
          <t>송학산 숲세권, 자연 속 조용하고 저렴한 가성비 단독주택 매물</t>
        </is>
      </c>
      <c r="P1307" s="6">
        <f>HYPERLINK("https://fin.land.naver.com/articles/2650341538", "매물Link")</f>
        <v/>
      </c>
      <c r="Q1307" s="6">
        <f>HYPERLINK("https://map.naver.com/p/search/전동면 보덕리 271-1", "지도Link")</f>
        <v/>
      </c>
      <c r="R1307" s="6">
        <f>HYPERLINK("http://www.eum.go.kr/web/ar/lu/luLandDet.jsp?pnu=3611038025102710001&amp;isNoScr=script&amp;mode=search", "토지이음")</f>
        <v/>
      </c>
      <c r="S1307" s="3" t="inlineStr">
        <is>
          <t>세종신한</t>
        </is>
      </c>
      <c r="T1307" s="4" t="n">
        <v>1</v>
      </c>
      <c r="U1307" s="5" t="n">
        <v>47.2</v>
      </c>
      <c r="V1307" s="4" t="n">
        <v>573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전동면 송정리 171-1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40000</v>
      </c>
      <c r="H1308" s="4" t="n">
        <v>0</v>
      </c>
      <c r="I1308" s="4" t="n">
        <v>1044</v>
      </c>
      <c r="J1308" s="4" t="n">
        <v>316</v>
      </c>
      <c r="K1308" s="5" t="n">
        <v>126.6</v>
      </c>
      <c r="L1308" s="4" t="n">
        <v>115</v>
      </c>
      <c r="M1308" s="4" t="n">
        <v>35</v>
      </c>
      <c r="N1308" s="5" t="n">
        <v>1142.9</v>
      </c>
      <c r="O1308" s="3" t="inlineStr">
        <is>
          <t>조망좋고 공기좋은 송정리 전원주택 급매매</t>
        </is>
      </c>
      <c r="P1308" s="6">
        <f>HYPERLINK("https://fin.land.naver.com/articles/2655175258", "매물Link")</f>
        <v/>
      </c>
      <c r="Q1308" s="6">
        <f>HYPERLINK("https://map.naver.com/p/search/전동면 송정리 171-1", "지도Link")</f>
        <v/>
      </c>
      <c r="R1308" s="6">
        <f>HYPERLINK("http://www.eum.go.kr/web/ar/lu/luLandDet.jsp?pnu=3611038027101710001&amp;isNoScr=script&amp;mode=search", "토지이음")</f>
        <v/>
      </c>
      <c r="S1308" s="3" t="inlineStr">
        <is>
          <t>에이스</t>
        </is>
      </c>
      <c r="T1308" s="4" t="n">
        <v>1</v>
      </c>
      <c r="U1308" s="5" t="n">
        <v>35.1</v>
      </c>
      <c r="V1308" s="4" t="n">
        <v>638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전동면 심중리 356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상가주택</t>
        </is>
      </c>
      <c r="F1309" s="3" t="inlineStr">
        <is>
          <t>매매</t>
        </is>
      </c>
      <c r="G1309" s="4" t="n">
        <v>85000</v>
      </c>
      <c r="H1309" s="4" t="n">
        <v>0</v>
      </c>
      <c r="I1309" s="4" t="n">
        <v>683</v>
      </c>
      <c r="J1309" s="4" t="n">
        <v>207</v>
      </c>
      <c r="K1309" s="5" t="n">
        <v>410.6</v>
      </c>
      <c r="L1309" s="4" t="n">
        <v>278</v>
      </c>
      <c r="M1309" s="4" t="n">
        <v>84</v>
      </c>
      <c r="N1309" s="5" t="n">
        <v>1011.9</v>
      </c>
      <c r="O1309" s="3" t="inlineStr">
        <is>
          <t>세종시 상가겸용 깔끔한 2층 주택 매매</t>
        </is>
      </c>
      <c r="P1309" s="6">
        <f>HYPERLINK("https://fin.land.naver.com/articles/2652146856", "매물Link")</f>
        <v/>
      </c>
      <c r="Q1309" s="6">
        <f>HYPERLINK("https://map.naver.com/p/search/전동면 심중리 356", "지도Link")</f>
        <v/>
      </c>
      <c r="R1309" s="6">
        <f>HYPERLINK("http://www.eum.go.kr/web/ar/lu/luLandDet.jsp?pnu=3611038031103560000&amp;isNoScr=script&amp;mode=search", "토지이음")</f>
        <v/>
      </c>
      <c r="S1309" s="3" t="inlineStr">
        <is>
          <t>푸른솔</t>
        </is>
      </c>
      <c r="T1309" s="4" t="n">
        <v>1</v>
      </c>
      <c r="U1309" s="5" t="n">
        <v>66.90000000000001</v>
      </c>
      <c r="V1309" s="4" t="n">
        <v>683</v>
      </c>
      <c r="W1309" s="3" t="inlineStr">
        <is>
          <t>지정되지않음</t>
        </is>
      </c>
      <c r="X1309" s="3" t="inlineStr">
        <is>
          <t>주거기타</t>
        </is>
      </c>
      <c r="Y1309" s="3" t="inlineStr">
        <is>
          <t>평지</t>
        </is>
      </c>
      <c r="Z1309" s="3" t="inlineStr">
        <is>
          <t>부정형</t>
        </is>
      </c>
      <c r="AA1309" s="3" t="inlineStr">
        <is>
          <t>세로한면(가)</t>
        </is>
      </c>
    </row>
    <row r="1310">
      <c r="A1310" s="3" t="inlineStr">
        <is>
          <t>전동면 청람리 247-1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단독</t>
        </is>
      </c>
      <c r="F1310" s="3" t="inlineStr">
        <is>
          <t>매매</t>
        </is>
      </c>
      <c r="G1310" s="4" t="n">
        <v>55000</v>
      </c>
      <c r="H1310" s="4" t="n">
        <v>0</v>
      </c>
      <c r="I1310" s="4" t="n">
        <v>843</v>
      </c>
      <c r="J1310" s="4" t="n">
        <v>255</v>
      </c>
      <c r="K1310" s="5" t="n">
        <v>215.7</v>
      </c>
      <c r="L1310" s="4" t="n">
        <v>115</v>
      </c>
      <c r="M1310" s="4" t="n">
        <v>35</v>
      </c>
      <c r="N1310" s="5" t="n">
        <v>1571.4</v>
      </c>
      <c r="O1310" s="3" t="inlineStr">
        <is>
          <t>청람리 마을내 전원주택같은 마당넓은 단독주택매매</t>
        </is>
      </c>
      <c r="P1310" s="6">
        <f>HYPERLINK("https://fin.land.naver.com/articles/2655176771", "매물Link")</f>
        <v/>
      </c>
      <c r="Q1310" s="6">
        <f>HYPERLINK("https://map.naver.com/p/search/전동면 청람리 247-1", "지도Link")</f>
        <v/>
      </c>
      <c r="R1310" s="6">
        <f>HYPERLINK("http://www.eum.go.kr/web/ar/lu/luLandDet.jsp?pnu=3611038028102470001&amp;isNoScr=script&amp;mode=search", "토지이음")</f>
        <v/>
      </c>
      <c r="S1310" s="3" t="inlineStr">
        <is>
          <t>에이스</t>
        </is>
      </c>
      <c r="T1310" s="4" t="n">
        <v>1</v>
      </c>
      <c r="U1310" s="5" t="n">
        <v>35.9</v>
      </c>
      <c r="V1310" s="4" t="n">
        <v>843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부정형</t>
        </is>
      </c>
      <c r="AA1310" s="3" t="inlineStr">
        <is>
          <t>세로한면(가)</t>
        </is>
      </c>
    </row>
    <row r="1311">
      <c r="A1311" s="3" t="inlineStr">
        <is>
          <t>전의면 관정리 262-6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0</t>
        </is>
      </c>
      <c r="E1311" s="3" t="inlineStr">
        <is>
          <t>빌라</t>
        </is>
      </c>
      <c r="F1311" s="3" t="inlineStr">
        <is>
          <t>매매</t>
        </is>
      </c>
      <c r="G1311" s="4" t="n">
        <v>12000</v>
      </c>
      <c r="H1311" s="4" t="n">
        <v>0</v>
      </c>
      <c r="I1311" s="4" t="n">
        <v>113</v>
      </c>
      <c r="J1311" s="4" t="n">
        <v>34</v>
      </c>
      <c r="K1311" s="5" t="n">
        <v>352.9</v>
      </c>
      <c r="L1311" s="4" t="n">
        <v>101</v>
      </c>
      <c r="M1311" s="4" t="n">
        <v>31</v>
      </c>
      <c r="N1311" s="5" t="n">
        <v>387.1</v>
      </c>
      <c r="O1311" s="3" t="inlineStr">
        <is>
          <t>협의입주가능,넓은 공간 가성비 좋은 매물,주인 거주 중으로 부분 수리 됨</t>
        </is>
      </c>
      <c r="P1311" s="6">
        <f>HYPERLINK("https://fin.land.naver.com/articles/2651659664", "매물Link")</f>
        <v/>
      </c>
      <c r="Q1311" s="6">
        <f>HYPERLINK("https://map.naver.com/p/search/전의면 관정리 262-6", "지도Link")</f>
        <v/>
      </c>
      <c r="R1311" s="6">
        <f>HYPERLINK("http://www.eum.go.kr/web/ar/lu/luLandDet.jsp?pnu=3611037027102620006&amp;isNoScr=script&amp;mode=search", "토지이음")</f>
        <v/>
      </c>
      <c r="S1311" s="3" t="inlineStr">
        <is>
          <t>유정희</t>
        </is>
      </c>
      <c r="T1311" s="4" t="n">
        <v>1</v>
      </c>
      <c r="U1311" s="5" t="n">
        <v>41.8</v>
      </c>
      <c r="V1311" s="4" t="n">
        <v>796</v>
      </c>
      <c r="W1311" s="3" t="inlineStr">
        <is>
          <t>지정되지않음</t>
        </is>
      </c>
      <c r="X1311" s="3" t="inlineStr">
        <is>
          <t>다세대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전의면 다방리 173-14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45000</v>
      </c>
      <c r="H1312" s="4" t="n">
        <v>0</v>
      </c>
      <c r="I1312" s="4" t="n">
        <v>601</v>
      </c>
      <c r="J1312" s="4" t="n">
        <v>182</v>
      </c>
      <c r="K1312" s="5" t="n">
        <v>247.3</v>
      </c>
      <c r="L1312" s="4" t="n">
        <v>84</v>
      </c>
      <c r="M1312" s="4" t="n">
        <v>25</v>
      </c>
      <c r="N1312" s="5" t="n">
        <v>1800</v>
      </c>
      <c r="O1312" s="3" t="inlineStr">
        <is>
          <t>급매,단독주택,방2개,태양열</t>
        </is>
      </c>
      <c r="P1312" s="6">
        <f>HYPERLINK("https://fin.land.naver.com/articles/2650952922", "매물Link")</f>
        <v/>
      </c>
      <c r="Q1312" s="6">
        <f>HYPERLINK("https://map.naver.com/p/search/전의면 다방리 173-14", "지도Link")</f>
        <v/>
      </c>
      <c r="R1312" s="6">
        <f>HYPERLINK("http://www.eum.go.kr/web/ar/lu/luLandDet.jsp?pnu=3611037035101730014&amp;isNoScr=script&amp;mode=search", "토지이음")</f>
        <v/>
      </c>
      <c r="S1312" s="3" t="inlineStr">
        <is>
          <t>다산</t>
        </is>
      </c>
      <c r="T1312" s="4" t="n">
        <v>1</v>
      </c>
      <c r="U1312" s="5" t="n">
        <v>23.8</v>
      </c>
      <c r="V1312" s="4" t="n">
        <v>601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전의면 다방리 173-2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21000</v>
      </c>
      <c r="H1313" s="4" t="n">
        <v>0</v>
      </c>
      <c r="I1313" s="4" t="n">
        <v>330</v>
      </c>
      <c r="J1313" s="4" t="n">
        <v>100</v>
      </c>
      <c r="K1313" s="5" t="n">
        <v>210</v>
      </c>
      <c r="L1313" s="4" t="n">
        <v>48</v>
      </c>
      <c r="M1313" s="4" t="n">
        <v>15</v>
      </c>
      <c r="N1313" s="5" t="n">
        <v>1400</v>
      </c>
      <c r="O1313" s="3" t="inlineStr">
        <is>
          <t>H해온H 비암사인근, 관리비 걱정없는 목조패시브하우스, 4중단열창,텃밭</t>
        </is>
      </c>
      <c r="P1313" s="6">
        <f>HYPERLINK("https://fin.land.naver.com/articles/2653104161", "매물Link")</f>
        <v/>
      </c>
      <c r="Q1313" s="6">
        <f>HYPERLINK("https://map.naver.com/p/search/전의면 다방리 173-2", "지도Link")</f>
        <v/>
      </c>
      <c r="R1313" s="6">
        <f>HYPERLINK("http://www.eum.go.kr/web/ar/lu/luLandDet.jsp?pnu=3611037035101730002&amp;isNoScr=script&amp;mode=search", "토지이음")</f>
        <v/>
      </c>
      <c r="S1313" s="3" t="inlineStr">
        <is>
          <t>세종해온</t>
        </is>
      </c>
      <c r="T1313" s="4" t="n">
        <v>1</v>
      </c>
      <c r="U1313" s="5" t="n">
        <v>23.8</v>
      </c>
      <c r="V1313" s="4" t="n">
        <v>330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전의면 동교리 123-5</t>
        </is>
      </c>
      <c r="B1314" s="3" t="inlineStr">
        <is>
          <t>자연녹지지역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단독</t>
        </is>
      </c>
      <c r="F1314" s="3" t="inlineStr">
        <is>
          <t>매매</t>
        </is>
      </c>
      <c r="G1314" s="4" t="n">
        <v>32000</v>
      </c>
      <c r="H1314" s="4" t="n">
        <v>0</v>
      </c>
      <c r="I1314" s="4" t="n">
        <v>701</v>
      </c>
      <c r="J1314" s="4" t="n">
        <v>212</v>
      </c>
      <c r="K1314" s="5" t="n">
        <v>150.9</v>
      </c>
      <c r="L1314" s="4" t="n">
        <v>108</v>
      </c>
      <c r="M1314" s="4" t="n">
        <v>33</v>
      </c>
      <c r="N1314" s="5" t="n">
        <v>969.7</v>
      </c>
      <c r="O1314" s="3" t="inlineStr">
        <is>
          <t>세종시 전의면 주택</t>
        </is>
      </c>
      <c r="P1314" s="6">
        <f>HYPERLINK("https://fin.land.naver.com/articles/2653004166", "매물Link")</f>
        <v/>
      </c>
      <c r="Q1314" s="6">
        <f>HYPERLINK("https://map.naver.com/p/search/전의면 동교리 123-5", "지도Link")</f>
        <v/>
      </c>
      <c r="R1314" s="6">
        <f>HYPERLINK("http://www.eum.go.kr/web/ar/lu/luLandDet.jsp?pnu=3611037022101230005&amp;isNoScr=script&amp;mode=search", "토지이음")</f>
        <v/>
      </c>
      <c r="S1314" s="3" t="inlineStr">
        <is>
          <t>덕분</t>
        </is>
      </c>
      <c r="T1314" s="4" t="n">
        <v>1</v>
      </c>
      <c r="U1314" s="5" t="n">
        <v>85.7</v>
      </c>
      <c r="V1314" s="4" t="n">
        <v>701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부정형</t>
        </is>
      </c>
      <c r="AA1314" s="3" t="inlineStr">
        <is>
          <t>세로한면(가)</t>
        </is>
      </c>
    </row>
    <row r="1315">
      <c r="A1315" s="3" t="inlineStr">
        <is>
          <t>전의면 동교리 200-25</t>
        </is>
      </c>
      <c r="B1315" s="3" t="inlineStr">
        <is>
          <t>제1종일반주거지역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월세</t>
        </is>
      </c>
      <c r="G1315" s="4" t="n">
        <v>500</v>
      </c>
      <c r="H1315" s="4" t="n">
        <v>100</v>
      </c>
      <c r="I1315" s="4" t="n">
        <v>51</v>
      </c>
      <c r="J1315" s="4" t="n">
        <v>15</v>
      </c>
      <c r="K1315" s="5" t="n">
        <v>6.7</v>
      </c>
      <c r="L1315" s="4" t="n">
        <v>51</v>
      </c>
      <c r="M1315" s="4" t="n">
        <v>15</v>
      </c>
      <c r="N1315" s="5" t="n">
        <v>6.7</v>
      </c>
      <c r="O1315" s="3" t="inlineStr">
        <is>
          <t>풀옵션,올 리모델링,회사 숙소로 추천합니다</t>
        </is>
      </c>
      <c r="P1315" s="6">
        <f>HYPERLINK("https://fin.land.naver.com/articles/2650412011", "매물Link")</f>
        <v/>
      </c>
      <c r="Q1315" s="6">
        <f>HYPERLINK("https://map.naver.com/p/search/전의면 동교리 200-25", "지도Link")</f>
        <v/>
      </c>
      <c r="R1315" s="6">
        <f>HYPERLINK("http://www.eum.go.kr/web/ar/lu/luLandDet.jsp?pnu=3611037022102000025&amp;isNoScr=script&amp;mode=search", "토지이음")</f>
        <v/>
      </c>
      <c r="S1315" s="3" t="inlineStr">
        <is>
          <t>나릿재OK</t>
        </is>
      </c>
      <c r="T1315" s="4" t="n">
        <v>1</v>
      </c>
      <c r="U1315" s="5" t="n">
        <v>103</v>
      </c>
      <c r="V1315" s="4" t="n">
        <v>208.2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전의면 신방리 396</t>
        </is>
      </c>
      <c r="B1316" s="3" t="inlineStr">
        <is>
          <t>농림지역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전원주택</t>
        </is>
      </c>
      <c r="F1316" s="3" t="inlineStr">
        <is>
          <t>매매</t>
        </is>
      </c>
      <c r="G1316" s="4" t="n">
        <v>65000</v>
      </c>
      <c r="H1316" s="4" t="n">
        <v>0</v>
      </c>
      <c r="I1316" s="4" t="n">
        <v>660</v>
      </c>
      <c r="J1316" s="4" t="n">
        <v>200</v>
      </c>
      <c r="K1316" s="5" t="n">
        <v>325</v>
      </c>
      <c r="L1316" s="4" t="n">
        <v>99</v>
      </c>
      <c r="M1316" s="4" t="n">
        <v>30</v>
      </c>
      <c r="N1316" s="5" t="n">
        <v>2166.7</v>
      </c>
      <c r="O1316" s="3" t="inlineStr">
        <is>
          <t>블루베리와 소나무로 전경 좋은 단독주택 투자가치 굿</t>
        </is>
      </c>
      <c r="P1316" s="6">
        <f>HYPERLINK("https://fin.land.naver.com/articles/2654024547", "매물Link")</f>
        <v/>
      </c>
      <c r="Q1316" s="6">
        <f>HYPERLINK("https://map.naver.com/p/search/전의면 신방리 396", "지도Link")</f>
        <v/>
      </c>
      <c r="R1316" s="6">
        <f>HYPERLINK("http://www.eum.go.kr/web/ar/lu/luLandDet.jsp?pnu=3611037030103960000&amp;isNoScr=script&amp;mode=search", "토지이음")</f>
        <v/>
      </c>
      <c r="S1316" s="3" t="inlineStr">
        <is>
          <t>사랑  사무소</t>
        </is>
      </c>
      <c r="T1316" s="4" t="n">
        <v>1</v>
      </c>
      <c r="U1316" s="5" t="n">
        <v>28.5</v>
      </c>
      <c r="V1316" s="4" t="n">
        <v>660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전의면 신흥리 83-6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단독</t>
        </is>
      </c>
      <c r="F1317" s="3" t="inlineStr">
        <is>
          <t>매매</t>
        </is>
      </c>
      <c r="G1317" s="4" t="n">
        <v>25000</v>
      </c>
      <c r="H1317" s="4" t="n">
        <v>0</v>
      </c>
      <c r="I1317" s="4" t="n">
        <v>330</v>
      </c>
      <c r="J1317" s="4" t="n">
        <v>100</v>
      </c>
      <c r="K1317" s="5" t="n">
        <v>250</v>
      </c>
      <c r="L1317" s="4" t="n">
        <v>99</v>
      </c>
      <c r="M1317" s="4" t="n">
        <v>30</v>
      </c>
      <c r="N1317" s="5" t="n">
        <v>833.3</v>
      </c>
      <c r="O1317" s="3" t="inlineStr">
        <is>
          <t>nan</t>
        </is>
      </c>
      <c r="P1317" s="6">
        <f>HYPERLINK("https://fin.land.naver.com/articles/2653775680", "매물Link")</f>
        <v/>
      </c>
      <c r="Q1317" s="6">
        <f>HYPERLINK("https://map.naver.com/p/search/전의면 신흥리 83-6", "지도Link")</f>
        <v/>
      </c>
      <c r="R1317" s="6">
        <f>HYPERLINK("http://www.eum.go.kr/web/ar/lu/luLandDet.jsp?pnu=3611037025100830006&amp;isNoScr=script&amp;mode=search", "토지이음")</f>
        <v/>
      </c>
      <c r="S1317" s="3" t="inlineStr">
        <is>
          <t>세종큰길</t>
        </is>
      </c>
      <c r="T1317" s="4" t="n">
        <v>1</v>
      </c>
      <c r="U1317" s="5" t="n">
        <v>54.7</v>
      </c>
      <c r="V1317" s="4" t="n">
        <v>330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전의면 읍내리 105-1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20800</v>
      </c>
      <c r="H1318" s="4" t="n">
        <v>0</v>
      </c>
      <c r="I1318" s="4" t="n">
        <v>189</v>
      </c>
      <c r="J1318" s="4" t="n">
        <v>57</v>
      </c>
      <c r="K1318" s="5" t="n">
        <v>364.9</v>
      </c>
      <c r="L1318" s="4" t="n">
        <v>111</v>
      </c>
      <c r="M1318" s="4" t="n">
        <v>34</v>
      </c>
      <c r="N1318" s="5" t="n">
        <v>611.8</v>
      </c>
      <c r="O1318" s="3" t="inlineStr">
        <is>
          <t>nan</t>
        </is>
      </c>
      <c r="P1318" s="6">
        <f>HYPERLINK("https://fin.land.naver.com/articles/2653062908", "매물Link")</f>
        <v/>
      </c>
      <c r="Q1318" s="6">
        <f>HYPERLINK("https://map.naver.com/p/search/전의면 읍내리 105-1", "지도Link")</f>
        <v/>
      </c>
      <c r="R1318" s="6">
        <f>HYPERLINK("http://www.eum.go.kr/web/ar/lu/luLandDet.jsp?pnu=3611037021101050001&amp;isNoScr=script&amp;mode=search", "토지이음")</f>
        <v/>
      </c>
      <c r="S1318" s="3" t="inlineStr">
        <is>
          <t>코아루</t>
        </is>
      </c>
      <c r="T1318" s="4" t="n">
        <v>1</v>
      </c>
      <c r="U1318" s="5" t="n">
        <v>94</v>
      </c>
      <c r="V1318" s="4" t="n">
        <v>289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정방형</t>
        </is>
      </c>
      <c r="AA1318" s="3" t="inlineStr">
        <is>
          <t>세로한면(가)</t>
        </is>
      </c>
    </row>
    <row r="1319">
      <c r="A1319" s="3" t="inlineStr">
        <is>
          <t>전의면 읍내리 63-2</t>
        </is>
      </c>
      <c r="B1319" s="3" t="inlineStr">
        <is>
          <t>제1종일반주거지역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130000</v>
      </c>
      <c r="H1319" s="4" t="n">
        <v>0</v>
      </c>
      <c r="I1319" s="4" t="n">
        <v>1021</v>
      </c>
      <c r="J1319" s="4" t="n">
        <v>309</v>
      </c>
      <c r="K1319" s="5" t="n">
        <v>420.7</v>
      </c>
      <c r="L1319" s="4" t="n">
        <v>81</v>
      </c>
      <c r="M1319" s="4" t="n">
        <v>25</v>
      </c>
      <c r="N1319" s="5" t="n">
        <v>5200</v>
      </c>
      <c r="O1319" s="3" t="inlineStr">
        <is>
          <t>전의역 도보10분 단독주택</t>
        </is>
      </c>
      <c r="P1319" s="6">
        <f>HYPERLINK("https://fin.land.naver.com/articles/2654806664", "매물Link")</f>
        <v/>
      </c>
      <c r="Q1319" s="6">
        <f>HYPERLINK("https://map.naver.com/p/search/전의면 읍내리 63-2", "지도Link")</f>
        <v/>
      </c>
      <c r="R1319" s="6">
        <f>HYPERLINK("http://www.eum.go.kr/web/ar/lu/luLandDet.jsp?pnu=3611037021100630002&amp;isNoScr=script&amp;mode=search", "토지이음")</f>
        <v/>
      </c>
      <c r="S1319" s="3" t="inlineStr">
        <is>
          <t>황금</t>
        </is>
      </c>
      <c r="T1319" s="4" t="n">
        <v>1</v>
      </c>
      <c r="U1319" s="5" t="n">
        <v>83.40000000000001</v>
      </c>
      <c r="V1319" s="4" t="n">
        <v>1021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전의면 읍내리 88</t>
        </is>
      </c>
      <c r="B1320" s="3" t="inlineStr">
        <is>
          <t>제1종일반주거지역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35000</v>
      </c>
      <c r="H1320" s="4" t="n">
        <v>0</v>
      </c>
      <c r="I1320" s="4" t="n">
        <v>587</v>
      </c>
      <c r="J1320" s="4" t="n">
        <v>178</v>
      </c>
      <c r="K1320" s="5" t="n">
        <v>196.6</v>
      </c>
      <c r="L1320" s="4" t="n">
        <v>146</v>
      </c>
      <c r="M1320" s="4" t="n">
        <v>44</v>
      </c>
      <c r="N1320" s="5" t="n">
        <v>795.5</v>
      </c>
      <c r="O1320" s="3" t="inlineStr">
        <is>
          <t>nan</t>
        </is>
      </c>
      <c r="P1320" s="6">
        <f>HYPERLINK("https://fin.land.naver.com/articles/2651335953", "매물Link")</f>
        <v/>
      </c>
      <c r="Q1320" s="6">
        <f>HYPERLINK("https://map.naver.com/p/search/전의면 읍내리 88", "지도Link")</f>
        <v/>
      </c>
      <c r="R1320" s="6">
        <f>HYPERLINK("http://www.eum.go.kr/web/ar/lu/luLandDet.jsp?pnu=3611037021100880000&amp;isNoScr=script&amp;mode=search", "토지이음")</f>
        <v/>
      </c>
      <c r="S1320" s="3" t="inlineStr">
        <is>
          <t>세종큰길</t>
        </is>
      </c>
      <c r="T1320" s="4" t="n">
        <v>1</v>
      </c>
      <c r="U1320" s="5" t="n">
        <v>113.2</v>
      </c>
      <c r="V1320" s="4" t="n">
        <v>587.5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조치원읍 교리 11-6</t>
        </is>
      </c>
      <c r="B1321" s="3" t="inlineStr">
        <is>
          <t>제2종일반주거지역</t>
        </is>
      </c>
      <c r="C1321" s="3" t="inlineStr">
        <is>
          <t>대</t>
        </is>
      </c>
      <c r="D1321" s="3" t="inlineStr">
        <is>
          <t>4</t>
        </is>
      </c>
      <c r="E1321" s="3" t="inlineStr">
        <is>
          <t>상가주택</t>
        </is>
      </c>
      <c r="F1321" s="3" t="inlineStr">
        <is>
          <t>매매</t>
        </is>
      </c>
      <c r="G1321" s="4" t="n">
        <v>150000</v>
      </c>
      <c r="H1321" s="4" t="n">
        <v>0</v>
      </c>
      <c r="I1321" s="4" t="n">
        <v>396</v>
      </c>
      <c r="J1321" s="4" t="n">
        <v>120</v>
      </c>
      <c r="K1321" s="5" t="n">
        <v>1250</v>
      </c>
      <c r="L1321" s="4" t="n">
        <v>616</v>
      </c>
      <c r="M1321" s="4" t="n">
        <v>186</v>
      </c>
      <c r="N1321" s="5" t="n">
        <v>806.5</v>
      </c>
      <c r="O1321" s="3" t="inlineStr">
        <is>
          <t>상가주택, 2가구, 상가임대1, 가격조정가능, 주차가능</t>
        </is>
      </c>
      <c r="P1321" s="6">
        <f>HYPERLINK("https://fin.land.naver.com/articles/2650985563", "매물Link")</f>
        <v/>
      </c>
      <c r="Q1321" s="6">
        <f>HYPERLINK("https://map.naver.com/p/search/조치원읍 교리 11-6", "지도Link")</f>
        <v/>
      </c>
      <c r="R1321" s="6">
        <f>HYPERLINK("http://www.eum.go.kr/web/ar/lu/luLandDet.jsp?pnu=3611025024100110006&amp;isNoScr=script&amp;mode=search", "토지이음")</f>
        <v/>
      </c>
      <c r="S1321" s="3" t="inlineStr">
        <is>
          <t>엄마와딸</t>
        </is>
      </c>
      <c r="T1321" s="4" t="n">
        <v>1</v>
      </c>
      <c r="U1321" s="5" t="n">
        <v>283.3</v>
      </c>
      <c r="V1321" s="4" t="n">
        <v>396.4</v>
      </c>
      <c r="W1321" s="3" t="inlineStr">
        <is>
          <t>지정되지않음</t>
        </is>
      </c>
      <c r="X1321" s="3" t="inlineStr">
        <is>
          <t>주상용</t>
        </is>
      </c>
      <c r="Y1321" s="3" t="inlineStr">
        <is>
          <t>평지</t>
        </is>
      </c>
      <c r="Z1321" s="3" t="inlineStr">
        <is>
          <t>세로장방</t>
        </is>
      </c>
      <c r="AA1321" s="3" t="inlineStr">
        <is>
          <t>중로각지</t>
        </is>
      </c>
    </row>
    <row r="1322">
      <c r="A1322" s="3" t="inlineStr">
        <is>
          <t>조치원읍 교리 11-6</t>
        </is>
      </c>
      <c r="B1322" s="3" t="inlineStr">
        <is>
          <t>제2종일반주거지역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상가주택</t>
        </is>
      </c>
      <c r="F1322" s="3" t="inlineStr">
        <is>
          <t>매매</t>
        </is>
      </c>
      <c r="G1322" s="4" t="n">
        <v>140000</v>
      </c>
      <c r="H1322" s="4" t="n">
        <v>0</v>
      </c>
      <c r="I1322" s="4" t="n">
        <v>396</v>
      </c>
      <c r="J1322" s="4" t="n">
        <v>120</v>
      </c>
      <c r="K1322" s="5" t="n">
        <v>1166.7</v>
      </c>
      <c r="L1322" s="4" t="n">
        <v>616</v>
      </c>
      <c r="M1322" s="4" t="n">
        <v>186</v>
      </c>
      <c r="N1322" s="5" t="n">
        <v>752.7</v>
      </c>
      <c r="O1322" s="3" t="inlineStr">
        <is>
          <t>nan</t>
        </is>
      </c>
      <c r="P1322" s="6">
        <f>HYPERLINK("https://fin.land.naver.com/articles/2654810818", "매물Link")</f>
        <v/>
      </c>
      <c r="Q1322" s="6">
        <f>HYPERLINK("https://map.naver.com/p/search/조치원읍 교리 11-6", "지도Link")</f>
        <v/>
      </c>
      <c r="R1322" s="6">
        <f>HYPERLINK("http://www.eum.go.kr/web/ar/lu/luLandDet.jsp?pnu=3611025024100110006&amp;isNoScr=script&amp;mode=search", "토지이음")</f>
        <v/>
      </c>
      <c r="S1322" s="3" t="inlineStr">
        <is>
          <t>효자</t>
        </is>
      </c>
      <c r="T1322" s="4" t="n">
        <v>1</v>
      </c>
      <c r="U1322" s="5" t="n">
        <v>283.3</v>
      </c>
      <c r="V1322" s="4" t="n">
        <v>396.4</v>
      </c>
      <c r="W1322" s="3" t="inlineStr">
        <is>
          <t>지정되지않음</t>
        </is>
      </c>
      <c r="X1322" s="3" t="inlineStr">
        <is>
          <t>주상용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중로각지</t>
        </is>
      </c>
    </row>
    <row r="1323">
      <c r="A1323" s="3" t="inlineStr">
        <is>
          <t>조치원읍 교리 13-14</t>
        </is>
      </c>
      <c r="B1323" s="3" t="inlineStr">
        <is>
          <t>준주거지역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다가구</t>
        </is>
      </c>
      <c r="F1323" s="3" t="inlineStr">
        <is>
          <t>월세</t>
        </is>
      </c>
      <c r="G1323" s="4" t="n">
        <v>200</v>
      </c>
      <c r="H1323" s="4" t="n">
        <v>31</v>
      </c>
      <c r="I1323" s="4" t="n">
        <v>26</v>
      </c>
      <c r="J1323" s="4" t="n">
        <v>8</v>
      </c>
      <c r="K1323" s="5" t="n">
        <v>3.9</v>
      </c>
      <c r="L1323" s="4" t="n">
        <v>26</v>
      </c>
      <c r="M1323" s="4" t="n">
        <v>8</v>
      </c>
      <c r="N1323" s="5" t="n">
        <v>3.9</v>
      </c>
      <c r="O1323" s="3" t="inlineStr">
        <is>
          <t>넒은 원룸이며, 조치원시장, 조치원역 옆에 위치하여 교통 편리</t>
        </is>
      </c>
      <c r="P1323" s="6">
        <f>HYPERLINK("https://fin.land.naver.com/articles/2653987786", "매물Link")</f>
        <v/>
      </c>
      <c r="Q1323" s="6">
        <f>HYPERLINK("https://map.naver.com/p/search/조치원읍 교리 13-14", "지도Link")</f>
        <v/>
      </c>
      <c r="R1323" s="6">
        <f>HYPERLINK("http://www.eum.go.kr/web/ar/lu/luLandDet.jsp?pnu=3611025024100130014&amp;isNoScr=script&amp;mode=search", "토지이음")</f>
        <v/>
      </c>
      <c r="S1323" s="3" t="inlineStr">
        <is>
          <t>세종베스트</t>
        </is>
      </c>
      <c r="T1323" s="4" t="n">
        <v>1</v>
      </c>
      <c r="U1323" s="5" t="n">
        <v>377.9</v>
      </c>
      <c r="V1323" s="4" t="n">
        <v>305.1</v>
      </c>
      <c r="W1323" s="3" t="inlineStr">
        <is>
          <t>지정되지않음</t>
        </is>
      </c>
      <c r="X1323" s="3" t="inlineStr">
        <is>
          <t>주상나지</t>
        </is>
      </c>
      <c r="Y1323" s="3" t="inlineStr">
        <is>
          <t>평지</t>
        </is>
      </c>
      <c r="Z1323" s="3" t="inlineStr">
        <is>
          <t>가로장방</t>
        </is>
      </c>
      <c r="AA1323" s="3" t="inlineStr">
        <is>
          <t>소로각지</t>
        </is>
      </c>
    </row>
    <row r="1324">
      <c r="A1324" s="3" t="inlineStr">
        <is>
          <t>조치원읍 교리 13-15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0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60</v>
      </c>
      <c r="I1324" s="4" t="n">
        <v>0</v>
      </c>
      <c r="J1324" s="4" t="n">
        <v>0</v>
      </c>
      <c r="K1324" s="5" t="n">
        <v>0</v>
      </c>
      <c r="L1324" s="4" t="n">
        <v>49</v>
      </c>
      <c r="M1324" s="4" t="n">
        <v>15</v>
      </c>
      <c r="N1324" s="5" t="n">
        <v>4</v>
      </c>
      <c r="O1324" s="3" t="inlineStr">
        <is>
          <t>역세권 투룸 방볼수있어요</t>
        </is>
      </c>
      <c r="P1324" s="6">
        <f>HYPERLINK("https://fin.land.naver.com/articles/2653929800", "매물Link")</f>
        <v/>
      </c>
      <c r="Q1324" s="6">
        <f>HYPERLINK("https://map.naver.com/p/search/조치원읍 교리 13-15", "지도Link")</f>
        <v/>
      </c>
      <c r="R1324" s="6">
        <f>HYPERLINK("http://www.eum.go.kr/web/ar/lu/luLandDet.jsp?pnu=3611025024100130015&amp;isNoScr=script&amp;mode=search", "토지이음")</f>
        <v/>
      </c>
      <c r="S1324" s="3" t="inlineStr">
        <is>
          <t>척척</t>
        </is>
      </c>
      <c r="T1324" s="4" t="n">
        <v>1</v>
      </c>
      <c r="U1324" s="5" t="n">
        <v>316.3</v>
      </c>
      <c r="V1324" s="4" t="n">
        <v>360.9</v>
      </c>
      <c r="W1324" s="3" t="inlineStr">
        <is>
          <t>지정되지않음</t>
        </is>
      </c>
      <c r="X1324" s="3" t="inlineStr">
        <is>
          <t>주상나지</t>
        </is>
      </c>
      <c r="Y1324" s="3" t="inlineStr">
        <is>
          <t>평지</t>
        </is>
      </c>
      <c r="Z1324" s="3" t="inlineStr">
        <is>
          <t>세로장방</t>
        </is>
      </c>
      <c r="AA1324" s="3" t="inlineStr">
        <is>
          <t>세로한면(가)</t>
        </is>
      </c>
    </row>
    <row r="1325">
      <c r="A1325" s="3" t="inlineStr">
        <is>
          <t>조치원읍 교리 16-11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0</v>
      </c>
      <c r="J1325" s="4" t="n">
        <v>0</v>
      </c>
      <c r="K1325" s="5" t="n">
        <v>0</v>
      </c>
      <c r="L1325" s="4" t="n">
        <v>23</v>
      </c>
      <c r="M1325" s="4" t="n">
        <v>7</v>
      </c>
      <c r="N1325" s="5" t="n">
        <v>4.3</v>
      </c>
      <c r="O1325" s="3" t="inlineStr">
        <is>
          <t>메가박스 뒷편 조치원역 도보거리</t>
        </is>
      </c>
      <c r="P1325" s="6">
        <f>HYPERLINK("https://fin.land.naver.com/articles/2652852845", "매물Link")</f>
        <v/>
      </c>
      <c r="Q1325" s="6">
        <f>HYPERLINK("https://map.naver.com/p/search/조치원읍 교리 16-11", "지도Link")</f>
        <v/>
      </c>
      <c r="R1325" s="6">
        <f>HYPERLINK("http://www.eum.go.kr/web/ar/lu/luLandDet.jsp?pnu=3611025024100160011&amp;isNoScr=script&amp;mode=search", "토지이음")</f>
        <v/>
      </c>
      <c r="S1325" s="3" t="inlineStr">
        <is>
          <t>척척</t>
        </is>
      </c>
      <c r="T1325" s="4" t="n">
        <v>1</v>
      </c>
      <c r="U1325" s="5" t="n">
        <v>367.3</v>
      </c>
      <c r="V1325" s="4" t="n">
        <v>445</v>
      </c>
      <c r="W1325" s="3" t="inlineStr">
        <is>
          <t>지정되지않음</t>
        </is>
      </c>
      <c r="X1325" s="3" t="inlineStr">
        <is>
          <t>상업나지</t>
        </is>
      </c>
      <c r="Y1325" s="3" t="inlineStr">
        <is>
          <t>평지</t>
        </is>
      </c>
      <c r="Z1325" s="3" t="inlineStr">
        <is>
          <t>가로장방</t>
        </is>
      </c>
      <c r="AA1325" s="3" t="inlineStr">
        <is>
          <t>소로각지</t>
        </is>
      </c>
    </row>
    <row r="1326">
      <c r="A1326" s="3" t="inlineStr">
        <is>
          <t>조치원읍 교리 18-13</t>
        </is>
      </c>
      <c r="B1326" s="3" t="inlineStr">
        <is>
          <t>제2종일반주거지역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단독</t>
        </is>
      </c>
      <c r="F1326" s="3" t="inlineStr">
        <is>
          <t>매매</t>
        </is>
      </c>
      <c r="G1326" s="4" t="n">
        <v>25000</v>
      </c>
      <c r="H1326" s="4" t="n">
        <v>0</v>
      </c>
      <c r="I1326" s="4" t="n">
        <v>140</v>
      </c>
      <c r="J1326" s="4" t="n">
        <v>42</v>
      </c>
      <c r="K1326" s="5" t="n">
        <v>595.2</v>
      </c>
      <c r="L1326" s="4" t="n">
        <v>119</v>
      </c>
      <c r="M1326" s="4" t="n">
        <v>36</v>
      </c>
      <c r="N1326" s="5" t="n">
        <v>694.4</v>
      </c>
      <c r="O1326" s="3" t="inlineStr">
        <is>
          <t>행정복지센터 인근,2층 단독주택 매매</t>
        </is>
      </c>
      <c r="P1326" s="6">
        <f>HYPERLINK("https://fin.land.naver.com/articles/2654473669", "매물Link")</f>
        <v/>
      </c>
      <c r="Q1326" s="6">
        <f>HYPERLINK("https://map.naver.com/p/search/조치원읍 교리 18-13", "지도Link")</f>
        <v/>
      </c>
      <c r="R1326" s="6">
        <f>HYPERLINK("http://www.eum.go.kr/web/ar/lu/luLandDet.jsp?pnu=3611025024100180013&amp;isNoScr=script&amp;mode=search", "토지이음")</f>
        <v/>
      </c>
      <c r="S1326" s="3" t="inlineStr">
        <is>
          <t>이음 사무소</t>
        </is>
      </c>
      <c r="T1326" s="4" t="n">
        <v>1</v>
      </c>
      <c r="U1326" s="5" t="n">
        <v>229.1</v>
      </c>
      <c r="V1326" s="4" t="n">
        <v>140.8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가로장방</t>
        </is>
      </c>
      <c r="AA1326" s="3" t="inlineStr">
        <is>
          <t>소로한면</t>
        </is>
      </c>
    </row>
    <row r="1327">
      <c r="A1327" s="3" t="inlineStr">
        <is>
          <t>조치원읍 교리 18-19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전세</t>
        </is>
      </c>
      <c r="G1327" s="4" t="n">
        <v>7000</v>
      </c>
      <c r="H1327" s="4" t="n">
        <v>0</v>
      </c>
      <c r="I1327" s="4" t="n">
        <v>40</v>
      </c>
      <c r="J1327" s="4" t="n">
        <v>12</v>
      </c>
      <c r="K1327" s="5" t="n">
        <v>583.3</v>
      </c>
      <c r="L1327" s="4" t="n">
        <v>40</v>
      </c>
      <c r="M1327" s="4" t="n">
        <v>12</v>
      </c>
      <c r="N1327" s="5" t="n">
        <v>583.3</v>
      </c>
      <c r="O1327" s="3" t="inlineStr">
        <is>
          <t>2룸 조치원역 전통시장 도보가능 엘베유</t>
        </is>
      </c>
      <c r="P1327" s="6">
        <f>HYPERLINK("https://fin.land.naver.com/articles/2655164519", "매물Link")</f>
        <v/>
      </c>
      <c r="Q1327" s="6">
        <f>HYPERLINK("https://map.naver.com/p/search/조치원읍 교리 18-19", "지도Link")</f>
        <v/>
      </c>
      <c r="R1327" s="6">
        <f>HYPERLINK("http://www.eum.go.kr/web/ar/lu/luLandDet.jsp?pnu=3611025024100180019&amp;isNoScr=script&amp;mode=search", "토지이음")</f>
        <v/>
      </c>
      <c r="S1327" s="3" t="inlineStr">
        <is>
          <t>OK수</t>
        </is>
      </c>
      <c r="T1327" s="4" t="n">
        <v>1</v>
      </c>
      <c r="U1327" s="5" t="n">
        <v>283.3</v>
      </c>
      <c r="V1327" s="4" t="n">
        <v>378.9</v>
      </c>
      <c r="W1327" s="3" t="inlineStr">
        <is>
          <t>지정되지않음</t>
        </is>
      </c>
      <c r="X1327" s="3" t="inlineStr">
        <is>
          <t>주상용</t>
        </is>
      </c>
      <c r="Y1327" s="3" t="inlineStr">
        <is>
          <t>평지</t>
        </is>
      </c>
      <c r="Z1327" s="3" t="inlineStr">
        <is>
          <t>세로장방</t>
        </is>
      </c>
      <c r="AA1327" s="3" t="inlineStr">
        <is>
          <t>중로각지</t>
        </is>
      </c>
    </row>
    <row r="1328">
      <c r="A1328" s="3" t="inlineStr">
        <is>
          <t>조치원읍 교리 2-2</t>
        </is>
      </c>
      <c r="B1328" s="3" t="inlineStr">
        <is>
          <t>제2종일반주거지역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단독</t>
        </is>
      </c>
      <c r="F1328" s="3" t="inlineStr">
        <is>
          <t>매매</t>
        </is>
      </c>
      <c r="G1328" s="4" t="n">
        <v>60000</v>
      </c>
      <c r="H1328" s="4" t="n">
        <v>0</v>
      </c>
      <c r="I1328" s="4" t="n">
        <v>285</v>
      </c>
      <c r="J1328" s="4" t="n">
        <v>86</v>
      </c>
      <c r="K1328" s="5" t="n">
        <v>697.7</v>
      </c>
      <c r="L1328" s="4" t="n">
        <v>201</v>
      </c>
      <c r="M1328" s="4" t="n">
        <v>61</v>
      </c>
      <c r="N1328" s="5" t="n">
        <v>983.6</v>
      </c>
      <c r="O1328" s="3" t="inlineStr">
        <is>
          <t>문화정원 앞, 코너 2층단독주택, 옆동건축물로 월세수입 가능</t>
        </is>
      </c>
      <c r="P1328" s="6">
        <f>HYPERLINK("https://fin.land.naver.com/articles/2651076917", "매물Link")</f>
        <v/>
      </c>
      <c r="Q1328" s="6">
        <f>HYPERLINK("https://map.naver.com/p/search/조치원읍 교리 2-2", "지도Link")</f>
        <v/>
      </c>
      <c r="R1328" s="6">
        <f>HYPERLINK("http://www.eum.go.kr/web/ar/lu/luLandDet.jsp?pnu=3611025024100020002&amp;isNoScr=script&amp;mode=search", "토지이음")</f>
        <v/>
      </c>
      <c r="S1328" s="3" t="inlineStr">
        <is>
          <t>다옴</t>
        </is>
      </c>
      <c r="T1328" s="4" t="n">
        <v>1</v>
      </c>
      <c r="U1328" s="5" t="n">
        <v>302.8</v>
      </c>
      <c r="V1328" s="4" t="n">
        <v>285.6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소로각지</t>
        </is>
      </c>
    </row>
    <row r="1329">
      <c r="A1329" s="3" t="inlineStr">
        <is>
          <t>조치원읍 교리 2-27</t>
        </is>
      </c>
      <c r="B1329" s="3" t="inlineStr">
        <is>
          <t>제2종일반주거지역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단독</t>
        </is>
      </c>
      <c r="F1329" s="3" t="inlineStr">
        <is>
          <t>월세</t>
        </is>
      </c>
      <c r="G1329" s="4" t="n">
        <v>100</v>
      </c>
      <c r="H1329" s="4" t="n">
        <v>25</v>
      </c>
      <c r="I1329" s="4" t="n">
        <v>23</v>
      </c>
      <c r="J1329" s="4" t="n">
        <v>7</v>
      </c>
      <c r="K1329" s="5" t="n">
        <v>3.6</v>
      </c>
      <c r="L1329" s="4" t="n">
        <v>23</v>
      </c>
      <c r="M1329" s="4" t="n">
        <v>7</v>
      </c>
      <c r="N1329" s="5" t="n">
        <v>3.6</v>
      </c>
      <c r="O1329" s="3" t="inlineStr">
        <is>
          <t>교동초 근처 저렴한 원룸 즉시입주가능합니다</t>
        </is>
      </c>
      <c r="P1329" s="6">
        <f>HYPERLINK("https://fin.land.naver.com/articles/2651708073", "매물Link")</f>
        <v/>
      </c>
      <c r="Q1329" s="6">
        <f>HYPERLINK("https://map.naver.com/p/search/조치원읍 교리 2-27", "지도Link")</f>
        <v/>
      </c>
      <c r="R1329" s="6">
        <f>HYPERLINK("http://www.eum.go.kr/web/ar/lu/luLandDet.jsp?pnu=3611025024100020027&amp;isNoScr=script&amp;mode=search", "토지이음")</f>
        <v/>
      </c>
      <c r="S1329" s="3" t="inlineStr">
        <is>
          <t>OK수</t>
        </is>
      </c>
      <c r="T1329" s="4" t="n">
        <v>2</v>
      </c>
      <c r="U1329" s="5" t="n">
        <v>199.8</v>
      </c>
      <c r="V1329" s="4" t="n">
        <v>330.6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정방형</t>
        </is>
      </c>
      <c r="AA1329" s="3" t="inlineStr">
        <is>
          <t>세로한면(가)</t>
        </is>
      </c>
    </row>
    <row r="1330">
      <c r="A1330" s="3" t="inlineStr">
        <is>
          <t>조치원읍 교리 20-10</t>
        </is>
      </c>
      <c r="B1330" s="3" t="inlineStr">
        <is>
          <t>제2종일반주거지역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상가주택</t>
        </is>
      </c>
      <c r="F1330" s="3" t="inlineStr">
        <is>
          <t>매매</t>
        </is>
      </c>
      <c r="G1330" s="4" t="n">
        <v>46000</v>
      </c>
      <c r="H1330" s="4" t="n">
        <v>0</v>
      </c>
      <c r="I1330" s="4" t="n">
        <v>168</v>
      </c>
      <c r="J1330" s="4" t="n">
        <v>51</v>
      </c>
      <c r="K1330" s="5" t="n">
        <v>902</v>
      </c>
      <c r="L1330" s="4" t="n">
        <v>197</v>
      </c>
      <c r="M1330" s="4" t="n">
        <v>60</v>
      </c>
      <c r="N1330" s="5" t="n">
        <v>766.7</v>
      </c>
      <c r="O1330" s="3" t="inlineStr">
        <is>
          <t>리모델링된 상가주택매매입니다.월세 수익 받으시면서 실거주해보세요.</t>
        </is>
      </c>
      <c r="P1330" s="6">
        <f>HYPERLINK("https://fin.land.naver.com/articles/2652491110", "매물Link")</f>
        <v/>
      </c>
      <c r="Q1330" s="6">
        <f>HYPERLINK("https://map.naver.com/p/search/조치원읍 교리 20-10", "지도Link")</f>
        <v/>
      </c>
      <c r="R1330" s="6">
        <f>HYPERLINK("http://www.eum.go.kr/web/ar/lu/luLandDet.jsp?pnu=3611025024100200010&amp;isNoScr=script&amp;mode=search", "토지이음")</f>
        <v/>
      </c>
      <c r="S1330" s="3" t="inlineStr">
        <is>
          <t>이음</t>
        </is>
      </c>
      <c r="T1330" s="4" t="n">
        <v>1</v>
      </c>
      <c r="U1330" s="5" t="n">
        <v>367.3</v>
      </c>
      <c r="V1330" s="4" t="n">
        <v>168.6</v>
      </c>
      <c r="W1330" s="3" t="inlineStr">
        <is>
          <t>지정되지않음</t>
        </is>
      </c>
      <c r="X1330" s="3" t="inlineStr">
        <is>
          <t>상업용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소로각지</t>
        </is>
      </c>
    </row>
    <row r="1331">
      <c r="A1331" s="3" t="inlineStr">
        <is>
          <t>조치원읍 교리 20-12</t>
        </is>
      </c>
      <c r="B1331" s="3" t="inlineStr">
        <is>
          <t>제2종일반주거지역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상가주택</t>
        </is>
      </c>
      <c r="F1331" s="3" t="inlineStr">
        <is>
          <t>월세</t>
        </is>
      </c>
      <c r="G1331" s="4" t="n">
        <v>1000</v>
      </c>
      <c r="H1331" s="4" t="n">
        <v>60</v>
      </c>
      <c r="I1331" s="4" t="n">
        <v>55</v>
      </c>
      <c r="J1331" s="4" t="n">
        <v>17</v>
      </c>
      <c r="K1331" s="5" t="n">
        <v>3.5</v>
      </c>
      <c r="L1331" s="4" t="n">
        <v>55</v>
      </c>
      <c r="M1331" s="4" t="n">
        <v>17</v>
      </c>
      <c r="N1331" s="5" t="n">
        <v>3.5</v>
      </c>
      <c r="O1331" s="3" t="inlineStr">
        <is>
          <t>조치원 중심가 위치,역 근처 상권 및 편의시설 이용 좋음.</t>
        </is>
      </c>
      <c r="P1331" s="6">
        <f>HYPERLINK("https://fin.land.naver.com/articles/2651984055", "매물Link")</f>
        <v/>
      </c>
      <c r="Q1331" s="6">
        <f>HYPERLINK("https://map.naver.com/p/search/조치원읍 교리 20-12", "지도Link")</f>
        <v/>
      </c>
      <c r="R1331" s="6">
        <f>HYPERLINK("http://www.eum.go.kr/web/ar/lu/luLandDet.jsp?pnu=3611025024100200012&amp;isNoScr=script&amp;mode=search", "토지이음")</f>
        <v/>
      </c>
      <c r="S1331" s="3" t="inlineStr">
        <is>
          <t>베스트매경</t>
        </is>
      </c>
      <c r="T1331" s="4" t="n">
        <v>1</v>
      </c>
      <c r="U1331" s="5" t="n">
        <v>352.7</v>
      </c>
      <c r="V1331" s="4" t="n">
        <v>138.8</v>
      </c>
      <c r="W1331" s="3" t="inlineStr">
        <is>
          <t>지정되지않음</t>
        </is>
      </c>
      <c r="X1331" s="3" t="inlineStr">
        <is>
          <t>상업나지</t>
        </is>
      </c>
      <c r="Y1331" s="3" t="inlineStr">
        <is>
          <t>평지</t>
        </is>
      </c>
      <c r="Z1331" s="3" t="inlineStr">
        <is>
          <t>세로장방</t>
        </is>
      </c>
      <c r="AA1331" s="3" t="inlineStr">
        <is>
          <t>소로한면</t>
        </is>
      </c>
    </row>
    <row r="1332">
      <c r="A1332" s="3" t="inlineStr">
        <is>
          <t>조치원읍 교리 23-9</t>
        </is>
      </c>
      <c r="B1332" s="3" t="inlineStr">
        <is>
          <t>일반상업지역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단독</t>
        </is>
      </c>
      <c r="F1332" s="3" t="inlineStr">
        <is>
          <t>매매</t>
        </is>
      </c>
      <c r="G1332" s="4" t="n">
        <v>65000</v>
      </c>
      <c r="H1332" s="4" t="n">
        <v>0</v>
      </c>
      <c r="I1332" s="4" t="n">
        <v>192</v>
      </c>
      <c r="J1332" s="4" t="n">
        <v>58</v>
      </c>
      <c r="K1332" s="5" t="n">
        <v>1120.7</v>
      </c>
      <c r="L1332" s="4" t="n">
        <v>385</v>
      </c>
      <c r="M1332" s="4" t="n">
        <v>116</v>
      </c>
      <c r="N1332" s="5" t="n">
        <v>560.3</v>
      </c>
      <c r="O1332" s="3" t="inlineStr">
        <is>
          <t>메가박스 뒷편 용우동 상가건물 급매매</t>
        </is>
      </c>
      <c r="P1332" s="6">
        <f>HYPERLINK("https://fin.land.naver.com/articles/2654393581", "매물Link")</f>
        <v/>
      </c>
      <c r="Q1332" s="6">
        <f>HYPERLINK("https://map.naver.com/p/search/조치원읍 교리 23-9", "지도Link")</f>
        <v/>
      </c>
      <c r="R1332" s="6">
        <f>HYPERLINK("http://www.eum.go.kr/web/ar/lu/luLandDet.jsp?pnu=3611025024100230009&amp;isNoScr=script&amp;mode=search", "토지이음")</f>
        <v/>
      </c>
      <c r="S1332" s="3" t="inlineStr">
        <is>
          <t>척척</t>
        </is>
      </c>
      <c r="T1332" s="4" t="n">
        <v>1</v>
      </c>
      <c r="U1332" s="5" t="n">
        <v>410.9</v>
      </c>
      <c r="V1332" s="4" t="n">
        <v>192.7</v>
      </c>
      <c r="W1332" s="3" t="inlineStr">
        <is>
          <t>지정되지않음</t>
        </is>
      </c>
      <c r="X1332" s="3" t="inlineStr">
        <is>
          <t>상업용</t>
        </is>
      </c>
      <c r="Y1332" s="3" t="inlineStr">
        <is>
          <t>평지</t>
        </is>
      </c>
      <c r="Z1332" s="3" t="inlineStr">
        <is>
          <t>정방형</t>
        </is>
      </c>
      <c r="AA1332" s="3" t="inlineStr">
        <is>
          <t>세로한면(가)</t>
        </is>
      </c>
    </row>
    <row r="1333">
      <c r="A1333" s="3" t="inlineStr">
        <is>
          <t>조치원읍 교리 25-8</t>
        </is>
      </c>
      <c r="B1333" s="3" t="inlineStr">
        <is>
          <t>준주거지역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상가주택</t>
        </is>
      </c>
      <c r="F1333" s="3" t="inlineStr">
        <is>
          <t>월세</t>
        </is>
      </c>
      <c r="G1333" s="4" t="n">
        <v>500</v>
      </c>
      <c r="H1333" s="4" t="n">
        <v>40</v>
      </c>
      <c r="I1333" s="4" t="n">
        <v>69</v>
      </c>
      <c r="J1333" s="4" t="n">
        <v>21</v>
      </c>
      <c r="K1333" s="5" t="n">
        <v>1.9</v>
      </c>
      <c r="L1333" s="4" t="n">
        <v>69</v>
      </c>
      <c r="M1333" s="4" t="n">
        <v>21</v>
      </c>
      <c r="N1333" s="5" t="n">
        <v>1.9</v>
      </c>
      <c r="O1333" s="3" t="inlineStr">
        <is>
          <t>쓰리룸.기숙사용도로 사용 하기 좋습니다.</t>
        </is>
      </c>
      <c r="P1333" s="6">
        <f>HYPERLINK("https://fin.land.naver.com/articles/2654473654", "매물Link")</f>
        <v/>
      </c>
      <c r="Q1333" s="6">
        <f>HYPERLINK("https://map.naver.com/p/search/조치원읍 교리 25-8", "지도Link")</f>
        <v/>
      </c>
      <c r="R1333" s="6">
        <f>HYPERLINK("http://www.eum.go.kr/web/ar/lu/luLandDet.jsp?pnu=3611025024100250008&amp;isNoScr=script&amp;mode=search", "토지이음")</f>
        <v/>
      </c>
      <c r="S1333" s="3" t="inlineStr">
        <is>
          <t>이음 사무소</t>
        </is>
      </c>
      <c r="T1333" s="4" t="n">
        <v>1</v>
      </c>
      <c r="U1333" s="5" t="n">
        <v>723.3</v>
      </c>
      <c r="V1333" s="4" t="n">
        <v>125.4</v>
      </c>
      <c r="W1333" s="3" t="inlineStr">
        <is>
          <t>지정되지않음</t>
        </is>
      </c>
      <c r="X1333" s="3" t="inlineStr">
        <is>
          <t>상업용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중로한면</t>
        </is>
      </c>
    </row>
    <row r="1334">
      <c r="A1334" s="3" t="inlineStr">
        <is>
          <t>조치원읍 교리 3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연립</t>
        </is>
      </c>
      <c r="F1334" s="3" t="inlineStr">
        <is>
          <t>매매</t>
        </is>
      </c>
      <c r="G1334" s="4" t="n">
        <v>10000</v>
      </c>
      <c r="H1334" s="4" t="n">
        <v>0</v>
      </c>
      <c r="I1334" s="4" t="n">
        <v>56</v>
      </c>
      <c r="J1334" s="4" t="n">
        <v>17</v>
      </c>
      <c r="K1334" s="5" t="n">
        <v>588.2</v>
      </c>
      <c r="L1334" s="4" t="n">
        <v>51</v>
      </c>
      <c r="M1334" s="4" t="n">
        <v>15</v>
      </c>
      <c r="N1334" s="5" t="n">
        <v>666.7</v>
      </c>
      <c r="O1334" s="3" t="inlineStr">
        <is>
          <t>조치원역, 조치원 전통시장에 가까움</t>
        </is>
      </c>
      <c r="P1334" s="6">
        <f>HYPERLINK("https://fin.land.naver.com/articles/2650121694", "매물Link")</f>
        <v/>
      </c>
      <c r="Q1334" s="6">
        <f>HYPERLINK("https://map.naver.com/p/search/조치원읍 교리 3", "지도Link")</f>
        <v/>
      </c>
      <c r="R1334" s="6">
        <f>HYPERLINK("http://www.eum.go.kr/web/ar/lu/luLandDet.jsp?pnu=3611025024100030000&amp;isNoScr=script&amp;mode=search", "토지이음")</f>
        <v/>
      </c>
      <c r="S1334" s="3" t="inlineStr">
        <is>
          <t>세종베스트</t>
        </is>
      </c>
      <c r="T1334" s="4" t="n">
        <v>1</v>
      </c>
      <c r="U1334" s="5" t="n">
        <v>261.5</v>
      </c>
      <c r="V1334" s="4" t="n">
        <v>4586.5</v>
      </c>
      <c r="W1334" s="3" t="inlineStr">
        <is>
          <t>지정되지않음</t>
        </is>
      </c>
      <c r="X1334" s="3" t="inlineStr">
        <is>
          <t>연립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중로한면</t>
        </is>
      </c>
    </row>
    <row r="1335">
      <c r="A1335" s="3" t="inlineStr">
        <is>
          <t>조치원읍 교리 3</t>
        </is>
      </c>
      <c r="B1335" s="3" t="inlineStr">
        <is>
          <t>제2종일반주거지역</t>
        </is>
      </c>
      <c r="C1335" s="3" t="inlineStr">
        <is>
          <t>대</t>
        </is>
      </c>
      <c r="D1335" s="3" t="inlineStr">
        <is>
          <t>3</t>
        </is>
      </c>
      <c r="E1335" s="3" t="inlineStr">
        <is>
          <t>연립</t>
        </is>
      </c>
      <c r="F1335" s="3" t="inlineStr">
        <is>
          <t>매매</t>
        </is>
      </c>
      <c r="G1335" s="4" t="n">
        <v>10500</v>
      </c>
      <c r="H1335" s="4" t="n">
        <v>0</v>
      </c>
      <c r="I1335" s="4" t="n">
        <v>56</v>
      </c>
      <c r="J1335" s="4" t="n">
        <v>17</v>
      </c>
      <c r="K1335" s="5" t="n">
        <v>617.6</v>
      </c>
      <c r="L1335" s="4" t="n">
        <v>51</v>
      </c>
      <c r="M1335" s="4" t="n">
        <v>15</v>
      </c>
      <c r="N1335" s="5" t="n">
        <v>700</v>
      </c>
      <c r="O1335" s="3" t="inlineStr">
        <is>
          <t>샷시까지 올 리모델링됨 협의입주 가능합니다</t>
        </is>
      </c>
      <c r="P1335" s="6">
        <f>HYPERLINK("https://fin.land.naver.com/articles/2654339100", "매물Link")</f>
        <v/>
      </c>
      <c r="Q1335" s="6">
        <f>HYPERLINK("https://map.naver.com/p/search/조치원읍 교리 3", "지도Link")</f>
        <v/>
      </c>
      <c r="R1335" s="6">
        <f>HYPERLINK("http://www.eum.go.kr/web/ar/lu/luLandDet.jsp?pnu=3611025024100030000&amp;isNoScr=script&amp;mode=search", "토지이음")</f>
        <v/>
      </c>
      <c r="S1335" s="3" t="inlineStr">
        <is>
          <t>OK수</t>
        </is>
      </c>
      <c r="T1335" s="4" t="n">
        <v>1</v>
      </c>
      <c r="U1335" s="5" t="n">
        <v>261.5</v>
      </c>
      <c r="V1335" s="4" t="n">
        <v>4586.5</v>
      </c>
      <c r="W1335" s="3" t="inlineStr">
        <is>
          <t>지정되지않음</t>
        </is>
      </c>
      <c r="X1335" s="3" t="inlineStr">
        <is>
          <t>연립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중로한면</t>
        </is>
      </c>
    </row>
    <row r="1336">
      <c r="A1336" s="3" t="inlineStr">
        <is>
          <t>조치원읍 교리 4-13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28</v>
      </c>
      <c r="I1336" s="4" t="n">
        <v>25</v>
      </c>
      <c r="J1336" s="4" t="n">
        <v>8</v>
      </c>
      <c r="K1336" s="5" t="n">
        <v>3.5</v>
      </c>
      <c r="L1336" s="4" t="n">
        <v>20</v>
      </c>
      <c r="M1336" s="4" t="n">
        <v>6</v>
      </c>
      <c r="N1336" s="5" t="n">
        <v>4.7</v>
      </c>
      <c r="O1336" s="3" t="inlineStr">
        <is>
          <t>문화정원인근 깔끔 원룸.분리형.방이 넓어요.즉시입주가능.</t>
        </is>
      </c>
      <c r="P1336" s="6">
        <f>HYPERLINK("https://fin.land.naver.com/articles/2650064246", "매물Link")</f>
        <v/>
      </c>
      <c r="Q1336" s="6">
        <f>HYPERLINK("https://map.naver.com/p/search/조치원읍 교리 4-13", "지도Link")</f>
        <v/>
      </c>
      <c r="R1336" s="6">
        <f>HYPERLINK("http://www.eum.go.kr/web/ar/lu/luLandDet.jsp?pnu=3611025024100040013&amp;isNoScr=script&amp;mode=search", "토지이음")</f>
        <v/>
      </c>
      <c r="S1336" s="3" t="inlineStr">
        <is>
          <t>이음</t>
        </is>
      </c>
      <c r="T1336" s="4" t="n">
        <v>1</v>
      </c>
      <c r="U1336" s="5" t="n">
        <v>269.2</v>
      </c>
      <c r="V1336" s="4" t="n">
        <v>352.4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중로각지</t>
        </is>
      </c>
    </row>
    <row r="1337">
      <c r="A1337" s="3" t="inlineStr">
        <is>
          <t>조치원읍 교리 4-13</t>
        </is>
      </c>
      <c r="B1337" s="3" t="inlineStr">
        <is>
          <t>제2종일반주거지역</t>
        </is>
      </c>
      <c r="C1337" s="3" t="inlineStr">
        <is>
          <t>대</t>
        </is>
      </c>
      <c r="D1337" s="3" t="inlineStr">
        <is>
          <t>3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0</v>
      </c>
      <c r="J1337" s="4" t="n">
        <v>0</v>
      </c>
      <c r="K1337" s="5" t="n">
        <v>0</v>
      </c>
      <c r="L1337" s="4" t="n">
        <v>23</v>
      </c>
      <c r="M1337" s="4" t="n">
        <v>7</v>
      </c>
      <c r="N1337" s="5" t="n">
        <v>4.3</v>
      </c>
      <c r="O1337" s="3" t="inlineStr">
        <is>
          <t>역세권 투베이</t>
        </is>
      </c>
      <c r="P1337" s="6">
        <f>HYPERLINK("https://fin.land.naver.com/articles/2652851166", "매물Link")</f>
        <v/>
      </c>
      <c r="Q1337" s="6">
        <f>HYPERLINK("https://map.naver.com/p/search/조치원읍 교리 4-13", "지도Link")</f>
        <v/>
      </c>
      <c r="R1337" s="6">
        <f>HYPERLINK("http://www.eum.go.kr/web/ar/lu/luLandDet.jsp?pnu=3611025024100040013&amp;isNoScr=script&amp;mode=search", "토지이음")</f>
        <v/>
      </c>
      <c r="S1337" s="3" t="inlineStr">
        <is>
          <t>척척</t>
        </is>
      </c>
      <c r="T1337" s="4" t="n">
        <v>1</v>
      </c>
      <c r="U1337" s="5" t="n">
        <v>269.2</v>
      </c>
      <c r="V1337" s="4" t="n">
        <v>352.4</v>
      </c>
      <c r="W1337" s="3" t="inlineStr">
        <is>
          <t>지정되지않음</t>
        </is>
      </c>
      <c r="X1337" s="3" t="inlineStr">
        <is>
          <t>주거기타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중로각지</t>
        </is>
      </c>
    </row>
    <row r="1338">
      <c r="A1338" s="3" t="inlineStr">
        <is>
          <t>조치원읍 교리 7-15</t>
        </is>
      </c>
      <c r="B1338" s="3" t="inlineStr">
        <is>
          <t>제2종일반주거지역</t>
        </is>
      </c>
      <c r="C1338" s="3" t="inlineStr">
        <is>
          <t>대</t>
        </is>
      </c>
      <c r="D1338" s="3" t="inlineStr">
        <is>
          <t>6</t>
        </is>
      </c>
      <c r="E1338" s="3" t="inlineStr">
        <is>
          <t>단독</t>
        </is>
      </c>
      <c r="F1338" s="3" t="inlineStr">
        <is>
          <t>매매</t>
        </is>
      </c>
      <c r="G1338" s="4" t="n">
        <v>42000</v>
      </c>
      <c r="H1338" s="4" t="n">
        <v>0</v>
      </c>
      <c r="I1338" s="4" t="n">
        <v>139</v>
      </c>
      <c r="J1338" s="4" t="n">
        <v>42</v>
      </c>
      <c r="K1338" s="5" t="n">
        <v>1000</v>
      </c>
      <c r="L1338" s="4" t="n">
        <v>341</v>
      </c>
      <c r="M1338" s="4" t="n">
        <v>103</v>
      </c>
      <c r="N1338" s="5" t="n">
        <v>407.8</v>
      </c>
      <c r="O1338" s="3" t="inlineStr">
        <is>
          <t>6층 다가구 및 상가 통건물, 공실없이 임대수익 중</t>
        </is>
      </c>
      <c r="P1338" s="6">
        <f>HYPERLINK("https://fin.land.naver.com/articles/2654800366", "매물Link")</f>
        <v/>
      </c>
      <c r="Q1338" s="6">
        <f>HYPERLINK("https://map.naver.com/p/search/조치원읍 교리 7-15", "지도Link")</f>
        <v/>
      </c>
      <c r="R1338" s="6">
        <f>HYPERLINK("http://www.eum.go.kr/web/ar/lu/luLandDet.jsp?pnu=3611025024100070015&amp;isNoScr=script&amp;mode=search", "토지이음")</f>
        <v/>
      </c>
      <c r="S1338" s="3" t="inlineStr">
        <is>
          <t>다옴</t>
        </is>
      </c>
      <c r="T1338" s="4" t="n">
        <v>3</v>
      </c>
      <c r="U1338" s="5" t="n">
        <v>217.4</v>
      </c>
      <c r="V1338" s="4" t="n">
        <v>139.8</v>
      </c>
      <c r="W1338" s="3" t="inlineStr">
        <is>
          <t>지정되지않음</t>
        </is>
      </c>
      <c r="X1338" s="3" t="inlineStr">
        <is>
          <t>주거기타</t>
        </is>
      </c>
      <c r="Y1338" s="3" t="inlineStr">
        <is>
          <t>평지</t>
        </is>
      </c>
      <c r="Z1338" s="3" t="inlineStr">
        <is>
          <t>가로장방</t>
        </is>
      </c>
      <c r="AA1338" s="3" t="inlineStr">
        <is>
          <t>소로한면</t>
        </is>
      </c>
    </row>
    <row r="1339">
      <c r="A1339" s="3" t="inlineStr">
        <is>
          <t>조치원읍 남리 103-16</t>
        </is>
      </c>
      <c r="B1339" s="3" t="inlineStr">
        <is>
          <t>제2종일반주거지역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상가주택</t>
        </is>
      </c>
      <c r="F1339" s="3" t="inlineStr">
        <is>
          <t>매매</t>
        </is>
      </c>
      <c r="G1339" s="4" t="n">
        <v>29000</v>
      </c>
      <c r="H1339" s="4" t="n">
        <v>0</v>
      </c>
      <c r="I1339" s="4" t="n">
        <v>282</v>
      </c>
      <c r="J1339" s="4" t="n">
        <v>85</v>
      </c>
      <c r="K1339" s="5" t="n">
        <v>341.2</v>
      </c>
      <c r="L1339" s="4" t="n">
        <v>229</v>
      </c>
      <c r="M1339" s="4" t="n">
        <v>69</v>
      </c>
      <c r="N1339" s="5" t="n">
        <v>420.3</v>
      </c>
      <c r="O1339" s="3" t="inlineStr">
        <is>
          <t>1층 공장 , 2층 주택 , 도로변</t>
        </is>
      </c>
      <c r="P1339" s="6">
        <f>HYPERLINK("https://fin.land.naver.com/articles/2652084096", "매물Link")</f>
        <v/>
      </c>
      <c r="Q1339" s="6">
        <f>HYPERLINK("https://map.naver.com/p/search/조치원읍 남리 103-16", "지도Link")</f>
        <v/>
      </c>
      <c r="R1339" s="6">
        <f>HYPERLINK("http://www.eum.go.kr/web/ar/lu/luLandDet.jsp?pnu=3611025027101030016&amp;isNoScr=script&amp;mode=search", "토지이음")</f>
        <v/>
      </c>
      <c r="S1339" s="3" t="inlineStr">
        <is>
          <t>KB세종</t>
        </is>
      </c>
      <c r="T1339" s="4" t="n">
        <v>1</v>
      </c>
      <c r="U1339" s="5" t="n">
        <v>160.4</v>
      </c>
      <c r="V1339" s="4" t="n">
        <v>282</v>
      </c>
      <c r="W1339" s="3" t="inlineStr">
        <is>
          <t>지정되지않음</t>
        </is>
      </c>
      <c r="X1339" s="3" t="inlineStr">
        <is>
          <t>주거기타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세로한면(가)</t>
        </is>
      </c>
    </row>
    <row r="1340">
      <c r="A1340" s="3" t="inlineStr">
        <is>
          <t>조치원읍 남리 119-10</t>
        </is>
      </c>
      <c r="B1340" s="3" t="inlineStr">
        <is>
          <t>제2종일반주거지역</t>
        </is>
      </c>
      <c r="C1340" s="3" t="inlineStr">
        <is>
          <t>잡종지</t>
        </is>
      </c>
      <c r="D1340" s="3" t="inlineStr">
        <is>
          <t>2</t>
        </is>
      </c>
      <c r="E1340" s="3" t="inlineStr">
        <is>
          <t>다가구</t>
        </is>
      </c>
      <c r="F1340" s="3" t="inlineStr">
        <is>
          <t>월세</t>
        </is>
      </c>
      <c r="G1340" s="4" t="n">
        <v>200</v>
      </c>
      <c r="H1340" s="4" t="n">
        <v>27</v>
      </c>
      <c r="I1340" s="4" t="n">
        <v>33</v>
      </c>
      <c r="J1340" s="4" t="n">
        <v>10</v>
      </c>
      <c r="K1340" s="5" t="n">
        <v>2.7</v>
      </c>
      <c r="L1340" s="4" t="n">
        <v>19</v>
      </c>
      <c r="M1340" s="4" t="n">
        <v>6</v>
      </c>
      <c r="N1340" s="5" t="n">
        <v>4.5</v>
      </c>
      <c r="O1340" s="3" t="inlineStr">
        <is>
          <t>조치원역도보거리O막힘없는O깨끗한 원룸</t>
        </is>
      </c>
      <c r="P1340" s="6">
        <f>HYPERLINK("https://fin.land.naver.com/articles/2651069139", "매물Link")</f>
        <v/>
      </c>
      <c r="Q1340" s="6">
        <f>HYPERLINK("https://map.naver.com/p/search/조치원읍 남리 119-10", "지도Link")</f>
        <v/>
      </c>
      <c r="R1340" s="6">
        <f>HYPERLINK("http://www.eum.go.kr/web/ar/lu/luLandDet.jsp?pnu=3611025027101190010&amp;isNoScr=script&amp;mode=search", "토지이음")</f>
        <v/>
      </c>
      <c r="S1340" s="3" t="inlineStr">
        <is>
          <t>척척</t>
        </is>
      </c>
      <c r="T1340" s="4" t="n">
        <v>1</v>
      </c>
      <c r="U1340" s="5" t="n">
        <v>242.2</v>
      </c>
      <c r="V1340" s="4" t="n">
        <v>280</v>
      </c>
      <c r="W1340" s="3" t="inlineStr">
        <is>
          <t>지정되지않음</t>
        </is>
      </c>
      <c r="X1340" s="3" t="inlineStr">
        <is>
          <t>상업기타</t>
        </is>
      </c>
      <c r="Y1340" s="3" t="inlineStr">
        <is>
          <t>평지</t>
        </is>
      </c>
      <c r="Z1340" s="3" t="inlineStr">
        <is>
          <t>자루형</t>
        </is>
      </c>
      <c r="AA1340" s="3" t="inlineStr">
        <is>
          <t>세로한면(가)</t>
        </is>
      </c>
    </row>
    <row r="1341">
      <c r="A1341" s="3" t="inlineStr">
        <is>
          <t>조치원읍 남리 119-10</t>
        </is>
      </c>
      <c r="B1341" s="3" t="inlineStr">
        <is>
          <t>제2종일반주거지역</t>
        </is>
      </c>
      <c r="C1341" s="3" t="inlineStr">
        <is>
          <t>잡종지</t>
        </is>
      </c>
      <c r="D1341" s="3" t="inlineStr">
        <is>
          <t>1</t>
        </is>
      </c>
      <c r="E1341" s="3" t="inlineStr">
        <is>
          <t>일반원룸</t>
        </is>
      </c>
      <c r="F1341" s="3" t="inlineStr">
        <is>
          <t>월세</t>
        </is>
      </c>
      <c r="G1341" s="4" t="n">
        <v>200</v>
      </c>
      <c r="H1341" s="4" t="n">
        <v>25</v>
      </c>
      <c r="I1341" s="4" t="n">
        <v>33</v>
      </c>
      <c r="J1341" s="4" t="n">
        <v>10</v>
      </c>
      <c r="K1341" s="5" t="n">
        <v>2.5</v>
      </c>
      <c r="L1341" s="4" t="n">
        <v>5</v>
      </c>
      <c r="M1341" s="4" t="n">
        <v>2</v>
      </c>
      <c r="N1341" s="5" t="n">
        <v>12.5</v>
      </c>
      <c r="O1341" s="3" t="inlineStr">
        <is>
          <t>조치원역부근 1층 원룸</t>
        </is>
      </c>
      <c r="P1341" s="6">
        <f>HYPERLINK("https://fin.land.naver.com/articles/2650728690", "매물Link")</f>
        <v/>
      </c>
      <c r="Q1341" s="6">
        <f>HYPERLINK("https://map.naver.com/p/search/조치원읍 남리 119-10", "지도Link")</f>
        <v/>
      </c>
      <c r="R1341" s="6">
        <f>HYPERLINK("http://www.eum.go.kr/web/ar/lu/luLandDet.jsp?pnu=3611025027101190010&amp;isNoScr=script&amp;mode=search", "토지이음")</f>
        <v/>
      </c>
      <c r="S1341" s="3" t="inlineStr">
        <is>
          <t>척척</t>
        </is>
      </c>
      <c r="T1341" s="4" t="n">
        <v>1</v>
      </c>
      <c r="U1341" s="5" t="n">
        <v>242.2</v>
      </c>
      <c r="V1341" s="4" t="n">
        <v>280</v>
      </c>
      <c r="W1341" s="3" t="inlineStr">
        <is>
          <t>지정되지않음</t>
        </is>
      </c>
      <c r="X1341" s="3" t="inlineStr">
        <is>
          <t>상업기타</t>
        </is>
      </c>
      <c r="Y1341" s="3" t="inlineStr">
        <is>
          <t>평지</t>
        </is>
      </c>
      <c r="Z1341" s="3" t="inlineStr">
        <is>
          <t>자루형</t>
        </is>
      </c>
      <c r="AA1341" s="3" t="inlineStr">
        <is>
          <t>세로한면(가)</t>
        </is>
      </c>
    </row>
    <row r="1342">
      <c r="A1342" s="3" t="inlineStr">
        <is>
          <t>조치원읍 남리 119-12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일반원룸</t>
        </is>
      </c>
      <c r="F1342" s="3" t="inlineStr">
        <is>
          <t>월세</t>
        </is>
      </c>
      <c r="G1342" s="4" t="n">
        <v>200</v>
      </c>
      <c r="H1342" s="4" t="n">
        <v>30</v>
      </c>
      <c r="I1342" s="4" t="n">
        <v>20</v>
      </c>
      <c r="J1342" s="4" t="n">
        <v>6</v>
      </c>
      <c r="K1342" s="5" t="n">
        <v>5</v>
      </c>
      <c r="L1342" s="4" t="n">
        <v>20</v>
      </c>
      <c r="M1342" s="4" t="n">
        <v>6</v>
      </c>
      <c r="N1342" s="5" t="n">
        <v>5</v>
      </c>
      <c r="O1342" s="3" t="inlineStr">
        <is>
          <t>원룸 남향  조치원역 도보가능합니다</t>
        </is>
      </c>
      <c r="P1342" s="6">
        <f>HYPERLINK("https://fin.land.naver.com/articles/2653495764", "매물Link")</f>
        <v/>
      </c>
      <c r="Q1342" s="6">
        <f>HYPERLINK("https://map.naver.com/p/search/조치원읍 남리 119-12", "지도Link")</f>
        <v/>
      </c>
      <c r="R1342" s="6">
        <f>HYPERLINK("http://www.eum.go.kr/web/ar/lu/luLandDet.jsp?pnu=3611025027101190012&amp;isNoScr=script&amp;mode=search", "토지이음")</f>
        <v/>
      </c>
      <c r="S1342" s="3" t="inlineStr">
        <is>
          <t>OK수</t>
        </is>
      </c>
      <c r="T1342" s="4" t="n">
        <v>1</v>
      </c>
      <c r="U1342" s="5" t="n">
        <v>282.8</v>
      </c>
      <c r="V1342" s="4" t="n">
        <v>485</v>
      </c>
      <c r="W1342" s="3" t="inlineStr">
        <is>
          <t>지정되지않음</t>
        </is>
      </c>
      <c r="X1342" s="3" t="inlineStr">
        <is>
          <t>상업기타</t>
        </is>
      </c>
      <c r="Y1342" s="3" t="inlineStr">
        <is>
          <t>평지</t>
        </is>
      </c>
      <c r="Z1342" s="3" t="inlineStr">
        <is>
          <t>세로장방</t>
        </is>
      </c>
      <c r="AA1342" s="3" t="inlineStr">
        <is>
          <t>소로한면</t>
        </is>
      </c>
    </row>
    <row r="1343">
      <c r="A1343" s="3" t="inlineStr">
        <is>
          <t>조치원읍 남리 119-12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200</v>
      </c>
      <c r="H1343" s="4" t="n">
        <v>30</v>
      </c>
      <c r="I1343" s="4" t="n">
        <v>39</v>
      </c>
      <c r="J1343" s="4" t="n">
        <v>12</v>
      </c>
      <c r="K1343" s="5" t="n">
        <v>2.5</v>
      </c>
      <c r="L1343" s="4" t="n">
        <v>26</v>
      </c>
      <c r="M1343" s="4" t="n">
        <v>8</v>
      </c>
      <c r="N1343" s="5" t="n">
        <v>3.8</v>
      </c>
      <c r="O1343" s="3" t="inlineStr">
        <is>
          <t>남향 조치원시내권도보거리 주차시설완비 완벽풀옵션</t>
        </is>
      </c>
      <c r="P1343" s="6">
        <f>HYPERLINK("https://fin.land.naver.com/articles/2652366588", "매물Link")</f>
        <v/>
      </c>
      <c r="Q1343" s="6">
        <f>HYPERLINK("https://map.naver.com/p/search/조치원읍 남리 119-12", "지도Link")</f>
        <v/>
      </c>
      <c r="R1343" s="6">
        <f>HYPERLINK("http://www.eum.go.kr/web/ar/lu/luLandDet.jsp?pnu=3611025027101190012&amp;isNoScr=script&amp;mode=search", "토지이음")</f>
        <v/>
      </c>
      <c r="S1343" s="3" t="inlineStr">
        <is>
          <t>척척</t>
        </is>
      </c>
      <c r="T1343" s="4" t="n">
        <v>1</v>
      </c>
      <c r="U1343" s="5" t="n">
        <v>282.8</v>
      </c>
      <c r="V1343" s="4" t="n">
        <v>485</v>
      </c>
      <c r="W1343" s="3" t="inlineStr">
        <is>
          <t>지정되지않음</t>
        </is>
      </c>
      <c r="X1343" s="3" t="inlineStr">
        <is>
          <t>상업기타</t>
        </is>
      </c>
      <c r="Y1343" s="3" t="inlineStr">
        <is>
          <t>평지</t>
        </is>
      </c>
      <c r="Z1343" s="3" t="inlineStr">
        <is>
          <t>세로장방</t>
        </is>
      </c>
      <c r="AA1343" s="3" t="inlineStr">
        <is>
          <t>소로한면</t>
        </is>
      </c>
    </row>
    <row r="1344">
      <c r="A1344" s="3" t="inlineStr">
        <is>
          <t>조치원읍 남리 119-6</t>
        </is>
      </c>
      <c r="B1344" s="3" t="inlineStr">
        <is>
          <t>제2종일반주거지역</t>
        </is>
      </c>
      <c r="C1344" s="3" t="inlineStr">
        <is>
          <t>잡종지</t>
        </is>
      </c>
      <c r="D1344" s="3" t="inlineStr">
        <is>
          <t>3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23</v>
      </c>
      <c r="I1344" s="4" t="n">
        <v>0</v>
      </c>
      <c r="J1344" s="4" t="n">
        <v>0</v>
      </c>
      <c r="K1344" s="5" t="n">
        <v>0</v>
      </c>
      <c r="L1344" s="4" t="n">
        <v>19</v>
      </c>
      <c r="M1344" s="4" t="n">
        <v>6</v>
      </c>
      <c r="N1344" s="5" t="n">
        <v>3.8</v>
      </c>
      <c r="O1344" s="3" t="inlineStr">
        <is>
          <t>남리 버스정류장 가까운 위치</t>
        </is>
      </c>
      <c r="P1344" s="6">
        <f>HYPERLINK("https://fin.land.naver.com/articles/2654005712", "매물Link")</f>
        <v/>
      </c>
      <c r="Q1344" s="6">
        <f>HYPERLINK("https://map.naver.com/p/search/조치원읍 남리 119-6", "지도Link")</f>
        <v/>
      </c>
      <c r="R1344" s="6">
        <f>HYPERLINK("http://www.eum.go.kr/web/ar/lu/luLandDet.jsp?pnu=3611025027101190006&amp;isNoScr=script&amp;mode=search", "토지이음")</f>
        <v/>
      </c>
      <c r="S1344" s="3" t="inlineStr">
        <is>
          <t>척척</t>
        </is>
      </c>
      <c r="T1344" s="4" t="n">
        <v>1</v>
      </c>
      <c r="U1344" s="5" t="n">
        <v>285.5</v>
      </c>
      <c r="V1344" s="4" t="n">
        <v>249</v>
      </c>
      <c r="W1344" s="3" t="inlineStr">
        <is>
          <t>지정되지않음</t>
        </is>
      </c>
      <c r="X1344" s="3" t="inlineStr">
        <is>
          <t>상업기타</t>
        </is>
      </c>
      <c r="Y1344" s="3" t="inlineStr">
        <is>
          <t>평지</t>
        </is>
      </c>
      <c r="Z1344" s="3" t="inlineStr">
        <is>
          <t>정방형</t>
        </is>
      </c>
      <c r="AA1344" s="3" t="inlineStr">
        <is>
          <t>소로한면</t>
        </is>
      </c>
    </row>
    <row r="1345">
      <c r="A1345" s="3" t="inlineStr">
        <is>
          <t>조치원읍 남리 119-6</t>
        </is>
      </c>
      <c r="B1345" s="3" t="inlineStr">
        <is>
          <t>제2종일반주거지역</t>
        </is>
      </c>
      <c r="C1345" s="3" t="inlineStr">
        <is>
          <t>잡종지</t>
        </is>
      </c>
      <c r="D1345" s="3" t="inlineStr">
        <is>
          <t>1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200</v>
      </c>
      <c r="H1345" s="4" t="n">
        <v>27</v>
      </c>
      <c r="I1345" s="4" t="n">
        <v>16</v>
      </c>
      <c r="J1345" s="4" t="n">
        <v>5</v>
      </c>
      <c r="K1345" s="5" t="n">
        <v>5.4</v>
      </c>
      <c r="L1345" s="4" t="n">
        <v>16</v>
      </c>
      <c r="M1345" s="4" t="n">
        <v>5</v>
      </c>
      <c r="N1345" s="5" t="n">
        <v>5.4</v>
      </c>
      <c r="O1345" s="3" t="inlineStr">
        <is>
          <t>아늑하고 깔끔한 풀옵션,교통과 생활이 아주 편리,가성비 좋음,즉시 입주</t>
        </is>
      </c>
      <c r="P1345" s="6">
        <f>HYPERLINK("https://fin.land.naver.com/articles/2651659898", "매물Link")</f>
        <v/>
      </c>
      <c r="Q1345" s="6">
        <f>HYPERLINK("https://map.naver.com/p/search/조치원읍 남리 119-6", "지도Link")</f>
        <v/>
      </c>
      <c r="R1345" s="6">
        <f>HYPERLINK("http://www.eum.go.kr/web/ar/lu/luLandDet.jsp?pnu=3611025027101190006&amp;isNoScr=script&amp;mode=search", "토지이음")</f>
        <v/>
      </c>
      <c r="S1345" s="3" t="inlineStr">
        <is>
          <t>유정희</t>
        </is>
      </c>
      <c r="T1345" s="4" t="n">
        <v>1</v>
      </c>
      <c r="U1345" s="5" t="n">
        <v>285.5</v>
      </c>
      <c r="V1345" s="4" t="n">
        <v>249</v>
      </c>
      <c r="W1345" s="3" t="inlineStr">
        <is>
          <t>지정되지않음</t>
        </is>
      </c>
      <c r="X1345" s="3" t="inlineStr">
        <is>
          <t>상업기타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소로한면</t>
        </is>
      </c>
    </row>
    <row r="1346">
      <c r="A1346" s="3" t="inlineStr">
        <is>
          <t>조치원읍 남리 119-6</t>
        </is>
      </c>
      <c r="B1346" s="3" t="inlineStr">
        <is>
          <t>제2종일반주거지역</t>
        </is>
      </c>
      <c r="C1346" s="3" t="inlineStr">
        <is>
          <t>잡종지</t>
        </is>
      </c>
      <c r="D1346" s="3" t="inlineStr">
        <is>
          <t>4</t>
        </is>
      </c>
      <c r="E1346" s="3" t="inlineStr">
        <is>
          <t>단독</t>
        </is>
      </c>
      <c r="F1346" s="3" t="inlineStr">
        <is>
          <t>월세</t>
        </is>
      </c>
      <c r="G1346" s="4" t="n">
        <v>200</v>
      </c>
      <c r="H1346" s="4" t="n">
        <v>27</v>
      </c>
      <c r="I1346" s="4" t="n">
        <v>26</v>
      </c>
      <c r="J1346" s="4" t="n">
        <v>8</v>
      </c>
      <c r="K1346" s="5" t="n">
        <v>3.4</v>
      </c>
      <c r="L1346" s="4" t="n">
        <v>26</v>
      </c>
      <c r="M1346" s="4" t="n">
        <v>8</v>
      </c>
      <c r="N1346" s="5" t="n">
        <v>3.4</v>
      </c>
      <c r="O1346" s="3" t="inlineStr">
        <is>
          <t>조치원 시내의 교통 편리하고  깔끔한 원룸</t>
        </is>
      </c>
      <c r="P1346" s="6">
        <f>HYPERLINK("https://fin.land.naver.com/articles/2653992392", "매물Link")</f>
        <v/>
      </c>
      <c r="Q1346" s="6">
        <f>HYPERLINK("https://map.naver.com/p/search/조치원읍 남리 119-6", "지도Link")</f>
        <v/>
      </c>
      <c r="R1346" s="6">
        <f>HYPERLINK("http://www.eum.go.kr/web/ar/lu/luLandDet.jsp?pnu=3611025027101190006&amp;isNoScr=script&amp;mode=search", "토지이음")</f>
        <v/>
      </c>
      <c r="S1346" s="3" t="inlineStr">
        <is>
          <t>세종베스트</t>
        </is>
      </c>
      <c r="T1346" s="4" t="n">
        <v>1</v>
      </c>
      <c r="U1346" s="5" t="n">
        <v>285.5</v>
      </c>
      <c r="V1346" s="4" t="n">
        <v>249</v>
      </c>
      <c r="W1346" s="3" t="inlineStr">
        <is>
          <t>지정되지않음</t>
        </is>
      </c>
      <c r="X1346" s="3" t="inlineStr">
        <is>
          <t>상업기타</t>
        </is>
      </c>
      <c r="Y1346" s="3" t="inlineStr">
        <is>
          <t>평지</t>
        </is>
      </c>
      <c r="Z1346" s="3" t="inlineStr">
        <is>
          <t>정방형</t>
        </is>
      </c>
      <c r="AA1346" s="3" t="inlineStr">
        <is>
          <t>소로한면</t>
        </is>
      </c>
    </row>
    <row r="1347">
      <c r="A1347" s="3" t="inlineStr">
        <is>
          <t>조치원읍 남리 12-34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16500</v>
      </c>
      <c r="H1347" s="4" t="n">
        <v>0</v>
      </c>
      <c r="I1347" s="4" t="n">
        <v>108</v>
      </c>
      <c r="J1347" s="4" t="n">
        <v>33</v>
      </c>
      <c r="K1347" s="5" t="n">
        <v>500</v>
      </c>
      <c r="L1347" s="4" t="n">
        <v>110</v>
      </c>
      <c r="M1347" s="4" t="n">
        <v>33</v>
      </c>
      <c r="N1347" s="5" t="n">
        <v>500</v>
      </c>
      <c r="O1347" s="3" t="inlineStr">
        <is>
          <t>남리 우성볼링장 뒷편  주택거주하고싶은분 추천합니다</t>
        </is>
      </c>
      <c r="P1347" s="6">
        <f>HYPERLINK("https://fin.land.naver.com/articles/2655702346", "매물Link")</f>
        <v/>
      </c>
      <c r="Q1347" s="6">
        <f>HYPERLINK("https://map.naver.com/p/search/조치원읍 남리 12-34", "지도Link")</f>
        <v/>
      </c>
      <c r="R1347" s="6">
        <f>HYPERLINK("http://www.eum.go.kr/web/ar/lu/luLandDet.jsp?pnu=3611025027100120034&amp;isNoScr=script&amp;mode=search", "토지이음")</f>
        <v/>
      </c>
      <c r="S1347" s="3" t="inlineStr">
        <is>
          <t>OK수</t>
        </is>
      </c>
      <c r="T1347" s="4" t="n">
        <v>1</v>
      </c>
      <c r="U1347" s="5" t="n">
        <v>196.8</v>
      </c>
      <c r="V1347" s="4" t="n">
        <v>108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조치원읍 남리 299-2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월세</t>
        </is>
      </c>
      <c r="G1348" s="4" t="n">
        <v>200</v>
      </c>
      <c r="H1348" s="4" t="n">
        <v>30</v>
      </c>
      <c r="I1348" s="4" t="n">
        <v>26</v>
      </c>
      <c r="J1348" s="4" t="n">
        <v>8</v>
      </c>
      <c r="K1348" s="5" t="n">
        <v>3.8</v>
      </c>
      <c r="L1348" s="4" t="n">
        <v>19</v>
      </c>
      <c r="M1348" s="4" t="n">
        <v>6</v>
      </c>
      <c r="N1348" s="5" t="n">
        <v>5</v>
      </c>
      <c r="O1348" s="3" t="inlineStr">
        <is>
          <t>주방분리형.시장1분. 역3분.깔끔한방</t>
        </is>
      </c>
      <c r="P1348" s="6">
        <f>HYPERLINK("https://fin.land.naver.com/articles/2653684540", "매물Link")</f>
        <v/>
      </c>
      <c r="Q1348" s="6">
        <f>HYPERLINK("https://map.naver.com/p/search/조치원읍 남리 299-2", "지도Link")</f>
        <v/>
      </c>
      <c r="R1348" s="6">
        <f>HYPERLINK("http://www.eum.go.kr/web/ar/lu/luLandDet.jsp?pnu=3611025027102990002&amp;isNoScr=script&amp;mode=search", "토지이음")</f>
        <v/>
      </c>
      <c r="S1348" s="3" t="inlineStr">
        <is>
          <t>마이룸</t>
        </is>
      </c>
      <c r="T1348" s="4" t="n">
        <v>1</v>
      </c>
      <c r="U1348" s="5" t="n">
        <v>223.9</v>
      </c>
      <c r="V1348" s="4" t="n">
        <v>407.8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소로각지</t>
        </is>
      </c>
    </row>
    <row r="1349">
      <c r="A1349" s="3" t="inlineStr">
        <is>
          <t>조치원읍 남리 322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단독</t>
        </is>
      </c>
      <c r="F1349" s="3" t="inlineStr">
        <is>
          <t>월세</t>
        </is>
      </c>
      <c r="G1349" s="4" t="n">
        <v>200</v>
      </c>
      <c r="H1349" s="4" t="n">
        <v>54</v>
      </c>
      <c r="I1349" s="4" t="n">
        <v>49</v>
      </c>
      <c r="J1349" s="4" t="n">
        <v>15</v>
      </c>
      <c r="K1349" s="5" t="n">
        <v>3.6</v>
      </c>
      <c r="L1349" s="4" t="n">
        <v>42</v>
      </c>
      <c r="M1349" s="4" t="n">
        <v>13</v>
      </c>
      <c r="N1349" s="5" t="n">
        <v>4.2</v>
      </c>
      <c r="O1349" s="3" t="inlineStr">
        <is>
          <t>리모델링된 투룸 주택 빠른입주 협의</t>
        </is>
      </c>
      <c r="P1349" s="6">
        <f>HYPERLINK("https://fin.land.naver.com/articles/2654029961", "매물Link")</f>
        <v/>
      </c>
      <c r="Q1349" s="6">
        <f>HYPERLINK("https://map.naver.com/p/search/조치원읍 남리 322", "지도Link")</f>
        <v/>
      </c>
      <c r="R1349" s="6">
        <f>HYPERLINK("http://www.eum.go.kr/web/ar/lu/luLandDet.jsp?pnu=3611025027103220000&amp;isNoScr=script&amp;mode=search", "토지이음")</f>
        <v/>
      </c>
      <c r="S1349" s="3" t="inlineStr">
        <is>
          <t>척척</t>
        </is>
      </c>
      <c r="T1349" s="4" t="n">
        <v>1</v>
      </c>
      <c r="U1349" s="5" t="n">
        <v>393.7</v>
      </c>
      <c r="V1349" s="4" t="n">
        <v>155.8</v>
      </c>
      <c r="W1349" s="3" t="inlineStr">
        <is>
          <t>지정되지않음</t>
        </is>
      </c>
      <c r="X1349" s="3" t="inlineStr">
        <is>
          <t>상업용</t>
        </is>
      </c>
      <c r="Y1349" s="3" t="inlineStr">
        <is>
          <t>평지</t>
        </is>
      </c>
      <c r="Z1349" s="3" t="inlineStr">
        <is>
          <t>가로장방</t>
        </is>
      </c>
      <c r="AA1349" s="3" t="inlineStr">
        <is>
          <t>중로각지</t>
        </is>
      </c>
    </row>
    <row r="1350">
      <c r="A1350" s="3" t="inlineStr">
        <is>
          <t>조치원읍 남리 327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월세</t>
        </is>
      </c>
      <c r="G1350" s="4" t="n">
        <v>500</v>
      </c>
      <c r="H1350" s="4" t="n">
        <v>55</v>
      </c>
      <c r="I1350" s="4" t="n">
        <v>57</v>
      </c>
      <c r="J1350" s="4" t="n">
        <v>17</v>
      </c>
      <c r="K1350" s="5" t="n">
        <v>3.2</v>
      </c>
      <c r="L1350" s="4" t="n">
        <v>57</v>
      </c>
      <c r="M1350" s="4" t="n">
        <v>17</v>
      </c>
      <c r="N1350" s="5" t="n">
        <v>3.2</v>
      </c>
      <c r="O1350" s="3" t="inlineStr">
        <is>
          <t>남리 수리후 첫입주 1층 2룸  즉시입주 가능합니다</t>
        </is>
      </c>
      <c r="P1350" s="6">
        <f>HYPERLINK("https://fin.land.naver.com/articles/2654337746", "매물Link")</f>
        <v/>
      </c>
      <c r="Q1350" s="6">
        <f>HYPERLINK("https://map.naver.com/p/search/조치원읍 남리 327", "지도Link")</f>
        <v/>
      </c>
      <c r="R1350" s="6">
        <f>HYPERLINK("http://www.eum.go.kr/web/ar/lu/luLandDet.jsp?pnu=3611025027103270000&amp;isNoScr=script&amp;mode=search", "토지이음")</f>
        <v/>
      </c>
      <c r="S1350" s="3" t="inlineStr">
        <is>
          <t>OK수</t>
        </is>
      </c>
      <c r="T1350" s="4" t="n">
        <v>1</v>
      </c>
      <c r="U1350" s="5" t="n">
        <v>272.9</v>
      </c>
      <c r="V1350" s="4" t="n">
        <v>222.4</v>
      </c>
      <c r="W1350" s="3" t="inlineStr">
        <is>
          <t>지정되지않음</t>
        </is>
      </c>
      <c r="X1350" s="3" t="inlineStr">
        <is>
          <t>상업용</t>
        </is>
      </c>
      <c r="Y1350" s="3" t="inlineStr">
        <is>
          <t>평지</t>
        </is>
      </c>
      <c r="Z1350" s="3" t="inlineStr">
        <is>
          <t>세로장방</t>
        </is>
      </c>
      <c r="AA1350" s="3" t="inlineStr">
        <is>
          <t>소로한면</t>
        </is>
      </c>
    </row>
    <row r="1351">
      <c r="A1351" s="3" t="inlineStr">
        <is>
          <t>조치원읍 남리 351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3</t>
        </is>
      </c>
      <c r="E1351" s="3" t="inlineStr">
        <is>
          <t>도시형생활주택</t>
        </is>
      </c>
      <c r="F1351" s="3" t="inlineStr">
        <is>
          <t>월세</t>
        </is>
      </c>
      <c r="G1351" s="4" t="n">
        <v>200</v>
      </c>
      <c r="H1351" s="4" t="n">
        <v>31</v>
      </c>
      <c r="I1351" s="4" t="n">
        <v>25</v>
      </c>
      <c r="J1351" s="4" t="n">
        <v>8</v>
      </c>
      <c r="K1351" s="5" t="n">
        <v>3.9</v>
      </c>
      <c r="L1351" s="4" t="n">
        <v>17</v>
      </c>
      <c r="M1351" s="4" t="n">
        <v>5</v>
      </c>
      <c r="N1351" s="5" t="n">
        <v>6.2</v>
      </c>
      <c r="O1351" s="3" t="inlineStr">
        <is>
          <t>세종 명품 오피스텔</t>
        </is>
      </c>
      <c r="P1351" s="6">
        <f>HYPERLINK("https://fin.land.naver.com/articles/2654414962", "매물Link")</f>
        <v/>
      </c>
      <c r="Q1351" s="6">
        <f>HYPERLINK("https://map.naver.com/p/search/조치원읍 남리 351", "지도Link")</f>
        <v/>
      </c>
      <c r="R1351" s="6">
        <f>HYPERLINK("http://www.eum.go.kr/web/ar/lu/luLandDet.jsp?pnu=3611025027103510000&amp;isNoScr=script&amp;mode=search",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278.9</v>
      </c>
      <c r="V1351" s="4" t="n">
        <v>812.5</v>
      </c>
      <c r="W1351" s="3" t="inlineStr">
        <is>
          <t>지정되지않음</t>
        </is>
      </c>
      <c r="X1351" s="3" t="inlineStr">
        <is>
          <t>상업용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조치원읍 남리 351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도시형생활주택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25</v>
      </c>
      <c r="J1352" s="4" t="n">
        <v>8</v>
      </c>
      <c r="K1352" s="5" t="n">
        <v>3.8</v>
      </c>
      <c r="L1352" s="4" t="n">
        <v>16</v>
      </c>
      <c r="M1352" s="4" t="n">
        <v>5</v>
      </c>
      <c r="N1352" s="5" t="n">
        <v>6</v>
      </c>
      <c r="O1352" s="3" t="inlineStr">
        <is>
          <t>남리 깔끔1룸 월세,엘베있음.</t>
        </is>
      </c>
      <c r="P1352" s="6">
        <f>HYPERLINK("https://fin.land.naver.com/articles/2650099249", "매물Link")</f>
        <v/>
      </c>
      <c r="Q1352" s="6">
        <f>HYPERLINK("https://map.naver.com/p/search/조치원읍 남리 351", "지도Link")</f>
        <v/>
      </c>
      <c r="R1352" s="6">
        <f>HYPERLINK("http://www.eum.go.kr/web/ar/lu/luLandDet.jsp?pnu=3611025027103510000&amp;isNoScr=script&amp;mode=search", "토지이음")</f>
        <v/>
      </c>
      <c r="S1352" s="3" t="inlineStr">
        <is>
          <t>이음</t>
        </is>
      </c>
      <c r="T1352" s="4" t="n">
        <v>1</v>
      </c>
      <c r="U1352" s="5" t="n">
        <v>278.9</v>
      </c>
      <c r="V1352" s="4" t="n">
        <v>812.5</v>
      </c>
      <c r="W1352" s="3" t="inlineStr">
        <is>
          <t>지정되지않음</t>
        </is>
      </c>
      <c r="X1352" s="3" t="inlineStr">
        <is>
          <t>상업용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조치원읍 남리 351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0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200</v>
      </c>
      <c r="H1353" s="4" t="n">
        <v>30</v>
      </c>
      <c r="I1353" s="4" t="n">
        <v>39</v>
      </c>
      <c r="J1353" s="4" t="n">
        <v>12</v>
      </c>
      <c r="K1353" s="5" t="n">
        <v>2.5</v>
      </c>
      <c r="L1353" s="4" t="n">
        <v>26</v>
      </c>
      <c r="M1353" s="4" t="n">
        <v>8</v>
      </c>
      <c r="N1353" s="5" t="n">
        <v>3.8</v>
      </c>
      <c r="O1353" s="3" t="inlineStr">
        <is>
          <t>넓은싸이즈 깔끔한 오피스텔 편리한주차시설 엘리베이터완비</t>
        </is>
      </c>
      <c r="P1353" s="6">
        <f>HYPERLINK("https://fin.land.naver.com/articles/2650578754", "매물Link")</f>
        <v/>
      </c>
      <c r="Q1353" s="6">
        <f>HYPERLINK("https://map.naver.com/p/search/조치원읍 남리 351", "지도Link")</f>
        <v/>
      </c>
      <c r="R1353" s="6">
        <f>HYPERLINK("http://www.eum.go.kr/web/ar/lu/luLandDet.jsp?pnu=3611025027103510000&amp;isNoScr=script&amp;mode=search", "토지이음")</f>
        <v/>
      </c>
      <c r="S1353" s="3" t="inlineStr">
        <is>
          <t>척척</t>
        </is>
      </c>
      <c r="T1353" s="4" t="n">
        <v>1</v>
      </c>
      <c r="U1353" s="5" t="n">
        <v>278.9</v>
      </c>
      <c r="V1353" s="4" t="n">
        <v>812.5</v>
      </c>
      <c r="W1353" s="3" t="inlineStr">
        <is>
          <t>지정되지않음</t>
        </is>
      </c>
      <c r="X1353" s="3" t="inlineStr">
        <is>
          <t>상업용</t>
        </is>
      </c>
      <c r="Y1353" s="3" t="inlineStr">
        <is>
          <t>평지</t>
        </is>
      </c>
      <c r="Z1353" s="3" t="inlineStr">
        <is>
          <t>세로장방</t>
        </is>
      </c>
      <c r="AA1353" s="3" t="inlineStr">
        <is>
          <t>소로각지</t>
        </is>
      </c>
    </row>
    <row r="1354">
      <c r="A1354" s="3" t="inlineStr">
        <is>
          <t>조치원읍 남리 354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4</t>
        </is>
      </c>
      <c r="E1354" s="3" t="inlineStr">
        <is>
          <t>일반원룸</t>
        </is>
      </c>
      <c r="F1354" s="3" t="inlineStr">
        <is>
          <t>단기임대</t>
        </is>
      </c>
      <c r="G1354" s="4" t="n">
        <v>120</v>
      </c>
      <c r="H1354" s="4" t="n">
        <v>40</v>
      </c>
      <c r="I1354" s="4" t="n">
        <v>29</v>
      </c>
      <c r="J1354" s="4" t="n">
        <v>9</v>
      </c>
      <c r="K1354" s="5" t="n">
        <v>13.3</v>
      </c>
      <c r="L1354" s="4" t="n">
        <v>20</v>
      </c>
      <c r="M1354" s="4" t="n">
        <v>6</v>
      </c>
      <c r="N1354" s="5" t="n">
        <v>20</v>
      </c>
      <c r="O1354" s="3" t="inlineStr">
        <is>
          <t>단기 2개월도 임대가능 명품원룸 조치원역도보5분 주차넉넉 즉시입주</t>
        </is>
      </c>
      <c r="P1354" s="6">
        <f>HYPERLINK("https://fin.land.naver.com/articles/2651797631", "매물Link")</f>
        <v/>
      </c>
      <c r="Q1354" s="6">
        <f>HYPERLINK("https://map.naver.com/p/search/조치원읍 남리 354", "지도Link")</f>
        <v/>
      </c>
      <c r="R1354" s="6">
        <f>HYPERLINK("http://www.eum.go.kr/web/ar/lu/luLandDet.jsp?pnu=3611025027103540000&amp;isNoScr=script&amp;mode=search", "토지이음")</f>
        <v/>
      </c>
      <c r="S1354" s="3" t="inlineStr">
        <is>
          <t>까치</t>
        </is>
      </c>
      <c r="T1354" s="4" t="n">
        <v>1</v>
      </c>
      <c r="U1354" s="5" t="n">
        <v>275.7</v>
      </c>
      <c r="V1354" s="4" t="n">
        <v>605.2</v>
      </c>
      <c r="W1354" s="3" t="inlineStr">
        <is>
          <t>지정되지않음</t>
        </is>
      </c>
      <c r="X1354" s="3" t="inlineStr">
        <is>
          <t>상업나지</t>
        </is>
      </c>
      <c r="Y1354" s="3" t="inlineStr">
        <is>
          <t>평지</t>
        </is>
      </c>
      <c r="Z1354" s="3" t="inlineStr">
        <is>
          <t>정방형</t>
        </is>
      </c>
      <c r="AA1354" s="3" t="inlineStr">
        <is>
          <t>소로한면</t>
        </is>
      </c>
    </row>
    <row r="1355">
      <c r="A1355" s="3" t="inlineStr">
        <is>
          <t>조치원읍 남리 354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4</t>
        </is>
      </c>
      <c r="E1355" s="3" t="inlineStr">
        <is>
          <t>일반원룸</t>
        </is>
      </c>
      <c r="F1355" s="3" t="inlineStr">
        <is>
          <t>단기임대</t>
        </is>
      </c>
      <c r="G1355" s="4" t="n">
        <v>150</v>
      </c>
      <c r="H1355" s="4" t="n">
        <v>40</v>
      </c>
      <c r="I1355" s="4" t="n">
        <v>30</v>
      </c>
      <c r="J1355" s="4" t="n">
        <v>9</v>
      </c>
      <c r="K1355" s="5" t="n">
        <v>16.7</v>
      </c>
      <c r="L1355" s="4" t="n">
        <v>21</v>
      </c>
      <c r="M1355" s="4" t="n">
        <v>6</v>
      </c>
      <c r="N1355" s="5" t="n">
        <v>25</v>
      </c>
      <c r="O1355" s="3" t="inlineStr">
        <is>
          <t>조치원명품원룸 도시형생활주택 조치원역도보5분  즉시입주가능 관리소장근무</t>
        </is>
      </c>
      <c r="P1355" s="6">
        <f>HYPERLINK("https://fin.land.naver.com/articles/2651801042", "매물Link")</f>
        <v/>
      </c>
      <c r="Q1355" s="6">
        <f>HYPERLINK("https://map.naver.com/p/search/조치원읍 남리 354", "지도Link")</f>
        <v/>
      </c>
      <c r="R1355" s="6">
        <f>HYPERLINK("http://www.eum.go.kr/web/ar/lu/luLandDet.jsp?pnu=3611025027103540000&amp;isNoScr=script&amp;mode=search", "토지이음")</f>
        <v/>
      </c>
      <c r="S1355" s="3" t="inlineStr">
        <is>
          <t>까치</t>
        </is>
      </c>
      <c r="T1355" s="4" t="n">
        <v>1</v>
      </c>
      <c r="U1355" s="5" t="n">
        <v>275.7</v>
      </c>
      <c r="V1355" s="4" t="n">
        <v>605.2</v>
      </c>
      <c r="W1355" s="3" t="inlineStr">
        <is>
          <t>지정되지않음</t>
        </is>
      </c>
      <c r="X1355" s="3" t="inlineStr">
        <is>
          <t>상업나지</t>
        </is>
      </c>
      <c r="Y1355" s="3" t="inlineStr">
        <is>
          <t>평지</t>
        </is>
      </c>
      <c r="Z1355" s="3" t="inlineStr">
        <is>
          <t>정방형</t>
        </is>
      </c>
      <c r="AA1355" s="3" t="inlineStr">
        <is>
          <t>소로한면</t>
        </is>
      </c>
    </row>
    <row r="1356">
      <c r="A1356" s="3" t="inlineStr">
        <is>
          <t>조치원읍 남리 354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150</v>
      </c>
      <c r="H1356" s="4" t="n">
        <v>32</v>
      </c>
      <c r="I1356" s="4" t="n">
        <v>24</v>
      </c>
      <c r="J1356" s="4" t="n">
        <v>7</v>
      </c>
      <c r="K1356" s="5" t="n">
        <v>4.6</v>
      </c>
      <c r="L1356" s="4" t="n">
        <v>13</v>
      </c>
      <c r="M1356" s="4" t="n">
        <v>4</v>
      </c>
      <c r="N1356" s="5" t="n">
        <v>8</v>
      </c>
      <c r="O1356" s="3" t="inlineStr">
        <is>
          <t>조치원명품원룸 도시형생활주택 조치원역도보5분  즉시입주가능 관리소장근무</t>
        </is>
      </c>
      <c r="P1356" s="6">
        <f>HYPERLINK("https://fin.land.naver.com/articles/2651832029", "매물Link")</f>
        <v/>
      </c>
      <c r="Q1356" s="6">
        <f>HYPERLINK("https://map.naver.com/p/search/조치원읍 남리 354", "지도Link")</f>
        <v/>
      </c>
      <c r="R1356" s="6">
        <f>HYPERLINK("http://www.eum.go.kr/web/ar/lu/luLandDet.jsp?pnu=3611025027103540000&amp;isNoScr=script&amp;mode=search", "토지이음")</f>
        <v/>
      </c>
      <c r="S1356" s="3" t="inlineStr">
        <is>
          <t>까치</t>
        </is>
      </c>
      <c r="T1356" s="4" t="n">
        <v>1</v>
      </c>
      <c r="U1356" s="5" t="n">
        <v>275.7</v>
      </c>
      <c r="V1356" s="4" t="n">
        <v>605.2</v>
      </c>
      <c r="W1356" s="3" t="inlineStr">
        <is>
          <t>지정되지않음</t>
        </is>
      </c>
      <c r="X1356" s="3" t="inlineStr">
        <is>
          <t>상업나지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소로한면</t>
        </is>
      </c>
    </row>
    <row r="1357">
      <c r="A1357" s="3" t="inlineStr">
        <is>
          <t>조치원읍 남리 354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일반원룸</t>
        </is>
      </c>
      <c r="F1357" s="3" t="inlineStr">
        <is>
          <t>단기임대</t>
        </is>
      </c>
      <c r="G1357" s="4" t="n">
        <v>150</v>
      </c>
      <c r="H1357" s="4" t="n">
        <v>38</v>
      </c>
      <c r="I1357" s="4" t="n">
        <v>30</v>
      </c>
      <c r="J1357" s="4" t="n">
        <v>9</v>
      </c>
      <c r="K1357" s="5" t="n">
        <v>16.7</v>
      </c>
      <c r="L1357" s="4" t="n">
        <v>21</v>
      </c>
      <c r="M1357" s="4" t="n">
        <v>6</v>
      </c>
      <c r="N1357" s="5" t="n">
        <v>25</v>
      </c>
      <c r="O1357" s="3" t="inlineStr">
        <is>
          <t>조치원명품원룸 도시형생활주택 조치원역도보5분  즉시입주가능 관리소장근무</t>
        </is>
      </c>
      <c r="P1357" s="6">
        <f>HYPERLINK("https://fin.land.naver.com/articles/2651839350", "매물Link")</f>
        <v/>
      </c>
      <c r="Q1357" s="6">
        <f>HYPERLINK("https://map.naver.com/p/search/조치원읍 남리 354", "지도Link")</f>
        <v/>
      </c>
      <c r="R1357" s="6">
        <f>HYPERLINK("http://www.eum.go.kr/web/ar/lu/luLandDet.jsp?pnu=3611025027103540000&amp;isNoScr=script&amp;mode=search", "토지이음")</f>
        <v/>
      </c>
      <c r="S1357" s="3" t="inlineStr">
        <is>
          <t>까치</t>
        </is>
      </c>
      <c r="T1357" s="4" t="n">
        <v>1</v>
      </c>
      <c r="U1357" s="5" t="n">
        <v>275.7</v>
      </c>
      <c r="V1357" s="4" t="n">
        <v>605.2</v>
      </c>
      <c r="W1357" s="3" t="inlineStr">
        <is>
          <t>지정되지않음</t>
        </is>
      </c>
      <c r="X1357" s="3" t="inlineStr">
        <is>
          <t>상업나지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소로한면</t>
        </is>
      </c>
    </row>
    <row r="1358">
      <c r="A1358" s="3" t="inlineStr">
        <is>
          <t>조치원읍 남리 354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5</t>
        </is>
      </c>
      <c r="E1358" s="3" t="inlineStr">
        <is>
          <t>도시형생활주택</t>
        </is>
      </c>
      <c r="F1358" s="3" t="inlineStr">
        <is>
          <t>월세</t>
        </is>
      </c>
      <c r="G1358" s="4" t="n">
        <v>200</v>
      </c>
      <c r="H1358" s="4" t="n">
        <v>30</v>
      </c>
      <c r="I1358" s="4" t="n">
        <v>29</v>
      </c>
      <c r="J1358" s="4" t="n">
        <v>9</v>
      </c>
      <c r="K1358" s="5" t="n">
        <v>3.3</v>
      </c>
      <c r="L1358" s="4" t="n">
        <v>20</v>
      </c>
      <c r="M1358" s="4" t="n">
        <v>6</v>
      </c>
      <c r="N1358" s="5" t="n">
        <v>5</v>
      </c>
      <c r="O1358" s="3" t="inlineStr">
        <is>
          <t>조치원역 도보가능 풀옵션 조용한 주택가 즉시입주가능합니다</t>
        </is>
      </c>
      <c r="P1358" s="6">
        <f>HYPERLINK("https://fin.land.naver.com/articles/2655655277", "매물Link")</f>
        <v/>
      </c>
      <c r="Q1358" s="6">
        <f>HYPERLINK("https://map.naver.com/p/search/조치원읍 남리 354", "지도Link")</f>
        <v/>
      </c>
      <c r="R1358" s="6">
        <f>HYPERLINK("http://www.eum.go.kr/web/ar/lu/luLandDet.jsp?pnu=3611025027103540000&amp;isNoScr=script&amp;mode=search", "토지이음")</f>
        <v/>
      </c>
      <c r="S1358" s="3" t="inlineStr">
        <is>
          <t>OK수</t>
        </is>
      </c>
      <c r="T1358" s="4" t="n">
        <v>1</v>
      </c>
      <c r="U1358" s="5" t="n">
        <v>275.7</v>
      </c>
      <c r="V1358" s="4" t="n">
        <v>605.2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정방형</t>
        </is>
      </c>
      <c r="AA1358" s="3" t="inlineStr">
        <is>
          <t>소로한면</t>
        </is>
      </c>
    </row>
    <row r="1359">
      <c r="A1359" s="3" t="inlineStr">
        <is>
          <t>조치원읍 남리 367-1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30</v>
      </c>
      <c r="I1359" s="4" t="n">
        <v>23</v>
      </c>
      <c r="J1359" s="4" t="n">
        <v>7</v>
      </c>
      <c r="K1359" s="5" t="n">
        <v>4.3</v>
      </c>
      <c r="L1359" s="4" t="n">
        <v>18</v>
      </c>
      <c r="M1359" s="4" t="n">
        <v>5</v>
      </c>
      <c r="N1359" s="5" t="n">
        <v>6</v>
      </c>
      <c r="O1359" s="3" t="inlineStr">
        <is>
          <t>방크고 저렴한 원룸</t>
        </is>
      </c>
      <c r="P1359" s="6">
        <f>HYPERLINK("https://fin.land.naver.com/articles/2650575812", "매물Link")</f>
        <v/>
      </c>
      <c r="Q1359" s="6">
        <f>HYPERLINK("https://map.naver.com/p/search/조치원읍 남리 367-1", "지도Link")</f>
        <v/>
      </c>
      <c r="R1359" s="6">
        <f>HYPERLINK("http://www.eum.go.kr/web/ar/lu/luLandDet.jsp?pnu=3611025027103670001&amp;isNoScr=script&amp;mode=search", "토지이음")</f>
        <v/>
      </c>
      <c r="S1359" s="3" t="inlineStr">
        <is>
          <t>골드</t>
        </is>
      </c>
      <c r="T1359" s="4" t="n">
        <v>1</v>
      </c>
      <c r="U1359" s="5" t="n">
        <v>280.4</v>
      </c>
      <c r="V1359" s="4" t="n">
        <v>270.8</v>
      </c>
      <c r="W1359" s="3" t="inlineStr">
        <is>
          <t>지정되지않음</t>
        </is>
      </c>
      <c r="X1359" s="3" t="inlineStr">
        <is>
          <t>상업나지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중로한면</t>
        </is>
      </c>
    </row>
    <row r="1360">
      <c r="A1360" s="3" t="inlineStr">
        <is>
          <t>조치원읍 남리 368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0</t>
        </is>
      </c>
      <c r="E1360" s="3" t="inlineStr">
        <is>
          <t>단독</t>
        </is>
      </c>
      <c r="F1360" s="3" t="inlineStr">
        <is>
          <t>전세</t>
        </is>
      </c>
      <c r="G1360" s="4" t="n">
        <v>4200</v>
      </c>
      <c r="H1360" s="4" t="n">
        <v>0</v>
      </c>
      <c r="I1360" s="4" t="n">
        <v>46</v>
      </c>
      <c r="J1360" s="4" t="n">
        <v>14</v>
      </c>
      <c r="K1360" s="5" t="n">
        <v>300</v>
      </c>
      <c r="L1360" s="4" t="n">
        <v>33</v>
      </c>
      <c r="M1360" s="4" t="n">
        <v>10</v>
      </c>
      <c r="N1360" s="5" t="n">
        <v>420</v>
      </c>
      <c r="O1360" s="3" t="inlineStr">
        <is>
          <t>nan</t>
        </is>
      </c>
      <c r="P1360" s="6">
        <f>HYPERLINK("https://fin.land.naver.com/articles/2653251952", "매물Link")</f>
        <v/>
      </c>
      <c r="Q1360" s="6">
        <f>HYPERLINK("https://map.naver.com/p/search/조치원읍 남리 368", "지도Link")</f>
        <v/>
      </c>
      <c r="R1360" s="6">
        <f>HYPERLINK("http://www.eum.go.kr/web/ar/lu/luLandDet.jsp?pnu=3611025027103680000&amp;isNoScr=script&amp;mode=search", "토지이음")</f>
        <v/>
      </c>
      <c r="S1360" s="3" t="inlineStr">
        <is>
          <t>척척</t>
        </is>
      </c>
      <c r="T1360" s="4" t="n">
        <v>1</v>
      </c>
      <c r="U1360" s="5" t="n">
        <v>280.4</v>
      </c>
      <c r="V1360" s="4" t="n">
        <v>549.4</v>
      </c>
      <c r="W1360" s="3" t="inlineStr">
        <is>
          <t>지정되지않음</t>
        </is>
      </c>
      <c r="X1360" s="3" t="inlineStr">
        <is>
          <t>상업나지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남리 37-4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29</v>
      </c>
      <c r="I1361" s="4" t="n">
        <v>39</v>
      </c>
      <c r="J1361" s="4" t="n">
        <v>12</v>
      </c>
      <c r="K1361" s="5" t="n">
        <v>2.4</v>
      </c>
      <c r="L1361" s="4" t="n">
        <v>26</v>
      </c>
      <c r="M1361" s="4" t="n">
        <v>8</v>
      </c>
      <c r="N1361" s="5" t="n">
        <v>3.6</v>
      </c>
      <c r="O1361" s="3" t="inlineStr">
        <is>
          <t>조치원역 인근O엘리베이터O인프라좋아요</t>
        </is>
      </c>
      <c r="P1361" s="6">
        <f>HYPERLINK("https://fin.land.naver.com/articles/2653996242", "매물Link")</f>
        <v/>
      </c>
      <c r="Q1361" s="6">
        <f>HYPERLINK("https://map.naver.com/p/search/조치원읍 남리 37-4", "지도Link")</f>
        <v/>
      </c>
      <c r="R1361" s="6">
        <f>HYPERLINK("http://www.eum.go.kr/web/ar/lu/luLandDet.jsp?pnu=3611025027100370004&amp;isNoScr=script&amp;mode=search", "토지이음")</f>
        <v/>
      </c>
      <c r="S1361" s="3" t="inlineStr">
        <is>
          <t>척척</t>
        </is>
      </c>
      <c r="T1361" s="4" t="n">
        <v>1</v>
      </c>
      <c r="U1361" s="5" t="n">
        <v>254.6</v>
      </c>
      <c r="V1361" s="4" t="n">
        <v>221</v>
      </c>
      <c r="W1361" s="3" t="inlineStr">
        <is>
          <t>지정되지않음</t>
        </is>
      </c>
      <c r="X1361" s="3" t="inlineStr">
        <is>
          <t>상업용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소로한면</t>
        </is>
      </c>
    </row>
    <row r="1362">
      <c r="A1362" s="3" t="inlineStr">
        <is>
          <t>조치원읍 남리 397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500</v>
      </c>
      <c r="H1362" s="4" t="n">
        <v>45</v>
      </c>
      <c r="I1362" s="4" t="n">
        <v>49</v>
      </c>
      <c r="J1362" s="4" t="n">
        <v>15</v>
      </c>
      <c r="K1362" s="5" t="n">
        <v>3</v>
      </c>
      <c r="L1362" s="4" t="n">
        <v>42</v>
      </c>
      <c r="M1362" s="4" t="n">
        <v>13</v>
      </c>
      <c r="N1362" s="5" t="n">
        <v>3.5</v>
      </c>
      <c r="O1362" s="3" t="inlineStr">
        <is>
          <t>저렴하고 넓은 투룸O엘리베이터O전용주차장O가전제품완비</t>
        </is>
      </c>
      <c r="P1362" s="6">
        <f>HYPERLINK("https://fin.land.naver.com/articles/2655636417", "매물Link")</f>
        <v/>
      </c>
      <c r="Q1362" s="6">
        <f>HYPERLINK("https://map.naver.com/p/search/조치원읍 남리 397", "지도Link")</f>
        <v/>
      </c>
      <c r="R1362" s="6">
        <f>HYPERLINK("http://www.eum.go.kr/web/ar/lu/luLandDet.jsp?pnu=3611025027103970000&amp;isNoScr=script&amp;mode=search",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286.1</v>
      </c>
      <c r="V1362" s="4" t="n">
        <v>546.2</v>
      </c>
      <c r="W1362" s="3" t="inlineStr">
        <is>
          <t>지정되지않음</t>
        </is>
      </c>
      <c r="X1362" s="3" t="inlineStr">
        <is>
          <t>상업나지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중로한면</t>
        </is>
      </c>
    </row>
    <row r="1363">
      <c r="A1363" s="3" t="inlineStr">
        <is>
          <t>조치원읍 남리 397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45</v>
      </c>
      <c r="I1363" s="4" t="n">
        <v>52</v>
      </c>
      <c r="J1363" s="4" t="n">
        <v>16</v>
      </c>
      <c r="K1363" s="5" t="n">
        <v>2.8</v>
      </c>
      <c r="L1363" s="4" t="n">
        <v>42</v>
      </c>
      <c r="M1363" s="4" t="n">
        <v>13</v>
      </c>
      <c r="N1363" s="5" t="n">
        <v>3.5</v>
      </c>
      <c r="O1363" s="3" t="inlineStr">
        <is>
          <t>조치원역,시장 10분거리, 투룸,엘리베이터O,먹자골목위치,채광환기짱</t>
        </is>
      </c>
      <c r="P1363" s="6">
        <f>HYPERLINK("https://fin.land.naver.com/articles/2651743053", "매물Link")</f>
        <v/>
      </c>
      <c r="Q1363" s="6">
        <f>HYPERLINK("https://map.naver.com/p/search/조치원읍 남리 397", "지도Link")</f>
        <v/>
      </c>
      <c r="R1363" s="6">
        <f>HYPERLINK("http://www.eum.go.kr/web/ar/lu/luLandDet.jsp?pnu=3611025027103970000&amp;isNoScr=script&amp;mode=search", "토지이음")</f>
        <v/>
      </c>
      <c r="S1363" s="3" t="inlineStr">
        <is>
          <t>오송메카</t>
        </is>
      </c>
      <c r="T1363" s="4" t="n">
        <v>1</v>
      </c>
      <c r="U1363" s="5" t="n">
        <v>286.1</v>
      </c>
      <c r="V1363" s="4" t="n">
        <v>546.2</v>
      </c>
      <c r="W1363" s="3" t="inlineStr">
        <is>
          <t>지정되지않음</t>
        </is>
      </c>
      <c r="X1363" s="3" t="inlineStr">
        <is>
          <t>상업나지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중로한면</t>
        </is>
      </c>
    </row>
    <row r="1364">
      <c r="A1364" s="3" t="inlineStr">
        <is>
          <t>조치원읍 남리 408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다가구</t>
        </is>
      </c>
      <c r="F1364" s="3" t="inlineStr">
        <is>
          <t>월세</t>
        </is>
      </c>
      <c r="G1364" s="4" t="n">
        <v>500</v>
      </c>
      <c r="H1364" s="4" t="n">
        <v>55</v>
      </c>
      <c r="I1364" s="4" t="n">
        <v>59</v>
      </c>
      <c r="J1364" s="4" t="n">
        <v>18</v>
      </c>
      <c r="K1364" s="5" t="n">
        <v>3.1</v>
      </c>
      <c r="L1364" s="4" t="n">
        <v>49</v>
      </c>
      <c r="M1364" s="4" t="n">
        <v>15</v>
      </c>
      <c r="N1364" s="5" t="n">
        <v>3.7</v>
      </c>
      <c r="O1364" s="3" t="inlineStr">
        <is>
          <t>관리비없음.큰투룸.즉시입주.조치원시내상권편리</t>
        </is>
      </c>
      <c r="P1364" s="6">
        <f>HYPERLINK("https://fin.land.naver.com/articles/2654028930", "매물Link")</f>
        <v/>
      </c>
      <c r="Q1364" s="6">
        <f>HYPERLINK("https://map.naver.com/p/search/조치원읍 남리 408", "지도Link")</f>
        <v/>
      </c>
      <c r="R1364" s="6">
        <f>HYPERLINK("http://www.eum.go.kr/web/ar/lu/luLandDet.jsp?pnu=3611025027104080000&amp;isNoScr=script&amp;mode=search",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240.7</v>
      </c>
      <c r="V1364" s="4" t="n">
        <v>475.8</v>
      </c>
      <c r="W1364" s="3" t="inlineStr">
        <is>
          <t>지정되지않음</t>
        </is>
      </c>
      <c r="X1364" s="3" t="inlineStr">
        <is>
          <t>상업기타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조치원읍 남리 421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30</v>
      </c>
      <c r="I1365" s="4" t="n">
        <v>42</v>
      </c>
      <c r="J1365" s="4" t="n">
        <v>13</v>
      </c>
      <c r="K1365" s="5" t="n">
        <v>2.3</v>
      </c>
      <c r="L1365" s="4" t="n">
        <v>36</v>
      </c>
      <c r="M1365" s="4" t="n">
        <v>11</v>
      </c>
      <c r="N1365" s="5" t="n">
        <v>2.7</v>
      </c>
      <c r="O1365" s="3" t="inlineStr">
        <is>
          <t>풀옵션완비.주차시설편리.조치원시내권.역도가까워요</t>
        </is>
      </c>
      <c r="P1365" s="6">
        <f>HYPERLINK("https://fin.land.naver.com/articles/2652875059", "매물Link")</f>
        <v/>
      </c>
      <c r="Q1365" s="6">
        <f>HYPERLINK("https://map.naver.com/p/search/조치원읍 남리 421", "지도Link")</f>
        <v/>
      </c>
      <c r="R1365" s="6">
        <f>HYPERLINK("http://www.eum.go.kr/web/ar/lu/luLandDet.jsp?pnu=3611025027104210000&amp;isNoScr=script&amp;mode=search",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284.6</v>
      </c>
      <c r="V1365" s="4" t="n">
        <v>248</v>
      </c>
      <c r="W1365" s="3" t="inlineStr">
        <is>
          <t>지정되지않음</t>
        </is>
      </c>
      <c r="X1365" s="3" t="inlineStr">
        <is>
          <t>상업나지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소로각지</t>
        </is>
      </c>
    </row>
    <row r="1366">
      <c r="A1366" s="3" t="inlineStr">
        <is>
          <t>조치원읍 남리 421-1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27</v>
      </c>
      <c r="I1366" s="4" t="n">
        <v>39</v>
      </c>
      <c r="J1366" s="4" t="n">
        <v>12</v>
      </c>
      <c r="K1366" s="5" t="n">
        <v>2.2</v>
      </c>
      <c r="L1366" s="4" t="n">
        <v>23</v>
      </c>
      <c r="M1366" s="4" t="n">
        <v>7</v>
      </c>
      <c r="N1366" s="5" t="n">
        <v>3.9</v>
      </c>
      <c r="O1366" s="3" t="inlineStr">
        <is>
          <t>보증금 100만원.조치원역 도보7분.즉시입주.</t>
        </is>
      </c>
      <c r="P1366" s="6">
        <f>HYPERLINK("https://fin.land.naver.com/articles/2654958726", "매물Link")</f>
        <v/>
      </c>
      <c r="Q1366" s="6">
        <f>HYPERLINK("https://map.naver.com/p/search/조치원읍 남리 421-1", "지도Link")</f>
        <v/>
      </c>
      <c r="R1366" s="6">
        <f>HYPERLINK("http://www.eum.go.kr/web/ar/lu/luLandDet.jsp?pnu=3611025027104210001&amp;isNoScr=script&amp;mode=search",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272.9</v>
      </c>
      <c r="V1366" s="4" t="n">
        <v>249.5</v>
      </c>
      <c r="W1366" s="3" t="inlineStr">
        <is>
          <t>지정되지않음</t>
        </is>
      </c>
      <c r="X1366" s="3" t="inlineStr">
        <is>
          <t>상업나지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소로한면</t>
        </is>
      </c>
    </row>
    <row r="1367">
      <c r="A1367" s="3" t="inlineStr">
        <is>
          <t>조치원읍 남리 442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500</v>
      </c>
      <c r="H1367" s="4" t="n">
        <v>50</v>
      </c>
      <c r="I1367" s="4" t="n">
        <v>46</v>
      </c>
      <c r="J1367" s="4" t="n">
        <v>14</v>
      </c>
      <c r="K1367" s="5" t="n">
        <v>3.6</v>
      </c>
      <c r="L1367" s="4" t="n">
        <v>39</v>
      </c>
      <c r="M1367" s="4" t="n">
        <v>12</v>
      </c>
      <c r="N1367" s="5" t="n">
        <v>4.2</v>
      </c>
      <c r="O1367" s="3" t="inlineStr">
        <is>
          <t>조치원역부근 깔끔한 투룸 월세</t>
        </is>
      </c>
      <c r="P1367" s="6">
        <f>HYPERLINK("https://fin.land.naver.com/articles/2655652276", "매물Link")</f>
        <v/>
      </c>
      <c r="Q1367" s="6">
        <f>HYPERLINK("https://map.naver.com/p/search/조치원읍 남리 442", "지도Link")</f>
        <v/>
      </c>
      <c r="R1367" s="6">
        <f>HYPERLINK("http://www.eum.go.kr/web/ar/lu/luLandDet.jsp?pnu=3611025027104420000&amp;isNoScr=script&amp;mode=search",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190.8</v>
      </c>
      <c r="V1367" s="4" t="n">
        <v>340.5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조치원읍 남리 445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150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저렴한 원룸.가성비 짱.조치원역도보거리.시내권.</t>
        </is>
      </c>
      <c r="P1368" s="6">
        <f>HYPERLINK("https://fin.land.naver.com/articles/2652559742", "매물Link")</f>
        <v/>
      </c>
      <c r="Q1368" s="6">
        <f>HYPERLINK("https://map.naver.com/p/search/조치원읍 남리 445", "지도Link")</f>
        <v/>
      </c>
      <c r="R1368" s="6">
        <f>HYPERLINK("http://www.eum.go.kr/web/ar/lu/luLandDet.jsp?pnu=3611025027104450000&amp;isNoScr=script&amp;mode=search",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207.7</v>
      </c>
      <c r="V1368" s="4" t="n">
        <v>287.8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473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39</v>
      </c>
      <c r="J1369" s="4" t="n">
        <v>12</v>
      </c>
      <c r="K1369" s="5" t="n">
        <v>2.5</v>
      </c>
      <c r="L1369" s="4" t="n">
        <v>23</v>
      </c>
      <c r="M1369" s="4" t="n">
        <v>7</v>
      </c>
      <c r="N1369" s="5" t="n">
        <v>4.3</v>
      </c>
      <c r="O1369" s="3" t="inlineStr">
        <is>
          <t>채광좋은 배란다 아주 크고 깨끗한 방</t>
        </is>
      </c>
      <c r="P1369" s="6">
        <f>HYPERLINK("https://fin.land.naver.com/articles/2654582313", "매물Link")</f>
        <v/>
      </c>
      <c r="Q1369" s="6">
        <f>HYPERLINK("https://map.naver.com/p/search/조치원읍 남리 473", "지도Link")</f>
        <v/>
      </c>
      <c r="R1369" s="6">
        <f>HYPERLINK("http://www.eum.go.kr/web/ar/lu/luLandDet.jsp?pnu=3611025027104730000&amp;isNoScr=script&amp;mode=search",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261.8</v>
      </c>
      <c r="V1369" s="4" t="n">
        <v>446.7</v>
      </c>
      <c r="W1369" s="3" t="inlineStr">
        <is>
          <t>지정되지않음</t>
        </is>
      </c>
      <c r="X1369" s="3" t="inlineStr">
        <is>
          <t>상업용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중로한면</t>
        </is>
      </c>
    </row>
    <row r="1370">
      <c r="A1370" s="3" t="inlineStr">
        <is>
          <t>조치원읍 남리 473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다가구</t>
        </is>
      </c>
      <c r="F1370" s="3" t="inlineStr">
        <is>
          <t>월세</t>
        </is>
      </c>
      <c r="G1370" s="4" t="n">
        <v>200</v>
      </c>
      <c r="H1370" s="4" t="n">
        <v>31</v>
      </c>
      <c r="I1370" s="4" t="n">
        <v>26</v>
      </c>
      <c r="J1370" s="4" t="n">
        <v>8</v>
      </c>
      <c r="K1370" s="5" t="n">
        <v>3.9</v>
      </c>
      <c r="L1370" s="4" t="n">
        <v>26</v>
      </c>
      <c r="M1370" s="4" t="n">
        <v>8</v>
      </c>
      <c r="N1370" s="5" t="n">
        <v>3.9</v>
      </c>
      <c r="O1370" s="3" t="inlineStr">
        <is>
          <t>조치원 시내이며, 재래시장, 초등학교인근이며, 오송과 인접함</t>
        </is>
      </c>
      <c r="P1370" s="6">
        <f>HYPERLINK("https://fin.land.naver.com/articles/2651504477", "매물Link")</f>
        <v/>
      </c>
      <c r="Q1370" s="6">
        <f>HYPERLINK("https://map.naver.com/p/search/조치원읍 남리 473", "지도Link")</f>
        <v/>
      </c>
      <c r="R1370" s="6">
        <f>HYPERLINK("http://www.eum.go.kr/web/ar/lu/luLandDet.jsp?pnu=3611025027104730000&amp;isNoScr=script&amp;mode=search", "토지이음")</f>
        <v/>
      </c>
      <c r="S1370" s="3" t="inlineStr">
        <is>
          <t>세종베스트</t>
        </is>
      </c>
      <c r="T1370" s="4" t="n">
        <v>1</v>
      </c>
      <c r="U1370" s="5" t="n">
        <v>261.8</v>
      </c>
      <c r="V1370" s="4" t="n">
        <v>446.7</v>
      </c>
      <c r="W1370" s="3" t="inlineStr">
        <is>
          <t>지정되지않음</t>
        </is>
      </c>
      <c r="X1370" s="3" t="inlineStr">
        <is>
          <t>상업용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중로한면</t>
        </is>
      </c>
    </row>
    <row r="1371">
      <c r="A1371" s="3" t="inlineStr">
        <is>
          <t>조치원읍 남리 60-2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도시형생활주택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19</v>
      </c>
      <c r="J1371" s="4" t="n">
        <v>6</v>
      </c>
      <c r="K1371" s="5" t="n">
        <v>4.5</v>
      </c>
      <c r="L1371" s="4" t="n">
        <v>14</v>
      </c>
      <c r="M1371" s="4" t="n">
        <v>4</v>
      </c>
      <c r="N1371" s="5" t="n">
        <v>6.8</v>
      </c>
      <c r="O1371" s="3" t="inlineStr">
        <is>
          <t>전통시장 웰마트인근 깔끔 원룸.즉시입주가능합니다.</t>
        </is>
      </c>
      <c r="P1371" s="6">
        <f>HYPERLINK("https://fin.land.naver.com/articles/2655549212", "매물Link")</f>
        <v/>
      </c>
      <c r="Q1371" s="6">
        <f>HYPERLINK("https://map.naver.com/p/search/조치원읍 남리 60-2", "지도Link")</f>
        <v/>
      </c>
      <c r="R1371" s="6">
        <f>HYPERLINK("http://www.eum.go.kr/web/ar/lu/luLandDet.jsp?pnu=3611025027100600002&amp;isNoScr=script&amp;mode=search", "토지이음")</f>
        <v/>
      </c>
      <c r="S1371" s="3" t="inlineStr">
        <is>
          <t>이음</t>
        </is>
      </c>
      <c r="T1371" s="4" t="n">
        <v>1</v>
      </c>
      <c r="U1371" s="5" t="n">
        <v>458.8</v>
      </c>
      <c r="V1371" s="4" t="n">
        <v>452</v>
      </c>
      <c r="W1371" s="3" t="inlineStr">
        <is>
          <t>지정되지않음</t>
        </is>
      </c>
      <c r="X1371" s="3" t="inlineStr">
        <is>
          <t>상업용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소로각지</t>
        </is>
      </c>
    </row>
    <row r="1372">
      <c r="A1372" s="3" t="inlineStr">
        <is>
          <t>조치원읍 남리 60-8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도시형생활주택</t>
        </is>
      </c>
      <c r="F1372" s="3" t="inlineStr">
        <is>
          <t>월세</t>
        </is>
      </c>
      <c r="G1372" s="4" t="n">
        <v>200</v>
      </c>
      <c r="H1372" s="4" t="n">
        <v>30</v>
      </c>
      <c r="I1372" s="4" t="n">
        <v>0</v>
      </c>
      <c r="J1372" s="4" t="n">
        <v>0</v>
      </c>
      <c r="K1372" s="5" t="n">
        <v>0</v>
      </c>
      <c r="L1372" s="4" t="n">
        <v>22</v>
      </c>
      <c r="M1372" s="4" t="n">
        <v>7</v>
      </c>
      <c r="N1372" s="5" t="n">
        <v>4.3</v>
      </c>
      <c r="O1372" s="3" t="inlineStr">
        <is>
          <t>인기좋은  풀옵션완비방   깔끔한 주방분리   조치원역5분 교통편리</t>
        </is>
      </c>
      <c r="P1372" s="6">
        <f>HYPERLINK("https://fin.land.naver.com/articles/2654004184", "매물Link")</f>
        <v/>
      </c>
      <c r="Q1372" s="6">
        <f>HYPERLINK("https://map.naver.com/p/search/조치원읍 남리 60-8", "지도Link")</f>
        <v/>
      </c>
      <c r="R1372" s="6">
        <f>HYPERLINK("http://www.eum.go.kr/web/ar/lu/luLandDet.jsp?pnu=3611025027100600008&amp;isNoScr=script&amp;mode=search", "토지이음")</f>
        <v/>
      </c>
      <c r="S1372" s="3" t="inlineStr">
        <is>
          <t>연서으뜸</t>
        </is>
      </c>
      <c r="T1372" s="4" t="n">
        <v>1</v>
      </c>
      <c r="U1372" s="5" t="n">
        <v>400</v>
      </c>
      <c r="V1372" s="4" t="n">
        <v>514</v>
      </c>
      <c r="W1372" s="3" t="inlineStr">
        <is>
          <t>지정되지않음</t>
        </is>
      </c>
      <c r="X1372" s="3" t="inlineStr">
        <is>
          <t>상업용</t>
        </is>
      </c>
      <c r="Y1372" s="3" t="inlineStr">
        <is>
          <t>평지</t>
        </is>
      </c>
      <c r="Z1372" s="3" t="inlineStr">
        <is>
          <t>세로장방</t>
        </is>
      </c>
      <c r="AA1372" s="3" t="inlineStr">
        <is>
          <t>세로한면(가)</t>
        </is>
      </c>
    </row>
    <row r="1373">
      <c r="A1373" s="3" t="inlineStr">
        <is>
          <t>조치원읍 남리 60-8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35</v>
      </c>
      <c r="I1373" s="4" t="n">
        <v>42</v>
      </c>
      <c r="J1373" s="4" t="n">
        <v>13</v>
      </c>
      <c r="K1373" s="5" t="n">
        <v>2.7</v>
      </c>
      <c r="L1373" s="4" t="n">
        <v>29</v>
      </c>
      <c r="M1373" s="4" t="n">
        <v>9</v>
      </c>
      <c r="N1373" s="5" t="n">
        <v>3.9</v>
      </c>
      <c r="O1373" s="3" t="inlineStr">
        <is>
          <t>큰 방.조치원시내위치.깔끔한관리.즉시입주.</t>
        </is>
      </c>
      <c r="P1373" s="6">
        <f>HYPERLINK("https://fin.land.naver.com/articles/2650821771", "매물Link")</f>
        <v/>
      </c>
      <c r="Q1373" s="6">
        <f>HYPERLINK("https://map.naver.com/p/search/조치원읍 남리 60-8", "지도Link")</f>
        <v/>
      </c>
      <c r="R1373" s="6">
        <f>HYPERLINK("http://www.eum.go.kr/web/ar/lu/luLandDet.jsp?pnu=3611025027100600008&amp;isNoScr=script&amp;mode=search", "토지이음")</f>
        <v/>
      </c>
      <c r="S1373" s="3" t="inlineStr">
        <is>
          <t>척척</t>
        </is>
      </c>
      <c r="T1373" s="4" t="n">
        <v>1</v>
      </c>
      <c r="U1373" s="5" t="n">
        <v>400</v>
      </c>
      <c r="V1373" s="4" t="n">
        <v>514</v>
      </c>
      <c r="W1373" s="3" t="inlineStr">
        <is>
          <t>지정되지않음</t>
        </is>
      </c>
      <c r="X1373" s="3" t="inlineStr">
        <is>
          <t>상업용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세로한면(가)</t>
        </is>
      </c>
    </row>
    <row r="1374">
      <c r="A1374" s="3" t="inlineStr">
        <is>
          <t>조치원읍 남리 60-8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200</v>
      </c>
      <c r="H1374" s="4" t="n">
        <v>29</v>
      </c>
      <c r="I1374" s="4" t="n">
        <v>19</v>
      </c>
      <c r="J1374" s="4" t="n">
        <v>6</v>
      </c>
      <c r="K1374" s="5" t="n">
        <v>4.8</v>
      </c>
      <c r="L1374" s="4" t="n">
        <v>14</v>
      </c>
      <c r="M1374" s="4" t="n">
        <v>4</v>
      </c>
      <c r="N1374" s="5" t="n">
        <v>7.2</v>
      </c>
      <c r="O1374" s="3" t="inlineStr">
        <is>
          <t>조치원역 도보5분 풀옵션 분리형원룸</t>
        </is>
      </c>
      <c r="P1374" s="6">
        <f>HYPERLINK("https://fin.land.naver.com/articles/2650893111", "매물Link")</f>
        <v/>
      </c>
      <c r="Q1374" s="6">
        <f>HYPERLINK("https://map.naver.com/p/search/조치원읍 남리 60-8", "지도Link")</f>
        <v/>
      </c>
      <c r="R1374" s="6">
        <f>HYPERLINK("http://www.eum.go.kr/web/ar/lu/luLandDet.jsp?pnu=3611025027100600008&amp;isNoScr=script&amp;mode=search", "토지이음")</f>
        <v/>
      </c>
      <c r="S1374" s="3" t="inlineStr">
        <is>
          <t>용죽부자</t>
        </is>
      </c>
      <c r="T1374" s="4" t="n">
        <v>1</v>
      </c>
      <c r="U1374" s="5" t="n">
        <v>400</v>
      </c>
      <c r="V1374" s="4" t="n">
        <v>514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세로한면(가)</t>
        </is>
      </c>
    </row>
    <row r="1375">
      <c r="A1375" s="3" t="inlineStr">
        <is>
          <t>조치원읍 남리 62-19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다가구</t>
        </is>
      </c>
      <c r="F1375" s="3" t="inlineStr">
        <is>
          <t>매매</t>
        </is>
      </c>
      <c r="G1375" s="4" t="n">
        <v>29500</v>
      </c>
      <c r="H1375" s="4" t="n">
        <v>0</v>
      </c>
      <c r="I1375" s="4" t="n">
        <v>180</v>
      </c>
      <c r="J1375" s="4" t="n">
        <v>54</v>
      </c>
      <c r="K1375" s="5" t="n">
        <v>546.3</v>
      </c>
      <c r="L1375" s="4" t="n">
        <v>163</v>
      </c>
      <c r="M1375" s="4" t="n">
        <v>49</v>
      </c>
      <c r="N1375" s="5" t="n">
        <v>602</v>
      </c>
      <c r="O1375" s="3" t="inlineStr">
        <is>
          <t>조치원시내 관공서와 버스정류장 조치원역 도보로 가능한 조용한 주택,</t>
        </is>
      </c>
      <c r="P1375" s="6">
        <f>HYPERLINK("https://fin.land.naver.com/articles/2651053326", "매물Link")</f>
        <v/>
      </c>
      <c r="Q1375" s="6">
        <f>HYPERLINK("https://map.naver.com/p/search/조치원읍 남리 62-19", "지도Link")</f>
        <v/>
      </c>
      <c r="R1375" s="6">
        <f>HYPERLINK("http://www.eum.go.kr/web/ar/lu/luLandDet.jsp?pnu=3611025027100620019&amp;isNoScr=script&amp;mode=search", "토지이음")</f>
        <v/>
      </c>
      <c r="S1375" s="3" t="inlineStr">
        <is>
          <t>담뜰</t>
        </is>
      </c>
      <c r="T1375" s="4" t="n">
        <v>1</v>
      </c>
      <c r="U1375" s="5" t="n">
        <v>178.8</v>
      </c>
      <c r="V1375" s="4" t="n">
        <v>180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세로한면(불)</t>
        </is>
      </c>
    </row>
    <row r="1376">
      <c r="A1376" s="3" t="inlineStr">
        <is>
          <t>조치원읍 남리 62-6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일반원룸</t>
        </is>
      </c>
      <c r="F1376" s="3" t="inlineStr">
        <is>
          <t>전세</t>
        </is>
      </c>
      <c r="G1376" s="4" t="n">
        <v>4000</v>
      </c>
      <c r="H1376" s="4" t="n">
        <v>0</v>
      </c>
      <c r="I1376" s="4" t="n">
        <v>26</v>
      </c>
      <c r="J1376" s="4" t="n">
        <v>8</v>
      </c>
      <c r="K1376" s="5" t="n">
        <v>500</v>
      </c>
      <c r="L1376" s="4" t="n">
        <v>19</v>
      </c>
      <c r="M1376" s="4" t="n">
        <v>6</v>
      </c>
      <c r="N1376" s="5" t="n">
        <v>666.7</v>
      </c>
      <c r="O1376" s="3" t="inlineStr">
        <is>
          <t>조치원역도보5분 근저당없는 전세 풀옵션 큰방</t>
        </is>
      </c>
      <c r="P1376" s="6">
        <f>HYPERLINK("https://fin.land.naver.com/articles/2654053914", "매물Link")</f>
        <v/>
      </c>
      <c r="Q1376" s="6">
        <f>HYPERLINK("https://map.naver.com/p/search/조치원읍 남리 62-6", "지도Link")</f>
        <v/>
      </c>
      <c r="R1376" s="6">
        <f>HYPERLINK("http://www.eum.go.kr/web/ar/lu/luLandDet.jsp?pnu=3611025027100620006&amp;isNoScr=script&amp;mode=search", "토지이음")</f>
        <v/>
      </c>
      <c r="S1376" s="3" t="inlineStr">
        <is>
          <t>용죽부자</t>
        </is>
      </c>
      <c r="T1376" s="4" t="n">
        <v>1</v>
      </c>
      <c r="U1376" s="5" t="n">
        <v>396</v>
      </c>
      <c r="V1376" s="4" t="n">
        <v>472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조치원읍 남리 62-6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일반원룸</t>
        </is>
      </c>
      <c r="F1377" s="3" t="inlineStr">
        <is>
          <t>전세</t>
        </is>
      </c>
      <c r="G1377" s="4" t="n">
        <v>3700</v>
      </c>
      <c r="H1377" s="4" t="n">
        <v>0</v>
      </c>
      <c r="I1377" s="4" t="n">
        <v>39</v>
      </c>
      <c r="J1377" s="4" t="n">
        <v>12</v>
      </c>
      <c r="K1377" s="5" t="n">
        <v>308.3</v>
      </c>
      <c r="L1377" s="4" t="n">
        <v>23</v>
      </c>
      <c r="M1377" s="4" t="n">
        <v>7</v>
      </c>
      <c r="N1377" s="5" t="n">
        <v>528.6</v>
      </c>
      <c r="O1377" s="3" t="inlineStr">
        <is>
          <t>남향 안전 안뜰 안심 전세  즉시입주</t>
        </is>
      </c>
      <c r="P1377" s="6">
        <f>HYPERLINK("https://fin.land.naver.com/articles/2653977666", "매물Link")</f>
        <v/>
      </c>
      <c r="Q1377" s="6">
        <f>HYPERLINK("https://map.naver.com/p/search/조치원읍 남리 62-6", "지도Link")</f>
        <v/>
      </c>
      <c r="R1377" s="6">
        <f>HYPERLINK("http://www.eum.go.kr/web/ar/lu/luLandDet.jsp?pnu=3611025027100620006&amp;isNoScr=script&amp;mode=search",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396</v>
      </c>
      <c r="V1377" s="4" t="n">
        <v>472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조치원읍 남리 62-6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다가구</t>
        </is>
      </c>
      <c r="F1378" s="3" t="inlineStr">
        <is>
          <t>전세</t>
        </is>
      </c>
      <c r="G1378" s="4" t="n">
        <v>3800</v>
      </c>
      <c r="H1378" s="4" t="n">
        <v>0</v>
      </c>
      <c r="I1378" s="4" t="n">
        <v>39</v>
      </c>
      <c r="J1378" s="4" t="n">
        <v>12</v>
      </c>
      <c r="K1378" s="5" t="n">
        <v>316.7</v>
      </c>
      <c r="L1378" s="4" t="n">
        <v>26</v>
      </c>
      <c r="M1378" s="4" t="n">
        <v>8</v>
      </c>
      <c r="N1378" s="5" t="n">
        <v>475</v>
      </c>
      <c r="O1378" s="3" t="inlineStr">
        <is>
          <t>조치원역도보거리.융자없음.깔끔한전세.즉시입주</t>
        </is>
      </c>
      <c r="P1378" s="6">
        <f>HYPERLINK("https://fin.land.naver.com/articles/2651980466", "매물Link")</f>
        <v/>
      </c>
      <c r="Q1378" s="6">
        <f>HYPERLINK("https://map.naver.com/p/search/조치원읍 남리 62-6", "지도Link")</f>
        <v/>
      </c>
      <c r="R1378" s="6">
        <f>HYPERLINK("http://www.eum.go.kr/web/ar/lu/luLandDet.jsp?pnu=3611025027100620006&amp;isNoScr=script&amp;mode=search",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396</v>
      </c>
      <c r="V1378" s="4" t="n">
        <v>472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조치원읍 남리 69-17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7500</v>
      </c>
      <c r="H1379" s="4" t="n">
        <v>0</v>
      </c>
      <c r="I1379" s="4" t="n">
        <v>47</v>
      </c>
      <c r="J1379" s="4" t="n">
        <v>14</v>
      </c>
      <c r="K1379" s="5" t="n">
        <v>535.7</v>
      </c>
      <c r="L1379" s="4" t="n">
        <v>47</v>
      </c>
      <c r="M1379" s="4" t="n">
        <v>14</v>
      </c>
      <c r="N1379" s="5" t="n">
        <v>535.7</v>
      </c>
      <c r="O1379" s="3" t="inlineStr">
        <is>
          <t>남리 성당근처 빌라 2층 수리됨 협의입주입니다</t>
        </is>
      </c>
      <c r="P1379" s="6">
        <f>HYPERLINK("https://fin.land.naver.com/articles/2651708338", "매물Link")</f>
        <v/>
      </c>
      <c r="Q1379" s="6">
        <f>HYPERLINK("https://map.naver.com/p/search/조치원읍 남리 69-17", "지도Link")</f>
        <v/>
      </c>
      <c r="R1379" s="6">
        <f>HYPERLINK("http://www.eum.go.kr/web/ar/lu/luLandDet.jsp?pnu=3611025027100690017&amp;isNoScr=script&amp;mode=search",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202.1</v>
      </c>
      <c r="V1379" s="4" t="n">
        <v>140</v>
      </c>
      <c r="W1379" s="3" t="inlineStr">
        <is>
          <t>지정되지않음</t>
        </is>
      </c>
      <c r="X1379" s="3" t="inlineStr">
        <is>
          <t>다세대</t>
        </is>
      </c>
      <c r="Y1379" s="3" t="inlineStr">
        <is>
          <t>평지</t>
        </is>
      </c>
      <c r="Z1379" s="3" t="inlineStr">
        <is>
          <t>가로장방</t>
        </is>
      </c>
      <c r="AA1379" s="3" t="inlineStr">
        <is>
          <t>세로각지(가)</t>
        </is>
      </c>
    </row>
    <row r="1380">
      <c r="A1380" s="3" t="inlineStr">
        <is>
          <t>조치원읍 명리 13-1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500</v>
      </c>
      <c r="H1380" s="4" t="n">
        <v>40</v>
      </c>
      <c r="I1380" s="4" t="n">
        <v>42</v>
      </c>
      <c r="J1380" s="4" t="n">
        <v>13</v>
      </c>
      <c r="K1380" s="5" t="n">
        <v>3.1</v>
      </c>
      <c r="L1380" s="4" t="n">
        <v>36</v>
      </c>
      <c r="M1380" s="4" t="n">
        <v>11</v>
      </c>
      <c r="N1380" s="5" t="n">
        <v>3.6</v>
      </c>
      <c r="O1380" s="3" t="inlineStr">
        <is>
          <t>분리형1.5룸 엘리베이터있고 깔끔한 관리</t>
        </is>
      </c>
      <c r="P1380" s="6">
        <f>HYPERLINK("https://fin.land.naver.com/articles/2653118453", "매물Link")</f>
        <v/>
      </c>
      <c r="Q1380" s="6">
        <f>HYPERLINK("https://map.naver.com/p/search/조치원읍 명리 13-1", "지도Link")</f>
        <v/>
      </c>
      <c r="R1380" s="6">
        <f>HYPERLINK("http://www.eum.go.kr/web/ar/lu/luLandDet.jsp?pnu=3611025026100130001&amp;isNoScr=script&amp;mode=search",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270.4</v>
      </c>
      <c r="V1380" s="4" t="n">
        <v>377</v>
      </c>
      <c r="W1380" s="3" t="inlineStr">
        <is>
          <t>지정되지않음</t>
        </is>
      </c>
      <c r="X1380" s="3" t="inlineStr">
        <is>
          <t>주상기타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소로한면</t>
        </is>
      </c>
    </row>
    <row r="1381">
      <c r="A1381" s="3" t="inlineStr">
        <is>
          <t>조치원읍 명리 13-1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35</v>
      </c>
      <c r="I1381" s="4" t="n">
        <v>39</v>
      </c>
      <c r="J1381" s="4" t="n">
        <v>12</v>
      </c>
      <c r="K1381" s="5" t="n">
        <v>2.9</v>
      </c>
      <c r="L1381" s="4" t="n">
        <v>28</v>
      </c>
      <c r="M1381" s="4" t="n">
        <v>8</v>
      </c>
      <c r="N1381" s="5" t="n">
        <v>4.4</v>
      </c>
      <c r="O1381" s="3" t="inlineStr">
        <is>
          <t>넓은 원룸 엘리베이터있고 깔끔한 관리</t>
        </is>
      </c>
      <c r="P1381" s="6">
        <f>HYPERLINK("https://fin.land.naver.com/articles/2654023929", "매물Link")</f>
        <v/>
      </c>
      <c r="Q1381" s="6">
        <f>HYPERLINK("https://map.naver.com/p/search/조치원읍 명리 13-1", "지도Link")</f>
        <v/>
      </c>
      <c r="R1381" s="6">
        <f>HYPERLINK("http://www.eum.go.kr/web/ar/lu/luLandDet.jsp?pnu=3611025026100130001&amp;isNoScr=script&amp;mode=search",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270.4</v>
      </c>
      <c r="V1381" s="4" t="n">
        <v>377</v>
      </c>
      <c r="W1381" s="3" t="inlineStr">
        <is>
          <t>지정되지않음</t>
        </is>
      </c>
      <c r="X1381" s="3" t="inlineStr">
        <is>
          <t>주상기타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소로한면</t>
        </is>
      </c>
    </row>
    <row r="1382">
      <c r="A1382" s="3" t="inlineStr">
        <is>
          <t>조치원읍 명리 14-2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단독</t>
        </is>
      </c>
      <c r="F1382" s="3" t="inlineStr">
        <is>
          <t>월세</t>
        </is>
      </c>
      <c r="G1382" s="4" t="n">
        <v>1000</v>
      </c>
      <c r="H1382" s="4" t="n">
        <v>55</v>
      </c>
      <c r="I1382" s="4" t="n">
        <v>65</v>
      </c>
      <c r="J1382" s="4" t="n">
        <v>20</v>
      </c>
      <c r="K1382" s="5" t="n">
        <v>2.8</v>
      </c>
      <c r="L1382" s="4" t="n">
        <v>65</v>
      </c>
      <c r="M1382" s="4" t="n">
        <v>20</v>
      </c>
      <c r="N1382" s="5" t="n">
        <v>2.8</v>
      </c>
      <c r="O1382" s="3" t="inlineStr">
        <is>
          <t>시장 근처 깨끗한 2층 월세</t>
        </is>
      </c>
      <c r="P1382" s="6">
        <f>HYPERLINK("https://fin.land.naver.com/articles/2654897678", "매물Link")</f>
        <v/>
      </c>
      <c r="Q1382" s="6">
        <f>HYPERLINK("https://map.naver.com/p/search/조치원읍 명리 14-2", "지도Link")</f>
        <v/>
      </c>
      <c r="R1382" s="6">
        <f>HYPERLINK("http://www.eum.go.kr/web/ar/lu/luLandDet.jsp?pnu=3611025026100140002&amp;isNoScr=script&amp;mode=search", "토지이음")</f>
        <v/>
      </c>
      <c r="S1382" s="3" t="inlineStr">
        <is>
          <t>KB세종</t>
        </is>
      </c>
      <c r="T1382" s="4" t="n">
        <v>1</v>
      </c>
      <c r="U1382" s="5" t="n">
        <v>184.6</v>
      </c>
      <c r="V1382" s="4" t="n">
        <v>145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세로한면(가)</t>
        </is>
      </c>
    </row>
    <row r="1383">
      <c r="A1383" s="3" t="inlineStr">
        <is>
          <t>조치원읍 명리 15-1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1</t>
        </is>
      </c>
      <c r="E1383" s="3" t="inlineStr">
        <is>
          <t>단독</t>
        </is>
      </c>
      <c r="F1383" s="3" t="inlineStr">
        <is>
          <t>매매</t>
        </is>
      </c>
      <c r="G1383" s="4" t="n">
        <v>35000</v>
      </c>
      <c r="H1383" s="4" t="n">
        <v>0</v>
      </c>
      <c r="I1383" s="4" t="n">
        <v>340</v>
      </c>
      <c r="J1383" s="4" t="n">
        <v>103</v>
      </c>
      <c r="K1383" s="5" t="n">
        <v>339.8</v>
      </c>
      <c r="L1383" s="4" t="n">
        <v>76</v>
      </c>
      <c r="M1383" s="4" t="n">
        <v>23</v>
      </c>
      <c r="N1383" s="5" t="n">
        <v>1521.7</v>
      </c>
      <c r="O1383" s="3" t="inlineStr">
        <is>
          <t>명동초등학교 코너 주택</t>
        </is>
      </c>
      <c r="P1383" s="6">
        <f>HYPERLINK("https://fin.land.naver.com/articles/2651590418", "매물Link")</f>
        <v/>
      </c>
      <c r="Q1383" s="6">
        <f>HYPERLINK("https://map.naver.com/p/search/조치원읍 명리 15-1", "지도Link")</f>
        <v/>
      </c>
      <c r="R1383" s="6">
        <f>HYPERLINK("http://www.eum.go.kr/web/ar/lu/luLandDet.jsp?pnu=3611025026100150001&amp;isNoScr=script&amp;mode=search", "토지이음")</f>
        <v/>
      </c>
      <c r="S1383" s="3" t="inlineStr">
        <is>
          <t>OK수</t>
        </is>
      </c>
      <c r="T1383" s="4" t="n">
        <v>1</v>
      </c>
      <c r="U1383" s="5" t="n">
        <v>207.3</v>
      </c>
      <c r="V1383" s="4" t="n">
        <v>304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조치원읍 명리 48-3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전세</t>
        </is>
      </c>
      <c r="G1384" s="4" t="n">
        <v>13000</v>
      </c>
      <c r="H1384" s="4" t="n">
        <v>0</v>
      </c>
      <c r="I1384" s="4" t="n">
        <v>53</v>
      </c>
      <c r="J1384" s="4" t="n">
        <v>16</v>
      </c>
      <c r="K1384" s="5" t="n">
        <v>812.5</v>
      </c>
      <c r="L1384" s="4" t="n">
        <v>53</v>
      </c>
      <c r="M1384" s="4" t="n">
        <v>16</v>
      </c>
      <c r="N1384" s="5" t="n">
        <v>812.5</v>
      </c>
      <c r="O1384" s="3" t="inlineStr">
        <is>
          <t>반전세가능 샷시까지 올리모델링 단독주택 1층 방3,거실1</t>
        </is>
      </c>
      <c r="P1384" s="6">
        <f>HYPERLINK("https://fin.land.naver.com/articles/2653790984", "매물Link")</f>
        <v/>
      </c>
      <c r="Q1384" s="6">
        <f>HYPERLINK("https://map.naver.com/p/search/조치원읍 명리 48-3", "지도Link")</f>
        <v/>
      </c>
      <c r="R1384" s="6">
        <f>HYPERLINK("http://www.eum.go.kr/web/ar/lu/luLandDet.jsp?pnu=3611025026100480003&amp;isNoScr=script&amp;mode=search", "토지이음")</f>
        <v/>
      </c>
      <c r="S1384" s="3" t="inlineStr">
        <is>
          <t>이노</t>
        </is>
      </c>
      <c r="T1384" s="4" t="n">
        <v>1</v>
      </c>
      <c r="U1384" s="5" t="n">
        <v>163.8</v>
      </c>
      <c r="V1384" s="4" t="n">
        <v>165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세로한면(불)</t>
        </is>
      </c>
    </row>
    <row r="1385">
      <c r="A1385" s="3" t="inlineStr">
        <is>
          <t>조치원읍 명리 51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45000</v>
      </c>
      <c r="H1385" s="4" t="n">
        <v>0</v>
      </c>
      <c r="I1385" s="4" t="n">
        <v>325</v>
      </c>
      <c r="J1385" s="4" t="n">
        <v>98</v>
      </c>
      <c r="K1385" s="5" t="n">
        <v>459.2</v>
      </c>
      <c r="L1385" s="4" t="n">
        <v>218</v>
      </c>
      <c r="M1385" s="4" t="n">
        <v>66</v>
      </c>
      <c r="N1385" s="5" t="n">
        <v>681.8</v>
      </c>
      <c r="O1385" s="3" t="inlineStr">
        <is>
          <t>교통과 생활이 편리한 위치,초등학교 인근,대지 넓은 단독주택</t>
        </is>
      </c>
      <c r="P1385" s="6">
        <f>HYPERLINK("https://fin.land.naver.com/articles/2653047822", "매물Link")</f>
        <v/>
      </c>
      <c r="Q1385" s="6">
        <f>HYPERLINK("https://map.naver.com/p/search/조치원읍 명리 51", "지도Link")</f>
        <v/>
      </c>
      <c r="R1385" s="6">
        <f>HYPERLINK("http://www.eum.go.kr/web/ar/lu/luLandDet.jsp?pnu=3611025026100510000&amp;isNoScr=script&amp;mode=search", "토지이음")</f>
        <v/>
      </c>
      <c r="S1385" s="3" t="inlineStr">
        <is>
          <t>유정희</t>
        </is>
      </c>
      <c r="T1385" s="4" t="n">
        <v>1</v>
      </c>
      <c r="U1385" s="5" t="n">
        <v>223.3</v>
      </c>
      <c r="V1385" s="4" t="n">
        <v>318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부정형</t>
        </is>
      </c>
      <c r="AA1385" s="3" t="inlineStr">
        <is>
          <t>소로한면</t>
        </is>
      </c>
    </row>
    <row r="1386">
      <c r="A1386" s="3" t="inlineStr">
        <is>
          <t>조치원읍 명리 54-12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300</v>
      </c>
      <c r="H1386" s="4" t="n">
        <v>31</v>
      </c>
      <c r="I1386" s="4" t="n">
        <v>23</v>
      </c>
      <c r="J1386" s="4" t="n">
        <v>7</v>
      </c>
      <c r="K1386" s="5" t="n">
        <v>4.4</v>
      </c>
      <c r="L1386" s="4" t="n">
        <v>23</v>
      </c>
      <c r="M1386" s="4" t="n">
        <v>7</v>
      </c>
      <c r="N1386" s="5" t="n">
        <v>4.4</v>
      </c>
      <c r="O1386" s="3" t="inlineStr">
        <is>
          <t>명리 원룸 터미널인근,풀옵션,엘베유,집상태 깨끗합니다</t>
        </is>
      </c>
      <c r="P1386" s="6">
        <f>HYPERLINK("https://fin.land.naver.com/articles/2654598280", "매물Link")</f>
        <v/>
      </c>
      <c r="Q1386" s="6">
        <f>HYPERLINK("https://map.naver.com/p/search/조치원읍 명리 54-12", "지도Link")</f>
        <v/>
      </c>
      <c r="R1386" s="6">
        <f>HYPERLINK("http://www.eum.go.kr/web/ar/lu/luLandDet.jsp?pnu=3611025026100540012&amp;isNoScr=script&amp;mode=search",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230.3</v>
      </c>
      <c r="V1386" s="4" t="n">
        <v>520</v>
      </c>
      <c r="W1386" s="3" t="inlineStr">
        <is>
          <t>지정되지않음</t>
        </is>
      </c>
      <c r="X1386" s="3" t="inlineStr">
        <is>
          <t>주거기타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소로한면</t>
        </is>
      </c>
    </row>
    <row r="1387">
      <c r="A1387" s="3" t="inlineStr">
        <is>
          <t>조치원읍 명리 66-2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월세</t>
        </is>
      </c>
      <c r="G1387" s="4" t="n">
        <v>1000</v>
      </c>
      <c r="H1387" s="4" t="n">
        <v>50</v>
      </c>
      <c r="I1387" s="4" t="n">
        <v>0</v>
      </c>
      <c r="J1387" s="4" t="n">
        <v>0</v>
      </c>
      <c r="K1387" s="5" t="n">
        <v>0</v>
      </c>
      <c r="L1387" s="4" t="n">
        <v>71</v>
      </c>
      <c r="M1387" s="4" t="n">
        <v>21</v>
      </c>
      <c r="N1387" s="5" t="n">
        <v>2.4</v>
      </c>
      <c r="O1387" s="3" t="inlineStr">
        <is>
          <t>남리 마을회관인근 1층 귀한 주택월세 방3개 화1</t>
        </is>
      </c>
      <c r="P1387" s="6">
        <f>HYPERLINK("https://fin.land.naver.com/articles/2652009820", "매물Link")</f>
        <v/>
      </c>
      <c r="Q1387" s="6">
        <f>HYPERLINK("https://map.naver.com/p/search/조치원읍 명리 66-2", "지도Link")</f>
        <v/>
      </c>
      <c r="R1387" s="6">
        <f>HYPERLINK("http://www.eum.go.kr/web/ar/lu/luLandDet.jsp?pnu=3611025026100660002&amp;isNoScr=script&amp;mode=search", "토지이음")</f>
        <v/>
      </c>
      <c r="S1387" s="3" t="inlineStr">
        <is>
          <t>욱일</t>
        </is>
      </c>
      <c r="T1387" s="4" t="n">
        <v>1</v>
      </c>
      <c r="U1387" s="5" t="n">
        <v>208.4</v>
      </c>
      <c r="V1387" s="4" t="n">
        <v>141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소로한면</t>
        </is>
      </c>
    </row>
    <row r="1388">
      <c r="A1388" s="3" t="inlineStr">
        <is>
          <t>조치원읍 명리 79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3</t>
        </is>
      </c>
      <c r="E1388" s="3" t="inlineStr">
        <is>
          <t>상가주택</t>
        </is>
      </c>
      <c r="F1388" s="3" t="inlineStr">
        <is>
          <t>매매</t>
        </is>
      </c>
      <c r="G1388" s="4" t="n">
        <v>95000</v>
      </c>
      <c r="H1388" s="4" t="n">
        <v>0</v>
      </c>
      <c r="I1388" s="4" t="n">
        <v>261</v>
      </c>
      <c r="J1388" s="4" t="n">
        <v>79</v>
      </c>
      <c r="K1388" s="5" t="n">
        <v>1202.5</v>
      </c>
      <c r="L1388" s="4" t="n">
        <v>492</v>
      </c>
      <c r="M1388" s="4" t="n">
        <v>149</v>
      </c>
      <c r="N1388" s="5" t="n">
        <v>637.6</v>
      </c>
      <c r="O1388" s="3" t="inlineStr">
        <is>
          <t>명리 코너 상가주택 1,2층 상가 3층주택</t>
        </is>
      </c>
      <c r="P1388" s="6">
        <f>HYPERLINK("https://fin.land.naver.com/articles/2654995129", "매물Link")</f>
        <v/>
      </c>
      <c r="Q1388" s="6">
        <f>HYPERLINK("https://map.naver.com/p/search/조치원읍 명리 79", "지도Link")</f>
        <v/>
      </c>
      <c r="R1388" s="6">
        <f>HYPERLINK("http://www.eum.go.kr/web/ar/lu/luLandDet.jsp?pnu=3611025026100790000&amp;isNoScr=script&amp;mode=search", "토지이음")</f>
        <v/>
      </c>
      <c r="S1388" s="3" t="inlineStr">
        <is>
          <t>OK수</t>
        </is>
      </c>
      <c r="T1388" s="4" t="n">
        <v>1</v>
      </c>
      <c r="U1388" s="5" t="n">
        <v>358.3</v>
      </c>
      <c r="V1388" s="4" t="n">
        <v>153</v>
      </c>
      <c r="W1388" s="3" t="inlineStr">
        <is>
          <t>지정되지않음</t>
        </is>
      </c>
      <c r="X1388" s="3" t="inlineStr">
        <is>
          <t>상업용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중로각지</t>
        </is>
      </c>
    </row>
    <row r="1389">
      <c r="A1389" s="3" t="inlineStr">
        <is>
          <t>조치원읍 번암리 110-1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상가주택</t>
        </is>
      </c>
      <c r="F1389" s="3" t="inlineStr">
        <is>
          <t>매매</t>
        </is>
      </c>
      <c r="G1389" s="4" t="n">
        <v>75000</v>
      </c>
      <c r="H1389" s="4" t="n">
        <v>0</v>
      </c>
      <c r="I1389" s="4" t="n">
        <v>328</v>
      </c>
      <c r="J1389" s="4" t="n">
        <v>99</v>
      </c>
      <c r="K1389" s="5" t="n">
        <v>757.6</v>
      </c>
      <c r="L1389" s="4" t="n">
        <v>421</v>
      </c>
      <c r="M1389" s="4" t="n">
        <v>127</v>
      </c>
      <c r="N1389" s="5" t="n">
        <v>590.6</v>
      </c>
      <c r="O1389" s="3" t="inlineStr">
        <is>
          <t>번암리 홈플러스 맞은편 6차선 접한 상가주택 저렴합니다</t>
        </is>
      </c>
      <c r="P1389" s="6">
        <f>HYPERLINK("https://fin.land.naver.com/articles/2655704717", "매물Link")</f>
        <v/>
      </c>
      <c r="Q1389" s="6">
        <f>HYPERLINK("https://map.naver.com/p/search/조치원읍 번암리 110-1", "지도Link")</f>
        <v/>
      </c>
      <c r="R1389" s="6">
        <f>HYPERLINK("http://www.eum.go.kr/web/ar/lu/luLandDet.jsp?pnu=3611025031101100001&amp;isNoScr=script&amp;mode=search", "토지이음")</f>
        <v/>
      </c>
      <c r="S1389" s="3" t="inlineStr">
        <is>
          <t>OK수</t>
        </is>
      </c>
      <c r="T1389" s="4" t="n">
        <v>1</v>
      </c>
      <c r="U1389" s="5" t="n">
        <v>341.8</v>
      </c>
      <c r="V1389" s="4" t="n">
        <v>349</v>
      </c>
      <c r="W1389" s="3" t="inlineStr">
        <is>
          <t>지정되지않음</t>
        </is>
      </c>
      <c r="X1389" s="3" t="inlineStr">
        <is>
          <t>주상용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광대로한면</t>
        </is>
      </c>
    </row>
    <row r="1390">
      <c r="A1390" s="3" t="inlineStr">
        <is>
          <t>조치원읍 번암리 128-2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다가구</t>
        </is>
      </c>
      <c r="F1390" s="3" t="inlineStr">
        <is>
          <t>매매</t>
        </is>
      </c>
      <c r="G1390" s="4" t="n">
        <v>82000</v>
      </c>
      <c r="H1390" s="4" t="n">
        <v>0</v>
      </c>
      <c r="I1390" s="4" t="n">
        <v>211</v>
      </c>
      <c r="J1390" s="4" t="n">
        <v>64</v>
      </c>
      <c r="K1390" s="5" t="n">
        <v>1281.2</v>
      </c>
      <c r="L1390" s="4" t="n">
        <v>380</v>
      </c>
      <c r="M1390" s="4" t="n">
        <v>115</v>
      </c>
      <c r="N1390" s="5" t="n">
        <v>713</v>
      </c>
      <c r="O1390" s="3" t="inlineStr">
        <is>
          <t>nan</t>
        </is>
      </c>
      <c r="P1390" s="6">
        <f>HYPERLINK("https://fin.land.naver.com/articles/2654393034", "매물Link")</f>
        <v/>
      </c>
      <c r="Q1390" s="6">
        <f>HYPERLINK("https://map.naver.com/p/search/조치원읍 번암리 128-2", "지도Link")</f>
        <v/>
      </c>
      <c r="R1390" s="6">
        <f>HYPERLINK("http://www.eum.go.kr/web/ar/lu/luLandDet.jsp?pnu=3611025031101280002&amp;isNoScr=script&amp;mode=search",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309.1</v>
      </c>
      <c r="V1390" s="4" t="n">
        <v>211</v>
      </c>
      <c r="W1390" s="3" t="inlineStr">
        <is>
          <t>지정되지않음</t>
        </is>
      </c>
      <c r="X1390" s="3" t="inlineStr">
        <is>
          <t>주상용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광대로한면</t>
        </is>
      </c>
    </row>
    <row r="1391">
      <c r="A1391" s="3" t="inlineStr">
        <is>
          <t>조치원읍 번암리 66-6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120000</v>
      </c>
      <c r="H1391" s="4" t="n">
        <v>0</v>
      </c>
      <c r="I1391" s="4" t="n">
        <v>565</v>
      </c>
      <c r="J1391" s="4" t="n">
        <v>171</v>
      </c>
      <c r="K1391" s="5" t="n">
        <v>701.8</v>
      </c>
      <c r="L1391" s="4" t="n">
        <v>161</v>
      </c>
      <c r="M1391" s="4" t="n">
        <v>49</v>
      </c>
      <c r="N1391" s="5" t="n">
        <v>2449</v>
      </c>
      <c r="O1391" s="3" t="inlineStr">
        <is>
          <t>매매후 즉시입주가능,입지 좋고 조용한 입지</t>
        </is>
      </c>
      <c r="P1391" s="6">
        <f>HYPERLINK("https://fin.land.naver.com/articles/2655710484", "매물Link")</f>
        <v/>
      </c>
      <c r="Q1391" s="6">
        <f>HYPERLINK("https://map.naver.com/p/search/조치원읍 번암리 66-6", "지도Link")</f>
        <v/>
      </c>
      <c r="R1391" s="6">
        <f>HYPERLINK("http://www.eum.go.kr/web/ar/lu/luLandDet.jsp?pnu=3611025031100660006&amp;isNoScr=script&amp;mode=search", "토지이음")</f>
        <v/>
      </c>
      <c r="S1391" s="3" t="inlineStr">
        <is>
          <t>아이파크정문</t>
        </is>
      </c>
      <c r="T1391" s="4" t="n">
        <v>1</v>
      </c>
      <c r="U1391" s="5" t="n">
        <v>168.8</v>
      </c>
      <c r="V1391" s="4" t="n">
        <v>565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자루형</t>
        </is>
      </c>
      <c r="AA1391" s="3" t="inlineStr">
        <is>
          <t>소로한면</t>
        </is>
      </c>
    </row>
    <row r="1392">
      <c r="A1392" s="3" t="inlineStr">
        <is>
          <t>조치원읍 번암리 69-12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300</v>
      </c>
      <c r="H1392" s="4" t="n">
        <v>32</v>
      </c>
      <c r="I1392" s="4" t="n">
        <v>39</v>
      </c>
      <c r="J1392" s="4" t="n">
        <v>12</v>
      </c>
      <c r="K1392" s="5" t="n">
        <v>2.7</v>
      </c>
      <c r="L1392" s="4" t="n">
        <v>26</v>
      </c>
      <c r="M1392" s="4" t="n">
        <v>8</v>
      </c>
      <c r="N1392" s="5" t="n">
        <v>4</v>
      </c>
      <c r="O1392" s="3" t="inlineStr">
        <is>
          <t>번암리 아주깨끗하게 관리해주십니다</t>
        </is>
      </c>
      <c r="P1392" s="6">
        <f>HYPERLINK("https://fin.land.naver.com/articles/2653929088", "매물Link")</f>
        <v/>
      </c>
      <c r="Q1392" s="6">
        <f>HYPERLINK("https://map.naver.com/p/search/조치원읍 번암리 69-12", "지도Link")</f>
        <v/>
      </c>
      <c r="R1392" s="6">
        <f>HYPERLINK("http://www.eum.go.kr/web/ar/lu/luLandDet.jsp?pnu=3611025031100690012&amp;isNoScr=script&amp;mode=search",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341.2</v>
      </c>
      <c r="V1392" s="4" t="n">
        <v>338</v>
      </c>
      <c r="W1392" s="3" t="inlineStr">
        <is>
          <t>지정되지않음</t>
        </is>
      </c>
      <c r="X1392" s="3" t="inlineStr">
        <is>
          <t>주상용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광대로한면</t>
        </is>
      </c>
    </row>
    <row r="1393">
      <c r="A1393" s="3" t="inlineStr">
        <is>
          <t>조치원읍 번암리 69-12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3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30</v>
      </c>
      <c r="I1393" s="4" t="n">
        <v>0</v>
      </c>
      <c r="J1393" s="4" t="n">
        <v>0</v>
      </c>
      <c r="K1393" s="5" t="n">
        <v>0</v>
      </c>
      <c r="L1393" s="4" t="n">
        <v>26</v>
      </c>
      <c r="M1393" s="4" t="n">
        <v>8</v>
      </c>
      <c r="N1393" s="5" t="n">
        <v>3.8</v>
      </c>
      <c r="O1393" s="3" t="inlineStr">
        <is>
          <t>엘리베이터 있어요. 원 룸 분리형 구조</t>
        </is>
      </c>
      <c r="P1393" s="6">
        <f>HYPERLINK("https://fin.land.naver.com/articles/2652478073", "매물Link")</f>
        <v/>
      </c>
      <c r="Q1393" s="6">
        <f>HYPERLINK("https://map.naver.com/p/search/조치원읍 번암리 69-12", "지도Link")</f>
        <v/>
      </c>
      <c r="R1393" s="6">
        <f>HYPERLINK("http://www.eum.go.kr/web/ar/lu/luLandDet.jsp?pnu=3611025031100690012&amp;isNoScr=script&amp;mode=search", "토지이음")</f>
        <v/>
      </c>
      <c r="S1393" s="3" t="inlineStr">
        <is>
          <t>지성</t>
        </is>
      </c>
      <c r="T1393" s="4" t="n">
        <v>1</v>
      </c>
      <c r="U1393" s="5" t="n">
        <v>341.2</v>
      </c>
      <c r="V1393" s="4" t="n">
        <v>338</v>
      </c>
      <c r="W1393" s="3" t="inlineStr">
        <is>
          <t>지정되지않음</t>
        </is>
      </c>
      <c r="X1393" s="3" t="inlineStr">
        <is>
          <t>주상용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광대로한면</t>
        </is>
      </c>
    </row>
    <row r="1394">
      <c r="A1394" s="3" t="inlineStr">
        <is>
          <t>조치원읍 번암리 69-7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0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300</v>
      </c>
      <c r="H1394" s="4" t="n">
        <v>36</v>
      </c>
      <c r="I1394" s="4" t="n">
        <v>30</v>
      </c>
      <c r="J1394" s="4" t="n">
        <v>9</v>
      </c>
      <c r="K1394" s="5" t="n">
        <v>4</v>
      </c>
      <c r="L1394" s="4" t="n">
        <v>30</v>
      </c>
      <c r="M1394" s="4" t="n">
        <v>9</v>
      </c>
      <c r="N1394" s="5" t="n">
        <v>4</v>
      </c>
      <c r="O1394" s="3" t="inlineStr">
        <is>
          <t>홈플러스 앞 원룸 가격인 1.5룸, 세종 신도시 또는 오송 출퇴근 용이</t>
        </is>
      </c>
      <c r="P1394" s="6">
        <f>HYPERLINK("https://fin.land.naver.com/articles/2654460016", "매물Link")</f>
        <v/>
      </c>
      <c r="Q1394" s="6">
        <f>HYPERLINK("https://map.naver.com/p/search/조치원읍 번암리 69-7", "지도Link")</f>
        <v/>
      </c>
      <c r="R1394" s="6">
        <f>HYPERLINK("http://www.eum.go.kr/web/ar/lu/luLandDet.jsp?pnu=3611025031100690007&amp;isNoScr=script&amp;mode=search", "토지이음")</f>
        <v/>
      </c>
      <c r="S1394" s="3" t="inlineStr">
        <is>
          <t>유정희</t>
        </is>
      </c>
      <c r="T1394" s="4" t="n">
        <v>1</v>
      </c>
      <c r="U1394" s="5" t="n">
        <v>306.6</v>
      </c>
      <c r="V1394" s="4" t="n">
        <v>220</v>
      </c>
      <c r="W1394" s="3" t="inlineStr">
        <is>
          <t>지정되지않음</t>
        </is>
      </c>
      <c r="X1394" s="3" t="inlineStr">
        <is>
          <t>주상용</t>
        </is>
      </c>
      <c r="Y1394" s="3" t="inlineStr">
        <is>
          <t>평지</t>
        </is>
      </c>
      <c r="Z1394" s="3" t="inlineStr">
        <is>
          <t>가로장방</t>
        </is>
      </c>
      <c r="AA1394" s="3" t="inlineStr">
        <is>
          <t>소로한면</t>
        </is>
      </c>
    </row>
    <row r="1395">
      <c r="A1395" s="3" t="inlineStr">
        <is>
          <t>조치원읍 번암리 69-7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0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16</v>
      </c>
      <c r="J1395" s="4" t="n">
        <v>5</v>
      </c>
      <c r="K1395" s="5" t="n">
        <v>6</v>
      </c>
      <c r="L1395" s="4" t="n">
        <v>16</v>
      </c>
      <c r="M1395" s="4" t="n">
        <v>5</v>
      </c>
      <c r="N1395" s="5" t="n">
        <v>6</v>
      </c>
      <c r="O1395" s="3" t="inlineStr">
        <is>
          <t>홈플러스 앞 원룸, 세종 신도시 또는 오송으로 출퇴근 용이</t>
        </is>
      </c>
      <c r="P1395" s="6">
        <f>HYPERLINK("https://fin.land.naver.com/articles/2654459531", "매물Link")</f>
        <v/>
      </c>
      <c r="Q1395" s="6">
        <f>HYPERLINK("https://map.naver.com/p/search/조치원읍 번암리 69-7", "지도Link")</f>
        <v/>
      </c>
      <c r="R1395" s="6">
        <f>HYPERLINK("http://www.eum.go.kr/web/ar/lu/luLandDet.jsp?pnu=3611025031100690007&amp;isNoScr=script&amp;mode=search", "토지이음")</f>
        <v/>
      </c>
      <c r="S1395" s="3" t="inlineStr">
        <is>
          <t>유정희</t>
        </is>
      </c>
      <c r="T1395" s="4" t="n">
        <v>1</v>
      </c>
      <c r="U1395" s="5" t="n">
        <v>306.6</v>
      </c>
      <c r="V1395" s="4" t="n">
        <v>220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가로장방</t>
        </is>
      </c>
      <c r="AA1395" s="3" t="inlineStr">
        <is>
          <t>소로한면</t>
        </is>
      </c>
    </row>
    <row r="1396">
      <c r="A1396" s="3" t="inlineStr">
        <is>
          <t>조치원읍 봉산리 170-9</t>
        </is>
      </c>
      <c r="B1396" s="3" t="inlineStr">
        <is>
          <t>자연녹지지역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다가구</t>
        </is>
      </c>
      <c r="F1396" s="3" t="inlineStr">
        <is>
          <t>매매</t>
        </is>
      </c>
      <c r="G1396" s="4" t="n">
        <v>115000</v>
      </c>
      <c r="H1396" s="4" t="n">
        <v>0</v>
      </c>
      <c r="I1396" s="4" t="n">
        <v>640</v>
      </c>
      <c r="J1396" s="4" t="n">
        <v>194</v>
      </c>
      <c r="K1396" s="5" t="n">
        <v>592.8</v>
      </c>
      <c r="L1396" s="4" t="n">
        <v>332</v>
      </c>
      <c r="M1396" s="4" t="n">
        <v>100</v>
      </c>
      <c r="N1396" s="5" t="n">
        <v>1150</v>
      </c>
      <c r="O1396" s="3" t="inlineStr">
        <is>
          <t>봉산리 1층,2층 다중주택으로 1층 리모델링 완료. 입주일 협의가능.</t>
        </is>
      </c>
      <c r="P1396" s="6">
        <f>HYPERLINK("https://fin.land.naver.com/articles/2653372676", "매물Link")</f>
        <v/>
      </c>
      <c r="Q1396" s="6">
        <f>HYPERLINK("https://map.naver.com/p/search/조치원읍 봉산리 170-9", "지도Link")</f>
        <v/>
      </c>
      <c r="R1396" s="6">
        <f>HYPERLINK("http://www.eum.go.kr/web/ar/lu/luLandDet.jsp?pnu=3611025033101700009&amp;isNoScr=script&amp;mode=search", "토지이음")</f>
        <v/>
      </c>
      <c r="S1396" s="3" t="inlineStr">
        <is>
          <t>세종대장</t>
        </is>
      </c>
      <c r="T1396" s="4" t="n">
        <v>1</v>
      </c>
      <c r="U1396" s="5" t="n">
        <v>162</v>
      </c>
      <c r="V1396" s="4" t="n">
        <v>640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조치원읍 봉산리 190-11</t>
        </is>
      </c>
      <c r="B1397" s="3" t="inlineStr">
        <is>
          <t>자연녹지지역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빌라</t>
        </is>
      </c>
      <c r="F1397" s="3" t="inlineStr">
        <is>
          <t>매매</t>
        </is>
      </c>
      <c r="G1397" s="4" t="n">
        <v>4500</v>
      </c>
      <c r="H1397" s="4" t="n">
        <v>0</v>
      </c>
      <c r="I1397" s="4" t="n">
        <v>21</v>
      </c>
      <c r="J1397" s="4" t="n">
        <v>6</v>
      </c>
      <c r="K1397" s="5" t="n">
        <v>750</v>
      </c>
      <c r="L1397" s="4" t="n">
        <v>20</v>
      </c>
      <c r="M1397" s="4" t="n">
        <v>6</v>
      </c>
      <c r="N1397" s="5" t="n">
        <v>750</v>
      </c>
      <c r="O1397" s="3" t="inlineStr">
        <is>
          <t>고려대 세종캠퍼스 인근 복층형 원룸 개별 매매</t>
        </is>
      </c>
      <c r="P1397" s="6">
        <f>HYPERLINK("https://fin.land.naver.com/articles/2654309249", "매물Link")</f>
        <v/>
      </c>
      <c r="Q1397" s="6">
        <f>HYPERLINK("https://map.naver.com/p/search/조치원읍 봉산리 190-11", "지도Link")</f>
        <v/>
      </c>
      <c r="R1397" s="6">
        <f>HYPERLINK("http://www.eum.go.kr/web/ar/lu/luLandDet.jsp?pnu=3611025033101900011&amp;isNoScr=script&amp;mode=search", "토지이음")</f>
        <v/>
      </c>
      <c r="S1397" s="3" t="inlineStr">
        <is>
          <t>고래</t>
        </is>
      </c>
      <c r="T1397" s="4" t="n">
        <v>1</v>
      </c>
      <c r="U1397" s="5" t="n">
        <v>168.4</v>
      </c>
      <c r="V1397" s="4" t="n">
        <v>565</v>
      </c>
      <c r="W1397" s="3" t="inlineStr">
        <is>
          <t>지정되지않음</t>
        </is>
      </c>
      <c r="X1397" s="3" t="inlineStr">
        <is>
          <t>다세대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조치원읍 봉산리 190-13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30</v>
      </c>
      <c r="I1398" s="4" t="n">
        <v>0</v>
      </c>
      <c r="J1398" s="4" t="n">
        <v>0</v>
      </c>
      <c r="K1398" s="5" t="n">
        <v>0</v>
      </c>
      <c r="L1398" s="4" t="n">
        <v>15</v>
      </c>
      <c r="M1398" s="4" t="n">
        <v>5</v>
      </c>
      <c r="N1398" s="5" t="n">
        <v>6</v>
      </c>
      <c r="O1398" s="3" t="inlineStr">
        <is>
          <t>L깔끔한 오피스텔 1룸. 즉시입주가능. 뻥뷰. 단기협의</t>
        </is>
      </c>
      <c r="P1398" s="6">
        <f>HYPERLINK("https://fin.land.naver.com/articles/2655382427", "매물Link")</f>
        <v/>
      </c>
      <c r="Q1398" s="6">
        <f>HYPERLINK("https://map.naver.com/p/search/조치원읍 봉산리 190-13", "지도Link")</f>
        <v/>
      </c>
      <c r="R1398" s="6">
        <f>HYPERLINK("http://www.eum.go.kr/web/ar/lu/luLandDet.jsp?pnu=3611025033101900013&amp;isNoScr=script&amp;mode=search", "토지이음")</f>
        <v/>
      </c>
      <c r="S1398" s="3" t="inlineStr">
        <is>
          <t>바다</t>
        </is>
      </c>
      <c r="T1398" s="4" t="n">
        <v>1</v>
      </c>
      <c r="U1398" s="5" t="n">
        <v>168.4</v>
      </c>
      <c r="V1398" s="4" t="n">
        <v>737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조치원읍 봉산리 190-13</t>
        </is>
      </c>
      <c r="B1399" s="3" t="inlineStr">
        <is>
          <t>자연녹지지역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 바로입주  주차편함   고대캠퍼스10분</t>
        </is>
      </c>
      <c r="P1399" s="6">
        <f>HYPERLINK("https://fin.land.naver.com/articles/2655096118", "매물Link")</f>
        <v/>
      </c>
      <c r="Q1399" s="6">
        <f>HYPERLINK("https://map.naver.com/p/search/조치원읍 봉산리 190-13", "지도Link")</f>
        <v/>
      </c>
      <c r="R1399" s="6">
        <f>HYPERLINK("http://www.eum.go.kr/web/ar/lu/luLandDet.jsp?pnu=3611025033101900013&amp;isNoScr=script&amp;mode=search",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168.4</v>
      </c>
      <c r="V1399" s="4" t="n">
        <v>737</v>
      </c>
      <c r="W1399" s="3" t="inlineStr">
        <is>
          <t>지정되지않음</t>
        </is>
      </c>
      <c r="X1399" s="3" t="inlineStr">
        <is>
          <t>다세대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조치원읍 상리 114-1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0</t>
        </is>
      </c>
      <c r="E1400" s="3" t="inlineStr">
        <is>
          <t>도시형생활주택</t>
        </is>
      </c>
      <c r="F1400" s="3" t="inlineStr">
        <is>
          <t>월세</t>
        </is>
      </c>
      <c r="G1400" s="4" t="n">
        <v>100</v>
      </c>
      <c r="H1400" s="4" t="n">
        <v>32</v>
      </c>
      <c r="I1400" s="4" t="n">
        <v>24</v>
      </c>
      <c r="J1400" s="4" t="n">
        <v>7</v>
      </c>
      <c r="K1400" s="5" t="n">
        <v>4.6</v>
      </c>
      <c r="L1400" s="4" t="n">
        <v>16</v>
      </c>
      <c r="M1400" s="4" t="n">
        <v>5</v>
      </c>
      <c r="N1400" s="5" t="n">
        <v>6.4</v>
      </c>
      <c r="O1400" s="3" t="inlineStr">
        <is>
          <t>상리 도시형생활주택.깔끔 즉시입주가능.</t>
        </is>
      </c>
      <c r="P1400" s="6">
        <f>HYPERLINK("https://fin.land.naver.com/articles/2655547274", "매물Link")</f>
        <v/>
      </c>
      <c r="Q1400" s="6">
        <f>HYPERLINK("https://map.naver.com/p/search/조치원읍 상리 114-1", "지도Link")</f>
        <v/>
      </c>
      <c r="R1400" s="6">
        <f>HYPERLINK("http://www.eum.go.kr/web/ar/lu/luLandDet.jsp?pnu=3611025022101140001&amp;isNoScr=script&amp;mode=search", "토지이음")</f>
        <v/>
      </c>
      <c r="S1400" s="3" t="inlineStr">
        <is>
          <t>이음</t>
        </is>
      </c>
      <c r="T1400" s="4" t="n">
        <v>1</v>
      </c>
      <c r="U1400" s="5" t="n">
        <v>261.3</v>
      </c>
      <c r="V1400" s="4" t="n">
        <v>532</v>
      </c>
      <c r="W1400" s="3" t="inlineStr">
        <is>
          <t>지정되지않음</t>
        </is>
      </c>
      <c r="X1400" s="3" t="inlineStr">
        <is>
          <t>주상기타</t>
        </is>
      </c>
      <c r="Y1400" s="3" t="inlineStr">
        <is>
          <t>평지</t>
        </is>
      </c>
      <c r="Z1400" s="3" t="inlineStr">
        <is>
          <t>사다리형</t>
        </is>
      </c>
      <c r="AA1400" s="3" t="inlineStr">
        <is>
          <t>소로한면</t>
        </is>
      </c>
    </row>
    <row r="1401">
      <c r="A1401" s="3" t="inlineStr">
        <is>
          <t>조치원읍 상리 114-1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0</t>
        </is>
      </c>
      <c r="E1401" s="3" t="inlineStr">
        <is>
          <t>도시형생활주택</t>
        </is>
      </c>
      <c r="F1401" s="3" t="inlineStr">
        <is>
          <t>월세</t>
        </is>
      </c>
      <c r="G1401" s="4" t="n">
        <v>100</v>
      </c>
      <c r="H1401" s="4" t="n">
        <v>32</v>
      </c>
      <c r="I1401" s="4" t="n">
        <v>24</v>
      </c>
      <c r="J1401" s="4" t="n">
        <v>7</v>
      </c>
      <c r="K1401" s="5" t="n">
        <v>4.6</v>
      </c>
      <c r="L1401" s="4" t="n">
        <v>16</v>
      </c>
      <c r="M1401" s="4" t="n">
        <v>5</v>
      </c>
      <c r="N1401" s="5" t="n">
        <v>6.4</v>
      </c>
      <c r="O1401" s="3" t="inlineStr">
        <is>
          <t>상리 조치원터미날 맞은편 깨끗하고 교통좋습니다9.8일입주가능</t>
        </is>
      </c>
      <c r="P1401" s="6">
        <f>HYPERLINK("https://fin.land.naver.com/articles/2655013156", "매물Link")</f>
        <v/>
      </c>
      <c r="Q1401" s="6">
        <f>HYPERLINK("https://map.naver.com/p/search/조치원읍 상리 114-1", "지도Link")</f>
        <v/>
      </c>
      <c r="R1401" s="6">
        <f>HYPERLINK("http://www.eum.go.kr/web/ar/lu/luLandDet.jsp?pnu=3611025022101140001&amp;isNoScr=script&amp;mode=search", "토지이음")</f>
        <v/>
      </c>
      <c r="S1401" s="3" t="inlineStr">
        <is>
          <t>OK수</t>
        </is>
      </c>
      <c r="T1401" s="4" t="n">
        <v>1</v>
      </c>
      <c r="U1401" s="5" t="n">
        <v>261.3</v>
      </c>
      <c r="V1401" s="4" t="n">
        <v>532</v>
      </c>
      <c r="W1401" s="3" t="inlineStr">
        <is>
          <t>지정되지않음</t>
        </is>
      </c>
      <c r="X1401" s="3" t="inlineStr">
        <is>
          <t>주상기타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소로한면</t>
        </is>
      </c>
    </row>
    <row r="1402">
      <c r="A1402" s="3" t="inlineStr">
        <is>
          <t>조치원읍 상리 123</t>
        </is>
      </c>
      <c r="B1402" s="3" t="inlineStr">
        <is>
          <t>준주거지역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0</v>
      </c>
      <c r="J1402" s="4" t="n">
        <v>0</v>
      </c>
      <c r="K1402" s="5" t="n">
        <v>0</v>
      </c>
      <c r="L1402" s="4" t="n">
        <v>23</v>
      </c>
      <c r="M1402" s="4" t="n">
        <v>7</v>
      </c>
      <c r="N1402" s="5" t="n">
        <v>4.3</v>
      </c>
      <c r="O1402" s="3" t="inlineStr">
        <is>
          <t>L 시장.터미널앞, 역5분, 즉시입주가능, 특대형원룸</t>
        </is>
      </c>
      <c r="P1402" s="6">
        <f>HYPERLINK("https://fin.land.naver.com/articles/2651114568", "매물Link")</f>
        <v/>
      </c>
      <c r="Q1402" s="6">
        <f>HYPERLINK("https://map.naver.com/p/search/조치원읍 상리 123", "지도Link")</f>
        <v/>
      </c>
      <c r="R1402" s="6">
        <f>HYPERLINK("http://www.eum.go.kr/web/ar/lu/luLandDet.jsp?pnu=3611025022101230000&amp;isNoScr=script&amp;mode=search", "토지이음")</f>
        <v/>
      </c>
      <c r="S1402" s="3" t="inlineStr">
        <is>
          <t>바다</t>
        </is>
      </c>
      <c r="T1402" s="4" t="n">
        <v>1</v>
      </c>
      <c r="U1402" s="5" t="n">
        <v>280</v>
      </c>
      <c r="V1402" s="4" t="n">
        <v>236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소로각지</t>
        </is>
      </c>
    </row>
    <row r="1403">
      <c r="A1403" s="3" t="inlineStr">
        <is>
          <t>조치원읍 상리 124-2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2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39</v>
      </c>
      <c r="J1403" s="4" t="n">
        <v>12</v>
      </c>
      <c r="K1403" s="5" t="n">
        <v>2.5</v>
      </c>
      <c r="L1403" s="4" t="n">
        <v>26</v>
      </c>
      <c r="M1403" s="4" t="n">
        <v>8</v>
      </c>
      <c r="N1403" s="5" t="n">
        <v>3.8</v>
      </c>
      <c r="O1403" s="3" t="inlineStr">
        <is>
          <t>터미널 근처.예쁜룸.즉시입주 가능</t>
        </is>
      </c>
      <c r="P1403" s="6">
        <f>HYPERLINK("https://fin.land.naver.com/articles/2652314109", "매물Link")</f>
        <v/>
      </c>
      <c r="Q1403" s="6">
        <f>HYPERLINK("https://map.naver.com/p/search/조치원읍 상리 124-2", "지도Link")</f>
        <v/>
      </c>
      <c r="R1403" s="6">
        <f>HYPERLINK("http://www.eum.go.kr/web/ar/lu/luLandDet.jsp?pnu=3611025022101240002&amp;isNoScr=script&amp;mode=search",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240.7</v>
      </c>
      <c r="V1403" s="4" t="n">
        <v>348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세로한면(불)</t>
        </is>
      </c>
    </row>
    <row r="1404">
      <c r="A1404" s="3" t="inlineStr">
        <is>
          <t>조치원읍 상리 124-2</t>
        </is>
      </c>
      <c r="B1404" s="3" t="inlineStr">
        <is>
          <t>준주거지역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39</v>
      </c>
      <c r="J1404" s="4" t="n">
        <v>12</v>
      </c>
      <c r="K1404" s="5" t="n">
        <v>2.5</v>
      </c>
      <c r="L1404" s="4" t="n">
        <v>26</v>
      </c>
      <c r="M1404" s="4" t="n">
        <v>8</v>
      </c>
      <c r="N1404" s="5" t="n">
        <v>3.8</v>
      </c>
      <c r="O1404" s="3" t="inlineStr">
        <is>
          <t>터미널 근처.배란다가 아주큰 전망좋은 집.즉시입주 가능</t>
        </is>
      </c>
      <c r="P1404" s="6">
        <f>HYPERLINK("https://fin.land.naver.com/articles/2652312867", "매물Link")</f>
        <v/>
      </c>
      <c r="Q1404" s="6">
        <f>HYPERLINK("https://map.naver.com/p/search/조치원읍 상리 124-2", "지도Link")</f>
        <v/>
      </c>
      <c r="R1404" s="6">
        <f>HYPERLINK("http://www.eum.go.kr/web/ar/lu/luLandDet.jsp?pnu=3611025022101240002&amp;isNoScr=script&amp;mode=search",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240.7</v>
      </c>
      <c r="V1404" s="4" t="n">
        <v>348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세로한면(불)</t>
        </is>
      </c>
    </row>
    <row r="1405">
      <c r="A1405" s="3" t="inlineStr">
        <is>
          <t>조치원읍 상리 124-2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200</v>
      </c>
      <c r="H1405" s="4" t="n">
        <v>30</v>
      </c>
      <c r="I1405" s="4" t="n">
        <v>25</v>
      </c>
      <c r="J1405" s="4" t="n">
        <v>8</v>
      </c>
      <c r="K1405" s="5" t="n">
        <v>3.8</v>
      </c>
      <c r="L1405" s="4" t="n">
        <v>18</v>
      </c>
      <c r="M1405" s="4" t="n">
        <v>5</v>
      </c>
      <c r="N1405" s="5" t="n">
        <v>6</v>
      </c>
      <c r="O1405" s="3" t="inlineStr">
        <is>
          <t>상리 터미날 맞은편 상태 깨끗함 즉시입주 가능합니다</t>
        </is>
      </c>
      <c r="P1405" s="6">
        <f>HYPERLINK("https://fin.land.naver.com/articles/2653431981", "매물Link")</f>
        <v/>
      </c>
      <c r="Q1405" s="6">
        <f>HYPERLINK("https://map.naver.com/p/search/조치원읍 상리 124-2", "지도Link")</f>
        <v/>
      </c>
      <c r="R1405" s="6">
        <f>HYPERLINK("http://www.eum.go.kr/web/ar/lu/luLandDet.jsp?pnu=3611025022101240002&amp;isNoScr=script&amp;mode=search",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240.7</v>
      </c>
      <c r="V1405" s="4" t="n">
        <v>348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세로한면(불)</t>
        </is>
      </c>
    </row>
    <row r="1406">
      <c r="A1406" s="3" t="inlineStr">
        <is>
          <t>조치원읍 상리 132-1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상가주택</t>
        </is>
      </c>
      <c r="F1406" s="3" t="inlineStr">
        <is>
          <t>매매</t>
        </is>
      </c>
      <c r="G1406" s="4" t="n">
        <v>65000</v>
      </c>
      <c r="H1406" s="4" t="n">
        <v>0</v>
      </c>
      <c r="I1406" s="4" t="n">
        <v>116</v>
      </c>
      <c r="J1406" s="4" t="n">
        <v>35</v>
      </c>
      <c r="K1406" s="5" t="n">
        <v>1857.1</v>
      </c>
      <c r="L1406" s="4" t="n">
        <v>184</v>
      </c>
      <c r="M1406" s="4" t="n">
        <v>56</v>
      </c>
      <c r="N1406" s="5" t="n">
        <v>1160.7</v>
      </c>
      <c r="O1406" s="3" t="inlineStr">
        <is>
          <t>상리 세종문화원 맞은편 2차선 접한 전면 넓은 상가 광고효과 좋음</t>
        </is>
      </c>
      <c r="P1406" s="6">
        <f>HYPERLINK("https://fin.land.naver.com/articles/2651593382", "매물Link")</f>
        <v/>
      </c>
      <c r="Q1406" s="6">
        <f>HYPERLINK("https://map.naver.com/p/search/조치원읍 상리 132-1", "지도Link")</f>
        <v/>
      </c>
      <c r="R1406" s="6">
        <f>HYPERLINK("http://www.eum.go.kr/web/ar/lu/luLandDet.jsp?pnu=3611025022101320001&amp;isNoScr=script&amp;mode=search", "토지이음")</f>
        <v/>
      </c>
      <c r="S1406" s="3" t="inlineStr">
        <is>
          <t>OK수</t>
        </is>
      </c>
      <c r="T1406" s="4" t="n">
        <v>1</v>
      </c>
      <c r="U1406" s="5" t="n">
        <v>640.7</v>
      </c>
      <c r="V1406" s="4" t="n">
        <v>116</v>
      </c>
      <c r="W1406" s="3" t="inlineStr">
        <is>
          <t>지정되지않음</t>
        </is>
      </c>
      <c r="X1406" s="3" t="inlineStr">
        <is>
          <t>상업용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상리 59-1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3</t>
        </is>
      </c>
      <c r="E1407" s="3" t="inlineStr">
        <is>
          <t>다가구</t>
        </is>
      </c>
      <c r="F1407" s="3" t="inlineStr">
        <is>
          <t>매매</t>
        </is>
      </c>
      <c r="G1407" s="4" t="n">
        <v>82000</v>
      </c>
      <c r="H1407" s="4" t="n">
        <v>0</v>
      </c>
      <c r="I1407" s="4" t="n">
        <v>210</v>
      </c>
      <c r="J1407" s="4" t="n">
        <v>64</v>
      </c>
      <c r="K1407" s="5" t="n">
        <v>1281.2</v>
      </c>
      <c r="L1407" s="4" t="n">
        <v>305</v>
      </c>
      <c r="M1407" s="4" t="n">
        <v>92</v>
      </c>
      <c r="N1407" s="5" t="n">
        <v>891.3</v>
      </c>
      <c r="O1407" s="3" t="inlineStr">
        <is>
          <t>상리 상생마을 옆 교통좋고 잘 지어진 다가구주택 매매.</t>
        </is>
      </c>
      <c r="P1407" s="6">
        <f>HYPERLINK("https://fin.land.naver.com/articles/2654115455", "매물Link")</f>
        <v/>
      </c>
      <c r="Q1407" s="6">
        <f>HYPERLINK("https://map.naver.com/p/search/조치원읍 상리 59-1", "지도Link")</f>
        <v/>
      </c>
      <c r="R1407" s="6">
        <f>HYPERLINK("http://www.eum.go.kr/web/ar/lu/luLandDet.jsp?pnu=3611025022100590001&amp;isNoScr=script&amp;mode=search", "토지이음")</f>
        <v/>
      </c>
      <c r="S1407" s="3" t="inlineStr">
        <is>
          <t>세종대장</t>
        </is>
      </c>
      <c r="T1407" s="4" t="n">
        <v>1</v>
      </c>
      <c r="U1407" s="5" t="n">
        <v>207.1</v>
      </c>
      <c r="V1407" s="4" t="n">
        <v>210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부정형</t>
        </is>
      </c>
      <c r="AA1407" s="3" t="inlineStr">
        <is>
          <t>소로각지</t>
        </is>
      </c>
    </row>
    <row r="1408">
      <c r="A1408" s="3" t="inlineStr">
        <is>
          <t>조치원읍 상리 59-1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1000</v>
      </c>
      <c r="H1408" s="4" t="n">
        <v>65</v>
      </c>
      <c r="I1408" s="4" t="n">
        <v>56</v>
      </c>
      <c r="J1408" s="4" t="n">
        <v>17</v>
      </c>
      <c r="K1408" s="5" t="n">
        <v>3.8</v>
      </c>
      <c r="L1408" s="4" t="n">
        <v>56</v>
      </c>
      <c r="M1408" s="4" t="n">
        <v>17</v>
      </c>
      <c r="N1408" s="5" t="n">
        <v>3.8</v>
      </c>
      <c r="O1408" s="3" t="inlineStr">
        <is>
          <t>명동초 뒤 귀한 풀옵션 깨끗한 투룸. 공실로 즉시입주. 관리비 없음.</t>
        </is>
      </c>
      <c r="P1408" s="6">
        <f>HYPERLINK("https://fin.land.naver.com/articles/2651216985", "매물Link")</f>
        <v/>
      </c>
      <c r="Q1408" s="6">
        <f>HYPERLINK("https://map.naver.com/p/search/조치원읍 상리 59-1", "지도Link")</f>
        <v/>
      </c>
      <c r="R1408" s="6">
        <f>HYPERLINK("http://www.eum.go.kr/web/ar/lu/luLandDet.jsp?pnu=3611025022100590001&amp;isNoScr=script&amp;mode=search", "토지이음")</f>
        <v/>
      </c>
      <c r="S1408" s="3" t="inlineStr">
        <is>
          <t>세종대장</t>
        </is>
      </c>
      <c r="T1408" s="4" t="n">
        <v>1</v>
      </c>
      <c r="U1408" s="5" t="n">
        <v>207.1</v>
      </c>
      <c r="V1408" s="4" t="n">
        <v>210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부정형</t>
        </is>
      </c>
      <c r="AA1408" s="3" t="inlineStr">
        <is>
          <t>소로각지</t>
        </is>
      </c>
    </row>
    <row r="1409">
      <c r="A1409" s="3" t="inlineStr">
        <is>
          <t>조치원읍 상리 67-9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단독</t>
        </is>
      </c>
      <c r="F1409" s="3" t="inlineStr">
        <is>
          <t>월세</t>
        </is>
      </c>
      <c r="G1409" s="4" t="n">
        <v>200</v>
      </c>
      <c r="H1409" s="4" t="n">
        <v>25</v>
      </c>
      <c r="I1409" s="4" t="n">
        <v>19</v>
      </c>
      <c r="J1409" s="4" t="n">
        <v>6</v>
      </c>
      <c r="K1409" s="5" t="n">
        <v>4.2</v>
      </c>
      <c r="L1409" s="4" t="n">
        <v>19</v>
      </c>
      <c r="M1409" s="4" t="n">
        <v>6</v>
      </c>
      <c r="N1409" s="5" t="n">
        <v>4.2</v>
      </c>
      <c r="O1409" s="3" t="inlineStr">
        <is>
          <t>조치원읍 상리 단독주택 2층 월세</t>
        </is>
      </c>
      <c r="P1409" s="6">
        <f>HYPERLINK("https://fin.land.naver.com/articles/2652494086", "매물Link")</f>
        <v/>
      </c>
      <c r="Q1409" s="6">
        <f>HYPERLINK("https://map.naver.com/p/search/조치원읍 상리 67-9", "지도Link")</f>
        <v/>
      </c>
      <c r="R1409" s="6">
        <f>HYPERLINK("http://www.eum.go.kr/web/ar/lu/luLandDet.jsp?pnu=3611025022100670009&amp;isNoScr=script&amp;mode=search", "토지이음")</f>
        <v/>
      </c>
      <c r="S1409" s="3" t="inlineStr">
        <is>
          <t>동원</t>
        </is>
      </c>
      <c r="T1409" s="4" t="n">
        <v>1</v>
      </c>
      <c r="U1409" s="5" t="n">
        <v>154</v>
      </c>
      <c r="V1409" s="4" t="n">
        <v>201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세로한면(불)</t>
        </is>
      </c>
    </row>
    <row r="1410">
      <c r="A1410" s="3" t="inlineStr">
        <is>
          <t>조치원읍 상리 79-3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6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300</v>
      </c>
      <c r="H1410" s="4" t="n">
        <v>37</v>
      </c>
      <c r="I1410" s="4" t="n">
        <v>26</v>
      </c>
      <c r="J1410" s="4" t="n">
        <v>8</v>
      </c>
      <c r="K1410" s="5" t="n">
        <v>4.6</v>
      </c>
      <c r="L1410" s="4" t="n">
        <v>18</v>
      </c>
      <c r="M1410" s="4" t="n">
        <v>5</v>
      </c>
      <c r="N1410" s="5" t="n">
        <v>7.4</v>
      </c>
      <c r="O1410" s="3" t="inlineStr">
        <is>
          <t>상리 터미널인근 깨끗한 원룸</t>
        </is>
      </c>
      <c r="P1410" s="6">
        <f>HYPERLINK("https://fin.land.naver.com/articles/2652419757", "매물Link")</f>
        <v/>
      </c>
      <c r="Q1410" s="6">
        <f>HYPERLINK("https://map.naver.com/p/search/조치원읍 상리 79-3", "지도Link")</f>
        <v/>
      </c>
      <c r="R1410" s="6">
        <f>HYPERLINK("http://www.eum.go.kr/web/ar/lu/luLandDet.jsp?pnu=3611025022100790003&amp;isNoScr=script&amp;mode=search", "토지이음")</f>
        <v/>
      </c>
      <c r="S1410" s="3" t="inlineStr">
        <is>
          <t>OK수</t>
        </is>
      </c>
      <c r="T1410" s="4" t="n">
        <v>1</v>
      </c>
      <c r="U1410" s="5" t="n">
        <v>318.4</v>
      </c>
      <c r="V1410" s="4" t="n">
        <v>465</v>
      </c>
      <c r="W1410" s="3" t="inlineStr">
        <is>
          <t>지정되지않음</t>
        </is>
      </c>
      <c r="X1410" s="3" t="inlineStr">
        <is>
          <t>주상기타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상리 79-3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5</t>
        </is>
      </c>
      <c r="E1411" s="3" t="inlineStr">
        <is>
          <t>도시형생활주택</t>
        </is>
      </c>
      <c r="F1411" s="3" t="inlineStr">
        <is>
          <t>전세</t>
        </is>
      </c>
      <c r="G1411" s="4" t="n">
        <v>4200</v>
      </c>
      <c r="H1411" s="4" t="n">
        <v>0</v>
      </c>
      <c r="I1411" s="4" t="n">
        <v>26</v>
      </c>
      <c r="J1411" s="4" t="n">
        <v>8</v>
      </c>
      <c r="K1411" s="5" t="n">
        <v>525</v>
      </c>
      <c r="L1411" s="4" t="n">
        <v>18</v>
      </c>
      <c r="M1411" s="4" t="n">
        <v>5</v>
      </c>
      <c r="N1411" s="5" t="n">
        <v>840</v>
      </c>
      <c r="O1411" s="3" t="inlineStr">
        <is>
          <t>풀옵션 깔끔한 도시형생활주택 무융자조건</t>
        </is>
      </c>
      <c r="P1411" s="6">
        <f>HYPERLINK("https://fin.land.naver.com/articles/2650834927", "매물Link")</f>
        <v/>
      </c>
      <c r="Q1411" s="6">
        <f>HYPERLINK("https://map.naver.com/p/search/조치원읍 상리 79-3", "지도Link")</f>
        <v/>
      </c>
      <c r="R1411" s="6">
        <f>HYPERLINK("http://www.eum.go.kr/web/ar/lu/luLandDet.jsp?pnu=3611025022100790003&amp;isNoScr=script&amp;mode=search", "토지이음")</f>
        <v/>
      </c>
      <c r="S1411" s="3" t="inlineStr">
        <is>
          <t>용죽부자</t>
        </is>
      </c>
      <c r="T1411" s="4" t="n">
        <v>1</v>
      </c>
      <c r="U1411" s="5" t="n">
        <v>318.4</v>
      </c>
      <c r="V1411" s="4" t="n">
        <v>465</v>
      </c>
      <c r="W1411" s="3" t="inlineStr">
        <is>
          <t>지정되지않음</t>
        </is>
      </c>
      <c r="X1411" s="3" t="inlineStr">
        <is>
          <t>주상기타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상리 79-3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7</t>
        </is>
      </c>
      <c r="E1412" s="3" t="inlineStr">
        <is>
          <t>일반원룸</t>
        </is>
      </c>
      <c r="F1412" s="3" t="inlineStr">
        <is>
          <t>전세</t>
        </is>
      </c>
      <c r="G1412" s="4" t="n">
        <v>4200</v>
      </c>
      <c r="H1412" s="4" t="n">
        <v>0</v>
      </c>
      <c r="I1412" s="4" t="n">
        <v>30</v>
      </c>
      <c r="J1412" s="4" t="n">
        <v>9</v>
      </c>
      <c r="K1412" s="5" t="n">
        <v>466.7</v>
      </c>
      <c r="L1412" s="4" t="n">
        <v>20</v>
      </c>
      <c r="M1412" s="4" t="n">
        <v>6</v>
      </c>
      <c r="N1412" s="5" t="n">
        <v>700</v>
      </c>
      <c r="O1412" s="3" t="inlineStr">
        <is>
          <t>깨끗한원룸.넓은방.협의입주가능.보안철저.주차시설완비</t>
        </is>
      </c>
      <c r="P1412" s="6">
        <f>HYPERLINK("https://fin.land.naver.com/articles/2651544463", "매물Link")</f>
        <v/>
      </c>
      <c r="Q1412" s="6">
        <f>HYPERLINK("https://map.naver.com/p/search/조치원읍 상리 79-3", "지도Link")</f>
        <v/>
      </c>
      <c r="R1412" s="6">
        <f>HYPERLINK("http://www.eum.go.kr/web/ar/lu/luLandDet.jsp?pnu=3611025022100790003&amp;isNoScr=script&amp;mode=search",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318.4</v>
      </c>
      <c r="V1412" s="4" t="n">
        <v>465</v>
      </c>
      <c r="W1412" s="3" t="inlineStr">
        <is>
          <t>지정되지않음</t>
        </is>
      </c>
      <c r="X1412" s="3" t="inlineStr">
        <is>
          <t>주상기타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상리 79-3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도시형생활주택</t>
        </is>
      </c>
      <c r="F1413" s="3" t="inlineStr">
        <is>
          <t>월세</t>
        </is>
      </c>
      <c r="G1413" s="4" t="n">
        <v>4500</v>
      </c>
      <c r="H1413" s="4" t="n">
        <v>12</v>
      </c>
      <c r="I1413" s="4" t="n">
        <v>0</v>
      </c>
      <c r="J1413" s="4" t="n">
        <v>0</v>
      </c>
      <c r="K1413" s="5" t="n">
        <v>0</v>
      </c>
      <c r="L1413" s="4" t="n">
        <v>18</v>
      </c>
      <c r="M1413" s="4" t="n">
        <v>5</v>
      </c>
      <c r="N1413" s="5" t="n">
        <v>2.4</v>
      </c>
      <c r="O1413" s="3" t="inlineStr">
        <is>
          <t>L 즉시입주가능  O엘베 O정남향 O역10분내</t>
        </is>
      </c>
      <c r="P1413" s="6">
        <f>HYPERLINK("https://fin.land.naver.com/articles/2654721854", "매물Link")</f>
        <v/>
      </c>
      <c r="Q1413" s="6">
        <f>HYPERLINK("https://map.naver.com/p/search/조치원읍 상리 79-3", "지도Link")</f>
        <v/>
      </c>
      <c r="R1413" s="6">
        <f>HYPERLINK("http://www.eum.go.kr/web/ar/lu/luLandDet.jsp?pnu=3611025022100790003&amp;isNoScr=script&amp;mode=search", "토지이음")</f>
        <v/>
      </c>
      <c r="S1413" s="3" t="inlineStr">
        <is>
          <t>바다</t>
        </is>
      </c>
      <c r="T1413" s="4" t="n">
        <v>1</v>
      </c>
      <c r="U1413" s="5" t="n">
        <v>318.4</v>
      </c>
      <c r="V1413" s="4" t="n">
        <v>465</v>
      </c>
      <c r="W1413" s="3" t="inlineStr">
        <is>
          <t>지정되지않음</t>
        </is>
      </c>
      <c r="X1413" s="3" t="inlineStr">
        <is>
          <t>주상기타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소로한면</t>
        </is>
      </c>
    </row>
    <row r="1414">
      <c r="A1414" s="3" t="inlineStr">
        <is>
          <t>조치원읍 상리 79-3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5</t>
        </is>
      </c>
      <c r="E1414" s="3" t="inlineStr">
        <is>
          <t>도시형생활주택</t>
        </is>
      </c>
      <c r="F1414" s="3" t="inlineStr">
        <is>
          <t>월세</t>
        </is>
      </c>
      <c r="G1414" s="4" t="n">
        <v>300</v>
      </c>
      <c r="H1414" s="4" t="n">
        <v>37</v>
      </c>
      <c r="I1414" s="4" t="n">
        <v>0</v>
      </c>
      <c r="J1414" s="4" t="n">
        <v>0</v>
      </c>
      <c r="K1414" s="5" t="n">
        <v>0</v>
      </c>
      <c r="L1414" s="4" t="n">
        <v>20</v>
      </c>
      <c r="M1414" s="4" t="n">
        <v>6</v>
      </c>
      <c r="N1414" s="5" t="n">
        <v>6.2</v>
      </c>
      <c r="O1414" s="3" t="inlineStr">
        <is>
          <t>인기좋은  풀옵션완비방   깔끔한 주거공간   바로입주  주차편함</t>
        </is>
      </c>
      <c r="P1414" s="6">
        <f>HYPERLINK("https://fin.land.naver.com/articles/2655336359", "매물Link")</f>
        <v/>
      </c>
      <c r="Q1414" s="6">
        <f>HYPERLINK("https://map.naver.com/p/search/조치원읍 상리 79-3", "지도Link")</f>
        <v/>
      </c>
      <c r="R1414" s="6">
        <f>HYPERLINK("http://www.eum.go.kr/web/ar/lu/luLandDet.jsp?pnu=3611025022100790003&amp;isNoScr=script&amp;mode=search", "토지이음")</f>
        <v/>
      </c>
      <c r="S1414" s="3" t="inlineStr">
        <is>
          <t>연서으뜸</t>
        </is>
      </c>
      <c r="T1414" s="4" t="n">
        <v>1</v>
      </c>
      <c r="U1414" s="5" t="n">
        <v>318.4</v>
      </c>
      <c r="V1414" s="4" t="n">
        <v>465</v>
      </c>
      <c r="W1414" s="3" t="inlineStr">
        <is>
          <t>지정되지않음</t>
        </is>
      </c>
      <c r="X1414" s="3" t="inlineStr">
        <is>
          <t>주상기타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소로한면</t>
        </is>
      </c>
    </row>
    <row r="1415">
      <c r="A1415" s="3" t="inlineStr">
        <is>
          <t>조치원읍 상리 79-3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6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300</v>
      </c>
      <c r="H1415" s="4" t="n">
        <v>37</v>
      </c>
      <c r="I1415" s="4" t="n">
        <v>26</v>
      </c>
      <c r="J1415" s="4" t="n">
        <v>8</v>
      </c>
      <c r="K1415" s="5" t="n">
        <v>4.6</v>
      </c>
      <c r="L1415" s="4" t="n">
        <v>18</v>
      </c>
      <c r="M1415" s="4" t="n">
        <v>5</v>
      </c>
      <c r="N1415" s="5" t="n">
        <v>7.4</v>
      </c>
      <c r="O1415" s="3" t="inlineStr">
        <is>
          <t>풀옵션 원룸 도시형생활주택 넓고 깔끔해요</t>
        </is>
      </c>
      <c r="P1415" s="6">
        <f>HYPERLINK("https://fin.land.naver.com/articles/2650836138", "매물Link")</f>
        <v/>
      </c>
      <c r="Q1415" s="6">
        <f>HYPERLINK("https://map.naver.com/p/search/조치원읍 상리 79-3", "지도Link")</f>
        <v/>
      </c>
      <c r="R1415" s="6">
        <f>HYPERLINK("http://www.eum.go.kr/web/ar/lu/luLandDet.jsp?pnu=3611025022100790003&amp;isNoScr=script&amp;mode=search", "토지이음")</f>
        <v/>
      </c>
      <c r="S1415" s="3" t="inlineStr">
        <is>
          <t>용죽부자</t>
        </is>
      </c>
      <c r="T1415" s="4" t="n">
        <v>1</v>
      </c>
      <c r="U1415" s="5" t="n">
        <v>318.4</v>
      </c>
      <c r="V1415" s="4" t="n">
        <v>465</v>
      </c>
      <c r="W1415" s="3" t="inlineStr">
        <is>
          <t>지정되지않음</t>
        </is>
      </c>
      <c r="X1415" s="3" t="inlineStr">
        <is>
          <t>주상기타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소로한면</t>
        </is>
      </c>
    </row>
    <row r="1416">
      <c r="A1416" s="3" t="inlineStr">
        <is>
          <t>조치원읍 상리 79-3</t>
        </is>
      </c>
      <c r="B1416" s="3" t="inlineStr">
        <is>
          <t>일반상업지역</t>
        </is>
      </c>
      <c r="C1416" s="3" t="inlineStr">
        <is>
          <t>대</t>
        </is>
      </c>
      <c r="D1416" s="3" t="inlineStr">
        <is>
          <t>0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36</v>
      </c>
      <c r="I1416" s="4" t="n">
        <v>30</v>
      </c>
      <c r="J1416" s="4" t="n">
        <v>9</v>
      </c>
      <c r="K1416" s="5" t="n">
        <v>4</v>
      </c>
      <c r="L1416" s="4" t="n">
        <v>20</v>
      </c>
      <c r="M1416" s="4" t="n">
        <v>6</v>
      </c>
      <c r="N1416" s="5" t="n">
        <v>6</v>
      </c>
      <c r="O1416" s="3" t="inlineStr">
        <is>
          <t>깨끗한원룸.실사진.보안철저.주차시설완비</t>
        </is>
      </c>
      <c r="P1416" s="6">
        <f>HYPERLINK("https://fin.land.naver.com/articles/2651069563", "매물Link")</f>
        <v/>
      </c>
      <c r="Q1416" s="6">
        <f>HYPERLINK("https://map.naver.com/p/search/조치원읍 상리 79-3", "지도Link")</f>
        <v/>
      </c>
      <c r="R1416" s="6">
        <f>HYPERLINK("http://www.eum.go.kr/web/ar/lu/luLandDet.jsp?pnu=3611025022100790003&amp;isNoScr=script&amp;mode=search",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318.4</v>
      </c>
      <c r="V1416" s="4" t="n">
        <v>465</v>
      </c>
      <c r="W1416" s="3" t="inlineStr">
        <is>
          <t>지정되지않음</t>
        </is>
      </c>
      <c r="X1416" s="3" t="inlineStr">
        <is>
          <t>주상기타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소로한면</t>
        </is>
      </c>
    </row>
    <row r="1417">
      <c r="A1417" s="3" t="inlineStr">
        <is>
          <t>조치원읍 서창리 131-1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다가구</t>
        </is>
      </c>
      <c r="F1417" s="3" t="inlineStr">
        <is>
          <t>매매</t>
        </is>
      </c>
      <c r="G1417" s="4" t="n">
        <v>62000</v>
      </c>
      <c r="H1417" s="4" t="n">
        <v>0</v>
      </c>
      <c r="I1417" s="4" t="n">
        <v>184</v>
      </c>
      <c r="J1417" s="4" t="n">
        <v>56</v>
      </c>
      <c r="K1417" s="5" t="n">
        <v>1107.1</v>
      </c>
      <c r="L1417" s="4" t="n">
        <v>294</v>
      </c>
      <c r="M1417" s="4" t="n">
        <v>89</v>
      </c>
      <c r="N1417" s="5" t="n">
        <v>696.6</v>
      </c>
      <c r="O1417" s="3" t="inlineStr">
        <is>
          <t>nan</t>
        </is>
      </c>
      <c r="P1417" s="6">
        <f>HYPERLINK("https://fin.land.naver.com/articles/2654392771", "매물Link")</f>
        <v/>
      </c>
      <c r="Q1417" s="6">
        <f>HYPERLINK("https://map.naver.com/p/search/조치원읍 서창리 131-1", "지도Link")</f>
        <v/>
      </c>
      <c r="R1417" s="6">
        <f>HYPERLINK("http://www.eum.go.kr/web/ar/lu/luLandDet.jsp?pnu=3611025034101310001&amp;isNoScr=script&amp;mode=search",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276.7</v>
      </c>
      <c r="V1417" s="4" t="n">
        <v>177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소로각지</t>
        </is>
      </c>
    </row>
    <row r="1418">
      <c r="A1418" s="3" t="inlineStr">
        <is>
          <t>조치원읍 서창리 132-7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단독</t>
        </is>
      </c>
      <c r="F1418" s="3" t="inlineStr">
        <is>
          <t>매매</t>
        </is>
      </c>
      <c r="G1418" s="4" t="n">
        <v>70000</v>
      </c>
      <c r="H1418" s="4" t="n">
        <v>0</v>
      </c>
      <c r="I1418" s="4" t="n">
        <v>204</v>
      </c>
      <c r="J1418" s="4" t="n">
        <v>62</v>
      </c>
      <c r="K1418" s="5" t="n">
        <v>1129</v>
      </c>
      <c r="L1418" s="4" t="n">
        <v>323</v>
      </c>
      <c r="M1418" s="4" t="n">
        <v>98</v>
      </c>
      <c r="N1418" s="5" t="n">
        <v>714.3</v>
      </c>
      <c r="O1418" s="3" t="inlineStr">
        <is>
          <t>대학가 원룸 통매매</t>
        </is>
      </c>
      <c r="P1418" s="6">
        <f>HYPERLINK("https://fin.land.naver.com/articles/2654217651", "매물Link")</f>
        <v/>
      </c>
      <c r="Q1418" s="6">
        <f>HYPERLINK("https://map.naver.com/p/search/조치원읍 서창리 132-7", "지도Link")</f>
        <v/>
      </c>
      <c r="R1418" s="6">
        <f>HYPERLINK("http://www.eum.go.kr/web/ar/lu/luLandDet.jsp?pnu=3611025034101320007&amp;isNoScr=script&amp;mode=search", "토지이음")</f>
        <v/>
      </c>
      <c r="S1418" s="3" t="inlineStr">
        <is>
          <t>고래</t>
        </is>
      </c>
      <c r="T1418" s="4" t="n">
        <v>1</v>
      </c>
      <c r="U1418" s="5" t="n">
        <v>271.1</v>
      </c>
      <c r="V1418" s="4" t="n">
        <v>204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소로한면</t>
        </is>
      </c>
    </row>
    <row r="1419">
      <c r="A1419" s="3" t="inlineStr">
        <is>
          <t>조치원읍 서창리 132-7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3</t>
        </is>
      </c>
      <c r="E1419" s="3" t="inlineStr">
        <is>
          <t>다가구</t>
        </is>
      </c>
      <c r="F1419" s="3" t="inlineStr">
        <is>
          <t>매매</t>
        </is>
      </c>
      <c r="G1419" s="4" t="n">
        <v>70000</v>
      </c>
      <c r="H1419" s="4" t="n">
        <v>0</v>
      </c>
      <c r="I1419" s="4" t="n">
        <v>204</v>
      </c>
      <c r="J1419" s="4" t="n">
        <v>62</v>
      </c>
      <c r="K1419" s="5" t="n">
        <v>1129</v>
      </c>
      <c r="L1419" s="4" t="n">
        <v>323</v>
      </c>
      <c r="M1419" s="4" t="n">
        <v>98</v>
      </c>
      <c r="N1419" s="5" t="n">
        <v>714.3</v>
      </c>
      <c r="O1419" s="3" t="inlineStr">
        <is>
          <t>L 고대 도로변 위치좋은 건물</t>
        </is>
      </c>
      <c r="P1419" s="6">
        <f>HYPERLINK("https://fin.land.naver.com/articles/2650552362", "매물Link")</f>
        <v/>
      </c>
      <c r="Q1419" s="6">
        <f>HYPERLINK("https://map.naver.com/p/search/조치원읍 서창리 132-7", "지도Link")</f>
        <v/>
      </c>
      <c r="R1419" s="6">
        <f>HYPERLINK("http://www.eum.go.kr/web/ar/lu/luLandDet.jsp?pnu=3611025034101320007&amp;isNoScr=script&amp;mode=search", "토지이음")</f>
        <v/>
      </c>
      <c r="S1419" s="3" t="inlineStr">
        <is>
          <t>바다</t>
        </is>
      </c>
      <c r="T1419" s="4" t="n">
        <v>1</v>
      </c>
      <c r="U1419" s="5" t="n">
        <v>271.1</v>
      </c>
      <c r="V1419" s="4" t="n">
        <v>204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사다리형</t>
        </is>
      </c>
      <c r="AA1419" s="3" t="inlineStr">
        <is>
          <t>소로한면</t>
        </is>
      </c>
    </row>
    <row r="1420">
      <c r="A1420" s="3" t="inlineStr">
        <is>
          <t>조치원읍 서창리 133-1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다가구</t>
        </is>
      </c>
      <c r="F1420" s="3" t="inlineStr">
        <is>
          <t>매매</t>
        </is>
      </c>
      <c r="G1420" s="4" t="n">
        <v>110000</v>
      </c>
      <c r="H1420" s="4" t="n">
        <v>0</v>
      </c>
      <c r="I1420" s="4" t="n">
        <v>430</v>
      </c>
      <c r="J1420" s="4" t="n">
        <v>130</v>
      </c>
      <c r="K1420" s="5" t="n">
        <v>846.2</v>
      </c>
      <c r="L1420" s="4" t="n">
        <v>628</v>
      </c>
      <c r="M1420" s="4" t="n">
        <v>190</v>
      </c>
      <c r="N1420" s="5" t="n">
        <v>578.9</v>
      </c>
      <c r="O1420" s="3" t="inlineStr">
        <is>
          <t>건물통매매 깔끔 관리잘된집 연세안정적인수입 수익률최고 급매조정해드림</t>
        </is>
      </c>
      <c r="P1420" s="6">
        <f>HYPERLINK("https://fin.land.naver.com/articles/2651330727", "매물Link")</f>
        <v/>
      </c>
      <c r="Q1420" s="6">
        <f>HYPERLINK("https://map.naver.com/p/search/조치원읍 서창리 133-1", "지도Link")</f>
        <v/>
      </c>
      <c r="R1420" s="6">
        <f>HYPERLINK("http://www.eum.go.kr/web/ar/lu/luLandDet.jsp?pnu=3611025034101330001&amp;isNoScr=script&amp;mode=search", "토지이음")</f>
        <v/>
      </c>
      <c r="S1420" s="3" t="inlineStr">
        <is>
          <t>금성</t>
        </is>
      </c>
      <c r="T1420" s="4" t="n">
        <v>1</v>
      </c>
      <c r="U1420" s="5" t="n">
        <v>251.3</v>
      </c>
      <c r="V1420" s="4" t="n">
        <v>430</v>
      </c>
      <c r="W1420" s="3" t="inlineStr">
        <is>
          <t>지정되지않음</t>
        </is>
      </c>
      <c r="X1420" s="3" t="inlineStr">
        <is>
          <t>단독</t>
        </is>
      </c>
      <c r="Y1420" s="3" t="inlineStr">
        <is>
          <t>평지</t>
        </is>
      </c>
      <c r="Z1420" s="3" t="inlineStr">
        <is>
          <t>정방형</t>
        </is>
      </c>
      <c r="AA1420" s="3" t="inlineStr">
        <is>
          <t>소로한면</t>
        </is>
      </c>
    </row>
    <row r="1421">
      <c r="A1421" s="3" t="inlineStr">
        <is>
          <t>조치원읍 서창리 133-25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3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67000</v>
      </c>
      <c r="H1421" s="4" t="n">
        <v>0</v>
      </c>
      <c r="I1421" s="4" t="n">
        <v>507</v>
      </c>
      <c r="J1421" s="4" t="n">
        <v>153</v>
      </c>
      <c r="K1421" s="5" t="n">
        <v>437.9</v>
      </c>
      <c r="L1421" s="4" t="n">
        <v>495</v>
      </c>
      <c r="M1421" s="4" t="n">
        <v>150</v>
      </c>
      <c r="N1421" s="5" t="n">
        <v>446.7</v>
      </c>
      <c r="O1421" s="3" t="inlineStr">
        <is>
          <t>최고 수익률 연세받는 원룸건물 고려대 세종캠퍼스 부근공실없음.</t>
        </is>
      </c>
      <c r="P1421" s="6">
        <f>HYPERLINK("https://fin.land.naver.com/articles/2653540941", "매물Link")</f>
        <v/>
      </c>
      <c r="Q1421" s="6">
        <f>HYPERLINK("https://map.naver.com/p/search/조치원읍 서창리 133-25", "지도Link")</f>
        <v/>
      </c>
      <c r="R1421" s="6">
        <f>HYPERLINK("http://www.eum.go.kr/web/ar/lu/luLandDet.jsp?pnu=3611025034101330025&amp;isNoScr=script&amp;mode=search", "토지이음")</f>
        <v/>
      </c>
      <c r="S1421" s="3" t="inlineStr">
        <is>
          <t>더나은</t>
        </is>
      </c>
      <c r="T1421" s="4" t="n">
        <v>2</v>
      </c>
      <c r="U1421" s="5" t="n">
        <v>236.2</v>
      </c>
      <c r="V1421" s="4" t="n">
        <v>507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소로한면</t>
        </is>
      </c>
    </row>
    <row r="1422">
      <c r="A1422" s="3" t="inlineStr">
        <is>
          <t>조치원읍 서창리 133-28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3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52000</v>
      </c>
      <c r="H1422" s="4" t="n">
        <v>0</v>
      </c>
      <c r="I1422" s="4" t="n">
        <v>233</v>
      </c>
      <c r="J1422" s="4" t="n">
        <v>70</v>
      </c>
      <c r="K1422" s="5" t="n">
        <v>742.9</v>
      </c>
      <c r="L1422" s="4" t="n">
        <v>312</v>
      </c>
      <c r="M1422" s="4" t="n">
        <v>94</v>
      </c>
      <c r="N1422" s="5" t="n">
        <v>553.2</v>
      </c>
      <c r="O1422" s="3" t="inlineStr">
        <is>
          <t>nan</t>
        </is>
      </c>
      <c r="P1422" s="6">
        <f>HYPERLINK("https://fin.land.naver.com/articles/2654392066", "매물Link")</f>
        <v/>
      </c>
      <c r="Q1422" s="6">
        <f>HYPERLINK("https://map.naver.com/p/search/조치원읍 서창리 133-28", "지도Link")</f>
        <v/>
      </c>
      <c r="R1422" s="6">
        <f>HYPERLINK("http://www.eum.go.kr/web/ar/lu/luLandDet.jsp?pnu=3611025034101330028&amp;isNoScr=script&amp;mode=search",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243.7</v>
      </c>
      <c r="V1422" s="4" t="n">
        <v>233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소로한면</t>
        </is>
      </c>
    </row>
    <row r="1423">
      <c r="A1423" s="3" t="inlineStr">
        <is>
          <t>조치원읍 서창리 140-26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1</t>
        </is>
      </c>
      <c r="E1423" s="3" t="inlineStr">
        <is>
          <t>빌라</t>
        </is>
      </c>
      <c r="F1423" s="3" t="inlineStr">
        <is>
          <t>매매</t>
        </is>
      </c>
      <c r="G1423" s="4" t="n">
        <v>8000</v>
      </c>
      <c r="H1423" s="4" t="n">
        <v>0</v>
      </c>
      <c r="I1423" s="4" t="n">
        <v>37</v>
      </c>
      <c r="J1423" s="4" t="n">
        <v>11</v>
      </c>
      <c r="K1423" s="5" t="n">
        <v>727.3</v>
      </c>
      <c r="L1423" s="4" t="n">
        <v>37</v>
      </c>
      <c r="M1423" s="4" t="n">
        <v>11</v>
      </c>
      <c r="N1423" s="5" t="n">
        <v>727.3</v>
      </c>
      <c r="O1423" s="3" t="inlineStr">
        <is>
          <t>L 전체 리모델링. 입주시기 협의</t>
        </is>
      </c>
      <c r="P1423" s="6">
        <f>HYPERLINK("https://fin.land.naver.com/articles/2654721789", "매물Link")</f>
        <v/>
      </c>
      <c r="Q1423" s="6">
        <f>HYPERLINK("https://map.naver.com/p/search/조치원읍 서창리 140-26", "지도Link")</f>
        <v/>
      </c>
      <c r="R1423" s="6">
        <f>HYPERLINK("http://www.eum.go.kr/web/ar/lu/luLandDet.jsp?pnu=3611025034101400026&amp;isNoScr=script&amp;mode=search", "토지이음")</f>
        <v/>
      </c>
      <c r="S1423" s="3" t="inlineStr">
        <is>
          <t>바다</t>
        </is>
      </c>
      <c r="T1423" s="4" t="n">
        <v>1</v>
      </c>
      <c r="U1423" s="5" t="n">
        <v>210.2</v>
      </c>
      <c r="V1423" s="4" t="n">
        <v>171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정방형</t>
        </is>
      </c>
      <c r="AA1423" s="3" t="inlineStr">
        <is>
          <t>세로한면(불)</t>
        </is>
      </c>
    </row>
    <row r="1424">
      <c r="A1424" s="3" t="inlineStr">
        <is>
          <t>조치원읍 서창리 143-4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25</v>
      </c>
      <c r="I1424" s="4" t="n">
        <v>0</v>
      </c>
      <c r="J1424" s="4" t="n">
        <v>0</v>
      </c>
      <c r="K1424" s="5" t="n">
        <v>0</v>
      </c>
      <c r="L1424" s="4" t="n">
        <v>33</v>
      </c>
      <c r="M1424" s="4" t="n">
        <v>10</v>
      </c>
      <c r="N1424" s="5" t="n">
        <v>2.5</v>
      </c>
      <c r="O1424" s="3" t="inlineStr">
        <is>
          <t>L 월25만. 역3분. 바로입주가능</t>
        </is>
      </c>
      <c r="P1424" s="6">
        <f>HYPERLINK("https://fin.land.naver.com/articles/2651114519", "매물Link")</f>
        <v/>
      </c>
      <c r="Q1424" s="6">
        <f>HYPERLINK("https://map.naver.com/p/search/조치원읍 서창리 143-4", "지도Link")</f>
        <v/>
      </c>
      <c r="R1424" s="6">
        <f>HYPERLINK("http://www.eum.go.kr/web/ar/lu/luLandDet.jsp?pnu=3611025034101430004&amp;isNoScr=script&amp;mode=search",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419.8</v>
      </c>
      <c r="V1424" s="4" t="n">
        <v>242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부정형</t>
        </is>
      </c>
      <c r="AA1424" s="3" t="inlineStr">
        <is>
          <t>중로각지</t>
        </is>
      </c>
    </row>
    <row r="1425">
      <c r="A1425" s="3" t="inlineStr">
        <is>
          <t>조치원읍 서창리 178-1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상가주택</t>
        </is>
      </c>
      <c r="F1425" s="3" t="inlineStr">
        <is>
          <t>매매</t>
        </is>
      </c>
      <c r="G1425" s="4" t="n">
        <v>125000</v>
      </c>
      <c r="H1425" s="4" t="n">
        <v>0</v>
      </c>
      <c r="I1425" s="4" t="n">
        <v>258</v>
      </c>
      <c r="J1425" s="4" t="n">
        <v>78</v>
      </c>
      <c r="K1425" s="5" t="n">
        <v>1602.6</v>
      </c>
      <c r="L1425" s="4" t="n">
        <v>454</v>
      </c>
      <c r="M1425" s="4" t="n">
        <v>137</v>
      </c>
      <c r="N1425" s="5" t="n">
        <v>912.4</v>
      </c>
      <c r="O1425" s="3" t="inlineStr">
        <is>
          <t>대학가 상가주택 통매매</t>
        </is>
      </c>
      <c r="P1425" s="6">
        <f>HYPERLINK("https://fin.land.naver.com/articles/2654216625", "매물Link")</f>
        <v/>
      </c>
      <c r="Q1425" s="6">
        <f>HYPERLINK("https://map.naver.com/p/search/조치원읍 서창리 178-1", "지도Link")</f>
        <v/>
      </c>
      <c r="R1425" s="6">
        <f>HYPERLINK("http://www.eum.go.kr/web/ar/lu/luLandDet.jsp?pnu=3611025034101780001&amp;isNoScr=script&amp;mode=search", "토지이음")</f>
        <v/>
      </c>
      <c r="S1425" s="3" t="inlineStr">
        <is>
          <t>고래</t>
        </is>
      </c>
      <c r="T1425" s="4" t="n">
        <v>1</v>
      </c>
      <c r="U1425" s="5" t="n">
        <v>227.8</v>
      </c>
      <c r="V1425" s="4" t="n">
        <v>258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부정형</t>
        </is>
      </c>
      <c r="AA1425" s="3" t="inlineStr">
        <is>
          <t>세로한면(가)</t>
        </is>
      </c>
    </row>
    <row r="1426">
      <c r="A1426" s="3" t="inlineStr">
        <is>
          <t>조치원읍 서창리 188-13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다가구</t>
        </is>
      </c>
      <c r="F1426" s="3" t="inlineStr">
        <is>
          <t>매매</t>
        </is>
      </c>
      <c r="G1426" s="4" t="n">
        <v>87000</v>
      </c>
      <c r="H1426" s="4" t="n">
        <v>0</v>
      </c>
      <c r="I1426" s="4" t="n">
        <v>286</v>
      </c>
      <c r="J1426" s="4" t="n">
        <v>87</v>
      </c>
      <c r="K1426" s="5" t="n">
        <v>1000</v>
      </c>
      <c r="L1426" s="4" t="n">
        <v>448</v>
      </c>
      <c r="M1426" s="4" t="n">
        <v>136</v>
      </c>
      <c r="N1426" s="5" t="n">
        <v>639.7</v>
      </c>
      <c r="O1426" s="3" t="inlineStr">
        <is>
          <t>대학가 수익률9 다가구주택</t>
        </is>
      </c>
      <c r="P1426" s="6">
        <f>HYPERLINK("https://fin.land.naver.com/articles/2653931472", "매물Link")</f>
        <v/>
      </c>
      <c r="Q1426" s="6">
        <f>HYPERLINK("https://map.naver.com/p/search/조치원읍 서창리 188-13", "지도Link")</f>
        <v/>
      </c>
      <c r="R1426" s="6">
        <f>HYPERLINK("http://www.eum.go.kr/web/ar/lu/luLandDet.jsp?pnu=3611025034101880013&amp;isNoScr=script&amp;mode=search", "토지이음")</f>
        <v/>
      </c>
      <c r="S1426" s="3" t="inlineStr">
        <is>
          <t>고래</t>
        </is>
      </c>
      <c r="T1426" s="4" t="n">
        <v>1</v>
      </c>
      <c r="U1426" s="5" t="n">
        <v>216.6</v>
      </c>
      <c r="V1426" s="4" t="n">
        <v>286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완경사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서창리 188-31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다가구</t>
        </is>
      </c>
      <c r="F1427" s="3" t="inlineStr">
        <is>
          <t>매매</t>
        </is>
      </c>
      <c r="G1427" s="4" t="n">
        <v>73000</v>
      </c>
      <c r="H1427" s="4" t="n">
        <v>0</v>
      </c>
      <c r="I1427" s="4" t="n">
        <v>245</v>
      </c>
      <c r="J1427" s="4" t="n">
        <v>74</v>
      </c>
      <c r="K1427" s="5" t="n">
        <v>986.5</v>
      </c>
      <c r="L1427" s="4" t="n">
        <v>382</v>
      </c>
      <c r="M1427" s="4" t="n">
        <v>116</v>
      </c>
      <c r="N1427" s="5" t="n">
        <v>629.3</v>
      </c>
      <c r="O1427" s="3" t="inlineStr">
        <is>
          <t>월세440만원가능 다가구 건물</t>
        </is>
      </c>
      <c r="P1427" s="6">
        <f>HYPERLINK("https://fin.land.naver.com/articles/2654217339", "매물Link")</f>
        <v/>
      </c>
      <c r="Q1427" s="6">
        <f>HYPERLINK("https://map.naver.com/p/search/조치원읍 서창리 188-31", "지도Link")</f>
        <v/>
      </c>
      <c r="R1427" s="6">
        <f>HYPERLINK("http://www.eum.go.kr/web/ar/lu/luLandDet.jsp?pnu=3611025034101880031&amp;isNoScr=script&amp;mode=search", "토지이음")</f>
        <v/>
      </c>
      <c r="S1427" s="3" t="inlineStr">
        <is>
          <t>고래</t>
        </is>
      </c>
      <c r="T1427" s="4" t="n">
        <v>1</v>
      </c>
      <c r="U1427" s="5" t="n">
        <v>240.7</v>
      </c>
      <c r="V1427" s="4" t="n">
        <v>245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완경사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서창리 203-10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다가구</t>
        </is>
      </c>
      <c r="F1428" s="3" t="inlineStr">
        <is>
          <t>매매</t>
        </is>
      </c>
      <c r="G1428" s="4" t="n">
        <v>49000</v>
      </c>
      <c r="H1428" s="4" t="n">
        <v>0</v>
      </c>
      <c r="I1428" s="4" t="n">
        <v>654</v>
      </c>
      <c r="J1428" s="4" t="n">
        <v>198</v>
      </c>
      <c r="K1428" s="5" t="n">
        <v>247.5</v>
      </c>
      <c r="L1428" s="4" t="n">
        <v>581</v>
      </c>
      <c r="M1428" s="4" t="n">
        <v>176</v>
      </c>
      <c r="N1428" s="5" t="n">
        <v>278.4</v>
      </c>
      <c r="O1428" s="3" t="inlineStr">
        <is>
          <t>nan</t>
        </is>
      </c>
      <c r="P1428" s="6">
        <f>HYPERLINK("https://fin.land.naver.com/articles/2654391179", "매물Link")</f>
        <v/>
      </c>
      <c r="Q1428" s="6">
        <f>HYPERLINK("https://map.naver.com/p/search/조치원읍 서창리 203-10", "지도Link")</f>
        <v/>
      </c>
      <c r="R1428" s="6">
        <f>HYPERLINK("http://www.eum.go.kr/web/ar/lu/luLandDet.jsp?pnu=3611025034102030010&amp;isNoScr=script&amp;mode=search", "토지이음")</f>
        <v/>
      </c>
      <c r="S1428" s="3" t="inlineStr">
        <is>
          <t>척척</t>
        </is>
      </c>
      <c r="T1428" s="4" t="n">
        <v>2</v>
      </c>
      <c r="U1428" s="5" t="n">
        <v>205.7</v>
      </c>
      <c r="V1428" s="4" t="n">
        <v>415</v>
      </c>
      <c r="W1428" s="3" t="inlineStr">
        <is>
          <t>자연녹지지역</t>
        </is>
      </c>
      <c r="X1428" s="3" t="inlineStr">
        <is>
          <t>다세대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세로한면(가)</t>
        </is>
      </c>
    </row>
    <row r="1429">
      <c r="A1429" s="3" t="inlineStr">
        <is>
          <t>조치원읍 서창리 203-6</t>
        </is>
      </c>
      <c r="B1429" s="3" t="inlineStr">
        <is>
          <t>제1종일반주거지역</t>
        </is>
      </c>
      <c r="C1429" s="3" t="inlineStr">
        <is>
          <t>대</t>
        </is>
      </c>
      <c r="D1429" s="3" t="inlineStr">
        <is>
          <t>0</t>
        </is>
      </c>
      <c r="E1429" s="3" t="inlineStr">
        <is>
          <t>일반원룸</t>
        </is>
      </c>
      <c r="F1429" s="3" t="inlineStr">
        <is>
          <t>전세</t>
        </is>
      </c>
      <c r="G1429" s="4" t="n">
        <v>3000</v>
      </c>
      <c r="H1429" s="4" t="n">
        <v>0</v>
      </c>
      <c r="I1429" s="4" t="n">
        <v>30</v>
      </c>
      <c r="J1429" s="4" t="n">
        <v>9</v>
      </c>
      <c r="K1429" s="5" t="n">
        <v>333.3</v>
      </c>
      <c r="L1429" s="4" t="n">
        <v>30</v>
      </c>
      <c r="M1429" s="4" t="n">
        <v>9</v>
      </c>
      <c r="N1429" s="5" t="n">
        <v>333.3</v>
      </c>
      <c r="O1429" s="3" t="inlineStr">
        <is>
          <t>위치좋고 상태 좋은 저렴한 매물 안전전세</t>
        </is>
      </c>
      <c r="P1429" s="6">
        <f>HYPERLINK("https://fin.land.naver.com/articles/2653251836", "매물Link")</f>
        <v/>
      </c>
      <c r="Q1429" s="6">
        <f>HYPERLINK("https://map.naver.com/p/search/조치원읍 서창리 203-6", "지도Link")</f>
        <v/>
      </c>
      <c r="R1429" s="6">
        <f>HYPERLINK("http://www.eum.go.kr/web/ar/lu/luLandDet.jsp?pnu=3611025034102030006&amp;isNoScr=script&amp;mode=search", "토지이음")</f>
        <v/>
      </c>
      <c r="S1429" s="3" t="inlineStr">
        <is>
          <t>부자터</t>
        </is>
      </c>
      <c r="T1429" s="4" t="n">
        <v>1</v>
      </c>
      <c r="U1429" s="5" t="n">
        <v>344.8</v>
      </c>
      <c r="V1429" s="4" t="n">
        <v>477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서창리 205</t>
        </is>
      </c>
      <c r="B1430" s="3" t="inlineStr">
        <is>
          <t>자연녹지지역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19</v>
      </c>
      <c r="M1430" s="4" t="n">
        <v>6</v>
      </c>
      <c r="N1430" s="5" t="n">
        <v>5</v>
      </c>
      <c r="O1430" s="3" t="inlineStr">
        <is>
          <t>알뜰하고 깔끔한 분리형 원룸</t>
        </is>
      </c>
      <c r="P1430" s="6">
        <f>HYPERLINK("https://fin.land.naver.com/articles/2653930959", "매물Link")</f>
        <v/>
      </c>
      <c r="Q1430" s="6">
        <f>HYPERLINK("https://map.naver.com/p/search/조치원읍 서창리 205", "지도Link")</f>
        <v/>
      </c>
      <c r="R1430" s="6">
        <f>HYPERLINK("http://www.eum.go.kr/web/ar/lu/luLandDet.jsp?pnu=3611025034102050000&amp;isNoScr=script&amp;mode=search",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144.3</v>
      </c>
      <c r="V1430" s="4" t="n">
        <v>796</v>
      </c>
      <c r="W1430" s="3" t="inlineStr">
        <is>
          <t>제1종일반주거지역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부정형</t>
        </is>
      </c>
      <c r="AA1430" s="3" t="inlineStr">
        <is>
          <t>세로한면(가)</t>
        </is>
      </c>
    </row>
    <row r="1431">
      <c r="A1431" s="3" t="inlineStr">
        <is>
          <t>조치원읍 서창리 205-3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35</v>
      </c>
      <c r="I1431" s="4" t="n">
        <v>39</v>
      </c>
      <c r="J1431" s="4" t="n">
        <v>12</v>
      </c>
      <c r="K1431" s="5" t="n">
        <v>2.9</v>
      </c>
      <c r="L1431" s="4" t="n">
        <v>29</v>
      </c>
      <c r="M1431" s="4" t="n">
        <v>9</v>
      </c>
      <c r="N1431" s="5" t="n">
        <v>3.9</v>
      </c>
      <c r="O1431" s="3" t="inlineStr">
        <is>
          <t>큰방.풀옵션.전동.전의면 가까운곳 위치.</t>
        </is>
      </c>
      <c r="P1431" s="6">
        <f>HYPERLINK("https://fin.land.naver.com/articles/2655636136", "매물Link")</f>
        <v/>
      </c>
      <c r="Q1431" s="6">
        <f>HYPERLINK("https://map.naver.com/p/search/조치원읍 서창리 205-3", "지도Link")</f>
        <v/>
      </c>
      <c r="R1431" s="6">
        <f>HYPERLINK("http://www.eum.go.kr/web/ar/lu/luLandDet.jsp?pnu=3611025034102050003&amp;isNoScr=script&amp;mode=search",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140.4</v>
      </c>
      <c r="V1431" s="4" t="n">
        <v>798</v>
      </c>
      <c r="W1431" s="3" t="inlineStr">
        <is>
          <t>제1종일반주거지역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세로한면(가)</t>
        </is>
      </c>
    </row>
    <row r="1432">
      <c r="A1432" s="3" t="inlineStr">
        <is>
          <t>조치원읍 서창리 219-3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47000</v>
      </c>
      <c r="H1432" s="4" t="n">
        <v>0</v>
      </c>
      <c r="I1432" s="4" t="n">
        <v>205</v>
      </c>
      <c r="J1432" s="4" t="n">
        <v>62</v>
      </c>
      <c r="K1432" s="5" t="n">
        <v>758.1</v>
      </c>
      <c r="L1432" s="4" t="n">
        <v>360</v>
      </c>
      <c r="M1432" s="4" t="n">
        <v>109</v>
      </c>
      <c r="N1432" s="5" t="n">
        <v>431.2</v>
      </c>
      <c r="O1432" s="3" t="inlineStr">
        <is>
          <t>nan</t>
        </is>
      </c>
      <c r="P1432" s="6">
        <f>HYPERLINK("https://fin.land.naver.com/articles/2654390965", "매물Link")</f>
        <v/>
      </c>
      <c r="Q1432" s="6">
        <f>HYPERLINK("https://map.naver.com/p/search/조치원읍 서창리 219-3", "지도Link")</f>
        <v/>
      </c>
      <c r="R1432" s="6">
        <f>HYPERLINK("http://www.eum.go.kr/web/ar/lu/luLandDet.jsp?pnu=3611025034102190003&amp;isNoScr=script&amp;mode=search", "토지이음")</f>
        <v/>
      </c>
      <c r="S1432" s="3" t="inlineStr">
        <is>
          <t>척척</t>
        </is>
      </c>
      <c r="T1432" s="4" t="n">
        <v>2</v>
      </c>
      <c r="U1432" s="5" t="n">
        <v>244.1</v>
      </c>
      <c r="V1432" s="4" t="n">
        <v>205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세로한면(가)</t>
        </is>
      </c>
    </row>
    <row r="1433">
      <c r="A1433" s="3" t="inlineStr">
        <is>
          <t>조치원읍 서창리 290-5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29</v>
      </c>
      <c r="I1433" s="4" t="n">
        <v>39</v>
      </c>
      <c r="J1433" s="4" t="n">
        <v>12</v>
      </c>
      <c r="K1433" s="5" t="n">
        <v>2.4</v>
      </c>
      <c r="L1433" s="4" t="n">
        <v>26</v>
      </c>
      <c r="M1433" s="4" t="n">
        <v>8</v>
      </c>
      <c r="N1433" s="5" t="n">
        <v>3.6</v>
      </c>
      <c r="O1433" s="3" t="inlineStr">
        <is>
          <t>서창리 분리형 넓은 원룸</t>
        </is>
      </c>
      <c r="P1433" s="6">
        <f>HYPERLINK("https://fin.land.naver.com/articles/2655629587", "매물Link")</f>
        <v/>
      </c>
      <c r="Q1433" s="6">
        <f>HYPERLINK("https://map.naver.com/p/search/조치원읍 서창리 290-5", "지도Link")</f>
        <v/>
      </c>
      <c r="R1433" s="6">
        <f>HYPERLINK("http://www.eum.go.kr/web/ar/lu/luLandDet.jsp?pnu=3611025034102900005&amp;isNoScr=script&amp;mode=search",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319.2</v>
      </c>
      <c r="V1433" s="4" t="n">
        <v>237.8</v>
      </c>
      <c r="W1433" s="3" t="inlineStr">
        <is>
          <t>지정되지않음</t>
        </is>
      </c>
      <c r="X1433" s="3" t="inlineStr">
        <is>
          <t>주상나지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세로한면(가)</t>
        </is>
      </c>
    </row>
    <row r="1434">
      <c r="A1434" s="3" t="inlineStr">
        <is>
          <t>조치원읍 서창리 291-3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22</v>
      </c>
      <c r="I1434" s="4" t="n">
        <v>0</v>
      </c>
      <c r="J1434" s="4" t="n">
        <v>0</v>
      </c>
      <c r="K1434" s="5" t="n">
        <v>0</v>
      </c>
      <c r="L1434" s="4" t="n">
        <v>19</v>
      </c>
      <c r="M1434" s="4" t="n">
        <v>6</v>
      </c>
      <c r="N1434" s="5" t="n">
        <v>3.7</v>
      </c>
      <c r="O1434" s="3" t="inlineStr">
        <is>
          <t>단기가능 엘리베이터 고대 도보거리</t>
        </is>
      </c>
      <c r="P1434" s="6">
        <f>HYPERLINK("https://fin.land.naver.com/articles/2653942501", "매물Link")</f>
        <v/>
      </c>
      <c r="Q1434" s="6">
        <f>HYPERLINK("https://map.naver.com/p/search/조치원읍 서창리 291-3", "지도Link")</f>
        <v/>
      </c>
      <c r="R1434" s="6">
        <f>HYPERLINK("http://www.eum.go.kr/web/ar/lu/luLandDet.jsp?pnu=3611025034102910003&amp;isNoScr=script&amp;mode=search",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538.2</v>
      </c>
      <c r="V1434" s="4" t="n">
        <v>221</v>
      </c>
      <c r="W1434" s="3" t="inlineStr">
        <is>
          <t>지정되지않음</t>
        </is>
      </c>
      <c r="X1434" s="3" t="inlineStr">
        <is>
          <t>주상용</t>
        </is>
      </c>
      <c r="Y1434" s="3" t="inlineStr">
        <is>
          <t>평지</t>
        </is>
      </c>
      <c r="Z1434" s="3" t="inlineStr">
        <is>
          <t>정방형</t>
        </is>
      </c>
      <c r="AA1434" s="3" t="inlineStr">
        <is>
          <t>중로한면</t>
        </is>
      </c>
    </row>
    <row r="1435">
      <c r="A1435" s="3" t="inlineStr">
        <is>
          <t>조치원읍 서창리 292-2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전세</t>
        </is>
      </c>
      <c r="G1435" s="4" t="n">
        <v>4500</v>
      </c>
      <c r="H1435" s="4" t="n">
        <v>0</v>
      </c>
      <c r="I1435" s="4" t="n">
        <v>39</v>
      </c>
      <c r="J1435" s="4" t="n">
        <v>12</v>
      </c>
      <c r="K1435" s="5" t="n">
        <v>375</v>
      </c>
      <c r="L1435" s="4" t="n">
        <v>26</v>
      </c>
      <c r="M1435" s="4" t="n">
        <v>8</v>
      </c>
      <c r="N1435" s="5" t="n">
        <v>562.5</v>
      </c>
      <c r="O1435" s="3" t="inlineStr">
        <is>
          <t>큰싸이즈의 분리형 원룸 안전한 전세찾으시는분</t>
        </is>
      </c>
      <c r="P1435" s="6">
        <f>HYPERLINK("https://fin.land.naver.com/articles/2655341384", "매물Link")</f>
        <v/>
      </c>
      <c r="Q1435" s="6">
        <f>HYPERLINK("https://map.naver.com/p/search/조치원읍 서창리 292-2", "지도Link")</f>
        <v/>
      </c>
      <c r="R1435" s="6">
        <f>HYPERLINK("http://www.eum.go.kr/web/ar/lu/luLandDet.jsp?pnu=3611025034102920002&amp;isNoScr=script&amp;mode=search",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324.7</v>
      </c>
      <c r="V1435" s="4" t="n">
        <v>301.2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정방형</t>
        </is>
      </c>
      <c r="AA1435" s="3" t="inlineStr">
        <is>
          <t>세로각지(가)</t>
        </is>
      </c>
    </row>
    <row r="1436">
      <c r="A1436" s="3" t="inlineStr">
        <is>
          <t>조치원읍 서창리 293-11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0</v>
      </c>
      <c r="J1436" s="4" t="n">
        <v>0</v>
      </c>
      <c r="K1436" s="5" t="n">
        <v>0</v>
      </c>
      <c r="L1436" s="4" t="n">
        <v>25</v>
      </c>
      <c r="M1436" s="4" t="n">
        <v>8</v>
      </c>
      <c r="N1436" s="5" t="n">
        <v>3.8</v>
      </c>
      <c r="O1436" s="3" t="inlineStr">
        <is>
          <t>넓고 깔끔한 풀옵션방  정남향  주차편함  짐만 챙겨오세요 교통편리</t>
        </is>
      </c>
      <c r="P1436" s="6">
        <f>HYPERLINK("https://fin.land.naver.com/articles/2653291150", "매물Link")</f>
        <v/>
      </c>
      <c r="Q1436" s="6">
        <f>HYPERLINK("https://map.naver.com/p/search/조치원읍 서창리 293-11", "지도Link")</f>
        <v/>
      </c>
      <c r="R1436" s="6">
        <f>HYPERLINK("http://www.eum.go.kr/web/ar/lu/luLandDet.jsp?pnu=3611025034102930011&amp;isNoScr=script&amp;mode=search", "토지이음")</f>
        <v/>
      </c>
      <c r="S1436" s="3" t="inlineStr">
        <is>
          <t>연서으뜸</t>
        </is>
      </c>
      <c r="T1436" s="4" t="n">
        <v>1</v>
      </c>
      <c r="U1436" s="5" t="n">
        <v>289.3</v>
      </c>
      <c r="V1436" s="4" t="n">
        <v>222.7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세로한면(가)</t>
        </is>
      </c>
    </row>
    <row r="1437">
      <c r="A1437" s="3" t="inlineStr">
        <is>
          <t>조치원읍 서창리 293-13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0</v>
      </c>
      <c r="J1437" s="4" t="n">
        <v>0</v>
      </c>
      <c r="K1437" s="5" t="n">
        <v>0</v>
      </c>
      <c r="L1437" s="4" t="n">
        <v>29</v>
      </c>
      <c r="M1437" s="4" t="n">
        <v>9</v>
      </c>
      <c r="N1437" s="5" t="n">
        <v>3.3</v>
      </c>
      <c r="O1437" s="3" t="inlineStr">
        <is>
          <t>투베이 빠른입주가능</t>
        </is>
      </c>
      <c r="P1437" s="6">
        <f>HYPERLINK("https://fin.land.naver.com/articles/2653942086", "매물Link")</f>
        <v/>
      </c>
      <c r="Q1437" s="6">
        <f>HYPERLINK("https://map.naver.com/p/search/조치원읍 서창리 293-13", "지도Link")</f>
        <v/>
      </c>
      <c r="R1437" s="6">
        <f>HYPERLINK("http://www.eum.go.kr/web/ar/lu/luLandDet.jsp?pnu=3611025034102930013&amp;isNoScr=script&amp;mode=search",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295.1</v>
      </c>
      <c r="V1437" s="4" t="n">
        <v>224.3</v>
      </c>
      <c r="W1437" s="3" t="inlineStr">
        <is>
          <t>지정되지않음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세로한면(가)</t>
        </is>
      </c>
    </row>
    <row r="1438">
      <c r="A1438" s="3" t="inlineStr">
        <is>
          <t>조치원읍 서창리 293-5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5</t>
        </is>
      </c>
      <c r="E1438" s="3" t="inlineStr">
        <is>
          <t>다가구</t>
        </is>
      </c>
      <c r="F1438" s="3" t="inlineStr">
        <is>
          <t>매매</t>
        </is>
      </c>
      <c r="G1438" s="4" t="n">
        <v>78000</v>
      </c>
      <c r="H1438" s="4" t="n">
        <v>0</v>
      </c>
      <c r="I1438" s="4" t="n">
        <v>215</v>
      </c>
      <c r="J1438" s="4" t="n">
        <v>65</v>
      </c>
      <c r="K1438" s="5" t="n">
        <v>1200</v>
      </c>
      <c r="L1438" s="4" t="n">
        <v>493</v>
      </c>
      <c r="M1438" s="4" t="n">
        <v>149</v>
      </c>
      <c r="N1438" s="5" t="n">
        <v>523.5</v>
      </c>
      <c r="O1438" s="3" t="inlineStr">
        <is>
          <t>nan</t>
        </is>
      </c>
      <c r="P1438" s="6">
        <f>HYPERLINK("https://fin.land.naver.com/articles/2654392386", "매물Link")</f>
        <v/>
      </c>
      <c r="Q1438" s="6">
        <f>HYPERLINK("https://map.naver.com/p/search/조치원읍 서창리 293-5", "지도Link")</f>
        <v/>
      </c>
      <c r="R1438" s="6">
        <f>HYPERLINK("http://www.eum.go.kr/web/ar/lu/luLandDet.jsp?pnu=3611025034102930005&amp;isNoScr=script&amp;mode=search",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295.1</v>
      </c>
      <c r="V1438" s="4" t="n">
        <v>215.3</v>
      </c>
      <c r="W1438" s="3" t="inlineStr">
        <is>
          <t>지정되지않음</t>
        </is>
      </c>
      <c r="X1438" s="3" t="inlineStr">
        <is>
          <t>주거나지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세로한면(가)</t>
        </is>
      </c>
    </row>
    <row r="1439">
      <c r="A1439" s="3" t="inlineStr">
        <is>
          <t>조치원읍 서창리 295-1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다가구</t>
        </is>
      </c>
      <c r="F1439" s="3" t="inlineStr">
        <is>
          <t>월세</t>
        </is>
      </c>
      <c r="G1439" s="4" t="n">
        <v>3000</v>
      </c>
      <c r="H1439" s="4" t="n">
        <v>30</v>
      </c>
      <c r="I1439" s="4" t="n">
        <v>49</v>
      </c>
      <c r="J1439" s="4" t="n">
        <v>15</v>
      </c>
      <c r="K1439" s="5" t="n">
        <v>2</v>
      </c>
      <c r="L1439" s="4" t="n">
        <v>46</v>
      </c>
      <c r="M1439" s="4" t="n">
        <v>14</v>
      </c>
      <c r="N1439" s="5" t="n">
        <v>2.1</v>
      </c>
      <c r="O1439" s="3" t="inlineStr">
        <is>
          <t>예쁜 1.5룸.넓은거실.붙박이장.3천에40만.</t>
        </is>
      </c>
      <c r="P1439" s="6">
        <f>HYPERLINK("https://fin.land.naver.com/articles/2650739917", "매물Link")</f>
        <v/>
      </c>
      <c r="Q1439" s="6">
        <f>HYPERLINK("https://map.naver.com/p/search/조치원읍 서창리 295-1", "지도Link")</f>
        <v/>
      </c>
      <c r="R1439" s="6">
        <f>HYPERLINK("http://www.eum.go.kr/web/ar/lu/luLandDet.jsp?pnu=3611025034102950001&amp;isNoScr=script&amp;mode=search",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321.6</v>
      </c>
      <c r="V1439" s="4" t="n">
        <v>355.2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세로각지(가)</t>
        </is>
      </c>
    </row>
    <row r="1440">
      <c r="A1440" s="3" t="inlineStr">
        <is>
          <t>조치원읍 서창리 296-8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30</v>
      </c>
      <c r="I1440" s="4" t="n">
        <v>23</v>
      </c>
      <c r="J1440" s="4" t="n">
        <v>7</v>
      </c>
      <c r="K1440" s="5" t="n">
        <v>4.3</v>
      </c>
      <c r="L1440" s="4" t="n">
        <v>23</v>
      </c>
      <c r="M1440" s="4" t="n">
        <v>7</v>
      </c>
      <c r="N1440" s="5" t="n">
        <v>4.3</v>
      </c>
      <c r="O1440" s="3" t="inlineStr">
        <is>
          <t>11월초 입주가능한 원룸</t>
        </is>
      </c>
      <c r="P1440" s="6">
        <f>HYPERLINK("https://fin.land.naver.com/articles/2654006832", "매물Link")</f>
        <v/>
      </c>
      <c r="Q1440" s="6">
        <f>HYPERLINK("https://map.naver.com/p/search/조치원읍 서창리 296-8", "지도Link")</f>
        <v/>
      </c>
      <c r="R1440" s="6">
        <f>HYPERLINK("http://www.eum.go.kr/web/ar/lu/luLandDet.jsp?pnu=3611025034102960008&amp;isNoScr=script&amp;mode=search", "토지이음")</f>
        <v/>
      </c>
      <c r="S1440" s="3" t="inlineStr">
        <is>
          <t>김준희</t>
        </is>
      </c>
      <c r="T1440" s="4" t="n">
        <v>1</v>
      </c>
      <c r="U1440" s="5" t="n">
        <v>321.1</v>
      </c>
      <c r="V1440" s="4" t="n">
        <v>317.7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296-8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70000</v>
      </c>
      <c r="H1441" s="4" t="n">
        <v>0</v>
      </c>
      <c r="I1441" s="4" t="n">
        <v>317</v>
      </c>
      <c r="J1441" s="4" t="n">
        <v>96</v>
      </c>
      <c r="K1441" s="5" t="n">
        <v>729.2</v>
      </c>
      <c r="L1441" s="4" t="n">
        <v>481</v>
      </c>
      <c r="M1441" s="4" t="n">
        <v>146</v>
      </c>
      <c r="N1441" s="5" t="n">
        <v>479.5</v>
      </c>
      <c r="O1441" s="3" t="inlineStr">
        <is>
          <t>다가구 매매 실투자금 약 5억</t>
        </is>
      </c>
      <c r="P1441" s="6">
        <f>HYPERLINK("https://fin.land.naver.com/articles/2651340270", "매물Link")</f>
        <v/>
      </c>
      <c r="Q1441" s="6">
        <f>HYPERLINK("https://map.naver.com/p/search/조치원읍 서창리 296-8", "지도Link")</f>
        <v/>
      </c>
      <c r="R1441" s="6">
        <f>HYPERLINK("http://www.eum.go.kr/web/ar/lu/luLandDet.jsp?pnu=3611025034102960008&amp;isNoScr=script&amp;mode=search", "토지이음")</f>
        <v/>
      </c>
      <c r="S1441" s="3" t="inlineStr">
        <is>
          <t>상희</t>
        </is>
      </c>
      <c r="T1441" s="4" t="n">
        <v>1</v>
      </c>
      <c r="U1441" s="5" t="n">
        <v>321.1</v>
      </c>
      <c r="V1441" s="4" t="n">
        <v>317.7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서창리 296-8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4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317</v>
      </c>
      <c r="J1442" s="4" t="n">
        <v>96</v>
      </c>
      <c r="K1442" s="5" t="n">
        <v>729.2</v>
      </c>
      <c r="L1442" s="4" t="n">
        <v>481</v>
      </c>
      <c r="M1442" s="4" t="n">
        <v>146</v>
      </c>
      <c r="N1442" s="5" t="n">
        <v>479.5</v>
      </c>
      <c r="O1442" s="3" t="inlineStr">
        <is>
          <t>nan</t>
        </is>
      </c>
      <c r="P1442" s="6">
        <f>HYPERLINK("https://fin.land.naver.com/articles/2654391524", "매물Link")</f>
        <v/>
      </c>
      <c r="Q1442" s="6">
        <f>HYPERLINK("https://map.naver.com/p/search/조치원읍 서창리 296-8", "지도Link")</f>
        <v/>
      </c>
      <c r="R1442" s="6">
        <f>HYPERLINK("http://www.eum.go.kr/web/ar/lu/luLandDet.jsp?pnu=3611025034102960008&amp;isNoScr=script&amp;mode=search",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321.1</v>
      </c>
      <c r="V1442" s="4" t="n">
        <v>317.7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서창리 297-2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100</v>
      </c>
      <c r="H1443" s="4" t="n">
        <v>30</v>
      </c>
      <c r="I1443" s="4" t="n">
        <v>23</v>
      </c>
      <c r="J1443" s="4" t="n">
        <v>7</v>
      </c>
      <c r="K1443" s="5" t="n">
        <v>4.3</v>
      </c>
      <c r="L1443" s="4" t="n">
        <v>23</v>
      </c>
      <c r="M1443" s="4" t="n">
        <v>7</v>
      </c>
      <c r="N1443" s="5" t="n">
        <v>4.3</v>
      </c>
      <c r="O1443" s="3" t="inlineStr">
        <is>
          <t>nan</t>
        </is>
      </c>
      <c r="P1443" s="6">
        <f>HYPERLINK("https://fin.land.naver.com/articles/2654007914", "매물Link")</f>
        <v/>
      </c>
      <c r="Q1443" s="6">
        <f>HYPERLINK("https://map.naver.com/p/search/조치원읍 서창리 297-2", "지도Link")</f>
        <v/>
      </c>
      <c r="R1443" s="6">
        <f>HYPERLINK("http://www.eum.go.kr/web/ar/lu/luLandDet.jsp?pnu=3611025034102970002&amp;isNoScr=script&amp;mode=search", "토지이음")</f>
        <v/>
      </c>
      <c r="S1443" s="3" t="inlineStr">
        <is>
          <t>상희</t>
        </is>
      </c>
      <c r="T1443" s="4" t="n">
        <v>2</v>
      </c>
      <c r="U1443" s="5" t="n">
        <v>327.5</v>
      </c>
      <c r="V1443" s="4" t="n">
        <v>288.8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297-8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100</v>
      </c>
      <c r="H1444" s="4" t="n">
        <v>26</v>
      </c>
      <c r="I1444" s="4" t="n">
        <v>0</v>
      </c>
      <c r="J1444" s="4" t="n">
        <v>0</v>
      </c>
      <c r="K1444" s="5" t="n">
        <v>0</v>
      </c>
      <c r="L1444" s="4" t="n">
        <v>16</v>
      </c>
      <c r="M1444" s="4" t="n">
        <v>5</v>
      </c>
      <c r="N1444" s="5" t="n">
        <v>5.2</v>
      </c>
      <c r="O1444" s="3" t="inlineStr">
        <is>
          <t>채광좋은 오픈형 원룸</t>
        </is>
      </c>
      <c r="P1444" s="6">
        <f>HYPERLINK("https://fin.land.naver.com/articles/2654004694", "매물Link")</f>
        <v/>
      </c>
      <c r="Q1444" s="6">
        <f>HYPERLINK("https://map.naver.com/p/search/조치원읍 서창리 297-8", "지도Link")</f>
        <v/>
      </c>
      <c r="R1444" s="6">
        <f>HYPERLINK("http://www.eum.go.kr/web/ar/lu/luLandDet.jsp?pnu=3611025034102970008&amp;isNoScr=script&amp;mode=search",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359.3</v>
      </c>
      <c r="V1444" s="4" t="n">
        <v>496.5</v>
      </c>
      <c r="W1444" s="3" t="inlineStr">
        <is>
          <t>지정되지않음</t>
        </is>
      </c>
      <c r="X1444" s="3" t="inlineStr">
        <is>
          <t>주상기타</t>
        </is>
      </c>
      <c r="Y1444" s="3" t="inlineStr">
        <is>
          <t>평지</t>
        </is>
      </c>
      <c r="Z1444" s="3" t="inlineStr">
        <is>
          <t>정방형</t>
        </is>
      </c>
      <c r="AA1444" s="3" t="inlineStr">
        <is>
          <t>소로각지</t>
        </is>
      </c>
    </row>
    <row r="1445">
      <c r="A1445" s="3" t="inlineStr">
        <is>
          <t>조치원읍 서창리 298-2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4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25</v>
      </c>
      <c r="I1445" s="4" t="n">
        <v>0</v>
      </c>
      <c r="J1445" s="4" t="n">
        <v>0</v>
      </c>
      <c r="K1445" s="5" t="n">
        <v>0</v>
      </c>
      <c r="L1445" s="4" t="n">
        <v>21</v>
      </c>
      <c r="M1445" s="4" t="n">
        <v>6</v>
      </c>
      <c r="N1445" s="5" t="n">
        <v>4.2</v>
      </c>
      <c r="O1445" s="3" t="inlineStr">
        <is>
          <t>L 월33만. 역3분. 즉시입주가능</t>
        </is>
      </c>
      <c r="P1445" s="6">
        <f>HYPERLINK("https://fin.land.naver.com/articles/2654721879", "매물Link")</f>
        <v/>
      </c>
      <c r="Q1445" s="6">
        <f>HYPERLINK("https://map.naver.com/p/search/조치원읍 서창리 298-2", "지도Link")</f>
        <v/>
      </c>
      <c r="R1445" s="6">
        <f>HYPERLINK("http://www.eum.go.kr/web/ar/lu/luLandDet.jsp?pnu=3611025034102980002&amp;isNoScr=script&amp;mode=search",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347.8</v>
      </c>
      <c r="V1445" s="4" t="n">
        <v>295.2</v>
      </c>
      <c r="W1445" s="3" t="inlineStr">
        <is>
          <t>지정되지않음</t>
        </is>
      </c>
      <c r="X1445" s="3" t="inlineStr">
        <is>
          <t>주상기타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서창리 298-2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200</v>
      </c>
      <c r="H1446" s="4" t="n">
        <v>23</v>
      </c>
      <c r="I1446" s="4" t="n">
        <v>0</v>
      </c>
      <c r="J1446" s="4" t="n">
        <v>0</v>
      </c>
      <c r="K1446" s="5" t="n">
        <v>0</v>
      </c>
      <c r="L1446" s="4" t="n">
        <v>19</v>
      </c>
      <c r="M1446" s="4" t="n">
        <v>6</v>
      </c>
      <c r="N1446" s="5" t="n">
        <v>3.8</v>
      </c>
      <c r="O1446" s="3" t="inlineStr">
        <is>
          <t>서창리 가성비 좋은 원룸</t>
        </is>
      </c>
      <c r="P1446" s="6">
        <f>HYPERLINK("https://fin.land.naver.com/articles/2652873695", "매물Link")</f>
        <v/>
      </c>
      <c r="Q1446" s="6">
        <f>HYPERLINK("https://map.naver.com/p/search/조치원읍 서창리 298-2", "지도Link")</f>
        <v/>
      </c>
      <c r="R1446" s="6">
        <f>HYPERLINK("http://www.eum.go.kr/web/ar/lu/luLandDet.jsp?pnu=3611025034102980002&amp;isNoScr=script&amp;mode=search",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347.8</v>
      </c>
      <c r="V1446" s="4" t="n">
        <v>295.2</v>
      </c>
      <c r="W1446" s="3" t="inlineStr">
        <is>
          <t>지정되지않음</t>
        </is>
      </c>
      <c r="X1446" s="3" t="inlineStr">
        <is>
          <t>주상기타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소로한면</t>
        </is>
      </c>
    </row>
    <row r="1447">
      <c r="A1447" s="3" t="inlineStr">
        <is>
          <t>조치원읍 서창리 298-2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28</v>
      </c>
      <c r="I1447" s="4" t="n">
        <v>20</v>
      </c>
      <c r="J1447" s="4" t="n">
        <v>6</v>
      </c>
      <c r="K1447" s="5" t="n">
        <v>4.7</v>
      </c>
      <c r="L1447" s="4" t="n">
        <v>20</v>
      </c>
      <c r="M1447" s="4" t="n">
        <v>6</v>
      </c>
      <c r="N1447" s="5" t="n">
        <v>4.7</v>
      </c>
      <c r="O1447" s="3" t="inlineStr">
        <is>
          <t>원룸 월세 서창리</t>
        </is>
      </c>
      <c r="P1447" s="6">
        <f>HYPERLINK("https://fin.land.naver.com/articles/2654528564", "매물Link")</f>
        <v/>
      </c>
      <c r="Q1447" s="6">
        <f>HYPERLINK("https://map.naver.com/p/search/조치원읍 서창리 298-2", "지도Link")</f>
        <v/>
      </c>
      <c r="R1447" s="6">
        <f>HYPERLINK("http://www.eum.go.kr/web/ar/lu/luLandDet.jsp?pnu=3611025034102980002&amp;isNoScr=script&amp;mode=search", "토지이음")</f>
        <v/>
      </c>
      <c r="S1447" s="3" t="inlineStr">
        <is>
          <t>김준희</t>
        </is>
      </c>
      <c r="T1447" s="4" t="n">
        <v>1</v>
      </c>
      <c r="U1447" s="5" t="n">
        <v>347.8</v>
      </c>
      <c r="V1447" s="4" t="n">
        <v>295.2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서창리 298-2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200</v>
      </c>
      <c r="H1448" s="4" t="n">
        <v>29</v>
      </c>
      <c r="I1448" s="4" t="n">
        <v>33</v>
      </c>
      <c r="J1448" s="4" t="n">
        <v>10</v>
      </c>
      <c r="K1448" s="5" t="n">
        <v>2.9</v>
      </c>
      <c r="L1448" s="4" t="n">
        <v>19</v>
      </c>
      <c r="M1448" s="4" t="n">
        <v>6</v>
      </c>
      <c r="N1448" s="5" t="n">
        <v>4.8</v>
      </c>
      <c r="O1448" s="3" t="inlineStr">
        <is>
          <t>인프라좋은 저렴한 원룸.1인거주최적화.모든게옵션.</t>
        </is>
      </c>
      <c r="P1448" s="6">
        <f>HYPERLINK("https://fin.land.naver.com/articles/2655629900", "매물Link")</f>
        <v/>
      </c>
      <c r="Q1448" s="6">
        <f>HYPERLINK("https://map.naver.com/p/search/조치원읍 서창리 298-2", "지도Link")</f>
        <v/>
      </c>
      <c r="R1448" s="6">
        <f>HYPERLINK("http://www.eum.go.kr/web/ar/lu/luLandDet.jsp?pnu=3611025034102980002&amp;isNoScr=script&amp;mode=search", "토지이음")</f>
        <v/>
      </c>
      <c r="S1448" s="3" t="inlineStr">
        <is>
          <t>척척</t>
        </is>
      </c>
      <c r="T1448" s="4" t="n">
        <v>1</v>
      </c>
      <c r="U1448" s="5" t="n">
        <v>347.8</v>
      </c>
      <c r="V1448" s="4" t="n">
        <v>295.2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서창리 42-143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1</t>
        </is>
      </c>
      <c r="E1449" s="3" t="inlineStr">
        <is>
          <t>단독</t>
        </is>
      </c>
      <c r="F1449" s="3" t="inlineStr">
        <is>
          <t>매매</t>
        </is>
      </c>
      <c r="G1449" s="4" t="n">
        <v>20000</v>
      </c>
      <c r="H1449" s="4" t="n">
        <v>0</v>
      </c>
      <c r="I1449" s="4" t="n">
        <v>304</v>
      </c>
      <c r="J1449" s="4" t="n">
        <v>92</v>
      </c>
      <c r="K1449" s="5" t="n">
        <v>217.4</v>
      </c>
      <c r="L1449" s="4" t="n">
        <v>98</v>
      </c>
      <c r="M1449" s="4" t="n">
        <v>30</v>
      </c>
      <c r="N1449" s="5" t="n">
        <v>666.7</v>
      </c>
      <c r="O1449" s="3" t="inlineStr">
        <is>
          <t>깨끗하게 관리된 집, 협의 입주 가능</t>
        </is>
      </c>
      <c r="P1449" s="6">
        <f>HYPERLINK("https://fin.land.naver.com/articles/2650460317", "매물Link")</f>
        <v/>
      </c>
      <c r="Q1449" s="6">
        <f>HYPERLINK("https://map.naver.com/p/search/조치원읍 서창리 42-143", "지도Link")</f>
        <v/>
      </c>
      <c r="R1449" s="6">
        <f>HYPERLINK("http://www.eum.go.kr/web/ar/lu/luLandDet.jsp?pnu=3611025034100420143&amp;isNoScr=script&amp;mode=search", "토지이음")</f>
        <v/>
      </c>
      <c r="S1449" s="3" t="inlineStr">
        <is>
          <t>세종공감</t>
        </is>
      </c>
      <c r="T1449" s="4" t="n">
        <v>1</v>
      </c>
      <c r="U1449" s="5" t="n">
        <v>126.9</v>
      </c>
      <c r="V1449" s="4" t="n">
        <v>286.4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66-34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단독</t>
        </is>
      </c>
      <c r="F1450" s="3" t="inlineStr">
        <is>
          <t>매매</t>
        </is>
      </c>
      <c r="G1450" s="4" t="n">
        <v>85000</v>
      </c>
      <c r="H1450" s="4" t="n">
        <v>0</v>
      </c>
      <c r="I1450" s="4" t="n">
        <v>192</v>
      </c>
      <c r="J1450" s="4" t="n">
        <v>58</v>
      </c>
      <c r="K1450" s="5" t="n">
        <v>1465.5</v>
      </c>
      <c r="L1450" s="4" t="n">
        <v>254</v>
      </c>
      <c r="M1450" s="4" t="n">
        <v>77</v>
      </c>
      <c r="N1450" s="5" t="n">
        <v>1103.9</v>
      </c>
      <c r="O1450" s="3" t="inlineStr">
        <is>
          <t>고대세종 신축급 원룸건물 매매</t>
        </is>
      </c>
      <c r="P1450" s="6">
        <f>HYPERLINK("https://fin.land.naver.com/articles/2653931508", "매물Link")</f>
        <v/>
      </c>
      <c r="Q1450" s="6">
        <f>HYPERLINK("https://map.naver.com/p/search/조치원읍 서창리 66-34", "지도Link")</f>
        <v/>
      </c>
      <c r="R1450" s="6">
        <f>HYPERLINK("http://www.eum.go.kr/web/ar/lu/luLandDet.jsp?pnu=3611025034100660034&amp;isNoScr=script&amp;mode=search",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259</v>
      </c>
      <c r="V1450" s="4" t="n">
        <v>192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세로한면(가)</t>
        </is>
      </c>
    </row>
    <row r="1451">
      <c r="A1451" s="3" t="inlineStr">
        <is>
          <t>조치원읍 서창리 66-35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상가주택</t>
        </is>
      </c>
      <c r="F1451" s="3" t="inlineStr">
        <is>
          <t>매매</t>
        </is>
      </c>
      <c r="G1451" s="4" t="n">
        <v>76000</v>
      </c>
      <c r="H1451" s="4" t="n">
        <v>0</v>
      </c>
      <c r="I1451" s="4" t="n">
        <v>189</v>
      </c>
      <c r="J1451" s="4" t="n">
        <v>57</v>
      </c>
      <c r="K1451" s="5" t="n">
        <v>1333.3</v>
      </c>
      <c r="L1451" s="4" t="n">
        <v>259</v>
      </c>
      <c r="M1451" s="4" t="n">
        <v>78</v>
      </c>
      <c r="N1451" s="5" t="n">
        <v>974.4</v>
      </c>
      <c r="O1451" s="3" t="inlineStr">
        <is>
          <t>대학가 2억7천 투자 수익률7.5</t>
        </is>
      </c>
      <c r="P1451" s="6">
        <f>HYPERLINK("https://fin.land.naver.com/articles/2653931569", "매물Link")</f>
        <v/>
      </c>
      <c r="Q1451" s="6">
        <f>HYPERLINK("https://map.naver.com/p/search/조치원읍 서창리 66-35", "지도Link")</f>
        <v/>
      </c>
      <c r="R1451" s="6">
        <f>HYPERLINK("http://www.eum.go.kr/web/ar/lu/luLandDet.jsp?pnu=3611025034100660035&amp;isNoScr=script&amp;mode=search", "토지이음")</f>
        <v/>
      </c>
      <c r="S1451" s="3" t="inlineStr">
        <is>
          <t>고래</t>
        </is>
      </c>
      <c r="T1451" s="4" t="n">
        <v>1</v>
      </c>
      <c r="U1451" s="5" t="n">
        <v>401.7</v>
      </c>
      <c r="V1451" s="4" t="n">
        <v>189</v>
      </c>
      <c r="W1451" s="3" t="inlineStr">
        <is>
          <t>지정되지않음</t>
        </is>
      </c>
      <c r="X1451" s="3" t="inlineStr">
        <is>
          <t>주상용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소로한면</t>
        </is>
      </c>
    </row>
    <row r="1452">
      <c r="A1452" s="3" t="inlineStr">
        <is>
          <t>조치원읍 신안리 146-2</t>
        </is>
      </c>
      <c r="B1452" s="3" t="inlineStr">
        <is>
          <t>자연녹지지역</t>
        </is>
      </c>
      <c r="C1452" s="3" t="inlineStr">
        <is>
          <t>대</t>
        </is>
      </c>
      <c r="D1452" s="3" t="inlineStr">
        <is>
          <t>2</t>
        </is>
      </c>
      <c r="E1452" s="3" t="inlineStr">
        <is>
          <t>단독</t>
        </is>
      </c>
      <c r="F1452" s="3" t="inlineStr">
        <is>
          <t>매매</t>
        </is>
      </c>
      <c r="G1452" s="4" t="n">
        <v>48000</v>
      </c>
      <c r="H1452" s="4" t="n">
        <v>0</v>
      </c>
      <c r="I1452" s="4" t="n">
        <v>283</v>
      </c>
      <c r="J1452" s="4" t="n">
        <v>86</v>
      </c>
      <c r="K1452" s="5" t="n">
        <v>558.1</v>
      </c>
      <c r="L1452" s="4" t="n">
        <v>95</v>
      </c>
      <c r="M1452" s="4" t="n">
        <v>29</v>
      </c>
      <c r="N1452" s="5" t="n">
        <v>1655.2</v>
      </c>
      <c r="O1452" s="3" t="inlineStr">
        <is>
          <t>편의성과 안락함을 다 갖춘 단독주택</t>
        </is>
      </c>
      <c r="P1452" s="6">
        <f>HYPERLINK("https://fin.land.naver.com/articles/2653789650", "매물Link")</f>
        <v/>
      </c>
      <c r="Q1452" s="6">
        <f>HYPERLINK("https://map.naver.com/p/search/조치원읍 신안리 146-2", "지도Link")</f>
        <v/>
      </c>
      <c r="R1452" s="6">
        <f>HYPERLINK("http://www.eum.go.kr/web/ar/lu/luLandDet.jsp?pnu=3611025032101460002&amp;isNoScr=script&amp;mode=search", "토지이음")</f>
        <v/>
      </c>
      <c r="S1452" s="3" t="inlineStr">
        <is>
          <t>무지개</t>
        </is>
      </c>
      <c r="T1452" s="4" t="n">
        <v>1</v>
      </c>
      <c r="U1452" s="5" t="n">
        <v>188.1</v>
      </c>
      <c r="V1452" s="4" t="n">
        <v>247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세로한면(가)</t>
        </is>
      </c>
    </row>
    <row r="1453">
      <c r="A1453" s="3" t="inlineStr">
        <is>
          <t>조치원읍 신안리 168-2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1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50</v>
      </c>
      <c r="H1453" s="4" t="n">
        <v>23</v>
      </c>
      <c r="I1453" s="4" t="n">
        <v>20</v>
      </c>
      <c r="J1453" s="4" t="n">
        <v>6</v>
      </c>
      <c r="K1453" s="5" t="n">
        <v>3.8</v>
      </c>
      <c r="L1453" s="4" t="n">
        <v>20</v>
      </c>
      <c r="M1453" s="4" t="n">
        <v>6</v>
      </c>
      <c r="N1453" s="5" t="n">
        <v>3.8</v>
      </c>
      <c r="O1453" s="3" t="inlineStr">
        <is>
          <t>홍익대,직장인 1번국도 인접</t>
        </is>
      </c>
      <c r="P1453" s="6">
        <f>HYPERLINK("https://fin.land.naver.com/articles/2652327692", "매물Link")</f>
        <v/>
      </c>
      <c r="Q1453" s="6">
        <f>HYPERLINK("https://map.naver.com/p/search/조치원읍 신안리 168-2", "지도Link")</f>
        <v/>
      </c>
      <c r="R1453" s="6">
        <f>HYPERLINK("http://www.eum.go.kr/web/ar/lu/luLandDet.jsp?pnu=3611025032101680002&amp;isNoScr=script&amp;mode=search",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171.6</v>
      </c>
      <c r="V1453" s="4" t="n">
        <v>190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세로한면(가)</t>
        </is>
      </c>
    </row>
    <row r="1454">
      <c r="A1454" s="3" t="inlineStr">
        <is>
          <t>조치원읍 신안리 179-17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1</t>
        </is>
      </c>
      <c r="E1454" s="3" t="inlineStr">
        <is>
          <t>빌라</t>
        </is>
      </c>
      <c r="F1454" s="3" t="inlineStr">
        <is>
          <t>매매</t>
        </is>
      </c>
      <c r="G1454" s="4" t="n">
        <v>16500</v>
      </c>
      <c r="H1454" s="4" t="n">
        <v>0</v>
      </c>
      <c r="I1454" s="4" t="n">
        <v>93</v>
      </c>
      <c r="J1454" s="4" t="n">
        <v>28</v>
      </c>
      <c r="K1454" s="5" t="n">
        <v>589.3</v>
      </c>
      <c r="L1454" s="4" t="n">
        <v>80</v>
      </c>
      <c r="M1454" s="4" t="n">
        <v>24</v>
      </c>
      <c r="N1454" s="5" t="n">
        <v>687.5</v>
      </c>
      <c r="O1454" s="3" t="inlineStr">
        <is>
          <t>전원형 주거지신축빌라, 올리모델링, 급매 1억6500만원, 역세권예정</t>
        </is>
      </c>
      <c r="P1454" s="6">
        <f>HYPERLINK("https://fin.land.naver.com/articles/2651743361", "매물Link")</f>
        <v/>
      </c>
      <c r="Q1454" s="6">
        <f>HYPERLINK("https://map.naver.com/p/search/조치원읍 신안리 179-17", "지도Link")</f>
        <v/>
      </c>
      <c r="R1454" s="6">
        <f>HYPERLINK("http://www.eum.go.kr/web/ar/lu/luLandDet.jsp?pnu=3611025032101790017&amp;isNoScr=script&amp;mode=search", "토지이음")</f>
        <v/>
      </c>
      <c r="S1454" s="3" t="inlineStr">
        <is>
          <t>대한</t>
        </is>
      </c>
      <c r="T1454" s="4" t="n">
        <v>1</v>
      </c>
      <c r="U1454" s="5" t="n">
        <v>171.6</v>
      </c>
      <c r="V1454" s="4" t="n">
        <v>336</v>
      </c>
      <c r="W1454" s="3" t="inlineStr">
        <is>
          <t>지정되지않음</t>
        </is>
      </c>
      <c r="X1454" s="3" t="inlineStr">
        <is>
          <t>다세대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신안리 179-17</t>
        </is>
      </c>
      <c r="B1455" s="3" t="inlineStr">
        <is>
          <t>자연녹지지역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빌라</t>
        </is>
      </c>
      <c r="F1455" s="3" t="inlineStr">
        <is>
          <t>매매</t>
        </is>
      </c>
      <c r="G1455" s="4" t="n">
        <v>16500</v>
      </c>
      <c r="H1455" s="4" t="n">
        <v>0</v>
      </c>
      <c r="I1455" s="4" t="n">
        <v>99</v>
      </c>
      <c r="J1455" s="4" t="n">
        <v>30</v>
      </c>
      <c r="K1455" s="5" t="n">
        <v>550</v>
      </c>
      <c r="L1455" s="4" t="n">
        <v>88</v>
      </c>
      <c r="M1455" s="4" t="n">
        <v>27</v>
      </c>
      <c r="N1455" s="5" t="n">
        <v>611.1</v>
      </c>
      <c r="O1455" s="3" t="inlineStr">
        <is>
          <t>신축빌라,즉시입주가능,주차장 여유로움,올리모델링엘리베이터있음,</t>
        </is>
      </c>
      <c r="P1455" s="6">
        <f>HYPERLINK("https://fin.land.naver.com/articles/2652138880", "매물Link")</f>
        <v/>
      </c>
      <c r="Q1455" s="6">
        <f>HYPERLINK("https://map.naver.com/p/search/조치원읍 신안리 179-17", "지도Link")</f>
        <v/>
      </c>
      <c r="R1455" s="6">
        <f>HYPERLINK("http://www.eum.go.kr/web/ar/lu/luLandDet.jsp?pnu=3611025032101790017&amp;isNoScr=script&amp;mode=search", "토지이음")</f>
        <v/>
      </c>
      <c r="S1455" s="3" t="inlineStr">
        <is>
          <t>담뜰</t>
        </is>
      </c>
      <c r="T1455" s="4" t="n">
        <v>2</v>
      </c>
      <c r="U1455" s="5" t="n">
        <v>171.6</v>
      </c>
      <c r="V1455" s="4" t="n">
        <v>336</v>
      </c>
      <c r="W1455" s="3" t="inlineStr">
        <is>
          <t>지정되지않음</t>
        </is>
      </c>
      <c r="X1455" s="3" t="inlineStr">
        <is>
          <t>다세대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신안리 179-17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다가구</t>
        </is>
      </c>
      <c r="F1456" s="3" t="inlineStr">
        <is>
          <t>매매</t>
        </is>
      </c>
      <c r="G1456" s="4" t="n">
        <v>16500</v>
      </c>
      <c r="H1456" s="4" t="n">
        <v>0</v>
      </c>
      <c r="I1456" s="4" t="n">
        <v>383</v>
      </c>
      <c r="J1456" s="4" t="n">
        <v>116</v>
      </c>
      <c r="K1456" s="5" t="n">
        <v>142.2</v>
      </c>
      <c r="L1456" s="4" t="n">
        <v>374</v>
      </c>
      <c r="M1456" s="4" t="n">
        <v>113</v>
      </c>
      <c r="N1456" s="5" t="n">
        <v>146</v>
      </c>
      <c r="O1456" s="3" t="inlineStr">
        <is>
          <t>자연과 어우러진 전원형 빌라주거지 세종시와 청주. 오송방면 이동이편리함</t>
        </is>
      </c>
      <c r="P1456" s="6">
        <f>HYPERLINK("https://fin.land.naver.com/articles/2653251981", "매물Link")</f>
        <v/>
      </c>
      <c r="Q1456" s="6">
        <f>HYPERLINK("https://map.naver.com/p/search/조치원읍 신안리 179-17", "지도Link")</f>
        <v/>
      </c>
      <c r="R1456" s="6">
        <f>HYPERLINK("http://www.eum.go.kr/web/ar/lu/luLandDet.jsp?pnu=3611025032101790017&amp;isNoScr=script&amp;mode=search", "토지이음")</f>
        <v/>
      </c>
      <c r="S1456" s="3" t="inlineStr">
        <is>
          <t>재원</t>
        </is>
      </c>
      <c r="T1456" s="4" t="n">
        <v>1</v>
      </c>
      <c r="U1456" s="5" t="n">
        <v>171.6</v>
      </c>
      <c r="V1456" s="4" t="n">
        <v>336</v>
      </c>
      <c r="W1456" s="3" t="inlineStr">
        <is>
          <t>지정되지않음</t>
        </is>
      </c>
      <c r="X1456" s="3" t="inlineStr">
        <is>
          <t>다세대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신안리 179-17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빌라</t>
        </is>
      </c>
      <c r="F1457" s="3" t="inlineStr">
        <is>
          <t>매매</t>
        </is>
      </c>
      <c r="G1457" s="4" t="n">
        <v>16500</v>
      </c>
      <c r="H1457" s="4" t="n">
        <v>0</v>
      </c>
      <c r="I1457" s="4" t="n">
        <v>93</v>
      </c>
      <c r="J1457" s="4" t="n">
        <v>28</v>
      </c>
      <c r="K1457" s="5" t="n">
        <v>589.3</v>
      </c>
      <c r="L1457" s="4" t="n">
        <v>80</v>
      </c>
      <c r="M1457" s="4" t="n">
        <v>24</v>
      </c>
      <c r="N1457" s="5" t="n">
        <v>687.5</v>
      </c>
      <c r="O1457" s="3" t="inlineStr">
        <is>
          <t>신축,즉시입주가능, 홍대근접,엘리베이터 있음 주차장 여유, 조용한 환경</t>
        </is>
      </c>
      <c r="P1457" s="6">
        <f>HYPERLINK("https://fin.land.naver.com/articles/2651286294", "매물Link")</f>
        <v/>
      </c>
      <c r="Q1457" s="6">
        <f>HYPERLINK("https://map.naver.com/p/search/조치원읍 신안리 179-17", "지도Link")</f>
        <v/>
      </c>
      <c r="R1457" s="6">
        <f>HYPERLINK("http://www.eum.go.kr/web/ar/lu/luLandDet.jsp?pnu=3611025032101790017&amp;isNoScr=script&amp;mode=search", "토지이음")</f>
        <v/>
      </c>
      <c r="S1457" s="3" t="inlineStr">
        <is>
          <t>담뜰</t>
        </is>
      </c>
      <c r="T1457" s="4" t="n">
        <v>1</v>
      </c>
      <c r="U1457" s="5" t="n">
        <v>171.6</v>
      </c>
      <c r="V1457" s="4" t="n">
        <v>336</v>
      </c>
      <c r="W1457" s="3" t="inlineStr">
        <is>
          <t>지정되지않음</t>
        </is>
      </c>
      <c r="X1457" s="3" t="inlineStr">
        <is>
          <t>다세대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조치원읍 신안리 179-17</t>
        </is>
      </c>
      <c r="B1458" s="3" t="inlineStr">
        <is>
          <t>자연녹지지역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빌라</t>
        </is>
      </c>
      <c r="F1458" s="3" t="inlineStr">
        <is>
          <t>매매</t>
        </is>
      </c>
      <c r="G1458" s="4" t="n">
        <v>16500</v>
      </c>
      <c r="H1458" s="4" t="n">
        <v>0</v>
      </c>
      <c r="I1458" s="4" t="n">
        <v>93</v>
      </c>
      <c r="J1458" s="4" t="n">
        <v>28</v>
      </c>
      <c r="K1458" s="5" t="n">
        <v>589.3</v>
      </c>
      <c r="L1458" s="4" t="n">
        <v>80</v>
      </c>
      <c r="M1458" s="4" t="n">
        <v>24</v>
      </c>
      <c r="N1458" s="5" t="n">
        <v>687.5</v>
      </c>
      <c r="O1458" s="3" t="inlineStr">
        <is>
          <t>nan</t>
        </is>
      </c>
      <c r="P1458" s="6">
        <f>HYPERLINK("https://fin.land.naver.com/articles/2650337382", "매물Link")</f>
        <v/>
      </c>
      <c r="Q1458" s="6">
        <f>HYPERLINK("https://map.naver.com/p/search/조치원읍 신안리 179-17", "지도Link")</f>
        <v/>
      </c>
      <c r="R1458" s="6">
        <f>HYPERLINK("http://www.eum.go.kr/web/ar/lu/luLandDet.jsp?pnu=3611025032101790017&amp;isNoScr=script&amp;mode=search", "토지이음")</f>
        <v/>
      </c>
      <c r="S1458" s="3" t="inlineStr">
        <is>
          <t>웰스플랜</t>
        </is>
      </c>
      <c r="T1458" s="4" t="n">
        <v>1</v>
      </c>
      <c r="U1458" s="5" t="n">
        <v>171.6</v>
      </c>
      <c r="V1458" s="4" t="n">
        <v>336</v>
      </c>
      <c r="W1458" s="3" t="inlineStr">
        <is>
          <t>지정되지않음</t>
        </is>
      </c>
      <c r="X1458" s="3" t="inlineStr">
        <is>
          <t>다세대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조치원읍 신안리 179-2</t>
        </is>
      </c>
      <c r="B1459" s="3" t="inlineStr">
        <is>
          <t>자연녹지지역</t>
        </is>
      </c>
      <c r="C1459" s="3" t="inlineStr">
        <is>
          <t>대</t>
        </is>
      </c>
      <c r="D1459" s="3" t="inlineStr">
        <is>
          <t>1</t>
        </is>
      </c>
      <c r="E1459" s="3" t="inlineStr">
        <is>
          <t>전원주택</t>
        </is>
      </c>
      <c r="F1459" s="3" t="inlineStr">
        <is>
          <t>매매</t>
        </is>
      </c>
      <c r="G1459" s="4" t="n">
        <v>28000</v>
      </c>
      <c r="H1459" s="4" t="n">
        <v>0</v>
      </c>
      <c r="I1459" s="4" t="n">
        <v>360</v>
      </c>
      <c r="J1459" s="4" t="n">
        <v>109</v>
      </c>
      <c r="K1459" s="5" t="n">
        <v>256.9</v>
      </c>
      <c r="L1459" s="4" t="n">
        <v>61</v>
      </c>
      <c r="M1459" s="4" t="n">
        <v>18</v>
      </c>
      <c r="N1459" s="5" t="n">
        <v>1555.6</v>
      </c>
      <c r="O1459" s="3" t="inlineStr">
        <is>
          <t>세종시 홍익대 주변 농가주택 급매</t>
        </is>
      </c>
      <c r="P1459" s="6">
        <f>HYPERLINK("https://fin.land.naver.com/articles/2652407093", "매물Link")</f>
        <v/>
      </c>
      <c r="Q1459" s="6">
        <f>HYPERLINK("https://map.naver.com/p/search/조치원읍 신안리 179-2", "지도Link")</f>
        <v/>
      </c>
      <c r="R1459" s="6">
        <f>HYPERLINK("http://www.eum.go.kr/web/ar/lu/luLandDet.jsp?pnu=3611025032101790002&amp;isNoScr=script&amp;mode=search", "토지이음")</f>
        <v/>
      </c>
      <c r="S1459" s="3" t="inlineStr">
        <is>
          <t>강우림</t>
        </is>
      </c>
      <c r="T1459" s="4" t="n">
        <v>1</v>
      </c>
      <c r="U1459" s="5" t="n">
        <v>175</v>
      </c>
      <c r="V1459" s="4" t="n">
        <v>360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세로한면(가)</t>
        </is>
      </c>
    </row>
    <row r="1460">
      <c r="A1460" s="3" t="inlineStr">
        <is>
          <t>조치원읍 신안리 191-6</t>
        </is>
      </c>
      <c r="B1460" s="3" t="inlineStr">
        <is>
          <t>자연녹지지역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단독</t>
        </is>
      </c>
      <c r="F1460" s="3" t="inlineStr">
        <is>
          <t>월세</t>
        </is>
      </c>
      <c r="G1460" s="4" t="n">
        <v>50</v>
      </c>
      <c r="H1460" s="4" t="n">
        <v>27</v>
      </c>
      <c r="I1460" s="4" t="n">
        <v>23</v>
      </c>
      <c r="J1460" s="4" t="n">
        <v>7</v>
      </c>
      <c r="K1460" s="5" t="n">
        <v>3.9</v>
      </c>
      <c r="L1460" s="4" t="n">
        <v>23</v>
      </c>
      <c r="M1460" s="4" t="n">
        <v>7</v>
      </c>
      <c r="N1460" s="5" t="n">
        <v>3.9</v>
      </c>
      <c r="O1460" s="3" t="inlineStr">
        <is>
          <t>조치원읍 신안리의 홍익대부근의 저렴한 원룸월세</t>
        </is>
      </c>
      <c r="P1460" s="6">
        <f>HYPERLINK("https://fin.land.naver.com/articles/2655220145", "매물Link")</f>
        <v/>
      </c>
      <c r="Q1460" s="6">
        <f>HYPERLINK("https://map.naver.com/p/search/조치원읍 신안리 191-6", "지도Link")</f>
        <v/>
      </c>
      <c r="R1460" s="6">
        <f>HYPERLINK("http://www.eum.go.kr/web/ar/lu/luLandDet.jsp?pnu=3611025032101910006&amp;isNoScr=script&amp;mode=search", "토지이음")</f>
        <v/>
      </c>
      <c r="S1460" s="3" t="inlineStr">
        <is>
          <t>세종베스트</t>
        </is>
      </c>
      <c r="T1460" s="4" t="n">
        <v>1</v>
      </c>
      <c r="U1460" s="5" t="n">
        <v>164.7</v>
      </c>
      <c r="V1460" s="4" t="n">
        <v>374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자루형</t>
        </is>
      </c>
      <c r="AA1460" s="3" t="inlineStr">
        <is>
          <t>세로한면(가)</t>
        </is>
      </c>
    </row>
    <row r="1461">
      <c r="A1461" s="3" t="inlineStr">
        <is>
          <t>조치원읍 신안리 193-10</t>
        </is>
      </c>
      <c r="B1461" s="3" t="inlineStr">
        <is>
          <t>자연녹지지역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월세</t>
        </is>
      </c>
      <c r="G1461" s="4" t="n">
        <v>100</v>
      </c>
      <c r="H1461" s="4" t="n">
        <v>25</v>
      </c>
      <c r="I1461" s="4" t="n">
        <v>23</v>
      </c>
      <c r="J1461" s="4" t="n">
        <v>7</v>
      </c>
      <c r="K1461" s="5" t="n">
        <v>3.6</v>
      </c>
      <c r="L1461" s="4" t="n">
        <v>23</v>
      </c>
      <c r="M1461" s="4" t="n">
        <v>7</v>
      </c>
      <c r="N1461" s="5" t="n">
        <v>3.6</v>
      </c>
      <c r="O1461" s="3" t="inlineStr">
        <is>
          <t>깔끔한 원룸, 홍익대캠퍼스에서 도보 15분거리,</t>
        </is>
      </c>
      <c r="P1461" s="6">
        <f>HYPERLINK("https://fin.land.naver.com/articles/2655200221", "매물Link")</f>
        <v/>
      </c>
      <c r="Q1461" s="6">
        <f>HYPERLINK("https://map.naver.com/p/search/조치원읍 신안리 193-10", "지도Link")</f>
        <v/>
      </c>
      <c r="R1461" s="6">
        <f>HYPERLINK("http://www.eum.go.kr/web/ar/lu/luLandDet.jsp?pnu=3611025032101930010&amp;isNoScr=script&amp;mode=search", "토지이음")</f>
        <v/>
      </c>
      <c r="S1461" s="3" t="inlineStr">
        <is>
          <t>세종베스트</t>
        </is>
      </c>
      <c r="T1461" s="4" t="n">
        <v>1</v>
      </c>
      <c r="U1461" s="5" t="n">
        <v>167.4</v>
      </c>
      <c r="V1461" s="4" t="n">
        <v>195</v>
      </c>
      <c r="W1461" s="3" t="inlineStr">
        <is>
          <t>지정되지않음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부정형</t>
        </is>
      </c>
      <c r="AA1461" s="3" t="inlineStr">
        <is>
          <t>소로한면</t>
        </is>
      </c>
    </row>
    <row r="1462">
      <c r="A1462" s="3" t="inlineStr">
        <is>
          <t>조치원읍 신안리 197-3</t>
        </is>
      </c>
      <c r="B1462" s="3" t="inlineStr">
        <is>
          <t>자연녹지지역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595</v>
      </c>
      <c r="J1462" s="4" t="n">
        <v>180</v>
      </c>
      <c r="K1462" s="5" t="n">
        <v>388.9</v>
      </c>
      <c r="L1462" s="4" t="n">
        <v>346</v>
      </c>
      <c r="M1462" s="4" t="n">
        <v>105</v>
      </c>
      <c r="N1462" s="5" t="n">
        <v>666.7</v>
      </c>
      <c r="O1462" s="3" t="inlineStr">
        <is>
          <t>서창역인근,주인세대전세끼고,수익형다가구매매,인근대학교,연수원</t>
        </is>
      </c>
      <c r="P1462" s="6">
        <f>HYPERLINK("https://fin.land.naver.com/articles/2652964849", "매물Link")</f>
        <v/>
      </c>
      <c r="Q1462" s="6">
        <f>HYPERLINK("https://map.naver.com/p/search/조치원읍 신안리 197-3", "지도Link")</f>
        <v/>
      </c>
      <c r="R1462" s="6">
        <f>HYPERLINK("http://www.eum.go.kr/web/ar/lu/luLandDet.jsp?pnu=3611025032101970003&amp;isNoScr=script&amp;mode=search", "토지이음")</f>
        <v/>
      </c>
      <c r="S1462" s="3" t="inlineStr">
        <is>
          <t>에이팩시티지정</t>
        </is>
      </c>
      <c r="T1462" s="4" t="n">
        <v>1</v>
      </c>
      <c r="U1462" s="5" t="n">
        <v>171.6</v>
      </c>
      <c r="V1462" s="4" t="n">
        <v>595</v>
      </c>
      <c r="W1462" s="3" t="inlineStr">
        <is>
          <t>지정되지않음</t>
        </is>
      </c>
      <c r="X1462" s="3" t="inlineStr">
        <is>
          <t>다세대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세로한면(가)</t>
        </is>
      </c>
    </row>
    <row r="1463">
      <c r="A1463" s="3" t="inlineStr">
        <is>
          <t>조치원읍 신안리 321-61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115000</v>
      </c>
      <c r="H1463" s="4" t="n">
        <v>0</v>
      </c>
      <c r="I1463" s="4" t="n">
        <v>190</v>
      </c>
      <c r="J1463" s="4" t="n">
        <v>57</v>
      </c>
      <c r="K1463" s="5" t="n">
        <v>2017.5</v>
      </c>
      <c r="L1463" s="4" t="n">
        <v>285</v>
      </c>
      <c r="M1463" s="4" t="n">
        <v>86</v>
      </c>
      <c r="N1463" s="5" t="n">
        <v>1337.2</v>
      </c>
      <c r="O1463" s="3" t="inlineStr">
        <is>
          <t>홍익대학교 인근 연세 9천만원 나오는 수익률 좋은 신축 다중주택 입니다</t>
        </is>
      </c>
      <c r="P1463" s="6">
        <f>HYPERLINK("https://fin.land.naver.com/articles/2653247118", "매물Link")</f>
        <v/>
      </c>
      <c r="Q1463" s="6">
        <f>HYPERLINK("https://map.naver.com/p/search/조치원읍 신안리 321-61", "지도Link")</f>
        <v/>
      </c>
      <c r="R1463" s="6">
        <f>HYPERLINK("http://www.eum.go.kr/web/ar/lu/luLandDet.jsp?pnu=3611025032103210061&amp;isNoScr=script&amp;mode=search", "토지이음")</f>
        <v/>
      </c>
      <c r="S1463" s="3" t="inlineStr">
        <is>
          <t>스마일세종</t>
        </is>
      </c>
      <c r="T1463" s="4" t="n">
        <v>1</v>
      </c>
      <c r="U1463" s="5" t="n">
        <v>197.5</v>
      </c>
      <c r="V1463" s="4" t="n">
        <v>190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완경사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신안리 321-63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115000</v>
      </c>
      <c r="H1464" s="4" t="n">
        <v>0</v>
      </c>
      <c r="I1464" s="4" t="n">
        <v>173</v>
      </c>
      <c r="J1464" s="4" t="n">
        <v>52</v>
      </c>
      <c r="K1464" s="5" t="n">
        <v>2211.5</v>
      </c>
      <c r="L1464" s="4" t="n">
        <v>282</v>
      </c>
      <c r="M1464" s="4" t="n">
        <v>85</v>
      </c>
      <c r="N1464" s="5" t="n">
        <v>1352.9</v>
      </c>
      <c r="O1464" s="3" t="inlineStr">
        <is>
          <t>절충가 홍익대학교 인근 연세 9천만원 나오는 풀옵션 신축 다중주택 입니다</t>
        </is>
      </c>
      <c r="P1464" s="6">
        <f>HYPERLINK("https://fin.land.naver.com/articles/2650958724", "매물Link")</f>
        <v/>
      </c>
      <c r="Q1464" s="6">
        <f>HYPERLINK("https://map.naver.com/p/search/조치원읍 신안리 321-63", "지도Link")</f>
        <v/>
      </c>
      <c r="R1464" s="6">
        <f>HYPERLINK("http://www.eum.go.kr/web/ar/lu/luLandDet.jsp?pnu=3611025032103210063&amp;isNoScr=script&amp;mode=search", "토지이음")</f>
        <v/>
      </c>
      <c r="S1464" s="3" t="inlineStr">
        <is>
          <t>스마일세종</t>
        </is>
      </c>
      <c r="T1464" s="4" t="n">
        <v>1</v>
      </c>
      <c r="U1464" s="5" t="n">
        <v>199.5</v>
      </c>
      <c r="V1464" s="4" t="n">
        <v>173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완경사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신안리 321-64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단독</t>
        </is>
      </c>
      <c r="F1465" s="3" t="inlineStr">
        <is>
          <t>매매</t>
        </is>
      </c>
      <c r="G1465" s="4" t="n">
        <v>35000</v>
      </c>
      <c r="H1465" s="4" t="n">
        <v>0</v>
      </c>
      <c r="I1465" s="4" t="n">
        <v>166</v>
      </c>
      <c r="J1465" s="4" t="n">
        <v>50</v>
      </c>
      <c r="K1465" s="5" t="n">
        <v>700</v>
      </c>
      <c r="L1465" s="4" t="n">
        <v>187</v>
      </c>
      <c r="M1465" s="4" t="n">
        <v>57</v>
      </c>
      <c r="N1465" s="5" t="n">
        <v>614</v>
      </c>
      <c r="O1465" s="3" t="inlineStr">
        <is>
          <t>신축 단독 2층 주택 초급매, 현재 1층은 임대중</t>
        </is>
      </c>
      <c r="P1465" s="6">
        <f>HYPERLINK("https://fin.land.naver.com/articles/2650466023", "매물Link")</f>
        <v/>
      </c>
      <c r="Q1465" s="6">
        <f>HYPERLINK("https://map.naver.com/p/search/조치원읍 신안리 321-64", "지도Link")</f>
        <v/>
      </c>
      <c r="R1465" s="6">
        <f>HYPERLINK("http://www.eum.go.kr/web/ar/lu/luLandDet.jsp?pnu=3611025032103210064&amp;isNoScr=script&amp;mode=search", "토지이음")</f>
        <v/>
      </c>
      <c r="S1465" s="3" t="inlineStr">
        <is>
          <t>세종공감</t>
        </is>
      </c>
      <c r="T1465" s="4" t="n">
        <v>1</v>
      </c>
      <c r="U1465" s="5" t="n">
        <v>199.5</v>
      </c>
      <c r="V1465" s="4" t="n">
        <v>166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완경사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신안리 341-1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단독</t>
        </is>
      </c>
      <c r="F1466" s="3" t="inlineStr">
        <is>
          <t>매매</t>
        </is>
      </c>
      <c r="G1466" s="4" t="n">
        <v>60000</v>
      </c>
      <c r="H1466" s="4" t="n">
        <v>0</v>
      </c>
      <c r="I1466" s="4" t="n">
        <v>271</v>
      </c>
      <c r="J1466" s="4" t="n">
        <v>82</v>
      </c>
      <c r="K1466" s="5" t="n">
        <v>731.7</v>
      </c>
      <c r="L1466" s="4" t="n">
        <v>428</v>
      </c>
      <c r="M1466" s="4" t="n">
        <v>129</v>
      </c>
      <c r="N1466" s="5" t="n">
        <v>465.1</v>
      </c>
      <c r="O1466" s="3" t="inlineStr">
        <is>
          <t>홍익대학생들의  입소문으로만 임대계약완료, 공실걱정 없음</t>
        </is>
      </c>
      <c r="P1466" s="6">
        <f>HYPERLINK("https://fin.land.naver.com/articles/2653284306", "매물Link")</f>
        <v/>
      </c>
      <c r="Q1466" s="6">
        <f>HYPERLINK("https://map.naver.com/p/search/조치원읍 신안리 341-1", "지도Link")</f>
        <v/>
      </c>
      <c r="R1466" s="6">
        <f>HYPERLINK("http://www.eum.go.kr/web/ar/lu/luLandDet.jsp?pnu=3611025032103410001&amp;isNoScr=script&amp;mode=search", "토지이음")</f>
        <v/>
      </c>
      <c r="S1466" s="3" t="inlineStr">
        <is>
          <t>세종공감</t>
        </is>
      </c>
      <c r="T1466" s="4" t="n">
        <v>1</v>
      </c>
      <c r="U1466" s="5" t="n">
        <v>227</v>
      </c>
      <c r="V1466" s="4" t="n">
        <v>271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세로한면(가)</t>
        </is>
      </c>
    </row>
    <row r="1467">
      <c r="A1467" s="3" t="inlineStr">
        <is>
          <t>조치원읍 신안리 343-5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단독</t>
        </is>
      </c>
      <c r="F1467" s="3" t="inlineStr">
        <is>
          <t>매매</t>
        </is>
      </c>
      <c r="G1467" s="4" t="n">
        <v>230000</v>
      </c>
      <c r="H1467" s="4" t="n">
        <v>0</v>
      </c>
      <c r="I1467" s="4" t="n">
        <v>304</v>
      </c>
      <c r="J1467" s="4" t="n">
        <v>92</v>
      </c>
      <c r="K1467" s="5" t="n">
        <v>2500</v>
      </c>
      <c r="L1467" s="4" t="n">
        <v>331</v>
      </c>
      <c r="M1467" s="4" t="n">
        <v>100</v>
      </c>
      <c r="N1467" s="5" t="n">
        <v>2300</v>
      </c>
      <c r="O1467" s="3" t="inlineStr">
        <is>
          <t>고객만족1위, 앞상가 동시매매,세종시 홍익대, 고려대  인근, 투자 최상</t>
        </is>
      </c>
      <c r="P1467" s="6">
        <f>HYPERLINK("https://fin.land.naver.com/articles/2651986134", "매물Link")</f>
        <v/>
      </c>
      <c r="Q1467" s="6">
        <f>HYPERLINK("https://map.naver.com/p/search/조치원읍 신안리 343-5", "지도Link")</f>
        <v/>
      </c>
      <c r="R1467" s="6">
        <f>HYPERLINK("http://www.eum.go.kr/web/ar/lu/luLandDet.jsp?pnu=3611025032103430005&amp;isNoScr=script&amp;mode=search", "토지이음")</f>
        <v/>
      </c>
      <c r="S1467" s="3" t="inlineStr">
        <is>
          <t>생생</t>
        </is>
      </c>
      <c r="T1467" s="4" t="n">
        <v>1</v>
      </c>
      <c r="U1467" s="5" t="n">
        <v>299.6</v>
      </c>
      <c r="V1467" s="4" t="n">
        <v>304</v>
      </c>
      <c r="W1467" s="3" t="inlineStr">
        <is>
          <t>지정되지않음</t>
        </is>
      </c>
      <c r="X1467" s="3" t="inlineStr">
        <is>
          <t>주상용</t>
        </is>
      </c>
      <c r="Y1467" s="3" t="inlineStr">
        <is>
          <t>평지</t>
        </is>
      </c>
      <c r="Z1467" s="3" t="inlineStr">
        <is>
          <t>사다리형</t>
        </is>
      </c>
      <c r="AA1467" s="3" t="inlineStr">
        <is>
          <t>세로한면(가)</t>
        </is>
      </c>
    </row>
    <row r="1468">
      <c r="A1468" s="3" t="inlineStr">
        <is>
          <t>조치원읍 신안리 346-18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95000</v>
      </c>
      <c r="H1468" s="4" t="n">
        <v>0</v>
      </c>
      <c r="I1468" s="4" t="n">
        <v>311</v>
      </c>
      <c r="J1468" s="4" t="n">
        <v>94</v>
      </c>
      <c r="K1468" s="5" t="n">
        <v>1010.6</v>
      </c>
      <c r="L1468" s="4" t="n">
        <v>455</v>
      </c>
      <c r="M1468" s="4" t="n">
        <v>138</v>
      </c>
      <c r="N1468" s="5" t="n">
        <v>688.4</v>
      </c>
      <c r="O1468" s="3" t="inlineStr">
        <is>
          <t>nan</t>
        </is>
      </c>
      <c r="P1468" s="6">
        <f>HYPERLINK("https://fin.land.naver.com/articles/2654389716", "매물Link")</f>
        <v/>
      </c>
      <c r="Q1468" s="6">
        <f>HYPERLINK("https://map.naver.com/p/search/조치원읍 신안리 346-18", "지도Link")</f>
        <v/>
      </c>
      <c r="R1468" s="6">
        <f>HYPERLINK("http://www.eum.go.kr/web/ar/lu/luLandDet.jsp?pnu=3611025032103460018&amp;isNoScr=script&amp;mode=search",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204</v>
      </c>
      <c r="V1468" s="4" t="n">
        <v>311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세로한면(가)</t>
        </is>
      </c>
    </row>
    <row r="1469">
      <c r="A1469" s="3" t="inlineStr">
        <is>
          <t>조치원읍 신안리 353-19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72500</v>
      </c>
      <c r="H1469" s="4" t="n">
        <v>0</v>
      </c>
      <c r="I1469" s="4" t="n">
        <v>156</v>
      </c>
      <c r="J1469" s="4" t="n">
        <v>47</v>
      </c>
      <c r="K1469" s="5" t="n">
        <v>1542.6</v>
      </c>
      <c r="L1469" s="4" t="n">
        <v>264</v>
      </c>
      <c r="M1469" s="4" t="n">
        <v>80</v>
      </c>
      <c r="N1469" s="5" t="n">
        <v>906.2</v>
      </c>
      <c r="O1469" s="3" t="inlineStr">
        <is>
          <t>고객만족1위, 홍익대부근세종캠, 고려대근방세종캠, 조치원역 부근</t>
        </is>
      </c>
      <c r="P1469" s="6">
        <f>HYPERLINK("https://fin.land.naver.com/articles/2651992800", "매물Link")</f>
        <v/>
      </c>
      <c r="Q1469" s="6">
        <f>HYPERLINK("https://map.naver.com/p/search/조치원읍 신안리 353-19", "지도Link")</f>
        <v/>
      </c>
      <c r="R1469" s="6">
        <f>HYPERLINK("http://www.eum.go.kr/web/ar/lu/luLandDet.jsp?pnu=3611025032103530019&amp;isNoScr=script&amp;mode=search", "토지이음")</f>
        <v/>
      </c>
      <c r="S1469" s="3" t="inlineStr">
        <is>
          <t>생생</t>
        </is>
      </c>
      <c r="T1469" s="4" t="n">
        <v>1</v>
      </c>
      <c r="U1469" s="5" t="n">
        <v>210.3</v>
      </c>
      <c r="V1469" s="4" t="n">
        <v>156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조치원읍 신안리 353-19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62000</v>
      </c>
      <c r="H1470" s="4" t="n">
        <v>0</v>
      </c>
      <c r="I1470" s="4" t="n">
        <v>158</v>
      </c>
      <c r="J1470" s="4" t="n">
        <v>48</v>
      </c>
      <c r="K1470" s="5" t="n">
        <v>1291.7</v>
      </c>
      <c r="L1470" s="4" t="n">
        <v>264</v>
      </c>
      <c r="M1470" s="4" t="n">
        <v>80</v>
      </c>
      <c r="N1470" s="5" t="n">
        <v>775</v>
      </c>
      <c r="O1470" s="3" t="inlineStr">
        <is>
          <t>nan</t>
        </is>
      </c>
      <c r="P1470" s="6">
        <f>HYPERLINK("https://fin.land.naver.com/articles/2650552332", "매물Link")</f>
        <v/>
      </c>
      <c r="Q1470" s="6">
        <f>HYPERLINK("https://map.naver.com/p/search/조치원읍 신안리 353-19", "지도Link")</f>
        <v/>
      </c>
      <c r="R1470" s="6">
        <f>HYPERLINK("http://www.eum.go.kr/web/ar/lu/luLandDet.jsp?pnu=3611025032103530019&amp;isNoScr=script&amp;mode=search", "토지이음")</f>
        <v/>
      </c>
      <c r="S1470" s="3" t="inlineStr">
        <is>
          <t>바다</t>
        </is>
      </c>
      <c r="T1470" s="4" t="n">
        <v>1</v>
      </c>
      <c r="U1470" s="5" t="n">
        <v>210.3</v>
      </c>
      <c r="V1470" s="4" t="n">
        <v>156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신안리 354-40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90000</v>
      </c>
      <c r="H1471" s="4" t="n">
        <v>0</v>
      </c>
      <c r="I1471" s="4" t="n">
        <v>347</v>
      </c>
      <c r="J1471" s="4" t="n">
        <v>105</v>
      </c>
      <c r="K1471" s="5" t="n">
        <v>857.1</v>
      </c>
      <c r="L1471" s="4" t="n">
        <v>615</v>
      </c>
      <c r="M1471" s="4" t="n">
        <v>186</v>
      </c>
      <c r="N1471" s="5" t="n">
        <v>483.9</v>
      </c>
      <c r="O1471" s="3" t="inlineStr">
        <is>
          <t>대학생들에게 인기 있고 관리가 잘된 원룸입니다.</t>
        </is>
      </c>
      <c r="P1471" s="6">
        <f>HYPERLINK("https://fin.land.naver.com/articles/2653291133", "매물Link")</f>
        <v/>
      </c>
      <c r="Q1471" s="6">
        <f>HYPERLINK("https://map.naver.com/p/search/조치원읍 신안리 354-40", "지도Link")</f>
        <v/>
      </c>
      <c r="R1471" s="6">
        <f>HYPERLINK("http://www.eum.go.kr/web/ar/lu/luLandDet.jsp?pnu=3611025032103540040&amp;isNoScr=script&amp;mode=search", "토지이음")</f>
        <v/>
      </c>
      <c r="S1471" s="3" t="inlineStr">
        <is>
          <t>세종공감</t>
        </is>
      </c>
      <c r="T1471" s="4" t="n">
        <v>1</v>
      </c>
      <c r="U1471" s="5" t="n">
        <v>204</v>
      </c>
      <c r="V1471" s="4" t="n">
        <v>273</v>
      </c>
      <c r="W1471" s="3" t="inlineStr">
        <is>
          <t>지정되지않음</t>
        </is>
      </c>
      <c r="X1471" s="3" t="inlineStr">
        <is>
          <t>다세대</t>
        </is>
      </c>
      <c r="Y1471" s="3" t="inlineStr">
        <is>
          <t>평지</t>
        </is>
      </c>
      <c r="Z1471" s="3" t="inlineStr">
        <is>
          <t>부정형</t>
        </is>
      </c>
      <c r="AA1471" s="3" t="inlineStr">
        <is>
          <t>세로한면(가)</t>
        </is>
      </c>
    </row>
    <row r="1472">
      <c r="A1472" s="3" t="inlineStr">
        <is>
          <t>조치원읍 신안리 355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단독</t>
        </is>
      </c>
      <c r="F1472" s="3" t="inlineStr">
        <is>
          <t>전세</t>
        </is>
      </c>
      <c r="G1472" s="4" t="n">
        <v>15000</v>
      </c>
      <c r="H1472" s="4" t="n">
        <v>0</v>
      </c>
      <c r="I1472" s="4" t="n">
        <v>120</v>
      </c>
      <c r="J1472" s="4" t="n">
        <v>36</v>
      </c>
      <c r="K1472" s="5" t="n">
        <v>416.7</v>
      </c>
      <c r="L1472" s="4" t="n">
        <v>120</v>
      </c>
      <c r="M1472" s="4" t="n">
        <v>36</v>
      </c>
      <c r="N1472" s="5" t="n">
        <v>416.7</v>
      </c>
      <c r="O1472" s="3" t="inlineStr">
        <is>
          <t>주인세대, 태양광 설치로 인한 저렴한 전기세</t>
        </is>
      </c>
      <c r="P1472" s="6">
        <f>HYPERLINK("https://fin.land.naver.com/articles/2654012470", "매물Link")</f>
        <v/>
      </c>
      <c r="Q1472" s="6">
        <f>HYPERLINK("https://map.naver.com/p/search/조치원읍 신안리 355", "지도Link")</f>
        <v/>
      </c>
      <c r="R1472" s="6">
        <f>HYPERLINK("http://www.eum.go.kr/web/ar/lu/luLandDet.jsp?pnu=3611025032103550000&amp;isNoScr=script&amp;mode=search", "토지이음")</f>
        <v/>
      </c>
      <c r="S1472" s="3" t="inlineStr">
        <is>
          <t>세종공감</t>
        </is>
      </c>
      <c r="T1472" s="4" t="n">
        <v>1</v>
      </c>
      <c r="U1472" s="5" t="n">
        <v>351.4</v>
      </c>
      <c r="V1472" s="4" t="n">
        <v>359</v>
      </c>
      <c r="W1472" s="3" t="inlineStr">
        <is>
          <t>지정되지않음</t>
        </is>
      </c>
      <c r="X1472" s="3" t="inlineStr">
        <is>
          <t>주상기타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중로한면</t>
        </is>
      </c>
    </row>
    <row r="1473">
      <c r="A1473" s="3" t="inlineStr">
        <is>
          <t>조치원읍 신안리 355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단독</t>
        </is>
      </c>
      <c r="F1473" s="3" t="inlineStr">
        <is>
          <t>전세</t>
        </is>
      </c>
      <c r="G1473" s="4" t="n">
        <v>15000</v>
      </c>
      <c r="H1473" s="4" t="n">
        <v>0</v>
      </c>
      <c r="I1473" s="4" t="n">
        <v>0</v>
      </c>
      <c r="J1473" s="4" t="n">
        <v>0</v>
      </c>
      <c r="K1473" s="5" t="n">
        <v>0</v>
      </c>
      <c r="L1473" s="4" t="n">
        <v>120</v>
      </c>
      <c r="M1473" s="4" t="n">
        <v>36</v>
      </c>
      <c r="N1473" s="5" t="n">
        <v>416.7</v>
      </c>
      <c r="O1473" s="3" t="inlineStr">
        <is>
          <t>엘리베이터 있고 화장실2개 주인세대 남향, 태양광설치</t>
        </is>
      </c>
      <c r="P1473" s="6">
        <f>HYPERLINK("https://fin.land.naver.com/articles/2654594543", "매물Link")</f>
        <v/>
      </c>
      <c r="Q1473" s="6">
        <f>HYPERLINK("https://map.naver.com/p/search/조치원읍 신안리 355", "지도Link")</f>
        <v/>
      </c>
      <c r="R1473" s="6">
        <f>HYPERLINK("http://www.eum.go.kr/web/ar/lu/luLandDet.jsp?pnu=3611025032103550000&amp;isNoScr=script&amp;mode=search",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351.4</v>
      </c>
      <c r="V1473" s="4" t="n">
        <v>359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신안리 373-1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80000</v>
      </c>
      <c r="H1474" s="4" t="n">
        <v>0</v>
      </c>
      <c r="I1474" s="4" t="n">
        <v>537</v>
      </c>
      <c r="J1474" s="4" t="n">
        <v>162</v>
      </c>
      <c r="K1474" s="5" t="n">
        <v>493.8</v>
      </c>
      <c r="L1474" s="4" t="n">
        <v>521</v>
      </c>
      <c r="M1474" s="4" t="n">
        <v>158</v>
      </c>
      <c r="N1474" s="5" t="n">
        <v>506.3</v>
      </c>
      <c r="O1474" s="3" t="inlineStr">
        <is>
          <t>nan</t>
        </is>
      </c>
      <c r="P1474" s="6">
        <f>HYPERLINK("https://fin.land.naver.com/articles/2654390057", "매물Link")</f>
        <v/>
      </c>
      <c r="Q1474" s="6">
        <f>HYPERLINK("https://map.naver.com/p/search/조치원읍 신안리 373-1", "지도Link")</f>
        <v/>
      </c>
      <c r="R1474" s="6">
        <f>HYPERLINK("http://www.eum.go.kr/web/ar/lu/luLandDet.jsp?pnu=3611025032103730001&amp;isNoScr=script&amp;mode=search",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197.1</v>
      </c>
      <c r="V1474" s="4" t="n">
        <v>588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자루형</t>
        </is>
      </c>
      <c r="AA1474" s="3" t="inlineStr">
        <is>
          <t>세로한면(불)</t>
        </is>
      </c>
    </row>
    <row r="1475">
      <c r="A1475" s="3" t="inlineStr">
        <is>
          <t>조치원읍 신안리 375-1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다가구</t>
        </is>
      </c>
      <c r="F1475" s="3" t="inlineStr">
        <is>
          <t>매매</t>
        </is>
      </c>
      <c r="G1475" s="4" t="n">
        <v>160000</v>
      </c>
      <c r="H1475" s="4" t="n">
        <v>0</v>
      </c>
      <c r="I1475" s="4" t="n">
        <v>832</v>
      </c>
      <c r="J1475" s="4" t="n">
        <v>252</v>
      </c>
      <c r="K1475" s="5" t="n">
        <v>634.9</v>
      </c>
      <c r="L1475" s="4" t="n">
        <v>1266</v>
      </c>
      <c r="M1475" s="4" t="n">
        <v>383</v>
      </c>
      <c r="N1475" s="5" t="n">
        <v>417.8</v>
      </c>
      <c r="O1475" s="3" t="inlineStr">
        <is>
          <t>L홍익대 5분 O수익률 9이상</t>
        </is>
      </c>
      <c r="P1475" s="6">
        <f>HYPERLINK("https://fin.land.naver.com/articles/2650552311", "매물Link")</f>
        <v/>
      </c>
      <c r="Q1475" s="6">
        <f>HYPERLINK("https://map.naver.com/p/search/조치원읍 신안리 375-1", "지도Link")</f>
        <v/>
      </c>
      <c r="R1475" s="6">
        <f>HYPERLINK("http://www.eum.go.kr/web/ar/lu/luLandDet.jsp?pnu=3611025032103750001&amp;isNoScr=script&amp;mode=search", "토지이음")</f>
        <v/>
      </c>
      <c r="S1475" s="3" t="inlineStr">
        <is>
          <t>바다</t>
        </is>
      </c>
      <c r="T1475" s="4" t="n">
        <v>1</v>
      </c>
      <c r="U1475" s="5" t="n">
        <v>291.6</v>
      </c>
      <c r="V1475" s="4" t="n">
        <v>368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신안리 383-13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45000</v>
      </c>
      <c r="H1476" s="4" t="n">
        <v>0</v>
      </c>
      <c r="I1476" s="4" t="n">
        <v>188</v>
      </c>
      <c r="J1476" s="4" t="n">
        <v>57</v>
      </c>
      <c r="K1476" s="5" t="n">
        <v>789.5</v>
      </c>
      <c r="L1476" s="4" t="n">
        <v>326</v>
      </c>
      <c r="M1476" s="4" t="n">
        <v>99</v>
      </c>
      <c r="N1476" s="5" t="n">
        <v>454.5</v>
      </c>
      <c r="O1476" s="3" t="inlineStr">
        <is>
          <t>리모델링 원룸 매매</t>
        </is>
      </c>
      <c r="P1476" s="6">
        <f>HYPERLINK("https://fin.land.naver.com/articles/2654217692", "매물Link")</f>
        <v/>
      </c>
      <c r="Q1476" s="6">
        <f>HYPERLINK("https://map.naver.com/p/search/조치원읍 신안리 383-13", "지도Link")</f>
        <v/>
      </c>
      <c r="R1476" s="6">
        <f>HYPERLINK("http://www.eum.go.kr/web/ar/lu/luLandDet.jsp?pnu=3611025032103830013&amp;isNoScr=script&amp;mode=search", "토지이음")</f>
        <v/>
      </c>
      <c r="S1476" s="3" t="inlineStr">
        <is>
          <t>고래</t>
        </is>
      </c>
      <c r="T1476" s="4" t="n">
        <v>1</v>
      </c>
      <c r="U1476" s="5" t="n">
        <v>208.6</v>
      </c>
      <c r="V1476" s="4" t="n">
        <v>188</v>
      </c>
      <c r="W1476" s="3" t="inlineStr">
        <is>
          <t>지정되지않음</t>
        </is>
      </c>
      <c r="X1476" s="3" t="inlineStr">
        <is>
          <t>다세대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세로각지(가)</t>
        </is>
      </c>
    </row>
    <row r="1477">
      <c r="A1477" s="3" t="inlineStr">
        <is>
          <t>조치원읍 신안리 383-8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매매</t>
        </is>
      </c>
      <c r="G1477" s="4" t="n">
        <v>45000</v>
      </c>
      <c r="H1477" s="4" t="n">
        <v>0</v>
      </c>
      <c r="I1477" s="4" t="n">
        <v>314</v>
      </c>
      <c r="J1477" s="4" t="n">
        <v>95</v>
      </c>
      <c r="K1477" s="5" t="n">
        <v>473.7</v>
      </c>
      <c r="L1477" s="4" t="n">
        <v>224</v>
      </c>
      <c r="M1477" s="4" t="n">
        <v>68</v>
      </c>
      <c r="N1477" s="5" t="n">
        <v>661.8</v>
      </c>
      <c r="O1477" s="3" t="inlineStr">
        <is>
          <t>남향, 고려대홍익대 인근 대지 넓은 2층 단독주택</t>
        </is>
      </c>
      <c r="P1477" s="6">
        <f>HYPERLINK("https://fin.land.naver.com/articles/2653295743", "매물Link")</f>
        <v/>
      </c>
      <c r="Q1477" s="6">
        <f>HYPERLINK("https://map.naver.com/p/search/조치원읍 신안리 383-8", "지도Link")</f>
        <v/>
      </c>
      <c r="R1477" s="6">
        <f>HYPERLINK("http://www.eum.go.kr/web/ar/lu/luLandDet.jsp?pnu=3611025032103830008&amp;isNoScr=script&amp;mode=search", "토지이음")</f>
        <v/>
      </c>
      <c r="S1477" s="3" t="inlineStr">
        <is>
          <t>세종공감</t>
        </is>
      </c>
      <c r="T1477" s="4" t="n">
        <v>1</v>
      </c>
      <c r="U1477" s="5" t="n">
        <v>200.1</v>
      </c>
      <c r="V1477" s="4" t="n">
        <v>302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신안리 384-2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230</v>
      </c>
      <c r="J1478" s="4" t="n">
        <v>70</v>
      </c>
      <c r="K1478" s="5" t="n">
        <v>500</v>
      </c>
      <c r="L1478" s="4" t="n">
        <v>156</v>
      </c>
      <c r="M1478" s="4" t="n">
        <v>47</v>
      </c>
      <c r="N1478" s="5" t="n">
        <v>744.7</v>
      </c>
      <c r="O1478" s="3" t="inlineStr">
        <is>
          <t>세종시 홍익대 고려대 홍익대정책연구원 인근</t>
        </is>
      </c>
      <c r="P1478" s="6">
        <f>HYPERLINK("https://fin.land.naver.com/articles/2655447931", "매물Link")</f>
        <v/>
      </c>
      <c r="Q1478" s="6">
        <f>HYPERLINK("https://map.naver.com/p/search/조치원읍 신안리 384-2", "지도Link")</f>
        <v/>
      </c>
      <c r="R1478" s="6">
        <f>HYPERLINK("http://www.eum.go.kr/web/ar/lu/luLandDet.jsp?pnu=3611025032103840002&amp;isNoScr=script&amp;mode=search", "토지이음")</f>
        <v/>
      </c>
      <c r="S1478" s="3" t="inlineStr">
        <is>
          <t>서울(단지내)</t>
        </is>
      </c>
      <c r="T1478" s="4" t="n">
        <v>1</v>
      </c>
      <c r="U1478" s="5" t="n">
        <v>206.8</v>
      </c>
      <c r="V1478" s="4" t="n">
        <v>252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세로각지(가)</t>
        </is>
      </c>
    </row>
    <row r="1479">
      <c r="A1479" s="3" t="inlineStr">
        <is>
          <t>조치원읍 신안리 385-12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60000</v>
      </c>
      <c r="H1479" s="4" t="n">
        <v>0</v>
      </c>
      <c r="I1479" s="4" t="n">
        <v>322</v>
      </c>
      <c r="J1479" s="4" t="n">
        <v>97</v>
      </c>
      <c r="K1479" s="5" t="n">
        <v>618.6</v>
      </c>
      <c r="L1479" s="4" t="n">
        <v>493</v>
      </c>
      <c r="M1479" s="4" t="n">
        <v>149</v>
      </c>
      <c r="N1479" s="5" t="n">
        <v>402.7</v>
      </c>
      <c r="O1479" s="3" t="inlineStr">
        <is>
          <t>홍익대학교 원룸 다가구매매.수익률잘나옴.</t>
        </is>
      </c>
      <c r="P1479" s="6">
        <f>HYPERLINK("https://fin.land.naver.com/articles/2650552276", "매물Link")</f>
        <v/>
      </c>
      <c r="Q1479" s="6">
        <f>HYPERLINK("https://map.naver.com/p/search/조치원읍 신안리 385-12", "지도Link")</f>
        <v/>
      </c>
      <c r="R1479" s="6">
        <f>HYPERLINK("http://www.eum.go.kr/web/ar/lu/luLandDet.jsp?pnu=3611025032103850012&amp;isNoScr=script&amp;mode=search", "토지이음")</f>
        <v/>
      </c>
      <c r="S1479" s="3" t="inlineStr">
        <is>
          <t>바다</t>
        </is>
      </c>
      <c r="T1479" s="4" t="n">
        <v>1</v>
      </c>
      <c r="U1479" s="5" t="n">
        <v>192.9</v>
      </c>
      <c r="V1479" s="4" t="n">
        <v>322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부정형</t>
        </is>
      </c>
      <c r="AA1479" s="3" t="inlineStr">
        <is>
          <t>세로한면(가)</t>
        </is>
      </c>
    </row>
    <row r="1480">
      <c r="A1480" s="3" t="inlineStr">
        <is>
          <t>조치원읍 신안리 385-12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다가구</t>
        </is>
      </c>
      <c r="F1480" s="3" t="inlineStr">
        <is>
          <t>매매</t>
        </is>
      </c>
      <c r="G1480" s="4" t="n">
        <v>60000</v>
      </c>
      <c r="H1480" s="4" t="n">
        <v>0</v>
      </c>
      <c r="I1480" s="4" t="n">
        <v>322</v>
      </c>
      <c r="J1480" s="4" t="n">
        <v>97</v>
      </c>
      <c r="K1480" s="5" t="n">
        <v>618.6</v>
      </c>
      <c r="L1480" s="4" t="n">
        <v>493</v>
      </c>
      <c r="M1480" s="4" t="n">
        <v>149</v>
      </c>
      <c r="N1480" s="5" t="n">
        <v>402.7</v>
      </c>
      <c r="O1480" s="3" t="inlineStr">
        <is>
          <t>nan</t>
        </is>
      </c>
      <c r="P1480" s="6">
        <f>HYPERLINK("https://fin.land.naver.com/articles/2654390565", "매물Link")</f>
        <v/>
      </c>
      <c r="Q1480" s="6">
        <f>HYPERLINK("https://map.naver.com/p/search/조치원읍 신안리 385-12", "지도Link")</f>
        <v/>
      </c>
      <c r="R1480" s="6">
        <f>HYPERLINK("http://www.eum.go.kr/web/ar/lu/luLandDet.jsp?pnu=3611025032103850012&amp;isNoScr=script&amp;mode=search",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192.9</v>
      </c>
      <c r="V1480" s="4" t="n">
        <v>322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세로한면(가)</t>
        </is>
      </c>
    </row>
    <row r="1481">
      <c r="A1481" s="3" t="inlineStr">
        <is>
          <t>조치원읍 신안리 385-12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다가구</t>
        </is>
      </c>
      <c r="F1481" s="3" t="inlineStr">
        <is>
          <t>매매</t>
        </is>
      </c>
      <c r="G1481" s="4" t="n">
        <v>60000</v>
      </c>
      <c r="H1481" s="4" t="n">
        <v>0</v>
      </c>
      <c r="I1481" s="4" t="n">
        <v>322</v>
      </c>
      <c r="J1481" s="4" t="n">
        <v>97</v>
      </c>
      <c r="K1481" s="5" t="n">
        <v>618.6</v>
      </c>
      <c r="L1481" s="4" t="n">
        <v>493</v>
      </c>
      <c r="M1481" s="4" t="n">
        <v>149</v>
      </c>
      <c r="N1481" s="5" t="n">
        <v>402.7</v>
      </c>
      <c r="O1481" s="3" t="inlineStr">
        <is>
          <t>홍익대학교, 고려대학교 후문쪽 위치, 공실없음</t>
        </is>
      </c>
      <c r="P1481" s="6">
        <f>HYPERLINK("https://fin.land.naver.com/articles/2653295120", "매물Link")</f>
        <v/>
      </c>
      <c r="Q1481" s="6">
        <f>HYPERLINK("https://map.naver.com/p/search/조치원읍 신안리 385-12", "지도Link")</f>
        <v/>
      </c>
      <c r="R1481" s="6">
        <f>HYPERLINK("http://www.eum.go.kr/web/ar/lu/luLandDet.jsp?pnu=3611025032103850012&amp;isNoScr=script&amp;mode=search", "토지이음")</f>
        <v/>
      </c>
      <c r="S1481" s="3" t="inlineStr">
        <is>
          <t>세종공감</t>
        </is>
      </c>
      <c r="T1481" s="4" t="n">
        <v>1</v>
      </c>
      <c r="U1481" s="5" t="n">
        <v>192.9</v>
      </c>
      <c r="V1481" s="4" t="n">
        <v>322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부정형</t>
        </is>
      </c>
      <c r="AA1481" s="3" t="inlineStr">
        <is>
          <t>세로한면(가)</t>
        </is>
      </c>
    </row>
    <row r="1482">
      <c r="A1482" s="3" t="inlineStr">
        <is>
          <t>조치원읍 신안리 386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다가구</t>
        </is>
      </c>
      <c r="F1482" s="3" t="inlineStr">
        <is>
          <t>월세</t>
        </is>
      </c>
      <c r="G1482" s="4" t="n">
        <v>100</v>
      </c>
      <c r="H1482" s="4" t="n">
        <v>26</v>
      </c>
      <c r="I1482" s="4" t="n">
        <v>26</v>
      </c>
      <c r="J1482" s="4" t="n">
        <v>8</v>
      </c>
      <c r="K1482" s="5" t="n">
        <v>3.2</v>
      </c>
      <c r="L1482" s="4" t="n">
        <v>26</v>
      </c>
      <c r="M1482" s="4" t="n">
        <v>8</v>
      </c>
      <c r="N1482" s="5" t="n">
        <v>3.2</v>
      </c>
      <c r="O1482" s="3" t="inlineStr">
        <is>
          <t>보증금과 월세가 저렴하고 넓은 방, 고려대, 홍익대 인근임</t>
        </is>
      </c>
      <c r="P1482" s="6">
        <f>HYPERLINK("https://fin.land.naver.com/articles/2653990138", "매물Link")</f>
        <v/>
      </c>
      <c r="Q1482" s="6">
        <f>HYPERLINK("https://map.naver.com/p/search/조치원읍 신안리 386", "지도Link")</f>
        <v/>
      </c>
      <c r="R1482" s="6">
        <f>HYPERLINK("http://www.eum.go.kr/web/ar/lu/luLandDet.jsp?pnu=3611025032103860000&amp;isNoScr=script&amp;mode=search", "토지이음")</f>
        <v/>
      </c>
      <c r="S1482" s="3" t="inlineStr">
        <is>
          <t>세종베스트</t>
        </is>
      </c>
      <c r="T1482" s="4" t="n">
        <v>1</v>
      </c>
      <c r="U1482" s="5" t="n">
        <v>192.9</v>
      </c>
      <c r="V1482" s="4" t="n">
        <v>295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부정형</t>
        </is>
      </c>
      <c r="AA1482" s="3" t="inlineStr">
        <is>
          <t>세로한면(가)</t>
        </is>
      </c>
    </row>
    <row r="1483">
      <c r="A1483" s="3" t="inlineStr">
        <is>
          <t>조치원읍 신안리 387-10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다가구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33</v>
      </c>
      <c r="J1483" s="4" t="n">
        <v>10</v>
      </c>
      <c r="K1483" s="5" t="n">
        <v>3</v>
      </c>
      <c r="L1483" s="4" t="n">
        <v>33</v>
      </c>
      <c r="M1483" s="4" t="n">
        <v>10</v>
      </c>
      <c r="N1483" s="5" t="n">
        <v>3</v>
      </c>
      <c r="O1483" s="3" t="inlineStr">
        <is>
          <t>nan</t>
        </is>
      </c>
      <c r="P1483" s="6">
        <f>HYPERLINK("https://fin.land.naver.com/articles/2651720837", "매물Link")</f>
        <v/>
      </c>
      <c r="Q1483" s="6">
        <f>HYPERLINK("https://map.naver.com/p/search/조치원읍 신안리 387-10", "지도Link")</f>
        <v/>
      </c>
      <c r="R1483" s="6">
        <f>HYPERLINK("http://www.eum.go.kr/web/ar/lu/luLandDet.jsp?pnu=3611025032103870010&amp;isNoScr=script&amp;mode=search", "토지이음")</f>
        <v/>
      </c>
      <c r="S1483" s="3" t="inlineStr">
        <is>
          <t>-</t>
        </is>
      </c>
      <c r="T1483" s="4" t="n">
        <v>1</v>
      </c>
      <c r="U1483" s="5" t="n">
        <v>198.8</v>
      </c>
      <c r="V1483" s="4" t="n">
        <v>294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387-5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단독</t>
        </is>
      </c>
      <c r="F1484" s="3" t="inlineStr">
        <is>
          <t>매매</t>
        </is>
      </c>
      <c r="G1484" s="4" t="n">
        <v>107000</v>
      </c>
      <c r="H1484" s="4" t="n">
        <v>0</v>
      </c>
      <c r="I1484" s="4" t="n">
        <v>351</v>
      </c>
      <c r="J1484" s="4" t="n">
        <v>106</v>
      </c>
      <c r="K1484" s="5" t="n">
        <v>1009.4</v>
      </c>
      <c r="L1484" s="4" t="n">
        <v>594</v>
      </c>
      <c r="M1484" s="4" t="n">
        <v>180</v>
      </c>
      <c r="N1484" s="5" t="n">
        <v>594.4</v>
      </c>
      <c r="O1484" s="3" t="inlineStr">
        <is>
          <t>고대홍대 매년 공실X 수익율 좋은 다가구</t>
        </is>
      </c>
      <c r="P1484" s="6">
        <f>HYPERLINK("https://fin.land.naver.com/articles/2653790098", "매물Link")</f>
        <v/>
      </c>
      <c r="Q1484" s="6">
        <f>HYPERLINK("https://map.naver.com/p/search/조치원읍 신안리 387-5", "지도Link")</f>
        <v/>
      </c>
      <c r="R1484" s="6">
        <f>HYPERLINK("http://www.eum.go.kr/web/ar/lu/luLandDet.jsp?pnu=3611025032103870005&amp;isNoScr=script&amp;mode=search", "토지이음")</f>
        <v/>
      </c>
      <c r="S1484" s="3" t="inlineStr">
        <is>
          <t>무지개</t>
        </is>
      </c>
      <c r="T1484" s="4" t="n">
        <v>1</v>
      </c>
      <c r="U1484" s="5" t="n">
        <v>182.9</v>
      </c>
      <c r="V1484" s="4" t="n">
        <v>351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세로한면(불)</t>
        </is>
      </c>
    </row>
    <row r="1485">
      <c r="A1485" s="3" t="inlineStr">
        <is>
          <t>조치원읍 신안리 387-5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110000</v>
      </c>
      <c r="H1485" s="4" t="n">
        <v>0</v>
      </c>
      <c r="I1485" s="4" t="n">
        <v>351</v>
      </c>
      <c r="J1485" s="4" t="n">
        <v>106</v>
      </c>
      <c r="K1485" s="5" t="n">
        <v>1037.7</v>
      </c>
      <c r="L1485" s="4" t="n">
        <v>594</v>
      </c>
      <c r="M1485" s="4" t="n">
        <v>180</v>
      </c>
      <c r="N1485" s="5" t="n">
        <v>611.1</v>
      </c>
      <c r="O1485" s="3" t="inlineStr">
        <is>
          <t>고대와 홍대사이의 인기있는 원룸으로 공실없음</t>
        </is>
      </c>
      <c r="P1485" s="6">
        <f>HYPERLINK("https://fin.land.naver.com/articles/2653294943", "매물Link")</f>
        <v/>
      </c>
      <c r="Q1485" s="6">
        <f>HYPERLINK("https://map.naver.com/p/search/조치원읍 신안리 387-5", "지도Link")</f>
        <v/>
      </c>
      <c r="R1485" s="6">
        <f>HYPERLINK("http://www.eum.go.kr/web/ar/lu/luLandDet.jsp?pnu=3611025032103870005&amp;isNoScr=script&amp;mode=search", "토지이음")</f>
        <v/>
      </c>
      <c r="S1485" s="3" t="inlineStr">
        <is>
          <t>세종공감</t>
        </is>
      </c>
      <c r="T1485" s="4" t="n">
        <v>1</v>
      </c>
      <c r="U1485" s="5" t="n">
        <v>182.9</v>
      </c>
      <c r="V1485" s="4" t="n">
        <v>351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세로한면(불)</t>
        </is>
      </c>
    </row>
    <row r="1486">
      <c r="A1486" s="3" t="inlineStr">
        <is>
          <t>조치원읍 신안리 387-5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일반원룸</t>
        </is>
      </c>
      <c r="F1486" s="3" t="inlineStr">
        <is>
          <t>전세</t>
        </is>
      </c>
      <c r="G1486" s="4" t="n">
        <v>5000</v>
      </c>
      <c r="H1486" s="4" t="n">
        <v>0</v>
      </c>
      <c r="I1486" s="4" t="n">
        <v>0</v>
      </c>
      <c r="J1486" s="4" t="n">
        <v>0</v>
      </c>
      <c r="K1486" s="5" t="n">
        <v>0</v>
      </c>
      <c r="L1486" s="4" t="n">
        <v>23</v>
      </c>
      <c r="M1486" s="4" t="n">
        <v>7</v>
      </c>
      <c r="N1486" s="5" t="n">
        <v>714.3</v>
      </c>
      <c r="O1486" s="3" t="inlineStr">
        <is>
          <t>LH가능 융자없는 전세 고대 홍대 주방도 넓고 방도 넓어요</t>
        </is>
      </c>
      <c r="P1486" s="6">
        <f>HYPERLINK("https://fin.land.naver.com/articles/2655629795", "매물Link")</f>
        <v/>
      </c>
      <c r="Q1486" s="6">
        <f>HYPERLINK("https://map.naver.com/p/search/조치원읍 신안리 387-5", "지도Link")</f>
        <v/>
      </c>
      <c r="R1486" s="6">
        <f>HYPERLINK("http://www.eum.go.kr/web/ar/lu/luLandDet.jsp?pnu=3611025032103870005&amp;isNoScr=script&amp;mode=search", "토지이음")</f>
        <v/>
      </c>
      <c r="S1486" s="3" t="inlineStr">
        <is>
          <t>이노</t>
        </is>
      </c>
      <c r="T1486" s="4" t="n">
        <v>1</v>
      </c>
      <c r="U1486" s="5" t="n">
        <v>182.9</v>
      </c>
      <c r="V1486" s="4" t="n">
        <v>351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세로한면(불)</t>
        </is>
      </c>
    </row>
    <row r="1487">
      <c r="A1487" s="3" t="inlineStr">
        <is>
          <t>조치원읍 신안리 389-8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1</t>
        </is>
      </c>
      <c r="E1487" s="3" t="inlineStr">
        <is>
          <t>일반원룸</t>
        </is>
      </c>
      <c r="F1487" s="3" t="inlineStr">
        <is>
          <t>전세</t>
        </is>
      </c>
      <c r="G1487" s="4" t="n">
        <v>4500</v>
      </c>
      <c r="H1487" s="4" t="n">
        <v>0</v>
      </c>
      <c r="I1487" s="4" t="n">
        <v>25</v>
      </c>
      <c r="J1487" s="4" t="n">
        <v>8</v>
      </c>
      <c r="K1487" s="5" t="n">
        <v>562.5</v>
      </c>
      <c r="L1487" s="4" t="n">
        <v>25</v>
      </c>
      <c r="M1487" s="4" t="n">
        <v>8</v>
      </c>
      <c r="N1487" s="5" t="n">
        <v>562.5</v>
      </c>
      <c r="O1487" s="3" t="inlineStr">
        <is>
          <t>공과금 모두 포함하여 1달 15만원 추가비용없음</t>
        </is>
      </c>
      <c r="P1487" s="6">
        <f>HYPERLINK("https://fin.land.naver.com/articles/2653252633", "매물Link")</f>
        <v/>
      </c>
      <c r="Q1487" s="6">
        <f>HYPERLINK("https://map.naver.com/p/search/조치원읍 신안리 389-8", "지도Link")</f>
        <v/>
      </c>
      <c r="R1487" s="6">
        <f>HYPERLINK("http://www.eum.go.kr/web/ar/lu/luLandDet.jsp?pnu=3611025032103890008&amp;isNoScr=script&amp;mode=search", "토지이음")</f>
        <v/>
      </c>
      <c r="S1487" s="3" t="inlineStr">
        <is>
          <t>부자터</t>
        </is>
      </c>
      <c r="T1487" s="4" t="n">
        <v>1</v>
      </c>
      <c r="U1487" s="5" t="n">
        <v>363.6</v>
      </c>
      <c r="V1487" s="4" t="n">
        <v>294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사다리형</t>
        </is>
      </c>
      <c r="AA1487" s="3" t="inlineStr">
        <is>
          <t>중로한면</t>
        </is>
      </c>
    </row>
    <row r="1488">
      <c r="A1488" s="3" t="inlineStr">
        <is>
          <t>조치원읍 신안리 391-1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1</t>
        </is>
      </c>
      <c r="E1488" s="3" t="inlineStr">
        <is>
          <t>다가구</t>
        </is>
      </c>
      <c r="F1488" s="3" t="inlineStr">
        <is>
          <t>월세</t>
        </is>
      </c>
      <c r="G1488" s="4" t="n">
        <v>50</v>
      </c>
      <c r="H1488" s="4" t="n">
        <v>27</v>
      </c>
      <c r="I1488" s="4" t="n">
        <v>28</v>
      </c>
      <c r="J1488" s="4" t="n">
        <v>8</v>
      </c>
      <c r="K1488" s="5" t="n">
        <v>3.4</v>
      </c>
      <c r="L1488" s="4" t="n">
        <v>28</v>
      </c>
      <c r="M1488" s="4" t="n">
        <v>8</v>
      </c>
      <c r="N1488" s="5" t="n">
        <v>3.4</v>
      </c>
      <c r="O1488" s="3" t="inlineStr">
        <is>
          <t>넒은 원룸이며, 고려대학교, 홍익대학교 옆에 위치하여 교통 편리</t>
        </is>
      </c>
      <c r="P1488" s="6">
        <f>HYPERLINK("https://fin.land.naver.com/articles/2651502820", "매물Link")</f>
        <v/>
      </c>
      <c r="Q1488" s="6">
        <f>HYPERLINK("https://map.naver.com/p/search/조치원읍 신안리 391-1", "지도Link")</f>
        <v/>
      </c>
      <c r="R1488" s="6">
        <f>HYPERLINK("http://www.eum.go.kr/web/ar/lu/luLandDet.jsp?pnu=3611025032103910001&amp;isNoScr=script&amp;mode=search", "토지이음")</f>
        <v/>
      </c>
      <c r="S1488" s="3" t="inlineStr">
        <is>
          <t>세종베스트</t>
        </is>
      </c>
      <c r="T1488" s="4" t="n">
        <v>1</v>
      </c>
      <c r="U1488" s="5" t="n">
        <v>271.1</v>
      </c>
      <c r="V1488" s="4" t="n">
        <v>315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세로각지(가)</t>
        </is>
      </c>
    </row>
    <row r="1489">
      <c r="A1489" s="3" t="inlineStr">
        <is>
          <t>조치원읍 신안리 393-12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</v>
      </c>
      <c r="H1489" s="4" t="n">
        <v>38</v>
      </c>
      <c r="I1489" s="4" t="n">
        <v>0</v>
      </c>
      <c r="J1489" s="4" t="n">
        <v>0</v>
      </c>
      <c r="K1489" s="5" t="n">
        <v>0</v>
      </c>
      <c r="L1489" s="4" t="n">
        <v>13</v>
      </c>
      <c r="M1489" s="4" t="n">
        <v>4</v>
      </c>
      <c r="N1489" s="5" t="n">
        <v>9.5</v>
      </c>
      <c r="O1489" s="3" t="inlineStr">
        <is>
          <t>출퇴근용으로 거주하기 좋은 저렴한 원룸단기가능모든공과금포함</t>
        </is>
      </c>
      <c r="P1489" s="6">
        <f>HYPERLINK("https://fin.land.naver.com/articles/2653790476", "매물Link")</f>
        <v/>
      </c>
      <c r="Q1489" s="6">
        <f>HYPERLINK("https://map.naver.com/p/search/조치원읍 신안리 393-12", "지도Link")</f>
        <v/>
      </c>
      <c r="R1489" s="6">
        <f>HYPERLINK("http://www.eum.go.kr/web/ar/lu/luLandDet.jsp?pnu=3611025032103930012&amp;isNoScr=script&amp;mode=search", "토지이음")</f>
        <v/>
      </c>
      <c r="S1489" s="3" t="inlineStr">
        <is>
          <t>무지개</t>
        </is>
      </c>
      <c r="T1489" s="4" t="n">
        <v>1</v>
      </c>
      <c r="U1489" s="5" t="n">
        <v>202.2</v>
      </c>
      <c r="V1489" s="4" t="n">
        <v>319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세로한면(가)</t>
        </is>
      </c>
    </row>
    <row r="1490">
      <c r="A1490" s="3" t="inlineStr">
        <is>
          <t>조치원읍 신안리 393-19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단독</t>
        </is>
      </c>
      <c r="F1490" s="3" t="inlineStr">
        <is>
          <t>월세</t>
        </is>
      </c>
      <c r="G1490" s="4" t="n">
        <v>7000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60</v>
      </c>
      <c r="M1490" s="4" t="n">
        <v>18</v>
      </c>
      <c r="N1490" s="5" t="n">
        <v>1.7</v>
      </c>
      <c r="O1490" s="3" t="inlineStr">
        <is>
          <t>LH 대출 가능 합니다. 투룸</t>
        </is>
      </c>
      <c r="P1490" s="6">
        <f>HYPERLINK("https://fin.land.naver.com/articles/2652808262", "매물Link")</f>
        <v/>
      </c>
      <c r="Q1490" s="6">
        <f>HYPERLINK("https://map.naver.com/p/search/조치원읍 신안리 393-19", "지도Link")</f>
        <v/>
      </c>
      <c r="R1490" s="6">
        <f>HYPERLINK("http://www.eum.go.kr/web/ar/lu/luLandDet.jsp?pnu=3611025032103930019&amp;isNoScr=script&amp;mode=search", "토지이음")</f>
        <v/>
      </c>
      <c r="S1490" s="3" t="inlineStr">
        <is>
          <t>지성</t>
        </is>
      </c>
      <c r="T1490" s="4" t="n">
        <v>1</v>
      </c>
      <c r="U1490" s="5" t="n">
        <v>200.1</v>
      </c>
      <c r="V1490" s="4" t="n">
        <v>166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394-32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300</v>
      </c>
      <c r="H1491" s="4" t="n">
        <v>30</v>
      </c>
      <c r="I1491" s="4" t="n">
        <v>39</v>
      </c>
      <c r="J1491" s="4" t="n">
        <v>12</v>
      </c>
      <c r="K1491" s="5" t="n">
        <v>2.5</v>
      </c>
      <c r="L1491" s="4" t="n">
        <v>23</v>
      </c>
      <c r="M1491" s="4" t="n">
        <v>7</v>
      </c>
      <c r="N1491" s="5" t="n">
        <v>4.3</v>
      </c>
      <c r="O1491" s="3" t="inlineStr">
        <is>
          <t>반짝O신축급 귀한원룸O고홍대추천O올풀옵션완비</t>
        </is>
      </c>
      <c r="P1491" s="6">
        <f>HYPERLINK("https://fin.land.naver.com/articles/2654030656", "매물Link")</f>
        <v/>
      </c>
      <c r="Q1491" s="6">
        <f>HYPERLINK("https://map.naver.com/p/search/조치원읍 신안리 394-32", "지도Link")</f>
        <v/>
      </c>
      <c r="R1491" s="6">
        <f>HYPERLINK("http://www.eum.go.kr/web/ar/lu/luLandDet.jsp?pnu=3611025032103940032&amp;isNoScr=script&amp;mode=search", "토지이음")</f>
        <v/>
      </c>
      <c r="S1491" s="3" t="inlineStr">
        <is>
          <t>척척</t>
        </is>
      </c>
      <c r="T1491" s="4" t="n">
        <v>1</v>
      </c>
      <c r="U1491" s="5" t="n">
        <v>227.9</v>
      </c>
      <c r="V1491" s="4" t="n">
        <v>208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세로한면(불)</t>
        </is>
      </c>
    </row>
    <row r="1492">
      <c r="A1492" s="3" t="inlineStr">
        <is>
          <t>조치원읍 신안리 394-35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단독</t>
        </is>
      </c>
      <c r="F1492" s="3" t="inlineStr">
        <is>
          <t>매매</t>
        </is>
      </c>
      <c r="G1492" s="4" t="n">
        <v>90000</v>
      </c>
      <c r="H1492" s="4" t="n">
        <v>0</v>
      </c>
      <c r="I1492" s="4" t="n">
        <v>311</v>
      </c>
      <c r="J1492" s="4" t="n">
        <v>94</v>
      </c>
      <c r="K1492" s="5" t="n">
        <v>957.4</v>
      </c>
      <c r="L1492" s="4" t="n">
        <v>328</v>
      </c>
      <c r="M1492" s="4" t="n">
        <v>99</v>
      </c>
      <c r="N1492" s="5" t="n">
        <v>909.1</v>
      </c>
      <c r="O1492" s="3" t="inlineStr">
        <is>
          <t>수익률 10 년수익 5,145만원 원룸 통매매</t>
        </is>
      </c>
      <c r="P1492" s="6">
        <f>HYPERLINK("https://fin.land.naver.com/articles/2653931632", "매물Link")</f>
        <v/>
      </c>
      <c r="Q1492" s="6">
        <f>HYPERLINK("https://map.naver.com/p/search/조치원읍 신안리 394-35", "지도Link")</f>
        <v/>
      </c>
      <c r="R1492" s="6">
        <f>HYPERLINK("http://www.eum.go.kr/web/ar/lu/luLandDet.jsp?pnu=3611025032103940035&amp;isNoScr=script&amp;mode=search",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235.1</v>
      </c>
      <c r="V1492" s="4" t="n">
        <v>311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세로한면(불)</t>
        </is>
      </c>
    </row>
    <row r="1493">
      <c r="A1493" s="3" t="inlineStr">
        <is>
          <t>조치원읍 신안리 394-38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100000</v>
      </c>
      <c r="H1493" s="4" t="n">
        <v>0</v>
      </c>
      <c r="I1493" s="4" t="n">
        <v>289</v>
      </c>
      <c r="J1493" s="4" t="n">
        <v>87</v>
      </c>
      <c r="K1493" s="5" t="n">
        <v>1149.4</v>
      </c>
      <c r="L1493" s="4" t="n">
        <v>329</v>
      </c>
      <c r="M1493" s="4" t="n">
        <v>100</v>
      </c>
      <c r="N1493" s="5" t="n">
        <v>1000</v>
      </c>
      <c r="O1493" s="3" t="inlineStr">
        <is>
          <t>인근 홍익대 위치로 공실없이 연세로 운영되며 수익률10프로 이상</t>
        </is>
      </c>
      <c r="P1493" s="6">
        <f>HYPERLINK("https://fin.land.naver.com/articles/2651069625", "매물Link")</f>
        <v/>
      </c>
      <c r="Q1493" s="6">
        <f>HYPERLINK("https://map.naver.com/p/search/조치원읍 신안리 394-38", "지도Link")</f>
        <v/>
      </c>
      <c r="R1493" s="6">
        <f>HYPERLINK("http://www.eum.go.kr/web/ar/lu/luLandDet.jsp?pnu=3611025032103940038&amp;isNoScr=script&amp;mode=search", "토지이음")</f>
        <v/>
      </c>
      <c r="S1493" s="3" t="inlineStr">
        <is>
          <t>한림신화</t>
        </is>
      </c>
      <c r="T1493" s="4" t="n">
        <v>2</v>
      </c>
      <c r="U1493" s="5" t="n">
        <v>227.9</v>
      </c>
      <c r="V1493" s="4" t="n">
        <v>289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자루형</t>
        </is>
      </c>
      <c r="AA1493" s="3" t="inlineStr">
        <is>
          <t>세로한면(불)</t>
        </is>
      </c>
    </row>
    <row r="1494">
      <c r="A1494" s="3" t="inlineStr">
        <is>
          <t>조치원읍 신안리 432-17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단독</t>
        </is>
      </c>
      <c r="F1494" s="3" t="inlineStr">
        <is>
          <t>매매</t>
        </is>
      </c>
      <c r="G1494" s="4" t="n">
        <v>95000</v>
      </c>
      <c r="H1494" s="4" t="n">
        <v>0</v>
      </c>
      <c r="I1494" s="4" t="n">
        <v>222</v>
      </c>
      <c r="J1494" s="4" t="n">
        <v>67</v>
      </c>
      <c r="K1494" s="5" t="n">
        <v>1417.9</v>
      </c>
      <c r="L1494" s="4" t="n">
        <v>283</v>
      </c>
      <c r="M1494" s="4" t="n">
        <v>86</v>
      </c>
      <c r="N1494" s="5" t="n">
        <v>1104.7</v>
      </c>
      <c r="O1494" s="3" t="inlineStr">
        <is>
          <t>L 홍익대5분 O학생선호도1위 O깨끗한건물</t>
        </is>
      </c>
      <c r="P1494" s="6">
        <f>HYPERLINK("https://fin.land.naver.com/articles/2650552292", "매물Link")</f>
        <v/>
      </c>
      <c r="Q1494" s="6">
        <f>HYPERLINK("https://map.naver.com/p/search/조치원읍 신안리 432-17", "지도Link")</f>
        <v/>
      </c>
      <c r="R1494" s="6">
        <f>HYPERLINK("http://www.eum.go.kr/web/ar/lu/luLandDet.jsp?pnu=3611025032104320017&amp;isNoScr=script&amp;mode=search",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195.5</v>
      </c>
      <c r="V1494" s="4" t="n">
        <v>222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완경사</t>
        </is>
      </c>
      <c r="Z1494" s="3" t="inlineStr">
        <is>
          <t>부정형</t>
        </is>
      </c>
      <c r="AA1494" s="3" t="inlineStr">
        <is>
          <t>세로한면(가)</t>
        </is>
      </c>
    </row>
    <row r="1495">
      <c r="A1495" s="3" t="inlineStr">
        <is>
          <t>조치원읍 신안리 445-9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49000</v>
      </c>
      <c r="H1495" s="4" t="n">
        <v>0</v>
      </c>
      <c r="I1495" s="4" t="n">
        <v>268</v>
      </c>
      <c r="J1495" s="4" t="n">
        <v>81</v>
      </c>
      <c r="K1495" s="5" t="n">
        <v>604.9</v>
      </c>
      <c r="L1495" s="4" t="n">
        <v>397</v>
      </c>
      <c r="M1495" s="4" t="n">
        <v>120</v>
      </c>
      <c r="N1495" s="5" t="n">
        <v>408.3</v>
      </c>
      <c r="O1495" s="3" t="inlineStr">
        <is>
          <t>후문앞. 공실없는 원룸건물. 관리잘됨</t>
        </is>
      </c>
      <c r="P1495" s="6">
        <f>HYPERLINK("https://fin.land.naver.com/articles/2650538930", "매물Link")</f>
        <v/>
      </c>
      <c r="Q1495" s="6">
        <f>HYPERLINK("https://map.naver.com/p/search/조치원읍 신안리 445-9", "지도Link")</f>
        <v/>
      </c>
      <c r="R1495" s="6">
        <f>HYPERLINK("http://www.eum.go.kr/web/ar/lu/luLandDet.jsp?pnu=3611025032104450009&amp;isNoScr=script&amp;mode=search", "토지이음")</f>
        <v/>
      </c>
      <c r="S1495" s="3" t="inlineStr">
        <is>
          <t>바다</t>
        </is>
      </c>
      <c r="T1495" s="4" t="n">
        <v>1</v>
      </c>
      <c r="U1495" s="5" t="n">
        <v>217</v>
      </c>
      <c r="V1495" s="4" t="n">
        <v>268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445-9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49000</v>
      </c>
      <c r="H1496" s="4" t="n">
        <v>0</v>
      </c>
      <c r="I1496" s="4" t="n">
        <v>268</v>
      </c>
      <c r="J1496" s="4" t="n">
        <v>81</v>
      </c>
      <c r="K1496" s="5" t="n">
        <v>604.9</v>
      </c>
      <c r="L1496" s="4" t="n">
        <v>397</v>
      </c>
      <c r="M1496" s="4" t="n">
        <v>120</v>
      </c>
      <c r="N1496" s="5" t="n">
        <v>408.3</v>
      </c>
      <c r="O1496" s="3" t="inlineStr">
        <is>
          <t>홍익대학교 도보 2분거리, 임대놓기 좋은 위치, 공실없음</t>
        </is>
      </c>
      <c r="P1496" s="6">
        <f>HYPERLINK("https://fin.land.naver.com/articles/2650312958", "매물Link")</f>
        <v/>
      </c>
      <c r="Q1496" s="6">
        <f>HYPERLINK("https://map.naver.com/p/search/조치원읍 신안리 445-9", "지도Link")</f>
        <v/>
      </c>
      <c r="R1496" s="6">
        <f>HYPERLINK("http://www.eum.go.kr/web/ar/lu/luLandDet.jsp?pnu=3611025032104450009&amp;isNoScr=script&amp;mode=search", "토지이음")</f>
        <v/>
      </c>
      <c r="S1496" s="3" t="inlineStr">
        <is>
          <t>세종공감</t>
        </is>
      </c>
      <c r="T1496" s="4" t="n">
        <v>1</v>
      </c>
      <c r="U1496" s="5" t="n">
        <v>217</v>
      </c>
      <c r="V1496" s="4" t="n">
        <v>268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신흥리 106</t>
        </is>
      </c>
      <c r="B1497" s="3" t="inlineStr">
        <is>
          <t>제3종일반주거지역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주공신흥</t>
        </is>
      </c>
      <c r="F1497" s="3" t="inlineStr">
        <is>
          <t>매매</t>
        </is>
      </c>
      <c r="G1497" s="4" t="n">
        <v>17000</v>
      </c>
      <c r="H1497" s="4" t="n">
        <v>0</v>
      </c>
      <c r="I1497" s="4" t="n">
        <v>59</v>
      </c>
      <c r="J1497" s="4" t="n">
        <v>18</v>
      </c>
      <c r="K1497" s="5" t="n">
        <v>944.4</v>
      </c>
      <c r="L1497" s="4" t="n">
        <v>55</v>
      </c>
      <c r="M1497" s="4" t="n">
        <v>17</v>
      </c>
      <c r="N1497" s="5" t="n">
        <v>1000</v>
      </c>
      <c r="O1497" s="3" t="inlineStr">
        <is>
          <t>급매, 실입주 가능</t>
        </is>
      </c>
      <c r="P1497" s="6">
        <f>HYPERLINK("https://fin.land.naver.com/articles/2654897368", "매물Link")</f>
        <v/>
      </c>
      <c r="Q1497" s="6">
        <f>HYPERLINK("https://map.naver.com/p/search/조치원읍 신흥리 106", "지도Link")</f>
        <v/>
      </c>
      <c r="R1497" s="6">
        <f>HYPERLINK("http://www.eum.go.kr/web/ar/lu/luLandDet.jsp?pnu=3611025029101060000&amp;isNoScr=script&amp;mode=search", "토지이음")</f>
        <v/>
      </c>
      <c r="S1497" s="3" t="inlineStr">
        <is>
          <t>KB세종</t>
        </is>
      </c>
      <c r="T1497" s="4" t="n">
        <v>1</v>
      </c>
      <c r="U1497" s="5" t="n">
        <v>287</v>
      </c>
      <c r="V1497" s="4" t="n">
        <v>15250</v>
      </c>
      <c r="W1497" s="3" t="inlineStr">
        <is>
          <t>제2종일반주거지역</t>
        </is>
      </c>
      <c r="X1497" s="3" t="inlineStr">
        <is>
          <t>아파트</t>
        </is>
      </c>
      <c r="Y1497" s="3" t="inlineStr">
        <is>
          <t>평지</t>
        </is>
      </c>
      <c r="Z1497" s="3" t="inlineStr">
        <is>
          <t>세로장방</t>
        </is>
      </c>
      <c r="AA1497" s="3" t="inlineStr">
        <is>
          <t>광대소각</t>
        </is>
      </c>
    </row>
    <row r="1498">
      <c r="A1498" s="3" t="inlineStr">
        <is>
          <t>조치원읍 신흥리 106</t>
        </is>
      </c>
      <c r="B1498" s="3" t="inlineStr">
        <is>
          <t>제3종일반주거지역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주공신흥</t>
        </is>
      </c>
      <c r="F1498" s="3" t="inlineStr">
        <is>
          <t>매매</t>
        </is>
      </c>
      <c r="G1498" s="4" t="n">
        <v>30000</v>
      </c>
      <c r="H1498" s="4" t="n">
        <v>0</v>
      </c>
      <c r="I1498" s="4" t="n">
        <v>62</v>
      </c>
      <c r="J1498" s="4" t="n">
        <v>19</v>
      </c>
      <c r="K1498" s="5" t="n">
        <v>1578.9</v>
      </c>
      <c r="L1498" s="4" t="n">
        <v>57</v>
      </c>
      <c r="M1498" s="4" t="n">
        <v>17</v>
      </c>
      <c r="N1498" s="5" t="n">
        <v>1764.7</v>
      </c>
      <c r="O1498" s="3" t="inlineStr">
        <is>
          <t>재건축단지,공실,입주가능</t>
        </is>
      </c>
      <c r="P1498" s="6">
        <f>HYPERLINK("https://fin.land.naver.com/articles/2652978926", "매물Link")</f>
        <v/>
      </c>
      <c r="Q1498" s="6">
        <f>HYPERLINK("https://map.naver.com/p/search/조치원읍 신흥리 106", "지도Link")</f>
        <v/>
      </c>
      <c r="R1498" s="6">
        <f>HYPERLINK("http://www.eum.go.kr/web/ar/lu/luLandDet.jsp?pnu=3611025029101060000&amp;isNoScr=script&amp;mode=search", "토지이음")</f>
        <v/>
      </c>
      <c r="S1498" s="3" t="inlineStr">
        <is>
          <t>다산</t>
        </is>
      </c>
      <c r="T1498" s="4" t="n">
        <v>1</v>
      </c>
      <c r="U1498" s="5" t="n">
        <v>287</v>
      </c>
      <c r="V1498" s="4" t="n">
        <v>15250</v>
      </c>
      <c r="W1498" s="3" t="inlineStr">
        <is>
          <t>제2종일반주거지역</t>
        </is>
      </c>
      <c r="X1498" s="3" t="inlineStr">
        <is>
          <t>아파트</t>
        </is>
      </c>
      <c r="Y1498" s="3" t="inlineStr">
        <is>
          <t>평지</t>
        </is>
      </c>
      <c r="Z1498" s="3" t="inlineStr">
        <is>
          <t>세로장방</t>
        </is>
      </c>
      <c r="AA1498" s="3" t="inlineStr">
        <is>
          <t>광대소각</t>
        </is>
      </c>
    </row>
    <row r="1499">
      <c r="A1499" s="3" t="inlineStr">
        <is>
          <t>조치원읍 신흥리 106</t>
        </is>
      </c>
      <c r="B1499" s="3" t="inlineStr">
        <is>
          <t>제3종일반주거지역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주공신흥</t>
        </is>
      </c>
      <c r="F1499" s="3" t="inlineStr">
        <is>
          <t>월세</t>
        </is>
      </c>
      <c r="G1499" s="4" t="n">
        <v>1000</v>
      </c>
      <c r="H1499" s="4" t="n">
        <v>40</v>
      </c>
      <c r="I1499" s="4" t="n">
        <v>73</v>
      </c>
      <c r="J1499" s="4" t="n">
        <v>22</v>
      </c>
      <c r="K1499" s="5" t="n">
        <v>1.8</v>
      </c>
      <c r="L1499" s="4" t="n">
        <v>67</v>
      </c>
      <c r="M1499" s="4" t="n">
        <v>20</v>
      </c>
      <c r="N1499" s="5" t="n">
        <v>2</v>
      </c>
      <c r="O1499" s="3" t="inlineStr">
        <is>
          <t>상태양호,즉시입주,보증금 조절가능합니다.</t>
        </is>
      </c>
      <c r="P1499" s="6">
        <f>HYPERLINK("https://fin.land.naver.com/articles/2654454354", "매물Link")</f>
        <v/>
      </c>
      <c r="Q1499" s="6">
        <f>HYPERLINK("https://map.naver.com/p/search/조치원읍 신흥리 106", "지도Link")</f>
        <v/>
      </c>
      <c r="R1499" s="6">
        <f>HYPERLINK("http://www.eum.go.kr/web/ar/lu/luLandDet.jsp?pnu=3611025029101060000&amp;isNoScr=script&amp;mode=search", "토지이음")</f>
        <v/>
      </c>
      <c r="S1499" s="3" t="inlineStr">
        <is>
          <t>신안무소</t>
        </is>
      </c>
      <c r="T1499" s="4" t="n">
        <v>3</v>
      </c>
      <c r="U1499" s="5" t="n">
        <v>287</v>
      </c>
      <c r="V1499" s="4" t="n">
        <v>15250</v>
      </c>
      <c r="W1499" s="3" t="inlineStr">
        <is>
          <t>제2종일반주거지역</t>
        </is>
      </c>
      <c r="X1499" s="3" t="inlineStr">
        <is>
          <t>아파트</t>
        </is>
      </c>
      <c r="Y1499" s="3" t="inlineStr">
        <is>
          <t>평지</t>
        </is>
      </c>
      <c r="Z1499" s="3" t="inlineStr">
        <is>
          <t>세로장방</t>
        </is>
      </c>
      <c r="AA1499" s="3" t="inlineStr">
        <is>
          <t>광대소각</t>
        </is>
      </c>
    </row>
    <row r="1500">
      <c r="A1500" s="3" t="inlineStr">
        <is>
          <t>조치원읍 신흥리 106</t>
        </is>
      </c>
      <c r="B1500" s="3" t="inlineStr">
        <is>
          <t>제3종일반주거지역</t>
        </is>
      </c>
      <c r="C1500" s="3" t="inlineStr">
        <is>
          <t>대</t>
        </is>
      </c>
      <c r="D1500" s="3" t="inlineStr">
        <is>
          <t>1</t>
        </is>
      </c>
      <c r="E1500" s="3" t="inlineStr">
        <is>
          <t>주공신흥</t>
        </is>
      </c>
      <c r="F1500" s="3" t="inlineStr">
        <is>
          <t>매매</t>
        </is>
      </c>
      <c r="G1500" s="4" t="n">
        <v>37000</v>
      </c>
      <c r="H1500" s="4" t="n">
        <v>0</v>
      </c>
      <c r="I1500" s="4" t="n">
        <v>73</v>
      </c>
      <c r="J1500" s="4" t="n">
        <v>22</v>
      </c>
      <c r="K1500" s="5" t="n">
        <v>1681.8</v>
      </c>
      <c r="L1500" s="4" t="n">
        <v>67</v>
      </c>
      <c r="M1500" s="4" t="n">
        <v>20</v>
      </c>
      <c r="N1500" s="5" t="n">
        <v>1850</v>
      </c>
      <c r="O1500" s="3" t="inlineStr">
        <is>
          <t>전세3500거주중,재건축단지</t>
        </is>
      </c>
      <c r="P1500" s="6">
        <f>HYPERLINK("https://fin.land.naver.com/articles/2653381041", "매물Link")</f>
        <v/>
      </c>
      <c r="Q1500" s="6">
        <f>HYPERLINK("https://map.naver.com/p/search/조치원읍 신흥리 106", "지도Link")</f>
        <v/>
      </c>
      <c r="R1500" s="6">
        <f>HYPERLINK("http://www.eum.go.kr/web/ar/lu/luLandDet.jsp?pnu=3611025029101060000&amp;isNoScr=script&amp;mode=search", "토지이음")</f>
        <v/>
      </c>
      <c r="S1500" s="3" t="inlineStr">
        <is>
          <t>다산</t>
        </is>
      </c>
      <c r="T1500" s="4" t="n">
        <v>1</v>
      </c>
      <c r="U1500" s="5" t="n">
        <v>287</v>
      </c>
      <c r="V1500" s="4" t="n">
        <v>15250</v>
      </c>
      <c r="W1500" s="3" t="inlineStr">
        <is>
          <t>제2종일반주거지역</t>
        </is>
      </c>
      <c r="X1500" s="3" t="inlineStr">
        <is>
          <t>아파트</t>
        </is>
      </c>
      <c r="Y1500" s="3" t="inlineStr">
        <is>
          <t>평지</t>
        </is>
      </c>
      <c r="Z1500" s="3" t="inlineStr">
        <is>
          <t>세로장방</t>
        </is>
      </c>
      <c r="AA1500" s="3" t="inlineStr">
        <is>
          <t>광대소각</t>
        </is>
      </c>
    </row>
    <row r="1501">
      <c r="A1501" s="3" t="inlineStr">
        <is>
          <t>조치원읍 신흥리 106</t>
        </is>
      </c>
      <c r="B1501" s="3" t="inlineStr">
        <is>
          <t>제3종일반주거지역</t>
        </is>
      </c>
      <c r="C1501" s="3" t="inlineStr">
        <is>
          <t>대</t>
        </is>
      </c>
      <c r="D1501" s="3" t="inlineStr">
        <is>
          <t>1</t>
        </is>
      </c>
      <c r="E1501" s="3" t="inlineStr">
        <is>
          <t>주공신흥</t>
        </is>
      </c>
      <c r="F1501" s="3" t="inlineStr">
        <is>
          <t>매매</t>
        </is>
      </c>
      <c r="G1501" s="4" t="n">
        <v>30000</v>
      </c>
      <c r="H1501" s="4" t="n">
        <v>0</v>
      </c>
      <c r="I1501" s="4" t="n">
        <v>73</v>
      </c>
      <c r="J1501" s="4" t="n">
        <v>22</v>
      </c>
      <c r="K1501" s="5" t="n">
        <v>1363.6</v>
      </c>
      <c r="L1501" s="4" t="n">
        <v>67</v>
      </c>
      <c r="M1501" s="4" t="n">
        <v>20</v>
      </c>
      <c r="N1501" s="5" t="n">
        <v>1500</v>
      </c>
      <c r="O1501" s="3" t="inlineStr">
        <is>
          <t>급매,실입주가능</t>
        </is>
      </c>
      <c r="P1501" s="6">
        <f>HYPERLINK("https://fin.land.naver.com/articles/2655081755", "매물Link")</f>
        <v/>
      </c>
      <c r="Q1501" s="6">
        <f>HYPERLINK("https://map.naver.com/p/search/조치원읍 신흥리 106", "지도Link")</f>
        <v/>
      </c>
      <c r="R1501" s="6">
        <f>HYPERLINK("http://www.eum.go.kr/web/ar/lu/luLandDet.jsp?pnu=3611025029101060000&amp;isNoScr=script&amp;mode=search", "토지이음")</f>
        <v/>
      </c>
      <c r="S1501" s="3" t="inlineStr">
        <is>
          <t>다산</t>
        </is>
      </c>
      <c r="T1501" s="4" t="n">
        <v>1</v>
      </c>
      <c r="U1501" s="5" t="n">
        <v>287</v>
      </c>
      <c r="V1501" s="4" t="n">
        <v>15250</v>
      </c>
      <c r="W1501" s="3" t="inlineStr">
        <is>
          <t>제2종일반주거지역</t>
        </is>
      </c>
      <c r="X1501" s="3" t="inlineStr">
        <is>
          <t>아파트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광대소각</t>
        </is>
      </c>
    </row>
    <row r="1502">
      <c r="A1502" s="3" t="inlineStr">
        <is>
          <t>조치원읍 신흥리 106</t>
        </is>
      </c>
      <c r="B1502" s="3" t="inlineStr">
        <is>
          <t>제3종일반주거지역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주공신흥</t>
        </is>
      </c>
      <c r="F1502" s="3" t="inlineStr">
        <is>
          <t>매매</t>
        </is>
      </c>
      <c r="G1502" s="4" t="n">
        <v>25000</v>
      </c>
      <c r="H1502" s="4" t="n">
        <v>0</v>
      </c>
      <c r="I1502" s="4" t="n">
        <v>73</v>
      </c>
      <c r="J1502" s="4" t="n">
        <v>22</v>
      </c>
      <c r="K1502" s="5" t="n">
        <v>1136.4</v>
      </c>
      <c r="L1502" s="4" t="n">
        <v>67</v>
      </c>
      <c r="M1502" s="4" t="n">
        <v>20</v>
      </c>
      <c r="N1502" s="5" t="n">
        <v>1250</v>
      </c>
      <c r="O1502" s="3" t="inlineStr">
        <is>
          <t>재건축 진행 중,등급 상향으로 용적률 높아짐,미래 가치에 투자하세요</t>
        </is>
      </c>
      <c r="P1502" s="6">
        <f>HYPERLINK("https://fin.land.naver.com/articles/2655148914", "매물Link")</f>
        <v/>
      </c>
      <c r="Q1502" s="6">
        <f>HYPERLINK("https://map.naver.com/p/search/조치원읍 신흥리 106", "지도Link")</f>
        <v/>
      </c>
      <c r="R1502" s="6">
        <f>HYPERLINK("http://www.eum.go.kr/web/ar/lu/luLandDet.jsp?pnu=3611025029101060000&amp;isNoScr=script&amp;mode=search", "토지이음")</f>
        <v/>
      </c>
      <c r="S1502" s="3" t="inlineStr">
        <is>
          <t>유정희</t>
        </is>
      </c>
      <c r="T1502" s="4" t="n">
        <v>2</v>
      </c>
      <c r="U1502" s="5" t="n">
        <v>287</v>
      </c>
      <c r="V1502" s="4" t="n">
        <v>15250</v>
      </c>
      <c r="W1502" s="3" t="inlineStr">
        <is>
          <t>제2종일반주거지역</t>
        </is>
      </c>
      <c r="X1502" s="3" t="inlineStr">
        <is>
          <t>아파트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광대소각</t>
        </is>
      </c>
    </row>
    <row r="1503">
      <c r="A1503" s="3" t="inlineStr">
        <is>
          <t>조치원읍 신흥리 106</t>
        </is>
      </c>
      <c r="B1503" s="3" t="inlineStr">
        <is>
          <t>제3종일반주거지역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주공신흥</t>
        </is>
      </c>
      <c r="F1503" s="3" t="inlineStr">
        <is>
          <t>월세</t>
        </is>
      </c>
      <c r="G1503" s="4" t="n">
        <v>3000</v>
      </c>
      <c r="H1503" s="4" t="n">
        <v>25</v>
      </c>
      <c r="I1503" s="4" t="n">
        <v>62</v>
      </c>
      <c r="J1503" s="4" t="n">
        <v>19</v>
      </c>
      <c r="K1503" s="5" t="n">
        <v>1.3</v>
      </c>
      <c r="L1503" s="4" t="n">
        <v>57</v>
      </c>
      <c r="M1503" s="4" t="n">
        <v>17</v>
      </c>
      <c r="N1503" s="5" t="n">
        <v>1.5</v>
      </c>
      <c r="O1503" s="3" t="inlineStr">
        <is>
          <t>대동초 바로 앞 신흥주공 월세 보일러.도배.장판.에어컨 옵션 즉시입주</t>
        </is>
      </c>
      <c r="P1503" s="6">
        <f>HYPERLINK("https://fin.land.naver.com/articles/2655555939", "매물Link")</f>
        <v/>
      </c>
      <c r="Q1503" s="6">
        <f>HYPERLINK("https://map.naver.com/p/search/조치원읍 신흥리 106", "지도Link")</f>
        <v/>
      </c>
      <c r="R1503" s="6">
        <f>HYPERLINK("http://www.eum.go.kr/web/ar/lu/luLandDet.jsp?pnu=3611025029101060000&amp;isNoScr=script&amp;mode=search", "토지이음")</f>
        <v/>
      </c>
      <c r="S1503" s="3" t="inlineStr">
        <is>
          <t>하늘</t>
        </is>
      </c>
      <c r="T1503" s="4" t="n">
        <v>2</v>
      </c>
      <c r="U1503" s="5" t="n">
        <v>287</v>
      </c>
      <c r="V1503" s="4" t="n">
        <v>15250</v>
      </c>
      <c r="W1503" s="3" t="inlineStr">
        <is>
          <t>제2종일반주거지역</t>
        </is>
      </c>
      <c r="X1503" s="3" t="inlineStr">
        <is>
          <t>아파트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광대소각</t>
        </is>
      </c>
    </row>
    <row r="1504">
      <c r="A1504" s="3" t="inlineStr">
        <is>
          <t>조치원읍 신흥리 11-10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단독</t>
        </is>
      </c>
      <c r="F1504" s="3" t="inlineStr">
        <is>
          <t>매매</t>
        </is>
      </c>
      <c r="G1504" s="4" t="n">
        <v>24000</v>
      </c>
      <c r="H1504" s="4" t="n">
        <v>0</v>
      </c>
      <c r="I1504" s="4" t="n">
        <v>160</v>
      </c>
      <c r="J1504" s="4" t="n">
        <v>48</v>
      </c>
      <c r="K1504" s="5" t="n">
        <v>500</v>
      </c>
      <c r="L1504" s="4" t="n">
        <v>62</v>
      </c>
      <c r="M1504" s="4" t="n">
        <v>19</v>
      </c>
      <c r="N1504" s="5" t="n">
        <v>1263.2</v>
      </c>
      <c r="O1504" s="3" t="inlineStr">
        <is>
          <t>남향. 도시가스. 신흥사랑주택 앞 최근 리모델링 완료한 단독주택 매매.</t>
        </is>
      </c>
      <c r="P1504" s="6">
        <f>HYPERLINK("https://fin.land.naver.com/articles/2652914628", "매물Link")</f>
        <v/>
      </c>
      <c r="Q1504" s="6">
        <f>HYPERLINK("https://map.naver.com/p/search/조치원읍 신흥리 11-10", "지도Link")</f>
        <v/>
      </c>
      <c r="R1504" s="6">
        <f>HYPERLINK("http://www.eum.go.kr/web/ar/lu/luLandDet.jsp?pnu=3611025029100110010&amp;isNoScr=script&amp;mode=search", "토지이음")</f>
        <v/>
      </c>
      <c r="S1504" s="3" t="inlineStr">
        <is>
          <t>세종대장</t>
        </is>
      </c>
      <c r="T1504" s="4" t="n">
        <v>1</v>
      </c>
      <c r="U1504" s="5" t="n">
        <v>182.9</v>
      </c>
      <c r="V1504" s="4" t="n">
        <v>160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소로각지</t>
        </is>
      </c>
    </row>
    <row r="1505">
      <c r="A1505" s="3" t="inlineStr">
        <is>
          <t>조치원읍 신흥리 11-14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매매</t>
        </is>
      </c>
      <c r="G1505" s="4" t="n">
        <v>22000</v>
      </c>
      <c r="H1505" s="4" t="n">
        <v>0</v>
      </c>
      <c r="I1505" s="4" t="n">
        <v>184</v>
      </c>
      <c r="J1505" s="4" t="n">
        <v>56</v>
      </c>
      <c r="K1505" s="5" t="n">
        <v>392.9</v>
      </c>
      <c r="L1505" s="4" t="n">
        <v>65</v>
      </c>
      <c r="M1505" s="4" t="n">
        <v>20</v>
      </c>
      <c r="N1505" s="5" t="n">
        <v>1100</v>
      </c>
      <c r="O1505" s="3" t="inlineStr">
        <is>
          <t>단독주택이며 주차장은 별도로 없어서 각자 집 앞에 주차합니다.</t>
        </is>
      </c>
      <c r="P1505" s="6">
        <f>HYPERLINK("https://fin.land.naver.com/articles/2655357933", "매물Link")</f>
        <v/>
      </c>
      <c r="Q1505" s="6">
        <f>HYPERLINK("https://map.naver.com/p/search/조치원읍 신흥리 11-14", "지도Link")</f>
        <v/>
      </c>
      <c r="R1505" s="6">
        <f>HYPERLINK("http://www.eum.go.kr/web/ar/lu/luLandDet.jsp?pnu=3611025029100110014&amp;isNoScr=script&amp;mode=search", "토지이음")</f>
        <v/>
      </c>
      <c r="S1505" s="3" t="inlineStr">
        <is>
          <t>이순이</t>
        </is>
      </c>
      <c r="T1505" s="4" t="n">
        <v>1</v>
      </c>
      <c r="U1505" s="5" t="n">
        <v>156.5</v>
      </c>
      <c r="V1505" s="4" t="n">
        <v>184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신흥리 11-7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단독</t>
        </is>
      </c>
      <c r="F1506" s="3" t="inlineStr">
        <is>
          <t>매매</t>
        </is>
      </c>
      <c r="G1506" s="4" t="n">
        <v>25000</v>
      </c>
      <c r="H1506" s="4" t="n">
        <v>0</v>
      </c>
      <c r="I1506" s="4" t="n">
        <v>122</v>
      </c>
      <c r="J1506" s="4" t="n">
        <v>37</v>
      </c>
      <c r="K1506" s="5" t="n">
        <v>675.7</v>
      </c>
      <c r="L1506" s="4" t="n">
        <v>63</v>
      </c>
      <c r="M1506" s="4" t="n">
        <v>19</v>
      </c>
      <c r="N1506" s="5" t="n">
        <v>1315.8</v>
      </c>
      <c r="O1506" s="3" t="inlineStr">
        <is>
          <t>신흥 단독, 협의입주, 시세저렴,각종수리 깔끔</t>
        </is>
      </c>
      <c r="P1506" s="6">
        <f>HYPERLINK("https://fin.land.naver.com/articles/2653678072", "매물Link")</f>
        <v/>
      </c>
      <c r="Q1506" s="6">
        <f>HYPERLINK("https://map.naver.com/p/search/조치원읍 신흥리 11-7", "지도Link")</f>
        <v/>
      </c>
      <c r="R1506" s="6">
        <f>HYPERLINK("http://www.eum.go.kr/web/ar/lu/luLandDet.jsp?pnu=3611025029100110007&amp;isNoScr=script&amp;mode=search", "토지이음")</f>
        <v/>
      </c>
      <c r="S1506" s="3" t="inlineStr">
        <is>
          <t>다옴</t>
        </is>
      </c>
      <c r="T1506" s="4" t="n">
        <v>1</v>
      </c>
      <c r="U1506" s="5" t="n">
        <v>182.9</v>
      </c>
      <c r="V1506" s="4" t="n">
        <v>122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신흥리 20-6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매매</t>
        </is>
      </c>
      <c r="G1507" s="4" t="n">
        <v>24000</v>
      </c>
      <c r="H1507" s="4" t="n">
        <v>0</v>
      </c>
      <c r="I1507" s="4" t="n">
        <v>179</v>
      </c>
      <c r="J1507" s="4" t="n">
        <v>54</v>
      </c>
      <c r="K1507" s="5" t="n">
        <v>444.4</v>
      </c>
      <c r="L1507" s="4" t="n">
        <v>63</v>
      </c>
      <c r="M1507" s="4" t="n">
        <v>19</v>
      </c>
      <c r="N1507" s="5" t="n">
        <v>1263.2</v>
      </c>
      <c r="O1507" s="3" t="inlineStr">
        <is>
          <t>신흥단독주택,협의입주,각종수리,금액협의</t>
        </is>
      </c>
      <c r="P1507" s="6">
        <f>HYPERLINK("https://fin.land.naver.com/articles/2653762166", "매물Link")</f>
        <v/>
      </c>
      <c r="Q1507" s="6">
        <f>HYPERLINK("https://map.naver.com/p/search/조치원읍 신흥리 20-6", "지도Link")</f>
        <v/>
      </c>
      <c r="R1507" s="6">
        <f>HYPERLINK("http://www.eum.go.kr/web/ar/lu/luLandDet.jsp?pnu=3611025029100200006&amp;isNoScr=script&amp;mode=search", "토지이음")</f>
        <v/>
      </c>
      <c r="S1507" s="3" t="inlineStr">
        <is>
          <t>다옴</t>
        </is>
      </c>
      <c r="T1507" s="4" t="n">
        <v>1</v>
      </c>
      <c r="U1507" s="5" t="n">
        <v>185.1</v>
      </c>
      <c r="V1507" s="4" t="n">
        <v>179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완경사</t>
        </is>
      </c>
      <c r="Z1507" s="3" t="inlineStr">
        <is>
          <t>정방형</t>
        </is>
      </c>
      <c r="AA1507" s="3" t="inlineStr">
        <is>
          <t>세로한면(불)</t>
        </is>
      </c>
    </row>
    <row r="1508">
      <c r="A1508" s="3" t="inlineStr">
        <is>
          <t>조치원읍 신흥리 26-1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단독</t>
        </is>
      </c>
      <c r="F1508" s="3" t="inlineStr">
        <is>
          <t>매매</t>
        </is>
      </c>
      <c r="G1508" s="4" t="n">
        <v>36000</v>
      </c>
      <c r="H1508" s="4" t="n">
        <v>0</v>
      </c>
      <c r="I1508" s="4" t="n">
        <v>284</v>
      </c>
      <c r="J1508" s="4" t="n">
        <v>86</v>
      </c>
      <c r="K1508" s="5" t="n">
        <v>418.6</v>
      </c>
      <c r="L1508" s="4" t="n">
        <v>73</v>
      </c>
      <c r="M1508" s="4" t="n">
        <v>22</v>
      </c>
      <c r="N1508" s="5" t="n">
        <v>1636.4</v>
      </c>
      <c r="O1508" s="3" t="inlineStr">
        <is>
          <t>신흥리 위치 좋은 곳 단독주택</t>
        </is>
      </c>
      <c r="P1508" s="6">
        <f>HYPERLINK("https://fin.land.naver.com/articles/2653950163", "매물Link")</f>
        <v/>
      </c>
      <c r="Q1508" s="6">
        <f>HYPERLINK("https://map.naver.com/p/search/조치원읍 신흥리 26-1", "지도Link")</f>
        <v/>
      </c>
      <c r="R1508" s="6">
        <f>HYPERLINK("http://www.eum.go.kr/web/ar/lu/luLandDet.jsp?pnu=3611025029100260001&amp;isNoScr=script&amp;mode=search", "토지이음")</f>
        <v/>
      </c>
      <c r="S1508" s="3" t="inlineStr">
        <is>
          <t>KB세종</t>
        </is>
      </c>
      <c r="T1508" s="4" t="n">
        <v>1</v>
      </c>
      <c r="U1508" s="5" t="n">
        <v>185.6</v>
      </c>
      <c r="V1508" s="4" t="n">
        <v>284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소로각지</t>
        </is>
      </c>
    </row>
    <row r="1509">
      <c r="A1509" s="3" t="inlineStr">
        <is>
          <t>조치원읍 신흥리 49-10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33000</v>
      </c>
      <c r="H1509" s="4" t="n">
        <v>0</v>
      </c>
      <c r="I1509" s="4" t="n">
        <v>197</v>
      </c>
      <c r="J1509" s="4" t="n">
        <v>60</v>
      </c>
      <c r="K1509" s="5" t="n">
        <v>550</v>
      </c>
      <c r="L1509" s="4" t="n">
        <v>144</v>
      </c>
      <c r="M1509" s="4" t="n">
        <v>44</v>
      </c>
      <c r="N1509" s="5" t="n">
        <v>750</v>
      </c>
      <c r="O1509" s="3" t="inlineStr">
        <is>
          <t>급매,2층집으로 살기 좋은 단독주택입니다.</t>
        </is>
      </c>
      <c r="P1509" s="6">
        <f>HYPERLINK("https://fin.land.naver.com/articles/2655578820", "매물Link")</f>
        <v/>
      </c>
      <c r="Q1509" s="6">
        <f>HYPERLINK("https://map.naver.com/p/search/조치원읍 신흥리 49-10", "지도Link")</f>
        <v/>
      </c>
      <c r="R1509" s="6">
        <f>HYPERLINK("http://www.eum.go.kr/web/ar/lu/luLandDet.jsp?pnu=3611025029100490010&amp;isNoScr=script&amp;mode=search", "토지이음")</f>
        <v/>
      </c>
      <c r="S1509" s="3" t="inlineStr">
        <is>
          <t>마마</t>
        </is>
      </c>
      <c r="T1509" s="4" t="n">
        <v>1</v>
      </c>
      <c r="U1509" s="5" t="n">
        <v>225.9</v>
      </c>
      <c r="V1509" s="4" t="n">
        <v>197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신흥리 49-7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단독</t>
        </is>
      </c>
      <c r="F1510" s="3" t="inlineStr">
        <is>
          <t>월세</t>
        </is>
      </c>
      <c r="G1510" s="4" t="n">
        <v>1000</v>
      </c>
      <c r="H1510" s="4" t="n">
        <v>40</v>
      </c>
      <c r="I1510" s="4" t="n">
        <v>65</v>
      </c>
      <c r="J1510" s="4" t="n">
        <v>20</v>
      </c>
      <c r="K1510" s="5" t="n">
        <v>2</v>
      </c>
      <c r="L1510" s="4" t="n">
        <v>65</v>
      </c>
      <c r="M1510" s="4" t="n">
        <v>20</v>
      </c>
      <c r="N1510" s="5" t="n">
        <v>2</v>
      </c>
      <c r="O1510" s="3" t="inlineStr">
        <is>
          <t>신흥리 대동초등학교 인근 1층 주택 수리됨</t>
        </is>
      </c>
      <c r="P1510" s="6">
        <f>HYPERLINK("https://fin.land.naver.com/articles/2652419295", "매물Link")</f>
        <v/>
      </c>
      <c r="Q1510" s="6">
        <f>HYPERLINK("https://map.naver.com/p/search/조치원읍 신흥리 49-7", "지도Link")</f>
        <v/>
      </c>
      <c r="R1510" s="6">
        <f>HYPERLINK("http://www.eum.go.kr/web/ar/lu/luLandDet.jsp?pnu=3611025029100490007&amp;isNoScr=script&amp;mode=search", "토지이음")</f>
        <v/>
      </c>
      <c r="S1510" s="3" t="inlineStr">
        <is>
          <t>OK수</t>
        </is>
      </c>
      <c r="T1510" s="4" t="n">
        <v>1</v>
      </c>
      <c r="U1510" s="5" t="n">
        <v>153.5</v>
      </c>
      <c r="V1510" s="4" t="n">
        <v>141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세로한면(불)</t>
        </is>
      </c>
    </row>
    <row r="1511">
      <c r="A1511" s="3" t="inlineStr">
        <is>
          <t>조치원읍 신흥리 5-3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단독</t>
        </is>
      </c>
      <c r="F1511" s="3" t="inlineStr">
        <is>
          <t>매매</t>
        </is>
      </c>
      <c r="G1511" s="4" t="n">
        <v>41000</v>
      </c>
      <c r="H1511" s="4" t="n">
        <v>0</v>
      </c>
      <c r="I1511" s="4" t="n">
        <v>183</v>
      </c>
      <c r="J1511" s="4" t="n">
        <v>55</v>
      </c>
      <c r="K1511" s="5" t="n">
        <v>745.5</v>
      </c>
      <c r="L1511" s="4" t="n">
        <v>66</v>
      </c>
      <c r="M1511" s="4" t="n">
        <v>20</v>
      </c>
      <c r="N1511" s="5" t="n">
        <v>2050</v>
      </c>
      <c r="O1511" s="3" t="inlineStr">
        <is>
          <t>협의입주. 공원이 가깝고 교통이 편리한 주택</t>
        </is>
      </c>
      <c r="P1511" s="6">
        <f>HYPERLINK("https://fin.land.naver.com/articles/2653462110", "매물Link")</f>
        <v/>
      </c>
      <c r="Q1511" s="6">
        <f>HYPERLINK("https://map.naver.com/p/search/조치원읍 신흥리 5-3", "지도Link")</f>
        <v/>
      </c>
      <c r="R1511" s="6">
        <f>HYPERLINK("http://www.eum.go.kr/web/ar/lu/luLandDet.jsp?pnu=3611025029100050003&amp;isNoScr=script&amp;mode=search", "토지이음")</f>
        <v/>
      </c>
      <c r="S1511" s="3" t="inlineStr">
        <is>
          <t>정인</t>
        </is>
      </c>
      <c r="T1511" s="4" t="n">
        <v>2</v>
      </c>
      <c r="U1511" s="5" t="n">
        <v>182.9</v>
      </c>
      <c r="V1511" s="4" t="n">
        <v>183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신흥리 5-7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단독</t>
        </is>
      </c>
      <c r="F1512" s="3" t="inlineStr">
        <is>
          <t>매매</t>
        </is>
      </c>
      <c r="G1512" s="4" t="n">
        <v>18000</v>
      </c>
      <c r="H1512" s="4" t="n">
        <v>0</v>
      </c>
      <c r="I1512" s="4" t="n">
        <v>160</v>
      </c>
      <c r="J1512" s="4" t="n">
        <v>48</v>
      </c>
      <c r="K1512" s="5" t="n">
        <v>375</v>
      </c>
      <c r="L1512" s="4" t="n">
        <v>50</v>
      </c>
      <c r="M1512" s="4" t="n">
        <v>15</v>
      </c>
      <c r="N1512" s="5" t="n">
        <v>1200</v>
      </c>
      <c r="O1512" s="3" t="inlineStr">
        <is>
          <t>2차선 도로에 접한 주택, 전원생활 가능</t>
        </is>
      </c>
      <c r="P1512" s="6">
        <f>HYPERLINK("https://fin.land.naver.com/articles/2655220568", "매물Link")</f>
        <v/>
      </c>
      <c r="Q1512" s="6">
        <f>HYPERLINK("https://map.naver.com/p/search/조치원읍 신흥리 5-7", "지도Link")</f>
        <v/>
      </c>
      <c r="R1512" s="6">
        <f>HYPERLINK("http://www.eum.go.kr/web/ar/lu/luLandDet.jsp?pnu=3611025029100050007&amp;isNoScr=script&amp;mode=search", "토지이음")</f>
        <v/>
      </c>
      <c r="S1512" s="3" t="inlineStr">
        <is>
          <t>세종베스트</t>
        </is>
      </c>
      <c r="T1512" s="4" t="n">
        <v>1</v>
      </c>
      <c r="U1512" s="5" t="n">
        <v>179.4</v>
      </c>
      <c r="V1512" s="4" t="n">
        <v>161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신흥리 78-4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1</t>
        </is>
      </c>
      <c r="E1513" s="3" t="inlineStr">
        <is>
          <t>단독</t>
        </is>
      </c>
      <c r="F1513" s="3" t="inlineStr">
        <is>
          <t>매매</t>
        </is>
      </c>
      <c r="G1513" s="4" t="n">
        <v>32000</v>
      </c>
      <c r="H1513" s="4" t="n">
        <v>0</v>
      </c>
      <c r="I1513" s="4" t="n">
        <v>180</v>
      </c>
      <c r="J1513" s="4" t="n">
        <v>54</v>
      </c>
      <c r="K1513" s="5" t="n">
        <v>592.6</v>
      </c>
      <c r="L1513" s="4" t="n">
        <v>74</v>
      </c>
      <c r="M1513" s="4" t="n">
        <v>22</v>
      </c>
      <c r="N1513" s="5" t="n">
        <v>1454.5</v>
      </c>
      <c r="O1513" s="3" t="inlineStr">
        <is>
          <t>마당있는 단독주택</t>
        </is>
      </c>
      <c r="P1513" s="6">
        <f>HYPERLINK("https://fin.land.naver.com/articles/2650859599", "매물Link")</f>
        <v/>
      </c>
      <c r="Q1513" s="6">
        <f>HYPERLINK("https://map.naver.com/p/search/조치원읍 신흥리 78-4", "지도Link")</f>
        <v/>
      </c>
      <c r="R1513" s="6">
        <f>HYPERLINK("http://www.eum.go.kr/web/ar/lu/luLandDet.jsp?pnu=3611025029100780004&amp;isNoScr=script&amp;mode=search", "토지이음")</f>
        <v/>
      </c>
      <c r="S1513" s="3" t="inlineStr">
        <is>
          <t>세종대박</t>
        </is>
      </c>
      <c r="T1513" s="4" t="n">
        <v>1</v>
      </c>
      <c r="U1513" s="5" t="n">
        <v>230</v>
      </c>
      <c r="V1513" s="4" t="n">
        <v>180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소로한면</t>
        </is>
      </c>
    </row>
    <row r="1514">
      <c r="A1514" s="3" t="inlineStr">
        <is>
          <t>조치원읍 신흥리 8-7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빌라</t>
        </is>
      </c>
      <c r="F1514" s="3" t="inlineStr">
        <is>
          <t>매매</t>
        </is>
      </c>
      <c r="G1514" s="4" t="n">
        <v>9000</v>
      </c>
      <c r="H1514" s="4" t="n">
        <v>0</v>
      </c>
      <c r="I1514" s="4" t="n">
        <v>54</v>
      </c>
      <c r="J1514" s="4" t="n">
        <v>16</v>
      </c>
      <c r="K1514" s="5" t="n">
        <v>562.5</v>
      </c>
      <c r="L1514" s="4" t="n">
        <v>48</v>
      </c>
      <c r="M1514" s="4" t="n">
        <v>15</v>
      </c>
      <c r="N1514" s="5" t="n">
        <v>600</v>
      </c>
      <c r="O1514" s="3" t="inlineStr">
        <is>
          <t>올수리된 깨끗한 집, 협의입주</t>
        </is>
      </c>
      <c r="P1514" s="6">
        <f>HYPERLINK("https://fin.land.naver.com/articles/2652084894", "매물Link")</f>
        <v/>
      </c>
      <c r="Q1514" s="6">
        <f>HYPERLINK("https://map.naver.com/p/search/조치원읍 신흥리 8-7", "지도Link")</f>
        <v/>
      </c>
      <c r="R1514" s="6">
        <f>HYPERLINK("http://www.eum.go.kr/web/ar/lu/luLandDet.jsp?pnu=3611025029100080007&amp;isNoScr=script&amp;mode=search", "토지이음")</f>
        <v/>
      </c>
      <c r="S1514" s="3" t="inlineStr">
        <is>
          <t>KB세종</t>
        </is>
      </c>
      <c r="T1514" s="4" t="n">
        <v>1</v>
      </c>
      <c r="U1514" s="5" t="n">
        <v>192</v>
      </c>
      <c r="V1514" s="4" t="n">
        <v>246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소로각지</t>
        </is>
      </c>
    </row>
    <row r="1515">
      <c r="A1515" s="3" t="inlineStr">
        <is>
          <t>조치원읍 신흥리 80-8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1</t>
        </is>
      </c>
      <c r="E1515" s="3" t="inlineStr">
        <is>
          <t>단독</t>
        </is>
      </c>
      <c r="F1515" s="3" t="inlineStr">
        <is>
          <t>전세</t>
        </is>
      </c>
      <c r="G1515" s="4" t="n">
        <v>10000</v>
      </c>
      <c r="H1515" s="4" t="n">
        <v>0</v>
      </c>
      <c r="I1515" s="4" t="n">
        <v>186</v>
      </c>
      <c r="J1515" s="4" t="n">
        <v>56</v>
      </c>
      <c r="K1515" s="5" t="n">
        <v>178.6</v>
      </c>
      <c r="L1515" s="4" t="n">
        <v>82</v>
      </c>
      <c r="M1515" s="4" t="n">
        <v>25</v>
      </c>
      <c r="N1515" s="5" t="n">
        <v>400</v>
      </c>
      <c r="O1515" s="3" t="inlineStr">
        <is>
          <t>nan</t>
        </is>
      </c>
      <c r="P1515" s="6">
        <f>HYPERLINK("https://fin.land.naver.com/articles/2655235182", "매물Link")</f>
        <v/>
      </c>
      <c r="Q1515" s="6">
        <f>HYPERLINK("https://map.naver.com/p/search/조치원읍 신흥리 80-8", "지도Link")</f>
        <v/>
      </c>
      <c r="R1515" s="6">
        <f>HYPERLINK("http://www.eum.go.kr/web/ar/lu/luLandDet.jsp?pnu=3611025029100800008&amp;isNoScr=script&amp;mode=search", "토지이음")</f>
        <v/>
      </c>
      <c r="S1515" s="3" t="inlineStr">
        <is>
          <t>뉴하늘채</t>
        </is>
      </c>
      <c r="T1515" s="4" t="n">
        <v>1</v>
      </c>
      <c r="U1515" s="5" t="n">
        <v>190.9</v>
      </c>
      <c r="V1515" s="4" t="n">
        <v>186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원리 15-9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상가주택</t>
        </is>
      </c>
      <c r="F1516" s="3" t="inlineStr">
        <is>
          <t>매매</t>
        </is>
      </c>
      <c r="G1516" s="4" t="n">
        <v>26000</v>
      </c>
      <c r="H1516" s="4" t="n">
        <v>0</v>
      </c>
      <c r="I1516" s="4" t="n">
        <v>67</v>
      </c>
      <c r="J1516" s="4" t="n">
        <v>20</v>
      </c>
      <c r="K1516" s="5" t="n">
        <v>1300</v>
      </c>
      <c r="L1516" s="4" t="n">
        <v>139</v>
      </c>
      <c r="M1516" s="4" t="n">
        <v>42</v>
      </c>
      <c r="N1516" s="5" t="n">
        <v>619</v>
      </c>
      <c r="O1516" s="3" t="inlineStr">
        <is>
          <t>원리 서독안경원 골목 먹자골목내 자기상가하면서 거주하실분 추천</t>
        </is>
      </c>
      <c r="P1516" s="6">
        <f>HYPERLINK("https://fin.land.naver.com/articles/2652877281", "매물Link")</f>
        <v/>
      </c>
      <c r="Q1516" s="6">
        <f>HYPERLINK("https://map.naver.com/p/search/조치원읍 원리 15-9", "지도Link")</f>
        <v/>
      </c>
      <c r="R1516" s="6">
        <f>HYPERLINK("http://www.eum.go.kr/web/ar/lu/luLandDet.jsp?pnu=3611025021100150009&amp;isNoScr=script&amp;mode=search", "토지이음")</f>
        <v/>
      </c>
      <c r="S1516" s="3" t="inlineStr">
        <is>
          <t>OK수</t>
        </is>
      </c>
      <c r="T1516" s="4" t="n">
        <v>1</v>
      </c>
      <c r="U1516" s="5" t="n">
        <v>641.3</v>
      </c>
      <c r="V1516" s="4" t="n">
        <v>67.8</v>
      </c>
      <c r="W1516" s="3" t="inlineStr">
        <is>
          <t>지정되지않음</t>
        </is>
      </c>
      <c r="X1516" s="3" t="inlineStr">
        <is>
          <t>상업용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소로한면</t>
        </is>
      </c>
    </row>
    <row r="1517">
      <c r="A1517" s="3" t="inlineStr">
        <is>
          <t>조치원읍 원리 2-11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0</t>
        </is>
      </c>
      <c r="E1517" s="3" t="inlineStr">
        <is>
          <t>도시형생활주택</t>
        </is>
      </c>
      <c r="F1517" s="3" t="inlineStr">
        <is>
          <t>전세</t>
        </is>
      </c>
      <c r="G1517" s="4" t="n">
        <v>4000</v>
      </c>
      <c r="H1517" s="4" t="n">
        <v>0</v>
      </c>
      <c r="I1517" s="4" t="n">
        <v>27</v>
      </c>
      <c r="J1517" s="4" t="n">
        <v>8</v>
      </c>
      <c r="K1517" s="5" t="n">
        <v>500</v>
      </c>
      <c r="L1517" s="4" t="n">
        <v>15</v>
      </c>
      <c r="M1517" s="4" t="n">
        <v>5</v>
      </c>
      <c r="N1517" s="5" t="n">
        <v>800</v>
      </c>
      <c r="O1517" s="3" t="inlineStr">
        <is>
          <t>원리 국민은행 뒷편 조치원역 도보3분</t>
        </is>
      </c>
      <c r="P1517" s="6">
        <f>HYPERLINK("https://fin.land.naver.com/articles/2652087907", "매물Link")</f>
        <v/>
      </c>
      <c r="Q1517" s="6">
        <f>HYPERLINK("https://map.naver.com/p/search/조치원읍 원리 2-11", "지도Link")</f>
        <v/>
      </c>
      <c r="R1517" s="6">
        <f>HYPERLINK("http://www.eum.go.kr/web/ar/lu/luLandDet.jsp?pnu=3611025021100020011&amp;isNoScr=script&amp;mode=search", "토지이음")</f>
        <v/>
      </c>
      <c r="S1517" s="3" t="inlineStr">
        <is>
          <t>OK수</t>
        </is>
      </c>
      <c r="T1517" s="4" t="n">
        <v>1</v>
      </c>
      <c r="U1517" s="5" t="n">
        <v>488.9</v>
      </c>
      <c r="V1517" s="4" t="n">
        <v>491.3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가로장방</t>
        </is>
      </c>
      <c r="AA1517" s="3" t="inlineStr">
        <is>
          <t>세로한면(가)</t>
        </is>
      </c>
    </row>
    <row r="1518">
      <c r="A1518" s="3" t="inlineStr">
        <is>
          <t>조치원읍 원리 4-4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1</t>
        </is>
      </c>
      <c r="E1518" s="3" t="inlineStr">
        <is>
          <t>단독</t>
        </is>
      </c>
      <c r="F1518" s="3" t="inlineStr">
        <is>
          <t>매매</t>
        </is>
      </c>
      <c r="G1518" s="4" t="n">
        <v>30800</v>
      </c>
      <c r="H1518" s="4" t="n">
        <v>0</v>
      </c>
      <c r="I1518" s="4" t="n">
        <v>232</v>
      </c>
      <c r="J1518" s="4" t="n">
        <v>70</v>
      </c>
      <c r="K1518" s="5" t="n">
        <v>440</v>
      </c>
      <c r="L1518" s="4" t="n">
        <v>127</v>
      </c>
      <c r="M1518" s="4" t="n">
        <v>38</v>
      </c>
      <c r="N1518" s="5" t="n">
        <v>810.5</v>
      </c>
      <c r="O1518" s="3" t="inlineStr">
        <is>
          <t>롯데리아 뒷편 감성있는 단독주택입니다.</t>
        </is>
      </c>
      <c r="P1518" s="6">
        <f>HYPERLINK("https://fin.land.naver.com/articles/2654551165", "매물Link")</f>
        <v/>
      </c>
      <c r="Q1518" s="6">
        <f>HYPERLINK("https://map.naver.com/p/search/조치원읍 원리 4-4", "지도Link")</f>
        <v/>
      </c>
      <c r="R1518" s="6">
        <f>HYPERLINK("http://www.eum.go.kr/web/ar/lu/luLandDet.jsp?pnu=3611025021100040004&amp;isNoScr=script&amp;mode=search", "토지이음")</f>
        <v/>
      </c>
      <c r="S1518" s="3" t="inlineStr">
        <is>
          <t>이음 사무소</t>
        </is>
      </c>
      <c r="T1518" s="4" t="n">
        <v>2</v>
      </c>
      <c r="U1518" s="5" t="n">
        <v>438.3</v>
      </c>
      <c r="V1518" s="4" t="n">
        <v>201.7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자루형</t>
        </is>
      </c>
      <c r="AA1518" s="3" t="inlineStr">
        <is>
          <t>중로한면</t>
        </is>
      </c>
    </row>
    <row r="1519">
      <c r="A1519" s="3" t="inlineStr">
        <is>
          <t>조치원읍 원리 9-29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상가주택</t>
        </is>
      </c>
      <c r="F1519" s="3" t="inlineStr">
        <is>
          <t>매매</t>
        </is>
      </c>
      <c r="G1519" s="4" t="n">
        <v>120000</v>
      </c>
      <c r="H1519" s="4" t="n">
        <v>0</v>
      </c>
      <c r="I1519" s="4" t="n">
        <v>149</v>
      </c>
      <c r="J1519" s="4" t="n">
        <v>45</v>
      </c>
      <c r="K1519" s="5" t="n">
        <v>2666.7</v>
      </c>
      <c r="L1519" s="4" t="n">
        <v>360</v>
      </c>
      <c r="M1519" s="4" t="n">
        <v>109</v>
      </c>
      <c r="N1519" s="5" t="n">
        <v>1100.9</v>
      </c>
      <c r="O1519" s="3" t="inlineStr">
        <is>
          <t>조치원역 회전교차로 인근 최상위치</t>
        </is>
      </c>
      <c r="P1519" s="6">
        <f>HYPERLINK("https://fin.land.naver.com/articles/2651708568", "매물Link")</f>
        <v/>
      </c>
      <c r="Q1519" s="6">
        <f>HYPERLINK("https://map.naver.com/p/search/조치원읍 원리 9-29", "지도Link")</f>
        <v/>
      </c>
      <c r="R1519" s="6">
        <f>HYPERLINK("http://www.eum.go.kr/web/ar/lu/luLandDet.jsp?pnu=3611025021100090029&amp;isNoScr=script&amp;mode=search", "토지이음")</f>
        <v/>
      </c>
      <c r="S1519" s="3" t="inlineStr">
        <is>
          <t>OK수</t>
        </is>
      </c>
      <c r="T1519" s="4" t="n">
        <v>1</v>
      </c>
      <c r="U1519" s="5" t="n">
        <v>1102.1</v>
      </c>
      <c r="V1519" s="4" t="n">
        <v>134.9</v>
      </c>
      <c r="W1519" s="3" t="inlineStr">
        <is>
          <t>지정되지않음</t>
        </is>
      </c>
      <c r="X1519" s="3" t="inlineStr">
        <is>
          <t>상업용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중로한면</t>
        </is>
      </c>
    </row>
    <row r="1520">
      <c r="A1520" s="3" t="inlineStr">
        <is>
          <t>조치원읍 정리 112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도시형생활주택</t>
        </is>
      </c>
      <c r="F1520" s="3" t="inlineStr">
        <is>
          <t>월세</t>
        </is>
      </c>
      <c r="G1520" s="4" t="n">
        <v>200</v>
      </c>
      <c r="H1520" s="4" t="n">
        <v>33</v>
      </c>
      <c r="I1520" s="4" t="n">
        <v>38</v>
      </c>
      <c r="J1520" s="4" t="n">
        <v>11</v>
      </c>
      <c r="K1520" s="5" t="n">
        <v>3</v>
      </c>
      <c r="L1520" s="4" t="n">
        <v>22</v>
      </c>
      <c r="M1520" s="4" t="n">
        <v>7</v>
      </c>
      <c r="N1520" s="5" t="n">
        <v>4.7</v>
      </c>
      <c r="O1520" s="3" t="inlineStr">
        <is>
          <t>조치원역인근,남향,풀옵션 입니다.</t>
        </is>
      </c>
      <c r="P1520" s="6">
        <f>HYPERLINK("https://fin.land.naver.com/articles/2654019821", "매물Link")</f>
        <v/>
      </c>
      <c r="Q1520" s="6">
        <f>HYPERLINK("https://map.naver.com/p/search/조치원읍 정리 112", "지도Link")</f>
        <v/>
      </c>
      <c r="R1520" s="6">
        <f>HYPERLINK("http://www.eum.go.kr/web/ar/lu/luLandDet.jsp?pnu=3611025025101120000&amp;isNoScr=script&amp;mode=search", "토지이음")</f>
        <v/>
      </c>
      <c r="S1520" s="3" t="inlineStr">
        <is>
          <t>이음</t>
        </is>
      </c>
      <c r="T1520" s="4" t="n">
        <v>1</v>
      </c>
      <c r="U1520" s="5" t="n">
        <v>184.1</v>
      </c>
      <c r="V1520" s="4" t="n">
        <v>1013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소로각지</t>
        </is>
      </c>
    </row>
    <row r="1521">
      <c r="A1521" s="3" t="inlineStr">
        <is>
          <t>조치원읍 정리 50-7</t>
        </is>
      </c>
      <c r="B1521" s="3" t="inlineStr">
        <is>
          <t>준주거지역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28</v>
      </c>
      <c r="J1521" s="4" t="n">
        <v>8</v>
      </c>
      <c r="K1521" s="5" t="n">
        <v>3.8</v>
      </c>
      <c r="L1521" s="4" t="n">
        <v>25</v>
      </c>
      <c r="M1521" s="4" t="n">
        <v>8</v>
      </c>
      <c r="N1521" s="5" t="n">
        <v>3.8</v>
      </c>
      <c r="O1521" s="3" t="inlineStr">
        <is>
          <t>엘베0.분리형.전통시장 1분거리 원룸.즉시입주가능합니다.</t>
        </is>
      </c>
      <c r="P1521" s="6">
        <f>HYPERLINK("https://fin.land.naver.com/articles/2650081892", "매물Link")</f>
        <v/>
      </c>
      <c r="Q1521" s="6">
        <f>HYPERLINK("https://map.naver.com/p/search/조치원읍 정리 50-7", "지도Link")</f>
        <v/>
      </c>
      <c r="R1521" s="6">
        <f>HYPERLINK("http://www.eum.go.kr/web/ar/lu/luLandDet.jsp?pnu=3611025025100500007&amp;isNoScr=script&amp;mode=search", "토지이음")</f>
        <v/>
      </c>
      <c r="S1521" s="3" t="inlineStr">
        <is>
          <t>이음 사무소</t>
        </is>
      </c>
      <c r="T1521" s="4" t="n">
        <v>1</v>
      </c>
      <c r="U1521" s="5" t="n">
        <v>259.4</v>
      </c>
      <c r="V1521" s="4" t="n">
        <v>307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죽림리 30-4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2</t>
        </is>
      </c>
      <c r="E1522" s="3" t="inlineStr">
        <is>
          <t>단독</t>
        </is>
      </c>
      <c r="F1522" s="3" t="inlineStr">
        <is>
          <t>매매</t>
        </is>
      </c>
      <c r="G1522" s="4" t="n">
        <v>25000</v>
      </c>
      <c r="H1522" s="4" t="n">
        <v>0</v>
      </c>
      <c r="I1522" s="4" t="n">
        <v>126</v>
      </c>
      <c r="J1522" s="4" t="n">
        <v>38</v>
      </c>
      <c r="K1522" s="5" t="n">
        <v>657.9</v>
      </c>
      <c r="L1522" s="4" t="n">
        <v>123</v>
      </c>
      <c r="M1522" s="4" t="n">
        <v>37</v>
      </c>
      <c r="N1522" s="5" t="n">
        <v>675.7</v>
      </c>
      <c r="O1522" s="3" t="inlineStr">
        <is>
          <t>죽림리 수리됨 코너 1,2층 주택 즉시입주가능합니다도시가스</t>
        </is>
      </c>
      <c r="P1522" s="6">
        <f>HYPERLINK("https://fin.land.naver.com/articles/2655609974", "매물Link")</f>
        <v/>
      </c>
      <c r="Q1522" s="6">
        <f>HYPERLINK("https://map.naver.com/p/search/조치원읍 죽림리 30-4", "지도Link")</f>
        <v/>
      </c>
      <c r="R1522" s="6">
        <f>HYPERLINK("http://www.eum.go.kr/web/ar/lu/luLandDet.jsp?pnu=3611025030100300004&amp;isNoScr=script&amp;mode=search", "토지이음")</f>
        <v/>
      </c>
      <c r="S1522" s="3" t="inlineStr">
        <is>
          <t>OK수</t>
        </is>
      </c>
      <c r="T1522" s="4" t="n">
        <v>2</v>
      </c>
      <c r="U1522" s="5" t="n">
        <v>177.9</v>
      </c>
      <c r="V1522" s="4" t="n">
        <v>118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소로각지</t>
        </is>
      </c>
    </row>
    <row r="1523">
      <c r="A1523" s="3" t="inlineStr">
        <is>
          <t>조치원읍 죽림리 338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4</t>
        </is>
      </c>
      <c r="E1523" s="3" t="inlineStr">
        <is>
          <t>다가구</t>
        </is>
      </c>
      <c r="F1523" s="3" t="inlineStr">
        <is>
          <t>매매</t>
        </is>
      </c>
      <c r="G1523" s="4" t="n">
        <v>130000</v>
      </c>
      <c r="H1523" s="4" t="n">
        <v>0</v>
      </c>
      <c r="I1523" s="4" t="n">
        <v>420</v>
      </c>
      <c r="J1523" s="4" t="n">
        <v>127</v>
      </c>
      <c r="K1523" s="5" t="n">
        <v>1023.6</v>
      </c>
      <c r="L1523" s="4" t="n">
        <v>649</v>
      </c>
      <c r="M1523" s="4" t="n">
        <v>196</v>
      </c>
      <c r="N1523" s="5" t="n">
        <v>663.3</v>
      </c>
      <c r="O1523" s="3" t="inlineStr">
        <is>
          <t>nan</t>
        </is>
      </c>
      <c r="P1523" s="6">
        <f>HYPERLINK("https://fin.land.naver.com/articles/2654389078", "매물Link")</f>
        <v/>
      </c>
      <c r="Q1523" s="6">
        <f>HYPERLINK("https://map.naver.com/p/search/조치원읍 죽림리 338", "지도Link")</f>
        <v/>
      </c>
      <c r="R1523" s="6">
        <f>HYPERLINK("http://www.eum.go.kr/web/ar/lu/luLandDet.jsp?pnu=3611025030103380000&amp;isNoScr=script&amp;mode=search",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270.6</v>
      </c>
      <c r="V1523" s="4" t="n">
        <v>420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소로한면</t>
        </is>
      </c>
    </row>
    <row r="1524">
      <c r="A1524" s="3" t="inlineStr">
        <is>
          <t>조치원읍 죽림리 338-2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다가구</t>
        </is>
      </c>
      <c r="F1524" s="3" t="inlineStr">
        <is>
          <t>매매</t>
        </is>
      </c>
      <c r="G1524" s="4" t="n">
        <v>130000</v>
      </c>
      <c r="H1524" s="4" t="n">
        <v>0</v>
      </c>
      <c r="I1524" s="4" t="n">
        <v>502</v>
      </c>
      <c r="J1524" s="4" t="n">
        <v>152</v>
      </c>
      <c r="K1524" s="5" t="n">
        <v>855.3</v>
      </c>
      <c r="L1524" s="4" t="n">
        <v>693</v>
      </c>
      <c r="M1524" s="4" t="n">
        <v>210</v>
      </c>
      <c r="N1524" s="5" t="n">
        <v>619</v>
      </c>
      <c r="O1524" s="3" t="inlineStr">
        <is>
          <t>nan</t>
        </is>
      </c>
      <c r="P1524" s="6">
        <f>HYPERLINK("https://fin.land.naver.com/articles/2654389415", "매물Link")</f>
        <v/>
      </c>
      <c r="Q1524" s="6">
        <f>HYPERLINK("https://map.naver.com/p/search/조치원읍 죽림리 338-2", "지도Link")</f>
        <v/>
      </c>
      <c r="R1524" s="6">
        <f>HYPERLINK("http://www.eum.go.kr/web/ar/lu/luLandDet.jsp?pnu=3611025030103380002&amp;isNoScr=script&amp;mode=search",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273.3</v>
      </c>
      <c r="V1524" s="4" t="n">
        <v>502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소로한면</t>
        </is>
      </c>
    </row>
    <row r="1525">
      <c r="A1525" s="3" t="inlineStr">
        <is>
          <t>조치원읍 죽림리 37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100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죽림O우리마트1분O완전풀옵션O엘리베이터O</t>
        </is>
      </c>
      <c r="P1525" s="6">
        <f>HYPERLINK("https://fin.land.naver.com/articles/2651040064", "매물Link")</f>
        <v/>
      </c>
      <c r="Q1525" s="6">
        <f>HYPERLINK("https://map.naver.com/p/search/조치원읍 죽림리 37", "지도Link")</f>
        <v/>
      </c>
      <c r="R1525" s="6">
        <f>HYPERLINK("http://www.eum.go.kr/web/ar/lu/luLandDet.jsp?pnu=3611025030100370000&amp;isNoScr=script&amp;mode=search",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267.7</v>
      </c>
      <c r="V1525" s="4" t="n">
        <v>382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소로각지</t>
        </is>
      </c>
    </row>
    <row r="1526">
      <c r="A1526" s="3" t="inlineStr">
        <is>
          <t>조치원읍 죽림리 37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100</v>
      </c>
      <c r="H1526" s="4" t="n">
        <v>31</v>
      </c>
      <c r="I1526" s="4" t="n">
        <v>46</v>
      </c>
      <c r="J1526" s="4" t="n">
        <v>14</v>
      </c>
      <c r="K1526" s="5" t="n">
        <v>2.2</v>
      </c>
      <c r="L1526" s="4" t="n">
        <v>46</v>
      </c>
      <c r="M1526" s="4" t="n">
        <v>14</v>
      </c>
      <c r="N1526" s="5" t="n">
        <v>2.2</v>
      </c>
      <c r="O1526" s="3" t="inlineStr">
        <is>
          <t>깔끔하고 넓은 원 룸으로 주변에 대형마트있으며, 대중교통편함</t>
        </is>
      </c>
      <c r="P1526" s="6">
        <f>HYPERLINK("https://fin.land.naver.com/articles/2653997485", "매물Link")</f>
        <v/>
      </c>
      <c r="Q1526" s="6">
        <f>HYPERLINK("https://map.naver.com/p/search/조치원읍 죽림리 37", "지도Link")</f>
        <v/>
      </c>
      <c r="R1526" s="6">
        <f>HYPERLINK("http://www.eum.go.kr/web/ar/lu/luLandDet.jsp?pnu=3611025030100370000&amp;isNoScr=script&amp;mode=search", "토지이음")</f>
        <v/>
      </c>
      <c r="S1526" s="3" t="inlineStr">
        <is>
          <t>세종베스트</t>
        </is>
      </c>
      <c r="T1526" s="4" t="n">
        <v>1</v>
      </c>
      <c r="U1526" s="5" t="n">
        <v>267.7</v>
      </c>
      <c r="V1526" s="4" t="n">
        <v>382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죽림리 4-17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상가주택</t>
        </is>
      </c>
      <c r="F1527" s="3" t="inlineStr">
        <is>
          <t>매매</t>
        </is>
      </c>
      <c r="G1527" s="4" t="n">
        <v>50000</v>
      </c>
      <c r="H1527" s="4" t="n">
        <v>0</v>
      </c>
      <c r="I1527" s="4" t="n">
        <v>249</v>
      </c>
      <c r="J1527" s="4" t="n">
        <v>75</v>
      </c>
      <c r="K1527" s="5" t="n">
        <v>666.7</v>
      </c>
      <c r="L1527" s="4" t="n">
        <v>156</v>
      </c>
      <c r="M1527" s="4" t="n">
        <v>47</v>
      </c>
      <c r="N1527" s="5" t="n">
        <v>1063.8</v>
      </c>
      <c r="O1527" s="3" t="inlineStr">
        <is>
          <t>1층상가 2층 주택으로 사용하고 있는 로터리 바로앞 상가주택</t>
        </is>
      </c>
      <c r="P1527" s="6">
        <f>HYPERLINK("https://fin.land.naver.com/articles/2652510722", "매물Link")</f>
        <v/>
      </c>
      <c r="Q1527" s="6">
        <f>HYPERLINK("https://map.naver.com/p/search/조치원읍 죽림리 4-17", "지도Link")</f>
        <v/>
      </c>
      <c r="R1527" s="6">
        <f>HYPERLINK("http://www.eum.go.kr/web/ar/lu/luLandDet.jsp?pnu=3611025030100040017&amp;isNoScr=script&amp;mode=search", "토지이음")</f>
        <v/>
      </c>
      <c r="S1527" s="3" t="inlineStr">
        <is>
          <t>365</t>
        </is>
      </c>
      <c r="T1527" s="4" t="n">
        <v>1</v>
      </c>
      <c r="U1527" s="5" t="n">
        <v>280.7</v>
      </c>
      <c r="V1527" s="4" t="n">
        <v>173</v>
      </c>
      <c r="W1527" s="3" t="inlineStr">
        <is>
          <t>지정되지않음</t>
        </is>
      </c>
      <c r="X1527" s="3" t="inlineStr">
        <is>
          <t>상업용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죽림리 47-7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38000</v>
      </c>
      <c r="H1528" s="4" t="n">
        <v>0</v>
      </c>
      <c r="I1528" s="4" t="n">
        <v>88</v>
      </c>
      <c r="J1528" s="4" t="n">
        <v>27</v>
      </c>
      <c r="K1528" s="5" t="n">
        <v>1407.4</v>
      </c>
      <c r="L1528" s="4" t="n">
        <v>88</v>
      </c>
      <c r="M1528" s="4" t="n">
        <v>27</v>
      </c>
      <c r="N1528" s="5" t="n">
        <v>1407.4</v>
      </c>
      <c r="O1528" s="3" t="inlineStr">
        <is>
          <t>죽림리 수리된 1,2층 남향주택 위치 좋습니다</t>
        </is>
      </c>
      <c r="P1528" s="6">
        <f>HYPERLINK("https://fin.land.naver.com/articles/2651708550", "매물Link")</f>
        <v/>
      </c>
      <c r="Q1528" s="6">
        <f>HYPERLINK("https://map.naver.com/p/search/조치원읍 죽림리 47-7", "지도Link")</f>
        <v/>
      </c>
      <c r="R1528" s="6">
        <f>HYPERLINK("http://www.eum.go.kr/web/ar/lu/luLandDet.jsp?pnu=3611025030100470007&amp;isNoScr=script&amp;mode=search",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262.5</v>
      </c>
      <c r="V1528" s="4" t="n">
        <v>159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소로한면</t>
        </is>
      </c>
    </row>
    <row r="1529">
      <c r="A1529" s="3" t="inlineStr">
        <is>
          <t>조치원읍 죽림리 48-2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21000</v>
      </c>
      <c r="H1529" s="4" t="n">
        <v>0</v>
      </c>
      <c r="I1529" s="4" t="n">
        <v>210</v>
      </c>
      <c r="J1529" s="4" t="n">
        <v>64</v>
      </c>
      <c r="K1529" s="5" t="n">
        <v>328.1</v>
      </c>
      <c r="L1529" s="4" t="n">
        <v>80</v>
      </c>
      <c r="M1529" s="4" t="n">
        <v>24</v>
      </c>
      <c r="N1529" s="5" t="n">
        <v>875</v>
      </c>
      <c r="O1529" s="3" t="inlineStr">
        <is>
          <t>죽림리 위치 좋은곳 단독주택</t>
        </is>
      </c>
      <c r="P1529" s="6">
        <f>HYPERLINK("https://fin.land.naver.com/articles/2653156364", "매물Link")</f>
        <v/>
      </c>
      <c r="Q1529" s="6">
        <f>HYPERLINK("https://map.naver.com/p/search/조치원읍 죽림리 48-2", "지도Link")</f>
        <v/>
      </c>
      <c r="R1529" s="6">
        <f>HYPERLINK("http://www.eum.go.kr/web/ar/lu/luLandDet.jsp?pnu=3611025030100480002&amp;isNoScr=script&amp;mode=search", "토지이음")</f>
        <v/>
      </c>
      <c r="S1529" s="3" t="inlineStr">
        <is>
          <t>KB세종</t>
        </is>
      </c>
      <c r="T1529" s="4" t="n">
        <v>1</v>
      </c>
      <c r="U1529" s="5" t="n">
        <v>262.5</v>
      </c>
      <c r="V1529" s="4" t="n">
        <v>210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소로한면</t>
        </is>
      </c>
    </row>
    <row r="1530">
      <c r="A1530" s="3" t="inlineStr">
        <is>
          <t>조치원읍 죽림리 50-1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18000</v>
      </c>
      <c r="H1530" s="4" t="n">
        <v>0</v>
      </c>
      <c r="I1530" s="4" t="n">
        <v>117</v>
      </c>
      <c r="J1530" s="4" t="n">
        <v>35</v>
      </c>
      <c r="K1530" s="5" t="n">
        <v>514.3</v>
      </c>
      <c r="L1530" s="4" t="n">
        <v>61</v>
      </c>
      <c r="M1530" s="4" t="n">
        <v>18</v>
      </c>
      <c r="N1530" s="5" t="n">
        <v>1000</v>
      </c>
      <c r="O1530" s="3" t="inlineStr">
        <is>
          <t>급매 공가</t>
        </is>
      </c>
      <c r="P1530" s="6">
        <f>HYPERLINK("https://fin.land.naver.com/articles/2652059240", "매물Link")</f>
        <v/>
      </c>
      <c r="Q1530" s="6">
        <f>HYPERLINK("https://map.naver.com/p/search/조치원읍 죽림리 50-1", "지도Link")</f>
        <v/>
      </c>
      <c r="R1530" s="6">
        <f>HYPERLINK("http://www.eum.go.kr/web/ar/lu/luLandDet.jsp?pnu=3611025030100500001&amp;isNoScr=script&amp;mode=search", "토지이음")</f>
        <v/>
      </c>
      <c r="S1530" s="3" t="inlineStr">
        <is>
          <t>제일</t>
        </is>
      </c>
      <c r="T1530" s="4" t="n">
        <v>1</v>
      </c>
      <c r="U1530" s="5" t="n">
        <v>262.5</v>
      </c>
      <c r="V1530" s="4" t="n">
        <v>117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소로한면</t>
        </is>
      </c>
    </row>
    <row r="1531">
      <c r="A1531" s="3" t="inlineStr">
        <is>
          <t>조치원읍 죽림리 67-9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단독</t>
        </is>
      </c>
      <c r="F1531" s="3" t="inlineStr">
        <is>
          <t>매매</t>
        </is>
      </c>
      <c r="G1531" s="4" t="n">
        <v>15000</v>
      </c>
      <c r="H1531" s="4" t="n">
        <v>0</v>
      </c>
      <c r="I1531" s="4" t="n">
        <v>156</v>
      </c>
      <c r="J1531" s="4" t="n">
        <v>47</v>
      </c>
      <c r="K1531" s="5" t="n">
        <v>319.1</v>
      </c>
      <c r="L1531" s="4" t="n">
        <v>71</v>
      </c>
      <c r="M1531" s="4" t="n">
        <v>21</v>
      </c>
      <c r="N1531" s="5" t="n">
        <v>714.3</v>
      </c>
      <c r="O1531" s="3" t="inlineStr">
        <is>
          <t>협의입주가능,월세안고매매가능,리모델링된집,마당,텃밭보유,옥상 방수처리함</t>
        </is>
      </c>
      <c r="P1531" s="6">
        <f>HYPERLINK("https://fin.land.naver.com/articles/2655608120", "매물Link")</f>
        <v/>
      </c>
      <c r="Q1531" s="6">
        <f>HYPERLINK("https://map.naver.com/p/search/조치원읍 죽림리 67-9", "지도Link")</f>
        <v/>
      </c>
      <c r="R1531" s="6">
        <f>HYPERLINK("http://www.eum.go.kr/web/ar/lu/luLandDet.jsp?pnu=3611025030100670009&amp;isNoScr=script&amp;mode=search", "토지이음")</f>
        <v/>
      </c>
      <c r="S1531" s="3" t="inlineStr">
        <is>
          <t>담뜰</t>
        </is>
      </c>
      <c r="T1531" s="4" t="n">
        <v>7</v>
      </c>
      <c r="U1531" s="5" t="n">
        <v>150.5</v>
      </c>
      <c r="V1531" s="4" t="n">
        <v>156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세로한면(불)</t>
        </is>
      </c>
    </row>
    <row r="1532">
      <c r="A1532" s="3" t="inlineStr">
        <is>
          <t>조치원읍 침산리 110-6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매매</t>
        </is>
      </c>
      <c r="G1532" s="4" t="n">
        <v>25000</v>
      </c>
      <c r="H1532" s="4" t="n">
        <v>0</v>
      </c>
      <c r="I1532" s="4" t="n">
        <v>301</v>
      </c>
      <c r="J1532" s="4" t="n">
        <v>91</v>
      </c>
      <c r="K1532" s="5" t="n">
        <v>274.7</v>
      </c>
      <c r="L1532" s="4" t="n">
        <v>114</v>
      </c>
      <c r="M1532" s="4" t="n">
        <v>34</v>
      </c>
      <c r="N1532" s="5" t="n">
        <v>735.3</v>
      </c>
      <c r="O1532" s="3" t="inlineStr">
        <is>
          <t>단독 주택 매매</t>
        </is>
      </c>
      <c r="P1532" s="6">
        <f>HYPERLINK("https://fin.land.naver.com/articles/2650475545", "매물Link")</f>
        <v/>
      </c>
      <c r="Q1532" s="6">
        <f>HYPERLINK("https://map.naver.com/p/search/조치원읍 침산리 110-6", "지도Link")</f>
        <v/>
      </c>
      <c r="R1532" s="6">
        <f>HYPERLINK("http://www.eum.go.kr/web/ar/lu/luLandDet.jsp?pnu=3611025028101100006&amp;isNoScr=script&amp;mode=search", "토지이음")</f>
        <v/>
      </c>
      <c r="S1532" s="3" t="inlineStr">
        <is>
          <t>세종공감</t>
        </is>
      </c>
      <c r="T1532" s="4" t="n">
        <v>1</v>
      </c>
      <c r="U1532" s="5" t="n">
        <v>167.8</v>
      </c>
      <c r="V1532" s="4" t="n">
        <v>301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침산리 144-9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상가주택</t>
        </is>
      </c>
      <c r="F1533" s="3" t="inlineStr">
        <is>
          <t>매매</t>
        </is>
      </c>
      <c r="G1533" s="4" t="n">
        <v>52000</v>
      </c>
      <c r="H1533" s="4" t="n">
        <v>0</v>
      </c>
      <c r="I1533" s="4" t="n">
        <v>129</v>
      </c>
      <c r="J1533" s="4" t="n">
        <v>39</v>
      </c>
      <c r="K1533" s="5" t="n">
        <v>1333.3</v>
      </c>
      <c r="L1533" s="4" t="n">
        <v>144</v>
      </c>
      <c r="M1533" s="4" t="n">
        <v>44</v>
      </c>
      <c r="N1533" s="5" t="n">
        <v>1181.8</v>
      </c>
      <c r="O1533" s="3" t="inlineStr">
        <is>
          <t>조치원역 서쪽 4차선 도로접함 1층 상가 2층 주택이용하실분 추천</t>
        </is>
      </c>
      <c r="P1533" s="6">
        <f>HYPERLINK("https://fin.land.naver.com/articles/2652881315", "매물Link")</f>
        <v/>
      </c>
      <c r="Q1533" s="6">
        <f>HYPERLINK("https://map.naver.com/p/search/조치원읍 침산리 144-9", "지도Link")</f>
        <v/>
      </c>
      <c r="R1533" s="6">
        <f>HYPERLINK("http://www.eum.go.kr/web/ar/lu/luLandDet.jsp?pnu=3611025028101440009&amp;isNoScr=script&amp;mode=search", "토지이음")</f>
        <v/>
      </c>
      <c r="S1533" s="3" t="inlineStr">
        <is>
          <t>OK수</t>
        </is>
      </c>
      <c r="T1533" s="4" t="n">
        <v>1</v>
      </c>
      <c r="U1533" s="5" t="n">
        <v>404.6</v>
      </c>
      <c r="V1533" s="4" t="n">
        <v>129</v>
      </c>
      <c r="W1533" s="3" t="inlineStr">
        <is>
          <t>지정되지않음</t>
        </is>
      </c>
      <c r="X1533" s="3" t="inlineStr">
        <is>
          <t>주상용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중로한면</t>
        </is>
      </c>
    </row>
    <row r="1534">
      <c r="A1534" s="3" t="inlineStr">
        <is>
          <t>조치원읍 침산리 145-3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2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400</v>
      </c>
      <c r="H1534" s="4" t="n">
        <v>40</v>
      </c>
      <c r="I1534" s="4" t="n">
        <v>49</v>
      </c>
      <c r="J1534" s="4" t="n">
        <v>15</v>
      </c>
      <c r="K1534" s="5" t="n">
        <v>2.7</v>
      </c>
      <c r="L1534" s="4" t="n">
        <v>49</v>
      </c>
      <c r="M1534" s="4" t="n">
        <v>15</v>
      </c>
      <c r="N1534" s="5" t="n">
        <v>2.7</v>
      </c>
      <c r="O1534" s="3" t="inlineStr">
        <is>
          <t>조치원역 후문 올리모델링 되어 있는 투룸 입니다.</t>
        </is>
      </c>
      <c r="P1534" s="6">
        <f>HYPERLINK("https://fin.land.naver.com/articles/2652694071", "매물Link")</f>
        <v/>
      </c>
      <c r="Q1534" s="6">
        <f>HYPERLINK("https://map.naver.com/p/search/조치원읍 침산리 145-3", "지도Link")</f>
        <v/>
      </c>
      <c r="R1534" s="6">
        <f>HYPERLINK("http://www.eum.go.kr/web/ar/lu/luLandDet.jsp?pnu=3611025028101450003&amp;isNoScr=script&amp;mode=search", "토지이음")</f>
        <v/>
      </c>
      <c r="S1534" s="3" t="inlineStr">
        <is>
          <t>행복을만드는</t>
        </is>
      </c>
      <c r="T1534" s="4" t="n">
        <v>1</v>
      </c>
      <c r="U1534" s="5" t="n">
        <v>404.6</v>
      </c>
      <c r="V1534" s="4" t="n">
        <v>358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부정형</t>
        </is>
      </c>
      <c r="AA1534" s="3" t="inlineStr">
        <is>
          <t>중로한면</t>
        </is>
      </c>
    </row>
    <row r="1535">
      <c r="A1535" s="3" t="inlineStr">
        <is>
          <t>조치원읍 침산리 145-3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2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300</v>
      </c>
      <c r="H1535" s="4" t="n">
        <v>35</v>
      </c>
      <c r="I1535" s="4" t="n">
        <v>49</v>
      </c>
      <c r="J1535" s="4" t="n">
        <v>15</v>
      </c>
      <c r="K1535" s="5" t="n">
        <v>2.3</v>
      </c>
      <c r="L1535" s="4" t="n">
        <v>49</v>
      </c>
      <c r="M1535" s="4" t="n">
        <v>15</v>
      </c>
      <c r="N1535" s="5" t="n">
        <v>2.3</v>
      </c>
      <c r="O1535" s="3" t="inlineStr">
        <is>
          <t>조치원역 후문 올리모델링 되어 있는 투베이 입니다.</t>
        </is>
      </c>
      <c r="P1535" s="6">
        <f>HYPERLINK("https://fin.land.naver.com/articles/2652695801", "매물Link")</f>
        <v/>
      </c>
      <c r="Q1535" s="6">
        <f>HYPERLINK("https://map.naver.com/p/search/조치원읍 침산리 145-3", "지도Link")</f>
        <v/>
      </c>
      <c r="R1535" s="6">
        <f>HYPERLINK("http://www.eum.go.kr/web/ar/lu/luLandDet.jsp?pnu=3611025028101450003&amp;isNoScr=script&amp;mode=search", "토지이음")</f>
        <v/>
      </c>
      <c r="S1535" s="3" t="inlineStr">
        <is>
          <t>행복을만드는</t>
        </is>
      </c>
      <c r="T1535" s="4" t="n">
        <v>1</v>
      </c>
      <c r="U1535" s="5" t="n">
        <v>404.6</v>
      </c>
      <c r="V1535" s="4" t="n">
        <v>358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중로한면</t>
        </is>
      </c>
    </row>
    <row r="1536">
      <c r="A1536" s="3" t="inlineStr">
        <is>
          <t>조치원읍 침산리 145-3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300</v>
      </c>
      <c r="H1536" s="4" t="n">
        <v>38</v>
      </c>
      <c r="I1536" s="4" t="n">
        <v>49</v>
      </c>
      <c r="J1536" s="4" t="n">
        <v>15</v>
      </c>
      <c r="K1536" s="5" t="n">
        <v>2.5</v>
      </c>
      <c r="L1536" s="4" t="n">
        <v>49</v>
      </c>
      <c r="M1536" s="4" t="n">
        <v>15</v>
      </c>
      <c r="N1536" s="5" t="n">
        <v>2.5</v>
      </c>
      <c r="O1536" s="3" t="inlineStr">
        <is>
          <t>조치원역 후문 올리모델링 되어 있는 투베이 입니다.</t>
        </is>
      </c>
      <c r="P1536" s="6">
        <f>HYPERLINK("https://fin.land.naver.com/articles/2652696838", "매물Link")</f>
        <v/>
      </c>
      <c r="Q1536" s="6">
        <f>HYPERLINK("https://map.naver.com/p/search/조치원읍 침산리 145-3", "지도Link")</f>
        <v/>
      </c>
      <c r="R1536" s="6">
        <f>HYPERLINK("http://www.eum.go.kr/web/ar/lu/luLandDet.jsp?pnu=3611025028101450003&amp;isNoScr=script&amp;mode=search", "토지이음")</f>
        <v/>
      </c>
      <c r="S1536" s="3" t="inlineStr">
        <is>
          <t>행복을만드는</t>
        </is>
      </c>
      <c r="T1536" s="4" t="n">
        <v>1</v>
      </c>
      <c r="U1536" s="5" t="n">
        <v>404.6</v>
      </c>
      <c r="V1536" s="4" t="n">
        <v>358</v>
      </c>
      <c r="W1536" s="3" t="inlineStr">
        <is>
          <t>지정되지않음</t>
        </is>
      </c>
      <c r="X1536" s="3" t="inlineStr">
        <is>
          <t>주상용</t>
        </is>
      </c>
      <c r="Y1536" s="3" t="inlineStr">
        <is>
          <t>평지</t>
        </is>
      </c>
      <c r="Z1536" s="3" t="inlineStr">
        <is>
          <t>부정형</t>
        </is>
      </c>
      <c r="AA1536" s="3" t="inlineStr">
        <is>
          <t>중로한면</t>
        </is>
      </c>
    </row>
    <row r="1537">
      <c r="A1537" s="3" t="inlineStr">
        <is>
          <t>조치원읍 침산리 153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다가구</t>
        </is>
      </c>
      <c r="F1537" s="3" t="inlineStr">
        <is>
          <t>월세</t>
        </is>
      </c>
      <c r="G1537" s="4" t="n">
        <v>200</v>
      </c>
      <c r="H1537" s="4" t="n">
        <v>35</v>
      </c>
      <c r="I1537" s="4" t="n">
        <v>30</v>
      </c>
      <c r="J1537" s="4" t="n">
        <v>9</v>
      </c>
      <c r="K1537" s="5" t="n">
        <v>3.9</v>
      </c>
      <c r="L1537" s="4" t="n">
        <v>25</v>
      </c>
      <c r="M1537" s="4" t="n">
        <v>8</v>
      </c>
      <c r="N1537" s="5" t="n">
        <v>4.4</v>
      </c>
      <c r="O1537" s="3" t="inlineStr">
        <is>
          <t>조치원역 인근 미니투룸 월세</t>
        </is>
      </c>
      <c r="P1537" s="6">
        <f>HYPERLINK("https://fin.land.naver.com/articles/2652540224", "매물Link")</f>
        <v/>
      </c>
      <c r="Q1537" s="6">
        <f>HYPERLINK("https://map.naver.com/p/search/조치원읍 침산리 153", "지도Link")</f>
        <v/>
      </c>
      <c r="R1537" s="6">
        <f>HYPERLINK("http://www.eum.go.kr/web/ar/lu/luLandDet.jsp?pnu=3611025028101530000&amp;isNoScr=script&amp;mode=search", "토지이음")</f>
        <v/>
      </c>
      <c r="S1537" s="3" t="inlineStr">
        <is>
          <t>무지개</t>
        </is>
      </c>
      <c r="T1537" s="4" t="n">
        <v>1</v>
      </c>
      <c r="U1537" s="5" t="n">
        <v>155.1</v>
      </c>
      <c r="V1537" s="4" t="n">
        <v>220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완경사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침산리 166-57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단독</t>
        </is>
      </c>
      <c r="F1538" s="3" t="inlineStr">
        <is>
          <t>매매</t>
        </is>
      </c>
      <c r="G1538" s="4" t="n">
        <v>120000</v>
      </c>
      <c r="H1538" s="4" t="n">
        <v>0</v>
      </c>
      <c r="I1538" s="4" t="n">
        <v>383</v>
      </c>
      <c r="J1538" s="4" t="n">
        <v>116</v>
      </c>
      <c r="K1538" s="5" t="n">
        <v>1034.5</v>
      </c>
      <c r="L1538" s="4" t="n">
        <v>198</v>
      </c>
      <c r="M1538" s="4" t="n">
        <v>60</v>
      </c>
      <c r="N1538" s="5" t="n">
        <v>2000</v>
      </c>
      <c r="O1538" s="3" t="inlineStr">
        <is>
          <t>nan</t>
        </is>
      </c>
      <c r="P1538" s="6">
        <f>HYPERLINK("https://fin.land.naver.com/articles/2651570688", "매물Link")</f>
        <v/>
      </c>
      <c r="Q1538" s="6">
        <f>HYPERLINK("https://map.naver.com/p/search/조치원읍 침산리 166-57", "지도Link")</f>
        <v/>
      </c>
      <c r="R1538" s="6">
        <f>HYPERLINK("http://www.eum.go.kr/web/ar/lu/luLandDet.jsp?pnu=3611025028101660057&amp;isNoScr=script&amp;mode=search", "토지이음")</f>
        <v/>
      </c>
      <c r="S1538" s="3" t="inlineStr">
        <is>
          <t>여기로</t>
        </is>
      </c>
      <c r="T1538" s="4" t="n">
        <v>1</v>
      </c>
      <c r="U1538" s="5" t="n">
        <v>233.7</v>
      </c>
      <c r="V1538" s="4" t="n">
        <v>383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침산리 219-5</t>
        </is>
      </c>
      <c r="B1539" s="3" t="inlineStr">
        <is>
          <t>제1종일반주거지역</t>
        </is>
      </c>
      <c r="C1539" s="3" t="inlineStr">
        <is>
          <t>답</t>
        </is>
      </c>
      <c r="D1539" s="3" t="inlineStr">
        <is>
          <t>3</t>
        </is>
      </c>
      <c r="E1539" s="3" t="inlineStr">
        <is>
          <t>일반원룸</t>
        </is>
      </c>
      <c r="F1539" s="3" t="inlineStr">
        <is>
          <t>월세</t>
        </is>
      </c>
      <c r="G1539" s="4" t="n">
        <v>500</v>
      </c>
      <c r="H1539" s="4" t="n">
        <v>58</v>
      </c>
      <c r="I1539" s="4" t="n">
        <v>36</v>
      </c>
      <c r="J1539" s="4" t="n">
        <v>11</v>
      </c>
      <c r="K1539" s="5" t="n">
        <v>5.3</v>
      </c>
      <c r="L1539" s="4" t="n">
        <v>36</v>
      </c>
      <c r="M1539" s="4" t="n">
        <v>11</v>
      </c>
      <c r="N1539" s="5" t="n">
        <v>5.3</v>
      </c>
      <c r="O1539" s="3" t="inlineStr">
        <is>
          <t>투룸 침산리 하이마트근처 편의시설 많음</t>
        </is>
      </c>
      <c r="P1539" s="6">
        <f>HYPERLINK("https://fin.land.naver.com/articles/2650357638", "매물Link")</f>
        <v/>
      </c>
      <c r="Q1539" s="6">
        <f>HYPERLINK("https://map.naver.com/p/search/조치원읍 침산리 219-5", "지도Link")</f>
        <v/>
      </c>
      <c r="R1539" s="6">
        <f>HYPERLINK("http://www.eum.go.kr/web/ar/lu/luLandDet.jsp?pnu=3611025028102190005&amp;isNoScr=script&amp;mode=search",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210.2</v>
      </c>
      <c r="V1539" s="4" t="n">
        <v>380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자루형</t>
        </is>
      </c>
      <c r="AA1539" s="3" t="inlineStr">
        <is>
          <t>세로한면(가)</t>
        </is>
      </c>
    </row>
    <row r="1540">
      <c r="A1540" s="3" t="inlineStr">
        <is>
          <t>조치원읍 침산리 251-2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일반원룸</t>
        </is>
      </c>
      <c r="F1540" s="3" t="inlineStr">
        <is>
          <t>월세</t>
        </is>
      </c>
      <c r="G1540" s="4" t="n">
        <v>200</v>
      </c>
      <c r="H1540" s="4" t="n">
        <v>32</v>
      </c>
      <c r="I1540" s="4" t="n">
        <v>28</v>
      </c>
      <c r="J1540" s="4" t="n">
        <v>8</v>
      </c>
      <c r="K1540" s="5" t="n">
        <v>4</v>
      </c>
      <c r="L1540" s="4" t="n">
        <v>25</v>
      </c>
      <c r="M1540" s="4" t="n">
        <v>8</v>
      </c>
      <c r="N1540" s="5" t="n">
        <v>4</v>
      </c>
      <c r="O1540" s="3" t="inlineStr">
        <is>
          <t>분리형 원룸. 관리잘되는 원룸 입주하세요. 10월12일이후가능</t>
        </is>
      </c>
      <c r="P1540" s="6">
        <f>HYPERLINK("https://fin.land.naver.com/articles/2650462032", "매물Link")</f>
        <v/>
      </c>
      <c r="Q1540" s="6">
        <f>HYPERLINK("https://map.naver.com/p/search/조치원읍 침산리 251-2", "지도Link")</f>
        <v/>
      </c>
      <c r="R1540" s="6">
        <f>HYPERLINK("http://www.eum.go.kr/web/ar/lu/luLandDet.jsp?pnu=3611025028102510002&amp;isNoScr=script&amp;mode=search", "토지이음")</f>
        <v/>
      </c>
      <c r="S1540" s="3" t="inlineStr">
        <is>
          <t>이음</t>
        </is>
      </c>
      <c r="T1540" s="4" t="n">
        <v>1</v>
      </c>
      <c r="U1540" s="5" t="n">
        <v>526</v>
      </c>
      <c r="V1540" s="4" t="n">
        <v>271.1</v>
      </c>
      <c r="W1540" s="3" t="inlineStr">
        <is>
          <t>지정되지않음</t>
        </is>
      </c>
      <c r="X1540" s="3" t="inlineStr">
        <is>
          <t>주상기타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중로한면</t>
        </is>
      </c>
    </row>
    <row r="1541">
      <c r="A1541" s="3" t="inlineStr">
        <is>
          <t>조치원읍 침산리 251-2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200</v>
      </c>
      <c r="H1541" s="4" t="n">
        <v>32</v>
      </c>
      <c r="I1541" s="4" t="n">
        <v>39</v>
      </c>
      <c r="J1541" s="4" t="n">
        <v>12</v>
      </c>
      <c r="K1541" s="5" t="n">
        <v>2.7</v>
      </c>
      <c r="L1541" s="4" t="n">
        <v>26</v>
      </c>
      <c r="M1541" s="4" t="n">
        <v>8</v>
      </c>
      <c r="N1541" s="5" t="n">
        <v>4</v>
      </c>
      <c r="O1541" s="3" t="inlineStr">
        <is>
          <t>위치좋은.엘베있는.깨끗한 원룸입니다.</t>
        </is>
      </c>
      <c r="P1541" s="6">
        <f>HYPERLINK("https://fin.land.naver.com/articles/2654179966", "매물Link")</f>
        <v/>
      </c>
      <c r="Q1541" s="6">
        <f>HYPERLINK("https://map.naver.com/p/search/조치원읍 침산리 251-2", "지도Link")</f>
        <v/>
      </c>
      <c r="R1541" s="6">
        <f>HYPERLINK("http://www.eum.go.kr/web/ar/lu/luLandDet.jsp?pnu=3611025028102510002&amp;isNoScr=script&amp;mode=search", "토지이음")</f>
        <v/>
      </c>
      <c r="S1541" s="3" t="inlineStr">
        <is>
          <t>척척</t>
        </is>
      </c>
      <c r="T1541" s="4" t="n">
        <v>1</v>
      </c>
      <c r="U1541" s="5" t="n">
        <v>526</v>
      </c>
      <c r="V1541" s="4" t="n">
        <v>271.1</v>
      </c>
      <c r="W1541" s="3" t="inlineStr">
        <is>
          <t>지정되지않음</t>
        </is>
      </c>
      <c r="X1541" s="3" t="inlineStr">
        <is>
          <t>주상기타</t>
        </is>
      </c>
      <c r="Y1541" s="3" t="inlineStr">
        <is>
          <t>평지</t>
        </is>
      </c>
      <c r="Z1541" s="3" t="inlineStr">
        <is>
          <t>가로장방</t>
        </is>
      </c>
      <c r="AA1541" s="3" t="inlineStr">
        <is>
          <t>중로한면</t>
        </is>
      </c>
    </row>
    <row r="1542">
      <c r="A1542" s="3" t="inlineStr">
        <is>
          <t>조치원읍 침산리 251-4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19</v>
      </c>
      <c r="J1542" s="4" t="n">
        <v>6</v>
      </c>
      <c r="K1542" s="5" t="n">
        <v>5</v>
      </c>
      <c r="L1542" s="4" t="n">
        <v>13</v>
      </c>
      <c r="M1542" s="4" t="n">
        <v>4</v>
      </c>
      <c r="N1542" s="5" t="n">
        <v>7.5</v>
      </c>
      <c r="O1542" s="3" t="inlineStr">
        <is>
          <t>침산리 원룸 월세</t>
        </is>
      </c>
      <c r="P1542" s="6">
        <f>HYPERLINK("https://fin.land.naver.com/articles/2653989696", "매물Link")</f>
        <v/>
      </c>
      <c r="Q1542" s="6">
        <f>HYPERLINK("https://map.naver.com/p/search/조치원읍 침산리 251-4", "지도Link")</f>
        <v/>
      </c>
      <c r="R1542" s="6">
        <f>HYPERLINK("http://www.eum.go.kr/web/ar/lu/luLandDet.jsp?pnu=3611025028102510004&amp;isNoScr=script&amp;mode=search", "토지이음")</f>
        <v/>
      </c>
      <c r="S1542" s="3" t="inlineStr">
        <is>
          <t>김준희</t>
        </is>
      </c>
      <c r="T1542" s="4" t="n">
        <v>2</v>
      </c>
      <c r="U1542" s="5" t="n">
        <v>526</v>
      </c>
      <c r="V1542" s="4" t="n">
        <v>277.6</v>
      </c>
      <c r="W1542" s="3" t="inlineStr">
        <is>
          <t>지정되지않음</t>
        </is>
      </c>
      <c r="X1542" s="3" t="inlineStr">
        <is>
          <t>주상용</t>
        </is>
      </c>
      <c r="Y1542" s="3" t="inlineStr">
        <is>
          <t>평지</t>
        </is>
      </c>
      <c r="Z1542" s="3" t="inlineStr">
        <is>
          <t>가로장방</t>
        </is>
      </c>
      <c r="AA1542" s="3" t="inlineStr">
        <is>
          <t>중로한면</t>
        </is>
      </c>
    </row>
    <row r="1543">
      <c r="A1543" s="3" t="inlineStr">
        <is>
          <t>조치원읍 침산리 251-5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6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92000</v>
      </c>
      <c r="H1543" s="4" t="n">
        <v>0</v>
      </c>
      <c r="I1543" s="4" t="n">
        <v>167</v>
      </c>
      <c r="J1543" s="4" t="n">
        <v>51</v>
      </c>
      <c r="K1543" s="5" t="n">
        <v>1803.9</v>
      </c>
      <c r="L1543" s="4" t="n">
        <v>415</v>
      </c>
      <c r="M1543" s="4" t="n">
        <v>126</v>
      </c>
      <c r="N1543" s="5" t="n">
        <v>730.2</v>
      </c>
      <c r="O1543" s="3" t="inlineStr">
        <is>
          <t>nan</t>
        </is>
      </c>
      <c r="P1543" s="6">
        <f>HYPERLINK("https://fin.land.naver.com/articles/2654387726", "매물Link")</f>
        <v/>
      </c>
      <c r="Q1543" s="6">
        <f>HYPERLINK("https://map.naver.com/p/search/조치원읍 침산리 251-5", "지도Link")</f>
        <v/>
      </c>
      <c r="R1543" s="6">
        <f>HYPERLINK("http://www.eum.go.kr/web/ar/lu/luLandDet.jsp?pnu=3611025028102510005&amp;isNoScr=script&amp;mode=search", "토지이음")</f>
        <v/>
      </c>
      <c r="S1543" s="3" t="inlineStr">
        <is>
          <t>척척</t>
        </is>
      </c>
      <c r="T1543" s="4" t="n">
        <v>1</v>
      </c>
      <c r="U1543" s="5" t="n">
        <v>515.7</v>
      </c>
      <c r="V1543" s="4" t="n">
        <v>167.1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중로한면</t>
        </is>
      </c>
    </row>
    <row r="1544">
      <c r="A1544" s="3" t="inlineStr">
        <is>
          <t>조치원읍 침산리 252-8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월세</t>
        </is>
      </c>
      <c r="G1544" s="4" t="n">
        <v>200</v>
      </c>
      <c r="H1544" s="4" t="n">
        <v>27</v>
      </c>
      <c r="I1544" s="4" t="n">
        <v>26</v>
      </c>
      <c r="J1544" s="4" t="n">
        <v>8</v>
      </c>
      <c r="K1544" s="5" t="n">
        <v>3.4</v>
      </c>
      <c r="L1544" s="4" t="n">
        <v>26</v>
      </c>
      <c r="M1544" s="4" t="n">
        <v>8</v>
      </c>
      <c r="N1544" s="5" t="n">
        <v>3.4</v>
      </c>
      <c r="O1544" s="3" t="inlineStr">
        <is>
          <t>넒은 원룸이며, 조치원시장, 조치원역 옆에 위치하여 교통 편리</t>
        </is>
      </c>
      <c r="P1544" s="6">
        <f>HYPERLINK("https://fin.land.naver.com/articles/2655186237", "매물Link")</f>
        <v/>
      </c>
      <c r="Q1544" s="6">
        <f>HYPERLINK("https://map.naver.com/p/search/조치원읍 침산리 252-8", "지도Link")</f>
        <v/>
      </c>
      <c r="R1544" s="6">
        <f>HYPERLINK("http://www.eum.go.kr/web/ar/lu/luLandDet.jsp?pnu=3611025028102520008&amp;isNoScr=script&amp;mode=search", "토지이음")</f>
        <v/>
      </c>
      <c r="S1544" s="3" t="inlineStr">
        <is>
          <t>세종베스트</t>
        </is>
      </c>
      <c r="T1544" s="4" t="n">
        <v>1</v>
      </c>
      <c r="U1544" s="5" t="n">
        <v>286.8</v>
      </c>
      <c r="V1544" s="4" t="n">
        <v>348</v>
      </c>
      <c r="W1544" s="3" t="inlineStr">
        <is>
          <t>지정되지않음</t>
        </is>
      </c>
      <c r="X1544" s="3" t="inlineStr">
        <is>
          <t>주거기타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세로한면(가)</t>
        </is>
      </c>
    </row>
    <row r="1545">
      <c r="A1545" s="3" t="inlineStr">
        <is>
          <t>조치원읍 침산리 252-8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95000</v>
      </c>
      <c r="H1545" s="4" t="n">
        <v>0</v>
      </c>
      <c r="I1545" s="4" t="n">
        <v>348</v>
      </c>
      <c r="J1545" s="4" t="n">
        <v>105</v>
      </c>
      <c r="K1545" s="5" t="n">
        <v>904.8</v>
      </c>
      <c r="L1545" s="4" t="n">
        <v>489</v>
      </c>
      <c r="M1545" s="4" t="n">
        <v>148</v>
      </c>
      <c r="N1545" s="5" t="n">
        <v>641.9</v>
      </c>
      <c r="O1545" s="3" t="inlineStr">
        <is>
          <t>nan</t>
        </is>
      </c>
      <c r="P1545" s="6">
        <f>HYPERLINK("https://fin.land.naver.com/articles/2654393866", "매물Link")</f>
        <v/>
      </c>
      <c r="Q1545" s="6">
        <f>HYPERLINK("https://map.naver.com/p/search/조치원읍 침산리 252-8", "지도Link")</f>
        <v/>
      </c>
      <c r="R1545" s="6">
        <f>HYPERLINK("http://www.eum.go.kr/web/ar/lu/luLandDet.jsp?pnu=3611025028102520008&amp;isNoScr=script&amp;mode=search",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286.8</v>
      </c>
      <c r="V1545" s="4" t="n">
        <v>348</v>
      </c>
      <c r="W1545" s="3" t="inlineStr">
        <is>
          <t>지정되지않음</t>
        </is>
      </c>
      <c r="X1545" s="3" t="inlineStr">
        <is>
          <t>주거기타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세로한면(가)</t>
        </is>
      </c>
    </row>
    <row r="1546">
      <c r="A1546" s="3" t="inlineStr">
        <is>
          <t>조치원읍 침산리 254-1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월세</t>
        </is>
      </c>
      <c r="G1546" s="4" t="n">
        <v>500</v>
      </c>
      <c r="H1546" s="4" t="n">
        <v>42</v>
      </c>
      <c r="I1546" s="4" t="n">
        <v>0</v>
      </c>
      <c r="J1546" s="4" t="n">
        <v>0</v>
      </c>
      <c r="K1546" s="5" t="n">
        <v>0</v>
      </c>
      <c r="L1546" s="4" t="n">
        <v>26</v>
      </c>
      <c r="M1546" s="4" t="n">
        <v>8</v>
      </c>
      <c r="N1546" s="5" t="n">
        <v>5.2</v>
      </c>
      <c r="O1546" s="3" t="inlineStr">
        <is>
          <t>L조용한 위치 O투베이O 역3분</t>
        </is>
      </c>
      <c r="P1546" s="6">
        <f>HYPERLINK("https://fin.land.naver.com/articles/2651114575", "매물Link")</f>
        <v/>
      </c>
      <c r="Q1546" s="6">
        <f>HYPERLINK("https://map.naver.com/p/search/조치원읍 침산리 254-1", "지도Link")</f>
        <v/>
      </c>
      <c r="R1546" s="6">
        <f>HYPERLINK("http://www.eum.go.kr/web/ar/lu/luLandDet.jsp?pnu=3611025028102540001&amp;isNoScr=script&amp;mode=search", "토지이음")</f>
        <v/>
      </c>
      <c r="S1546" s="3" t="inlineStr">
        <is>
          <t>바다</t>
        </is>
      </c>
      <c r="T1546" s="4" t="n">
        <v>1</v>
      </c>
      <c r="U1546" s="5" t="n">
        <v>526.6</v>
      </c>
      <c r="V1546" s="4" t="n">
        <v>419.3</v>
      </c>
      <c r="W1546" s="3" t="inlineStr">
        <is>
          <t>지정되지않음</t>
        </is>
      </c>
      <c r="X1546" s="3" t="inlineStr">
        <is>
          <t>주상기타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중로각지</t>
        </is>
      </c>
    </row>
    <row r="1547">
      <c r="A1547" s="3" t="inlineStr">
        <is>
          <t>조치원읍 침산리 255-10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일반원룸</t>
        </is>
      </c>
      <c r="F1547" s="3" t="inlineStr">
        <is>
          <t>월세</t>
        </is>
      </c>
      <c r="G1547" s="4" t="n">
        <v>300</v>
      </c>
      <c r="H1547" s="4" t="n">
        <v>30</v>
      </c>
      <c r="I1547" s="4" t="n">
        <v>25</v>
      </c>
      <c r="J1547" s="4" t="n">
        <v>8</v>
      </c>
      <c r="K1547" s="5" t="n">
        <v>3.8</v>
      </c>
      <c r="L1547" s="4" t="n">
        <v>22</v>
      </c>
      <c r="M1547" s="4" t="n">
        <v>7</v>
      </c>
      <c r="N1547" s="5" t="n">
        <v>4.3</v>
      </c>
      <c r="O1547" s="3" t="inlineStr">
        <is>
          <t>nan</t>
        </is>
      </c>
      <c r="P1547" s="6">
        <f>HYPERLINK("https://fin.land.naver.com/articles/2652783653", "매물Link")</f>
        <v/>
      </c>
      <c r="Q1547" s="6">
        <f>HYPERLINK("https://map.naver.com/p/search/조치원읍 침산리 255-10", "지도Link")</f>
        <v/>
      </c>
      <c r="R1547" s="6">
        <f>HYPERLINK("http://www.eum.go.kr/web/ar/lu/luLandDet.jsp?pnu=3611025028102550010&amp;isNoScr=script&amp;mode=search", "토지이음")</f>
        <v/>
      </c>
      <c r="S1547" s="3" t="inlineStr">
        <is>
          <t>효자</t>
        </is>
      </c>
      <c r="T1547" s="4" t="n">
        <v>1</v>
      </c>
      <c r="U1547" s="5" t="n">
        <v>292.7</v>
      </c>
      <c r="V1547" s="4" t="n">
        <v>251.7</v>
      </c>
      <c r="W1547" s="3" t="inlineStr">
        <is>
          <t>지정되지않음</t>
        </is>
      </c>
      <c r="X1547" s="3" t="inlineStr">
        <is>
          <t>주거기타</t>
        </is>
      </c>
      <c r="Y1547" s="3" t="inlineStr">
        <is>
          <t>평지</t>
        </is>
      </c>
      <c r="Z1547" s="3" t="inlineStr">
        <is>
          <t>정방형</t>
        </is>
      </c>
      <c r="AA1547" s="3" t="inlineStr">
        <is>
          <t>세로한면(가)</t>
        </is>
      </c>
    </row>
    <row r="1548">
      <c r="A1548" s="3" t="inlineStr">
        <is>
          <t>조치원읍 침산리 255-12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36000</v>
      </c>
      <c r="H1548" s="4" t="n">
        <v>0</v>
      </c>
      <c r="I1548" s="4" t="n">
        <v>217</v>
      </c>
      <c r="J1548" s="4" t="n">
        <v>66</v>
      </c>
      <c r="K1548" s="5" t="n">
        <v>545.5</v>
      </c>
      <c r="L1548" s="4" t="n">
        <v>124</v>
      </c>
      <c r="M1548" s="4" t="n">
        <v>38</v>
      </c>
      <c r="N1548" s="5" t="n">
        <v>947.4</v>
      </c>
      <c r="O1548" s="3" t="inlineStr">
        <is>
          <t>단층 건물 매매</t>
        </is>
      </c>
      <c r="P1548" s="6">
        <f>HYPERLINK("https://fin.land.naver.com/articles/2653348337", "매물Link")</f>
        <v/>
      </c>
      <c r="Q1548" s="6">
        <f>HYPERLINK("https://map.naver.com/p/search/조치원읍 침산리 255-12", "지도Link")</f>
        <v/>
      </c>
      <c r="R1548" s="6">
        <f>HYPERLINK("http://www.eum.go.kr/web/ar/lu/luLandDet.jsp?pnu=3611025028102550012&amp;isNoScr=script&amp;mode=search", "토지이음")</f>
        <v/>
      </c>
      <c r="S1548" s="3" t="inlineStr">
        <is>
          <t>김준희</t>
        </is>
      </c>
      <c r="T1548" s="4" t="n">
        <v>1</v>
      </c>
      <c r="U1548" s="5" t="n">
        <v>292.7</v>
      </c>
      <c r="V1548" s="4" t="n">
        <v>217</v>
      </c>
      <c r="W1548" s="3" t="inlineStr">
        <is>
          <t>지정되지않음</t>
        </is>
      </c>
      <c r="X1548" s="3" t="inlineStr">
        <is>
          <t>주거기타</t>
        </is>
      </c>
      <c r="Y1548" s="3" t="inlineStr">
        <is>
          <t>평지</t>
        </is>
      </c>
      <c r="Z1548" s="3" t="inlineStr">
        <is>
          <t>정방형</t>
        </is>
      </c>
      <c r="AA1548" s="3" t="inlineStr">
        <is>
          <t>세로한면(가)</t>
        </is>
      </c>
    </row>
    <row r="1549">
      <c r="A1549" s="3" t="inlineStr">
        <is>
          <t>조치원읍 침산리 255-4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다가구</t>
        </is>
      </c>
      <c r="F1549" s="3" t="inlineStr">
        <is>
          <t>월세</t>
        </is>
      </c>
      <c r="G1549" s="4" t="n">
        <v>200</v>
      </c>
      <c r="H1549" s="4" t="n">
        <v>45</v>
      </c>
      <c r="I1549" s="4" t="n">
        <v>40</v>
      </c>
      <c r="J1549" s="4" t="n">
        <v>12</v>
      </c>
      <c r="K1549" s="5" t="n">
        <v>3.8</v>
      </c>
      <c r="L1549" s="4" t="n">
        <v>40</v>
      </c>
      <c r="M1549" s="4" t="n">
        <v>12</v>
      </c>
      <c r="N1549" s="5" t="n">
        <v>3.8</v>
      </c>
      <c r="O1549" s="3" t="inlineStr">
        <is>
          <t>에어컨2, 방2, 화장실2 즉시입주</t>
        </is>
      </c>
      <c r="P1549" s="6">
        <f>HYPERLINK("https://fin.land.naver.com/articles/2654860872", "매물Link")</f>
        <v/>
      </c>
      <c r="Q1549" s="6">
        <f>HYPERLINK("https://map.naver.com/p/search/조치원읍 침산리 255-4", "지도Link")</f>
        <v/>
      </c>
      <c r="R1549" s="6">
        <f>HYPERLINK("http://www.eum.go.kr/web/ar/lu/luLandDet.jsp?pnu=3611025028102550004&amp;isNoScr=script&amp;mode=search", "토지이음")</f>
        <v/>
      </c>
      <c r="S1549" s="3" t="inlineStr">
        <is>
          <t>상희</t>
        </is>
      </c>
      <c r="T1549" s="4" t="n">
        <v>2</v>
      </c>
      <c r="U1549" s="5" t="n">
        <v>289.8</v>
      </c>
      <c r="V1549" s="4" t="n">
        <v>216.9</v>
      </c>
      <c r="W1549" s="3" t="inlineStr">
        <is>
          <t>지정되지않음</t>
        </is>
      </c>
      <c r="X1549" s="3" t="inlineStr">
        <is>
          <t>주거기타</t>
        </is>
      </c>
      <c r="Y1549" s="3" t="inlineStr">
        <is>
          <t>평지</t>
        </is>
      </c>
      <c r="Z1549" s="3" t="inlineStr">
        <is>
          <t>정방형</t>
        </is>
      </c>
      <c r="AA1549" s="3" t="inlineStr">
        <is>
          <t>세로한면(가)</t>
        </is>
      </c>
    </row>
    <row r="1550">
      <c r="A1550" s="3" t="inlineStr">
        <is>
          <t>조치원읍 침산리 255-4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일반원룸</t>
        </is>
      </c>
      <c r="F1550" s="3" t="inlineStr">
        <is>
          <t>단기임대</t>
        </is>
      </c>
      <c r="G1550" s="4" t="n">
        <v>200</v>
      </c>
      <c r="H1550" s="4" t="n">
        <v>55</v>
      </c>
      <c r="I1550" s="4" t="n">
        <v>46</v>
      </c>
      <c r="J1550" s="4" t="n">
        <v>14</v>
      </c>
      <c r="K1550" s="5" t="n">
        <v>14.3</v>
      </c>
      <c r="L1550" s="4" t="n">
        <v>39</v>
      </c>
      <c r="M1550" s="4" t="n">
        <v>12</v>
      </c>
      <c r="N1550" s="5" t="n">
        <v>16.7</v>
      </c>
      <c r="O1550" s="3" t="inlineStr">
        <is>
          <t>2인숙소.6개월 단기계약가능.에어컨2개.화장실2개</t>
        </is>
      </c>
      <c r="P1550" s="6">
        <f>HYPERLINK("https://fin.land.naver.com/articles/2652556288", "매물Link")</f>
        <v/>
      </c>
      <c r="Q1550" s="6">
        <f>HYPERLINK("https://map.naver.com/p/search/조치원읍 침산리 255-4", "지도Link")</f>
        <v/>
      </c>
      <c r="R1550" s="6">
        <f>HYPERLINK("http://www.eum.go.kr/web/ar/lu/luLandDet.jsp?pnu=3611025028102550004&amp;isNoScr=script&amp;mode=search", "토지이음")</f>
        <v/>
      </c>
      <c r="S1550" s="3" t="inlineStr">
        <is>
          <t>척척</t>
        </is>
      </c>
      <c r="T1550" s="4" t="n">
        <v>1</v>
      </c>
      <c r="U1550" s="5" t="n">
        <v>289.8</v>
      </c>
      <c r="V1550" s="4" t="n">
        <v>216.9</v>
      </c>
      <c r="W1550" s="3" t="inlineStr">
        <is>
          <t>지정되지않음</t>
        </is>
      </c>
      <c r="X1550" s="3" t="inlineStr">
        <is>
          <t>주거기타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침산리 255-4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200</v>
      </c>
      <c r="H1551" s="4" t="n">
        <v>45</v>
      </c>
      <c r="I1551" s="4" t="n">
        <v>46</v>
      </c>
      <c r="J1551" s="4" t="n">
        <v>14</v>
      </c>
      <c r="K1551" s="5" t="n">
        <v>3.2</v>
      </c>
      <c r="L1551" s="4" t="n">
        <v>39</v>
      </c>
      <c r="M1551" s="4" t="n">
        <v>12</v>
      </c>
      <c r="N1551" s="5" t="n">
        <v>3.8</v>
      </c>
      <c r="O1551" s="3" t="inlineStr">
        <is>
          <t>원룸 2개구조. 2인숙소 강추.</t>
        </is>
      </c>
      <c r="P1551" s="6">
        <f>HYPERLINK("https://fin.land.naver.com/articles/2655630145", "매물Link")</f>
        <v/>
      </c>
      <c r="Q1551" s="6">
        <f>HYPERLINK("https://map.naver.com/p/search/조치원읍 침산리 255-4", "지도Link")</f>
        <v/>
      </c>
      <c r="R1551" s="6">
        <f>HYPERLINK("http://www.eum.go.kr/web/ar/lu/luLandDet.jsp?pnu=3611025028102550004&amp;isNoScr=script&amp;mode=search", "토지이음")</f>
        <v/>
      </c>
      <c r="S1551" s="3" t="inlineStr">
        <is>
          <t>척척</t>
        </is>
      </c>
      <c r="T1551" s="4" t="n">
        <v>1</v>
      </c>
      <c r="U1551" s="5" t="n">
        <v>289.8</v>
      </c>
      <c r="V1551" s="4" t="n">
        <v>216.9</v>
      </c>
      <c r="W1551" s="3" t="inlineStr">
        <is>
          <t>지정되지않음</t>
        </is>
      </c>
      <c r="X1551" s="3" t="inlineStr">
        <is>
          <t>주거기타</t>
        </is>
      </c>
      <c r="Y1551" s="3" t="inlineStr">
        <is>
          <t>평지</t>
        </is>
      </c>
      <c r="Z1551" s="3" t="inlineStr">
        <is>
          <t>정방형</t>
        </is>
      </c>
      <c r="AA1551" s="3" t="inlineStr">
        <is>
          <t>세로한면(가)</t>
        </is>
      </c>
    </row>
    <row r="1552">
      <c r="A1552" s="3" t="inlineStr">
        <is>
          <t>조치원읍 침산리 255-4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3</t>
        </is>
      </c>
      <c r="E1552" s="3" t="inlineStr">
        <is>
          <t>일반원룸</t>
        </is>
      </c>
      <c r="F1552" s="3" t="inlineStr">
        <is>
          <t>월세</t>
        </is>
      </c>
      <c r="G1552" s="4" t="n">
        <v>200</v>
      </c>
      <c r="H1552" s="4" t="n">
        <v>45</v>
      </c>
      <c r="I1552" s="4" t="n">
        <v>0</v>
      </c>
      <c r="J1552" s="4" t="n">
        <v>0</v>
      </c>
      <c r="K1552" s="5" t="n">
        <v>0</v>
      </c>
      <c r="L1552" s="4" t="n">
        <v>33</v>
      </c>
      <c r="M1552" s="4" t="n">
        <v>10</v>
      </c>
      <c r="N1552" s="5" t="n">
        <v>4.5</v>
      </c>
      <c r="O1552" s="3" t="inlineStr">
        <is>
          <t>화장실2개 에어컨 2개    2룸</t>
        </is>
      </c>
      <c r="P1552" s="6">
        <f>HYPERLINK("https://fin.land.naver.com/articles/2654835006", "매물Link")</f>
        <v/>
      </c>
      <c r="Q1552" s="6">
        <f>HYPERLINK("https://map.naver.com/p/search/조치원읍 침산리 255-4", "지도Link")</f>
        <v/>
      </c>
      <c r="R1552" s="6">
        <f>HYPERLINK("http://www.eum.go.kr/web/ar/lu/luLandDet.jsp?pnu=3611025028102550004&amp;isNoScr=script&amp;mode=search", "토지이음")</f>
        <v/>
      </c>
      <c r="S1552" s="3" t="inlineStr">
        <is>
          <t>척척</t>
        </is>
      </c>
      <c r="T1552" s="4" t="n">
        <v>1</v>
      </c>
      <c r="U1552" s="5" t="n">
        <v>289.8</v>
      </c>
      <c r="V1552" s="4" t="n">
        <v>216.9</v>
      </c>
      <c r="W1552" s="3" t="inlineStr">
        <is>
          <t>지정되지않음</t>
        </is>
      </c>
      <c r="X1552" s="3" t="inlineStr">
        <is>
          <t>주거기타</t>
        </is>
      </c>
      <c r="Y1552" s="3" t="inlineStr">
        <is>
          <t>평지</t>
        </is>
      </c>
      <c r="Z1552" s="3" t="inlineStr">
        <is>
          <t>정방형</t>
        </is>
      </c>
      <c r="AA1552" s="3" t="inlineStr">
        <is>
          <t>세로한면(가)</t>
        </is>
      </c>
    </row>
    <row r="1553">
      <c r="A1553" s="3" t="inlineStr">
        <is>
          <t>조치원읍 침산리 256-11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일반원룸</t>
        </is>
      </c>
      <c r="F1553" s="3" t="inlineStr">
        <is>
          <t>전세</t>
        </is>
      </c>
      <c r="G1553" s="4" t="n">
        <v>5000</v>
      </c>
      <c r="H1553" s="4" t="n">
        <v>0</v>
      </c>
      <c r="I1553" s="4" t="n">
        <v>20</v>
      </c>
      <c r="J1553" s="4" t="n">
        <v>6</v>
      </c>
      <c r="K1553" s="5" t="n">
        <v>833.3</v>
      </c>
      <c r="L1553" s="4" t="n">
        <v>20</v>
      </c>
      <c r="M1553" s="4" t="n">
        <v>6</v>
      </c>
      <c r="N1553" s="5" t="n">
        <v>833.3</v>
      </c>
      <c r="O1553" s="3" t="inlineStr">
        <is>
          <t>침산리 원룸 전세 깨끗한 원룸</t>
        </is>
      </c>
      <c r="P1553" s="6">
        <f>HYPERLINK("https://fin.land.naver.com/articles/2653345415", "매물Link")</f>
        <v/>
      </c>
      <c r="Q1553" s="6">
        <f>HYPERLINK("https://map.naver.com/p/search/조치원읍 침산리 256-11", "지도Link")</f>
        <v/>
      </c>
      <c r="R1553" s="6">
        <f>HYPERLINK("http://www.eum.go.kr/web/ar/lu/luLandDet.jsp?pnu=3611025028102560011&amp;isNoScr=script&amp;mode=search", "토지이음")</f>
        <v/>
      </c>
      <c r="S1553" s="3" t="inlineStr">
        <is>
          <t>김준희</t>
        </is>
      </c>
      <c r="T1553" s="4" t="n">
        <v>1</v>
      </c>
      <c r="U1553" s="5" t="n">
        <v>633.1</v>
      </c>
      <c r="V1553" s="4" t="n">
        <v>215.4</v>
      </c>
      <c r="W1553" s="3" t="inlineStr">
        <is>
          <t>지정되지않음</t>
        </is>
      </c>
      <c r="X1553" s="3" t="inlineStr">
        <is>
          <t>상업용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중로각지</t>
        </is>
      </c>
    </row>
    <row r="1554">
      <c r="A1554" s="3" t="inlineStr">
        <is>
          <t>조치원읍 침산리 256-11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4</t>
        </is>
      </c>
      <c r="E1554" s="3" t="inlineStr">
        <is>
          <t>일반원룸</t>
        </is>
      </c>
      <c r="F1554" s="3" t="inlineStr">
        <is>
          <t>월세</t>
        </is>
      </c>
      <c r="G1554" s="4" t="n">
        <v>200</v>
      </c>
      <c r="H1554" s="4" t="n">
        <v>30</v>
      </c>
      <c r="I1554" s="4" t="n">
        <v>20</v>
      </c>
      <c r="J1554" s="4" t="n">
        <v>6</v>
      </c>
      <c r="K1554" s="5" t="n">
        <v>5</v>
      </c>
      <c r="L1554" s="4" t="n">
        <v>20</v>
      </c>
      <c r="M1554" s="4" t="n">
        <v>6</v>
      </c>
      <c r="N1554" s="5" t="n">
        <v>5</v>
      </c>
      <c r="O1554" s="3" t="inlineStr">
        <is>
          <t>단기가능 깨끗한 풀옵션 원룸 남향</t>
        </is>
      </c>
      <c r="P1554" s="6">
        <f>HYPERLINK("https://fin.land.naver.com/articles/2653345126", "매물Link")</f>
        <v/>
      </c>
      <c r="Q1554" s="6">
        <f>HYPERLINK("https://map.naver.com/p/search/조치원읍 침산리 256-11", "지도Link")</f>
        <v/>
      </c>
      <c r="R1554" s="6">
        <f>HYPERLINK("http://www.eum.go.kr/web/ar/lu/luLandDet.jsp?pnu=3611025028102560011&amp;isNoScr=script&amp;mode=search", "토지이음")</f>
        <v/>
      </c>
      <c r="S1554" s="3" t="inlineStr">
        <is>
          <t>김준희</t>
        </is>
      </c>
      <c r="T1554" s="4" t="n">
        <v>1</v>
      </c>
      <c r="U1554" s="5" t="n">
        <v>633.1</v>
      </c>
      <c r="V1554" s="4" t="n">
        <v>215.4</v>
      </c>
      <c r="W1554" s="3" t="inlineStr">
        <is>
          <t>지정되지않음</t>
        </is>
      </c>
      <c r="X1554" s="3" t="inlineStr">
        <is>
          <t>상업용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중로각지</t>
        </is>
      </c>
    </row>
    <row r="1555">
      <c r="A1555" s="3" t="inlineStr">
        <is>
          <t>조치원읍 침산리 256-11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월세</t>
        </is>
      </c>
      <c r="G1555" s="4" t="n">
        <v>200</v>
      </c>
      <c r="H1555" s="4" t="n">
        <v>30</v>
      </c>
      <c r="I1555" s="4" t="n">
        <v>26</v>
      </c>
      <c r="J1555" s="4" t="n">
        <v>8</v>
      </c>
      <c r="K1555" s="5" t="n">
        <v>3.8</v>
      </c>
      <c r="L1555" s="4" t="n">
        <v>26</v>
      </c>
      <c r="M1555" s="4" t="n">
        <v>8</v>
      </c>
      <c r="N1555" s="5" t="n">
        <v>3.8</v>
      </c>
      <c r="O1555" s="3" t="inlineStr">
        <is>
          <t>침산리 월세 풀옵션</t>
        </is>
      </c>
      <c r="P1555" s="6">
        <f>HYPERLINK("https://fin.land.naver.com/articles/2652539762", "매물Link")</f>
        <v/>
      </c>
      <c r="Q1555" s="6">
        <f>HYPERLINK("https://map.naver.com/p/search/조치원읍 침산리 256-11", "지도Link")</f>
        <v/>
      </c>
      <c r="R1555" s="6">
        <f>HYPERLINK("http://www.eum.go.kr/web/ar/lu/luLandDet.jsp?pnu=3611025028102560011&amp;isNoScr=script&amp;mode=search", "토지이음")</f>
        <v/>
      </c>
      <c r="S1555" s="3" t="inlineStr">
        <is>
          <t>김준희</t>
        </is>
      </c>
      <c r="T1555" s="4" t="n">
        <v>1</v>
      </c>
      <c r="U1555" s="5" t="n">
        <v>633.1</v>
      </c>
      <c r="V1555" s="4" t="n">
        <v>215.4</v>
      </c>
      <c r="W1555" s="3" t="inlineStr">
        <is>
          <t>지정되지않음</t>
        </is>
      </c>
      <c r="X1555" s="3" t="inlineStr">
        <is>
          <t>상업용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중로각지</t>
        </is>
      </c>
    </row>
    <row r="1556">
      <c r="A1556" s="3" t="inlineStr">
        <is>
          <t>조치원읍 침산리 257-10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153000</v>
      </c>
      <c r="H1556" s="4" t="n">
        <v>0</v>
      </c>
      <c r="I1556" s="4" t="n">
        <v>336</v>
      </c>
      <c r="J1556" s="4" t="n">
        <v>102</v>
      </c>
      <c r="K1556" s="5" t="n">
        <v>1500</v>
      </c>
      <c r="L1556" s="4" t="n">
        <v>567</v>
      </c>
      <c r="M1556" s="4" t="n">
        <v>172</v>
      </c>
      <c r="N1556" s="5" t="n">
        <v>889.5</v>
      </c>
      <c r="O1556" s="3" t="inlineStr">
        <is>
          <t>nan</t>
        </is>
      </c>
      <c r="P1556" s="6">
        <f>HYPERLINK("https://fin.land.naver.com/articles/2654386653", "매물Link")</f>
        <v/>
      </c>
      <c r="Q1556" s="6">
        <f>HYPERLINK("https://map.naver.com/p/search/조치원읍 침산리 257-10", "지도Link")</f>
        <v/>
      </c>
      <c r="R1556" s="6">
        <f>HYPERLINK("http://www.eum.go.kr/web/ar/lu/luLandDet.jsp?pnu=3611025028102570010&amp;isNoScr=script&amp;mode=search", "토지이음")</f>
        <v/>
      </c>
      <c r="S1556" s="3" t="inlineStr">
        <is>
          <t>척척</t>
        </is>
      </c>
      <c r="T1556" s="4" t="n">
        <v>1</v>
      </c>
      <c r="U1556" s="5" t="n">
        <v>339.8</v>
      </c>
      <c r="V1556" s="4" t="n">
        <v>336.7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정방형</t>
        </is>
      </c>
      <c r="AA1556" s="3" t="inlineStr">
        <is>
          <t>소로한면</t>
        </is>
      </c>
    </row>
    <row r="1557">
      <c r="A1557" s="3" t="inlineStr">
        <is>
          <t>조치원읍 침산리 257-15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5</t>
        </is>
      </c>
      <c r="E1557" s="3" t="inlineStr">
        <is>
          <t>일반원룸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0</v>
      </c>
      <c r="J1557" s="4" t="n">
        <v>0</v>
      </c>
      <c r="K1557" s="5" t="n">
        <v>0</v>
      </c>
      <c r="L1557" s="4" t="n">
        <v>26</v>
      </c>
      <c r="M1557" s="4" t="n">
        <v>8</v>
      </c>
      <c r="N1557" s="5" t="n">
        <v>4.4</v>
      </c>
      <c r="O1557" s="3" t="inlineStr">
        <is>
          <t>L 엘베. 역3분. 넓은룸. 위치최고</t>
        </is>
      </c>
      <c r="P1557" s="6">
        <f>HYPERLINK("https://fin.land.naver.com/articles/2651114560", "매물Link")</f>
        <v/>
      </c>
      <c r="Q1557" s="6">
        <f>HYPERLINK("https://map.naver.com/p/search/조치원읍 침산리 257-15", "지도Link")</f>
        <v/>
      </c>
      <c r="R1557" s="6">
        <f>HYPERLINK("http://www.eum.go.kr/web/ar/lu/luLandDet.jsp?pnu=3611025028102570015&amp;isNoScr=script&amp;mode=search", "토지이음")</f>
        <v/>
      </c>
      <c r="S1557" s="3" t="inlineStr">
        <is>
          <t>바다</t>
        </is>
      </c>
      <c r="T1557" s="4" t="n">
        <v>1</v>
      </c>
      <c r="U1557" s="5" t="n">
        <v>336.2</v>
      </c>
      <c r="V1557" s="4" t="n">
        <v>226.4</v>
      </c>
      <c r="W1557" s="3" t="inlineStr">
        <is>
          <t>지정되지않음</t>
        </is>
      </c>
      <c r="X1557" s="3" t="inlineStr">
        <is>
          <t>주상용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소로한면</t>
        </is>
      </c>
    </row>
    <row r="1558">
      <c r="A1558" s="3" t="inlineStr">
        <is>
          <t>조치원읍 침산리 257-15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일반원룸</t>
        </is>
      </c>
      <c r="F1558" s="3" t="inlineStr">
        <is>
          <t>월세</t>
        </is>
      </c>
      <c r="G1558" s="4" t="n">
        <v>200</v>
      </c>
      <c r="H1558" s="4" t="n">
        <v>33</v>
      </c>
      <c r="I1558" s="4" t="n">
        <v>39</v>
      </c>
      <c r="J1558" s="4" t="n">
        <v>12</v>
      </c>
      <c r="K1558" s="5" t="n">
        <v>2.8</v>
      </c>
      <c r="L1558" s="4" t="n">
        <v>26</v>
      </c>
      <c r="M1558" s="4" t="n">
        <v>8</v>
      </c>
      <c r="N1558" s="5" t="n">
        <v>4.1</v>
      </c>
      <c r="O1558" s="3" t="inlineStr">
        <is>
          <t>남향넓은원룸.엘리베이터있는 건물.전자제품 옵션</t>
        </is>
      </c>
      <c r="P1558" s="6">
        <f>HYPERLINK("https://fin.land.naver.com/articles/2655635294", "매물Link")</f>
        <v/>
      </c>
      <c r="Q1558" s="6">
        <f>HYPERLINK("https://map.naver.com/p/search/조치원읍 침산리 257-15", "지도Link")</f>
        <v/>
      </c>
      <c r="R1558" s="6">
        <f>HYPERLINK("http://www.eum.go.kr/web/ar/lu/luLandDet.jsp?pnu=3611025028102570015&amp;isNoScr=script&amp;mode=search", "토지이음")</f>
        <v/>
      </c>
      <c r="S1558" s="3" t="inlineStr">
        <is>
          <t>척척</t>
        </is>
      </c>
      <c r="T1558" s="4" t="n">
        <v>1</v>
      </c>
      <c r="U1558" s="5" t="n">
        <v>336.2</v>
      </c>
      <c r="V1558" s="4" t="n">
        <v>226.4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세로장방</t>
        </is>
      </c>
      <c r="AA1558" s="3" t="inlineStr">
        <is>
          <t>소로한면</t>
        </is>
      </c>
    </row>
    <row r="1559">
      <c r="A1559" s="3" t="inlineStr">
        <is>
          <t>조치원읍 침산리 257-15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5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38</v>
      </c>
      <c r="I1559" s="4" t="n">
        <v>42</v>
      </c>
      <c r="J1559" s="4" t="n">
        <v>13</v>
      </c>
      <c r="K1559" s="5" t="n">
        <v>2.9</v>
      </c>
      <c r="L1559" s="4" t="n">
        <v>36</v>
      </c>
      <c r="M1559" s="4" t="n">
        <v>11</v>
      </c>
      <c r="N1559" s="5" t="n">
        <v>3.5</v>
      </c>
      <c r="O1559" s="3" t="inlineStr">
        <is>
          <t>1.5룸.엘리베이터있는 건물.전자제품 옵션</t>
        </is>
      </c>
      <c r="P1559" s="6">
        <f>HYPERLINK("https://fin.land.naver.com/articles/2655626856", "매물Link")</f>
        <v/>
      </c>
      <c r="Q1559" s="6">
        <f>HYPERLINK("https://map.naver.com/p/search/조치원읍 침산리 257-15", "지도Link")</f>
        <v/>
      </c>
      <c r="R1559" s="6">
        <f>HYPERLINK("http://www.eum.go.kr/web/ar/lu/luLandDet.jsp?pnu=3611025028102570015&amp;isNoScr=script&amp;mode=search",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336.2</v>
      </c>
      <c r="V1559" s="4" t="n">
        <v>226.4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세로장방</t>
        </is>
      </c>
      <c r="AA1559" s="3" t="inlineStr">
        <is>
          <t>소로한면</t>
        </is>
      </c>
    </row>
    <row r="1560">
      <c r="A1560" s="3" t="inlineStr">
        <is>
          <t>조치원읍 침산리 257-8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200</v>
      </c>
      <c r="H1560" s="4" t="n">
        <v>30</v>
      </c>
      <c r="I1560" s="4" t="n">
        <v>23</v>
      </c>
      <c r="J1560" s="4" t="n">
        <v>7</v>
      </c>
      <c r="K1560" s="5" t="n">
        <v>4.3</v>
      </c>
      <c r="L1560" s="4" t="n">
        <v>23</v>
      </c>
      <c r="M1560" s="4" t="n">
        <v>7</v>
      </c>
      <c r="N1560" s="5" t="n">
        <v>4.3</v>
      </c>
      <c r="O1560" s="3" t="inlineStr">
        <is>
          <t>침산리 원룸 월세 즉시입주 단기가능</t>
        </is>
      </c>
      <c r="P1560" s="6">
        <f>HYPERLINK("https://fin.land.naver.com/articles/2652373282", "매물Link")</f>
        <v/>
      </c>
      <c r="Q1560" s="6">
        <f>HYPERLINK("https://map.naver.com/p/search/조치원읍 침산리 257-8", "지도Link")</f>
        <v/>
      </c>
      <c r="R1560" s="6">
        <f>HYPERLINK("http://www.eum.go.kr/web/ar/lu/luLandDet.jsp?pnu=3611025028102570008&amp;isNoScr=script&amp;mode=search", "토지이음")</f>
        <v/>
      </c>
      <c r="S1560" s="3" t="inlineStr">
        <is>
          <t>김준희</t>
        </is>
      </c>
      <c r="T1560" s="4" t="n">
        <v>1</v>
      </c>
      <c r="U1560" s="5" t="n">
        <v>412.6</v>
      </c>
      <c r="V1560" s="4" t="n">
        <v>292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정방형</t>
        </is>
      </c>
      <c r="AA1560" s="3" t="inlineStr">
        <is>
          <t>세로각지(가)</t>
        </is>
      </c>
    </row>
    <row r="1561">
      <c r="A1561" s="3" t="inlineStr">
        <is>
          <t>조치원읍 침산리 258-1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100</v>
      </c>
      <c r="H1561" s="4" t="n">
        <v>27</v>
      </c>
      <c r="I1561" s="4" t="n">
        <v>19</v>
      </c>
      <c r="J1561" s="4" t="n">
        <v>6</v>
      </c>
      <c r="K1561" s="5" t="n">
        <v>4.5</v>
      </c>
      <c r="L1561" s="4" t="n">
        <v>19</v>
      </c>
      <c r="M1561" s="4" t="n">
        <v>6</v>
      </c>
      <c r="N1561" s="5" t="n">
        <v>4.5</v>
      </c>
      <c r="O1561" s="3" t="inlineStr">
        <is>
          <t>분리형 원룸</t>
        </is>
      </c>
      <c r="P1561" s="6">
        <f>HYPERLINK("https://fin.land.naver.com/articles/2653260357", "매물Link")</f>
        <v/>
      </c>
      <c r="Q1561" s="6">
        <f>HYPERLINK("https://map.naver.com/p/search/조치원읍 침산리 258-1", "지도Link")</f>
        <v/>
      </c>
      <c r="R1561" s="6">
        <f>HYPERLINK("http://www.eum.go.kr/web/ar/lu/luLandDet.jsp?pnu=3611025028102580001&amp;isNoScr=script&amp;mode=search", "토지이음")</f>
        <v/>
      </c>
      <c r="S1561" s="3" t="inlineStr">
        <is>
          <t>골드</t>
        </is>
      </c>
      <c r="T1561" s="4" t="n">
        <v>1</v>
      </c>
      <c r="U1561" s="5" t="n">
        <v>346.8</v>
      </c>
      <c r="V1561" s="4" t="n">
        <v>237.5</v>
      </c>
      <c r="W1561" s="3" t="inlineStr">
        <is>
          <t>지정되지않음</t>
        </is>
      </c>
      <c r="X1561" s="3" t="inlineStr">
        <is>
          <t>주상기타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소로각지</t>
        </is>
      </c>
    </row>
    <row r="1562">
      <c r="A1562" s="3" t="inlineStr">
        <is>
          <t>조치원읍 침산리 258-7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2</t>
        </is>
      </c>
      <c r="E1562" s="3" t="inlineStr">
        <is>
          <t>다가구</t>
        </is>
      </c>
      <c r="F1562" s="3" t="inlineStr">
        <is>
          <t>월세</t>
        </is>
      </c>
      <c r="G1562" s="4" t="n">
        <v>200</v>
      </c>
      <c r="H1562" s="4" t="n">
        <v>31</v>
      </c>
      <c r="I1562" s="4" t="n">
        <v>23</v>
      </c>
      <c r="J1562" s="4" t="n">
        <v>7</v>
      </c>
      <c r="K1562" s="5" t="n">
        <v>4.4</v>
      </c>
      <c r="L1562" s="4" t="n">
        <v>23</v>
      </c>
      <c r="M1562" s="4" t="n">
        <v>7</v>
      </c>
      <c r="N1562" s="5" t="n">
        <v>4.4</v>
      </c>
      <c r="O1562" s="3" t="inlineStr">
        <is>
          <t>분리형 원룸이며, 조치원시장, 조치원역 옆에 위치하여 교통 편리</t>
        </is>
      </c>
      <c r="P1562" s="6">
        <f>HYPERLINK("https://fin.land.naver.com/articles/2653988879", "매물Link")</f>
        <v/>
      </c>
      <c r="Q1562" s="6">
        <f>HYPERLINK("https://map.naver.com/p/search/조치원읍 침산리 258-7", "지도Link")</f>
        <v/>
      </c>
      <c r="R1562" s="6">
        <f>HYPERLINK("http://www.eum.go.kr/web/ar/lu/luLandDet.jsp?pnu=3611025028102580007&amp;isNoScr=script&amp;mode=search", "토지이음")</f>
        <v/>
      </c>
      <c r="S1562" s="3" t="inlineStr">
        <is>
          <t>세종베스트</t>
        </is>
      </c>
      <c r="T1562" s="4" t="n">
        <v>1</v>
      </c>
      <c r="U1562" s="5" t="n">
        <v>286.5</v>
      </c>
      <c r="V1562" s="4" t="n">
        <v>328.6</v>
      </c>
      <c r="W1562" s="3" t="inlineStr">
        <is>
          <t>지정되지않음</t>
        </is>
      </c>
      <c r="X1562" s="3" t="inlineStr">
        <is>
          <t>주상기타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세로한면(가)</t>
        </is>
      </c>
    </row>
    <row r="1563">
      <c r="A1563" s="3" t="inlineStr">
        <is>
          <t>조치원읍 침산리 258-7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일반원룸</t>
        </is>
      </c>
      <c r="F1563" s="3" t="inlineStr">
        <is>
          <t>월세</t>
        </is>
      </c>
      <c r="G1563" s="4" t="n">
        <v>200</v>
      </c>
      <c r="H1563" s="4" t="n">
        <v>32</v>
      </c>
      <c r="I1563" s="4" t="n">
        <v>0</v>
      </c>
      <c r="J1563" s="4" t="n">
        <v>0</v>
      </c>
      <c r="K1563" s="5" t="n">
        <v>0</v>
      </c>
      <c r="L1563" s="4" t="n">
        <v>21</v>
      </c>
      <c r="M1563" s="4" t="n">
        <v>6</v>
      </c>
      <c r="N1563" s="5" t="n">
        <v>5.3</v>
      </c>
      <c r="O1563" s="3" t="inlineStr">
        <is>
          <t>인기좋은  풀옵션완비방   엘베설치   바로입주  주차편함 조치원역5분</t>
        </is>
      </c>
      <c r="P1563" s="6">
        <f>HYPERLINK("https://fin.land.naver.com/articles/2655128295", "매물Link")</f>
        <v/>
      </c>
      <c r="Q1563" s="6">
        <f>HYPERLINK("https://map.naver.com/p/search/조치원읍 침산리 258-7", "지도Link")</f>
        <v/>
      </c>
      <c r="R1563" s="6">
        <f>HYPERLINK("http://www.eum.go.kr/web/ar/lu/luLandDet.jsp?pnu=3611025028102580007&amp;isNoScr=script&amp;mode=search", "토지이음")</f>
        <v/>
      </c>
      <c r="S1563" s="3" t="inlineStr">
        <is>
          <t>연서으뜸</t>
        </is>
      </c>
      <c r="T1563" s="4" t="n">
        <v>1</v>
      </c>
      <c r="U1563" s="5" t="n">
        <v>286.5</v>
      </c>
      <c r="V1563" s="4" t="n">
        <v>328.6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세로한면(가)</t>
        </is>
      </c>
    </row>
    <row r="1564">
      <c r="A1564" s="3" t="inlineStr">
        <is>
          <t>조치원읍 침산리 264-3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월세</t>
        </is>
      </c>
      <c r="G1564" s="4" t="n">
        <v>1000</v>
      </c>
      <c r="H1564" s="4" t="n">
        <v>70</v>
      </c>
      <c r="I1564" s="4" t="n">
        <v>115</v>
      </c>
      <c r="J1564" s="4" t="n">
        <v>35</v>
      </c>
      <c r="K1564" s="5" t="n">
        <v>2</v>
      </c>
      <c r="L1564" s="4" t="n">
        <v>115</v>
      </c>
      <c r="M1564" s="4" t="n">
        <v>35</v>
      </c>
      <c r="N1564" s="5" t="n">
        <v>2</v>
      </c>
      <c r="O1564" s="3" t="inlineStr">
        <is>
          <t>nan</t>
        </is>
      </c>
      <c r="P1564" s="6">
        <f>HYPERLINK("https://fin.land.naver.com/articles/2655166694", "매물Link")</f>
        <v/>
      </c>
      <c r="Q1564" s="6">
        <f>HYPERLINK("https://map.naver.com/p/search/조치원읍 침산리 264-3", "지도Link")</f>
        <v/>
      </c>
      <c r="R1564" s="6">
        <f>HYPERLINK("http://www.eum.go.kr/web/ar/lu/luLandDet.jsp?pnu=3611025028102640003&amp;isNoScr=script&amp;mode=search", "토지이음")</f>
        <v/>
      </c>
      <c r="S1564" s="3" t="inlineStr">
        <is>
          <t>상희</t>
        </is>
      </c>
      <c r="T1564" s="4" t="n">
        <v>1</v>
      </c>
      <c r="U1564" s="5" t="n">
        <v>376.9</v>
      </c>
      <c r="V1564" s="4" t="n">
        <v>260.7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정방형</t>
        </is>
      </c>
      <c r="AA1564" s="3" t="inlineStr">
        <is>
          <t>세로한면(가)</t>
        </is>
      </c>
    </row>
    <row r="1565">
      <c r="A1565" s="3" t="inlineStr">
        <is>
          <t>조치원읍 침산리 265-11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2</t>
        </is>
      </c>
      <c r="E1565" s="3" t="inlineStr">
        <is>
          <t>일반원룸</t>
        </is>
      </c>
      <c r="F1565" s="3" t="inlineStr">
        <is>
          <t>월세</t>
        </is>
      </c>
      <c r="G1565" s="4" t="n">
        <v>200</v>
      </c>
      <c r="H1565" s="4" t="n">
        <v>28</v>
      </c>
      <c r="I1565" s="4" t="n">
        <v>0</v>
      </c>
      <c r="J1565" s="4" t="n">
        <v>0</v>
      </c>
      <c r="K1565" s="5" t="n">
        <v>0</v>
      </c>
      <c r="L1565" s="4" t="n">
        <v>23</v>
      </c>
      <c r="M1565" s="4" t="n">
        <v>7</v>
      </c>
      <c r="N1565" s="5" t="n">
        <v>4</v>
      </c>
      <c r="O1565" s="3" t="inlineStr">
        <is>
          <t>nan</t>
        </is>
      </c>
      <c r="P1565" s="6">
        <f>HYPERLINK("https://fin.land.naver.com/articles/2654006401", "매물Link")</f>
        <v/>
      </c>
      <c r="Q1565" s="6">
        <f>HYPERLINK("https://map.naver.com/p/search/조치원읍 침산리 265-11", "지도Link")</f>
        <v/>
      </c>
      <c r="R1565" s="6">
        <f>HYPERLINK("http://www.eum.go.kr/web/ar/lu/luLandDet.jsp?pnu=3611025028102650011&amp;isNoScr=script&amp;mode=search",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415.5</v>
      </c>
      <c r="V1565" s="4" t="n">
        <v>190.7</v>
      </c>
      <c r="W1565" s="3" t="inlineStr">
        <is>
          <t>지정되지않음</t>
        </is>
      </c>
      <c r="X1565" s="3" t="inlineStr">
        <is>
          <t>주상기타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소로한면</t>
        </is>
      </c>
    </row>
    <row r="1566">
      <c r="A1566" s="3" t="inlineStr">
        <is>
          <t>조치원읍 침산리 265-9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300</v>
      </c>
      <c r="H1566" s="4" t="n">
        <v>40</v>
      </c>
      <c r="I1566" s="4" t="n">
        <v>40</v>
      </c>
      <c r="J1566" s="4" t="n">
        <v>12</v>
      </c>
      <c r="K1566" s="5" t="n">
        <v>3.3</v>
      </c>
      <c r="L1566" s="4" t="n">
        <v>40</v>
      </c>
      <c r="M1566" s="4" t="n">
        <v>12</v>
      </c>
      <c r="N1566" s="5" t="n">
        <v>3.3</v>
      </c>
      <c r="O1566" s="3" t="inlineStr">
        <is>
          <t>nan</t>
        </is>
      </c>
      <c r="P1566" s="6">
        <f>HYPERLINK("https://fin.land.naver.com/articles/2653782511", "매물Link")</f>
        <v/>
      </c>
      <c r="Q1566" s="6">
        <f>HYPERLINK("https://map.naver.com/p/search/조치원읍 침산리 265-9", "지도Link")</f>
        <v/>
      </c>
      <c r="R1566" s="6">
        <f>HYPERLINK("http://www.eum.go.kr/web/ar/lu/luLandDet.jsp?pnu=3611025028102650009&amp;isNoScr=script&amp;mode=search", "토지이음")</f>
        <v/>
      </c>
      <c r="S1566" s="3" t="inlineStr">
        <is>
          <t>상희</t>
        </is>
      </c>
      <c r="T1566" s="4" t="n">
        <v>1</v>
      </c>
      <c r="U1566" s="5" t="n">
        <v>419.8</v>
      </c>
      <c r="V1566" s="4" t="n">
        <v>274.8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정방형</t>
        </is>
      </c>
      <c r="AA1566" s="3" t="inlineStr">
        <is>
          <t>소로한면</t>
        </is>
      </c>
    </row>
    <row r="1567">
      <c r="A1567" s="3" t="inlineStr">
        <is>
          <t>조치원읍 침산리 266-13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일반원룸</t>
        </is>
      </c>
      <c r="F1567" s="3" t="inlineStr">
        <is>
          <t>전세</t>
        </is>
      </c>
      <c r="G1567" s="4" t="n">
        <v>4500</v>
      </c>
      <c r="H1567" s="4" t="n">
        <v>0</v>
      </c>
      <c r="I1567" s="4" t="n">
        <v>19</v>
      </c>
      <c r="J1567" s="4" t="n">
        <v>6</v>
      </c>
      <c r="K1567" s="5" t="n">
        <v>750</v>
      </c>
      <c r="L1567" s="4" t="n">
        <v>19</v>
      </c>
      <c r="M1567" s="4" t="n">
        <v>6</v>
      </c>
      <c r="N1567" s="5" t="n">
        <v>750</v>
      </c>
      <c r="O1567" s="3" t="inlineStr">
        <is>
          <t>원룸 전세,  LH도 가능</t>
        </is>
      </c>
      <c r="P1567" s="6">
        <f>HYPERLINK("https://fin.land.naver.com/articles/2653258812", "매물Link")</f>
        <v/>
      </c>
      <c r="Q1567" s="6">
        <f>HYPERLINK("https://map.naver.com/p/search/조치원읍 침산리 266-13", "지도Link")</f>
        <v/>
      </c>
      <c r="R1567" s="6">
        <f>HYPERLINK("http://www.eum.go.kr/web/ar/lu/luLandDet.jsp?pnu=3611025028102660013&amp;isNoScr=script&amp;mode=search", "토지이음")</f>
        <v/>
      </c>
      <c r="S1567" s="3" t="inlineStr">
        <is>
          <t>골드</t>
        </is>
      </c>
      <c r="T1567" s="4" t="n">
        <v>1</v>
      </c>
      <c r="U1567" s="5" t="n">
        <v>320.1</v>
      </c>
      <c r="V1567" s="4" t="n">
        <v>284.8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소로한면</t>
        </is>
      </c>
    </row>
    <row r="1568">
      <c r="A1568" s="3" t="inlineStr">
        <is>
          <t>조치원읍 침산리 266-14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100</v>
      </c>
      <c r="H1568" s="4" t="n">
        <v>30</v>
      </c>
      <c r="I1568" s="4" t="n">
        <v>23</v>
      </c>
      <c r="J1568" s="4" t="n">
        <v>7</v>
      </c>
      <c r="K1568" s="5" t="n">
        <v>4.3</v>
      </c>
      <c r="L1568" s="4" t="n">
        <v>23</v>
      </c>
      <c r="M1568" s="4" t="n">
        <v>7</v>
      </c>
      <c r="N1568" s="5" t="n">
        <v>4.3</v>
      </c>
      <c r="O1568" s="3" t="inlineStr">
        <is>
          <t>침산리 넓은 방 깨끗합니다 주방 분리형</t>
        </is>
      </c>
      <c r="P1568" s="6">
        <f>HYPERLINK("https://fin.land.naver.com/articles/2654862822", "매물Link")</f>
        <v/>
      </c>
      <c r="Q1568" s="6">
        <f>HYPERLINK("https://map.naver.com/p/search/조치원읍 침산리 266-14", "지도Link")</f>
        <v/>
      </c>
      <c r="R1568" s="6">
        <f>HYPERLINK("http://www.eum.go.kr/web/ar/lu/luLandDet.jsp?pnu=3611025028102660014&amp;isNoScr=script&amp;mode=search", "토지이음")</f>
        <v/>
      </c>
      <c r="S1568" s="3" t="inlineStr">
        <is>
          <t>상희</t>
        </is>
      </c>
      <c r="T1568" s="4" t="n">
        <v>2</v>
      </c>
      <c r="U1568" s="5" t="n">
        <v>323.4</v>
      </c>
      <c r="V1568" s="4" t="n">
        <v>162</v>
      </c>
      <c r="W1568" s="3" t="inlineStr">
        <is>
          <t>지정되지않음</t>
        </is>
      </c>
      <c r="X1568" s="3" t="inlineStr">
        <is>
          <t>주상기타</t>
        </is>
      </c>
      <c r="Y1568" s="3" t="inlineStr">
        <is>
          <t>평지</t>
        </is>
      </c>
      <c r="Z1568" s="3" t="inlineStr">
        <is>
          <t>가로장방</t>
        </is>
      </c>
      <c r="AA1568" s="3" t="inlineStr">
        <is>
          <t>소로한면</t>
        </is>
      </c>
    </row>
    <row r="1569">
      <c r="A1569" s="3" t="inlineStr">
        <is>
          <t>조치원읍 침산리 266-4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150</v>
      </c>
      <c r="H1569" s="4" t="n">
        <v>27</v>
      </c>
      <c r="I1569" s="4" t="n">
        <v>126</v>
      </c>
      <c r="J1569" s="4" t="n">
        <v>38</v>
      </c>
      <c r="K1569" s="5" t="n">
        <v>0.7</v>
      </c>
      <c r="L1569" s="4" t="n">
        <v>23</v>
      </c>
      <c r="M1569" s="4" t="n">
        <v>7</v>
      </c>
      <c r="N1569" s="5" t="n">
        <v>3.9</v>
      </c>
      <c r="O1569" s="3" t="inlineStr">
        <is>
          <t>nan</t>
        </is>
      </c>
      <c r="P1569" s="6">
        <f>HYPERLINK("https://fin.land.naver.com/articles/2652272439", "매물Link")</f>
        <v/>
      </c>
      <c r="Q1569" s="6">
        <f>HYPERLINK("https://map.naver.com/p/search/조치원읍 침산리 266-4", "지도Link")</f>
        <v/>
      </c>
      <c r="R1569" s="6">
        <f>HYPERLINK("http://www.eum.go.kr/web/ar/lu/luLandDet.jsp?pnu=3611025028102660004&amp;isNoScr=script&amp;mode=search", "토지이음")</f>
        <v/>
      </c>
      <c r="S1569" s="3" t="inlineStr">
        <is>
          <t>상희</t>
        </is>
      </c>
      <c r="T1569" s="4" t="n">
        <v>1</v>
      </c>
      <c r="U1569" s="5" t="n">
        <v>286.8</v>
      </c>
      <c r="V1569" s="4" t="n">
        <v>214.1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세로한면(가)</t>
        </is>
      </c>
    </row>
    <row r="1570">
      <c r="A1570" s="3" t="inlineStr">
        <is>
          <t>조치원읍 침산리 266-4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월세</t>
        </is>
      </c>
      <c r="G1570" s="4" t="n">
        <v>150</v>
      </c>
      <c r="H1570" s="4" t="n">
        <v>27</v>
      </c>
      <c r="I1570" s="4" t="n">
        <v>126</v>
      </c>
      <c r="J1570" s="4" t="n">
        <v>38</v>
      </c>
      <c r="K1570" s="5" t="n">
        <v>0.7</v>
      </c>
      <c r="L1570" s="4" t="n">
        <v>23</v>
      </c>
      <c r="M1570" s="4" t="n">
        <v>7</v>
      </c>
      <c r="N1570" s="5" t="n">
        <v>3.9</v>
      </c>
      <c r="O1570" s="3" t="inlineStr">
        <is>
          <t>nan</t>
        </is>
      </c>
      <c r="P1570" s="6">
        <f>HYPERLINK("https://fin.land.naver.com/articles/2651344572", "매물Link")</f>
        <v/>
      </c>
      <c r="Q1570" s="6">
        <f>HYPERLINK("https://map.naver.com/p/search/조치원읍 침산리 266-4", "지도Link")</f>
        <v/>
      </c>
      <c r="R1570" s="6">
        <f>HYPERLINK("http://www.eum.go.kr/web/ar/lu/luLandDet.jsp?pnu=3611025028102660004&amp;isNoScr=script&amp;mode=search", "토지이음")</f>
        <v/>
      </c>
      <c r="S1570" s="3" t="inlineStr">
        <is>
          <t>상희</t>
        </is>
      </c>
      <c r="T1570" s="4" t="n">
        <v>1</v>
      </c>
      <c r="U1570" s="5" t="n">
        <v>286.8</v>
      </c>
      <c r="V1570" s="4" t="n">
        <v>214.1</v>
      </c>
      <c r="W1570" s="3" t="inlineStr">
        <is>
          <t>지정되지않음</t>
        </is>
      </c>
      <c r="X1570" s="3" t="inlineStr">
        <is>
          <t>주거기타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세로한면(가)</t>
        </is>
      </c>
    </row>
    <row r="1571">
      <c r="A1571" s="3" t="inlineStr">
        <is>
          <t>조치원읍 침산리 266-6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4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35</v>
      </c>
      <c r="J1571" s="4" t="n">
        <v>11</v>
      </c>
      <c r="K1571" s="5" t="n">
        <v>2.7</v>
      </c>
      <c r="L1571" s="4" t="n">
        <v>35</v>
      </c>
      <c r="M1571" s="4" t="n">
        <v>11</v>
      </c>
      <c r="N1571" s="5" t="n">
        <v>2.7</v>
      </c>
      <c r="O1571" s="3" t="inlineStr">
        <is>
          <t>공용주차장이 바로 앞에 있어 주차편리. 깨끗한 원룸 공실로 즉시입주</t>
        </is>
      </c>
      <c r="P1571" s="6">
        <f>HYPERLINK("https://fin.land.naver.com/articles/2654844655", "매물Link")</f>
        <v/>
      </c>
      <c r="Q1571" s="6">
        <f>HYPERLINK("https://map.naver.com/p/search/조치원읍 침산리 266-6", "지도Link")</f>
        <v/>
      </c>
      <c r="R1571" s="6">
        <f>HYPERLINK("http://www.eum.go.kr/web/ar/lu/luLandDet.jsp?pnu=3611025028102660006&amp;isNoScr=script&amp;mode=search", "토지이음")</f>
        <v/>
      </c>
      <c r="S1571" s="3" t="inlineStr">
        <is>
          <t>세종대장</t>
        </is>
      </c>
      <c r="T1571" s="4" t="n">
        <v>1</v>
      </c>
      <c r="U1571" s="5" t="n">
        <v>292.7</v>
      </c>
      <c r="V1571" s="4" t="n">
        <v>240.4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정방형</t>
        </is>
      </c>
      <c r="AA1571" s="3" t="inlineStr">
        <is>
          <t>세로한면(가)</t>
        </is>
      </c>
    </row>
    <row r="1572">
      <c r="A1572" s="3" t="inlineStr">
        <is>
          <t>조치원읍 침산리 267-11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다가구</t>
        </is>
      </c>
      <c r="F1572" s="3" t="inlineStr">
        <is>
          <t>월세</t>
        </is>
      </c>
      <c r="G1572" s="4" t="n">
        <v>100</v>
      </c>
      <c r="H1572" s="4" t="n">
        <v>30</v>
      </c>
      <c r="I1572" s="4" t="n">
        <v>23</v>
      </c>
      <c r="J1572" s="4" t="n">
        <v>7</v>
      </c>
      <c r="K1572" s="5" t="n">
        <v>4.3</v>
      </c>
      <c r="L1572" s="4" t="n">
        <v>23</v>
      </c>
      <c r="M1572" s="4" t="n">
        <v>7</v>
      </c>
      <c r="N1572" s="5" t="n">
        <v>4.3</v>
      </c>
      <c r="O1572" s="3" t="inlineStr">
        <is>
          <t>침산리 원룸 월세</t>
        </is>
      </c>
      <c r="P1572" s="6">
        <f>HYPERLINK("https://fin.land.naver.com/articles/2654213553", "매물Link")</f>
        <v/>
      </c>
      <c r="Q1572" s="6">
        <f>HYPERLINK("https://map.naver.com/p/search/조치원읍 침산리 267-11", "지도Link")</f>
        <v/>
      </c>
      <c r="R1572" s="6">
        <f>HYPERLINK("http://www.eum.go.kr/web/ar/lu/luLandDet.jsp?pnu=3611025028102670011&amp;isNoScr=script&amp;mode=search",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286.8</v>
      </c>
      <c r="V1572" s="4" t="n">
        <v>254.5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침산리 267-3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300</v>
      </c>
      <c r="H1573" s="4" t="n">
        <v>36</v>
      </c>
      <c r="I1573" s="4" t="n">
        <v>0</v>
      </c>
      <c r="J1573" s="4" t="n">
        <v>0</v>
      </c>
      <c r="K1573" s="5" t="n">
        <v>0</v>
      </c>
      <c r="L1573" s="4" t="n">
        <v>33</v>
      </c>
      <c r="M1573" s="4" t="n">
        <v>10</v>
      </c>
      <c r="N1573" s="5" t="n">
        <v>3.6</v>
      </c>
      <c r="O1573" s="3" t="inlineStr">
        <is>
          <t>인기좋은  풀옵션 완비 1.5룸   깔끔한 주방분리   편의점1분</t>
        </is>
      </c>
      <c r="P1573" s="6">
        <f>HYPERLINK("https://fin.land.naver.com/articles/2655704070", "매물Link")</f>
        <v/>
      </c>
      <c r="Q1573" s="6">
        <f>HYPERLINK("https://map.naver.com/p/search/조치원읍 침산리 267-3", "지도Link")</f>
        <v/>
      </c>
      <c r="R1573" s="6">
        <f>HYPERLINK("http://www.eum.go.kr/web/ar/lu/luLandDet.jsp?pnu=3611025028102670003&amp;isNoScr=script&amp;mode=search", "토지이음")</f>
        <v/>
      </c>
      <c r="S1573" s="3" t="inlineStr">
        <is>
          <t>연서으뜸</t>
        </is>
      </c>
      <c r="T1573" s="4" t="n">
        <v>1</v>
      </c>
      <c r="U1573" s="5" t="n">
        <v>318.2</v>
      </c>
      <c r="V1573" s="4" t="n">
        <v>276.3</v>
      </c>
      <c r="W1573" s="3" t="inlineStr">
        <is>
          <t>지정되지않음</t>
        </is>
      </c>
      <c r="X1573" s="3" t="inlineStr">
        <is>
          <t>주거기타</t>
        </is>
      </c>
      <c r="Y1573" s="3" t="inlineStr">
        <is>
          <t>평지</t>
        </is>
      </c>
      <c r="Z1573" s="3" t="inlineStr">
        <is>
          <t>세로장방</t>
        </is>
      </c>
      <c r="AA1573" s="3" t="inlineStr">
        <is>
          <t>소로한면</t>
        </is>
      </c>
    </row>
    <row r="1574">
      <c r="A1574" s="3" t="inlineStr">
        <is>
          <t>조치원읍 침산리 267-7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32</v>
      </c>
      <c r="I1574" s="4" t="n">
        <v>0</v>
      </c>
      <c r="J1574" s="4" t="n">
        <v>0</v>
      </c>
      <c r="K1574" s="5" t="n">
        <v>0</v>
      </c>
      <c r="L1574" s="4" t="n">
        <v>25</v>
      </c>
      <c r="M1574" s="4" t="n">
        <v>8</v>
      </c>
      <c r="N1574" s="5" t="n">
        <v>4</v>
      </c>
      <c r="O1574" s="3" t="inlineStr">
        <is>
          <t>넓고 깔끔한  풀옵션 완비방  엘베는기본   주방분리  조치원역 근접</t>
        </is>
      </c>
      <c r="P1574" s="6">
        <f>HYPERLINK("https://fin.land.naver.com/articles/2655338886", "매물Link")</f>
        <v/>
      </c>
      <c r="Q1574" s="6">
        <f>HYPERLINK("https://map.naver.com/p/search/조치원읍 침산리 267-7", "지도Link")</f>
        <v/>
      </c>
      <c r="R1574" s="6">
        <f>HYPERLINK("http://www.eum.go.kr/web/ar/lu/luLandDet.jsp?pnu=3611025028102670007&amp;isNoScr=script&amp;mode=search", "토지이음")</f>
        <v/>
      </c>
      <c r="S1574" s="3" t="inlineStr">
        <is>
          <t>연서으뜸</t>
        </is>
      </c>
      <c r="T1574" s="4" t="n">
        <v>1</v>
      </c>
      <c r="U1574" s="5" t="n">
        <v>428.4</v>
      </c>
      <c r="V1574" s="4" t="n">
        <v>337.6</v>
      </c>
      <c r="W1574" s="3" t="inlineStr">
        <is>
          <t>지정되지않음</t>
        </is>
      </c>
      <c r="X1574" s="3" t="inlineStr">
        <is>
          <t>주상기타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소로각지</t>
        </is>
      </c>
    </row>
    <row r="1575">
      <c r="A1575" s="3" t="inlineStr">
        <is>
          <t>조치원읍 침산리 267-9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40</v>
      </c>
      <c r="I1575" s="4" t="n">
        <v>23</v>
      </c>
      <c r="J1575" s="4" t="n">
        <v>7</v>
      </c>
      <c r="K1575" s="5" t="n">
        <v>5.7</v>
      </c>
      <c r="L1575" s="4" t="n">
        <v>23</v>
      </c>
      <c r="M1575" s="4" t="n">
        <v>7</v>
      </c>
      <c r="N1575" s="5" t="n">
        <v>5.7</v>
      </c>
      <c r="O1575" s="3" t="inlineStr">
        <is>
          <t>침산리 원룸 월세</t>
        </is>
      </c>
      <c r="P1575" s="6">
        <f>HYPERLINK("https://fin.land.naver.com/articles/2653728164", "매물Link")</f>
        <v/>
      </c>
      <c r="Q1575" s="6">
        <f>HYPERLINK("https://map.naver.com/p/search/조치원읍 침산리 267-9", "지도Link")</f>
        <v/>
      </c>
      <c r="R1575" s="6">
        <f>HYPERLINK("http://www.eum.go.kr/web/ar/lu/luLandDet.jsp?pnu=3611025028102670009&amp;isNoScr=script&amp;mode=search", "토지이음")</f>
        <v/>
      </c>
      <c r="S1575" s="3" t="inlineStr">
        <is>
          <t>김준희</t>
        </is>
      </c>
      <c r="T1575" s="4" t="n">
        <v>1</v>
      </c>
      <c r="U1575" s="5" t="n">
        <v>286.8</v>
      </c>
      <c r="V1575" s="4" t="n">
        <v>220.1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세로한면(가)</t>
        </is>
      </c>
    </row>
    <row r="1576">
      <c r="A1576" s="3" t="inlineStr">
        <is>
          <t>조치원읍 침산리 267-9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112</v>
      </c>
      <c r="J1576" s="4" t="n">
        <v>34</v>
      </c>
      <c r="K1576" s="5" t="n">
        <v>0.9</v>
      </c>
      <c r="L1576" s="4" t="n">
        <v>22</v>
      </c>
      <c r="M1576" s="4" t="n">
        <v>7</v>
      </c>
      <c r="N1576" s="5" t="n">
        <v>4.3</v>
      </c>
      <c r="O1576" s="3" t="inlineStr">
        <is>
          <t>계약 후 즉시 입주 가능 원룸</t>
        </is>
      </c>
      <c r="P1576" s="6">
        <f>HYPERLINK("https://fin.land.naver.com/articles/2651069877", "매물Link")</f>
        <v/>
      </c>
      <c r="Q1576" s="6">
        <f>HYPERLINK("https://map.naver.com/p/search/조치원읍 침산리 267-9", "지도Link")</f>
        <v/>
      </c>
      <c r="R1576" s="6">
        <f>HYPERLINK("http://www.eum.go.kr/web/ar/lu/luLandDet.jsp?pnu=3611025028102670009&amp;isNoScr=script&amp;mode=search",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286.8</v>
      </c>
      <c r="V1576" s="4" t="n">
        <v>220.1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세로장방</t>
        </is>
      </c>
      <c r="AA1576" s="3" t="inlineStr">
        <is>
          <t>세로한면(가)</t>
        </is>
      </c>
    </row>
    <row r="1577">
      <c r="A1577" s="3" t="inlineStr">
        <is>
          <t>조치원읍 침산리 277-1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105000</v>
      </c>
      <c r="H1577" s="4" t="n">
        <v>0</v>
      </c>
      <c r="I1577" s="4" t="n">
        <v>234</v>
      </c>
      <c r="J1577" s="4" t="n">
        <v>71</v>
      </c>
      <c r="K1577" s="5" t="n">
        <v>1478.9</v>
      </c>
      <c r="L1577" s="4" t="n">
        <v>380</v>
      </c>
      <c r="M1577" s="4" t="n">
        <v>115</v>
      </c>
      <c r="N1577" s="5" t="n">
        <v>913</v>
      </c>
      <c r="O1577" s="3" t="inlineStr">
        <is>
          <t>nan</t>
        </is>
      </c>
      <c r="P1577" s="6">
        <f>HYPERLINK("https://fin.land.naver.com/articles/2654387062", "매물Link")</f>
        <v/>
      </c>
      <c r="Q1577" s="6">
        <f>HYPERLINK("https://map.naver.com/p/search/조치원읍 침산리 277-1", "지도Link")</f>
        <v/>
      </c>
      <c r="R1577" s="6">
        <f>HYPERLINK("http://www.eum.go.kr/web/ar/lu/luLandDet.jsp?pnu=3611025028102770001&amp;isNoScr=script&amp;mode=search",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280.3</v>
      </c>
      <c r="V1577" s="4" t="n">
        <v>234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침산리 277-15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다가구</t>
        </is>
      </c>
      <c r="F1578" s="3" t="inlineStr">
        <is>
          <t>매매</t>
        </is>
      </c>
      <c r="G1578" s="4" t="n">
        <v>93000</v>
      </c>
      <c r="H1578" s="4" t="n">
        <v>0</v>
      </c>
      <c r="I1578" s="4" t="n">
        <v>227</v>
      </c>
      <c r="J1578" s="4" t="n">
        <v>69</v>
      </c>
      <c r="K1578" s="5" t="n">
        <v>1347.8</v>
      </c>
      <c r="L1578" s="4" t="n">
        <v>370</v>
      </c>
      <c r="M1578" s="4" t="n">
        <v>112</v>
      </c>
      <c r="N1578" s="5" t="n">
        <v>830.4</v>
      </c>
      <c r="O1578" s="3" t="inlineStr">
        <is>
          <t>관리잘됨. 공실 걱정 없는 곳. 역5분</t>
        </is>
      </c>
      <c r="P1578" s="6">
        <f>HYPERLINK("https://fin.land.naver.com/articles/2650553807", "매물Link")</f>
        <v/>
      </c>
      <c r="Q1578" s="6">
        <f>HYPERLINK("https://map.naver.com/p/search/조치원읍 침산리 277-15", "지도Link")</f>
        <v/>
      </c>
      <c r="R1578" s="6">
        <f>HYPERLINK("http://www.eum.go.kr/web/ar/lu/luLandDet.jsp?pnu=3611025028102770015&amp;isNoScr=script&amp;mode=search", "토지이음")</f>
        <v/>
      </c>
      <c r="S1578" s="3" t="inlineStr">
        <is>
          <t>바다</t>
        </is>
      </c>
      <c r="T1578" s="4" t="n">
        <v>1</v>
      </c>
      <c r="U1578" s="5" t="n">
        <v>283.1</v>
      </c>
      <c r="V1578" s="4" t="n">
        <v>227.9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세로한면(가)</t>
        </is>
      </c>
    </row>
    <row r="1579">
      <c r="A1579" s="3" t="inlineStr">
        <is>
          <t>조치원읍 침산리 278-10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4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300</v>
      </c>
      <c r="H1579" s="4" t="n">
        <v>34</v>
      </c>
      <c r="I1579" s="4" t="n">
        <v>42</v>
      </c>
      <c r="J1579" s="4" t="n">
        <v>13</v>
      </c>
      <c r="K1579" s="5" t="n">
        <v>2.6</v>
      </c>
      <c r="L1579" s="4" t="n">
        <v>36</v>
      </c>
      <c r="M1579" s="4" t="n">
        <v>11</v>
      </c>
      <c r="N1579" s="5" t="n">
        <v>3.1</v>
      </c>
      <c r="O1579" s="3" t="inlineStr">
        <is>
          <t>귀한 1.5룸 월세.거주 안전한 집.협의입주 가능.</t>
        </is>
      </c>
      <c r="P1579" s="6">
        <f>HYPERLINK("https://fin.land.naver.com/articles/2654585167", "매물Link")</f>
        <v/>
      </c>
      <c r="Q1579" s="6">
        <f>HYPERLINK("https://map.naver.com/p/search/조치원읍 침산리 278-10", "지도Link")</f>
        <v/>
      </c>
      <c r="R1579" s="6">
        <f>HYPERLINK("http://www.eum.go.kr/web/ar/lu/luLandDet.jsp?pnu=3611025028102780010&amp;isNoScr=script&amp;mode=search",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302.3</v>
      </c>
      <c r="V1579" s="4" t="n">
        <v>281.4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정방형</t>
        </is>
      </c>
      <c r="AA1579" s="3" t="inlineStr">
        <is>
          <t>소로각지</t>
        </is>
      </c>
    </row>
    <row r="1580">
      <c r="A1580" s="3" t="inlineStr">
        <is>
          <t>조치원읍 침산리 278-11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다가구</t>
        </is>
      </c>
      <c r="F1580" s="3" t="inlineStr">
        <is>
          <t>매매</t>
        </is>
      </c>
      <c r="G1580" s="4" t="n">
        <v>110000</v>
      </c>
      <c r="H1580" s="4" t="n">
        <v>0</v>
      </c>
      <c r="I1580" s="4" t="n">
        <v>257</v>
      </c>
      <c r="J1580" s="4" t="n">
        <v>78</v>
      </c>
      <c r="K1580" s="5" t="n">
        <v>1410.3</v>
      </c>
      <c r="L1580" s="4" t="n">
        <v>459</v>
      </c>
      <c r="M1580" s="4" t="n">
        <v>139</v>
      </c>
      <c r="N1580" s="5" t="n">
        <v>791.4</v>
      </c>
      <c r="O1580" s="3" t="inlineStr">
        <is>
          <t>nan</t>
        </is>
      </c>
      <c r="P1580" s="6">
        <f>HYPERLINK("https://fin.land.naver.com/articles/2654388700", "매물Link")</f>
        <v/>
      </c>
      <c r="Q1580" s="6">
        <f>HYPERLINK("https://map.naver.com/p/search/조치원읍 침산리 278-11", "지도Link")</f>
        <v/>
      </c>
      <c r="R1580" s="6">
        <f>HYPERLINK("http://www.eum.go.kr/web/ar/lu/luLandDet.jsp?pnu=3611025028102780011&amp;isNoScr=script&amp;mode=search", "토지이음")</f>
        <v/>
      </c>
      <c r="S1580" s="3" t="inlineStr">
        <is>
          <t>척척</t>
        </is>
      </c>
      <c r="T1580" s="4" t="n">
        <v>1</v>
      </c>
      <c r="U1580" s="5" t="n">
        <v>296.4</v>
      </c>
      <c r="V1580" s="4" t="n">
        <v>257.9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정방형</t>
        </is>
      </c>
      <c r="AA1580" s="3" t="inlineStr">
        <is>
          <t>소로한면</t>
        </is>
      </c>
    </row>
    <row r="1581">
      <c r="A1581" s="3" t="inlineStr">
        <is>
          <t>조치원읍 침산리 279-1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29</v>
      </c>
      <c r="I1581" s="4" t="n">
        <v>0</v>
      </c>
      <c r="J1581" s="4" t="n">
        <v>0</v>
      </c>
      <c r="K1581" s="5" t="n">
        <v>0</v>
      </c>
      <c r="L1581" s="4" t="n">
        <v>20</v>
      </c>
      <c r="M1581" s="4" t="n">
        <v>6</v>
      </c>
      <c r="N1581" s="5" t="n">
        <v>4.8</v>
      </c>
      <c r="O1581" s="3" t="inlineStr">
        <is>
          <t>L 역5분. 분리형원룸. 풀옵션. 즉시입주가능</t>
        </is>
      </c>
      <c r="P1581" s="6">
        <f>HYPERLINK("https://fin.land.naver.com/articles/2650104336", "매물Link")</f>
        <v/>
      </c>
      <c r="Q1581" s="6">
        <f>HYPERLINK("https://map.naver.com/p/search/조치원읍 침산리 279-1", "지도Link")</f>
        <v/>
      </c>
      <c r="R1581" s="6">
        <f>HYPERLINK("http://www.eum.go.kr/web/ar/lu/luLandDet.jsp?pnu=3611025028102790001&amp;isNoScr=script&amp;mode=search", "토지이음")</f>
        <v/>
      </c>
      <c r="S1581" s="3" t="inlineStr">
        <is>
          <t>바다</t>
        </is>
      </c>
      <c r="T1581" s="4" t="n">
        <v>1</v>
      </c>
      <c r="U1581" s="5" t="n">
        <v>290.8</v>
      </c>
      <c r="V1581" s="4" t="n">
        <v>328.1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침산리 279-1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200</v>
      </c>
      <c r="H1582" s="4" t="n">
        <v>29</v>
      </c>
      <c r="I1582" s="4" t="n">
        <v>26</v>
      </c>
      <c r="J1582" s="4" t="n">
        <v>8</v>
      </c>
      <c r="K1582" s="5" t="n">
        <v>3.6</v>
      </c>
      <c r="L1582" s="4" t="n">
        <v>26</v>
      </c>
      <c r="M1582" s="4" t="n">
        <v>8</v>
      </c>
      <c r="N1582" s="5" t="n">
        <v>3.6</v>
      </c>
      <c r="O1582" s="3" t="inlineStr">
        <is>
          <t>깨끗한 원룸이며, 냉장고, 세탁기 등 옵션 있음</t>
        </is>
      </c>
      <c r="P1582" s="6">
        <f>HYPERLINK("https://fin.land.naver.com/articles/2653985960", "매물Link")</f>
        <v/>
      </c>
      <c r="Q1582" s="6">
        <f>HYPERLINK("https://map.naver.com/p/search/조치원읍 침산리 279-1", "지도Link")</f>
        <v/>
      </c>
      <c r="R1582" s="6">
        <f>HYPERLINK("http://www.eum.go.kr/web/ar/lu/luLandDet.jsp?pnu=3611025028102790001&amp;isNoScr=script&amp;mode=search", "토지이음")</f>
        <v/>
      </c>
      <c r="S1582" s="3" t="inlineStr">
        <is>
          <t>세종베스트</t>
        </is>
      </c>
      <c r="T1582" s="4" t="n">
        <v>1</v>
      </c>
      <c r="U1582" s="5" t="n">
        <v>290.8</v>
      </c>
      <c r="V1582" s="4" t="n">
        <v>328.1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침산리 279-15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단독</t>
        </is>
      </c>
      <c r="F1583" s="3" t="inlineStr">
        <is>
          <t>월세</t>
        </is>
      </c>
      <c r="G1583" s="4" t="n">
        <v>2000</v>
      </c>
      <c r="H1583" s="4" t="n">
        <v>10</v>
      </c>
      <c r="I1583" s="4" t="n">
        <v>0</v>
      </c>
      <c r="J1583" s="4" t="n">
        <v>0</v>
      </c>
      <c r="K1583" s="5" t="n">
        <v>0</v>
      </c>
      <c r="L1583" s="4" t="n">
        <v>23</v>
      </c>
      <c r="M1583" s="4" t="n">
        <v>7</v>
      </c>
      <c r="N1583" s="5" t="n">
        <v>1.4</v>
      </c>
      <c r="O1583" s="3" t="inlineStr">
        <is>
          <t>전세,반전세 가능 도배예정</t>
        </is>
      </c>
      <c r="P1583" s="6">
        <f>HYPERLINK("https://fin.land.naver.com/articles/2652860593", "매물Link")</f>
        <v/>
      </c>
      <c r="Q1583" s="6">
        <f>HYPERLINK("https://map.naver.com/p/search/조치원읍 침산리 279-15", "지도Link")</f>
        <v/>
      </c>
      <c r="R1583" s="6">
        <f>HYPERLINK("http://www.eum.go.kr/web/ar/lu/luLandDet.jsp?pnu=3611025028102790015&amp;isNoScr=script&amp;mode=search",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299.6</v>
      </c>
      <c r="V1583" s="4" t="n">
        <v>315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소로한면</t>
        </is>
      </c>
    </row>
    <row r="1584">
      <c r="A1584" s="3" t="inlineStr">
        <is>
          <t>조치원읍 침산리 279-15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3000</v>
      </c>
      <c r="H1584" s="4" t="n">
        <v>0</v>
      </c>
      <c r="I1584" s="4" t="n">
        <v>0</v>
      </c>
      <c r="J1584" s="4" t="n">
        <v>0</v>
      </c>
      <c r="K1584" s="5" t="n">
        <v>0</v>
      </c>
      <c r="L1584" s="4" t="n">
        <v>19</v>
      </c>
      <c r="M1584" s="4" t="n">
        <v>6</v>
      </c>
      <c r="N1584" s="5" t="n">
        <v>500</v>
      </c>
      <c r="O1584" s="3" t="inlineStr">
        <is>
          <t>안전한 전세</t>
        </is>
      </c>
      <c r="P1584" s="6">
        <f>HYPERLINK("https://fin.land.naver.com/articles/2652857402", "매물Link")</f>
        <v/>
      </c>
      <c r="Q1584" s="6">
        <f>HYPERLINK("https://map.naver.com/p/search/조치원읍 침산리 279-15", "지도Link")</f>
        <v/>
      </c>
      <c r="R1584" s="6">
        <f>HYPERLINK("http://www.eum.go.kr/web/ar/lu/luLandDet.jsp?pnu=3611025028102790015&amp;isNoScr=script&amp;mode=search", "토지이음")</f>
        <v/>
      </c>
      <c r="S1584" s="3" t="inlineStr">
        <is>
          <t>척척</t>
        </is>
      </c>
      <c r="T1584" s="4" t="n">
        <v>1</v>
      </c>
      <c r="U1584" s="5" t="n">
        <v>299.6</v>
      </c>
      <c r="V1584" s="4" t="n">
        <v>315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279-15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110000</v>
      </c>
      <c r="H1585" s="4" t="n">
        <v>0</v>
      </c>
      <c r="I1585" s="4" t="n">
        <v>315</v>
      </c>
      <c r="J1585" s="4" t="n">
        <v>95</v>
      </c>
      <c r="K1585" s="5" t="n">
        <v>1157.9</v>
      </c>
      <c r="L1585" s="4" t="n">
        <v>545</v>
      </c>
      <c r="M1585" s="4" t="n">
        <v>165</v>
      </c>
      <c r="N1585" s="5" t="n">
        <v>666.7</v>
      </c>
      <c r="O1585" s="3" t="inlineStr">
        <is>
          <t>다가주주택 연수익률 8%</t>
        </is>
      </c>
      <c r="P1585" s="6">
        <f>HYPERLINK("https://fin.land.naver.com/articles/2655706120", "매물Link")</f>
        <v/>
      </c>
      <c r="Q1585" s="6">
        <f>HYPERLINK("https://map.naver.com/p/search/조치원읍 침산리 279-15", "지도Link")</f>
        <v/>
      </c>
      <c r="R1585" s="6">
        <f>HYPERLINK("http://www.eum.go.kr/web/ar/lu/luLandDet.jsp?pnu=3611025028102790015&amp;isNoScr=script&amp;mode=search", "토지이음")</f>
        <v/>
      </c>
      <c r="S1585" s="3" t="inlineStr">
        <is>
          <t>세종베스트</t>
        </is>
      </c>
      <c r="T1585" s="4" t="n">
        <v>1</v>
      </c>
      <c r="U1585" s="5" t="n">
        <v>299.6</v>
      </c>
      <c r="V1585" s="4" t="n">
        <v>315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정방형</t>
        </is>
      </c>
      <c r="AA1585" s="3" t="inlineStr">
        <is>
          <t>소로한면</t>
        </is>
      </c>
    </row>
    <row r="1586">
      <c r="A1586" s="3" t="inlineStr">
        <is>
          <t>조치원읍 침산리 279-20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200</v>
      </c>
      <c r="H1586" s="4" t="n">
        <v>31</v>
      </c>
      <c r="I1586" s="4" t="n">
        <v>0</v>
      </c>
      <c r="J1586" s="4" t="n">
        <v>0</v>
      </c>
      <c r="K1586" s="5" t="n">
        <v>0</v>
      </c>
      <c r="L1586" s="4" t="n">
        <v>20</v>
      </c>
      <c r="M1586" s="4" t="n">
        <v>6</v>
      </c>
      <c r="N1586" s="5" t="n">
        <v>5.2</v>
      </c>
      <c r="O1586" s="3" t="inlineStr">
        <is>
          <t>L 엘베. 깔끔. 열5분. 즉시입주가능</t>
        </is>
      </c>
      <c r="P1586" s="6">
        <f>HYPERLINK("https://fin.land.naver.com/articles/2652039172", "매물Link")</f>
        <v/>
      </c>
      <c r="Q1586" s="6">
        <f>HYPERLINK("https://map.naver.com/p/search/조치원읍 침산리 279-20", "지도Link")</f>
        <v/>
      </c>
      <c r="R1586" s="6">
        <f>HYPERLINK("http://www.eum.go.kr/web/ar/lu/luLandDet.jsp?pnu=3611025028102790020&amp;isNoScr=script&amp;mode=search",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293.8</v>
      </c>
      <c r="V1586" s="4" t="n">
        <v>275.9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소로한면</t>
        </is>
      </c>
    </row>
    <row r="1587">
      <c r="A1587" s="3" t="inlineStr">
        <is>
          <t>조치원읍 침산리 279-20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200</v>
      </c>
      <c r="H1587" s="4" t="n">
        <v>31</v>
      </c>
      <c r="I1587" s="4" t="n">
        <v>20</v>
      </c>
      <c r="J1587" s="4" t="n">
        <v>6</v>
      </c>
      <c r="K1587" s="5" t="n">
        <v>5.2</v>
      </c>
      <c r="L1587" s="4" t="n">
        <v>20</v>
      </c>
      <c r="M1587" s="4" t="n">
        <v>6</v>
      </c>
      <c r="N1587" s="5" t="n">
        <v>5.2</v>
      </c>
      <c r="O1587" s="3" t="inlineStr">
        <is>
          <t>원룸 주방분리 베란다유  깨끗합니다</t>
        </is>
      </c>
      <c r="P1587" s="6">
        <f>HYPERLINK("https://fin.land.naver.com/articles/2652339845", "매물Link")</f>
        <v/>
      </c>
      <c r="Q1587" s="6">
        <f>HYPERLINK("https://map.naver.com/p/search/조치원읍 침산리 279-20", "지도Link")</f>
        <v/>
      </c>
      <c r="R1587" s="6">
        <f>HYPERLINK("http://www.eum.go.kr/web/ar/lu/luLandDet.jsp?pnu=3611025028102790020&amp;isNoScr=script&amp;mode=search", "토지이음")</f>
        <v/>
      </c>
      <c r="S1587" s="3" t="inlineStr">
        <is>
          <t>OK수</t>
        </is>
      </c>
      <c r="T1587" s="4" t="n">
        <v>1</v>
      </c>
      <c r="U1587" s="5" t="n">
        <v>293.8</v>
      </c>
      <c r="V1587" s="4" t="n">
        <v>275.9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소로한면</t>
        </is>
      </c>
    </row>
    <row r="1588">
      <c r="A1588" s="3" t="inlineStr">
        <is>
          <t>조치원읍 침산리 280-5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98000</v>
      </c>
      <c r="H1588" s="4" t="n">
        <v>0</v>
      </c>
      <c r="I1588" s="4" t="n">
        <v>309</v>
      </c>
      <c r="J1588" s="4" t="n">
        <v>93</v>
      </c>
      <c r="K1588" s="5" t="n">
        <v>1053.8</v>
      </c>
      <c r="L1588" s="4" t="n">
        <v>504</v>
      </c>
      <c r="M1588" s="4" t="n">
        <v>152</v>
      </c>
      <c r="N1588" s="5" t="n">
        <v>644.7</v>
      </c>
      <c r="O1588" s="3" t="inlineStr">
        <is>
          <t>nan</t>
        </is>
      </c>
      <c r="P1588" s="6">
        <f>HYPERLINK("https://fin.land.naver.com/articles/2654388079", "매물Link")</f>
        <v/>
      </c>
      <c r="Q1588" s="6">
        <f>HYPERLINK("https://map.naver.com/p/search/조치원읍 침산리 280-5", "지도Link")</f>
        <v/>
      </c>
      <c r="R1588" s="6">
        <f>HYPERLINK("http://www.eum.go.kr/web/ar/lu/luLandDet.jsp?pnu=3611025028102800005&amp;isNoScr=script&amp;mode=search", "토지이음")</f>
        <v/>
      </c>
      <c r="S1588" s="3" t="inlineStr">
        <is>
          <t>척척</t>
        </is>
      </c>
      <c r="T1588" s="4" t="n">
        <v>1</v>
      </c>
      <c r="U1588" s="5" t="n">
        <v>288.8</v>
      </c>
      <c r="V1588" s="4" t="n">
        <v>309.4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281-3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4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200</v>
      </c>
      <c r="H1589" s="4" t="n">
        <v>31</v>
      </c>
      <c r="I1589" s="4" t="n">
        <v>26</v>
      </c>
      <c r="J1589" s="4" t="n">
        <v>8</v>
      </c>
      <c r="K1589" s="5" t="n">
        <v>3.9</v>
      </c>
      <c r="L1589" s="4" t="n">
        <v>24</v>
      </c>
      <c r="M1589" s="4" t="n">
        <v>7</v>
      </c>
      <c r="N1589" s="5" t="n">
        <v>4.4</v>
      </c>
      <c r="O1589" s="3" t="inlineStr">
        <is>
          <t>깔끔하고 넓은 원룸으로 주변에 생활편의 시설있으며, 대중교통 편합</t>
        </is>
      </c>
      <c r="P1589" s="6">
        <f>HYPERLINK("https://fin.land.naver.com/articles/2655173930", "매물Link")</f>
        <v/>
      </c>
      <c r="Q1589" s="6">
        <f>HYPERLINK("https://map.naver.com/p/search/조치원읍 침산리 281-3", "지도Link")</f>
        <v/>
      </c>
      <c r="R1589" s="6">
        <f>HYPERLINK("http://www.eum.go.kr/web/ar/lu/luLandDet.jsp?pnu=3611025028102810003&amp;isNoScr=script&amp;mode=search", "토지이음")</f>
        <v/>
      </c>
      <c r="S1589" s="3" t="inlineStr">
        <is>
          <t>세종베스트</t>
        </is>
      </c>
      <c r="T1589" s="4" t="n">
        <v>1</v>
      </c>
      <c r="U1589" s="5" t="n">
        <v>305.5</v>
      </c>
      <c r="V1589" s="4" t="n">
        <v>323.1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소로각지</t>
        </is>
      </c>
    </row>
    <row r="1590">
      <c r="A1590" s="3" t="inlineStr">
        <is>
          <t>조치원읍 침산리 282-11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2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1000</v>
      </c>
      <c r="H1590" s="4" t="n">
        <v>45</v>
      </c>
      <c r="I1590" s="4" t="n">
        <v>49</v>
      </c>
      <c r="J1590" s="4" t="n">
        <v>15</v>
      </c>
      <c r="K1590" s="5" t="n">
        <v>3</v>
      </c>
      <c r="L1590" s="4" t="n">
        <v>39</v>
      </c>
      <c r="M1590" s="4" t="n">
        <v>12</v>
      </c>
      <c r="N1590" s="5" t="n">
        <v>3.8</v>
      </c>
      <c r="O1590" s="3" t="inlineStr">
        <is>
          <t>귀한 2룸 11월초 입주가능</t>
        </is>
      </c>
      <c r="P1590" s="6">
        <f>HYPERLINK("https://fin.land.naver.com/articles/2653498155", "매물Link")</f>
        <v/>
      </c>
      <c r="Q1590" s="6">
        <f>HYPERLINK("https://map.naver.com/p/search/조치원읍 침산리 282-11", "지도Link")</f>
        <v/>
      </c>
      <c r="R1590" s="6">
        <f>HYPERLINK("http://www.eum.go.kr/web/ar/lu/luLandDet.jsp?pnu=3611025028102820011&amp;isNoScr=script&amp;mode=search",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288.8</v>
      </c>
      <c r="V1590" s="4" t="n">
        <v>279.5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282-13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다가구</t>
        </is>
      </c>
      <c r="F1591" s="3" t="inlineStr">
        <is>
          <t>전세</t>
        </is>
      </c>
      <c r="G1591" s="4" t="n">
        <v>5000</v>
      </c>
      <c r="H1591" s="4" t="n">
        <v>0</v>
      </c>
      <c r="I1591" s="4" t="n">
        <v>47</v>
      </c>
      <c r="J1591" s="4" t="n">
        <v>14</v>
      </c>
      <c r="K1591" s="5" t="n">
        <v>357.1</v>
      </c>
      <c r="L1591" s="4" t="n">
        <v>47</v>
      </c>
      <c r="M1591" s="4" t="n">
        <v>14</v>
      </c>
      <c r="N1591" s="5" t="n">
        <v>357.1</v>
      </c>
      <c r="O1591" s="3" t="inlineStr">
        <is>
          <t>깨끗하고 넒은 원룸이며,  주저지역에 위치하여 교통 편리</t>
        </is>
      </c>
      <c r="P1591" s="6">
        <f>HYPERLINK("https://fin.land.naver.com/articles/2651486371", "매물Link")</f>
        <v/>
      </c>
      <c r="Q1591" s="6">
        <f>HYPERLINK("https://map.naver.com/p/search/조치원읍 침산리 282-13", "지도Link")</f>
        <v/>
      </c>
      <c r="R1591" s="6">
        <f>HYPERLINK("http://www.eum.go.kr/web/ar/lu/luLandDet.jsp?pnu=3611025028102820013&amp;isNoScr=script&amp;mode=search", "토지이음")</f>
        <v/>
      </c>
      <c r="S1591" s="3" t="inlineStr">
        <is>
          <t>세종베스트</t>
        </is>
      </c>
      <c r="T1591" s="4" t="n">
        <v>1</v>
      </c>
      <c r="U1591" s="5" t="n">
        <v>314.3</v>
      </c>
      <c r="V1591" s="4" t="n">
        <v>252.9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소로한면</t>
        </is>
      </c>
    </row>
    <row r="1592">
      <c r="A1592" s="3" t="inlineStr">
        <is>
          <t>조치원읍 침산리 282-6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200</v>
      </c>
      <c r="H1592" s="4" t="n">
        <v>31</v>
      </c>
      <c r="I1592" s="4" t="n">
        <v>26</v>
      </c>
      <c r="J1592" s="4" t="n">
        <v>8</v>
      </c>
      <c r="K1592" s="5" t="n">
        <v>3.9</v>
      </c>
      <c r="L1592" s="4" t="n">
        <v>26</v>
      </c>
      <c r="M1592" s="4" t="n">
        <v>8</v>
      </c>
      <c r="N1592" s="5" t="n">
        <v>3.9</v>
      </c>
      <c r="O1592" s="3" t="inlineStr">
        <is>
          <t>깨끗하게 내부수리되었으며, 냉장고, 세탁기등 옵션 있음</t>
        </is>
      </c>
      <c r="P1592" s="6">
        <f>HYPERLINK("https://fin.land.naver.com/articles/2655178233", "매물Link")</f>
        <v/>
      </c>
      <c r="Q1592" s="6">
        <f>HYPERLINK("https://map.naver.com/p/search/조치원읍 침산리 282-6", "지도Link")</f>
        <v/>
      </c>
      <c r="R1592" s="6">
        <f>HYPERLINK("http://www.eum.go.kr/web/ar/lu/luLandDet.jsp?pnu=3611025028102820006&amp;isNoScr=script&amp;mode=search", "토지이음")</f>
        <v/>
      </c>
      <c r="S1592" s="3" t="inlineStr">
        <is>
          <t>세종베스트</t>
        </is>
      </c>
      <c r="T1592" s="4" t="n">
        <v>1</v>
      </c>
      <c r="U1592" s="5" t="n">
        <v>316.4</v>
      </c>
      <c r="V1592" s="4" t="n">
        <v>353.8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소로각지</t>
        </is>
      </c>
    </row>
    <row r="1593">
      <c r="A1593" s="3" t="inlineStr">
        <is>
          <t>조치원읍 침산리 283-12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32</v>
      </c>
      <c r="I1593" s="4" t="n">
        <v>0</v>
      </c>
      <c r="J1593" s="4" t="n">
        <v>0</v>
      </c>
      <c r="K1593" s="5" t="n">
        <v>0</v>
      </c>
      <c r="L1593" s="4" t="n">
        <v>24</v>
      </c>
      <c r="M1593" s="4" t="n">
        <v>7</v>
      </c>
      <c r="N1593" s="5" t="n">
        <v>4.6</v>
      </c>
      <c r="O1593" s="3" t="inlineStr">
        <is>
          <t>인기좋은  풀옵션완비 방  넓고 깔끔한 주거공간  교통편리  주차편함</t>
        </is>
      </c>
      <c r="P1593" s="6">
        <f>HYPERLINK("https://fin.land.naver.com/articles/2653857832", "매물Link")</f>
        <v/>
      </c>
      <c r="Q1593" s="6">
        <f>HYPERLINK("https://map.naver.com/p/search/조치원읍 침산리 283-12", "지도Link")</f>
        <v/>
      </c>
      <c r="R1593" s="6">
        <f>HYPERLINK("http://www.eum.go.kr/web/ar/lu/luLandDet.jsp?pnu=3611025028102830012&amp;isNoScr=script&amp;mode=search", "토지이음")</f>
        <v/>
      </c>
      <c r="S1593" s="3" t="inlineStr">
        <is>
          <t>연서으뜸</t>
        </is>
      </c>
      <c r="T1593" s="4" t="n">
        <v>1</v>
      </c>
      <c r="U1593" s="5" t="n">
        <v>283.1</v>
      </c>
      <c r="V1593" s="4" t="n">
        <v>263.5</v>
      </c>
      <c r="W1593" s="3" t="inlineStr">
        <is>
          <t>지정되지않음</t>
        </is>
      </c>
      <c r="X1593" s="3" t="inlineStr">
        <is>
          <t>주거기타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283-14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80000</v>
      </c>
      <c r="H1594" s="4" t="n">
        <v>0</v>
      </c>
      <c r="I1594" s="4" t="n">
        <v>251</v>
      </c>
      <c r="J1594" s="4" t="n">
        <v>76</v>
      </c>
      <c r="K1594" s="5" t="n">
        <v>1052.6</v>
      </c>
      <c r="L1594" s="4" t="n">
        <v>433</v>
      </c>
      <c r="M1594" s="4" t="n">
        <v>131</v>
      </c>
      <c r="N1594" s="5" t="n">
        <v>610.7</v>
      </c>
      <c r="O1594" s="3" t="inlineStr">
        <is>
          <t>조치원읍 다가구주택 단지의 수익율 8.5% 관리샹태 양호</t>
        </is>
      </c>
      <c r="P1594" s="6">
        <f>HYPERLINK("https://fin.land.naver.com/articles/2655705637", "매물Link")</f>
        <v/>
      </c>
      <c r="Q1594" s="6">
        <f>HYPERLINK("https://map.naver.com/p/search/조치원읍 침산리 283-14", "지도Link")</f>
        <v/>
      </c>
      <c r="R1594" s="6">
        <f>HYPERLINK("http://www.eum.go.kr/web/ar/lu/luLandDet.jsp?pnu=3611025028102830014&amp;isNoScr=script&amp;mode=search", "토지이음")</f>
        <v/>
      </c>
      <c r="S1594" s="3" t="inlineStr">
        <is>
          <t>세종베스트</t>
        </is>
      </c>
      <c r="T1594" s="4" t="n">
        <v>1</v>
      </c>
      <c r="U1594" s="5" t="n">
        <v>283.1</v>
      </c>
      <c r="V1594" s="4" t="n">
        <v>251.9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283-14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80000</v>
      </c>
      <c r="H1595" s="4" t="n">
        <v>0</v>
      </c>
      <c r="I1595" s="4" t="n">
        <v>251</v>
      </c>
      <c r="J1595" s="4" t="n">
        <v>76</v>
      </c>
      <c r="K1595" s="5" t="n">
        <v>1052.6</v>
      </c>
      <c r="L1595" s="4" t="n">
        <v>433</v>
      </c>
      <c r="M1595" s="4" t="n">
        <v>131</v>
      </c>
      <c r="N1595" s="5" t="n">
        <v>610.7</v>
      </c>
      <c r="O1595" s="3" t="inlineStr">
        <is>
          <t>nan</t>
        </is>
      </c>
      <c r="P1595" s="6">
        <f>HYPERLINK("https://fin.land.naver.com/articles/2654385865", "매물Link")</f>
        <v/>
      </c>
      <c r="Q1595" s="6">
        <f>HYPERLINK("https://map.naver.com/p/search/조치원읍 침산리 283-14", "지도Link")</f>
        <v/>
      </c>
      <c r="R1595" s="6">
        <f>HYPERLINK("http://www.eum.go.kr/web/ar/lu/luLandDet.jsp?pnu=3611025028102830014&amp;isNoScr=script&amp;mode=search",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283.1</v>
      </c>
      <c r="V1595" s="4" t="n">
        <v>251.9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283-16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98000</v>
      </c>
      <c r="H1596" s="4" t="n">
        <v>0</v>
      </c>
      <c r="I1596" s="4" t="n">
        <v>281</v>
      </c>
      <c r="J1596" s="4" t="n">
        <v>85</v>
      </c>
      <c r="K1596" s="5" t="n">
        <v>1152.9</v>
      </c>
      <c r="L1596" s="4" t="n">
        <v>440</v>
      </c>
      <c r="M1596" s="4" t="n">
        <v>133</v>
      </c>
      <c r="N1596" s="5" t="n">
        <v>736.8</v>
      </c>
      <c r="O1596" s="3" t="inlineStr">
        <is>
          <t>nan</t>
        </is>
      </c>
      <c r="P1596" s="6">
        <f>HYPERLINK("https://fin.land.naver.com/articles/2654387392", "매물Link")</f>
        <v/>
      </c>
      <c r="Q1596" s="6">
        <f>HYPERLINK("https://map.naver.com/p/search/조치원읍 침산리 283-16", "지도Link")</f>
        <v/>
      </c>
      <c r="R1596" s="6">
        <f>HYPERLINK("http://www.eum.go.kr/web/ar/lu/luLandDet.jsp?pnu=3611025028102830016&amp;isNoScr=script&amp;mode=search",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283.1</v>
      </c>
      <c r="V1596" s="4" t="n">
        <v>281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세로한면(가)</t>
        </is>
      </c>
    </row>
    <row r="1597">
      <c r="A1597" s="3" t="inlineStr">
        <is>
          <t>조치원읍 침산리 283-16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4</t>
        </is>
      </c>
      <c r="E1597" s="3" t="inlineStr">
        <is>
          <t>다가구</t>
        </is>
      </c>
      <c r="F1597" s="3" t="inlineStr">
        <is>
          <t>전세</t>
        </is>
      </c>
      <c r="G1597" s="4" t="n">
        <v>5500</v>
      </c>
      <c r="H1597" s="4" t="n">
        <v>0</v>
      </c>
      <c r="I1597" s="4" t="n">
        <v>30</v>
      </c>
      <c r="J1597" s="4" t="n">
        <v>9</v>
      </c>
      <c r="K1597" s="5" t="n">
        <v>611.1</v>
      </c>
      <c r="L1597" s="4" t="n">
        <v>30</v>
      </c>
      <c r="M1597" s="4" t="n">
        <v>9</v>
      </c>
      <c r="N1597" s="5" t="n">
        <v>611.1</v>
      </c>
      <c r="O1597" s="3" t="inlineStr">
        <is>
          <t>nan</t>
        </is>
      </c>
      <c r="P1597" s="6">
        <f>HYPERLINK("https://fin.land.naver.com/articles/2653997133", "매물Link")</f>
        <v/>
      </c>
      <c r="Q1597" s="6">
        <f>HYPERLINK("https://map.naver.com/p/search/조치원읍 침산리 283-16", "지도Link")</f>
        <v/>
      </c>
      <c r="R1597" s="6">
        <f>HYPERLINK("http://www.eum.go.kr/web/ar/lu/luLandDet.jsp?pnu=3611025028102830016&amp;isNoScr=script&amp;mode=search",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283.1</v>
      </c>
      <c r="V1597" s="4" t="n">
        <v>281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세로한면(가)</t>
        </is>
      </c>
    </row>
    <row r="1598">
      <c r="A1598" s="3" t="inlineStr">
        <is>
          <t>조치원읍 침산리 283-17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단독</t>
        </is>
      </c>
      <c r="F1598" s="3" t="inlineStr">
        <is>
          <t>매매</t>
        </is>
      </c>
      <c r="G1598" s="4" t="n">
        <v>100000</v>
      </c>
      <c r="H1598" s="4" t="n">
        <v>0</v>
      </c>
      <c r="I1598" s="4" t="n">
        <v>251</v>
      </c>
      <c r="J1598" s="4" t="n">
        <v>76</v>
      </c>
      <c r="K1598" s="5" t="n">
        <v>1315.8</v>
      </c>
      <c r="L1598" s="4" t="n">
        <v>436</v>
      </c>
      <c r="M1598" s="4" t="n">
        <v>132</v>
      </c>
      <c r="N1598" s="5" t="n">
        <v>757.6</v>
      </c>
      <c r="O1598" s="3" t="inlineStr">
        <is>
          <t>실투 3.2억, 떠오르는 서북부 다가구주택 단지내 관리 잘된 4층 주택</t>
        </is>
      </c>
      <c r="P1598" s="6">
        <f>HYPERLINK("https://fin.land.naver.com/articles/2650412869", "매물Link")</f>
        <v/>
      </c>
      <c r="Q1598" s="6">
        <f>HYPERLINK("https://map.naver.com/p/search/조치원읍 침산리 283-17", "지도Link")</f>
        <v/>
      </c>
      <c r="R1598" s="6">
        <f>HYPERLINK("http://www.eum.go.kr/web/ar/lu/luLandDet.jsp?pnu=3611025028102830017&amp;isNoScr=script&amp;mode=search", "토지이음")</f>
        <v/>
      </c>
      <c r="S1598" s="3" t="inlineStr">
        <is>
          <t>청주모충사모1/2LH트릴로채명성</t>
        </is>
      </c>
      <c r="T1598" s="4" t="n">
        <v>1</v>
      </c>
      <c r="U1598" s="5" t="n">
        <v>283.1</v>
      </c>
      <c r="V1598" s="4" t="n">
        <v>251.8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세로한면(가)</t>
        </is>
      </c>
    </row>
    <row r="1599">
      <c r="A1599" s="3" t="inlineStr">
        <is>
          <t>조치원읍 침산리 283-3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도시형생활주택</t>
        </is>
      </c>
      <c r="F1599" s="3" t="inlineStr">
        <is>
          <t>월세</t>
        </is>
      </c>
      <c r="G1599" s="4" t="n">
        <v>200</v>
      </c>
      <c r="H1599" s="4" t="n">
        <v>28</v>
      </c>
      <c r="I1599" s="4" t="n">
        <v>0</v>
      </c>
      <c r="J1599" s="4" t="n">
        <v>0</v>
      </c>
      <c r="K1599" s="5" t="n">
        <v>0</v>
      </c>
      <c r="L1599" s="4" t="n">
        <v>19</v>
      </c>
      <c r="M1599" s="4" t="n">
        <v>6</v>
      </c>
      <c r="N1599" s="5" t="n">
        <v>4.7</v>
      </c>
      <c r="O1599" s="3" t="inlineStr">
        <is>
          <t>오픈형 넓은 풀옵션</t>
        </is>
      </c>
      <c r="P1599" s="6">
        <f>HYPERLINK("https://fin.land.naver.com/articles/2654004942", "매물Link")</f>
        <v/>
      </c>
      <c r="Q1599" s="6">
        <f>HYPERLINK("https://map.naver.com/p/search/조치원읍 침산리 283-3", "지도Link")</f>
        <v/>
      </c>
      <c r="R1599" s="6">
        <f>HYPERLINK("http://www.eum.go.kr/web/ar/lu/luLandDet.jsp?pnu=3611025028102830003&amp;isNoScr=script&amp;mode=search",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283.1</v>
      </c>
      <c r="V1599" s="4" t="n">
        <v>272.3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세로한면(가)</t>
        </is>
      </c>
    </row>
    <row r="1600">
      <c r="A1600" s="3" t="inlineStr">
        <is>
          <t>조치원읍 침산리 283-4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0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28</v>
      </c>
      <c r="I1600" s="4" t="n">
        <v>39</v>
      </c>
      <c r="J1600" s="4" t="n">
        <v>12</v>
      </c>
      <c r="K1600" s="5" t="n">
        <v>2.3</v>
      </c>
      <c r="L1600" s="4" t="n">
        <v>29</v>
      </c>
      <c r="M1600" s="4" t="n">
        <v>9</v>
      </c>
      <c r="N1600" s="5" t="n">
        <v>3.1</v>
      </c>
      <c r="O1600" s="3" t="inlineStr">
        <is>
          <t>넓은방.풀셋팅원룸.몸만들어오세요</t>
        </is>
      </c>
      <c r="P1600" s="6">
        <f>HYPERLINK("https://fin.land.naver.com/articles/2651070230", "매물Link")</f>
        <v/>
      </c>
      <c r="Q1600" s="6">
        <f>HYPERLINK("https://map.naver.com/p/search/조치원읍 침산리 283-4", "지도Link")</f>
        <v/>
      </c>
      <c r="R1600" s="6">
        <f>HYPERLINK("http://www.eum.go.kr/web/ar/lu/luLandDet.jsp?pnu=3611025028102830004&amp;isNoScr=script&amp;mode=search",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283.1</v>
      </c>
      <c r="V1600" s="4" t="n">
        <v>272.3</v>
      </c>
      <c r="W1600" s="3" t="inlineStr">
        <is>
          <t>지정되지않음</t>
        </is>
      </c>
      <c r="X1600" s="3" t="inlineStr">
        <is>
          <t>주거기타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세로한면(가)</t>
        </is>
      </c>
    </row>
    <row r="1601">
      <c r="A1601" s="3" t="inlineStr">
        <is>
          <t>조치원읍 침산리 284-6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29</v>
      </c>
      <c r="I1601" s="4" t="n">
        <v>26</v>
      </c>
      <c r="J1601" s="4" t="n">
        <v>8</v>
      </c>
      <c r="K1601" s="5" t="n">
        <v>3.6</v>
      </c>
      <c r="L1601" s="4" t="n">
        <v>26</v>
      </c>
      <c r="M1601" s="4" t="n">
        <v>8</v>
      </c>
      <c r="N1601" s="5" t="n">
        <v>3.6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HYPERLINK("https://fin.land.naver.com/articles/2655176936", "매물Link")</f>
        <v/>
      </c>
      <c r="Q1601" s="6">
        <f>HYPERLINK("https://map.naver.com/p/search/조치원읍 침산리 284-6", "지도Link")</f>
        <v/>
      </c>
      <c r="R1601" s="6">
        <f>HYPERLINK("http://www.eum.go.kr/web/ar/lu/luLandDet.jsp?pnu=3611025028102840006&amp;isNoScr=script&amp;mode=search",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446.3</v>
      </c>
      <c r="V1601" s="4" t="n">
        <v>333.7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정방형</t>
        </is>
      </c>
      <c r="AA1601" s="3" t="inlineStr">
        <is>
          <t>소로각지</t>
        </is>
      </c>
    </row>
    <row r="1602">
      <c r="A1602" s="3" t="inlineStr">
        <is>
          <t>조치원읍 침산리 285-10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28</v>
      </c>
      <c r="I1602" s="4" t="n">
        <v>0</v>
      </c>
      <c r="J1602" s="4" t="n">
        <v>0</v>
      </c>
      <c r="K1602" s="5" t="n">
        <v>0</v>
      </c>
      <c r="L1602" s="4" t="n">
        <v>23</v>
      </c>
      <c r="M1602" s="4" t="n">
        <v>7</v>
      </c>
      <c r="N1602" s="5" t="n">
        <v>4</v>
      </c>
      <c r="O1602" s="3" t="inlineStr">
        <is>
          <t>주방 넓은 분리형 채광 통풍 잘되는 집</t>
        </is>
      </c>
      <c r="P1602" s="6">
        <f>HYPERLINK("https://fin.land.naver.com/articles/2654004265", "매물Link")</f>
        <v/>
      </c>
      <c r="Q1602" s="6">
        <f>HYPERLINK("https://map.naver.com/p/search/조치원읍 침산리 285-10", "지도Link")</f>
        <v/>
      </c>
      <c r="R1602" s="6">
        <f>HYPERLINK("http://www.eum.go.kr/web/ar/lu/luLandDet.jsp?pnu=3611025028102850010&amp;isNoScr=script&amp;mode=search", "토지이음")</f>
        <v/>
      </c>
      <c r="S1602" s="3" t="inlineStr">
        <is>
          <t>척척</t>
        </is>
      </c>
      <c r="T1602" s="4" t="n">
        <v>1</v>
      </c>
      <c r="U1602" s="5" t="n">
        <v>307.8</v>
      </c>
      <c r="V1602" s="4" t="n">
        <v>266.9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소로각지</t>
        </is>
      </c>
    </row>
    <row r="1603">
      <c r="A1603" s="3" t="inlineStr">
        <is>
          <t>조치원읍 침산리 285-10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110000</v>
      </c>
      <c r="H1603" s="4" t="n">
        <v>0</v>
      </c>
      <c r="I1603" s="4" t="n">
        <v>266</v>
      </c>
      <c r="J1603" s="4" t="n">
        <v>80</v>
      </c>
      <c r="K1603" s="5" t="n">
        <v>1375</v>
      </c>
      <c r="L1603" s="4" t="n">
        <v>510</v>
      </c>
      <c r="M1603" s="4" t="n">
        <v>154</v>
      </c>
      <c r="N1603" s="5" t="n">
        <v>714.3</v>
      </c>
      <c r="O1603" s="3" t="inlineStr">
        <is>
          <t>nan</t>
        </is>
      </c>
      <c r="P1603" s="6">
        <f>HYPERLINK("https://fin.land.naver.com/articles/2654386307", "매물Link")</f>
        <v/>
      </c>
      <c r="Q1603" s="6">
        <f>HYPERLINK("https://map.naver.com/p/search/조치원읍 침산리 285-10", "지도Link")</f>
        <v/>
      </c>
      <c r="R1603" s="6">
        <f>HYPERLINK("http://www.eum.go.kr/web/ar/lu/luLandDet.jsp?pnu=3611025028102850010&amp;isNoScr=script&amp;mode=search",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307.8</v>
      </c>
      <c r="V1603" s="4" t="n">
        <v>266.9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소로각지</t>
        </is>
      </c>
    </row>
    <row r="1604">
      <c r="A1604" s="3" t="inlineStr">
        <is>
          <t>조치원읍 침산리 285-10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28</v>
      </c>
      <c r="I1604" s="4" t="n">
        <v>0</v>
      </c>
      <c r="J1604" s="4" t="n">
        <v>0</v>
      </c>
      <c r="K1604" s="5" t="n">
        <v>0</v>
      </c>
      <c r="L1604" s="4" t="n">
        <v>23</v>
      </c>
      <c r="M1604" s="4" t="n">
        <v>7</v>
      </c>
      <c r="N1604" s="5" t="n">
        <v>4</v>
      </c>
      <c r="O1604" s="3" t="inlineStr">
        <is>
          <t>주방 넓은 분리형 채광 통풍 잘되는 집</t>
        </is>
      </c>
      <c r="P1604" s="6">
        <f>HYPERLINK("https://fin.land.naver.com/articles/2654830780", "매물Link")</f>
        <v/>
      </c>
      <c r="Q1604" s="6">
        <f>HYPERLINK("https://map.naver.com/p/search/조치원읍 침산리 285-10", "지도Link")</f>
        <v/>
      </c>
      <c r="R1604" s="6">
        <f>HYPERLINK("http://www.eum.go.kr/web/ar/lu/luLandDet.jsp?pnu=3611025028102850010&amp;isNoScr=script&amp;mode=search", "토지이음")</f>
        <v/>
      </c>
      <c r="S1604" s="3" t="inlineStr">
        <is>
          <t>척척</t>
        </is>
      </c>
      <c r="T1604" s="4" t="n">
        <v>1</v>
      </c>
      <c r="U1604" s="5" t="n">
        <v>307.8</v>
      </c>
      <c r="V1604" s="4" t="n">
        <v>266.9</v>
      </c>
      <c r="W1604" s="3" t="inlineStr">
        <is>
          <t>지정되지않음</t>
        </is>
      </c>
      <c r="X1604" s="3" t="inlineStr">
        <is>
          <t>주상기타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285-18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300</v>
      </c>
      <c r="H1605" s="4" t="n">
        <v>40</v>
      </c>
      <c r="I1605" s="4" t="n">
        <v>0</v>
      </c>
      <c r="J1605" s="4" t="n">
        <v>0</v>
      </c>
      <c r="K1605" s="5" t="n">
        <v>0</v>
      </c>
      <c r="L1605" s="4" t="n">
        <v>28</v>
      </c>
      <c r="M1605" s="4" t="n">
        <v>8</v>
      </c>
      <c r="N1605" s="5" t="n">
        <v>5</v>
      </c>
      <c r="O1605" s="3" t="inlineStr">
        <is>
          <t>풀옵,투베이형,즉시입주 가능</t>
        </is>
      </c>
      <c r="P1605" s="6">
        <f>HYPERLINK("https://fin.land.naver.com/articles/2655245950", "매물Link")</f>
        <v/>
      </c>
      <c r="Q1605" s="6">
        <f>HYPERLINK("https://map.naver.com/p/search/조치원읍 침산리 285-18", "지도Link")</f>
        <v/>
      </c>
      <c r="R1605" s="6">
        <f>HYPERLINK("http://www.eum.go.kr/web/ar/lu/luLandDet.jsp?pnu=3611025028102850018&amp;isNoScr=script&amp;mode=search",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352.7</v>
      </c>
      <c r="V1605" s="4" t="n">
        <v>300.1</v>
      </c>
      <c r="W1605" s="3" t="inlineStr">
        <is>
          <t>지정되지않음</t>
        </is>
      </c>
      <c r="X1605" s="3" t="inlineStr">
        <is>
          <t>상업나지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285-19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다가구</t>
        </is>
      </c>
      <c r="F1606" s="3" t="inlineStr">
        <is>
          <t>매매</t>
        </is>
      </c>
      <c r="G1606" s="4" t="n">
        <v>148000</v>
      </c>
      <c r="H1606" s="4" t="n">
        <v>0</v>
      </c>
      <c r="I1606" s="4" t="n">
        <v>300</v>
      </c>
      <c r="J1606" s="4" t="n">
        <v>91</v>
      </c>
      <c r="K1606" s="5" t="n">
        <v>1626.4</v>
      </c>
      <c r="L1606" s="4" t="n">
        <v>593</v>
      </c>
      <c r="M1606" s="4" t="n">
        <v>179</v>
      </c>
      <c r="N1606" s="5" t="n">
        <v>826.8</v>
      </c>
      <c r="O1606" s="3" t="inlineStr">
        <is>
          <t>신도시 스타벅스, 하이마트 옆 4층 상가 주택, 실투 5.25억</t>
        </is>
      </c>
      <c r="P1606" s="6">
        <f>HYPERLINK("https://fin.land.naver.com/articles/2650412792", "매물Link")</f>
        <v/>
      </c>
      <c r="Q1606" s="6">
        <f>HYPERLINK("https://map.naver.com/p/search/조치원읍 침산리 285-19", "지도Link")</f>
        <v/>
      </c>
      <c r="R1606" s="6">
        <f>HYPERLINK("http://www.eum.go.kr/web/ar/lu/luLandDet.jsp?pnu=3611025028102850019&amp;isNoScr=script&amp;mode=search", "토지이음")</f>
        <v/>
      </c>
      <c r="S1606" s="3" t="inlineStr">
        <is>
          <t>청주모충사모1/2LH트릴로채명성</t>
        </is>
      </c>
      <c r="T1606" s="4" t="n">
        <v>1</v>
      </c>
      <c r="U1606" s="5" t="n">
        <v>352.7</v>
      </c>
      <c r="V1606" s="4" t="n">
        <v>300.3</v>
      </c>
      <c r="W1606" s="3" t="inlineStr">
        <is>
          <t>지정되지않음</t>
        </is>
      </c>
      <c r="X1606" s="3" t="inlineStr">
        <is>
          <t>상업나지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소로한면</t>
        </is>
      </c>
    </row>
    <row r="1607">
      <c r="A1607" s="3" t="inlineStr">
        <is>
          <t>조치원읍 침산리 285-19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매매</t>
        </is>
      </c>
      <c r="G1607" s="4" t="n">
        <v>148000</v>
      </c>
      <c r="H1607" s="4" t="n">
        <v>0</v>
      </c>
      <c r="I1607" s="4" t="n">
        <v>300</v>
      </c>
      <c r="J1607" s="4" t="n">
        <v>91</v>
      </c>
      <c r="K1607" s="5" t="n">
        <v>1626.4</v>
      </c>
      <c r="L1607" s="4" t="n">
        <v>593</v>
      </c>
      <c r="M1607" s="4" t="n">
        <v>179</v>
      </c>
      <c r="N1607" s="5" t="n">
        <v>826.8</v>
      </c>
      <c r="O1607" s="3" t="inlineStr">
        <is>
          <t>nan</t>
        </is>
      </c>
      <c r="P1607" s="6">
        <f>HYPERLINK("https://fin.land.naver.com/articles/2650405364", "매물Link")</f>
        <v/>
      </c>
      <c r="Q1607" s="6">
        <f>HYPERLINK("https://map.naver.com/p/search/조치원읍 침산리 285-19", "지도Link")</f>
        <v/>
      </c>
      <c r="R1607" s="6">
        <f>HYPERLINK("http://www.eum.go.kr/web/ar/lu/luLandDet.jsp?pnu=3611025028102850019&amp;isNoScr=script&amp;mode=search", "토지이음")</f>
        <v/>
      </c>
      <c r="S1607" s="3" t="inlineStr">
        <is>
          <t>굿굿경매</t>
        </is>
      </c>
      <c r="T1607" s="4" t="n">
        <v>1</v>
      </c>
      <c r="U1607" s="5" t="n">
        <v>352.7</v>
      </c>
      <c r="V1607" s="4" t="n">
        <v>300.3</v>
      </c>
      <c r="W1607" s="3" t="inlineStr">
        <is>
          <t>지정되지않음</t>
        </is>
      </c>
      <c r="X1607" s="3" t="inlineStr">
        <is>
          <t>상업나지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소로한면</t>
        </is>
      </c>
    </row>
    <row r="1608">
      <c r="A1608" s="3" t="inlineStr">
        <is>
          <t>조치원읍 침산리 285-20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2000</v>
      </c>
      <c r="H1608" s="4" t="n">
        <v>10</v>
      </c>
      <c r="I1608" s="4" t="n">
        <v>39</v>
      </c>
      <c r="J1608" s="4" t="n">
        <v>12</v>
      </c>
      <c r="K1608" s="5" t="n">
        <v>0.8</v>
      </c>
      <c r="L1608" s="4" t="n">
        <v>26</v>
      </c>
      <c r="M1608" s="4" t="n">
        <v>8</v>
      </c>
      <c r="N1608" s="5" t="n">
        <v>1.2</v>
      </c>
      <c r="O1608" s="3" t="inlineStr">
        <is>
          <t>신축주거단지  채광좋은 분리형 원룸</t>
        </is>
      </c>
      <c r="P1608" s="6">
        <f>HYPERLINK("https://fin.land.naver.com/articles/2651595721", "매물Link")</f>
        <v/>
      </c>
      <c r="Q1608" s="6">
        <f>HYPERLINK("https://map.naver.com/p/search/조치원읍 침산리 285-20", "지도Link")</f>
        <v/>
      </c>
      <c r="R1608" s="6">
        <f>HYPERLINK("http://www.eum.go.kr/web/ar/lu/luLandDet.jsp?pnu=3611025028102850020&amp;isNoScr=script&amp;mode=search", "토지이음")</f>
        <v/>
      </c>
      <c r="S1608" s="3" t="inlineStr">
        <is>
          <t>척척</t>
        </is>
      </c>
      <c r="T1608" s="4" t="n">
        <v>1</v>
      </c>
      <c r="U1608" s="5" t="n">
        <v>363</v>
      </c>
      <c r="V1608" s="4" t="n">
        <v>335.7</v>
      </c>
      <c r="W1608" s="3" t="inlineStr">
        <is>
          <t>지정되지않음</t>
        </is>
      </c>
      <c r="X1608" s="3" t="inlineStr">
        <is>
          <t>상업나지</t>
        </is>
      </c>
      <c r="Y1608" s="3" t="inlineStr">
        <is>
          <t>평지</t>
        </is>
      </c>
      <c r="Z1608" s="3" t="inlineStr">
        <is>
          <t>가로장방</t>
        </is>
      </c>
      <c r="AA1608" s="3" t="inlineStr">
        <is>
          <t>소로각지</t>
        </is>
      </c>
    </row>
    <row r="1609">
      <c r="A1609" s="3" t="inlineStr">
        <is>
          <t>조치원읍 평리 107-1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24500</v>
      </c>
      <c r="H1609" s="4" t="n">
        <v>0</v>
      </c>
      <c r="I1609" s="4" t="n">
        <v>161</v>
      </c>
      <c r="J1609" s="4" t="n">
        <v>49</v>
      </c>
      <c r="K1609" s="5" t="n">
        <v>500</v>
      </c>
      <c r="L1609" s="4" t="n">
        <v>85</v>
      </c>
      <c r="M1609" s="4" t="n">
        <v>26</v>
      </c>
      <c r="N1609" s="5" t="n">
        <v>942.3</v>
      </c>
      <c r="O1609" s="3" t="inlineStr">
        <is>
          <t>평리 터미널 맞은편 위치좋은 주택가 입니다</t>
        </is>
      </c>
      <c r="P1609" s="6">
        <f>HYPERLINK("https://fin.land.naver.com/articles/2655699846", "매물Link")</f>
        <v/>
      </c>
      <c r="Q1609" s="6">
        <f>HYPERLINK("https://map.naver.com/p/search/조치원읍 평리 107-1", "지도Link")</f>
        <v/>
      </c>
      <c r="R1609" s="6">
        <f>HYPERLINK("http://www.eum.go.kr/web/ar/lu/luLandDet.jsp?pnu=3611025023101070001&amp;isNoScr=script&amp;mode=search", "토지이음")</f>
        <v/>
      </c>
      <c r="S1609" s="3" t="inlineStr">
        <is>
          <t>OK수</t>
        </is>
      </c>
      <c r="T1609" s="4" t="n">
        <v>1</v>
      </c>
      <c r="U1609" s="5" t="n">
        <v>213.1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세로한면(가)</t>
        </is>
      </c>
    </row>
    <row r="1610">
      <c r="A1610" s="3" t="inlineStr">
        <is>
          <t>조치원읍 평리 23-8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전세</t>
        </is>
      </c>
      <c r="G1610" s="4" t="n">
        <v>8000</v>
      </c>
      <c r="H1610" s="4" t="n">
        <v>0</v>
      </c>
      <c r="I1610" s="4" t="n">
        <v>50</v>
      </c>
      <c r="J1610" s="4" t="n">
        <v>15</v>
      </c>
      <c r="K1610" s="5" t="n">
        <v>533.3</v>
      </c>
      <c r="L1610" s="4" t="n">
        <v>43</v>
      </c>
      <c r="M1610" s="4" t="n">
        <v>13</v>
      </c>
      <c r="N1610" s="5" t="n">
        <v>615.4</v>
      </c>
      <c r="O1610" s="3" t="inlineStr">
        <is>
          <t>보증보험소독청결완벽한 풀옵 이방pick</t>
        </is>
      </c>
      <c r="P1610" s="6">
        <f>HYPERLINK("https://fin.land.naver.com/articles/2651394456", "매물Link")</f>
        <v/>
      </c>
      <c r="Q1610" s="6">
        <f>HYPERLINK("https://map.naver.com/p/search/조치원읍 평리 23-8", "지도Link")</f>
        <v/>
      </c>
      <c r="R1610" s="6">
        <f>HYPERLINK("http://www.eum.go.kr/web/ar/lu/luLandDet.jsp?pnu=3611025023100230008&amp;isNoScr=script&amp;mode=search", "토지이음")</f>
        <v/>
      </c>
      <c r="S1610" s="3" t="inlineStr">
        <is>
          <t>마이룸</t>
        </is>
      </c>
      <c r="T1610" s="4" t="n">
        <v>1</v>
      </c>
      <c r="U1610" s="5" t="n">
        <v>219.2</v>
      </c>
      <c r="V1610" s="4" t="n">
        <v>115.7</v>
      </c>
      <c r="W1610" s="3" t="inlineStr">
        <is>
          <t>지정되지않음</t>
        </is>
      </c>
      <c r="X1610" s="3" t="inlineStr">
        <is>
          <t>연립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세로각지(가)</t>
        </is>
      </c>
    </row>
    <row r="1611">
      <c r="A1611" s="3" t="inlineStr">
        <is>
          <t>조치원읍 평리 54-2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0</t>
        </is>
      </c>
      <c r="E1611" s="3" t="inlineStr">
        <is>
          <t>다가구</t>
        </is>
      </c>
      <c r="F1611" s="3" t="inlineStr">
        <is>
          <t>월세</t>
        </is>
      </c>
      <c r="G1611" s="4" t="n">
        <v>500</v>
      </c>
      <c r="H1611" s="4" t="n">
        <v>55</v>
      </c>
      <c r="I1611" s="4" t="n">
        <v>0</v>
      </c>
      <c r="J1611" s="4" t="n">
        <v>0</v>
      </c>
      <c r="K1611" s="5" t="n">
        <v>0</v>
      </c>
      <c r="L1611" s="4" t="n">
        <v>38</v>
      </c>
      <c r="M1611" s="4" t="n">
        <v>11</v>
      </c>
      <c r="N1611" s="5" t="n">
        <v>5</v>
      </c>
      <c r="O1611" s="3" t="inlineStr">
        <is>
          <t>투룸, 협의 입주</t>
        </is>
      </c>
      <c r="P1611" s="6">
        <f>HYPERLINK("https://fin.land.naver.com/articles/2652579240", "매물Link")</f>
        <v/>
      </c>
      <c r="Q1611" s="6">
        <f>HYPERLINK("https://map.naver.com/p/search/조치원읍 평리 54-2", "지도Link")</f>
        <v/>
      </c>
      <c r="R1611" s="6">
        <f>HYPERLINK("http://www.eum.go.kr/web/ar/lu/luLandDet.jsp?pnu=3611025023100540002&amp;isNoScr=script&amp;mode=search", "토지이음")</f>
        <v/>
      </c>
      <c r="S1611" s="3" t="inlineStr">
        <is>
          <t>골드</t>
        </is>
      </c>
      <c r="T1611" s="4" t="n">
        <v>1</v>
      </c>
      <c r="U1611" s="5" t="n">
        <v>206.6</v>
      </c>
      <c r="V1611" s="4" t="n">
        <v>324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부정형</t>
        </is>
      </c>
      <c r="AA1611" s="3" t="inlineStr">
        <is>
          <t>세로한면(가)</t>
        </is>
      </c>
    </row>
    <row r="1612">
      <c r="A1612" s="3" t="inlineStr">
        <is>
          <t>조치원읍 평리 56-2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조치원터미널근방.엘리베이터있음.공동주차시설완비</t>
        </is>
      </c>
      <c r="P1612" s="6">
        <f>HYPERLINK("https://fin.land.naver.com/articles/2651626263", "매물Link")</f>
        <v/>
      </c>
      <c r="Q1612" s="6">
        <f>HYPERLINK("https://map.naver.com/p/search/조치원읍 평리 56-2", "지도Link")</f>
        <v/>
      </c>
      <c r="R1612" s="6">
        <f>HYPERLINK("http://www.eum.go.kr/web/ar/lu/luLandDet.jsp?pnu=3611025023100560002&amp;isNoScr=script&amp;mode=search",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206.6</v>
      </c>
      <c r="V1612" s="4" t="n">
        <v>575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부정형</t>
        </is>
      </c>
      <c r="AA1612" s="3" t="inlineStr">
        <is>
          <t>세로한면(가)</t>
        </is>
      </c>
    </row>
    <row r="1613">
      <c r="A1613" s="3" t="inlineStr">
        <is>
          <t>조치원읍 평리 73-1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단독</t>
        </is>
      </c>
      <c r="F1613" s="3" t="inlineStr">
        <is>
          <t>매매</t>
        </is>
      </c>
      <c r="G1613" s="4" t="n">
        <v>19500</v>
      </c>
      <c r="H1613" s="4" t="n">
        <v>0</v>
      </c>
      <c r="I1613" s="4" t="n">
        <v>188</v>
      </c>
      <c r="J1613" s="4" t="n">
        <v>57</v>
      </c>
      <c r="K1613" s="5" t="n">
        <v>342.1</v>
      </c>
      <c r="L1613" s="4" t="n">
        <v>49</v>
      </c>
      <c r="M1613" s="4" t="n">
        <v>15</v>
      </c>
      <c r="N1613" s="5" t="n">
        <v>1300</v>
      </c>
      <c r="O1613" s="3" t="inlineStr">
        <is>
          <t>조치원읍 평리 단독주택 저렴하게 나왔어요.</t>
        </is>
      </c>
      <c r="P1613" s="6">
        <f>HYPERLINK("https://fin.land.naver.com/articles/2655640138", "매물Link")</f>
        <v/>
      </c>
      <c r="Q1613" s="6">
        <f>HYPERLINK("https://map.naver.com/p/search/조치원읍 평리 73-1", "지도Link")</f>
        <v/>
      </c>
      <c r="R1613" s="6">
        <f>HYPERLINK("http://www.eum.go.kr/web/ar/lu/luLandDet.jsp?pnu=3611025023100730001&amp;isNoScr=script&amp;mode=search", "토지이음")</f>
        <v/>
      </c>
      <c r="S1613" s="3" t="inlineStr">
        <is>
          <t>세종대장</t>
        </is>
      </c>
      <c r="T1613" s="4" t="n">
        <v>1</v>
      </c>
      <c r="U1613" s="5" t="n">
        <v>120.4</v>
      </c>
      <c r="V1613" s="4" t="n">
        <v>188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부정형</t>
        </is>
      </c>
      <c r="AA1613" s="3" t="inlineStr">
        <is>
          <t>세로한면(불)</t>
        </is>
      </c>
    </row>
    <row r="1614">
      <c r="A1614" s="3" t="inlineStr">
        <is>
          <t>한솔동 1069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단독</t>
        </is>
      </c>
      <c r="F1614" s="3" t="inlineStr">
        <is>
          <t>매매</t>
        </is>
      </c>
      <c r="G1614" s="4" t="n">
        <v>155000</v>
      </c>
      <c r="H1614" s="4" t="n">
        <v>0</v>
      </c>
      <c r="I1614" s="4" t="n">
        <v>324</v>
      </c>
      <c r="J1614" s="4" t="n">
        <v>98</v>
      </c>
      <c r="K1614" s="5" t="n">
        <v>1581.6</v>
      </c>
      <c r="L1614" s="4" t="n">
        <v>249</v>
      </c>
      <c r="M1614" s="4" t="n">
        <v>75</v>
      </c>
      <c r="N1614" s="5" t="n">
        <v>2066.7</v>
      </c>
      <c r="O1614" s="3" t="inlineStr">
        <is>
          <t>해외건축가가 설계한 멋진집, 한솔동,새롬동상권이용편리,보시면 반할집</t>
        </is>
      </c>
      <c r="P1614" s="6">
        <f>HYPERLINK("https://fin.land.naver.com/articles/2653835626", "매물Link")</f>
        <v/>
      </c>
      <c r="Q1614" s="6">
        <f>HYPERLINK("https://map.naver.com/p/search/한솔동 1069", "지도Link")</f>
        <v/>
      </c>
      <c r="R1614" s="6">
        <f>HYPERLINK("http://www.eum.go.kr/web/ar/lu/luLandDet.jsp?pnu=3611010600110690000&amp;isNoScr=script&amp;mode=search", "토지이음")</f>
        <v/>
      </c>
      <c r="S1614" s="3" t="inlineStr">
        <is>
          <t>세종제일</t>
        </is>
      </c>
      <c r="T1614" s="4" t="n">
        <v>1</v>
      </c>
      <c r="U1614" s="5" t="n">
        <v>373.6</v>
      </c>
      <c r="V1614" s="4" t="n">
        <v>324.7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소로한면</t>
        </is>
      </c>
    </row>
    <row r="1615">
      <c r="A1615" s="3" t="inlineStr">
        <is>
          <t>한솔동 1069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단독</t>
        </is>
      </c>
      <c r="F1615" s="3" t="inlineStr">
        <is>
          <t>매매</t>
        </is>
      </c>
      <c r="G1615" s="4" t="n">
        <v>155000</v>
      </c>
      <c r="H1615" s="4" t="n">
        <v>0</v>
      </c>
      <c r="I1615" s="4" t="n">
        <v>324</v>
      </c>
      <c r="J1615" s="4" t="n">
        <v>98</v>
      </c>
      <c r="K1615" s="5" t="n">
        <v>1581.6</v>
      </c>
      <c r="L1615" s="4" t="n">
        <v>249</v>
      </c>
      <c r="M1615" s="4" t="n">
        <v>75</v>
      </c>
      <c r="N1615" s="5" t="n">
        <v>2066.7</v>
      </c>
      <c r="O1615" s="3" t="inlineStr">
        <is>
          <t>전용75.5p, 방6개, 화장실4개, 해외건축가가 설계한 멋진집</t>
        </is>
      </c>
      <c r="P1615" s="6">
        <f>HYPERLINK("https://fin.land.naver.com/articles/2651918512", "매물Link")</f>
        <v/>
      </c>
      <c r="Q1615" s="6">
        <f>HYPERLINK("https://map.naver.com/p/search/한솔동 1069", "지도Link")</f>
        <v/>
      </c>
      <c r="R1615" s="6">
        <f>HYPERLINK("http://www.eum.go.kr/web/ar/lu/luLandDet.jsp?pnu=3611010600110690000&amp;isNoScr=script&amp;mode=search", "토지이음")</f>
        <v/>
      </c>
      <c r="S1615" s="3" t="inlineStr">
        <is>
          <t>명진</t>
        </is>
      </c>
      <c r="T1615" s="4" t="n">
        <v>1</v>
      </c>
      <c r="U1615" s="5" t="n">
        <v>373.6</v>
      </c>
      <c r="V1615" s="4" t="n">
        <v>324.7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소로한면</t>
        </is>
      </c>
    </row>
    <row r="1616">
      <c r="A1616" s="3" t="inlineStr">
        <is>
          <t>한솔동 1069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단독</t>
        </is>
      </c>
      <c r="F1616" s="3" t="inlineStr">
        <is>
          <t>매매</t>
        </is>
      </c>
      <c r="G1616" s="4" t="n">
        <v>155000</v>
      </c>
      <c r="H1616" s="4" t="n">
        <v>0</v>
      </c>
      <c r="I1616" s="4" t="n">
        <v>324</v>
      </c>
      <c r="J1616" s="4" t="n">
        <v>98</v>
      </c>
      <c r="K1616" s="5" t="n">
        <v>1581.6</v>
      </c>
      <c r="L1616" s="4" t="n">
        <v>249</v>
      </c>
      <c r="M1616" s="4" t="n">
        <v>75</v>
      </c>
      <c r="N1616" s="5" t="n">
        <v>2066.7</v>
      </c>
      <c r="O1616" s="3" t="inlineStr">
        <is>
          <t>한솔동 고급 2층단독주택 위치좋은 조용하고 쾌적한 환경</t>
        </is>
      </c>
      <c r="P1616" s="6">
        <f>HYPERLINK("https://fin.land.naver.com/articles/2651896310", "매물Link")</f>
        <v/>
      </c>
      <c r="Q1616" s="6">
        <f>HYPERLINK("https://map.naver.com/p/search/한솔동 1069", "지도Link")</f>
        <v/>
      </c>
      <c r="R1616" s="6">
        <f>HYPERLINK("http://www.eum.go.kr/web/ar/lu/luLandDet.jsp?pnu=3611010600110690000&amp;isNoScr=script&amp;mode=search", "토지이음")</f>
        <v/>
      </c>
      <c r="S1616" s="3" t="inlineStr">
        <is>
          <t>고운동리치세종</t>
        </is>
      </c>
      <c r="T1616" s="4" t="n">
        <v>1</v>
      </c>
      <c r="U1616" s="5" t="n">
        <v>373.6</v>
      </c>
      <c r="V1616" s="4" t="n">
        <v>324.7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소로한면</t>
        </is>
      </c>
    </row>
    <row r="1617">
      <c r="A1617" s="3" t="inlineStr">
        <is>
          <t>한솔동 1069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단독</t>
        </is>
      </c>
      <c r="F1617" s="3" t="inlineStr">
        <is>
          <t>매매</t>
        </is>
      </c>
      <c r="G1617" s="4" t="n">
        <v>155000</v>
      </c>
      <c r="H1617" s="4" t="n">
        <v>0</v>
      </c>
      <c r="I1617" s="4" t="n">
        <v>324</v>
      </c>
      <c r="J1617" s="4" t="n">
        <v>98</v>
      </c>
      <c r="K1617" s="5" t="n">
        <v>1581.6</v>
      </c>
      <c r="L1617" s="4" t="n">
        <v>249</v>
      </c>
      <c r="M1617" s="4" t="n">
        <v>75</v>
      </c>
      <c r="N1617" s="5" t="n">
        <v>2066.7</v>
      </c>
      <c r="O1617" s="3" t="inlineStr">
        <is>
          <t>방6개, 화장실4개, 근린공원 인근, 고급 단독주택</t>
        </is>
      </c>
      <c r="P1617" s="6">
        <f>HYPERLINK("https://fin.land.naver.com/articles/2652839061", "매물Link")</f>
        <v/>
      </c>
      <c r="Q1617" s="6">
        <f>HYPERLINK("https://map.naver.com/p/search/한솔동 1069", "지도Link")</f>
        <v/>
      </c>
      <c r="R1617" s="6">
        <f>HYPERLINK("http://www.eum.go.kr/web/ar/lu/luLandDet.jsp?pnu=3611010600110690000&amp;isNoScr=script&amp;mode=search", "토지이음")</f>
        <v/>
      </c>
      <c r="S1617" s="3" t="inlineStr">
        <is>
          <t>세종무지개</t>
        </is>
      </c>
      <c r="T1617" s="4" t="n">
        <v>1</v>
      </c>
      <c r="U1617" s="5" t="n">
        <v>373.6</v>
      </c>
      <c r="V1617" s="4" t="n">
        <v>324.7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한솔동 1118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단독</t>
        </is>
      </c>
      <c r="F1618" s="3" t="inlineStr">
        <is>
          <t>매매</t>
        </is>
      </c>
      <c r="G1618" s="4" t="n">
        <v>127000</v>
      </c>
      <c r="H1618" s="4" t="n">
        <v>0</v>
      </c>
      <c r="I1618" s="4" t="n">
        <v>331</v>
      </c>
      <c r="J1618" s="4" t="n">
        <v>100</v>
      </c>
      <c r="K1618" s="5" t="n">
        <v>1270</v>
      </c>
      <c r="L1618" s="4" t="n">
        <v>164</v>
      </c>
      <c r="M1618" s="4" t="n">
        <v>50</v>
      </c>
      <c r="N1618" s="5" t="n">
        <v>2540</v>
      </c>
      <c r="O1618" s="3" t="inlineStr">
        <is>
          <t>공원을 접한 단독주택, 여유로움을 누려보세요</t>
        </is>
      </c>
      <c r="P1618" s="6">
        <f>HYPERLINK("https://fin.land.naver.com/articles/2652853639", "매물Link")</f>
        <v/>
      </c>
      <c r="Q1618" s="6">
        <f>HYPERLINK("https://map.naver.com/p/search/한솔동 1118", "지도Link")</f>
        <v/>
      </c>
      <c r="R1618" s="6">
        <f>HYPERLINK("http://www.eum.go.kr/web/ar/lu/luLandDet.jsp?pnu=3611010600111180000&amp;isNoScr=script&amp;mode=search", "토지이음")</f>
        <v/>
      </c>
      <c r="S1618" s="3" t="inlineStr">
        <is>
          <t>최무연</t>
        </is>
      </c>
      <c r="T1618" s="4" t="n">
        <v>2</v>
      </c>
      <c r="U1618" s="5" t="n">
        <v>373.6</v>
      </c>
      <c r="V1618" s="4" t="n">
        <v>331.3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한솔동 1118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단독</t>
        </is>
      </c>
      <c r="F1619" s="3" t="inlineStr">
        <is>
          <t>매매</t>
        </is>
      </c>
      <c r="G1619" s="4" t="n">
        <v>127000</v>
      </c>
      <c r="H1619" s="4" t="n">
        <v>0</v>
      </c>
      <c r="I1619" s="4" t="n">
        <v>331</v>
      </c>
      <c r="J1619" s="4" t="n">
        <v>100</v>
      </c>
      <c r="K1619" s="5" t="n">
        <v>1270</v>
      </c>
      <c r="L1619" s="4" t="n">
        <v>164</v>
      </c>
      <c r="M1619" s="4" t="n">
        <v>50</v>
      </c>
      <c r="N1619" s="5" t="n">
        <v>2540</v>
      </c>
      <c r="O1619" s="3" t="inlineStr">
        <is>
          <t>전용49.8p, 방3개 화장실2개, 사유지땅 사용가능</t>
        </is>
      </c>
      <c r="P1619" s="6">
        <f>HYPERLINK("https://fin.land.naver.com/articles/2654718314", "매물Link")</f>
        <v/>
      </c>
      <c r="Q1619" s="6">
        <f>HYPERLINK("https://map.naver.com/p/search/한솔동 1118", "지도Link")</f>
        <v/>
      </c>
      <c r="R1619" s="6">
        <f>HYPERLINK("http://www.eum.go.kr/web/ar/lu/luLandDet.jsp?pnu=3611010600111180000&amp;isNoScr=script&amp;mode=search", "토지이음")</f>
        <v/>
      </c>
      <c r="S1619" s="3" t="inlineStr">
        <is>
          <t>세종무지개</t>
        </is>
      </c>
      <c r="T1619" s="4" t="n">
        <v>1</v>
      </c>
      <c r="U1619" s="5" t="n">
        <v>373.6</v>
      </c>
      <c r="V1619" s="4" t="n">
        <v>331.3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한솔동 1118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단독</t>
        </is>
      </c>
      <c r="F1620" s="3" t="inlineStr">
        <is>
          <t>매매</t>
        </is>
      </c>
      <c r="G1620" s="4" t="n">
        <v>127000</v>
      </c>
      <c r="H1620" s="4" t="n">
        <v>0</v>
      </c>
      <c r="I1620" s="4" t="n">
        <v>331</v>
      </c>
      <c r="J1620" s="4" t="n">
        <v>100</v>
      </c>
      <c r="K1620" s="5" t="n">
        <v>1270</v>
      </c>
      <c r="L1620" s="4" t="n">
        <v>164</v>
      </c>
      <c r="M1620" s="4" t="n">
        <v>50</v>
      </c>
      <c r="N1620" s="5" t="n">
        <v>2540</v>
      </c>
      <c r="O1620" s="3" t="inlineStr">
        <is>
          <t>마당연결 공원전유사용 옆시유지 무상이용 2층 테라스 데크 실수요최적</t>
        </is>
      </c>
      <c r="P1620" s="6">
        <f>HYPERLINK("https://fin.land.naver.com/articles/2654871859", "매물Link")</f>
        <v/>
      </c>
      <c r="Q1620" s="6">
        <f>HYPERLINK("https://map.naver.com/p/search/한솔동 1118", "지도Link")</f>
        <v/>
      </c>
      <c r="R1620" s="6">
        <f>HYPERLINK("http://www.eum.go.kr/web/ar/lu/luLandDet.jsp?pnu=3611010600111180000&amp;isNoScr=script&amp;mode=search", "토지이음")</f>
        <v/>
      </c>
      <c r="S1620" s="3" t="inlineStr">
        <is>
          <t>삼성래미안</t>
        </is>
      </c>
      <c r="T1620" s="4" t="n">
        <v>3</v>
      </c>
      <c r="U1620" s="5" t="n">
        <v>373.6</v>
      </c>
      <c r="V1620" s="4" t="n">
        <v>331.3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한솔동 1118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127000</v>
      </c>
      <c r="H1621" s="4" t="n">
        <v>0</v>
      </c>
      <c r="I1621" s="4" t="n">
        <v>331</v>
      </c>
      <c r="J1621" s="4" t="n">
        <v>100</v>
      </c>
      <c r="K1621" s="5" t="n">
        <v>1270</v>
      </c>
      <c r="L1621" s="4" t="n">
        <v>164</v>
      </c>
      <c r="M1621" s="4" t="n">
        <v>50</v>
      </c>
      <c r="N1621" s="5" t="n">
        <v>2540</v>
      </c>
      <c r="O1621" s="3" t="inlineStr">
        <is>
          <t>세종시 상권이용편리한 단독주택  앞뒤뻥</t>
        </is>
      </c>
      <c r="P1621" s="6">
        <f>HYPERLINK("https://fin.land.naver.com/articles/2651811636", "매물Link")</f>
        <v/>
      </c>
      <c r="Q1621" s="6">
        <f>HYPERLINK("https://map.naver.com/p/search/한솔동 1118", "지도Link")</f>
        <v/>
      </c>
      <c r="R1621" s="6">
        <f>HYPERLINK("http://www.eum.go.kr/web/ar/lu/luLandDet.jsp?pnu=3611010600111180000&amp;isNoScr=script&amp;mode=search", "토지이음")</f>
        <v/>
      </c>
      <c r="S1621" s="3" t="inlineStr">
        <is>
          <t>세종믿음</t>
        </is>
      </c>
      <c r="T1621" s="4" t="n">
        <v>1</v>
      </c>
      <c r="U1621" s="5" t="n">
        <v>373.6</v>
      </c>
      <c r="V1621" s="4" t="n">
        <v>331.3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소로한면</t>
        </is>
      </c>
    </row>
    <row r="1622">
      <c r="A1622" s="3" t="inlineStr">
        <is>
          <t>한솔동 1118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127000</v>
      </c>
      <c r="H1622" s="4" t="n">
        <v>0</v>
      </c>
      <c r="I1622" s="4" t="n">
        <v>331</v>
      </c>
      <c r="J1622" s="4" t="n">
        <v>100</v>
      </c>
      <c r="K1622" s="5" t="n">
        <v>1270</v>
      </c>
      <c r="L1622" s="4" t="n">
        <v>164</v>
      </c>
      <c r="M1622" s="4" t="n">
        <v>50</v>
      </c>
      <c r="N1622" s="5" t="n">
        <v>2540</v>
      </c>
      <c r="O1622" s="3" t="inlineStr">
        <is>
          <t>공원사유지 무상이용가능, 입지 좋은 한솔동 단독주택 매매</t>
        </is>
      </c>
      <c r="P1622" s="6">
        <f>HYPERLINK("https://fin.land.naver.com/articles/2654927790", "매물Link")</f>
        <v/>
      </c>
      <c r="Q1622" s="6">
        <f>HYPERLINK("https://map.naver.com/p/search/한솔동 1118", "지도Link")</f>
        <v/>
      </c>
      <c r="R1622" s="6">
        <f>HYPERLINK("http://www.eum.go.kr/web/ar/lu/luLandDet.jsp?pnu=3611010600111180000&amp;isNoScr=script&amp;mode=search", "토지이음")</f>
        <v/>
      </c>
      <c r="S1622" s="3" t="inlineStr">
        <is>
          <t>명진</t>
        </is>
      </c>
      <c r="T1622" s="4" t="n">
        <v>1</v>
      </c>
      <c r="U1622" s="5" t="n">
        <v>373.6</v>
      </c>
      <c r="V1622" s="4" t="n">
        <v>331.3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소로한면</t>
        </is>
      </c>
    </row>
    <row r="1623">
      <c r="A1623" s="3" t="inlineStr">
        <is>
          <t>한솔동 1156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단독</t>
        </is>
      </c>
      <c r="F1623" s="3" t="inlineStr">
        <is>
          <t>매매</t>
        </is>
      </c>
      <c r="G1623" s="4" t="n">
        <v>135000</v>
      </c>
      <c r="H1623" s="4" t="n">
        <v>0</v>
      </c>
      <c r="I1623" s="4" t="n">
        <v>295</v>
      </c>
      <c r="J1623" s="4" t="n">
        <v>89</v>
      </c>
      <c r="K1623" s="5" t="n">
        <v>1516.9</v>
      </c>
      <c r="L1623" s="4" t="n">
        <v>181</v>
      </c>
      <c r="M1623" s="4" t="n">
        <v>55</v>
      </c>
      <c r="N1623" s="5" t="n">
        <v>2454.5</v>
      </c>
      <c r="O1623" s="3" t="inlineStr">
        <is>
          <t>유명건축가 멋지게 지은 집. 방4. 화장실3. 위치 최고</t>
        </is>
      </c>
      <c r="P1623" s="6">
        <f>HYPERLINK("https://fin.land.naver.com/articles/2652331501", "매물Link")</f>
        <v/>
      </c>
      <c r="Q1623" s="6">
        <f>HYPERLINK("https://map.naver.com/p/search/한솔동 1156", "지도Link")</f>
        <v/>
      </c>
      <c r="R1623" s="6">
        <f>HYPERLINK("http://www.eum.go.kr/web/ar/lu/luLandDet.jsp?pnu=3611010600111560000&amp;isNoScr=script&amp;mode=search", "토지이음")</f>
        <v/>
      </c>
      <c r="S1623" s="3" t="inlineStr">
        <is>
          <t>세종금밭</t>
        </is>
      </c>
      <c r="T1623" s="4" t="n">
        <v>1</v>
      </c>
      <c r="U1623" s="5" t="n">
        <v>391.7</v>
      </c>
      <c r="V1623" s="4" t="n">
        <v>303.1</v>
      </c>
      <c r="W1623" s="3" t="inlineStr">
        <is>
          <t>지정되지않음</t>
        </is>
      </c>
      <c r="X1623" s="3" t="inlineStr">
        <is>
          <t>주거나지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소로각지</t>
        </is>
      </c>
    </row>
    <row r="1624">
      <c r="A1624" s="3" t="inlineStr">
        <is>
          <t>한솔동 1156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135000</v>
      </c>
      <c r="H1624" s="4" t="n">
        <v>0</v>
      </c>
      <c r="I1624" s="4" t="n">
        <v>295</v>
      </c>
      <c r="J1624" s="4" t="n">
        <v>89</v>
      </c>
      <c r="K1624" s="5" t="n">
        <v>1516.9</v>
      </c>
      <c r="L1624" s="4" t="n">
        <v>181</v>
      </c>
      <c r="M1624" s="4" t="n">
        <v>55</v>
      </c>
      <c r="N1624" s="5" t="n">
        <v>2454.5</v>
      </c>
      <c r="O1624" s="3" t="inlineStr">
        <is>
          <t>급매 설계시공  대단한 건축가작품 입주 유용하게 구조 잘 지었어요</t>
        </is>
      </c>
      <c r="P1624" s="6">
        <f>HYPERLINK("https://fin.land.naver.com/articles/2652797647", "매물Link")</f>
        <v/>
      </c>
      <c r="Q1624" s="6">
        <f>HYPERLINK("https://map.naver.com/p/search/한솔동 1156", "지도Link")</f>
        <v/>
      </c>
      <c r="R1624" s="6">
        <f>HYPERLINK("http://www.eum.go.kr/web/ar/lu/luLandDet.jsp?pnu=3611010600111560000&amp;isNoScr=script&amp;mode=search", "토지이음")</f>
        <v/>
      </c>
      <c r="S1624" s="3" t="inlineStr">
        <is>
          <t>삼성래미안</t>
        </is>
      </c>
      <c r="T1624" s="4" t="n">
        <v>3</v>
      </c>
      <c r="U1624" s="5" t="n">
        <v>391.7</v>
      </c>
      <c r="V1624" s="4" t="n">
        <v>303.1</v>
      </c>
      <c r="W1624" s="3" t="inlineStr">
        <is>
          <t>지정되지않음</t>
        </is>
      </c>
      <c r="X1624" s="3" t="inlineStr">
        <is>
          <t>주거나지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소로각지</t>
        </is>
      </c>
    </row>
    <row r="1625">
      <c r="A1625" s="3" t="inlineStr">
        <is>
          <t>한솔동 1219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1</t>
        </is>
      </c>
      <c r="E1625" s="3" t="inlineStr">
        <is>
          <t>단독</t>
        </is>
      </c>
      <c r="F1625" s="3" t="inlineStr">
        <is>
          <t>매매</t>
        </is>
      </c>
      <c r="G1625" s="4" t="n">
        <v>85000</v>
      </c>
      <c r="H1625" s="4" t="n">
        <v>0</v>
      </c>
      <c r="I1625" s="4" t="n">
        <v>394</v>
      </c>
      <c r="J1625" s="4" t="n">
        <v>119</v>
      </c>
      <c r="K1625" s="5" t="n">
        <v>714.3</v>
      </c>
      <c r="L1625" s="4" t="n">
        <v>99</v>
      </c>
      <c r="M1625" s="4" t="n">
        <v>30</v>
      </c>
      <c r="N1625" s="5" t="n">
        <v>2833.3</v>
      </c>
      <c r="O1625" s="3" t="inlineStr">
        <is>
          <t>급매 추가조율협의가능 단층 철근콘크리트 가성비 주택</t>
        </is>
      </c>
      <c r="P1625" s="6">
        <f>HYPERLINK("https://fin.land.naver.com/articles/2655182662", "매물Link")</f>
        <v/>
      </c>
      <c r="Q1625" s="6">
        <f>HYPERLINK("https://map.naver.com/p/search/한솔동 1219", "지도Link")</f>
        <v/>
      </c>
      <c r="R1625" s="6">
        <f>HYPERLINK("http://www.eum.go.kr/web/ar/lu/luLandDet.jsp?pnu=3611010600112190000&amp;isNoScr=script&amp;mode=search", "토지이음")</f>
        <v/>
      </c>
      <c r="S1625" s="3" t="inlineStr">
        <is>
          <t>세종스타</t>
        </is>
      </c>
      <c r="T1625" s="4" t="n">
        <v>1</v>
      </c>
      <c r="U1625" s="5" t="n">
        <v>373.6</v>
      </c>
      <c r="V1625" s="4" t="n">
        <v>394.7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한솔동 867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단독</t>
        </is>
      </c>
      <c r="F1626" s="3" t="inlineStr">
        <is>
          <t>매매</t>
        </is>
      </c>
      <c r="G1626" s="4" t="n">
        <v>95000</v>
      </c>
      <c r="H1626" s="4" t="n">
        <v>0</v>
      </c>
      <c r="I1626" s="4" t="n">
        <v>293</v>
      </c>
      <c r="J1626" s="4" t="n">
        <v>89</v>
      </c>
      <c r="K1626" s="5" t="n">
        <v>1067.4</v>
      </c>
      <c r="L1626" s="4" t="n">
        <v>182</v>
      </c>
      <c r="M1626" s="4" t="n">
        <v>55</v>
      </c>
      <c r="N1626" s="5" t="n">
        <v>1727.3</v>
      </c>
      <c r="O1626" s="3" t="inlineStr">
        <is>
          <t>막힘없이 좋아요 좋은 위치 brt 가까운 위치 입니다 방3, 화장실 2</t>
        </is>
      </c>
      <c r="P1626" s="6">
        <f>HYPERLINK("https://fin.land.naver.com/articles/2651491871", "매물Link")</f>
        <v/>
      </c>
      <c r="Q1626" s="6">
        <f>HYPERLINK("https://map.naver.com/p/search/한솔동 867", "지도Link")</f>
        <v/>
      </c>
      <c r="R1626" s="6">
        <f>HYPERLINK("http://www.eum.go.kr/web/ar/lu/luLandDet.jsp?pnu=3611010600108670000&amp;isNoScr=script&amp;mode=search", "토지이음")</f>
        <v/>
      </c>
      <c r="S1626" s="3" t="inlineStr">
        <is>
          <t>은성</t>
        </is>
      </c>
      <c r="T1626" s="4" t="n">
        <v>1</v>
      </c>
      <c r="U1626" s="5" t="n">
        <v>427.1</v>
      </c>
      <c r="V1626" s="4" t="n">
        <v>293.3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가로장방</t>
        </is>
      </c>
      <c r="AA1626" s="3" t="inlineStr">
        <is>
          <t>소로각지</t>
        </is>
      </c>
    </row>
    <row r="1627">
      <c r="A1627" s="3" t="inlineStr">
        <is>
          <t>한솔동 899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3</t>
        </is>
      </c>
      <c r="E1627" s="3" t="inlineStr">
        <is>
          <t>단독</t>
        </is>
      </c>
      <c r="F1627" s="3" t="inlineStr">
        <is>
          <t>매매</t>
        </is>
      </c>
      <c r="G1627" s="4" t="n">
        <v>120000</v>
      </c>
      <c r="H1627" s="4" t="n">
        <v>0</v>
      </c>
      <c r="I1627" s="4" t="n">
        <v>269</v>
      </c>
      <c r="J1627" s="4" t="n">
        <v>81</v>
      </c>
      <c r="K1627" s="5" t="n">
        <v>1481.5</v>
      </c>
      <c r="L1627" s="4" t="n">
        <v>201</v>
      </c>
      <c r="M1627" s="4" t="n">
        <v>61</v>
      </c>
      <c r="N1627" s="5" t="n">
        <v>1967.2</v>
      </c>
      <c r="O1627" s="3" t="inlineStr">
        <is>
          <t>입지 좋고 공간활용도가 높은 한솔동 단독주택 매매</t>
        </is>
      </c>
      <c r="P1627" s="6">
        <f>HYPERLINK("https://fin.land.naver.com/articles/2651191540", "매물Link")</f>
        <v/>
      </c>
      <c r="Q1627" s="6">
        <f>HYPERLINK("https://map.naver.com/p/search/한솔동 899", "지도Link")</f>
        <v/>
      </c>
      <c r="R1627" s="6">
        <f>HYPERLINK("http://www.eum.go.kr/web/ar/lu/luLandDet.jsp?pnu=3611010600108990000&amp;isNoScr=script&amp;mode=search", "토지이음")</f>
        <v/>
      </c>
      <c r="S1627" s="3" t="inlineStr">
        <is>
          <t>명진</t>
        </is>
      </c>
      <c r="T1627" s="4" t="n">
        <v>1</v>
      </c>
      <c r="U1627" s="5" t="n">
        <v>418.8</v>
      </c>
      <c r="V1627" s="4" t="n">
        <v>269.1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소로각지</t>
        </is>
      </c>
    </row>
    <row r="1628">
      <c r="A1628" s="3" t="inlineStr">
        <is>
          <t>한솔동 899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단독</t>
        </is>
      </c>
      <c r="F1628" s="3" t="inlineStr">
        <is>
          <t>매매</t>
        </is>
      </c>
      <c r="G1628" s="4" t="n">
        <v>120000</v>
      </c>
      <c r="H1628" s="4" t="n">
        <v>0</v>
      </c>
      <c r="I1628" s="4" t="n">
        <v>269</v>
      </c>
      <c r="J1628" s="4" t="n">
        <v>81</v>
      </c>
      <c r="K1628" s="5" t="n">
        <v>1481.5</v>
      </c>
      <c r="L1628" s="4" t="n">
        <v>201</v>
      </c>
      <c r="M1628" s="4" t="n">
        <v>61</v>
      </c>
      <c r="N1628" s="5" t="n">
        <v>1967.2</v>
      </c>
      <c r="O1628" s="3" t="inlineStr">
        <is>
          <t>태양광, 풀에어컨, 주차2대, 한솔동 입지 좋은 주택 매매</t>
        </is>
      </c>
      <c r="P1628" s="6">
        <f>HYPERLINK("https://fin.land.naver.com/articles/2650428908", "매물Link")</f>
        <v/>
      </c>
      <c r="Q1628" s="6">
        <f>HYPERLINK("https://map.naver.com/p/search/한솔동 899", "지도Link")</f>
        <v/>
      </c>
      <c r="R1628" s="6">
        <f>HYPERLINK("http://www.eum.go.kr/web/ar/lu/luLandDet.jsp?pnu=3611010600108990000&amp;isNoScr=script&amp;mode=search", "토지이음")</f>
        <v/>
      </c>
      <c r="S1628" s="3" t="inlineStr">
        <is>
          <t>세종무지개</t>
        </is>
      </c>
      <c r="T1628" s="4" t="n">
        <v>1</v>
      </c>
      <c r="U1628" s="5" t="n">
        <v>418.8</v>
      </c>
      <c r="V1628" s="4" t="n">
        <v>269.1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소로각지</t>
        </is>
      </c>
    </row>
    <row r="1629">
      <c r="A1629" s="3" t="inlineStr">
        <is>
          <t>한솔동 903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2</t>
        </is>
      </c>
      <c r="E1629" s="3" t="inlineStr">
        <is>
          <t>단독</t>
        </is>
      </c>
      <c r="F1629" s="3" t="inlineStr">
        <is>
          <t>매매</t>
        </is>
      </c>
      <c r="G1629" s="4" t="n">
        <v>115000</v>
      </c>
      <c r="H1629" s="4" t="n">
        <v>0</v>
      </c>
      <c r="I1629" s="4" t="n">
        <v>256</v>
      </c>
      <c r="J1629" s="4" t="n">
        <v>77</v>
      </c>
      <c r="K1629" s="5" t="n">
        <v>1493.5</v>
      </c>
      <c r="L1629" s="4" t="n">
        <v>183</v>
      </c>
      <c r="M1629" s="4" t="n">
        <v>55</v>
      </c>
      <c r="N1629" s="5" t="n">
        <v>2090.9</v>
      </c>
      <c r="O1629" s="3" t="inlineStr">
        <is>
          <t>신축 단독주택, 학원가 도보 가능, 태양광</t>
        </is>
      </c>
      <c r="P1629" s="6">
        <f>HYPERLINK("https://fin.land.naver.com/articles/2653580243", "매물Link")</f>
        <v/>
      </c>
      <c r="Q1629" s="6">
        <f>HYPERLINK("https://map.naver.com/p/search/한솔동 903", "지도Link")</f>
        <v/>
      </c>
      <c r="R1629" s="6">
        <f>HYPERLINK("http://www.eum.go.kr/web/ar/lu/luLandDet.jsp?pnu=3611010600109030000&amp;isNoScr=script&amp;mode=search", "토지이음")</f>
        <v/>
      </c>
      <c r="S1629" s="3" t="inlineStr">
        <is>
          <t>세종무지개</t>
        </is>
      </c>
      <c r="T1629" s="4" t="n">
        <v>1</v>
      </c>
      <c r="U1629" s="5" t="n">
        <v>427.1</v>
      </c>
      <c r="V1629" s="4" t="n">
        <v>256.8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가로장방</t>
        </is>
      </c>
      <c r="AA1629" s="3" t="inlineStr">
        <is>
          <t>소로각지</t>
        </is>
      </c>
    </row>
    <row r="1630">
      <c r="A1630" s="3" t="inlineStr">
        <is>
          <t>한솔동 903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115000</v>
      </c>
      <c r="H1630" s="4" t="n">
        <v>0</v>
      </c>
      <c r="I1630" s="4" t="n">
        <v>256</v>
      </c>
      <c r="J1630" s="4" t="n">
        <v>77</v>
      </c>
      <c r="K1630" s="5" t="n">
        <v>1493.5</v>
      </c>
      <c r="L1630" s="4" t="n">
        <v>183</v>
      </c>
      <c r="M1630" s="4" t="n">
        <v>55</v>
      </c>
      <c r="N1630" s="5" t="n">
        <v>2090.9</v>
      </c>
      <c r="O1630" s="3" t="inlineStr">
        <is>
          <t>한솔동 최선호 D1구역 단독주택 새롬동학원가도보7분 BRT역도보12분</t>
        </is>
      </c>
      <c r="P1630" s="6">
        <f>HYPERLINK("https://fin.land.naver.com/articles/2655176679", "매물Link")</f>
        <v/>
      </c>
      <c r="Q1630" s="6">
        <f>HYPERLINK("https://map.naver.com/p/search/한솔동 903", "지도Link")</f>
        <v/>
      </c>
      <c r="R1630" s="6">
        <f>HYPERLINK("http://www.eum.go.kr/web/ar/lu/luLandDet.jsp?pnu=3611010600109030000&amp;isNoScr=script&amp;mode=search", "토지이음")</f>
        <v/>
      </c>
      <c r="S1630" s="3" t="inlineStr">
        <is>
          <t>세종스타</t>
        </is>
      </c>
      <c r="T1630" s="4" t="n">
        <v>2</v>
      </c>
      <c r="U1630" s="5" t="n">
        <v>427.1</v>
      </c>
      <c r="V1630" s="4" t="n">
        <v>256.8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가로장방</t>
        </is>
      </c>
      <c r="AA1630" s="3" t="inlineStr">
        <is>
          <t>소로각지</t>
        </is>
      </c>
    </row>
    <row r="1631">
      <c r="A1631" s="3" t="inlineStr">
        <is>
          <t>한솔동 903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115000</v>
      </c>
      <c r="H1631" s="4" t="n">
        <v>0</v>
      </c>
      <c r="I1631" s="4" t="n">
        <v>256</v>
      </c>
      <c r="J1631" s="4" t="n">
        <v>77</v>
      </c>
      <c r="K1631" s="5" t="n">
        <v>1493.5</v>
      </c>
      <c r="L1631" s="4" t="n">
        <v>183</v>
      </c>
      <c r="M1631" s="4" t="n">
        <v>55</v>
      </c>
      <c r="N1631" s="5" t="n">
        <v>2090.9</v>
      </c>
      <c r="O1631" s="3" t="inlineStr">
        <is>
          <t>전용55.6p, 층고 높은 신축 단독주택, 태양광, 주차2대</t>
        </is>
      </c>
      <c r="P1631" s="6">
        <f>HYPERLINK("https://fin.land.naver.com/articles/2654919666", "매물Link")</f>
        <v/>
      </c>
      <c r="Q1631" s="6">
        <f>HYPERLINK("https://map.naver.com/p/search/한솔동 903", "지도Link")</f>
        <v/>
      </c>
      <c r="R1631" s="6">
        <f>HYPERLINK("http://www.eum.go.kr/web/ar/lu/luLandDet.jsp?pnu=3611010600109030000&amp;isNoScr=script&amp;mode=search", "토지이음")</f>
        <v/>
      </c>
      <c r="S1631" s="3" t="inlineStr">
        <is>
          <t>명진</t>
        </is>
      </c>
      <c r="T1631" s="4" t="n">
        <v>1</v>
      </c>
      <c r="U1631" s="5" t="n">
        <v>427.1</v>
      </c>
      <c r="V1631" s="4" t="n">
        <v>256.8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가로장방</t>
        </is>
      </c>
      <c r="AA1631" s="3" t="inlineStr">
        <is>
          <t>소로각지</t>
        </is>
      </c>
    </row>
    <row r="1632">
      <c r="A1632" s="3" t="inlineStr">
        <is>
          <t>한솔동 964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135000</v>
      </c>
      <c r="H1632" s="4" t="n">
        <v>0</v>
      </c>
      <c r="I1632" s="4" t="n">
        <v>295</v>
      </c>
      <c r="J1632" s="4" t="n">
        <v>89</v>
      </c>
      <c r="K1632" s="5" t="n">
        <v>1516.9</v>
      </c>
      <c r="L1632" s="4" t="n">
        <v>181</v>
      </c>
      <c r="M1632" s="4" t="n">
        <v>55</v>
      </c>
      <c r="N1632" s="5" t="n">
        <v>2454.5</v>
      </c>
      <c r="O1632" s="3" t="inlineStr">
        <is>
          <t>한솔동 단독주택 햇빛 잘들고 조용한집</t>
        </is>
      </c>
      <c r="P1632" s="6">
        <f>HYPERLINK("https://fin.land.naver.com/articles/2651495321", "매물Link")</f>
        <v/>
      </c>
      <c r="Q1632" s="6">
        <f>HYPERLINK("https://map.naver.com/p/search/한솔동 964", "지도Link")</f>
        <v/>
      </c>
      <c r="R1632" s="6">
        <f>HYPERLINK("http://www.eum.go.kr/web/ar/lu/luLandDet.jsp?pnu=3611010600109640000&amp;isNoScr=script&amp;mode=search", "토지이음")</f>
        <v/>
      </c>
      <c r="S1632" s="3" t="inlineStr">
        <is>
          <t>세종믿음</t>
        </is>
      </c>
      <c r="T1632" s="4" t="n">
        <v>1</v>
      </c>
      <c r="U1632" s="5" t="n">
        <v>985.8</v>
      </c>
      <c r="V1632" s="4" t="n">
        <v>2623.4</v>
      </c>
      <c r="W1632" s="3" t="inlineStr">
        <is>
          <t>지정되지않음</t>
        </is>
      </c>
      <c r="X1632" s="3" t="inlineStr">
        <is>
          <t>업무용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한솔동 996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단독</t>
        </is>
      </c>
      <c r="F1633" s="3" t="inlineStr">
        <is>
          <t>매매</t>
        </is>
      </c>
      <c r="G1633" s="4" t="n">
        <v>120000</v>
      </c>
      <c r="H1633" s="4" t="n">
        <v>0</v>
      </c>
      <c r="I1633" s="4" t="n">
        <v>396</v>
      </c>
      <c r="J1633" s="4" t="n">
        <v>120</v>
      </c>
      <c r="K1633" s="5" t="n">
        <v>1000</v>
      </c>
      <c r="L1633" s="4" t="n">
        <v>154</v>
      </c>
      <c r="M1633" s="4" t="n">
        <v>47</v>
      </c>
      <c r="N1633" s="5" t="n">
        <v>2553.2</v>
      </c>
      <c r="O1633" s="3" t="inlineStr">
        <is>
          <t>nan</t>
        </is>
      </c>
      <c r="P1633" s="6">
        <f>HYPERLINK("https://fin.land.naver.com/articles/2652015648", "매물Link")</f>
        <v/>
      </c>
      <c r="Q1633" s="6">
        <f>HYPERLINK("https://map.naver.com/p/search/한솔동 996", "지도Link")</f>
        <v/>
      </c>
      <c r="R1633" s="6">
        <f>HYPERLINK("http://www.eum.go.kr/web/ar/lu/luLandDet.jsp?pnu=3611010600109960000&amp;isNoScr=script&amp;mode=search", "토지이음")</f>
        <v/>
      </c>
      <c r="S1633" s="3" t="inlineStr">
        <is>
          <t>그래그</t>
        </is>
      </c>
      <c r="T1633" s="4" t="n">
        <v>1</v>
      </c>
      <c r="U1633" s="5" t="n">
        <v>296.8</v>
      </c>
      <c r="V1633" s="4" t="n">
        <v>396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사다리형</t>
        </is>
      </c>
      <c r="AA1633" s="3" t="inlineStr">
        <is>
          <t>소로한면</t>
        </is>
      </c>
    </row>
    <row r="1634">
      <c r="A1634" s="3" t="inlineStr">
        <is>
          <t>한솔동 997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130000</v>
      </c>
      <c r="H1634" s="4" t="n">
        <v>0</v>
      </c>
      <c r="I1634" s="4" t="n">
        <v>393</v>
      </c>
      <c r="J1634" s="4" t="n">
        <v>119</v>
      </c>
      <c r="K1634" s="5" t="n">
        <v>1092.4</v>
      </c>
      <c r="L1634" s="4" t="n">
        <v>196</v>
      </c>
      <c r="M1634" s="4" t="n">
        <v>59</v>
      </c>
      <c r="N1634" s="5" t="n">
        <v>2203.4</v>
      </c>
      <c r="O1634" s="3" t="inlineStr">
        <is>
          <t>급매 1년차 최신축 현대식 세련된 내부인테리어 방3개 욕실3개</t>
        </is>
      </c>
      <c r="P1634" s="6">
        <f>HYPERLINK("https://fin.land.naver.com/articles/2652943099", "매물Link")</f>
        <v/>
      </c>
      <c r="Q1634" s="6">
        <f>HYPERLINK("https://map.naver.com/p/search/한솔동 997", "지도Link")</f>
        <v/>
      </c>
      <c r="R1634" s="6">
        <f>HYPERLINK("http://www.eum.go.kr/web/ar/lu/luLandDet.jsp?pnu=3611010600109970000&amp;isNoScr=script&amp;mode=search", "토지이음")</f>
        <v/>
      </c>
      <c r="S1634" s="3" t="inlineStr">
        <is>
          <t>세종스타</t>
        </is>
      </c>
      <c r="T1634" s="4" t="n">
        <v>1</v>
      </c>
      <c r="U1634" s="5" t="n">
        <v>302.8</v>
      </c>
      <c r="V1634" s="4" t="n">
        <v>393</v>
      </c>
      <c r="W1634" s="3" t="inlineStr">
        <is>
          <t>지정되지않음</t>
        </is>
      </c>
      <c r="X1634" s="3" t="inlineStr">
        <is>
          <t>주거나지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해밀동 665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전원주택</t>
        </is>
      </c>
      <c r="F1635" s="3" t="inlineStr">
        <is>
          <t>월세</t>
        </is>
      </c>
      <c r="G1635" s="4" t="n">
        <v>6000</v>
      </c>
      <c r="H1635" s="4" t="n">
        <v>160</v>
      </c>
      <c r="I1635" s="4" t="n">
        <v>34</v>
      </c>
      <c r="J1635" s="4" t="n">
        <v>10</v>
      </c>
      <c r="K1635" s="5" t="n">
        <v>16</v>
      </c>
      <c r="L1635" s="4" t="n">
        <v>933</v>
      </c>
      <c r="M1635" s="4" t="n">
        <v>282</v>
      </c>
      <c r="N1635" s="5" t="n">
        <v>0.6</v>
      </c>
      <c r="O1635" s="3" t="inlineStr">
        <is>
          <t>해밀동 라포르테 단독주택 월세</t>
        </is>
      </c>
      <c r="P1635" s="6">
        <f>HYPERLINK("https://fin.land.naver.com/articles/2654687962", "매물Link")</f>
        <v/>
      </c>
      <c r="Q1635" s="6">
        <f>HYPERLINK("https://map.naver.com/p/search/해밀동 665", "지도Link")</f>
        <v/>
      </c>
      <c r="R1635" s="6">
        <f>HYPERLINK("http://www.eum.go.kr/web/ar/lu/luLandDet.jsp?pnu=3611011600106650000&amp;isNoScr=script&amp;mode=search", "토지이음")</f>
        <v/>
      </c>
      <c r="S1635" s="3" t="inlineStr">
        <is>
          <t>태양</t>
        </is>
      </c>
      <c r="T1635" s="4" t="n">
        <v>1</v>
      </c>
      <c r="U1635" s="5" t="n">
        <v>215.1</v>
      </c>
      <c r="V1635" s="4" t="n">
        <v>34519</v>
      </c>
      <c r="W1635" s="3" t="inlineStr">
        <is>
          <t>지정되지않음</t>
        </is>
      </c>
      <c r="X1635" s="3" t="inlineStr">
        <is>
          <t>연립</t>
        </is>
      </c>
      <c r="Y1635" s="3" t="inlineStr">
        <is>
          <t>평지</t>
        </is>
      </c>
      <c r="Z1635" s="3" t="inlineStr">
        <is>
          <t>부정형</t>
        </is>
      </c>
      <c r="AA1635" s="3" t="inlineStr">
        <is>
          <t>광대소각</t>
        </is>
      </c>
    </row>
    <row r="1636">
      <c r="A1636" s="3" t="inlineStr">
        <is>
          <t>해밀동 674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월세</t>
        </is>
      </c>
      <c r="G1636" s="4" t="n">
        <v>50000</v>
      </c>
      <c r="H1636" s="4" t="n">
        <v>120</v>
      </c>
      <c r="I1636" s="4" t="n">
        <v>0</v>
      </c>
      <c r="J1636" s="4" t="n">
        <v>0</v>
      </c>
      <c r="K1636" s="5" t="n">
        <v>0</v>
      </c>
      <c r="L1636" s="4" t="n">
        <v>200</v>
      </c>
      <c r="M1636" s="4" t="n">
        <v>60</v>
      </c>
      <c r="N1636" s="5" t="n">
        <v>2</v>
      </c>
      <c r="O1636" s="3" t="inlineStr">
        <is>
          <t>단독타운하우스 1.2층과 다락</t>
        </is>
      </c>
      <c r="P1636" s="6">
        <f>HYPERLINK("https://fin.land.naver.com/articles/2655314009", "매물Link")</f>
        <v/>
      </c>
      <c r="Q1636" s="6">
        <f>HYPERLINK("https://map.naver.com/p/search/해밀동 674", "지도Link")</f>
        <v/>
      </c>
      <c r="R1636" s="6">
        <f>HYPERLINK("http://www.eum.go.kr/web/ar/lu/luLandDet.jsp?pnu=3611011600106740000&amp;isNoScr=script&amp;mode=search", "토지이음")</f>
        <v/>
      </c>
      <c r="S1636" s="3" t="inlineStr">
        <is>
          <t>킹세종</t>
        </is>
      </c>
      <c r="T1636" s="4" t="n">
        <v>1</v>
      </c>
      <c r="U1636" s="5" t="n">
        <v>243.4</v>
      </c>
      <c r="V1636" s="4" t="n">
        <v>9076.4</v>
      </c>
      <c r="W1636" s="3" t="inlineStr">
        <is>
          <t>지정되지않음</t>
        </is>
      </c>
      <c r="X1636" s="3" t="inlineStr">
        <is>
          <t>주거나지</t>
        </is>
      </c>
      <c r="Y1636" s="3" t="inlineStr">
        <is>
          <t>평지</t>
        </is>
      </c>
      <c r="Z1636" s="3" t="inlineStr">
        <is>
          <t>사다리형</t>
        </is>
      </c>
      <c r="AA1636" s="3" t="inlineStr">
        <is>
          <t>중로각지</t>
        </is>
      </c>
    </row>
    <row r="1637">
      <c r="A1637" s="3" t="inlineStr">
        <is>
          <t>해밀동 674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월세</t>
        </is>
      </c>
      <c r="G1637" s="4" t="n">
        <v>50000</v>
      </c>
      <c r="H1637" s="4" t="n">
        <v>120</v>
      </c>
      <c r="I1637" s="4" t="n">
        <v>241</v>
      </c>
      <c r="J1637" s="4" t="n">
        <v>73</v>
      </c>
      <c r="K1637" s="5" t="n">
        <v>1.6</v>
      </c>
      <c r="L1637" s="4" t="n">
        <v>232</v>
      </c>
      <c r="M1637" s="4" t="n">
        <v>70</v>
      </c>
      <c r="N1637" s="5" t="n">
        <v>1.7</v>
      </c>
      <c r="O1637" s="3" t="inlineStr">
        <is>
          <t>리즈데이즈 12월말부터 입주가능 보증금월세 탄력조율</t>
        </is>
      </c>
      <c r="P1637" s="6">
        <f>HYPERLINK("https://fin.land.naver.com/articles/2651299492", "매물Link")</f>
        <v/>
      </c>
      <c r="Q1637" s="6">
        <f>HYPERLINK("https://map.naver.com/p/search/해밀동 674", "지도Link")</f>
        <v/>
      </c>
      <c r="R1637" s="6">
        <f>HYPERLINK("http://www.eum.go.kr/web/ar/lu/luLandDet.jsp?pnu=3611011600106740000&amp;isNoScr=script&amp;mode=search", "토지이음")</f>
        <v/>
      </c>
      <c r="S1637" s="3" t="inlineStr">
        <is>
          <t>세종스타</t>
        </is>
      </c>
      <c r="T1637" s="4" t="n">
        <v>1</v>
      </c>
      <c r="U1637" s="5" t="n">
        <v>243.4</v>
      </c>
      <c r="V1637" s="4" t="n">
        <v>9076.4</v>
      </c>
      <c r="W1637" s="3" t="inlineStr">
        <is>
          <t>지정되지않음</t>
        </is>
      </c>
      <c r="X1637" s="3" t="inlineStr">
        <is>
          <t>주거나지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중로각지</t>
        </is>
      </c>
    </row>
    <row r="1638">
      <c r="A1638" s="3" t="inlineStr">
        <is>
          <t>해밀동 692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1</t>
        </is>
      </c>
      <c r="E1638" s="3" t="inlineStr">
        <is>
          <t>단독</t>
        </is>
      </c>
      <c r="F1638" s="3" t="inlineStr">
        <is>
          <t>전세</t>
        </is>
      </c>
      <c r="G1638" s="4" t="n">
        <v>90000</v>
      </c>
      <c r="H1638" s="4" t="n">
        <v>0</v>
      </c>
      <c r="I1638" s="4" t="n">
        <v>231</v>
      </c>
      <c r="J1638" s="4" t="n">
        <v>70</v>
      </c>
      <c r="K1638" s="5" t="n">
        <v>1285.7</v>
      </c>
      <c r="L1638" s="4" t="n">
        <v>219</v>
      </c>
      <c r="M1638" s="4" t="n">
        <v>66</v>
      </c>
      <c r="N1638" s="5" t="n">
        <v>1363.6</v>
      </c>
      <c r="O1638" s="3" t="inlineStr">
        <is>
          <t>nan</t>
        </is>
      </c>
      <c r="P1638" s="6">
        <f>HYPERLINK("https://fin.land.naver.com/articles/2650183763", "매물Link")</f>
        <v/>
      </c>
      <c r="Q1638" s="6">
        <f>HYPERLINK("https://map.naver.com/p/search/해밀동 692", "지도Link")</f>
        <v/>
      </c>
      <c r="R1638" s="6">
        <f>HYPERLINK("http://www.eum.go.kr/web/ar/lu/luLandDet.jsp?pnu=3611011600106920000&amp;isNoScr=script&amp;mode=search", "토지이음")</f>
        <v/>
      </c>
      <c r="S1638" s="3" t="inlineStr">
        <is>
          <t>세종스타</t>
        </is>
      </c>
      <c r="T1638" s="4" t="n">
        <v>1</v>
      </c>
      <c r="U1638" s="5" t="n">
        <v>243.4</v>
      </c>
      <c r="V1638" s="4" t="n">
        <v>6242.7</v>
      </c>
      <c r="W1638" s="3" t="inlineStr">
        <is>
          <t>지정되지않음</t>
        </is>
      </c>
      <c r="X1638" s="3" t="inlineStr">
        <is>
          <t>주거나지</t>
        </is>
      </c>
      <c r="Y1638" s="3" t="inlineStr">
        <is>
          <t>평지</t>
        </is>
      </c>
      <c r="Z1638" s="3" t="inlineStr">
        <is>
          <t>사다리형</t>
        </is>
      </c>
      <c r="AA1638" s="3" t="inlineStr">
        <is>
          <t>중로각지</t>
        </is>
      </c>
    </row>
    <row r="1639">
      <c r="A1639" s="3" t="inlineStr">
        <is>
          <t>해밀동 692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단독</t>
        </is>
      </c>
      <c r="F1639" s="3" t="inlineStr">
        <is>
          <t>전세</t>
        </is>
      </c>
      <c r="G1639" s="4" t="n">
        <v>100000</v>
      </c>
      <c r="H1639" s="4" t="n">
        <v>0</v>
      </c>
      <c r="I1639" s="4" t="n">
        <v>0</v>
      </c>
      <c r="J1639" s="4" t="n">
        <v>0</v>
      </c>
      <c r="K1639" s="5" t="n">
        <v>0</v>
      </c>
      <c r="L1639" s="4" t="n">
        <v>219</v>
      </c>
      <c r="M1639" s="4" t="n">
        <v>66</v>
      </c>
      <c r="N1639" s="5" t="n">
        <v>1515.2</v>
      </c>
      <c r="O1639" s="3" t="inlineStr">
        <is>
          <t>복층형 누다락써비스공간 방4 화장실3 내집마당 테라스2 융무전세</t>
        </is>
      </c>
      <c r="P1639" s="6">
        <f>HYPERLINK("https://fin.land.naver.com/articles/2653793299", "매물Link")</f>
        <v/>
      </c>
      <c r="Q1639" s="6">
        <f>HYPERLINK("https://map.naver.com/p/search/해밀동 692", "지도Link")</f>
        <v/>
      </c>
      <c r="R1639" s="6">
        <f>HYPERLINK("http://www.eum.go.kr/web/ar/lu/luLandDet.jsp?pnu=3611011600106920000&amp;isNoScr=script&amp;mode=search", "토지이음")</f>
        <v/>
      </c>
      <c r="S1639" s="3" t="inlineStr">
        <is>
          <t>홍기표</t>
        </is>
      </c>
      <c r="T1639" s="4" t="n">
        <v>1</v>
      </c>
      <c r="U1639" s="5" t="n">
        <v>243.4</v>
      </c>
      <c r="V1639" s="4" t="n">
        <v>6242.7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중로각지</t>
        </is>
      </c>
    </row>
    <row r="1640">
      <c r="A1640" s="3" t="inlineStr">
        <is>
          <t>해밀동 692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전세</t>
        </is>
      </c>
      <c r="G1640" s="4" t="n">
        <v>100000</v>
      </c>
      <c r="H1640" s="4" t="n">
        <v>0</v>
      </c>
      <c r="I1640" s="4" t="n">
        <v>558</v>
      </c>
      <c r="J1640" s="4" t="n">
        <v>169</v>
      </c>
      <c r="K1640" s="5" t="n">
        <v>591.7</v>
      </c>
      <c r="L1640" s="4" t="n">
        <v>222</v>
      </c>
      <c r="M1640" s="4" t="n">
        <v>67</v>
      </c>
      <c r="N1640" s="5" t="n">
        <v>1492.5</v>
      </c>
      <c r="O1640" s="3" t="inlineStr">
        <is>
          <t>해밀동 고급 타운하우스 시그니매종 전세 010 3819 3805</t>
        </is>
      </c>
      <c r="P1640" s="6">
        <f>HYPERLINK("https://fin.land.naver.com/articles/2654473736", "매물Link")</f>
        <v/>
      </c>
      <c r="Q1640" s="6">
        <f>HYPERLINK("https://map.naver.com/p/search/해밀동 692", "지도Link")</f>
        <v/>
      </c>
      <c r="R1640" s="6">
        <f>HYPERLINK("http://www.eum.go.kr/web/ar/lu/luLandDet.jsp?pnu=3611011600106920000&amp;isNoScr=script&amp;mode=search", "토지이음")</f>
        <v/>
      </c>
      <c r="S1640" s="3" t="inlineStr">
        <is>
          <t>국제</t>
        </is>
      </c>
      <c r="T1640" s="4" t="n">
        <v>1</v>
      </c>
      <c r="U1640" s="5" t="n">
        <v>243.4</v>
      </c>
      <c r="V1640" s="4" t="n">
        <v>6242.7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중로각지</t>
        </is>
      </c>
    </row>
    <row r="1641">
      <c r="A1641" s="3" t="inlineStr">
        <is>
          <t>해밀동 692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전세</t>
        </is>
      </c>
      <c r="G1641" s="4" t="n">
        <v>100000</v>
      </c>
      <c r="H1641" s="4" t="n">
        <v>0</v>
      </c>
      <c r="I1641" s="4" t="n">
        <v>257</v>
      </c>
      <c r="J1641" s="4" t="n">
        <v>78</v>
      </c>
      <c r="K1641" s="5" t="n">
        <v>1282.1</v>
      </c>
      <c r="L1641" s="4" t="n">
        <v>219</v>
      </c>
      <c r="M1641" s="4" t="n">
        <v>66</v>
      </c>
      <c r="N1641" s="5" t="n">
        <v>1515.2</v>
      </c>
      <c r="O1641" s="3" t="inlineStr">
        <is>
          <t>융무귀한전세매물, 방4, 화장실3</t>
        </is>
      </c>
      <c r="P1641" s="6">
        <f>HYPERLINK("https://fin.land.naver.com/articles/2652916996", "매물Link")</f>
        <v/>
      </c>
      <c r="Q1641" s="6">
        <f>HYPERLINK("https://map.naver.com/p/search/해밀동 692", "지도Link")</f>
        <v/>
      </c>
      <c r="R1641" s="6">
        <f>HYPERLINK("http://www.eum.go.kr/web/ar/lu/luLandDet.jsp?pnu=3611011600106920000&amp;isNoScr=script&amp;mode=search", "토지이음")</f>
        <v/>
      </c>
      <c r="S1641" s="3" t="inlineStr">
        <is>
          <t>세종국제</t>
        </is>
      </c>
      <c r="T1641" s="4" t="n">
        <v>1</v>
      </c>
      <c r="U1641" s="5" t="n">
        <v>243.4</v>
      </c>
      <c r="V1641" s="4" t="n">
        <v>6242.7</v>
      </c>
      <c r="W1641" s="3" t="inlineStr">
        <is>
          <t>지정되지않음</t>
        </is>
      </c>
      <c r="X1641" s="3" t="inlineStr">
        <is>
          <t>주거나지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중로각지</t>
        </is>
      </c>
    </row>
    <row r="1642">
      <c r="A1642" s="3" t="inlineStr">
        <is>
          <t>해밀동 692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1</t>
        </is>
      </c>
      <c r="E1642" s="3" t="inlineStr">
        <is>
          <t>단독</t>
        </is>
      </c>
      <c r="F1642" s="3" t="inlineStr">
        <is>
          <t>전세</t>
        </is>
      </c>
      <c r="G1642" s="4" t="n">
        <v>100000</v>
      </c>
      <c r="H1642" s="4" t="n">
        <v>0</v>
      </c>
      <c r="I1642" s="4" t="n">
        <v>118</v>
      </c>
      <c r="J1642" s="4" t="n">
        <v>36</v>
      </c>
      <c r="K1642" s="5" t="n">
        <v>2777.8</v>
      </c>
      <c r="L1642" s="4" t="n">
        <v>106</v>
      </c>
      <c r="M1642" s="4" t="n">
        <v>32</v>
      </c>
      <c r="N1642" s="5" t="n">
        <v>3125</v>
      </c>
      <c r="O1642" s="3" t="inlineStr">
        <is>
          <t>해밀동 고급 타운하우스 시그니매종 전세 010 3819 3805</t>
        </is>
      </c>
      <c r="P1642" s="6">
        <f>HYPERLINK("https://fin.land.naver.com/articles/2653180854", "매물Link")</f>
        <v/>
      </c>
      <c r="Q1642" s="6">
        <f>HYPERLINK("https://map.naver.com/p/search/해밀동 692", "지도Link")</f>
        <v/>
      </c>
      <c r="R1642" s="6">
        <f>HYPERLINK("http://www.eum.go.kr/web/ar/lu/luLandDet.jsp?pnu=3611011600106920000&amp;isNoScr=script&amp;mode=search", "토지이음")</f>
        <v/>
      </c>
      <c r="S1642" s="3" t="inlineStr">
        <is>
          <t>국제</t>
        </is>
      </c>
      <c r="T1642" s="4" t="n">
        <v>1</v>
      </c>
      <c r="U1642" s="5" t="n">
        <v>243.4</v>
      </c>
      <c r="V1642" s="4" t="n">
        <v>6242.7</v>
      </c>
      <c r="W1642" s="3" t="inlineStr">
        <is>
          <t>지정되지않음</t>
        </is>
      </c>
      <c r="X1642" s="3" t="inlineStr">
        <is>
          <t>주거나지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중로각지</t>
        </is>
      </c>
    </row>
    <row r="1643">
      <c r="A1643" s="3" t="inlineStr">
        <is>
          <t>해밀동 694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1</t>
        </is>
      </c>
      <c r="E1643" s="3" t="inlineStr">
        <is>
          <t>단독</t>
        </is>
      </c>
      <c r="F1643" s="3" t="inlineStr">
        <is>
          <t>전세</t>
        </is>
      </c>
      <c r="G1643" s="4" t="n">
        <v>65000</v>
      </c>
      <c r="H1643" s="4" t="n">
        <v>0</v>
      </c>
      <c r="I1643" s="4" t="n">
        <v>0</v>
      </c>
      <c r="J1643" s="4" t="n">
        <v>0</v>
      </c>
      <c r="K1643" s="5" t="n">
        <v>0</v>
      </c>
      <c r="L1643" s="4" t="n">
        <v>173</v>
      </c>
      <c r="M1643" s="4" t="n">
        <v>52</v>
      </c>
      <c r="N1643" s="5" t="n">
        <v>1250</v>
      </c>
      <c r="O1643" s="3" t="inlineStr">
        <is>
          <t>신축 즉시입주가능 방4개 욕실3개 태양광시공</t>
        </is>
      </c>
      <c r="P1643" s="6">
        <f>HYPERLINK("https://fin.land.naver.com/articles/2652918023", "매물Link")</f>
        <v/>
      </c>
      <c r="Q1643" s="6">
        <f>HYPERLINK("https://map.naver.com/p/search/해밀동 694", "지도Link")</f>
        <v/>
      </c>
      <c r="R1643" s="6">
        <f>HYPERLINK("http://www.eum.go.kr/web/ar/lu/luLandDet.jsp?pnu=3611011600106940000&amp;isNoScr=script&amp;mode=search", "토지이음")</f>
        <v/>
      </c>
      <c r="S1643" s="3" t="inlineStr">
        <is>
          <t>세종스타</t>
        </is>
      </c>
      <c r="T1643" s="4" t="n">
        <v>2</v>
      </c>
      <c r="U1643" s="5" t="n">
        <v>227.3</v>
      </c>
      <c r="V1643" s="4" t="n">
        <v>7358.1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부정형</t>
        </is>
      </c>
      <c r="AA1643" s="3" t="inlineStr">
        <is>
          <t>중로한면</t>
        </is>
      </c>
    </row>
    <row r="1644">
      <c r="A1644" s="3" t="inlineStr">
        <is>
          <t>해밀동 701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월세</t>
        </is>
      </c>
      <c r="G1644" s="4" t="n">
        <v>5000</v>
      </c>
      <c r="H1644" s="4" t="n">
        <v>250</v>
      </c>
      <c r="I1644" s="4" t="n">
        <v>0</v>
      </c>
      <c r="J1644" s="4" t="n">
        <v>0</v>
      </c>
      <c r="K1644" s="5" t="n">
        <v>0</v>
      </c>
      <c r="L1644" s="4" t="n">
        <v>167</v>
      </c>
      <c r="M1644" s="4" t="n">
        <v>51</v>
      </c>
      <c r="N1644" s="5" t="n">
        <v>4.9</v>
      </c>
      <c r="O1644" s="3" t="inlineStr">
        <is>
          <t>방3, 가족실, 거실, 테라스, 에어컨6대, 조용한 복층 타운하우스</t>
        </is>
      </c>
      <c r="P1644" s="6">
        <f>HYPERLINK("https://fin.land.naver.com/articles/2650740639", "매물Link")</f>
        <v/>
      </c>
      <c r="Q1644" s="6">
        <f>HYPERLINK("https://map.naver.com/p/search/해밀동 701", "지도Link")</f>
        <v/>
      </c>
      <c r="R1644" s="6">
        <f>HYPERLINK("http://www.eum.go.kr/web/ar/lu/luLandDet.jsp?pnu=3611011600107010000&amp;isNoScr=script&amp;mode=search", "토지이음")</f>
        <v/>
      </c>
      <c r="S1644" s="3" t="inlineStr">
        <is>
          <t>다정한길</t>
        </is>
      </c>
      <c r="T1644" s="4" t="n">
        <v>1</v>
      </c>
      <c r="U1644" s="5" t="n">
        <v>219.8</v>
      </c>
      <c r="V1644" s="4" t="n">
        <v>3265.3</v>
      </c>
      <c r="W1644" s="3" t="inlineStr">
        <is>
          <t>지정되지않음</t>
        </is>
      </c>
      <c r="X1644" s="3" t="inlineStr">
        <is>
          <t>주거나지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소로한면</t>
        </is>
      </c>
    </row>
    <row r="1645">
      <c r="A1645" s="3" t="inlineStr">
        <is>
          <t>현도면 노산리 264</t>
        </is>
      </c>
      <c r="B1645" s="3" t="inlineStr">
        <is>
          <t>제1종일반주거지역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매매</t>
        </is>
      </c>
      <c r="G1645" s="4" t="n">
        <v>80000</v>
      </c>
      <c r="H1645" s="4" t="n">
        <v>0</v>
      </c>
      <c r="I1645" s="4" t="n">
        <v>503</v>
      </c>
      <c r="J1645" s="4" t="n">
        <v>152</v>
      </c>
      <c r="K1645" s="5" t="n">
        <v>526.3</v>
      </c>
      <c r="L1645" s="4" t="n">
        <v>99</v>
      </c>
      <c r="M1645" s="4" t="n">
        <v>30</v>
      </c>
      <c r="N1645" s="5" t="n">
        <v>2666.7</v>
      </c>
      <c r="O1645" s="3" t="inlineStr">
        <is>
          <t>아주 귀한 경치 좋고 조경 잘 되어 있는 마당 넓은 고급 한옥주택 매매</t>
        </is>
      </c>
      <c r="P1645" s="6">
        <f>HYPERLINK("https://fin.land.naver.com/articles/2652931148", "매물Link")</f>
        <v/>
      </c>
      <c r="Q1645" s="6">
        <f>HYPERLINK("https://map.naver.com/p/search/현도면 노산리 264", "지도Link")</f>
        <v/>
      </c>
      <c r="R1645" s="6">
        <f>HYPERLINK("http://www.eum.go.kr/web/ar/lu/luLandDet.jsp?pnu=4311232030102640000&amp;isNoScr=script&amp;mode=search", "토지이음")</f>
        <v/>
      </c>
      <c r="S1645" s="3" t="inlineStr">
        <is>
          <t>대전토지로무소</t>
        </is>
      </c>
      <c r="T1645" s="4" t="n">
        <v>1</v>
      </c>
      <c r="U1645" s="5" t="n">
        <v>56.3</v>
      </c>
      <c r="V1645" s="4" t="n">
        <v>542.7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세로한면(불)</t>
        </is>
      </c>
    </row>
    <row r="1646">
      <c r="A1646" s="3" t="inlineStr">
        <is>
          <t>현도면 노산리 744</t>
        </is>
      </c>
      <c r="B1646" s="3" t="inlineStr">
        <is>
          <t>제1종일반주거지역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70000</v>
      </c>
      <c r="H1646" s="4" t="n">
        <v>0</v>
      </c>
      <c r="I1646" s="4" t="n">
        <v>532</v>
      </c>
      <c r="J1646" s="4" t="n">
        <v>161</v>
      </c>
      <c r="K1646" s="5" t="n">
        <v>434.8</v>
      </c>
      <c r="L1646" s="4" t="n">
        <v>152</v>
      </c>
      <c r="M1646" s="4" t="n">
        <v>46</v>
      </c>
      <c r="N1646" s="5" t="n">
        <v>1521.7</v>
      </c>
      <c r="O1646" s="3" t="inlineStr">
        <is>
          <t>접근로 좋은 잔디밭의 넓은마당과 주변환경 좋은 전원주택입니다.</t>
        </is>
      </c>
      <c r="P1646" s="6">
        <f>HYPERLINK("https://fin.land.naver.com/articles/2655657732", "매물Link")</f>
        <v/>
      </c>
      <c r="Q1646" s="6">
        <f>HYPERLINK("https://map.naver.com/p/search/현도면 노산리 744", "지도Link")</f>
        <v/>
      </c>
      <c r="R1646" s="6">
        <f>HYPERLINK("http://www.eum.go.kr/web/ar/lu/luLandDet.jsp?pnu=4311232030107440000&amp;isNoScr=script&amp;mode=search", "토지이음")</f>
        <v/>
      </c>
      <c r="S1646" s="3" t="inlineStr">
        <is>
          <t>이삭</t>
        </is>
      </c>
      <c r="T1646" s="4" t="n">
        <v>1</v>
      </c>
      <c r="U1646" s="5" t="n">
        <v>66.2</v>
      </c>
      <c r="V1646" s="4" t="n">
        <v>559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세로한면(가)</t>
        </is>
      </c>
    </row>
    <row r="1647">
      <c r="A1647" s="3" t="inlineStr">
        <is>
          <t>현도면 달계리 569</t>
        </is>
      </c>
      <c r="B1647" s="3" t="inlineStr">
        <is>
          <t>제1종일반주거지역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39000</v>
      </c>
      <c r="H1647" s="4" t="n">
        <v>0</v>
      </c>
      <c r="I1647" s="4" t="n">
        <v>369</v>
      </c>
      <c r="J1647" s="4" t="n">
        <v>112</v>
      </c>
      <c r="K1647" s="5" t="n">
        <v>348.2</v>
      </c>
      <c r="L1647" s="4" t="n">
        <v>196</v>
      </c>
      <c r="M1647" s="4" t="n">
        <v>59</v>
      </c>
      <c r="N1647" s="5" t="n">
        <v>661</v>
      </c>
      <c r="O1647" s="3" t="inlineStr">
        <is>
          <t>2층 전원 주택, 마당있는 오래 되지 않은 깔끔한 집</t>
        </is>
      </c>
      <c r="P1647" s="6">
        <f>HYPERLINK("https://fin.land.naver.com/articles/2654178077", "매물Link")</f>
        <v/>
      </c>
      <c r="Q1647" s="6">
        <f>HYPERLINK("https://map.naver.com/p/search/현도면 달계리 569", "지도Link")</f>
        <v/>
      </c>
      <c r="R1647" s="6">
        <f>HYPERLINK("http://www.eum.go.kr/web/ar/lu/luLandDet.jsp?pnu=4311232031105690000&amp;isNoScr=script&amp;mode=search", "토지이음")</f>
        <v/>
      </c>
      <c r="S1647" s="3" t="inlineStr">
        <is>
          <t>복돼지</t>
        </is>
      </c>
      <c r="T1647" s="4" t="n">
        <v>1</v>
      </c>
      <c r="U1647" s="5" t="n">
        <v>96</v>
      </c>
      <c r="V1647" s="4" t="n">
        <v>380.4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사다리형</t>
        </is>
      </c>
      <c r="AA1647" s="3" t="inlineStr">
        <is>
          <t>세로한면(가)</t>
        </is>
      </c>
    </row>
    <row r="1648">
      <c r="A1648" s="3" t="inlineStr">
        <is>
          <t>현도면 매봉리 224-12</t>
        </is>
      </c>
      <c r="B1648" s="3" t="inlineStr">
        <is>
          <t>일반상업지역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95000</v>
      </c>
      <c r="H1648" s="4" t="n">
        <v>0</v>
      </c>
      <c r="I1648" s="4" t="n">
        <v>576</v>
      </c>
      <c r="J1648" s="4" t="n">
        <v>174</v>
      </c>
      <c r="K1648" s="5" t="n">
        <v>546</v>
      </c>
      <c r="L1648" s="4" t="n">
        <v>154</v>
      </c>
      <c r="M1648" s="4" t="n">
        <v>47</v>
      </c>
      <c r="N1648" s="5" t="n">
        <v>2021.3</v>
      </c>
      <c r="O1648" s="3" t="inlineStr">
        <is>
          <t>충북 청주시 서원구 현도면 매봉리 상업지역내 단독주택 급매</t>
        </is>
      </c>
      <c r="P1648" s="6">
        <f>HYPERLINK("https://fin.land.naver.com/articles/2650902869", "매물Link")</f>
        <v/>
      </c>
      <c r="Q1648" s="6">
        <f>HYPERLINK("https://map.naver.com/p/search/현도면 매봉리 224-12", "지도Link")</f>
        <v/>
      </c>
      <c r="R1648" s="6">
        <f>HYPERLINK("http://www.eum.go.kr/web/ar/lu/luLandDet.jsp?pnu=4311232032102240012&amp;isNoScr=script&amp;mode=search", "토지이음")</f>
        <v/>
      </c>
      <c r="S1648" s="3" t="inlineStr">
        <is>
          <t>리얼바인</t>
        </is>
      </c>
      <c r="T1648" s="4" t="n">
        <v>1</v>
      </c>
      <c r="U1648" s="5" t="n">
        <v>88.5</v>
      </c>
      <c r="V1648" s="4" t="n">
        <v>576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세로한면(가)</t>
        </is>
      </c>
    </row>
    <row r="1649">
      <c r="A1649" s="3" t="inlineStr">
        <is>
          <t>현도면 매봉리 224-12</t>
        </is>
      </c>
      <c r="B1649" s="3" t="inlineStr">
        <is>
          <t>일반상업지역</t>
        </is>
      </c>
      <c r="C1649" s="3" t="inlineStr">
        <is>
          <t>대</t>
        </is>
      </c>
      <c r="D1649" s="3" t="inlineStr">
        <is>
          <t>1</t>
        </is>
      </c>
      <c r="E1649" s="3" t="inlineStr">
        <is>
          <t>단독</t>
        </is>
      </c>
      <c r="F1649" s="3" t="inlineStr">
        <is>
          <t>매매</t>
        </is>
      </c>
      <c r="G1649" s="4" t="n">
        <v>95000</v>
      </c>
      <c r="H1649" s="4" t="n">
        <v>0</v>
      </c>
      <c r="I1649" s="4" t="n">
        <v>576</v>
      </c>
      <c r="J1649" s="4" t="n">
        <v>174</v>
      </c>
      <c r="K1649" s="5" t="n">
        <v>546</v>
      </c>
      <c r="L1649" s="4" t="n">
        <v>70</v>
      </c>
      <c r="M1649" s="4" t="n">
        <v>21</v>
      </c>
      <c r="N1649" s="5" t="n">
        <v>4523.8</v>
      </c>
      <c r="O1649" s="3" t="inlineStr">
        <is>
          <t>nan</t>
        </is>
      </c>
      <c r="P1649" s="6">
        <f>HYPERLINK("https://fin.land.naver.com/articles/2653056887", "매물Link")</f>
        <v/>
      </c>
      <c r="Q1649" s="6">
        <f>HYPERLINK("https://map.naver.com/p/search/현도면 매봉리 224-12", "지도Link")</f>
        <v/>
      </c>
      <c r="R1649" s="6">
        <f>HYPERLINK("http://www.eum.go.kr/web/ar/lu/luLandDet.jsp?pnu=4311232032102240012&amp;isNoScr=script&amp;mode=search", "토지이음")</f>
        <v/>
      </c>
      <c r="S1649" s="3" t="inlineStr">
        <is>
          <t>Home</t>
        </is>
      </c>
      <c r="T1649" s="4" t="n">
        <v>1</v>
      </c>
      <c r="U1649" s="5" t="n">
        <v>88.5</v>
      </c>
      <c r="V1649" s="4" t="n">
        <v>576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사다리형</t>
        </is>
      </c>
      <c r="AA1649" s="3" t="inlineStr">
        <is>
          <t>세로한면(가)</t>
        </is>
      </c>
    </row>
    <row r="1650">
      <c r="A1650" s="3" t="inlineStr">
        <is>
          <t>현도면 시동리 259-5</t>
        </is>
      </c>
      <c r="B1650" s="3" t="inlineStr">
        <is>
          <t>생산관리지역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26000</v>
      </c>
      <c r="H1650" s="4" t="n">
        <v>0</v>
      </c>
      <c r="I1650" s="4" t="n">
        <v>1053</v>
      </c>
      <c r="J1650" s="4" t="n">
        <v>319</v>
      </c>
      <c r="K1650" s="5" t="n">
        <v>81.5</v>
      </c>
      <c r="L1650" s="4" t="n">
        <v>77</v>
      </c>
      <c r="M1650" s="4" t="n">
        <v>23</v>
      </c>
      <c r="N1650" s="5" t="n">
        <v>1130.4</v>
      </c>
      <c r="O1650" s="3" t="inlineStr">
        <is>
          <t>주택포함 3필지 매매, 생산관리지역, 신탄진지역 차로 10분 거리</t>
        </is>
      </c>
      <c r="P1650" s="6">
        <f>HYPERLINK("https://fin.land.naver.com/articles/2651238631", "매물Link")</f>
        <v/>
      </c>
      <c r="Q1650" s="6">
        <f>HYPERLINK("https://map.naver.com/p/search/현도면 시동리 259-5", "지도Link")</f>
        <v/>
      </c>
      <c r="R1650" s="6">
        <f>HYPERLINK("http://www.eum.go.kr/web/ar/lu/luLandDet.jsp?pnu=4311232025102590005&amp;isNoScr=script&amp;mode=search", "토지이음")</f>
        <v/>
      </c>
      <c r="S1650" s="3" t="inlineStr">
        <is>
          <t>복돼지</t>
        </is>
      </c>
      <c r="T1650" s="4" t="n">
        <v>1</v>
      </c>
      <c r="U1650" s="5" t="n">
        <v>32.5</v>
      </c>
      <c r="V1650" s="4" t="n">
        <v>454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세로한면(가)</t>
        </is>
      </c>
    </row>
    <row r="1651">
      <c r="A1651" s="3" t="inlineStr">
        <is>
          <t>현도면 시동리 506</t>
        </is>
      </c>
      <c r="B1651" s="3" t="inlineStr">
        <is>
          <t>생산관리지역</t>
        </is>
      </c>
      <c r="C1651" s="3" t="inlineStr">
        <is>
          <t>도로</t>
        </is>
      </c>
      <c r="D1651" s="3" t="inlineStr">
        <is>
          <t>1</t>
        </is>
      </c>
      <c r="E1651" s="3" t="inlineStr">
        <is>
          <t>전원주택</t>
        </is>
      </c>
      <c r="F1651" s="3" t="inlineStr">
        <is>
          <t>매매</t>
        </is>
      </c>
      <c r="G1651" s="4" t="n">
        <v>60000</v>
      </c>
      <c r="H1651" s="4" t="n">
        <v>0</v>
      </c>
      <c r="I1651" s="4" t="n">
        <v>1166</v>
      </c>
      <c r="J1651" s="4" t="n">
        <v>353</v>
      </c>
      <c r="K1651" s="5" t="n">
        <v>170</v>
      </c>
      <c r="L1651" s="4" t="n">
        <v>132</v>
      </c>
      <c r="M1651" s="4" t="n">
        <v>40</v>
      </c>
      <c r="N1651" s="5" t="n">
        <v>1500</v>
      </c>
      <c r="O1651" s="3" t="inlineStr">
        <is>
          <t>황토로 지은 한옥, 야외 정자, 저온저장고 포함</t>
        </is>
      </c>
      <c r="P1651" s="6">
        <f>HYPERLINK("https://fin.land.naver.com/articles/2652512985", "매물Link")</f>
        <v/>
      </c>
      <c r="Q1651" s="6">
        <f>HYPERLINK("https://map.naver.com/p/search/현도면 시동리 506", "지도Link")</f>
        <v/>
      </c>
      <c r="R1651" s="6">
        <f>HYPERLINK("http://www.eum.go.kr/web/ar/lu/luLandDet.jsp?pnu=4311232025105060000&amp;isNoScr=script&amp;mode=search", "토지이음")</f>
        <v/>
      </c>
      <c r="S1651" s="3" t="inlineStr">
        <is>
          <t>남청주IC</t>
        </is>
      </c>
      <c r="T1651" s="4" t="n">
        <v>1</v>
      </c>
      <c r="U1651" s="5" t="n">
        <v>8.5</v>
      </c>
      <c r="V1651" s="4" t="n">
        <v>1226</v>
      </c>
      <c r="W1651" s="3" t="inlineStr">
        <is>
          <t>지정되지않음</t>
        </is>
      </c>
      <c r="X1651" s="3" t="inlineStr">
        <is>
          <t>도로등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세로한면(가)</t>
        </is>
      </c>
    </row>
    <row r="1652">
      <c r="A1652" s="3" t="inlineStr">
        <is>
          <t>현도면 우록리 478-2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1</t>
        </is>
      </c>
      <c r="E1652" s="3" t="inlineStr">
        <is>
          <t>단독</t>
        </is>
      </c>
      <c r="F1652" s="3" t="inlineStr">
        <is>
          <t>매매</t>
        </is>
      </c>
      <c r="G1652" s="4" t="n">
        <v>25000</v>
      </c>
      <c r="H1652" s="4" t="n">
        <v>0</v>
      </c>
      <c r="I1652" s="4" t="n">
        <v>468</v>
      </c>
      <c r="J1652" s="4" t="n">
        <v>142</v>
      </c>
      <c r="K1652" s="5" t="n">
        <v>176.1</v>
      </c>
      <c r="L1652" s="4" t="n">
        <v>99</v>
      </c>
      <c r="M1652" s="4" t="n">
        <v>30</v>
      </c>
      <c r="N1652" s="5" t="n">
        <v>833.3</v>
      </c>
      <c r="O1652" s="3" t="inlineStr">
        <is>
          <t>텃밭과 튼튼하게 지어진 단독주택, 실거주추천, 시세대비저렴</t>
        </is>
      </c>
      <c r="P1652" s="6">
        <f>HYPERLINK("https://fin.land.naver.com/articles/2655508523", "매물Link")</f>
        <v/>
      </c>
      <c r="Q1652" s="6">
        <f>HYPERLINK("https://map.naver.com/p/search/현도면 우록리 478-2", "지도Link")</f>
        <v/>
      </c>
      <c r="R1652" s="6">
        <f>HYPERLINK("http://www.eum.go.kr/web/ar/lu/luLandDet.jsp?pnu=4311232024104780002&amp;isNoScr=script&amp;mode=search", "토지이음")</f>
        <v/>
      </c>
      <c r="S1652" s="3" t="inlineStr">
        <is>
          <t>세종복댕이</t>
        </is>
      </c>
      <c r="T1652" s="4" t="n">
        <v>1</v>
      </c>
      <c r="U1652" s="5" t="n">
        <v>42.7</v>
      </c>
      <c r="V1652" s="4" t="n">
        <v>468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부정형</t>
        </is>
      </c>
      <c r="AA1652" s="3" t="inlineStr">
        <is>
          <t>세로한면(가)</t>
        </is>
      </c>
    </row>
    <row r="1653">
      <c r="A1653" s="3" t="inlineStr">
        <is>
          <t>현도면 죽전리 653-4</t>
        </is>
      </c>
      <c r="B1653" s="3" t="inlineStr">
        <is>
          <t>계획관리지역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58000</v>
      </c>
      <c r="H1653" s="4" t="n">
        <v>0</v>
      </c>
      <c r="I1653" s="4" t="n">
        <v>632</v>
      </c>
      <c r="J1653" s="4" t="n">
        <v>191</v>
      </c>
      <c r="K1653" s="5" t="n">
        <v>303.7</v>
      </c>
      <c r="L1653" s="4" t="n">
        <v>260</v>
      </c>
      <c r="M1653" s="4" t="n">
        <v>79</v>
      </c>
      <c r="N1653" s="5" t="n">
        <v>734.2</v>
      </c>
      <c r="O1653" s="3" t="inlineStr">
        <is>
          <t>옥포초등학교 근처 전원주택, 2층으로 마당과 주차공간 있는 이쁜 집</t>
        </is>
      </c>
      <c r="P1653" s="6">
        <f>HYPERLINK("https://fin.land.naver.com/articles/2655015994", "매물Link")</f>
        <v/>
      </c>
      <c r="Q1653" s="6">
        <f>HYPERLINK("https://map.naver.com/p/search/현도면 죽전리 653-4", "지도Link")</f>
        <v/>
      </c>
      <c r="R1653" s="6">
        <f>HYPERLINK("http://www.eum.go.kr/web/ar/lu/luLandDet.jsp?pnu=4311232023106530004&amp;isNoScr=script&amp;mode=search", "토지이음")</f>
        <v/>
      </c>
      <c r="S1653" s="3" t="inlineStr">
        <is>
          <t>복돼지</t>
        </is>
      </c>
      <c r="T1653" s="4" t="n">
        <v>1</v>
      </c>
      <c r="U1653" s="5" t="n">
        <v>47.8</v>
      </c>
      <c r="V1653" s="4" t="n">
        <v>632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완경사</t>
        </is>
      </c>
      <c r="Z1653" s="3" t="inlineStr">
        <is>
          <t>사다리형</t>
        </is>
      </c>
      <c r="AA1653" s="3" t="inlineStr">
        <is>
          <t>세로한면(가)</t>
        </is>
      </c>
    </row>
    <row r="1654">
      <c r="A1654" s="3" t="inlineStr">
        <is>
          <t>현도면 하석리 183</t>
        </is>
      </c>
      <c r="B1654" s="3" t="inlineStr">
        <is>
          <t>자연녹지지역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전원주택</t>
        </is>
      </c>
      <c r="F1654" s="3" t="inlineStr">
        <is>
          <t>매매</t>
        </is>
      </c>
      <c r="G1654" s="4" t="n">
        <v>35000</v>
      </c>
      <c r="H1654" s="4" t="n">
        <v>0</v>
      </c>
      <c r="I1654" s="4" t="n">
        <v>1114</v>
      </c>
      <c r="J1654" s="4" t="n">
        <v>337</v>
      </c>
      <c r="K1654" s="5" t="n">
        <v>103.9</v>
      </c>
      <c r="L1654" s="4" t="n">
        <v>111</v>
      </c>
      <c r="M1654" s="4" t="n">
        <v>34</v>
      </c>
      <c r="N1654" s="5" t="n">
        <v>1029.4</v>
      </c>
      <c r="O1654" s="3" t="inlineStr">
        <is>
          <t>nan</t>
        </is>
      </c>
      <c r="P1654" s="6">
        <f>HYPERLINK("https://fin.land.naver.com/articles/2650891171", "매물Link")</f>
        <v/>
      </c>
      <c r="Q1654" s="6">
        <f>HYPERLINK("https://map.naver.com/p/search/현도면 하석리 183", "지도Link")</f>
        <v/>
      </c>
      <c r="R1654" s="6">
        <f>HYPERLINK("http://www.eum.go.kr/web/ar/lu/luLandDet.jsp?pnu=4311232029101830000&amp;isNoScr=script&amp;mode=search", "토지이음")</f>
        <v/>
      </c>
      <c r="S1654" s="3" t="inlineStr">
        <is>
          <t>대웅</t>
        </is>
      </c>
      <c r="T1654" s="4" t="n">
        <v>1</v>
      </c>
      <c r="U1654" s="5" t="n">
        <v>32.6</v>
      </c>
      <c r="V1654" s="4" t="n">
        <v>810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완경사</t>
        </is>
      </c>
      <c r="Z1654" s="3" t="inlineStr">
        <is>
          <t>사다리형</t>
        </is>
      </c>
      <c r="AA1654" s="3" t="inlineStr">
        <is>
          <t>세로한면(가)</t>
        </is>
      </c>
    </row>
  </sheetData>
  <autoFilter ref="A1:AA16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4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HYPERLINK("https://fin.land.naver.com/articles/2655230483",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212-1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21660</v>
      </c>
      <c r="G4" s="4" t="n">
        <v>755</v>
      </c>
      <c r="H4" s="4" t="n">
        <v>228</v>
      </c>
      <c r="I4" s="5" t="n">
        <v>95</v>
      </c>
      <c r="J4" s="5" t="n">
        <v>31.1</v>
      </c>
      <c r="K4" s="3" t="inlineStr">
        <is>
          <t>현장위치 좋음. 농막 등</t>
        </is>
      </c>
      <c r="L4" s="6">
        <f>HYPERLINK("https://fin.land.naver.com/articles/2655256898", "매물Link")</f>
        <v/>
      </c>
      <c r="M4" s="6">
        <f>HYPERLINK("https://map.naver.com/p/search/강내면 궁현리 212-1", "지도Link")</f>
        <v/>
      </c>
      <c r="N4" s="6">
        <f>HYPERLINK("http://www.eum.go.kr/web/ar/lu/luLandDet.jsp?pnu=4311331022102120001&amp;isNoScr=script&amp;mode=search", "토지이음")</f>
        <v/>
      </c>
      <c r="O4" s="3" t="inlineStr">
        <is>
          <t>부광</t>
        </is>
      </c>
      <c r="P4" s="4" t="n">
        <v>1</v>
      </c>
      <c r="Q4" s="4" t="n">
        <v>755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HYPERLINK("https://fin.land.naver.com/articles/2655520927",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HYPERLINK("https://fin.land.naver.com/articles/2654852161",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HYPERLINK("https://fin.land.naver.com/articles/2655195134",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HYPERLINK("https://fin.land.naver.com/articles/2655085892",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HYPERLINK("https://fin.land.naver.com/articles/2655307907",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HYPERLINK("https://fin.land.naver.com/articles/2655101125",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2060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HYPERLINK("https://fin.land.naver.com/articles/2655101878",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2060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1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HYPERLINK("https://fin.land.naver.com/articles/2655104240",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HYPERLINK("https://fin.land.naver.com/articles/2654719768",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HYPERLINK("https://fin.land.naver.com/articles/2654700738",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1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206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119000</v>
      </c>
      <c r="G88" s="4" t="n">
        <v>2916</v>
      </c>
      <c r="H88" s="4" t="n">
        <v>882</v>
      </c>
      <c r="I88" s="5" t="n">
        <v>134.9</v>
      </c>
      <c r="J88" s="5" t="n">
        <v>21.7</v>
      </c>
      <c r="K88" s="3" t="inlineStr">
        <is>
          <t>2차선 2차선 코너도로접 강내ic 바로인접지역</t>
        </is>
      </c>
      <c r="L88" s="6">
        <f>HYPERLINK("https://fin.land.naver.com/articles/2650429532", "매물Link")</f>
        <v/>
      </c>
      <c r="M88" s="6">
        <f>HYPERLINK("https://map.naver.com/p/search/강내면 연정리 206", "지도Link")</f>
        <v/>
      </c>
      <c r="N88" s="6">
        <f>HYPERLINK("http://www.eum.go.kr/web/ar/lu/luLandDet.jsp?pnu=4311331021102060000&amp;isNoScr=script&amp;mode=search",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2815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대</t>
        </is>
      </c>
      <c r="E90" s="3" t="inlineStr">
        <is>
          <t>매매</t>
        </is>
      </c>
      <c r="F90" s="4" t="n">
        <v>16320</v>
      </c>
      <c r="G90" s="4" t="n">
        <v>899</v>
      </c>
      <c r="H90" s="4" t="n">
        <v>272</v>
      </c>
      <c r="I90" s="5" t="n">
        <v>60</v>
      </c>
      <c r="J90" s="5" t="n">
        <v>6.4</v>
      </c>
      <c r="K90" s="3" t="inlineStr">
        <is>
          <t>토목완료 건축허가득 정남향 급매</t>
        </is>
      </c>
      <c r="L90" s="6">
        <f>HYPERLINK("https://fin.land.naver.com/articles/2650887261",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월곡리 129-2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73200</v>
      </c>
      <c r="G91" s="4" t="n">
        <v>808</v>
      </c>
      <c r="H91" s="4" t="n">
        <v>244</v>
      </c>
      <c r="I91" s="5" t="n">
        <v>300</v>
      </c>
      <c r="J91" s="5" t="n">
        <v>41.6</v>
      </c>
      <c r="K91" s="3" t="inlineStr">
        <is>
          <t>한면이 도시계획 계획 도로에 접함, 900여세대 아파트 배후지</t>
        </is>
      </c>
      <c r="L91" s="6">
        <f>HYPERLINK("https://fin.land.naver.com/articles/2654699619", "매물Link")</f>
        <v/>
      </c>
      <c r="M91" s="6">
        <f>HYPERLINK("https://map.naver.com/p/search/강내면 월곡리 129-2", "지도Link")</f>
        <v/>
      </c>
      <c r="N91" s="6">
        <f>HYPERLINK("http://www.eum.go.kr/web/ar/lu/luLandDet.jsp?pnu=4311331034101290002&amp;isNoScr=script&amp;mode=search",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611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132</t>
        </is>
      </c>
      <c r="B92" s="3" t="inlineStr">
        <is>
          <t>제2종일반주거지역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60000</v>
      </c>
      <c r="G92" s="4" t="n">
        <v>1147</v>
      </c>
      <c r="H92" s="4" t="n">
        <v>347</v>
      </c>
      <c r="I92" s="5" t="n">
        <v>172.9</v>
      </c>
      <c r="J92" s="5" t="n">
        <v>146.5</v>
      </c>
      <c r="K92" s="3" t="inlineStr">
        <is>
          <t>nan</t>
        </is>
      </c>
      <c r="L92" s="6">
        <f>HYPERLINK("https://fin.land.naver.com/articles/2655490667", "매물Link")</f>
        <v/>
      </c>
      <c r="M92" s="6">
        <f>HYPERLINK("https://map.naver.com/p/search/강내면 월곡리 132", "지도Link")</f>
        <v/>
      </c>
      <c r="N92" s="6">
        <f>HYPERLINK("http://www.eum.go.kr/web/ar/lu/luLandDet.jsp?pnu=4311331034101320000&amp;isNoScr=script&amp;mode=search", "토지이음")</f>
        <v/>
      </c>
      <c r="O92" s="3" t="inlineStr">
        <is>
          <t>일등</t>
        </is>
      </c>
      <c r="P92" s="4" t="n">
        <v>1</v>
      </c>
      <c r="Q92" s="4" t="n">
        <v>1147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소로한면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HYPERLINK("https://fin.land.naver.com/articles/2655492258",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HYPERLINK("https://fin.land.naver.com/articles/2650156118",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HYPERLINK("https://fin.land.naver.com/articles/2650671105",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HYPERLINK("https://fin.land.naver.com/articles/2655044096",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HYPERLINK("https://fin.land.naver.com/articles/2654644860",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HYPERLINK("https://fin.land.naver.com/articles/2654890468",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HYPERLINK("https://fin.land.naver.com/articles/2655194833",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13-2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51500</v>
      </c>
      <c r="G139" s="4" t="n">
        <v>1309</v>
      </c>
      <c r="H139" s="4" t="n">
        <v>396</v>
      </c>
      <c r="I139" s="5" t="n">
        <v>130.1</v>
      </c>
      <c r="J139" s="5" t="n">
        <v>41.4</v>
      </c>
      <c r="K139" s="3" t="inlineStr">
        <is>
          <t>조용한 전원주택지</t>
        </is>
      </c>
      <c r="L139" s="6">
        <f>HYPERLINK("https://fin.land.naver.com/articles/2653407760", "매물Link")</f>
        <v/>
      </c>
      <c r="M139" s="6">
        <f>HYPERLINK("https://map.naver.com/p/search/강내면 탑연리 13-2", "지도Link")</f>
        <v/>
      </c>
      <c r="N139" s="6">
        <f>HYPERLINK("http://www.eum.go.kr/web/ar/lu/luLandDet.jsp?pnu=4311331031100130002&amp;isNoScr=script&amp;mode=search", "토지이음")</f>
        <v/>
      </c>
      <c r="O139" s="3" t="inlineStr">
        <is>
          <t>G세계로무소</t>
        </is>
      </c>
      <c r="P139" s="4" t="n">
        <v>1</v>
      </c>
      <c r="Q139" s="4" t="n">
        <v>1309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135-7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32000</v>
      </c>
      <c r="G140" s="4" t="n">
        <v>397</v>
      </c>
      <c r="H140" s="4" t="n">
        <v>120</v>
      </c>
      <c r="I140" s="5" t="n">
        <v>266.7</v>
      </c>
      <c r="J140" s="5" t="n">
        <v>72.7</v>
      </c>
      <c r="K140" s="3" t="inlineStr">
        <is>
          <t>강내면 탑연리 토지매매, 건페율 60, 건축가능</t>
        </is>
      </c>
      <c r="L140" s="6">
        <f>HYPERLINK("https://fin.land.naver.com/articles/2653852233", "매물Link")</f>
        <v/>
      </c>
      <c r="M140" s="6">
        <f>HYPERLINK("https://map.naver.com/p/search/강내면 탑연리 135-7", "지도Link")</f>
        <v/>
      </c>
      <c r="N140" s="6">
        <f>HYPERLINK("http://www.eum.go.kr/web/ar/lu/luLandDet.jsp?pnu=4311331031101350007&amp;isNoScr=script&amp;mode=search", "토지이음")</f>
        <v/>
      </c>
      <c r="O140" s="3" t="inlineStr">
        <is>
          <t>진</t>
        </is>
      </c>
      <c r="P140" s="4" t="n">
        <v>1</v>
      </c>
      <c r="Q140" s="4" t="n">
        <v>397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147-5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41000</v>
      </c>
      <c r="G141" s="4" t="n">
        <v>151</v>
      </c>
      <c r="H141" s="4" t="n">
        <v>46</v>
      </c>
      <c r="I141" s="5" t="n">
        <v>891.3</v>
      </c>
      <c r="J141" s="5" t="n">
        <v>199.6</v>
      </c>
      <c r="K141" s="3" t="inlineStr">
        <is>
          <t>상업지역, 꼬마빌딩, 카페, 사무소, 금액조율 협의 가능</t>
        </is>
      </c>
      <c r="L141" s="6">
        <f>HYPERLINK("https://fin.land.naver.com/articles/2654701720", "매물Link")</f>
        <v/>
      </c>
      <c r="M141" s="6">
        <f>HYPERLINK("https://map.naver.com/p/search/강내면 탑연리 147-5", "지도Link")</f>
        <v/>
      </c>
      <c r="N141" s="6">
        <f>HYPERLINK("http://www.eum.go.kr/web/ar/lu/luLandDet.jsp?pnu=4311331031101470005&amp;isNoScr=script&amp;mode=search",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151</v>
      </c>
      <c r="R141" s="3" t="inlineStr">
        <is>
          <t>지정되지않음</t>
        </is>
      </c>
      <c r="S141" s="3" t="inlineStr">
        <is>
          <t>상업나지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탑연리 205-1</t>
        </is>
      </c>
      <c r="B142" s="3" t="inlineStr">
        <is>
          <t>생산녹지지역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70000</v>
      </c>
      <c r="G142" s="4" t="n">
        <v>1908</v>
      </c>
      <c r="H142" s="4" t="n">
        <v>577</v>
      </c>
      <c r="I142" s="5" t="n">
        <v>121.3</v>
      </c>
      <c r="J142" s="5" t="n">
        <v>23.7</v>
      </c>
      <c r="K142" s="3" t="inlineStr">
        <is>
          <t>생산녹지 토지매매, 강내우체국 맞은</t>
        </is>
      </c>
      <c r="L142" s="6">
        <f>HYPERLINK("https://fin.land.naver.com/articles/2650140388", "매물Link")</f>
        <v/>
      </c>
      <c r="M142" s="6">
        <f>HYPERLINK("https://map.naver.com/p/search/강내면 탑연리 205-1", "지도Link")</f>
        <v/>
      </c>
      <c r="N142" s="6">
        <f>HYPERLINK("http://www.eum.go.kr/web/ar/lu/luLandDet.jsp?pnu=4311331031102050001&amp;isNoScr=script&amp;mode=search", "토지이음")</f>
        <v/>
      </c>
      <c r="O142" s="3" t="inlineStr">
        <is>
          <t>토마토</t>
        </is>
      </c>
      <c r="P142" s="4" t="n">
        <v>1</v>
      </c>
      <c r="Q142" s="4" t="n">
        <v>1908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279-2</t>
        </is>
      </c>
      <c r="B143" s="3" t="inlineStr">
        <is>
          <t>제2종일반주거지역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97000</v>
      </c>
      <c r="G143" s="4" t="n">
        <v>1070</v>
      </c>
      <c r="H143" s="4" t="n">
        <v>324</v>
      </c>
      <c r="I143" s="5" t="n">
        <v>299.4</v>
      </c>
      <c r="J143" s="5" t="n">
        <v>122.8</v>
      </c>
      <c r="K143" s="3" t="inlineStr">
        <is>
          <t>인근 시세보다 저렴, 2차선 도시계획도로에 한면이 접함, 지가 상승 예상</t>
        </is>
      </c>
      <c r="L143" s="6">
        <f>HYPERLINK("https://fin.land.naver.com/articles/2651478715", "매물Link")</f>
        <v/>
      </c>
      <c r="M143" s="6">
        <f>HYPERLINK("https://map.naver.com/p/search/강내면 탑연리 279-2", "지도Link")</f>
        <v/>
      </c>
      <c r="N143" s="6">
        <f>HYPERLINK("http://www.eum.go.kr/web/ar/lu/luLandDet.jsp?pnu=4311331031102790002&amp;isNoScr=script&amp;mode=search",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1070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탑연리 29-12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22000</v>
      </c>
      <c r="G144" s="4" t="n">
        <v>550</v>
      </c>
      <c r="H144" s="4" t="n">
        <v>166</v>
      </c>
      <c r="I144" s="5" t="n">
        <v>132.5</v>
      </c>
      <c r="J144" s="5" t="n">
        <v>57.1</v>
      </c>
      <c r="K144" s="3" t="inlineStr">
        <is>
          <t>nan</t>
        </is>
      </c>
      <c r="L144" s="6">
        <f>HYPERLINK("https://fin.land.naver.com/articles/2651949514", "매물Link")</f>
        <v/>
      </c>
      <c r="M144" s="6">
        <f>HYPERLINK("https://map.naver.com/p/search/강내면 탑연리 29-12", "지도Link")</f>
        <v/>
      </c>
      <c r="N144" s="6">
        <f>HYPERLINK("http://www.eum.go.kr/web/ar/lu/luLandDet.jsp?pnu=4311331031100290012&amp;isNoScr=script&amp;mode=search", "토지이음")</f>
        <v/>
      </c>
      <c r="O144" s="3" t="inlineStr">
        <is>
          <t>창성</t>
        </is>
      </c>
      <c r="P144" s="4" t="n">
        <v>1</v>
      </c>
      <c r="Q144" s="4" t="n">
        <v>550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290-5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245000</v>
      </c>
      <c r="G145" s="4" t="n">
        <v>2105</v>
      </c>
      <c r="H145" s="4" t="n">
        <v>637</v>
      </c>
      <c r="I145" s="5" t="n">
        <v>384.6</v>
      </c>
      <c r="J145" s="5" t="n">
        <v>180.5</v>
      </c>
      <c r="K145" s="3" t="inlineStr">
        <is>
          <t>nan</t>
        </is>
      </c>
      <c r="L145" s="6">
        <f>HYPERLINK("https://fin.land.naver.com/articles/2652009126", "매물Link")</f>
        <v/>
      </c>
      <c r="M145" s="6">
        <f>HYPERLINK("https://map.naver.com/p/search/강내면 탑연리 290-5", "지도Link")</f>
        <v/>
      </c>
      <c r="N145" s="6">
        <f>HYPERLINK("http://www.eum.go.kr/web/ar/lu/luLandDet.jsp?pnu=4311331031102900005&amp;isNoScr=script&amp;mode=search", "토지이음")</f>
        <v/>
      </c>
      <c r="O145" s="3" t="inlineStr">
        <is>
          <t>오너스</t>
        </is>
      </c>
      <c r="P145" s="4" t="n">
        <v>1</v>
      </c>
      <c r="Q145" s="4" t="n">
        <v>1728</v>
      </c>
      <c r="R145" s="3" t="inlineStr">
        <is>
          <t>지정되지않음</t>
        </is>
      </c>
      <c r="S145" s="3" t="inlineStr">
        <is>
          <t>주상나지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HYPERLINK("https://fin.land.naver.com/articles/2652976662",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334-2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354600</v>
      </c>
      <c r="G148" s="4" t="n">
        <v>3908</v>
      </c>
      <c r="H148" s="4" t="n">
        <v>1182</v>
      </c>
      <c r="I148" s="5" t="n">
        <v>300</v>
      </c>
      <c r="J148" s="5" t="n">
        <v>133</v>
      </c>
      <c r="K148" s="3" t="inlineStr">
        <is>
          <t>nan</t>
        </is>
      </c>
      <c r="L148" s="6">
        <f>HYPERLINK("https://fin.land.naver.com/articles/2652470487", "매물Link")</f>
        <v/>
      </c>
      <c r="M148" s="6">
        <f>HYPERLINK("https://map.naver.com/p/search/강내면 탑연리 334-2", "지도Link")</f>
        <v/>
      </c>
      <c r="N148" s="6">
        <f>HYPERLINK("http://www.eum.go.kr/web/ar/lu/luLandDet.jsp?pnu=4311331031103340002&amp;isNoScr=script&amp;mode=search",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448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HYPERLINK("https://fin.land.naver.com/articles/2654358551",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HYPERLINK("https://fin.land.naver.com/articles/2655684585",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95000</v>
      </c>
      <c r="G157" s="4" t="n">
        <v>2085</v>
      </c>
      <c r="H157" s="4" t="n">
        <v>631</v>
      </c>
      <c r="I157" s="5" t="n">
        <v>150.6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HYPERLINK("https://fin.land.naver.com/articles/2654631134",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HYPERLINK("https://fin.land.naver.com/articles/2655559659",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3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HYPERLINK("https://fin.land.naver.com/articles/2655490355",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HYPERLINK("https://fin.land.naver.com/articles/2654694126",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480000</v>
      </c>
      <c r="G166" s="4" t="n">
        <v>15977</v>
      </c>
      <c r="H166" s="4" t="n">
        <v>4833</v>
      </c>
      <c r="I166" s="5" t="n">
        <v>99.3</v>
      </c>
      <c r="J166" s="5" t="n">
        <v>4.1</v>
      </c>
      <c r="K166" s="3" t="inlineStr">
        <is>
          <t>8M 도로접 공장지대 민원소지 없음</t>
        </is>
      </c>
      <c r="L166" s="6">
        <f>HYPERLINK("https://fin.land.naver.com/articles/2654693741",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1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90-3</t>
        </is>
      </c>
      <c r="B181" s="3" t="inlineStr">
        <is>
          <t>자연녹지지역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134000</v>
      </c>
      <c r="G181" s="4" t="n">
        <v>1923</v>
      </c>
      <c r="H181" s="4" t="n">
        <v>582</v>
      </c>
      <c r="I181" s="5" t="n">
        <v>230.2</v>
      </c>
      <c r="J181" s="5" t="n">
        <v>59.9</v>
      </c>
      <c r="K181" s="3" t="inlineStr">
        <is>
          <t>청주역부근 4차선 대도로접 매장 공장추천 시세이하</t>
        </is>
      </c>
      <c r="L181" s="6">
        <f>HYPERLINK("https://fin.land.naver.com/articles/2653012585", "매물Link")</f>
        <v/>
      </c>
      <c r="M181" s="6">
        <f>HYPERLINK("https://map.naver.com/p/search/강내면 학천리 90-3", "지도Link")</f>
        <v/>
      </c>
      <c r="N181" s="6">
        <f>HYPERLINK("http://www.eum.go.kr/web/ar/lu/luLandDet.jsp?pnu=4311331035100900003&amp;isNoScr=script&amp;mode=search",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1923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중로한면</t>
        </is>
      </c>
    </row>
    <row r="182">
      <c r="A182" s="3" t="inlineStr">
        <is>
          <t>강내면 황탄리 192</t>
        </is>
      </c>
      <c r="B182" s="3" t="inlineStr">
        <is>
          <t>보전관리지역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10200</v>
      </c>
      <c r="G182" s="4" t="n">
        <v>1402</v>
      </c>
      <c r="H182" s="4" t="n">
        <v>424</v>
      </c>
      <c r="I182" s="5" t="n">
        <v>24.1</v>
      </c>
      <c r="J182" s="5" t="n">
        <v>16.8</v>
      </c>
      <c r="K182" s="3" t="inlineStr">
        <is>
          <t>황탄리 보전관리지역 밭이지만 논으로 사용중, 농업경영체 등록 가능</t>
        </is>
      </c>
      <c r="L182" s="6">
        <f>HYPERLINK("https://fin.land.naver.com/articles/2653690009", "매물Link")</f>
        <v/>
      </c>
      <c r="M182" s="6">
        <f>HYPERLINK("https://map.naver.com/p/search/강내면 황탄리 192", "지도Link")</f>
        <v/>
      </c>
      <c r="N182" s="6">
        <f>HYPERLINK("http://www.eum.go.kr/web/ar/lu/luLandDet.jsp?pnu=4311331029101920000&amp;isNoScr=script&amp;mode=search", "토지이음")</f>
        <v/>
      </c>
      <c r="O182" s="3" t="inlineStr">
        <is>
          <t>지성</t>
        </is>
      </c>
      <c r="P182" s="4" t="n">
        <v>1</v>
      </c>
      <c r="Q182" s="4" t="n">
        <v>1402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강내면 황탄리 471</t>
        </is>
      </c>
      <c r="B183" s="3" t="inlineStr">
        <is>
          <t>농림지역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36000</v>
      </c>
      <c r="G183" s="4" t="n">
        <v>3698</v>
      </c>
      <c r="H183" s="4" t="n">
        <v>1119</v>
      </c>
      <c r="I183" s="5" t="n">
        <v>32.2</v>
      </c>
      <c r="J183" s="5" t="n">
        <v>15</v>
      </c>
      <c r="K183" s="3" t="inlineStr">
        <is>
          <t>체류형쉼터,스마트팜시설.</t>
        </is>
      </c>
      <c r="L183" s="6">
        <f>HYPERLINK("https://fin.land.naver.com/articles/2653465273", "매물Link")</f>
        <v/>
      </c>
      <c r="M183" s="6">
        <f>HYPERLINK("https://map.naver.com/p/search/강내면 황탄리 471", "지도Link")</f>
        <v/>
      </c>
      <c r="N183" s="6">
        <f>HYPERLINK("http://www.eum.go.kr/web/ar/lu/luLandDet.jsp?pnu=4311331029104710000&amp;isNoScr=script&amp;mode=search", "토지이음")</f>
        <v/>
      </c>
      <c r="O183" s="3" t="inlineStr">
        <is>
          <t>햇빛</t>
        </is>
      </c>
      <c r="P183" s="4" t="n">
        <v>1</v>
      </c>
      <c r="Q183" s="4" t="n">
        <v>3698.1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황탄리 63-1</t>
        </is>
      </c>
      <c r="B184" s="3" t="inlineStr">
        <is>
          <t>계획관리지역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1173</v>
      </c>
      <c r="H184" s="4" t="n">
        <v>355</v>
      </c>
      <c r="I184" s="5" t="n">
        <v>154.9</v>
      </c>
      <c r="J184" s="5" t="n">
        <v>52.4</v>
      </c>
      <c r="K184" s="3" t="inlineStr">
        <is>
          <t>2차선도로, 계획관리지역 건물 있는 토지</t>
        </is>
      </c>
      <c r="L184" s="6">
        <f>HYPERLINK("https://fin.land.naver.com/articles/2651975156", "매물Link")</f>
        <v/>
      </c>
      <c r="M184" s="6">
        <f>HYPERLINK("https://map.naver.com/p/search/강내면 황탄리 63-1", "지도Link")</f>
        <v/>
      </c>
      <c r="N184" s="6">
        <f>HYPERLINK("http://www.eum.go.kr/web/ar/lu/luLandDet.jsp?pnu=4311331029100630001&amp;isNoScr=script&amp;mode=search",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1173</v>
      </c>
      <c r="R184" s="3" t="inlineStr">
        <is>
          <t>지정되지않음</t>
        </is>
      </c>
      <c r="S184" s="3" t="inlineStr">
        <is>
          <t>단독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64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43200</v>
      </c>
      <c r="G185" s="4" t="n">
        <v>1298</v>
      </c>
      <c r="H185" s="4" t="n">
        <v>393</v>
      </c>
      <c r="I185" s="5" t="n">
        <v>109.9</v>
      </c>
      <c r="J185" s="5" t="n">
        <v>29.5</v>
      </c>
      <c r="K185" s="3" t="inlineStr">
        <is>
          <t>2차선도로접 잘생긴 토지 공장 투자추천</t>
        </is>
      </c>
      <c r="L185" s="6">
        <f>HYPERLINK("https://fin.land.naver.com/articles/2650439817", "매물Link")</f>
        <v/>
      </c>
      <c r="M185" s="6">
        <f>HYPERLINK("https://map.naver.com/p/search/강내면 황탄리 64", "지도Link")</f>
        <v/>
      </c>
      <c r="N185" s="6">
        <f>HYPERLINK("http://www.eum.go.kr/web/ar/lu/luLandDet.jsp?pnu=4311331029100640000&amp;isNoScr=script&amp;mode=search",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1298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완경사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95-2</t>
        </is>
      </c>
      <c r="B186" s="3" t="inlineStr">
        <is>
          <t>보전관리지역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70000</v>
      </c>
      <c r="G186" s="4" t="n">
        <v>7857</v>
      </c>
      <c r="H186" s="4" t="n">
        <v>2377</v>
      </c>
      <c r="I186" s="5" t="n">
        <v>29.4</v>
      </c>
      <c r="J186" s="5" t="n">
        <v>14.9</v>
      </c>
      <c r="K186" s="3" t="inlineStr">
        <is>
          <t>전원주택단지 개발 ,태양광부지로 적합</t>
        </is>
      </c>
      <c r="L186" s="6">
        <f>HYPERLINK("https://fin.land.naver.com/articles/2654544043", "매물Link")</f>
        <v/>
      </c>
      <c r="M186" s="6">
        <f>HYPERLINK("https://map.naver.com/p/search/강내면 황탄리 95-2", "지도Link")</f>
        <v/>
      </c>
      <c r="N186" s="6">
        <f>HYPERLINK("http://www.eum.go.kr/web/ar/lu/luLandDet.jsp?pnu=4311331029100950002&amp;isNoScr=script&amp;mode=search", "토지이음")</f>
        <v/>
      </c>
      <c r="O186" s="3" t="inlineStr">
        <is>
          <t>산들</t>
        </is>
      </c>
      <c r="P186" s="4" t="n">
        <v>1</v>
      </c>
      <c r="Q186" s="4" t="n">
        <v>2007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완경사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길가 코너자리, 정남향</t>
        </is>
      </c>
      <c r="L187" s="6">
        <f>HYPERLINK("https://fin.land.naver.com/articles/2654228986",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급매 공원조망 큰평수 위치최상</t>
        </is>
      </c>
      <c r="L190" s="6">
        <f>HYPERLINK("https://fin.land.naver.com/articles/2652917969",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HYPERLINK("http://www.eum.go.kr/web/ar/lu/luLandDet.jsp?pnu=3611011200110310000&amp;isNoScr=script&amp;mode=search", "토지이음")</f>
        <v/>
      </c>
      <c r="O190" s="3" t="inlineStr">
        <is>
          <t>세종스타</t>
        </is>
      </c>
      <c r="P190" s="4" t="n">
        <v>2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347</v>
      </c>
      <c r="H192" s="4" t="n">
        <v>105</v>
      </c>
      <c r="I192" s="5" t="n">
        <v>476.2</v>
      </c>
      <c r="J192" s="5" t="n">
        <v>317.5</v>
      </c>
      <c r="K192" s="3" t="inlineStr">
        <is>
          <t>초급매, 학군, 중심상권 생활권 편리한 위치,어린이공원앞 택지</t>
        </is>
      </c>
      <c r="L192" s="6">
        <f>HYPERLINK("https://fin.land.naver.com/articles/2653547243",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HYPERLINK("http://www.eum.go.kr/web/ar/lu/luLandDet.jsp?pnu=3611011200110500000&amp;isNoScr=script&amp;mode=search", "토지이음")</f>
        <v/>
      </c>
      <c r="O192" s="3" t="inlineStr">
        <is>
          <t>고운맘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52000</v>
      </c>
      <c r="G194" s="4" t="n">
        <v>347</v>
      </c>
      <c r="H194" s="4" t="n">
        <v>105</v>
      </c>
      <c r="I194" s="5" t="n">
        <v>495.2</v>
      </c>
      <c r="J194" s="5" t="n">
        <v>317.5</v>
      </c>
      <c r="K194" s="3" t="inlineStr">
        <is>
          <t>급매 I 넓은 공원옆 I 생활권이용편리 I 조율가능</t>
        </is>
      </c>
      <c r="L194" s="6">
        <f>HYPERLINK("https://fin.land.naver.com/articles/2651301509", "매물Link")</f>
        <v/>
      </c>
      <c r="M194" s="6">
        <f>HYPERLINK("https://map.naver.com/p/search/고운동 1051", "지도Link")</f>
        <v/>
      </c>
      <c r="N194" s="6">
        <f>HYPERLINK("http://www.eum.go.kr/web/ar/lu/luLandDet.jsp?pnu=3611011200110510000&amp;isNoScr=script&amp;mode=search", "토지이음")</f>
        <v/>
      </c>
      <c r="O194" s="3" t="inlineStr">
        <is>
          <t>힐스테이트으뜸원</t>
        </is>
      </c>
      <c r="P194" s="4" t="n">
        <v>1</v>
      </c>
      <c r="Q194" s="4" t="n">
        <v>347.6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57000</v>
      </c>
      <c r="G195" s="4" t="n">
        <v>347</v>
      </c>
      <c r="H195" s="4" t="n">
        <v>105</v>
      </c>
      <c r="I195" s="5" t="n">
        <v>542.9</v>
      </c>
      <c r="J195" s="5" t="n">
        <v>333.2</v>
      </c>
      <c r="K195" s="3" t="inlineStr">
        <is>
          <t>고운동단독택지로 입지최상 학군 상권 복컴 생활하기편리</t>
        </is>
      </c>
      <c r="L195" s="6">
        <f>HYPERLINK("https://fin.land.naver.com/articles/2651032335", "매물Link")</f>
        <v/>
      </c>
      <c r="M195" s="6">
        <f>HYPERLINK("https://map.naver.com/p/search/고운동 1053", "지도Link")</f>
        <v/>
      </c>
      <c r="N195" s="6">
        <f>HYPERLINK("http://www.eum.go.kr/web/ar/lu/luLandDet.jsp?pnu=3611011200110530000&amp;isNoScr=script&amp;mode=search",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소로각지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357</v>
      </c>
      <c r="H196" s="4" t="n">
        <v>108</v>
      </c>
      <c r="I196" s="5" t="n">
        <v>601.9</v>
      </c>
      <c r="J196" s="5" t="n">
        <v>342.8</v>
      </c>
      <c r="K196" s="3" t="inlineStr">
        <is>
          <t>도로,인도,버스정류장 인접, 공영주차장옆</t>
        </is>
      </c>
      <c r="L196" s="6">
        <f>HYPERLINK("https://fin.land.naver.com/articles/2654420330",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HYPERLINK("http://www.eum.go.kr/web/ar/lu/luLandDet.jsp?pnu=3611011200110580000&amp;isNoScr=script&amp;mode=search", "토지이음")</f>
        <v/>
      </c>
      <c r="O196" s="3" t="inlineStr">
        <is>
          <t>세종제일1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필지 뒷편이 공원, 가락초,두루고와 근접, 아파트 단지상가와 가까움</t>
        </is>
      </c>
      <c r="L202" s="6">
        <f>HYPERLINK("https://fin.land.naver.com/articles/2654473718",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국제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고운동 입지 좋은 단독주택 매매, 공원 근처</t>
        </is>
      </c>
      <c r="L203" s="6">
        <f>HYPERLINK("https://fin.land.naver.com/articles/2651901460",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HYPERLINK("https://fin.land.naver.com/articles/2654977807",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109.6p, 유.초등학교인근, 고등학교 인근</t>
        </is>
      </c>
      <c r="L214" s="6">
        <f>HYPERLINK("https://fin.land.naver.com/articles/2654692049",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HYPERLINK("https://fin.land.naver.com/articles/2654892918",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344</v>
      </c>
      <c r="H218" s="4" t="n">
        <v>104</v>
      </c>
      <c r="I218" s="5" t="n">
        <v>500</v>
      </c>
      <c r="J218" s="5" t="n">
        <v>304.8</v>
      </c>
      <c r="K218" s="3" t="inlineStr">
        <is>
          <t>두루고등학교앞 단독주택지 최선을다해서 가격조정해보겠습니다.</t>
        </is>
      </c>
      <c r="L218" s="6">
        <f>HYPERLINK("https://fin.land.naver.com/articles/2655533677",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고운동리치세종</t>
        </is>
      </c>
      <c r="P218" s="4" t="n">
        <v>4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두루고 앞, 고운동 단독주택지 매매</t>
        </is>
      </c>
      <c r="L219" s="6">
        <f>HYPERLINK("https://fin.land.naver.com/articles/2651776855",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345</v>
      </c>
      <c r="H220" s="4" t="n">
        <v>104</v>
      </c>
      <c r="I220" s="5" t="n">
        <v>576.9</v>
      </c>
      <c r="J220" s="5" t="n">
        <v>304.8</v>
      </c>
      <c r="K220" s="3" t="inlineStr">
        <is>
          <t>nan</t>
        </is>
      </c>
      <c r="L220" s="6">
        <f>HYPERLINK("https://fin.land.naver.com/articles/2651033947",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디아트성심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HYPERLINK("https://fin.land.naver.com/articles/2651188831",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HYPERLINK("https://fin.land.naver.com/articles/2654826170",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대로변 코너각지 위치 최상의 귀한 근생부지 매매</t>
        </is>
      </c>
      <c r="L229" s="6">
        <f>HYPERLINK("https://fin.land.naver.com/articles/2652674815",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(주)정민근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HYPERLINK("https://fin.land.naver.com/articles/2655191864",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HYPERLINK("https://fin.land.naver.com/articles/2651778921",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HYPERLINK("https://fin.land.naver.com/articles/2654926133",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1297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56000</v>
      </c>
      <c r="G235" s="4" t="n">
        <v>338</v>
      </c>
      <c r="H235" s="4" t="n">
        <v>102</v>
      </c>
      <c r="I235" s="5" t="n">
        <v>549</v>
      </c>
      <c r="J235" s="5" t="n">
        <v>369.3</v>
      </c>
      <c r="K235" s="3" t="inlineStr">
        <is>
          <t>실개천옆 천조망 가락초2분 두루고5분</t>
        </is>
      </c>
      <c r="L235" s="6">
        <f>HYPERLINK("https://fin.land.naver.com/articles/2654857904", "매물Link")</f>
        <v/>
      </c>
      <c r="M235" s="6">
        <f>HYPERLINK("https://map.naver.com/p/search/고운동 1297", "지도Link")</f>
        <v/>
      </c>
      <c r="N235" s="6">
        <f>HYPERLINK("http://www.eum.go.kr/web/ar/lu/luLandDet.jsp?pnu=3611011200112970000&amp;isNoScr=script&amp;mode=search", "토지이음")</f>
        <v/>
      </c>
      <c r="O235" s="3" t="inlineStr">
        <is>
          <t>세종스타</t>
        </is>
      </c>
      <c r="P235" s="4" t="n">
        <v>2</v>
      </c>
      <c r="Q235" s="4" t="n">
        <v>338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HYPERLINK("https://fin.land.naver.com/articles/2654928943",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1306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68000</v>
      </c>
      <c r="G238" s="4" t="n">
        <v>351</v>
      </c>
      <c r="H238" s="4" t="n">
        <v>106</v>
      </c>
      <c r="I238" s="5" t="n">
        <v>641.5</v>
      </c>
      <c r="J238" s="5" t="n">
        <v>336.5</v>
      </c>
      <c r="K238" s="3" t="inlineStr">
        <is>
          <t>최선호 실개천 주택지 공원 넓게접함</t>
        </is>
      </c>
      <c r="L238" s="6">
        <f>HYPERLINK("https://fin.land.naver.com/articles/2654332417", "매물Link")</f>
        <v/>
      </c>
      <c r="M238" s="6">
        <f>HYPERLINK("https://map.naver.com/p/search/고운동 1306", "지도Link")</f>
        <v/>
      </c>
      <c r="N238" s="6">
        <f>HYPERLINK("http://www.eum.go.kr/web/ar/lu/luLandDet.jsp?pnu=3611011200113060000&amp;isNoScr=script&amp;mode=search",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HYPERLINK("https://fin.land.naver.com/articles/2654705090",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HYPERLINK("https://fin.land.naver.com/articles/2655487552",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HYPERLINK("https://fin.land.naver.com/articles/2652418961",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HYPERLINK("https://fin.land.naver.com/articles/2653686910",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HYPERLINK("https://fin.land.naver.com/articles/2655654219",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nan</t>
        </is>
      </c>
      <c r="L250" s="6">
        <f>HYPERLINK("https://fin.land.naver.com/articles/2651034907",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귀한 코너 택지 I 가락초 고운뜰공원 인접 프리미엄 단독주택 용지</t>
        </is>
      </c>
      <c r="L251" s="6">
        <f>HYPERLINK("https://fin.land.naver.com/articles/2655730492",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세종신한</t>
        </is>
      </c>
      <c r="P251" s="4" t="n">
        <v>2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HYPERLINK("https://fin.land.naver.com/articles/2655653218",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HYPERLINK("https://fin.land.naver.com/articles/2655653908",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HYPERLINK("https://fin.land.naver.com/articles/2655654749",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1462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358</v>
      </c>
      <c r="H258" s="4" t="n">
        <v>108</v>
      </c>
      <c r="I258" s="5" t="n">
        <v>555.6</v>
      </c>
      <c r="J258" s="5" t="n">
        <v>334.9</v>
      </c>
      <c r="K258" s="3" t="inlineStr">
        <is>
          <t>조율가능 넓은평수 지대높음</t>
        </is>
      </c>
      <c r="L258" s="6">
        <f>HYPERLINK("https://fin.land.naver.com/articles/2654633170", "매물Link")</f>
        <v/>
      </c>
      <c r="M258" s="6">
        <f>HYPERLINK("https://map.naver.com/p/search/고운동 1462", "지도Link")</f>
        <v/>
      </c>
      <c r="N258" s="6">
        <f>HYPERLINK("http://www.eum.go.kr/web/ar/lu/luLandDet.jsp?pnu=3611011200114620000&amp;isNoScr=script&amp;mode=search",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358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69000</v>
      </c>
      <c r="G259" s="4" t="n">
        <v>356</v>
      </c>
      <c r="H259" s="4" t="n">
        <v>108</v>
      </c>
      <c r="I259" s="5" t="n">
        <v>638.9</v>
      </c>
      <c r="J259" s="5" t="n">
        <v>334.9</v>
      </c>
      <c r="K259" s="3" t="inlineStr">
        <is>
          <t>고운동 단독주택지 저렴한 매물</t>
        </is>
      </c>
      <c r="L259" s="6">
        <f>HYPERLINK("https://fin.land.naver.com/articles/2654240406", "매물Link")</f>
        <v/>
      </c>
      <c r="M259" s="6">
        <f>HYPERLINK("https://map.naver.com/p/search/고운동 1463", "지도Link")</f>
        <v/>
      </c>
      <c r="N259" s="6">
        <f>HYPERLINK("http://www.eum.go.kr/web/ar/lu/luLandDet.jsp?pnu=3611011200114630000&amp;isNoScr=script&amp;mode=search",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356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61000</v>
      </c>
      <c r="G260" s="4" t="n">
        <v>357</v>
      </c>
      <c r="H260" s="4" t="n">
        <v>108</v>
      </c>
      <c r="I260" s="5" t="n">
        <v>564.8</v>
      </c>
      <c r="J260" s="5" t="n">
        <v>334.9</v>
      </c>
      <c r="K260" s="3" t="inlineStr">
        <is>
          <t>향후 투자수익 목적등 모두를 이룰 세종시 길가 주택입니다</t>
        </is>
      </c>
      <c r="L260" s="6">
        <f>HYPERLINK("https://fin.land.naver.com/articles/2653370340",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럭키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HYPERLINK("https://fin.land.naver.com/articles/2655112325",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HYPERLINK("https://fin.land.naver.com/articles/2655573760",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HYPERLINK("https://fin.land.naver.com/articles/2654556399",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HYPERLINK("https://fin.land.naver.com/articles/2654928258",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HYPERLINK("https://fin.land.naver.com/articles/2655005416",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HYPERLINK("https://fin.land.naver.com/articles/2654578032",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코너각지 상권인접 위치최상</t>
        </is>
      </c>
      <c r="L273" s="6">
        <f>HYPERLINK("https://fin.land.naver.com/articles/2654856491",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HYPERLINK("https://fin.land.naver.com/articles/2652838759",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1578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362</v>
      </c>
      <c r="H276" s="4" t="n">
        <v>110</v>
      </c>
      <c r="I276" s="5" t="n">
        <v>727.3</v>
      </c>
      <c r="J276" s="5" t="n">
        <v>340.2</v>
      </c>
      <c r="K276" s="3" t="inlineStr">
        <is>
          <t>조율가능 실개천 남향 코너각지</t>
        </is>
      </c>
      <c r="L276" s="6">
        <f>HYPERLINK("https://fin.land.naver.com/articles/2652418802", "매물Link")</f>
        <v/>
      </c>
      <c r="M276" s="6">
        <f>HYPERLINK("https://map.naver.com/p/search/고운동 1578", "지도Link")</f>
        <v/>
      </c>
      <c r="N276" s="6">
        <f>HYPERLINK("http://www.eum.go.kr/web/ar/lu/luLandDet.jsp?pnu=3611011200115780000&amp;isNoScr=script&amp;mode=search",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362.1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49000</v>
      </c>
      <c r="G277" s="4" t="n">
        <v>393</v>
      </c>
      <c r="H277" s="4" t="n">
        <v>119</v>
      </c>
      <c r="I277" s="5" t="n">
        <v>411.8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HYPERLINK("https://fin.land.naver.com/articles/2655111601",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2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HYPERLINK("https://fin.land.naver.com/articles/2654849789",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남향,코너,완충녹지,보행로 접, 초교,고교,상권,공원 근접합니다.</t>
        </is>
      </c>
      <c r="L279" s="6">
        <f>HYPERLINK("https://fin.land.naver.com/articles/2651035408",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디아트성심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급매 추가조율가능 지대높음 실개천인근 초중고도보5분</t>
        </is>
      </c>
      <c r="L281" s="6">
        <f>HYPERLINK("https://fin.land.naver.com/articles/2654633154",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HYPERLINK("https://fin.land.naver.com/articles/2654232136",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HYPERLINK("https://fin.land.naver.com/articles/2654891477",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HYPERLINK("https://fin.land.naver.com/articles/2654835083",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HYPERLINK("https://fin.land.naver.com/articles/2654856650",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345</v>
      </c>
      <c r="H287" s="4" t="n">
        <v>104</v>
      </c>
      <c r="I287" s="5" t="n">
        <v>548.1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HYPERLINK("https://fin.land.naver.com/articles/2654888011",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희소성 높은 코너 택지 I 일조권과 개방감 좋은 택</t>
        </is>
      </c>
      <c r="L289" s="6">
        <f>HYPERLINK("https://fin.land.naver.com/articles/2655729047",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살기좋은 고운동 단독주택지. 하루종일 해 잘드는 위치</t>
        </is>
      </c>
      <c r="L290" s="6">
        <f>HYPERLINK("https://fin.land.naver.com/articles/2654272418",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미스터홈즈강남지사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HYPERLINK("https://fin.land.naver.com/articles/2654855812",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HYPERLINK("https://fin.land.naver.com/articles/2652885247",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677</v>
      </c>
      <c r="H297" s="4" t="n">
        <v>205</v>
      </c>
      <c r="I297" s="5" t="n">
        <v>731.7</v>
      </c>
      <c r="J297" s="5" t="n">
        <v>309.2</v>
      </c>
      <c r="K297" s="3" t="inlineStr">
        <is>
          <t>지하주차장가능하여 개방감 있는 토지</t>
        </is>
      </c>
      <c r="L297" s="6">
        <f>HYPERLINK("https://fin.land.naver.com/articles/2654120394", "매물Link")</f>
        <v/>
      </c>
      <c r="M297" s="6">
        <f>HYPERLINK("https://map.naver.com/p/search/고운동 1835", "지도Link")</f>
        <v/>
      </c>
      <c r="N297" s="6">
        <f>HYPERLINK("http://www.eum.go.kr/web/ar/lu/luLandDet.jsp?pnu=3611011200118350000&amp;isNoScr=script&amp;mode=search",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677.4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HYPERLINK("https://fin.land.naver.com/articles/2652888518",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추천매물 코너각지,  생활편의시설 인접, 초교5분거리</t>
        </is>
      </c>
      <c r="L299" s="6">
        <f>HYPERLINK("https://fin.land.naver.com/articles/2654393716",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HYPERLINK("https://fin.land.naver.com/articles/2655653082",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HYPERLINK("https://fin.land.naver.com/articles/2654967120",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남향필지 위치좋은곳 초중고학교 도보가능 외부출퇴근 용이한곳</t>
        </is>
      </c>
      <c r="L303" s="6">
        <f>HYPERLINK("https://fin.land.naver.com/articles/2652418901", "매물Link")</f>
        <v/>
      </c>
      <c r="M303" s="6">
        <f>HYPERLINK("https://map.naver.com/p/search/고운동 1955", "지도Link")</f>
        <v/>
      </c>
      <c r="N303" s="6">
        <f>HYPERLINK("http://www.eum.go.kr/web/ar/lu/luLandDet.jsp?pnu=3611011200119550000&amp;isNoScr=script&amp;mode=search",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297.1</v>
      </c>
      <c r="K304" s="3" t="inlineStr">
        <is>
          <t>공원조망 정남향 최고위치 조율가능</t>
        </is>
      </c>
      <c r="L304" s="6">
        <f>HYPERLINK("https://fin.land.naver.com/articles/2651087463", "매물Link")</f>
        <v/>
      </c>
      <c r="M304" s="6">
        <f>HYPERLINK("https://map.naver.com/p/search/고운동 1959", "지도Link")</f>
        <v/>
      </c>
      <c r="N304" s="6">
        <f>HYPERLINK("http://www.eum.go.kr/web/ar/lu/luLandDet.jsp?pnu=3611011200119590000&amp;isNoScr=script&amp;mode=search",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352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62000</v>
      </c>
      <c r="G305" s="4" t="n">
        <v>390</v>
      </c>
      <c r="H305" s="4" t="n">
        <v>118</v>
      </c>
      <c r="I305" s="5" t="n">
        <v>525.4</v>
      </c>
      <c r="J305" s="5" t="n">
        <v>297.2</v>
      </c>
      <c r="K305" s="3" t="inlineStr">
        <is>
          <t>가격내림. 위치 좋은 큰 면적 단독주택지 매매</t>
        </is>
      </c>
      <c r="L305" s="6">
        <f>HYPERLINK("https://fin.land.naver.com/articles/2652599829", "매물Link")</f>
        <v/>
      </c>
      <c r="M305" s="6">
        <f>HYPERLINK("https://map.naver.com/p/search/고운동 1967", "지도Link")</f>
        <v/>
      </c>
      <c r="N305" s="6">
        <f>HYPERLINK("http://www.eum.go.kr/web/ar/lu/luLandDet.jsp?pnu=3611011200119670000&amp;isNoScr=script&amp;mode=search", "토지이음")</f>
        <v/>
      </c>
      <c r="O305" s="3" t="inlineStr">
        <is>
          <t>로데오상가</t>
        </is>
      </c>
      <c r="P305" s="4" t="n">
        <v>1</v>
      </c>
      <c r="Q305" s="4" t="n">
        <v>390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1980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75000</v>
      </c>
      <c r="G306" s="4" t="n">
        <v>362</v>
      </c>
      <c r="H306" s="4" t="n">
        <v>110</v>
      </c>
      <c r="I306" s="5" t="n">
        <v>681.8</v>
      </c>
      <c r="J306" s="5" t="n">
        <v>297.2</v>
      </c>
      <c r="K306" s="3" t="inlineStr">
        <is>
          <t>I 신한 I 일조권 최상, 햇살 가득한 정남향 단독주택 필지</t>
        </is>
      </c>
      <c r="L306" s="6">
        <f>HYPERLINK("https://fin.land.naver.com/articles/2651984559", "매물Link")</f>
        <v/>
      </c>
      <c r="M306" s="6">
        <f>HYPERLINK("https://map.naver.com/p/search/고운동 1980", "지도Link")</f>
        <v/>
      </c>
      <c r="N306" s="6">
        <f>HYPERLINK("http://www.eum.go.kr/web/ar/lu/luLandDet.jsp?pnu=3611011200119800000&amp;isNoScr=script&amp;mode=search", "토지이음")</f>
        <v/>
      </c>
      <c r="O306" s="3" t="inlineStr">
        <is>
          <t>세종신한</t>
        </is>
      </c>
      <c r="P306" s="4" t="n">
        <v>1</v>
      </c>
      <c r="Q306" s="4" t="n">
        <v>362.1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2014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389</v>
      </c>
      <c r="H307" s="4" t="n">
        <v>118</v>
      </c>
      <c r="I307" s="5" t="n">
        <v>550.8</v>
      </c>
      <c r="J307" s="5" t="n">
        <v>297.2</v>
      </c>
      <c r="K307" s="3" t="inlineStr">
        <is>
          <t>추가조율가능 연결녹지 접한위치 귀한큰평수</t>
        </is>
      </c>
      <c r="L307" s="6">
        <f>HYPERLINK("https://fin.land.naver.com/articles/2652442351", "매물Link")</f>
        <v/>
      </c>
      <c r="M307" s="6">
        <f>HYPERLINK("https://map.naver.com/p/search/고운동 2014", "지도Link")</f>
        <v/>
      </c>
      <c r="N307" s="6">
        <f>HYPERLINK("http://www.eum.go.kr/web/ar/lu/luLandDet.jsp?pnu=3611011200120140000&amp;isNoScr=script&amp;mode=search",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389.7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101920</v>
      </c>
      <c r="G309" s="4" t="n">
        <v>345</v>
      </c>
      <c r="H309" s="4" t="n">
        <v>104</v>
      </c>
      <c r="I309" s="5" t="n">
        <v>980</v>
      </c>
      <c r="J309" s="5" t="n">
        <v>297.2</v>
      </c>
      <c r="K309" s="3" t="inlineStr">
        <is>
          <t>고운동 1종 전용주거지역 단독주택지 매매,정남향,뻥뷰</t>
        </is>
      </c>
      <c r="L309" s="6">
        <f>HYPERLINK("https://fin.land.naver.com/articles/2651616970",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천재원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고운동 상업지역 토지 매매</t>
        </is>
      </c>
      <c r="L313" s="6">
        <f>HYPERLINK("https://fin.land.naver.com/articles/2655502969",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행복가득한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세종시립도서관 인근에 위치한 대로변에 접한 위치좋은 대지 입니다.</t>
        </is>
      </c>
      <c r="L316" s="6">
        <f>HYPERLINK("https://fin.land.naver.com/articles/2655515337",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가람</t>
        </is>
      </c>
      <c r="P316" s="4" t="n">
        <v>5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HYPERLINK("https://fin.land.naver.com/articles/2654717654",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총 117p, 파크힐즈, 조율가능, 입지좋은 곳</t>
        </is>
      </c>
      <c r="L318" s="6">
        <f>HYPERLINK("https://fin.land.naver.com/articles/2654430493",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총 120.9p, 파크힐즈 단독주택 토지, 네모반듯</t>
        </is>
      </c>
      <c r="L320" s="6">
        <f>HYPERLINK("https://fin.land.naver.com/articles/2654220921",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HYPERLINK("https://fin.land.naver.com/articles/2655366970",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380</v>
      </c>
      <c r="H323" s="4" t="n">
        <v>115</v>
      </c>
      <c r="I323" s="5" t="n">
        <v>652.2</v>
      </c>
      <c r="J323" s="5" t="n">
        <v>282.1</v>
      </c>
      <c r="K323" s="3" t="inlineStr">
        <is>
          <t>급매 파크힐스 115p 로얄 입지</t>
        </is>
      </c>
      <c r="L323" s="6">
        <f>HYPERLINK("https://fin.land.naver.com/articles/2655256360", "매물Link")</f>
        <v/>
      </c>
      <c r="M323" s="6">
        <f>HYPERLINK("https://map.naver.com/p/search/고운동 2106-29", "지도Link")</f>
        <v/>
      </c>
      <c r="N323" s="6">
        <f>HYPERLINK("http://www.eum.go.kr/web/ar/lu/luLandDet.jsp?pnu=3611011200121060029&amp;isNoScr=script&amp;mode=search", "토지이음")</f>
        <v/>
      </c>
      <c r="O323" s="3" t="inlineStr">
        <is>
          <t>새뜸마을</t>
        </is>
      </c>
      <c r="P323" s="4" t="n">
        <v>1</v>
      </c>
      <c r="Q323" s="4" t="n">
        <v>380.3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386</v>
      </c>
      <c r="H324" s="4" t="n">
        <v>117</v>
      </c>
      <c r="I324" s="5" t="n">
        <v>1025.6</v>
      </c>
      <c r="J324" s="5" t="n">
        <v>282.1</v>
      </c>
      <c r="K324" s="3" t="inlineStr">
        <is>
          <t>총 117.2p, 고운동 고급 타운하우스 토지매매</t>
        </is>
      </c>
      <c r="L324" s="6">
        <f>HYPERLINK("https://fin.land.naver.com/articles/2654703193",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명진</t>
        </is>
      </c>
      <c r="P324" s="4" t="n">
        <v>2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387</v>
      </c>
      <c r="H325" s="4" t="n">
        <v>117</v>
      </c>
      <c r="I325" s="5" t="n">
        <v>1025.6</v>
      </c>
      <c r="J325" s="5" t="n">
        <v>282.1</v>
      </c>
      <c r="K325" s="3" t="inlineStr">
        <is>
          <t>벙커형 주차장가능 최고로얄필지 사생활보호최고 뒷마당 넓은곳</t>
        </is>
      </c>
      <c r="L325" s="6">
        <f>HYPERLINK("https://fin.land.naver.com/articles/2652918007",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생명나무,리안비체힐즈 타운하우스 부지</t>
        </is>
      </c>
      <c r="L327" s="6">
        <f>HYPERLINK("https://fin.land.naver.com/articles/2650736949",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생명나무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118.8p, 비안비채힐즈 블록형 타운하우스 단독주택 토지매매</t>
        </is>
      </c>
      <c r="L329" s="6">
        <f>HYPERLINK("https://fin.land.naver.com/articles/2650427238",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HYPERLINK("https://fin.land.naver.com/articles/2654920808",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HYPERLINK("https://fin.land.naver.com/articles/2650427164",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HYPERLINK("https://fin.land.naver.com/articles/2654925656",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HYPERLINK("https://fin.land.naver.com/articles/2654898356",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65000</v>
      </c>
      <c r="G338" s="4" t="n">
        <v>357</v>
      </c>
      <c r="H338" s="4" t="n">
        <v>108</v>
      </c>
      <c r="I338" s="5" t="n">
        <v>601.9</v>
      </c>
      <c r="J338" s="5" t="n">
        <v>357.7</v>
      </c>
      <c r="K338" s="3" t="inlineStr">
        <is>
          <t>전용108.3p, 노블테라스, 건축기한없음</t>
        </is>
      </c>
      <c r="L338" s="6">
        <f>HYPERLINK("https://fin.land.naver.com/articles/2654226084",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60000</v>
      </c>
      <c r="G339" s="4" t="n">
        <v>357</v>
      </c>
      <c r="H339" s="4" t="n">
        <v>108</v>
      </c>
      <c r="I339" s="5" t="n">
        <v>555.6</v>
      </c>
      <c r="J339" s="5" t="n">
        <v>357.7</v>
      </c>
      <c r="K339" s="3" t="inlineStr">
        <is>
          <t>108.3p, 노블테라스, 단독주택 토지매매</t>
        </is>
      </c>
      <c r="L339" s="6">
        <f>HYPERLINK("https://fin.land.naver.com/articles/2650891045",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HYPERLINK("https://fin.land.naver.com/articles/2650891216",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HYPERLINK("https://fin.land.naver.com/articles/2654706849",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HYPERLINK("https://fin.land.naver.com/articles/2655177060",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HYPERLINK("https://fin.land.naver.com/articles/2653573708",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HYPERLINK("https://fin.land.naver.com/articles/2655487148",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HYPERLINK("https://fin.land.naver.com/articles/2654695653",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HYPERLINK("https://fin.land.naver.com/articles/2654695790",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타운하우스 내 단독주택 토지 매매</t>
        </is>
      </c>
      <c r="L352" s="6">
        <f>HYPERLINK("https://fin.land.naver.com/articles/2654237070",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찬스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374</v>
      </c>
      <c r="H353" s="4" t="n">
        <v>113</v>
      </c>
      <c r="I353" s="5" t="n">
        <v>495.6</v>
      </c>
      <c r="J353" s="5" t="n">
        <v>319.6</v>
      </c>
      <c r="K353" s="3" t="inlineStr">
        <is>
          <t>고운동 단독주택지</t>
        </is>
      </c>
      <c r="L353" s="6">
        <f>HYPERLINK("https://fin.land.naver.com/articles/2654024875",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현대파라곤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코지빌 단독주택지, 도로지분 별도</t>
        </is>
      </c>
      <c r="L354" s="6">
        <f>HYPERLINK("https://fin.land.naver.com/articles/2653683054",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43000</v>
      </c>
      <c r="G355" s="4" t="n">
        <v>251</v>
      </c>
      <c r="H355" s="4" t="n">
        <v>76</v>
      </c>
      <c r="I355" s="5" t="n">
        <v>565.8</v>
      </c>
      <c r="J355" s="5" t="n">
        <v>319.6</v>
      </c>
      <c r="K355" s="3" t="inlineStr">
        <is>
          <t>급매, 조망 좋은 고운동에 있는 세종네이플리브 단독주택지 입니다</t>
        </is>
      </c>
      <c r="L355" s="6">
        <f>HYPERLINK("https://fin.land.naver.com/articles/2652193954", "매물Link")</f>
        <v/>
      </c>
      <c r="M355" s="6">
        <f>HYPERLINK("https://map.naver.com/p/search/고운동 893-20", "지도Link")</f>
        <v/>
      </c>
      <c r="N355" s="6">
        <f>HYPERLINK("http://www.eum.go.kr/web/ar/lu/luLandDet.jsp?pnu=3611011200108930020&amp;isNoScr=script&amp;mode=search", "토지이음")</f>
        <v/>
      </c>
      <c r="O355" s="3" t="inlineStr">
        <is>
          <t>스마일세종</t>
        </is>
      </c>
      <c r="P355" s="4" t="n">
        <v>1</v>
      </c>
      <c r="Q355" s="4" t="n">
        <v>251.1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네이플리브 토지매매, 76.3p 도로지분 35p 별도</t>
        </is>
      </c>
      <c r="L356" s="6">
        <f>HYPERLINK("https://fin.land.naver.com/articles/2652839705",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HYPERLINK("https://fin.land.naver.com/articles/2654703024",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893-41</t>
        </is>
      </c>
      <c r="B358" s="3" t="inlineStr">
        <is>
          <t>제1종전용주거지역</t>
        </is>
      </c>
      <c r="C358" s="3" t="inlineStr">
        <is>
          <t>공원</t>
        </is>
      </c>
      <c r="D358" s="3" t="inlineStr">
        <is>
          <t>대</t>
        </is>
      </c>
      <c r="E358" s="3" t="inlineStr">
        <is>
          <t>매매</t>
        </is>
      </c>
      <c r="F358" s="4" t="n">
        <v>66000</v>
      </c>
      <c r="G358" s="4" t="n">
        <v>364</v>
      </c>
      <c r="H358" s="4" t="n">
        <v>110</v>
      </c>
      <c r="I358" s="5" t="n">
        <v>600</v>
      </c>
      <c r="J358" s="5" t="n">
        <v>223.7</v>
      </c>
      <c r="K358" s="3" t="inlineStr">
        <is>
          <t>nan</t>
        </is>
      </c>
      <c r="L358" s="6">
        <f>HYPERLINK("https://fin.land.naver.com/articles/2651025996", "매물Link")</f>
        <v/>
      </c>
      <c r="M358" s="6">
        <f>HYPERLINK("https://map.naver.com/p/search/고운동 893-41", "지도Link")</f>
        <v/>
      </c>
      <c r="N358" s="6">
        <f>HYPERLINK("http://www.eum.go.kr/web/ar/lu/luLandDet.jsp?pnu=3611011200108930041&amp;isNoScr=script&amp;mode=search", "토지이음")</f>
        <v/>
      </c>
      <c r="O358" s="3" t="inlineStr">
        <is>
          <t>디아트성심</t>
        </is>
      </c>
      <c r="P358" s="4" t="n">
        <v>1</v>
      </c>
      <c r="Q358" s="4" t="n">
        <v>286.7</v>
      </c>
      <c r="R358" s="3" t="inlineStr">
        <is>
          <t>지정되지않음</t>
        </is>
      </c>
      <c r="S358" s="3" t="inlineStr">
        <is>
          <t>주차장등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지정되지않음</t>
        </is>
      </c>
    </row>
    <row r="359">
      <c r="A359" s="3" t="inlineStr">
        <is>
          <t>고운동 893-7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49500</v>
      </c>
      <c r="G359" s="4" t="n">
        <v>256</v>
      </c>
      <c r="H359" s="4" t="n">
        <v>77</v>
      </c>
      <c r="I359" s="5" t="n">
        <v>642.9</v>
      </c>
      <c r="J359" s="5" t="n">
        <v>319.6</v>
      </c>
      <c r="K359" s="3" t="inlineStr">
        <is>
          <t>타운하우스부지 a타입 건축가능 합니다</t>
        </is>
      </c>
      <c r="L359" s="6">
        <f>HYPERLINK("https://fin.land.naver.com/articles/2651511916", "매물Link")</f>
        <v/>
      </c>
      <c r="M359" s="6">
        <f>HYPERLINK("https://map.naver.com/p/search/고운동 893-7", "지도Link")</f>
        <v/>
      </c>
      <c r="N359" s="6">
        <f>HYPERLINK("http://www.eum.go.kr/web/ar/lu/luLandDet.jsp?pnu=3611011200108930007&amp;isNoScr=script&amp;mode=search", "토지이음")</f>
        <v/>
      </c>
      <c r="O359" s="3" t="inlineStr">
        <is>
          <t>은성</t>
        </is>
      </c>
      <c r="P359" s="4" t="n">
        <v>1</v>
      </c>
      <c r="Q359" s="4" t="n">
        <v>256.8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급매 남서향 타운하우스  A타입 단독주택지</t>
        </is>
      </c>
      <c r="L360" s="6">
        <f>HYPERLINK("https://fin.land.naver.com/articles/2653033687",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SD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r급매 타운하우스부지 A타입 건축가능</t>
        </is>
      </c>
      <c r="L361" s="6">
        <f>HYPERLINK("https://fin.land.naver.com/articles/2654693509",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써니</t>
        </is>
      </c>
      <c r="P361" s="4" t="n">
        <v>2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53000</v>
      </c>
      <c r="G362" s="4" t="n">
        <v>244</v>
      </c>
      <c r="H362" s="4" t="n">
        <v>74</v>
      </c>
      <c r="I362" s="5" t="n">
        <v>716.2</v>
      </c>
      <c r="J362" s="5" t="n">
        <v>319.6</v>
      </c>
      <c r="K362" s="3" t="inlineStr">
        <is>
          <t>고운동 단독주택지 매매 합니다</t>
        </is>
      </c>
      <c r="L362" s="6">
        <f>HYPERLINK("https://fin.land.naver.com/articles/2653338048", "매물Link")</f>
        <v/>
      </c>
      <c r="M362" s="6">
        <f>HYPERLINK("https://map.naver.com/p/search/고운동 894-17", "지도Link")</f>
        <v/>
      </c>
      <c r="N362" s="6">
        <f>HYPERLINK("http://www.eum.go.kr/web/ar/lu/luLandDet.jsp?pnu=3611011200108940017&amp;isNoScr=script&amp;mode=search", "토지이음")</f>
        <v/>
      </c>
      <c r="O362" s="3" t="inlineStr">
        <is>
          <t>태양투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 코지빌 토지매매</t>
        </is>
      </c>
      <c r="L363" s="6">
        <f>HYPERLINK("https://fin.land.naver.com/articles/2655509311", "매물Link")</f>
        <v/>
      </c>
      <c r="M363" s="6">
        <f>HYPERLINK("https://map.naver.com/p/search/고운동 894-21", "지도Link")</f>
        <v/>
      </c>
      <c r="N363" s="6">
        <f>HYPERLINK("http://www.eum.go.kr/web/ar/lu/luLandDet.jsp?pnu=3611011200108940021&amp;isNoScr=script&amp;mode=search", "토지이음")</f>
        <v/>
      </c>
      <c r="O363" s="3" t="inlineStr">
        <is>
          <t>황금도장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49000</v>
      </c>
      <c r="G364" s="4" t="n">
        <v>244</v>
      </c>
      <c r="H364" s="4" t="n">
        <v>74</v>
      </c>
      <c r="I364" s="5" t="n">
        <v>662.2</v>
      </c>
      <c r="J364" s="5" t="n">
        <v>319.6</v>
      </c>
      <c r="K364" s="3" t="inlineStr">
        <is>
          <t>고운동타운하우스토지매매 가격조정가능</t>
        </is>
      </c>
      <c r="L364" s="6">
        <f>HYPERLINK("https://fin.land.naver.com/articles/2651892602", "매물Link")</f>
        <v/>
      </c>
      <c r="M364" s="6">
        <f>HYPERLINK("https://map.naver.com/p/search/고운동 894-25", "지도Link")</f>
        <v/>
      </c>
      <c r="N364" s="6">
        <f>HYPERLINK("http://www.eum.go.kr/web/ar/lu/luLandDet.jsp?pnu=3611011200108940025&amp;isNoScr=script&amp;mode=search",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50000</v>
      </c>
      <c r="G365" s="4" t="n">
        <v>244</v>
      </c>
      <c r="H365" s="4" t="n">
        <v>74</v>
      </c>
      <c r="I365" s="5" t="n">
        <v>675.7</v>
      </c>
      <c r="J365" s="5" t="n">
        <v>319.6</v>
      </c>
      <c r="K365" s="3" t="inlineStr">
        <is>
          <t>코지빌 토지매매, 74.18p, 도로지분 별도, 조율가능</t>
        </is>
      </c>
      <c r="L365" s="6">
        <f>HYPERLINK("https://fin.land.naver.com/articles/2652841596", "매물Link")</f>
        <v/>
      </c>
      <c r="M365" s="6">
        <f>HYPERLINK("https://map.naver.com/p/search/고운동 894-26", "지도Link")</f>
        <v/>
      </c>
      <c r="N365" s="6">
        <f>HYPERLINK("http://www.eum.go.kr/web/ar/lu/luLandDet.jsp?pnu=3611011200108940026&amp;isNoScr=script&amp;mode=search",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nan</t>
        </is>
      </c>
      <c r="L366" s="6">
        <f>HYPERLINK("https://fin.land.naver.com/articles/2650960095",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코지빌 토지매매, 공원 옆, 앞쪽 입지 좋은 토지</t>
        </is>
      </c>
      <c r="L367" s="6">
        <f>HYPERLINK("https://fin.land.naver.com/articles/2651770499",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66000</v>
      </c>
      <c r="G369" s="4" t="n">
        <v>290</v>
      </c>
      <c r="H369" s="4" t="n">
        <v>88</v>
      </c>
      <c r="I369" s="5" t="n">
        <v>750</v>
      </c>
      <c r="J369" s="5" t="n">
        <v>319.6</v>
      </c>
      <c r="K369" s="3" t="inlineStr">
        <is>
          <t>고운동 코지빌 입구쪽 코너 타운하우스 택지</t>
        </is>
      </c>
      <c r="L369" s="6">
        <f>HYPERLINK("https://fin.land.naver.com/articles/2650894171", "매물Link")</f>
        <v/>
      </c>
      <c r="M369" s="6">
        <f>HYPERLINK("https://map.naver.com/p/search/고운동 894-37", "지도Link")</f>
        <v/>
      </c>
      <c r="N369" s="6">
        <f>HYPERLINK("http://www.eum.go.kr/web/ar/lu/luLandDet.jsp?pnu=3611011200108940037&amp;isNoScr=script&amp;mode=search",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HYPERLINK("https://fin.land.naver.com/articles/2655287302",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894-42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463</v>
      </c>
      <c r="H371" s="4" t="n">
        <v>140</v>
      </c>
      <c r="I371" s="5" t="n">
        <v>321.4</v>
      </c>
      <c r="J371" s="5" t="n">
        <v>319.6</v>
      </c>
      <c r="K371" s="3" t="inlineStr">
        <is>
          <t>세종 코지빌 토지매매</t>
        </is>
      </c>
      <c r="L371" s="6">
        <f>HYPERLINK("https://fin.land.naver.com/articles/2655508574", "매물Link")</f>
        <v/>
      </c>
      <c r="M371" s="6">
        <f>HYPERLINK("https://map.naver.com/p/search/고운동 894-42", "지도Link")</f>
        <v/>
      </c>
      <c r="N371" s="6">
        <f>HYPERLINK("http://www.eum.go.kr/web/ar/lu/luLandDet.jsp?pnu=3611011200108940042&amp;isNoScr=script&amp;mode=search", "토지이음")</f>
        <v/>
      </c>
      <c r="O371" s="3" t="inlineStr">
        <is>
          <t>황금도장</t>
        </is>
      </c>
      <c r="P371" s="4" t="n">
        <v>1</v>
      </c>
      <c r="Q371" s="4" t="n">
        <v>463.1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904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344</v>
      </c>
      <c r="H372" s="4" t="n">
        <v>104</v>
      </c>
      <c r="I372" s="5" t="n">
        <v>596.2</v>
      </c>
      <c r="J372" s="5" t="n">
        <v>354.4</v>
      </c>
      <c r="K372" s="3" t="inlineStr">
        <is>
          <t>완충녹지 접한 3면코너각지</t>
        </is>
      </c>
      <c r="L372" s="6">
        <f>HYPERLINK("https://fin.land.naver.com/articles/2652418819", "매물Link")</f>
        <v/>
      </c>
      <c r="M372" s="6">
        <f>HYPERLINK("https://map.naver.com/p/search/고운동 904", "지도Link")</f>
        <v/>
      </c>
      <c r="N372" s="6">
        <f>HYPERLINK("http://www.eum.go.kr/web/ar/lu/luLandDet.jsp?pnu=3611011200109040000&amp;isNoScr=script&amp;mode=search",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912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55000</v>
      </c>
      <c r="G373" s="4" t="n">
        <v>334</v>
      </c>
      <c r="H373" s="4" t="n">
        <v>101</v>
      </c>
      <c r="I373" s="5" t="n">
        <v>544.6</v>
      </c>
      <c r="J373" s="5" t="n">
        <v>315.1</v>
      </c>
      <c r="K373" s="3" t="inlineStr">
        <is>
          <t>급매 시유지 넓게접함 단지내상가 상권편리</t>
        </is>
      </c>
      <c r="L373" s="6">
        <f>HYPERLINK("https://fin.land.naver.com/articles/2654857128", "매물Link")</f>
        <v/>
      </c>
      <c r="M373" s="6">
        <f>HYPERLINK("https://map.naver.com/p/search/고운동 912", "지도Link")</f>
        <v/>
      </c>
      <c r="N373" s="6">
        <f>HYPERLINK("http://www.eum.go.kr/web/ar/lu/luLandDet.jsp?pnu=3611011200109120000&amp;isNoScr=script&amp;mode=search", "토지이음")</f>
        <v/>
      </c>
      <c r="O373" s="3" t="inlineStr">
        <is>
          <t>세종스타</t>
        </is>
      </c>
      <c r="P373" s="4" t="n">
        <v>1</v>
      </c>
      <c r="Q373" s="4" t="n">
        <v>334.1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106.8p, 아파트단지 바로 옆, 고운동 단독주택</t>
        </is>
      </c>
      <c r="L378" s="6">
        <f>HYPERLINK("https://fin.land.naver.com/articles/2654924876",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HYPERLINK("https://fin.land.naver.com/articles/2654715656",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345</v>
      </c>
      <c r="H380" s="4" t="n">
        <v>104</v>
      </c>
      <c r="I380" s="5" t="n">
        <v>625</v>
      </c>
      <c r="J380" s="5" t="n">
        <v>328.2</v>
      </c>
      <c r="K380" s="3" t="inlineStr">
        <is>
          <t>코너 입주 우수. 남향. 생활 편리.</t>
        </is>
      </c>
      <c r="L380" s="6">
        <f>HYPERLINK("https://fin.land.naver.com/articles/2654849383",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세종썬사사무소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명성공인, 고운동 18단지 옆 단독주택부지, 벙커주차장가능 추천 매물</t>
        </is>
      </c>
      <c r="L381" s="6">
        <f>HYPERLINK("https://fin.land.naver.com/articles/2654058087",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명성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도로에서단차가있는토지로벙커주차장가능한귀한땅,측량완료,상가,학교가까움</t>
        </is>
      </c>
      <c r="L383" s="6">
        <f>HYPERLINK("https://fin.land.naver.com/articles/2654061300",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김하나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951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364</v>
      </c>
      <c r="H384" s="4" t="n">
        <v>110</v>
      </c>
      <c r="I384" s="5" t="n">
        <v>545.5</v>
      </c>
      <c r="J384" s="5" t="n">
        <v>358.7</v>
      </c>
      <c r="K384" s="3" t="inlineStr">
        <is>
          <t>접근성 좋은 위치, 고운동 북측 상권 이용 편리, 초중고 도보이용</t>
        </is>
      </c>
      <c r="L384" s="6">
        <f>HYPERLINK("https://fin.land.naver.com/articles/2653917538", "매물Link")</f>
        <v/>
      </c>
      <c r="M384" s="6">
        <f>HYPERLINK("https://map.naver.com/p/search/고운동 951", "지도Link")</f>
        <v/>
      </c>
      <c r="N384" s="6">
        <f>HYPERLINK("http://www.eum.go.kr/web/ar/lu/luLandDet.jsp?pnu=3611011200109510000&amp;isNoScr=script&amp;mode=search", "토지이음")</f>
        <v/>
      </c>
      <c r="O384" s="3" t="inlineStr">
        <is>
          <t>현대파라곤</t>
        </is>
      </c>
      <c r="P384" s="4" t="n">
        <v>3</v>
      </c>
      <c r="Q384" s="4" t="n">
        <v>364.1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HYPERLINK("https://fin.land.naver.com/articles/2655487583",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급매,넓은평수,복합커뮤니티센터,항아리중심상권 생활권 편리</t>
        </is>
      </c>
      <c r="L386" s="6">
        <f>HYPERLINK("https://fin.land.naver.com/articles/2650851671",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고운맘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HYPERLINK("https://fin.land.naver.com/articles/2650947653",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삼거리 코너 각지, 입지 좋은 토지매매</t>
        </is>
      </c>
      <c r="L390" s="6">
        <f>HYPERLINK("https://fin.land.naver.com/articles/2651188999",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362</v>
      </c>
      <c r="H391" s="4" t="n">
        <v>110</v>
      </c>
      <c r="I391" s="5" t="n">
        <v>545.5</v>
      </c>
      <c r="J391" s="5" t="n">
        <v>329.9</v>
      </c>
      <c r="K391" s="3" t="inlineStr">
        <is>
          <t>코너각지   편의시설가까운 좋은위치   가격조율가능</t>
        </is>
      </c>
      <c r="L391" s="6">
        <f>HYPERLINK("https://fin.land.naver.com/articles/2655246785", "매물Link")</f>
        <v/>
      </c>
      <c r="M391" s="6">
        <f>HYPERLINK("https://map.naver.com/p/search/고운동 974", "지도Link")</f>
        <v/>
      </c>
      <c r="N391" s="6">
        <f>HYPERLINK("http://www.eum.go.kr/web/ar/lu/luLandDet.jsp?pnu=3611011200109740000&amp;isNoScr=script&amp;mode=search", "토지이음")</f>
        <v/>
      </c>
      <c r="O391" s="3" t="inlineStr">
        <is>
          <t>고운힐스테이트</t>
        </is>
      </c>
      <c r="P391" s="4" t="n">
        <v>2</v>
      </c>
      <c r="Q391" s="4" t="n">
        <v>362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976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57000</v>
      </c>
      <c r="G392" s="4" t="n">
        <v>375</v>
      </c>
      <c r="H392" s="4" t="n">
        <v>113</v>
      </c>
      <c r="I392" s="5" t="n">
        <v>504.4</v>
      </c>
      <c r="J392" s="5" t="n">
        <v>317.5</v>
      </c>
      <c r="K392" s="3" t="inlineStr">
        <is>
          <t>면적 넓고 지대 높고 조용한 토지매매, 114p, 조율도 가능</t>
        </is>
      </c>
      <c r="L392" s="6">
        <f>HYPERLINK("https://fin.land.naver.com/articles/2654858452", "매물Link")</f>
        <v/>
      </c>
      <c r="M392" s="6">
        <f>HYPERLINK("https://map.naver.com/p/search/고운동 976", "지도Link")</f>
        <v/>
      </c>
      <c r="N392" s="6">
        <f>HYPERLINK("http://www.eum.go.kr/web/ar/lu/luLandDet.jsp?pnu=3611011200109760000&amp;isNoScr=script&amp;mode=search",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375.9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소로한면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HYPERLINK("https://fin.land.naver.com/articles/2651977335",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HYPERLINK("https://fin.land.naver.com/articles/2653862784",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984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338</v>
      </c>
      <c r="H395" s="4" t="n">
        <v>102</v>
      </c>
      <c r="I395" s="5" t="n">
        <v>676.5</v>
      </c>
      <c r="J395" s="5" t="n">
        <v>317.5</v>
      </c>
      <c r="K395" s="3" t="inlineStr">
        <is>
          <t>nan</t>
        </is>
      </c>
      <c r="L395" s="6">
        <f>HYPERLINK("https://fin.land.naver.com/articles/2651027546", "매물Link")</f>
        <v/>
      </c>
      <c r="M395" s="6">
        <f>HYPERLINK("https://map.naver.com/p/search/고운동 984", "지도Link")</f>
        <v/>
      </c>
      <c r="N395" s="6">
        <f>HYPERLINK("http://www.eum.go.kr/web/ar/lu/luLandDet.jsp?pnu=3611011200109840000&amp;isNoScr=script&amp;mode=search",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338.6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57000</v>
      </c>
      <c r="G396" s="4" t="n">
        <v>359</v>
      </c>
      <c r="H396" s="4" t="n">
        <v>109</v>
      </c>
      <c r="I396" s="5" t="n">
        <v>522.9</v>
      </c>
      <c r="J396" s="5" t="n">
        <v>358.7</v>
      </c>
      <c r="K396" s="3" t="inlineStr">
        <is>
          <t>코너각지  학교 근린생활시설 가까운 토지</t>
        </is>
      </c>
      <c r="L396" s="6">
        <f>HYPERLINK("https://fin.land.naver.com/articles/2654597621", "매물Link")</f>
        <v/>
      </c>
      <c r="M396" s="6">
        <f>HYPERLINK("https://map.naver.com/p/search/고운동 994", "지도Link")</f>
        <v/>
      </c>
      <c r="N396" s="6">
        <f>HYPERLINK("http://www.eum.go.kr/web/ar/lu/luLandDet.jsp?pnu=3611011200109940000&amp;isNoScr=script&amp;mode=search", "토지이음")</f>
        <v/>
      </c>
      <c r="O396" s="3" t="inlineStr">
        <is>
          <t>고운힐스테이트</t>
        </is>
      </c>
      <c r="P396" s="4" t="n">
        <v>4</v>
      </c>
      <c r="Q396" s="4" t="n">
        <v>359.7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금남면 감성리 111-1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104000</v>
      </c>
      <c r="G398" s="4" t="n">
        <v>2145</v>
      </c>
      <c r="H398" s="4" t="n">
        <v>649</v>
      </c>
      <c r="I398" s="5" t="n">
        <v>160.2</v>
      </c>
      <c r="J398" s="5" t="n">
        <v>96.3</v>
      </c>
      <c r="K398" s="3" t="inlineStr">
        <is>
          <t>2차선 도로변에 위치하고 있어 향후 투자가치 확보</t>
        </is>
      </c>
      <c r="L398" s="6">
        <f>HYPERLINK("https://fin.land.naver.com/articles/2654740563", "매물Link")</f>
        <v/>
      </c>
      <c r="M398" s="6">
        <f>HYPERLINK("https://map.naver.com/p/search/금남면 감성리 111-1", "지도Link")</f>
        <v/>
      </c>
      <c r="N398" s="6">
        <f>HYPERLINK("http://www.eum.go.kr/web/ar/lu/luLandDet.jsp?pnu=3611034023101110001&amp;isNoScr=script&amp;mode=search", "토지이음")</f>
        <v/>
      </c>
      <c r="O398" s="3" t="inlineStr">
        <is>
          <t>창고의여왕</t>
        </is>
      </c>
      <c r="P398" s="4" t="n">
        <v>2</v>
      </c>
      <c r="Q398" s="4" t="n">
        <v>2145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감성리 152-7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65000</v>
      </c>
      <c r="G399" s="4" t="n">
        <v>1359</v>
      </c>
      <c r="H399" s="4" t="n">
        <v>411</v>
      </c>
      <c r="I399" s="5" t="n">
        <v>158.2</v>
      </c>
      <c r="J399" s="5" t="n">
        <v>89.8</v>
      </c>
      <c r="K399" s="3" t="inlineStr">
        <is>
          <t>nan</t>
        </is>
      </c>
      <c r="L399" s="6">
        <f>HYPERLINK("https://fin.land.naver.com/articles/2654930878", "매물Link")</f>
        <v/>
      </c>
      <c r="M399" s="6">
        <f>HYPERLINK("https://map.naver.com/p/search/금남면 감성리 152-7", "지도Link")</f>
        <v/>
      </c>
      <c r="N399" s="6">
        <f>HYPERLINK("http://www.eum.go.kr/web/ar/lu/luLandDet.jsp?pnu=3611034023101520007&amp;isNoScr=script&amp;mode=search", "토지이음")</f>
        <v/>
      </c>
      <c r="O399" s="3" t="inlineStr">
        <is>
          <t>드림무소</t>
        </is>
      </c>
      <c r="P399" s="4" t="n">
        <v>1</v>
      </c>
      <c r="Q399" s="4" t="n">
        <v>1359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금남면 국곡리 215</t>
        </is>
      </c>
      <c r="B400" s="3" t="inlineStr">
        <is>
          <t>계획관리지역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35000</v>
      </c>
      <c r="G400" s="4" t="n">
        <v>460</v>
      </c>
      <c r="H400" s="4" t="n">
        <v>139</v>
      </c>
      <c r="I400" s="5" t="n">
        <v>251.8</v>
      </c>
      <c r="J400" s="5" t="n">
        <v>23.5</v>
      </c>
      <c r="K400" s="3" t="inlineStr">
        <is>
          <t>nan</t>
        </is>
      </c>
      <c r="L400" s="6">
        <f>HYPERLINK("https://fin.land.naver.com/articles/2654420453", "매물Link")</f>
        <v/>
      </c>
      <c r="M400" s="6">
        <f>HYPERLINK("https://map.naver.com/p/search/금남면 국곡리 215", "지도Link")</f>
        <v/>
      </c>
      <c r="N400" s="6">
        <f>HYPERLINK("http://www.eum.go.kr/web/ar/lu/luLandDet.jsp?pnu=3611034044102150000&amp;isNoScr=script&amp;mode=search", "토지이음")</f>
        <v/>
      </c>
      <c r="O400" s="3" t="inlineStr">
        <is>
          <t>그래그</t>
        </is>
      </c>
      <c r="P400" s="4" t="n">
        <v>1</v>
      </c>
      <c r="Q400" s="4" t="n">
        <v>460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217</t>
        </is>
      </c>
      <c r="B401" s="3" t="inlineStr">
        <is>
          <t>계획관리지역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100000</v>
      </c>
      <c r="G401" s="4" t="n">
        <v>1435</v>
      </c>
      <c r="H401" s="4" t="n">
        <v>434</v>
      </c>
      <c r="I401" s="5" t="n">
        <v>230.4</v>
      </c>
      <c r="J401" s="5" t="n">
        <v>43.8</v>
      </c>
      <c r="K401" s="3" t="inlineStr">
        <is>
          <t>nan</t>
        </is>
      </c>
      <c r="L401" s="6">
        <f>HYPERLINK("https://fin.land.naver.com/articles/2654420230", "매물Link")</f>
        <v/>
      </c>
      <c r="M401" s="6">
        <f>HYPERLINK("https://map.naver.com/p/search/금남면 국곡리 217", "지도Link")</f>
        <v/>
      </c>
      <c r="N401" s="6">
        <f>HYPERLINK("http://www.eum.go.kr/web/ar/lu/luLandDet.jsp?pnu=3611034044102170000&amp;isNoScr=script&amp;mode=search", "토지이음")</f>
        <v/>
      </c>
      <c r="O401" s="3" t="inlineStr">
        <is>
          <t>그래그</t>
        </is>
      </c>
      <c r="P401" s="4" t="n">
        <v>1</v>
      </c>
      <c r="Q401" s="4" t="n">
        <v>1435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국곡리 217</t>
        </is>
      </c>
      <c r="B402" s="3" t="inlineStr">
        <is>
          <t>계획관리지역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155000</v>
      </c>
      <c r="G402" s="4" t="n">
        <v>2054</v>
      </c>
      <c r="H402" s="4" t="n">
        <v>621</v>
      </c>
      <c r="I402" s="5" t="n">
        <v>249.6</v>
      </c>
      <c r="J402" s="5" t="n">
        <v>43.8</v>
      </c>
      <c r="K402" s="3" t="inlineStr">
        <is>
          <t>계획관리지역으로 투자가치 양호함.</t>
        </is>
      </c>
      <c r="L402" s="6">
        <f>HYPERLINK("https://fin.land.naver.com/articles/2654569096", "매물Link")</f>
        <v/>
      </c>
      <c r="M402" s="6">
        <f>HYPERLINK("https://map.naver.com/p/search/금남면 국곡리 217", "지도Link")</f>
        <v/>
      </c>
      <c r="N402" s="6">
        <f>HYPERLINK("http://www.eum.go.kr/web/ar/lu/luLandDet.jsp?pnu=3611034044102170000&amp;isNoScr=script&amp;mode=search", "토지이음")</f>
        <v/>
      </c>
      <c r="O402" s="3" t="inlineStr">
        <is>
          <t>다정현대</t>
        </is>
      </c>
      <c r="P402" s="4" t="n">
        <v>1</v>
      </c>
      <c r="Q402" s="4" t="n">
        <v>1435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국곡리 218</t>
        </is>
      </c>
      <c r="B403" s="3" t="inlineStr">
        <is>
          <t>계획관리지역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12000</v>
      </c>
      <c r="G403" s="4" t="n">
        <v>159</v>
      </c>
      <c r="H403" s="4" t="n">
        <v>48</v>
      </c>
      <c r="I403" s="5" t="n">
        <v>250</v>
      </c>
      <c r="J403" s="5" t="n">
        <v>43.8</v>
      </c>
      <c r="K403" s="3" t="inlineStr">
        <is>
          <t>nan</t>
        </is>
      </c>
      <c r="L403" s="6">
        <f>HYPERLINK("https://fin.land.naver.com/articles/2654420972", "매물Link")</f>
        <v/>
      </c>
      <c r="M403" s="6">
        <f>HYPERLINK("https://map.naver.com/p/search/금남면 국곡리 218", "지도Link")</f>
        <v/>
      </c>
      <c r="N403" s="6">
        <f>HYPERLINK("http://www.eum.go.kr/web/ar/lu/luLandDet.jsp?pnu=3611034044102180000&amp;isNoScr=script&amp;mode=search", "토지이음")</f>
        <v/>
      </c>
      <c r="O403" s="3" t="inlineStr">
        <is>
          <t>그래그</t>
        </is>
      </c>
      <c r="P403" s="4" t="n">
        <v>1</v>
      </c>
      <c r="Q403" s="4" t="n">
        <v>159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국곡리 266-16</t>
        </is>
      </c>
      <c r="B404" s="3" t="inlineStr">
        <is>
          <t>생산관리지역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127500</v>
      </c>
      <c r="G404" s="4" t="n">
        <v>1686</v>
      </c>
      <c r="H404" s="4" t="n">
        <v>510</v>
      </c>
      <c r="I404" s="5" t="n">
        <v>250</v>
      </c>
      <c r="J404" s="5" t="n">
        <v>55.9</v>
      </c>
      <c r="K404" s="3" t="inlineStr">
        <is>
          <t>고속철도역 신설시 수헤지역</t>
        </is>
      </c>
      <c r="L404" s="6">
        <f>HYPERLINK("https://fin.land.naver.com/articles/2651143722", "매물Link")</f>
        <v/>
      </c>
      <c r="M404" s="6">
        <f>HYPERLINK("https://map.naver.com/p/search/금남면 국곡리 266-16", "지도Link")</f>
        <v/>
      </c>
      <c r="N404" s="6">
        <f>HYPERLINK("http://www.eum.go.kr/web/ar/lu/luLandDet.jsp?pnu=3611034044102660016&amp;isNoScr=script&amp;mode=search", "토지이음")</f>
        <v/>
      </c>
      <c r="O404" s="3" t="inlineStr">
        <is>
          <t>뉴장원</t>
        </is>
      </c>
      <c r="P404" s="4" t="n">
        <v>1</v>
      </c>
      <c r="Q404" s="4" t="n">
        <v>687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맹지</t>
        </is>
      </c>
    </row>
    <row r="405">
      <c r="A405" s="3" t="inlineStr">
        <is>
          <t>금남면 국곡리 34-7</t>
        </is>
      </c>
      <c r="B405" s="3" t="inlineStr">
        <is>
          <t>보전관리지역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18000</v>
      </c>
      <c r="G405" s="4" t="n">
        <v>582</v>
      </c>
      <c r="H405" s="4" t="n">
        <v>176</v>
      </c>
      <c r="I405" s="5" t="n">
        <v>102.3</v>
      </c>
      <c r="J405" s="5" t="n">
        <v>41.8</v>
      </c>
      <c r="K405" s="3" t="inlineStr">
        <is>
          <t>정남향땅</t>
        </is>
      </c>
      <c r="L405" s="6">
        <f>HYPERLINK("https://fin.land.naver.com/articles/2653843637", "매물Link")</f>
        <v/>
      </c>
      <c r="M405" s="6">
        <f>HYPERLINK("https://map.naver.com/p/search/금남면 국곡리 34-7", "지도Link")</f>
        <v/>
      </c>
      <c r="N405" s="6">
        <f>HYPERLINK("http://www.eum.go.kr/web/ar/lu/luLandDet.jsp?pnu=3611034044100340007&amp;isNoScr=script&amp;mode=search", "토지이음")</f>
        <v/>
      </c>
      <c r="O405" s="3" t="inlineStr">
        <is>
          <t>일등사무소</t>
        </is>
      </c>
      <c r="P405" s="4" t="n">
        <v>1</v>
      </c>
      <c r="Q405" s="4" t="n">
        <v>582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국곡리 36</t>
        </is>
      </c>
      <c r="B406" s="3" t="inlineStr">
        <is>
          <t>보전관리지역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10000</v>
      </c>
      <c r="G406" s="4" t="n">
        <v>446</v>
      </c>
      <c r="H406" s="4" t="n">
        <v>135</v>
      </c>
      <c r="I406" s="5" t="n">
        <v>74.09999999999999</v>
      </c>
      <c r="J406" s="5" t="n">
        <v>23.6</v>
      </c>
      <c r="K406" s="3" t="inlineStr">
        <is>
          <t>텃밭가꾸기</t>
        </is>
      </c>
      <c r="L406" s="6">
        <f>HYPERLINK("https://fin.land.naver.com/articles/2650244298", "매물Link")</f>
        <v/>
      </c>
      <c r="M406" s="6">
        <f>HYPERLINK("https://map.naver.com/p/search/금남면 국곡리 36", "지도Link")</f>
        <v/>
      </c>
      <c r="N406" s="6">
        <f>HYPERLINK("http://www.eum.go.kr/web/ar/lu/luLandDet.jsp?pnu=3611034044100360000&amp;isNoScr=script&amp;mode=search", "토지이음")</f>
        <v/>
      </c>
      <c r="O406" s="3" t="inlineStr">
        <is>
          <t>일등사무소</t>
        </is>
      </c>
      <c r="P406" s="4" t="n">
        <v>1</v>
      </c>
      <c r="Q406" s="4" t="n">
        <v>446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85-5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50000</v>
      </c>
      <c r="G407" s="4" t="n">
        <v>868</v>
      </c>
      <c r="H407" s="4" t="n">
        <v>263</v>
      </c>
      <c r="I407" s="5" t="n">
        <v>190.1</v>
      </c>
      <c r="J407" s="5" t="n">
        <v>139.9</v>
      </c>
      <c r="K407" s="3" t="inlineStr">
        <is>
          <t>금남면 국곡리 계획관리, 자연취락지구 대지 및 전 매매</t>
        </is>
      </c>
      <c r="L407" s="6">
        <f>HYPERLINK("https://fin.land.naver.com/articles/2650365491", "매물Link")</f>
        <v/>
      </c>
      <c r="M407" s="6">
        <f>HYPERLINK("https://map.naver.com/p/search/금남면 국곡리 85-5", "지도Link")</f>
        <v/>
      </c>
      <c r="N407" s="6">
        <f>HYPERLINK("http://www.eum.go.kr/web/ar/lu/luLandDet.jsp?pnu=3611034044100850005&amp;isNoScr=script&amp;mode=search", "토지이음")</f>
        <v/>
      </c>
      <c r="O407" s="3" t="inlineStr">
        <is>
          <t>현대엠코</t>
        </is>
      </c>
      <c r="P407" s="4" t="n">
        <v>1</v>
      </c>
      <c r="Q407" s="4" t="n">
        <v>240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세로한면(가)</t>
        </is>
      </c>
    </row>
    <row r="408">
      <c r="A408" s="3" t="inlineStr">
        <is>
          <t>금남면 국곡리 91</t>
        </is>
      </c>
      <c r="B408" s="3" t="inlineStr">
        <is>
          <t>농림지역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111000</v>
      </c>
      <c r="G408" s="4" t="n">
        <v>4582</v>
      </c>
      <c r="H408" s="4" t="n">
        <v>1386</v>
      </c>
      <c r="I408" s="5" t="n">
        <v>80.09999999999999</v>
      </c>
      <c r="J408" s="5" t="n">
        <v>40.7</v>
      </c>
      <c r="K408" s="3" t="inlineStr">
        <is>
          <t>남세종IC 7분. 코스트코10분. 위치좋은 국곡리 토지</t>
        </is>
      </c>
      <c r="L408" s="6">
        <f>HYPERLINK("https://fin.land.naver.com/articles/2651901763", "매물Link")</f>
        <v/>
      </c>
      <c r="M408" s="6">
        <f>HYPERLINK("https://map.naver.com/p/search/금남면 국곡리 91", "지도Link")</f>
        <v/>
      </c>
      <c r="N408" s="6">
        <f>HYPERLINK("http://www.eum.go.kr/web/ar/lu/luLandDet.jsp?pnu=3611034044100910000&amp;isNoScr=script&amp;mode=search", "토지이음")</f>
        <v/>
      </c>
      <c r="O408" s="3" t="inlineStr">
        <is>
          <t>새롬삼둥이</t>
        </is>
      </c>
      <c r="P408" s="4" t="n">
        <v>1</v>
      </c>
      <c r="Q408" s="4" t="n">
        <v>2479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국곡리 98-7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13500</v>
      </c>
      <c r="G409" s="4" t="n">
        <v>261</v>
      </c>
      <c r="H409" s="4" t="n">
        <v>79</v>
      </c>
      <c r="I409" s="5" t="n">
        <v>170.9</v>
      </c>
      <c r="J409" s="5" t="n">
        <v>132</v>
      </c>
      <c r="K409" s="3" t="inlineStr">
        <is>
          <t>세종인근의 아담한 대지 매매</t>
        </is>
      </c>
      <c r="L409" s="6">
        <f>HYPERLINK("https://fin.land.naver.com/articles/2652851613", "매물Link")</f>
        <v/>
      </c>
      <c r="M409" s="6">
        <f>HYPERLINK("https://map.naver.com/p/search/금남면 국곡리 98-7", "지도Link")</f>
        <v/>
      </c>
      <c r="N409" s="6">
        <f>HYPERLINK("http://www.eum.go.kr/web/ar/lu/luLandDet.jsp?pnu=3611034044100980007&amp;isNoScr=script&amp;mode=search", "토지이음")</f>
        <v/>
      </c>
      <c r="O409" s="3" t="inlineStr">
        <is>
          <t>세종다올</t>
        </is>
      </c>
      <c r="P409" s="4" t="n">
        <v>1</v>
      </c>
      <c r="Q409" s="4" t="n">
        <v>261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금천리 205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75000</v>
      </c>
      <c r="G410" s="4" t="n">
        <v>3441</v>
      </c>
      <c r="H410" s="4" t="n">
        <v>1041</v>
      </c>
      <c r="I410" s="5" t="n">
        <v>72</v>
      </c>
      <c r="J410" s="5" t="n">
        <v>45</v>
      </c>
      <c r="K410" s="3" t="inlineStr">
        <is>
          <t>nan</t>
        </is>
      </c>
      <c r="L410" s="6">
        <f>HYPERLINK("https://fin.land.naver.com/articles/2652749139", "매물Link")</f>
        <v/>
      </c>
      <c r="M410" s="6">
        <f>HYPERLINK("https://map.naver.com/p/search/금남면 금천리 205", "지도Link")</f>
        <v/>
      </c>
      <c r="N410" s="6">
        <f>HYPERLINK("http://www.eum.go.kr/web/ar/lu/luLandDet.jsp?pnu=3611034027102050000&amp;isNoScr=script&amp;mode=search", "토지이음")</f>
        <v/>
      </c>
      <c r="O410" s="3" t="inlineStr">
        <is>
          <t>세종대평</t>
        </is>
      </c>
      <c r="P410" s="4" t="n">
        <v>1</v>
      </c>
      <c r="Q410" s="4" t="n">
        <v>2807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금천리 205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63000</v>
      </c>
      <c r="G411" s="4" t="n">
        <v>2807</v>
      </c>
      <c r="H411" s="4" t="n">
        <v>849</v>
      </c>
      <c r="I411" s="5" t="n">
        <v>74.2</v>
      </c>
      <c r="J411" s="5" t="n">
        <v>45</v>
      </c>
      <c r="K411" s="3" t="inlineStr">
        <is>
          <t>nan</t>
        </is>
      </c>
      <c r="L411" s="6">
        <f>HYPERLINK("https://fin.land.naver.com/articles/2651107952", "매물Link")</f>
        <v/>
      </c>
      <c r="M411" s="6">
        <f>HYPERLINK("https://map.naver.com/p/search/금남면 금천리 205", "지도Link")</f>
        <v/>
      </c>
      <c r="N411" s="6">
        <f>HYPERLINK("http://www.eum.go.kr/web/ar/lu/luLandDet.jsp?pnu=3611034027102050000&amp;isNoScr=script&amp;mode=search", "토지이음")</f>
        <v/>
      </c>
      <c r="O411" s="3" t="inlineStr">
        <is>
          <t>뉴엘리트탑</t>
        </is>
      </c>
      <c r="P411" s="4" t="n">
        <v>1</v>
      </c>
      <c r="Q411" s="4" t="n">
        <v>2807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금천리 225-4</t>
        </is>
      </c>
      <c r="B412" s="3" t="inlineStr">
        <is>
          <t>제1종일반주거지역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39000</v>
      </c>
      <c r="G412" s="4" t="n">
        <v>592</v>
      </c>
      <c r="H412" s="4" t="n">
        <v>179</v>
      </c>
      <c r="I412" s="5" t="n">
        <v>217.9</v>
      </c>
      <c r="J412" s="5" t="n">
        <v>56.4</v>
      </c>
      <c r="K412" s="3" t="inlineStr">
        <is>
          <t>금남면 금천리마을 2차선도로 접해 다양하게 활용하기 좋은 토지 매매</t>
        </is>
      </c>
      <c r="L412" s="6">
        <f>HYPERLINK("https://fin.land.naver.com/articles/2650425470", "매물Link")</f>
        <v/>
      </c>
      <c r="M412" s="6">
        <f>HYPERLINK("https://map.naver.com/p/search/금남면 금천리 225-4", "지도Link")</f>
        <v/>
      </c>
      <c r="N412" s="6">
        <f>HYPERLINK("http://www.eum.go.kr/web/ar/lu/luLandDet.jsp?pnu=3611034027102250004&amp;isNoScr=script&amp;mode=search", "토지이음")</f>
        <v/>
      </c>
      <c r="O412" s="3" t="inlineStr">
        <is>
          <t>나침반</t>
        </is>
      </c>
      <c r="P412" s="4" t="n">
        <v>1</v>
      </c>
      <c r="Q412" s="4" t="n">
        <v>592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금천리 63-3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125000</v>
      </c>
      <c r="G413" s="4" t="n">
        <v>1416</v>
      </c>
      <c r="H413" s="4" t="n">
        <v>428</v>
      </c>
      <c r="I413" s="5" t="n">
        <v>292.1</v>
      </c>
      <c r="J413" s="5" t="n">
        <v>62.9</v>
      </c>
      <c r="K413" s="3" t="inlineStr">
        <is>
          <t>금남면 복컴 10분, 세종시청15분거리  도로접함, 도시지역 건축가능함</t>
        </is>
      </c>
      <c r="L413" s="6">
        <f>HYPERLINK("https://fin.land.naver.com/articles/2653056487", "매물Link")</f>
        <v/>
      </c>
      <c r="M413" s="6">
        <f>HYPERLINK("https://map.naver.com/p/search/금남면 금천리 63-3", "지도Link")</f>
        <v/>
      </c>
      <c r="N413" s="6">
        <f>HYPERLINK("http://www.eum.go.kr/web/ar/lu/luLandDet.jsp?pnu=3611034027100630003&amp;isNoScr=script&amp;mode=search", "토지이음")</f>
        <v/>
      </c>
      <c r="O413" s="3" t="inlineStr">
        <is>
          <t>새롬삼둥이</t>
        </is>
      </c>
      <c r="P413" s="4" t="n">
        <v>1</v>
      </c>
      <c r="Q413" s="4" t="n">
        <v>1416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금천리 65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38000</v>
      </c>
      <c r="G414" s="4" t="n">
        <v>2279</v>
      </c>
      <c r="H414" s="4" t="n">
        <v>689</v>
      </c>
      <c r="I414" s="5" t="n">
        <v>55.2</v>
      </c>
      <c r="J414" s="5" t="n">
        <v>25.4</v>
      </c>
      <c r="K414" s="3" t="inlineStr">
        <is>
          <t>자연녹지지역. 개발제한구역으로 저렴한 비용으로 급매.</t>
        </is>
      </c>
      <c r="L414" s="6">
        <f>HYPERLINK("https://fin.land.naver.com/articles/2652661868", "매물Link")</f>
        <v/>
      </c>
      <c r="M414" s="6">
        <f>HYPERLINK("https://map.naver.com/p/search/금남면 금천리 65", "지도Link")</f>
        <v/>
      </c>
      <c r="N414" s="6">
        <f>HYPERLINK("http://www.eum.go.kr/web/ar/lu/luLandDet.jsp?pnu=3611034027100650000&amp;isNoScr=script&amp;mode=search", "토지이음")</f>
        <v/>
      </c>
      <c r="O414" s="3" t="inlineStr">
        <is>
          <t>세종대장</t>
        </is>
      </c>
      <c r="P414" s="4" t="n">
        <v>1</v>
      </c>
      <c r="Q414" s="4" t="n">
        <v>2279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산3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13000</v>
      </c>
      <c r="G415" s="4" t="n">
        <v>10413</v>
      </c>
      <c r="H415" s="4" t="n">
        <v>3150</v>
      </c>
      <c r="I415" s="5" t="n">
        <v>4.1</v>
      </c>
      <c r="J415" s="5" t="n">
        <v>2.3</v>
      </c>
      <c r="K415" s="3" t="inlineStr">
        <is>
          <t>세종시내10분거리.비포장 임도존재.저렴한가격.장기투자가치</t>
        </is>
      </c>
      <c r="L415" s="6">
        <f>HYPERLINK("https://fin.land.naver.com/articles/2650314328", "매물Link")</f>
        <v/>
      </c>
      <c r="M415" s="6">
        <f>HYPERLINK("https://map.naver.com/p/search/금남면 금천리 산3", "지도Link")</f>
        <v/>
      </c>
      <c r="N415" s="6">
        <f>HYPERLINK("http://www.eum.go.kr/web/ar/lu/luLandDet.jsp?pnu=3611034027200030000&amp;isNoScr=script&amp;mode=search", "토지이음")</f>
        <v/>
      </c>
      <c r="O415" s="3" t="inlineStr">
        <is>
          <t>돈방석</t>
        </is>
      </c>
      <c r="P415" s="4" t="n">
        <v>1</v>
      </c>
      <c r="Q415" s="4" t="n">
        <v>10413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금남면 남곡리 128-1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23000</v>
      </c>
      <c r="G416" s="4" t="n">
        <v>1421</v>
      </c>
      <c r="H416" s="4" t="n">
        <v>430</v>
      </c>
      <c r="I416" s="5" t="n">
        <v>53.5</v>
      </c>
      <c r="J416" s="5" t="n">
        <v>30.3</v>
      </c>
      <c r="K416" s="3" t="inlineStr">
        <is>
          <t>답으로 이용중이고 저렴한 농지</t>
        </is>
      </c>
      <c r="L416" s="6">
        <f>HYPERLINK("https://fin.land.naver.com/articles/2653601499", "매물Link")</f>
        <v/>
      </c>
      <c r="M416" s="6">
        <f>HYPERLINK("https://map.naver.com/p/search/금남면 남곡리 128-1", "지도Link")</f>
        <v/>
      </c>
      <c r="N416" s="6">
        <f>HYPERLINK("http://www.eum.go.kr/web/ar/lu/luLandDet.jsp?pnu=3611034029101280001&amp;isNoScr=script&amp;mode=search", "토지이음")</f>
        <v/>
      </c>
      <c r="O416" s="3" t="inlineStr">
        <is>
          <t>도안부자</t>
        </is>
      </c>
      <c r="P416" s="4" t="n">
        <v>1</v>
      </c>
      <c r="Q416" s="4" t="n">
        <v>1423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남곡리 276</t>
        </is>
      </c>
      <c r="B417" s="3" t="inlineStr">
        <is>
          <t>개발제한구역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37000</v>
      </c>
      <c r="G417" s="4" t="n">
        <v>1517</v>
      </c>
      <c r="H417" s="4" t="n">
        <v>459</v>
      </c>
      <c r="I417" s="5" t="n">
        <v>80.59999999999999</v>
      </c>
      <c r="J417" s="5" t="n">
        <v>32.5</v>
      </c>
      <c r="K417" s="3" t="inlineStr">
        <is>
          <t>금남면 남곡리 마을포장도로에 접한 개발제한구역의 투자용 전입니다</t>
        </is>
      </c>
      <c r="L417" s="6">
        <f>HYPERLINK("https://fin.land.naver.com/articles/2654810661", "매물Link")</f>
        <v/>
      </c>
      <c r="M417" s="6">
        <f>HYPERLINK("https://map.naver.com/p/search/금남면 남곡리 276", "지도Link")</f>
        <v/>
      </c>
      <c r="N417" s="6">
        <f>HYPERLINK("http://www.eum.go.kr/web/ar/lu/luLandDet.jsp?pnu=3611034029102760000&amp;isNoScr=script&amp;mode=search", "토지이음")</f>
        <v/>
      </c>
      <c r="O417" s="3" t="inlineStr">
        <is>
          <t>스마일세종</t>
        </is>
      </c>
      <c r="P417" s="4" t="n">
        <v>1</v>
      </c>
      <c r="Q417" s="4" t="n">
        <v>1517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남곡리 286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5700</v>
      </c>
      <c r="G418" s="4" t="n">
        <v>257</v>
      </c>
      <c r="H418" s="4" t="n">
        <v>78</v>
      </c>
      <c r="I418" s="5" t="n">
        <v>73.09999999999999</v>
      </c>
      <c r="J418" s="5" t="n">
        <v>39.7</v>
      </c>
      <c r="K418" s="3" t="inlineStr">
        <is>
          <t>금남면  저렴한 전 토지매매 진입도로 있음</t>
        </is>
      </c>
      <c r="L418" s="6">
        <f>HYPERLINK("https://fin.land.naver.com/articles/2652200797", "매물Link")</f>
        <v/>
      </c>
      <c r="M418" s="6">
        <f>HYPERLINK("https://map.naver.com/p/search/금남면 남곡리 286", "지도Link")</f>
        <v/>
      </c>
      <c r="N418" s="6">
        <f>HYPERLINK("http://www.eum.go.kr/web/ar/lu/luLandDet.jsp?pnu=3611034029102860000&amp;isNoScr=script&amp;mode=search", "토지이음")</f>
        <v/>
      </c>
      <c r="O418" s="3" t="inlineStr">
        <is>
          <t>도안부자</t>
        </is>
      </c>
      <c r="P418" s="4" t="n">
        <v>1</v>
      </c>
      <c r="Q418" s="4" t="n">
        <v>259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금남면 남곡리 308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23000</v>
      </c>
      <c r="G419" s="4" t="n">
        <v>1378</v>
      </c>
      <c r="H419" s="4" t="n">
        <v>417</v>
      </c>
      <c r="I419" s="5" t="n">
        <v>55.2</v>
      </c>
      <c r="J419" s="5" t="n">
        <v>27.8</v>
      </c>
      <c r="K419" s="3" t="inlineStr">
        <is>
          <t>구거낀 현황도로 전 매매</t>
        </is>
      </c>
      <c r="L419" s="6">
        <f>HYPERLINK("https://fin.land.naver.com/articles/2653195495", "매물Link")</f>
        <v/>
      </c>
      <c r="M419" s="6">
        <f>HYPERLINK("https://map.naver.com/p/search/금남면 남곡리 308", "지도Link")</f>
        <v/>
      </c>
      <c r="N419" s="6">
        <f>HYPERLINK("http://www.eum.go.kr/web/ar/lu/luLandDet.jsp?pnu=3611034029103080000&amp;isNoScr=script&amp;mode=search", "토지이음")</f>
        <v/>
      </c>
      <c r="O419" s="3" t="inlineStr">
        <is>
          <t>THE행복</t>
        </is>
      </c>
      <c r="P419" s="4" t="n">
        <v>2</v>
      </c>
      <c r="Q419" s="4" t="n">
        <v>1379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세로장방</t>
        </is>
      </c>
      <c r="V419" s="3" t="inlineStr">
        <is>
          <t>세로한면(불)</t>
        </is>
      </c>
    </row>
    <row r="420">
      <c r="A420" s="3" t="inlineStr">
        <is>
          <t>금남면 남곡리 308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22825</v>
      </c>
      <c r="G420" s="4" t="n">
        <v>1379</v>
      </c>
      <c r="H420" s="4" t="n">
        <v>417</v>
      </c>
      <c r="I420" s="5" t="n">
        <v>54.7</v>
      </c>
      <c r="J420" s="5" t="n">
        <v>27.8</v>
      </c>
      <c r="K420" s="3" t="inlineStr">
        <is>
          <t>대전 인접 세종시 금남면 복숭아 나무 포함 ,관리 잘 된 알짜 과수원</t>
        </is>
      </c>
      <c r="L420" s="6">
        <f>HYPERLINK("https://fin.land.naver.com/articles/2651530314", "매물Link")</f>
        <v/>
      </c>
      <c r="M420" s="6">
        <f>HYPERLINK("https://map.naver.com/p/search/금남면 남곡리 308", "지도Link")</f>
        <v/>
      </c>
      <c r="N420" s="6">
        <f>HYPERLINK("http://www.eum.go.kr/web/ar/lu/luLandDet.jsp?pnu=3611034029103080000&amp;isNoScr=script&amp;mode=search", "토지이음")</f>
        <v/>
      </c>
      <c r="O420" s="3" t="inlineStr">
        <is>
          <t>한아름</t>
        </is>
      </c>
      <c r="P420" s="4" t="n">
        <v>1</v>
      </c>
      <c r="Q420" s="4" t="n">
        <v>1379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세로한면(불)</t>
        </is>
      </c>
    </row>
    <row r="421">
      <c r="A421" s="3" t="inlineStr">
        <is>
          <t>금남면 남곡리 324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24500</v>
      </c>
      <c r="G421" s="4" t="n">
        <v>2309</v>
      </c>
      <c r="H421" s="4" t="n">
        <v>698</v>
      </c>
      <c r="I421" s="5" t="n">
        <v>35.1</v>
      </c>
      <c r="J421" s="5" t="n">
        <v>19.6</v>
      </c>
      <c r="K421" s="3" t="inlineStr">
        <is>
          <t>세종과 대전 사이, 자연녹지 개발제한구역</t>
        </is>
      </c>
      <c r="L421" s="6">
        <f>HYPERLINK("https://fin.land.naver.com/articles/2654225333", "매물Link")</f>
        <v/>
      </c>
      <c r="M421" s="6">
        <f>HYPERLINK("https://map.naver.com/p/search/금남면 남곡리 324", "지도Link")</f>
        <v/>
      </c>
      <c r="N421" s="6">
        <f>HYPERLINK("http://www.eum.go.kr/web/ar/lu/luLandDet.jsp?pnu=3611034029103240000&amp;isNoScr=script&amp;mode=search", "토지이음")</f>
        <v/>
      </c>
      <c r="O421" s="3" t="inlineStr">
        <is>
          <t>미스터홈즈강남지사</t>
        </is>
      </c>
      <c r="P421" s="4" t="n">
        <v>1</v>
      </c>
      <c r="Q421" s="4" t="n">
        <v>2309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고지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남곡리 341-1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55000</v>
      </c>
      <c r="G422" s="4" t="n">
        <v>2595</v>
      </c>
      <c r="H422" s="4" t="n">
        <v>785</v>
      </c>
      <c r="I422" s="5" t="n">
        <v>70.09999999999999</v>
      </c>
      <c r="J422" s="5" t="n">
        <v>31.2</v>
      </c>
      <c r="K422" s="3" t="inlineStr">
        <is>
          <t>2차선 및 농로 양면 도로접한 논</t>
        </is>
      </c>
      <c r="L422" s="6">
        <f>HYPERLINK("https://fin.land.naver.com/articles/2655510678", "매물Link")</f>
        <v/>
      </c>
      <c r="M422" s="6">
        <f>HYPERLINK("https://map.naver.com/p/search/금남면 남곡리 341-1", "지도Link")</f>
        <v/>
      </c>
      <c r="N422" s="6">
        <f>HYPERLINK("http://www.eum.go.kr/web/ar/lu/luLandDet.jsp?pnu=3611034029103410001&amp;isNoScr=script&amp;mode=search", "토지이음")</f>
        <v/>
      </c>
      <c r="O422" s="3" t="inlineStr">
        <is>
          <t>신안</t>
        </is>
      </c>
      <c r="P422" s="4" t="n">
        <v>1</v>
      </c>
      <c r="Q422" s="4" t="n">
        <v>2595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소로한면</t>
        </is>
      </c>
    </row>
    <row r="423">
      <c r="A423" s="3" t="inlineStr">
        <is>
          <t>금남면 달전리 189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27500</v>
      </c>
      <c r="G423" s="4" t="n">
        <v>364</v>
      </c>
      <c r="H423" s="4" t="n">
        <v>110</v>
      </c>
      <c r="I423" s="5" t="n">
        <v>250</v>
      </c>
      <c r="J423" s="5" t="n">
        <v>108.1</v>
      </c>
      <c r="K423" s="3" t="inlineStr">
        <is>
          <t>조용하고 한적한 전원주택지</t>
        </is>
      </c>
      <c r="L423" s="6">
        <f>HYPERLINK("https://fin.land.naver.com/articles/2655520390", "매물Link")</f>
        <v/>
      </c>
      <c r="M423" s="6">
        <f>HYPERLINK("https://map.naver.com/p/search/금남면 달전리 189", "지도Link")</f>
        <v/>
      </c>
      <c r="N423" s="6">
        <f>HYPERLINK("http://www.eum.go.kr/web/ar/lu/luLandDet.jsp?pnu=3611034032101890000&amp;isNoScr=script&amp;mode=search", "토지이음")</f>
        <v/>
      </c>
      <c r="O423" s="3" t="inlineStr">
        <is>
          <t>정보은행</t>
        </is>
      </c>
      <c r="P423" s="4" t="n">
        <v>1</v>
      </c>
      <c r="Q423" s="4" t="n">
        <v>912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226-9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94560</v>
      </c>
      <c r="G424" s="4" t="n">
        <v>3906</v>
      </c>
      <c r="H424" s="4" t="n">
        <v>1182</v>
      </c>
      <c r="I424" s="5" t="n">
        <v>80</v>
      </c>
      <c r="J424" s="5" t="n">
        <v>36.6</v>
      </c>
      <c r="K424" s="3" t="inlineStr">
        <is>
          <t>경지 정리 잘 되어있고 도로 접한 토지</t>
        </is>
      </c>
      <c r="L424" s="6">
        <f>HYPERLINK("https://fin.land.naver.com/articles/2655521126", "매물Link")</f>
        <v/>
      </c>
      <c r="M424" s="6">
        <f>HYPERLINK("https://map.naver.com/p/search/금남면 달전리 226-9", "지도Link")</f>
        <v/>
      </c>
      <c r="N424" s="6">
        <f>HYPERLINK("http://www.eum.go.kr/web/ar/lu/luLandDet.jsp?pnu=3611034032102260009&amp;isNoScr=script&amp;mode=search", "토지이음")</f>
        <v/>
      </c>
      <c r="O424" s="3" t="inlineStr">
        <is>
          <t>정보은행</t>
        </is>
      </c>
      <c r="P424" s="4" t="n">
        <v>1</v>
      </c>
      <c r="Q424" s="4" t="n">
        <v>3906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227-17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전</t>
        </is>
      </c>
      <c r="E425" s="3" t="inlineStr">
        <is>
          <t>매매</t>
        </is>
      </c>
      <c r="F425" s="4" t="n">
        <v>52000</v>
      </c>
      <c r="G425" s="4" t="n">
        <v>2294</v>
      </c>
      <c r="H425" s="4" t="n">
        <v>694</v>
      </c>
      <c r="I425" s="5" t="n">
        <v>74.90000000000001</v>
      </c>
      <c r="J425" s="5" t="n">
        <v>36.6</v>
      </c>
      <c r="K425" s="3" t="inlineStr">
        <is>
          <t>nan</t>
        </is>
      </c>
      <c r="L425" s="6">
        <f>HYPERLINK("https://fin.land.naver.com/articles/2655052369", "매물Link")</f>
        <v/>
      </c>
      <c r="M425" s="6">
        <f>HYPERLINK("https://map.naver.com/p/search/금남면 달전리 227-17", "지도Link")</f>
        <v/>
      </c>
      <c r="N425" s="6">
        <f>HYPERLINK("http://www.eum.go.kr/web/ar/lu/luLandDet.jsp?pnu=3611034032102270017&amp;isNoScr=script&amp;mode=search", "토지이음")</f>
        <v/>
      </c>
      <c r="O425" s="3" t="inlineStr">
        <is>
          <t>세종소담황금</t>
        </is>
      </c>
      <c r="P425" s="4" t="n">
        <v>1</v>
      </c>
      <c r="Q425" s="4" t="n">
        <v>2294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달전리 268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90000</v>
      </c>
      <c r="G426" s="4" t="n">
        <v>952</v>
      </c>
      <c r="H426" s="4" t="n">
        <v>288</v>
      </c>
      <c r="I426" s="5" t="n">
        <v>312.5</v>
      </c>
      <c r="J426" s="5" t="n">
        <v>123.4</v>
      </c>
      <c r="K426" s="3" t="inlineStr">
        <is>
          <t>입지좋은 지구단위계획구역 주거 용지, 투자용으로도 추천,  시골집 있음</t>
        </is>
      </c>
      <c r="L426" s="6">
        <f>HYPERLINK("https://fin.land.naver.com/articles/2654446590", "매물Link")</f>
        <v/>
      </c>
      <c r="M426" s="6">
        <f>HYPERLINK("https://map.naver.com/p/search/금남면 달전리 268", "지도Link")</f>
        <v/>
      </c>
      <c r="N426" s="6">
        <f>HYPERLINK("http://www.eum.go.kr/web/ar/lu/luLandDet.jsp?pnu=3611034032102680000&amp;isNoScr=script&amp;mode=search", "토지이음")</f>
        <v/>
      </c>
      <c r="O426" s="3" t="inlineStr">
        <is>
          <t>the다올</t>
        </is>
      </c>
      <c r="P426" s="4" t="n">
        <v>1</v>
      </c>
      <c r="Q426" s="4" t="n">
        <v>952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세로한면(가)</t>
        </is>
      </c>
    </row>
    <row r="427">
      <c r="A427" s="3" t="inlineStr">
        <is>
          <t>금남면 달전리 27-2</t>
        </is>
      </c>
      <c r="B427" s="3" t="inlineStr">
        <is>
          <t>개발제한구역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35000</v>
      </c>
      <c r="G427" s="4" t="n">
        <v>596</v>
      </c>
      <c r="H427" s="4" t="n">
        <v>180</v>
      </c>
      <c r="I427" s="5" t="n">
        <v>194.4</v>
      </c>
      <c r="J427" s="5" t="n">
        <v>108</v>
      </c>
      <c r="K427" s="3" t="inlineStr">
        <is>
          <t>nan</t>
        </is>
      </c>
      <c r="L427" s="6">
        <f>HYPERLINK("https://fin.land.naver.com/articles/2654420472", "매물Link")</f>
        <v/>
      </c>
      <c r="M427" s="6">
        <f>HYPERLINK("https://map.naver.com/p/search/금남면 달전리 27-2", "지도Link")</f>
        <v/>
      </c>
      <c r="N427" s="6">
        <f>HYPERLINK("http://www.eum.go.kr/web/ar/lu/luLandDet.jsp?pnu=3611034032100270002&amp;isNoScr=script&amp;mode=search", "토지이음")</f>
        <v/>
      </c>
      <c r="O427" s="3" t="inlineStr">
        <is>
          <t>코리아랜드</t>
        </is>
      </c>
      <c r="P427" s="4" t="n">
        <v>1</v>
      </c>
      <c r="Q427" s="4" t="n">
        <v>596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달전리 293</t>
        </is>
      </c>
      <c r="B428" s="3" t="inlineStr">
        <is>
          <t>개발제한구역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</v>
      </c>
      <c r="G428" s="4" t="n">
        <v>344</v>
      </c>
      <c r="H428" s="4" t="n">
        <v>104</v>
      </c>
      <c r="I428" s="5" t="n">
        <v>115.4</v>
      </c>
      <c r="J428" s="5" t="n">
        <v>50.6</v>
      </c>
      <c r="K428" s="3" t="inlineStr">
        <is>
          <t>nan</t>
        </is>
      </c>
      <c r="L428" s="6">
        <f>HYPERLINK("https://fin.land.naver.com/articles/2652076892", "매물Link")</f>
        <v/>
      </c>
      <c r="M428" s="6">
        <f>HYPERLINK("https://map.naver.com/p/search/금남면 달전리 293", "지도Link")</f>
        <v/>
      </c>
      <c r="N428" s="6">
        <f>HYPERLINK("http://www.eum.go.kr/web/ar/lu/luLandDet.jsp?pnu=3611034032102930000&amp;isNoScr=script&amp;mode=search", "토지이음")</f>
        <v/>
      </c>
      <c r="O428" s="3" t="inlineStr">
        <is>
          <t>다온</t>
        </is>
      </c>
      <c r="P428" s="4" t="n">
        <v>1</v>
      </c>
      <c r="Q428" s="4" t="n">
        <v>344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금남면 달전리 353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1127</v>
      </c>
      <c r="H429" s="4" t="n">
        <v>341</v>
      </c>
      <c r="I429" s="5" t="n">
        <v>219.9</v>
      </c>
      <c r="J429" s="5" t="n">
        <v>102.2</v>
      </c>
      <c r="K429" s="3" t="inlineStr">
        <is>
          <t>도로보다 지대가 높으며 남동향으로 최고의 전원주택지입니다</t>
        </is>
      </c>
      <c r="L429" s="6">
        <f>HYPERLINK("https://fin.land.naver.com/articles/2654696347", "매물Link")</f>
        <v/>
      </c>
      <c r="M429" s="6">
        <f>HYPERLINK("https://map.naver.com/p/search/금남면 달전리 353", "지도Link")</f>
        <v/>
      </c>
      <c r="N429" s="6">
        <f>HYPERLINK("http://www.eum.go.kr/web/ar/lu/luLandDet.jsp?pnu=3611034032103530000&amp;isNoScr=script&amp;mode=search", "토지이음")</f>
        <v/>
      </c>
      <c r="O429" s="3" t="inlineStr">
        <is>
          <t>대웅</t>
        </is>
      </c>
      <c r="P429" s="4" t="n">
        <v>1</v>
      </c>
      <c r="Q429" s="4" t="n">
        <v>1127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달전리 515-1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38720</v>
      </c>
      <c r="G430" s="4" t="n">
        <v>1162</v>
      </c>
      <c r="H430" s="4" t="n">
        <v>352</v>
      </c>
      <c r="I430" s="5" t="n">
        <v>110</v>
      </c>
      <c r="J430" s="5" t="n">
        <v>36.5</v>
      </c>
      <c r="K430" s="3" t="inlineStr">
        <is>
          <t>세종시근접,둔곡지구근접토지,미래투자가치좋음</t>
        </is>
      </c>
      <c r="L430" s="6">
        <f>HYPERLINK("https://fin.land.naver.com/articles/2651289814", "매물Link")</f>
        <v/>
      </c>
      <c r="M430" s="6">
        <f>HYPERLINK("https://map.naver.com/p/search/금남면 달전리 515-1", "지도Link")</f>
        <v/>
      </c>
      <c r="N430" s="6">
        <f>HYPERLINK("http://www.eum.go.kr/web/ar/lu/luLandDet.jsp?pnu=3611034032105150001&amp;isNoScr=script&amp;mode=search", "토지이음")</f>
        <v/>
      </c>
      <c r="O430" s="3" t="inlineStr">
        <is>
          <t>담뜰</t>
        </is>
      </c>
      <c r="P430" s="4" t="n">
        <v>1</v>
      </c>
      <c r="Q430" s="4" t="n">
        <v>1162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달전리 646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36000</v>
      </c>
      <c r="G431" s="4" t="n">
        <v>1702</v>
      </c>
      <c r="H431" s="4" t="n">
        <v>515</v>
      </c>
      <c r="I431" s="5" t="n">
        <v>69.90000000000001</v>
      </c>
      <c r="J431" s="5" t="n">
        <v>24.7</v>
      </c>
      <c r="K431" s="3" t="inlineStr">
        <is>
          <t>nan</t>
        </is>
      </c>
      <c r="L431" s="6">
        <f>HYPERLINK("https://fin.land.naver.com/articles/2651318159", "매물Link")</f>
        <v/>
      </c>
      <c r="M431" s="6">
        <f>HYPERLINK("https://map.naver.com/p/search/금남면 달전리 646", "지도Link")</f>
        <v/>
      </c>
      <c r="N431" s="6">
        <f>HYPERLINK("http://www.eum.go.kr/web/ar/lu/luLandDet.jsp?pnu=3611034032106460000&amp;isNoScr=script&amp;mode=search", "토지이음")</f>
        <v/>
      </c>
      <c r="O431" s="3" t="inlineStr">
        <is>
          <t>청운</t>
        </is>
      </c>
      <c r="P431" s="4" t="n">
        <v>1</v>
      </c>
      <c r="Q431" s="4" t="n">
        <v>1702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달전리 669</t>
        </is>
      </c>
      <c r="B432" s="3" t="inlineStr">
        <is>
          <t>개발제한구역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39320</v>
      </c>
      <c r="G432" s="4" t="n">
        <v>3251</v>
      </c>
      <c r="H432" s="4" t="n">
        <v>983</v>
      </c>
      <c r="I432" s="5" t="n">
        <v>40</v>
      </c>
      <c r="J432" s="5" t="n">
        <v>31.9</v>
      </c>
      <c r="K432" s="3" t="inlineStr">
        <is>
          <t>대전 둔곡지구 인근 . 세종시 전답 매매</t>
        </is>
      </c>
      <c r="L432" s="6">
        <f>HYPERLINK("https://fin.land.naver.com/articles/2652370523", "매물Link")</f>
        <v/>
      </c>
      <c r="M432" s="6">
        <f>HYPERLINK("https://map.naver.com/p/search/금남면 달전리 669", "지도Link")</f>
        <v/>
      </c>
      <c r="N432" s="6">
        <f>HYPERLINK("http://www.eum.go.kr/web/ar/lu/luLandDet.jsp?pnu=3611034032106690000&amp;isNoScr=script&amp;mode=search", "토지이음")</f>
        <v/>
      </c>
      <c r="O432" s="3" t="inlineStr">
        <is>
          <t>유성대박</t>
        </is>
      </c>
      <c r="P432" s="4" t="n">
        <v>1</v>
      </c>
      <c r="Q432" s="4" t="n">
        <v>3251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달전리 80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29000</v>
      </c>
      <c r="G433" s="4" t="n">
        <v>1302</v>
      </c>
      <c r="H433" s="4" t="n">
        <v>394</v>
      </c>
      <c r="I433" s="5" t="n">
        <v>73.59999999999999</v>
      </c>
      <c r="J433" s="5" t="n">
        <v>28.8</v>
      </c>
      <c r="K433" s="3" t="inlineStr">
        <is>
          <t>급매,컨테이너 ,하우스, 수도, 관정 시설, 주말농장,투자추천</t>
        </is>
      </c>
      <c r="L433" s="6">
        <f>HYPERLINK("https://fin.land.naver.com/articles/2652901610", "매물Link")</f>
        <v/>
      </c>
      <c r="M433" s="6">
        <f>HYPERLINK("https://map.naver.com/p/search/금남면 달전리 80", "지도Link")</f>
        <v/>
      </c>
      <c r="N433" s="6">
        <f>HYPERLINK("http://www.eum.go.kr/web/ar/lu/luLandDet.jsp?pnu=3611034032100800000&amp;isNoScr=script&amp;mode=search", "토지이음")</f>
        <v/>
      </c>
      <c r="O433" s="3" t="inlineStr">
        <is>
          <t>세종복댕이</t>
        </is>
      </c>
      <c r="P433" s="4" t="n">
        <v>1</v>
      </c>
      <c r="Q433" s="4" t="n">
        <v>1302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금남면 달전리 산10-1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120000</v>
      </c>
      <c r="G434" s="4" t="n">
        <v>21481</v>
      </c>
      <c r="H434" s="4" t="n">
        <v>6498</v>
      </c>
      <c r="I434" s="5" t="n">
        <v>18.5</v>
      </c>
      <c r="J434" s="5" t="n">
        <v>3.2</v>
      </c>
      <c r="K434" s="3" t="inlineStr">
        <is>
          <t>세종시 금남면 달전리 산10의1외 3필지, 자연녹지, 개발제한구역</t>
        </is>
      </c>
      <c r="L434" s="6">
        <f>HYPERLINK("https://fin.land.naver.com/articles/2654417453", "매물Link")</f>
        <v/>
      </c>
      <c r="M434" s="6">
        <f>HYPERLINK("https://map.naver.com/p/search/금남면 달전리 산10-1", "지도Link")</f>
        <v/>
      </c>
      <c r="N434" s="6">
        <f>HYPERLINK("http://www.eum.go.kr/web/ar/lu/luLandDet.jsp?pnu=3611034032200100001&amp;isNoScr=script&amp;mode=search", "토지이음")</f>
        <v/>
      </c>
      <c r="O434" s="3" t="inlineStr">
        <is>
          <t>코리아랜드</t>
        </is>
      </c>
      <c r="P434" s="4" t="n">
        <v>1</v>
      </c>
      <c r="Q434" s="4" t="n">
        <v>16275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맹지</t>
        </is>
      </c>
    </row>
    <row r="435">
      <c r="A435" s="3" t="inlineStr">
        <is>
          <t>금남면 달전리 산24-57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11850</v>
      </c>
      <c r="G435" s="4" t="n">
        <v>783</v>
      </c>
      <c r="H435" s="4" t="n">
        <v>237</v>
      </c>
      <c r="I435" s="5" t="n">
        <v>50</v>
      </c>
      <c r="J435" s="5" t="n">
        <v>3.2</v>
      </c>
      <c r="K435" s="3" t="inlineStr">
        <is>
          <t>임야이나 실제 사용은 밭으로 사용중
대전둔곡지구 인근에  있습니다.</t>
        </is>
      </c>
      <c r="L435" s="6">
        <f>HYPERLINK("https://fin.land.naver.com/articles/2650042771", "매물Link")</f>
        <v/>
      </c>
      <c r="M435" s="6">
        <f>HYPERLINK("https://map.naver.com/p/search/금남면 달전리 산24-57", "지도Link")</f>
        <v/>
      </c>
      <c r="N435" s="6">
        <f>HYPERLINK("http://www.eum.go.kr/web/ar/lu/luLandDet.jsp?pnu=3611034032200240057&amp;isNoScr=script&amp;mode=search", "토지이음")</f>
        <v/>
      </c>
      <c r="O435" s="3" t="inlineStr">
        <is>
          <t>가오드림</t>
        </is>
      </c>
      <c r="P435" s="4" t="n">
        <v>1</v>
      </c>
      <c r="Q435" s="4" t="n">
        <v>783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달전리 산24-79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20000</v>
      </c>
      <c r="G436" s="4" t="n">
        <v>1701</v>
      </c>
      <c r="H436" s="4" t="n">
        <v>515</v>
      </c>
      <c r="I436" s="5" t="n">
        <v>38.8</v>
      </c>
      <c r="J436" s="5" t="n">
        <v>3.2</v>
      </c>
      <c r="K436" s="3" t="inlineStr">
        <is>
          <t>달전리 도로접한 토지매매</t>
        </is>
      </c>
      <c r="L436" s="6">
        <f>HYPERLINK("https://fin.land.naver.com/articles/2653195688", "매물Link")</f>
        <v/>
      </c>
      <c r="M436" s="6">
        <f>HYPERLINK("https://map.naver.com/p/search/금남면 달전리 산24-79", "지도Link")</f>
        <v/>
      </c>
      <c r="N436" s="6">
        <f>HYPERLINK("http://www.eum.go.kr/web/ar/lu/luLandDet.jsp?pnu=3611034032200240079&amp;isNoScr=script&amp;mode=search", "토지이음")</f>
        <v/>
      </c>
      <c r="O436" s="3" t="inlineStr">
        <is>
          <t>THE행복</t>
        </is>
      </c>
      <c r="P436" s="4" t="n">
        <v>1</v>
      </c>
      <c r="Q436" s="4" t="n">
        <v>1702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달전리 산71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87000</v>
      </c>
      <c r="G437" s="4" t="n">
        <v>29008</v>
      </c>
      <c r="H437" s="4" t="n">
        <v>8775</v>
      </c>
      <c r="I437" s="5" t="n">
        <v>9.9</v>
      </c>
      <c r="J437" s="5" t="n">
        <v>3.1</v>
      </c>
      <c r="K437" s="3" t="inlineStr">
        <is>
          <t>활용도에 따라 다양한 가능성,임야 투자처로 추천</t>
        </is>
      </c>
      <c r="L437" s="6">
        <f>HYPERLINK("https://fin.land.naver.com/articles/2652790719", "매물Link")</f>
        <v/>
      </c>
      <c r="M437" s="6">
        <f>HYPERLINK("https://map.naver.com/p/search/금남면 달전리 산71", "지도Link")</f>
        <v/>
      </c>
      <c r="N437" s="6">
        <f>HYPERLINK("http://www.eum.go.kr/web/ar/lu/luLandDet.jsp?pnu=3611034032200710000&amp;isNoScr=script&amp;mode=search", "토지이음")</f>
        <v/>
      </c>
      <c r="O437" s="3" t="inlineStr">
        <is>
          <t>가치잇는</t>
        </is>
      </c>
      <c r="P437" s="4" t="n">
        <v>1</v>
      </c>
      <c r="Q437" s="4" t="n">
        <v>38678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금남면 달전리 산9-7</t>
        </is>
      </c>
      <c r="B438" s="3" t="inlineStr">
        <is>
          <t>개발제한구역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60000</v>
      </c>
      <c r="G438" s="4" t="n">
        <v>8946</v>
      </c>
      <c r="H438" s="4" t="n">
        <v>2706</v>
      </c>
      <c r="I438" s="5" t="n">
        <v>22.2</v>
      </c>
      <c r="J438" s="5" t="n">
        <v>3.2</v>
      </c>
      <c r="K438" s="3" t="inlineStr">
        <is>
          <t>nan</t>
        </is>
      </c>
      <c r="L438" s="6">
        <f>HYPERLINK("https://fin.land.naver.com/articles/2652764327", "매물Link")</f>
        <v/>
      </c>
      <c r="M438" s="6">
        <f>HYPERLINK("https://map.naver.com/p/search/금남면 달전리 산9-7", "지도Link")</f>
        <v/>
      </c>
      <c r="N438" s="6">
        <f>HYPERLINK("http://www.eum.go.kr/web/ar/lu/luLandDet.jsp?pnu=3611034032200090007&amp;isNoScr=script&amp;mode=search", "토지이음")</f>
        <v/>
      </c>
      <c r="O438" s="3" t="inlineStr">
        <is>
          <t>가치잇는</t>
        </is>
      </c>
      <c r="P438" s="4" t="n">
        <v>2</v>
      </c>
      <c r="Q438" s="4" t="n">
        <v>8946</v>
      </c>
      <c r="R438" s="3" t="inlineStr">
        <is>
          <t>지정되지않음</t>
        </is>
      </c>
      <c r="S438" s="3" t="inlineStr">
        <is>
          <t>자연림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맹지</t>
        </is>
      </c>
    </row>
    <row r="439">
      <c r="A439" s="3" t="inlineStr">
        <is>
          <t>금남면 대박리 242-11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답</t>
        </is>
      </c>
      <c r="E439" s="3" t="inlineStr">
        <is>
          <t>매매</t>
        </is>
      </c>
      <c r="F439" s="4" t="n">
        <v>49840</v>
      </c>
      <c r="G439" s="4" t="n">
        <v>2355</v>
      </c>
      <c r="H439" s="4" t="n">
        <v>712</v>
      </c>
      <c r="I439" s="5" t="n">
        <v>70</v>
      </c>
      <c r="J439" s="5" t="n">
        <v>38.5</v>
      </c>
      <c r="K439" s="3" t="inlineStr">
        <is>
          <t>도로 접해있는 답 I 경지정리된 농지</t>
        </is>
      </c>
      <c r="L439" s="6">
        <f>HYPERLINK("https://fin.land.naver.com/articles/2650797047", "매물Link")</f>
        <v/>
      </c>
      <c r="M439" s="6">
        <f>HYPERLINK("https://map.naver.com/p/search/금남면 대박리 242-11", "지도Link")</f>
        <v/>
      </c>
      <c r="N439" s="6">
        <f>HYPERLINK("http://www.eum.go.kr/web/ar/lu/luLandDet.jsp?pnu=3611034034102420011&amp;isNoScr=script&amp;mode=search",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2355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세로한면(가)</t>
        </is>
      </c>
    </row>
    <row r="440">
      <c r="A440" s="3" t="inlineStr">
        <is>
          <t>금남면 대박리 243-14</t>
        </is>
      </c>
      <c r="B440" s="3" t="inlineStr">
        <is>
          <t>개발제한구역</t>
        </is>
      </c>
      <c r="C440" s="3" t="inlineStr">
        <is>
          <t>답</t>
        </is>
      </c>
      <c r="D440" s="3" t="inlineStr">
        <is>
          <t>답</t>
        </is>
      </c>
      <c r="E440" s="3" t="inlineStr">
        <is>
          <t>매매</t>
        </is>
      </c>
      <c r="F440" s="4" t="n">
        <v>62650</v>
      </c>
      <c r="G440" s="4" t="n">
        <v>2961</v>
      </c>
      <c r="H440" s="4" t="n">
        <v>896</v>
      </c>
      <c r="I440" s="5" t="n">
        <v>69.90000000000001</v>
      </c>
      <c r="J440" s="5" t="n">
        <v>38.5</v>
      </c>
      <c r="K440" s="3" t="inlineStr">
        <is>
          <t>경지정리된 농지 I 도로 접한 땅</t>
        </is>
      </c>
      <c r="L440" s="6">
        <f>HYPERLINK("https://fin.land.naver.com/articles/2650797441", "매물Link")</f>
        <v/>
      </c>
      <c r="M440" s="6">
        <f>HYPERLINK("https://map.naver.com/p/search/금남면 대박리 243-14", "지도Link")</f>
        <v/>
      </c>
      <c r="N440" s="6">
        <f>HYPERLINK("http://www.eum.go.kr/web/ar/lu/luLandDet.jsp?pnu=3611034034102430014&amp;isNoScr=script&amp;mode=search",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2961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세로한면(가)</t>
        </is>
      </c>
    </row>
    <row r="441">
      <c r="A441" s="3" t="inlineStr">
        <is>
          <t>금남면 대박리 313-47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44100</v>
      </c>
      <c r="G441" s="4" t="n">
        <v>425</v>
      </c>
      <c r="H441" s="4" t="n">
        <v>129</v>
      </c>
      <c r="I441" s="5" t="n">
        <v>341.9</v>
      </c>
      <c r="J441" s="5" t="n">
        <v>175.4</v>
      </c>
      <c r="K441" s="3" t="inlineStr">
        <is>
          <t>세종 뷰 좋고 투자가치 좋은 전원주택지</t>
        </is>
      </c>
      <c r="L441" s="6">
        <f>HYPERLINK("https://fin.land.naver.com/articles/2655612769", "매물Link")</f>
        <v/>
      </c>
      <c r="M441" s="6">
        <f>HYPERLINK("https://map.naver.com/p/search/금남면 대박리 313-47", "지도Link")</f>
        <v/>
      </c>
      <c r="N441" s="6">
        <f>HYPERLINK("http://www.eum.go.kr/web/ar/lu/luLandDet.jsp?pnu=3611034034103130047&amp;isNoScr=script&amp;mode=search", "토지이음")</f>
        <v/>
      </c>
      <c r="O441" s="3" t="inlineStr">
        <is>
          <t>미소</t>
        </is>
      </c>
      <c r="P441" s="4" t="n">
        <v>1</v>
      </c>
      <c r="Q441" s="4" t="n">
        <v>425</v>
      </c>
      <c r="R441" s="3" t="inlineStr">
        <is>
          <t>지정되지않음</t>
        </is>
      </c>
      <c r="S441" s="3" t="inlineStr">
        <is>
          <t>주거기타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대박리 313-47</t>
        </is>
      </c>
      <c r="B442" s="3" t="inlineStr">
        <is>
          <t>보전관리지역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44200</v>
      </c>
      <c r="G442" s="4" t="n">
        <v>425</v>
      </c>
      <c r="H442" s="4" t="n">
        <v>129</v>
      </c>
      <c r="I442" s="5" t="n">
        <v>342.6</v>
      </c>
      <c r="J442" s="5" t="n">
        <v>175.4</v>
      </c>
      <c r="K442" s="3" t="inlineStr">
        <is>
          <t>4생활옆 대박리 전원주택지</t>
        </is>
      </c>
      <c r="L442" s="6">
        <f>HYPERLINK("https://fin.land.naver.com/articles/2651786370", "매물Link")</f>
        <v/>
      </c>
      <c r="M442" s="6">
        <f>HYPERLINK("https://map.naver.com/p/search/금남면 대박리 313-47", "지도Link")</f>
        <v/>
      </c>
      <c r="N442" s="6">
        <f>HYPERLINK("http://www.eum.go.kr/web/ar/lu/luLandDet.jsp?pnu=3611034034103130047&amp;isNoScr=script&amp;mode=search", "토지이음")</f>
        <v/>
      </c>
      <c r="O442" s="3" t="inlineStr">
        <is>
          <t>세종천지</t>
        </is>
      </c>
      <c r="P442" s="4" t="n">
        <v>1</v>
      </c>
      <c r="Q442" s="4" t="n">
        <v>425</v>
      </c>
      <c r="R442" s="3" t="inlineStr">
        <is>
          <t>지정되지않음</t>
        </is>
      </c>
      <c r="S442" s="3" t="inlineStr">
        <is>
          <t>주거기타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대박리 331</t>
        </is>
      </c>
      <c r="B443" s="3" t="inlineStr">
        <is>
          <t>개발제한구역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132300</v>
      </c>
      <c r="G443" s="4" t="n">
        <v>1250</v>
      </c>
      <c r="H443" s="4" t="n">
        <v>378</v>
      </c>
      <c r="I443" s="5" t="n">
        <v>350</v>
      </c>
      <c r="J443" s="5" t="n">
        <v>139</v>
      </c>
      <c r="K443" s="3" t="inlineStr">
        <is>
          <t>세종시청에서 차량으로15분소요,세종시와대전시인접한토지</t>
        </is>
      </c>
      <c r="L443" s="6">
        <f>HYPERLINK("https://fin.land.naver.com/articles/2651994591", "매물Link")</f>
        <v/>
      </c>
      <c r="M443" s="6">
        <f>HYPERLINK("https://map.naver.com/p/search/금남면 대박리 331", "지도Link")</f>
        <v/>
      </c>
      <c r="N443" s="6">
        <f>HYPERLINK("http://www.eum.go.kr/web/ar/lu/luLandDet.jsp?pnu=3611034034103310000&amp;isNoScr=script&amp;mode=search", "토지이음")</f>
        <v/>
      </c>
      <c r="O443" s="3" t="inlineStr">
        <is>
          <t>담뜰</t>
        </is>
      </c>
      <c r="P443" s="4" t="n">
        <v>1</v>
      </c>
      <c r="Q443" s="4" t="n">
        <v>1250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대박리 367-17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6000</v>
      </c>
      <c r="G444" s="4" t="n">
        <v>133</v>
      </c>
      <c r="H444" s="4" t="n">
        <v>40</v>
      </c>
      <c r="I444" s="5" t="n">
        <v>150</v>
      </c>
      <c r="J444" s="5" t="n">
        <v>57.3</v>
      </c>
      <c r="K444" s="3" t="inlineStr">
        <is>
          <t>소액투자추천 세종행복도시원내인접 계획관리</t>
        </is>
      </c>
      <c r="L444" s="6">
        <f>HYPERLINK("https://fin.land.naver.com/articles/2655118453", "매물Link")</f>
        <v/>
      </c>
      <c r="M444" s="6">
        <f>HYPERLINK("https://map.naver.com/p/search/금남면 대박리 367-17", "지도Link")</f>
        <v/>
      </c>
      <c r="N444" s="6">
        <f>HYPERLINK("http://www.eum.go.kr/web/ar/lu/luLandDet.jsp?pnu=3611034034103670017&amp;isNoScr=script&amp;mode=search", "토지이음")</f>
        <v/>
      </c>
      <c r="O444" s="3" t="inlineStr">
        <is>
          <t>뉴엘리트탑</t>
        </is>
      </c>
      <c r="P444" s="4" t="n">
        <v>1</v>
      </c>
      <c r="Q444" s="4" t="n">
        <v>133</v>
      </c>
      <c r="R444" s="3" t="inlineStr">
        <is>
          <t>계획관리지역</t>
        </is>
      </c>
      <c r="S444" s="3" t="inlineStr">
        <is>
          <t>도로등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지정되지않음</t>
        </is>
      </c>
    </row>
    <row r="445">
      <c r="A445" s="3" t="inlineStr">
        <is>
          <t>금남면 대박리 368</t>
        </is>
      </c>
      <c r="B445" s="3" t="inlineStr">
        <is>
          <t>보전관리지역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48000</v>
      </c>
      <c r="G445" s="4" t="n">
        <v>504</v>
      </c>
      <c r="H445" s="4" t="n">
        <v>152</v>
      </c>
      <c r="I445" s="5" t="n">
        <v>315.8</v>
      </c>
      <c r="J445" s="5" t="n">
        <v>105.5</v>
      </c>
      <c r="K445" s="3" t="inlineStr">
        <is>
          <t>도로에 길게 접한 활용성이 좋은 택지</t>
        </is>
      </c>
      <c r="L445" s="6">
        <f>HYPERLINK("https://fin.land.naver.com/articles/2653413862", "매물Link")</f>
        <v/>
      </c>
      <c r="M445" s="6">
        <f>HYPERLINK("https://map.naver.com/p/search/금남면 대박리 368", "지도Link")</f>
        <v/>
      </c>
      <c r="N445" s="6">
        <f>HYPERLINK("http://www.eum.go.kr/web/ar/lu/luLandDet.jsp?pnu=3611034034103680000&amp;isNoScr=script&amp;mode=search", "토지이음")</f>
        <v/>
      </c>
      <c r="O445" s="3" t="inlineStr">
        <is>
          <t>세종제일</t>
        </is>
      </c>
      <c r="P445" s="4" t="n">
        <v>1</v>
      </c>
      <c r="Q445" s="4" t="n">
        <v>438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대박리 369-3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562</v>
      </c>
      <c r="H446" s="4" t="n">
        <v>170</v>
      </c>
      <c r="I446" s="5" t="n">
        <v>470.6</v>
      </c>
      <c r="J446" s="5" t="n">
        <v>191.5</v>
      </c>
      <c r="K446" s="3" t="inlineStr">
        <is>
          <t>급매, 계획관리지역, 지목이대로바로건축가능, 협의,절충, 주위인프라굿</t>
        </is>
      </c>
      <c r="L446" s="6">
        <f>HYPERLINK("https://fin.land.naver.com/articles/2654103751", "매물Link")</f>
        <v/>
      </c>
      <c r="M446" s="6">
        <f>HYPERLINK("https://map.naver.com/p/search/금남면 대박리 369-3", "지도Link")</f>
        <v/>
      </c>
      <c r="N446" s="6">
        <f>HYPERLINK("http://www.eum.go.kr/web/ar/lu/luLandDet.jsp?pnu=3611034034103690003&amp;isNoScr=script&amp;mode=search", "토지이음")</f>
        <v/>
      </c>
      <c r="O446" s="3" t="inlineStr">
        <is>
          <t>세종한울</t>
        </is>
      </c>
      <c r="P446" s="4" t="n">
        <v>1</v>
      </c>
      <c r="Q446" s="4" t="n">
        <v>562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대박리 71-4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160000</v>
      </c>
      <c r="G447" s="4" t="n">
        <v>753</v>
      </c>
      <c r="H447" s="4" t="n">
        <v>228</v>
      </c>
      <c r="I447" s="5" t="n">
        <v>701.8</v>
      </c>
      <c r="J447" s="5" t="n">
        <v>258</v>
      </c>
      <c r="K447" s="3" t="inlineStr">
        <is>
          <t>금남면 대박리 2차선 도로옆 계획관리</t>
        </is>
      </c>
      <c r="L447" s="6">
        <f>HYPERLINK("https://fin.land.naver.com/articles/2652376591", "매물Link")</f>
        <v/>
      </c>
      <c r="M447" s="6">
        <f>HYPERLINK("https://map.naver.com/p/search/금남면 대박리 71-4", "지도Link")</f>
        <v/>
      </c>
      <c r="N447" s="6">
        <f>HYPERLINK("http://www.eum.go.kr/web/ar/lu/luLandDet.jsp?pnu=3611034034100710004&amp;isNoScr=script&amp;mode=search", "토지이음")</f>
        <v/>
      </c>
      <c r="O447" s="3" t="inlineStr">
        <is>
          <t>강아지풀</t>
        </is>
      </c>
      <c r="P447" s="4" t="n">
        <v>1</v>
      </c>
      <c r="Q447" s="4" t="n">
        <v>755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대박리 74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48750</v>
      </c>
      <c r="G448" s="4" t="n">
        <v>645</v>
      </c>
      <c r="H448" s="4" t="n">
        <v>195</v>
      </c>
      <c r="I448" s="5" t="n">
        <v>250</v>
      </c>
      <c r="J448" s="5" t="n">
        <v>212.2</v>
      </c>
      <c r="K448" s="3" t="inlineStr">
        <is>
          <t>대박리 마을 카페 앞 땅 I 넓은 주택가 땅</t>
        </is>
      </c>
      <c r="L448" s="6">
        <f>HYPERLINK("https://fin.land.naver.com/articles/2650798695", "매물Link")</f>
        <v/>
      </c>
      <c r="M448" s="6">
        <f>HYPERLINK("https://map.naver.com/p/search/금남면 대박리 74", "지도Link")</f>
        <v/>
      </c>
      <c r="N448" s="6">
        <f>HYPERLINK("http://www.eum.go.kr/web/ar/lu/luLandDet.jsp?pnu=3611034034100740000&amp;isNoScr=script&amp;mode=search", "토지이음")</f>
        <v/>
      </c>
      <c r="O448" s="3" t="inlineStr">
        <is>
          <t>옥수</t>
        </is>
      </c>
      <c r="P448" s="4" t="n">
        <v>1</v>
      </c>
      <c r="Q448" s="4" t="n">
        <v>645</v>
      </c>
      <c r="R448" s="3" t="inlineStr">
        <is>
          <t>지정되지않음</t>
        </is>
      </c>
      <c r="S448" s="3" t="inlineStr">
        <is>
          <t>단독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대박리 75-2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36750</v>
      </c>
      <c r="G449" s="4" t="n">
        <v>487</v>
      </c>
      <c r="H449" s="4" t="n">
        <v>147</v>
      </c>
      <c r="I449" s="5" t="n">
        <v>250</v>
      </c>
      <c r="J449" s="5" t="n">
        <v>206.3</v>
      </c>
      <c r="K449" s="3" t="inlineStr">
        <is>
          <t>대박리 마을 마을 회관 옆 I 도로 접한 집 I</t>
        </is>
      </c>
      <c r="L449" s="6">
        <f>HYPERLINK("https://fin.land.naver.com/articles/2650798636", "매물Link")</f>
        <v/>
      </c>
      <c r="M449" s="6">
        <f>HYPERLINK("https://map.naver.com/p/search/금남면 대박리 75-2", "지도Link")</f>
        <v/>
      </c>
      <c r="N449" s="6">
        <f>HYPERLINK("http://www.eum.go.kr/web/ar/lu/luLandDet.jsp?pnu=3611034034100750002&amp;isNoScr=script&amp;mode=search", "토지이음")</f>
        <v/>
      </c>
      <c r="O449" s="3" t="inlineStr">
        <is>
          <t>옥수</t>
        </is>
      </c>
      <c r="P449" s="4" t="n">
        <v>1</v>
      </c>
      <c r="Q449" s="4" t="n">
        <v>487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대박리 산48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60000</v>
      </c>
      <c r="G450" s="4" t="n">
        <v>23802</v>
      </c>
      <c r="H450" s="4" t="n">
        <v>7200</v>
      </c>
      <c r="I450" s="5" t="n">
        <v>8.300000000000001</v>
      </c>
      <c r="J450" s="5" t="n">
        <v>2.6</v>
      </c>
      <c r="K450" s="3" t="inlineStr">
        <is>
          <t>nan</t>
        </is>
      </c>
      <c r="L450" s="6">
        <f>HYPERLINK("https://fin.land.naver.com/articles/2654951927", "매물Link")</f>
        <v/>
      </c>
      <c r="M450" s="6">
        <f>HYPERLINK("https://map.naver.com/p/search/금남면 대박리 산48", "지도Link")</f>
        <v/>
      </c>
      <c r="N450" s="6">
        <f>HYPERLINK("http://www.eum.go.kr/web/ar/lu/luLandDet.jsp?pnu=3611034034200480000&amp;isNoScr=script&amp;mode=search", "토지이음")</f>
        <v/>
      </c>
      <c r="O450" s="3" t="inlineStr">
        <is>
          <t>한마음</t>
        </is>
      </c>
      <c r="P450" s="4" t="n">
        <v>1</v>
      </c>
      <c r="Q450" s="4" t="n">
        <v>23802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103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535</v>
      </c>
      <c r="H451" s="4" t="n">
        <v>162</v>
      </c>
      <c r="I451" s="5" t="n">
        <v>246.9</v>
      </c>
      <c r="J451" s="5" t="n">
        <v>86.09999999999999</v>
      </c>
      <c r="K451" s="3" t="inlineStr">
        <is>
          <t>포장도로접합,뒷쪽토지 공유지로 활용도높음</t>
        </is>
      </c>
      <c r="L451" s="6">
        <f>HYPERLINK("https://fin.land.naver.com/articles/2651681429", "매물Link")</f>
        <v/>
      </c>
      <c r="M451" s="6">
        <f>HYPERLINK("https://map.naver.com/p/search/금남면 도남리 103", "지도Link")</f>
        <v/>
      </c>
      <c r="N451" s="6">
        <f>HYPERLINK("http://www.eum.go.kr/web/ar/lu/luLandDet.jsp?pnu=3611034046101030000&amp;isNoScr=script&amp;mode=search", "토지이음")</f>
        <v/>
      </c>
      <c r="O451" s="3" t="inlineStr">
        <is>
          <t>생생</t>
        </is>
      </c>
      <c r="P451" s="4" t="n">
        <v>2</v>
      </c>
      <c r="Q451" s="4" t="n">
        <v>535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11-2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100000</v>
      </c>
      <c r="G452" s="4" t="n">
        <v>2195</v>
      </c>
      <c r="H452" s="4" t="n">
        <v>664</v>
      </c>
      <c r="I452" s="5" t="n">
        <v>150.6</v>
      </c>
      <c r="J452" s="5" t="n">
        <v>81.7</v>
      </c>
      <c r="K452" s="3" t="inlineStr">
        <is>
          <t>금남면 도남리 계획관리 토지, 2차선 바로 옆으로 진입, 근생 건축</t>
        </is>
      </c>
      <c r="L452" s="6">
        <f>HYPERLINK("https://fin.land.naver.com/articles/2654020877", "매물Link")</f>
        <v/>
      </c>
      <c r="M452" s="6">
        <f>HYPERLINK("https://map.naver.com/p/search/금남면 도남리 11-2", "지도Link")</f>
        <v/>
      </c>
      <c r="N452" s="6">
        <f>HYPERLINK("http://www.eum.go.kr/web/ar/lu/luLandDet.jsp?pnu=3611034046100110002&amp;isNoScr=script&amp;mode=search", "토지이음")</f>
        <v/>
      </c>
      <c r="O452" s="3" t="inlineStr">
        <is>
          <t>스카이</t>
        </is>
      </c>
      <c r="P452" s="4" t="n">
        <v>2</v>
      </c>
      <c r="Q452" s="4" t="n">
        <v>1879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금남면 도남리 114-11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68600</v>
      </c>
      <c r="G453" s="4" t="n">
        <v>610</v>
      </c>
      <c r="H453" s="4" t="n">
        <v>185</v>
      </c>
      <c r="I453" s="5" t="n">
        <v>370.8</v>
      </c>
      <c r="J453" s="5" t="n">
        <v>61.2</v>
      </c>
      <c r="K453" s="3" t="inlineStr">
        <is>
          <t>프리미엄 단독주택지 매매 I 금강수목원 영구 조망 I 남향 건축허가 완료</t>
        </is>
      </c>
      <c r="L453" s="6">
        <f>HYPERLINK("https://fin.land.naver.com/articles/2655200566", "매물Link")</f>
        <v/>
      </c>
      <c r="M453" s="6">
        <f>HYPERLINK("https://map.naver.com/p/search/금남면 도남리 114-11", "지도Link")</f>
        <v/>
      </c>
      <c r="N453" s="6">
        <f>HYPERLINK("http://www.eum.go.kr/web/ar/lu/luLandDet.jsp?pnu=3611034046101140011&amp;isNoScr=script&amp;mode=search", "토지이음")</f>
        <v/>
      </c>
      <c r="O453" s="3" t="inlineStr">
        <is>
          <t>세종신한</t>
        </is>
      </c>
      <c r="P453" s="4" t="n">
        <v>1</v>
      </c>
      <c r="Q453" s="4" t="n">
        <v>610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114-11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68800</v>
      </c>
      <c r="G454" s="4" t="n">
        <v>650</v>
      </c>
      <c r="H454" s="4" t="n">
        <v>197</v>
      </c>
      <c r="I454" s="5" t="n">
        <v>349.2</v>
      </c>
      <c r="J454" s="5" t="n">
        <v>61.2</v>
      </c>
      <c r="K454" s="3" t="inlineStr">
        <is>
          <t>nan</t>
        </is>
      </c>
      <c r="L454" s="6">
        <f>HYPERLINK("https://fin.land.naver.com/articles/2655264160", "매물Link")</f>
        <v/>
      </c>
      <c r="M454" s="6">
        <f>HYPERLINK("https://map.naver.com/p/search/금남면 도남리 114-11", "지도Link")</f>
        <v/>
      </c>
      <c r="N454" s="6">
        <f>HYPERLINK("http://www.eum.go.kr/web/ar/lu/luLandDet.jsp?pnu=3611034046101140011&amp;isNoScr=script&amp;mode=search",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610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정방형</t>
        </is>
      </c>
      <c r="V454" s="3" t="inlineStr">
        <is>
          <t>세로한면(가)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55000</v>
      </c>
      <c r="G455" s="4" t="n">
        <v>610</v>
      </c>
      <c r="H455" s="4" t="n">
        <v>185</v>
      </c>
      <c r="I455" s="5" t="n">
        <v>297.3</v>
      </c>
      <c r="J455" s="5" t="n">
        <v>61.2</v>
      </c>
      <c r="K455" s="3" t="inlineStr">
        <is>
          <t>nan</t>
        </is>
      </c>
      <c r="L455" s="6">
        <f>HYPERLINK("https://fin.land.naver.com/articles/2653140300",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116-86</t>
        </is>
      </c>
      <c r="B456" s="3" t="inlineStr">
        <is>
          <t>계획관리지역</t>
        </is>
      </c>
      <c r="C456" s="3" t="inlineStr">
        <is>
          <t>목장용지</t>
        </is>
      </c>
      <c r="D456" s="3" t="inlineStr">
        <is>
          <t>목장용지</t>
        </is>
      </c>
      <c r="E456" s="3" t="inlineStr">
        <is>
          <t>매매</t>
        </is>
      </c>
      <c r="F456" s="4" t="n">
        <v>39000</v>
      </c>
      <c r="G456" s="4" t="n">
        <v>885</v>
      </c>
      <c r="H456" s="4" t="n">
        <v>268</v>
      </c>
      <c r="I456" s="5" t="n">
        <v>145.5</v>
      </c>
      <c r="J456" s="5" t="n">
        <v>33.9</v>
      </c>
      <c r="K456" s="3" t="inlineStr">
        <is>
          <t>금강뷰 건축용지 매매</t>
        </is>
      </c>
      <c r="L456" s="6">
        <f>HYPERLINK("https://fin.land.naver.com/articles/2653195585", "매물Link")</f>
        <v/>
      </c>
      <c r="M456" s="6">
        <f>HYPERLINK("https://map.naver.com/p/search/금남면 도남리 116-86", "지도Link")</f>
        <v/>
      </c>
      <c r="N456" s="6">
        <f>HYPERLINK("http://www.eum.go.kr/web/ar/lu/luLandDet.jsp?pnu=3611034046101160086&amp;isNoScr=script&amp;mode=search",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886</v>
      </c>
      <c r="R456" s="3" t="inlineStr">
        <is>
          <t>지정되지않음</t>
        </is>
      </c>
      <c r="S456" s="3" t="inlineStr">
        <is>
          <t>임야기타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도남리 127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134100</v>
      </c>
      <c r="G457" s="4" t="n">
        <v>2464</v>
      </c>
      <c r="H457" s="4" t="n">
        <v>745</v>
      </c>
      <c r="I457" s="5" t="n">
        <v>180</v>
      </c>
      <c r="J457" s="5" t="n">
        <v>82.8</v>
      </c>
      <c r="K457" s="3" t="inlineStr">
        <is>
          <t>금남면 도남리 마을 안 계획관리 토지, 사옥 및 창고 추천, 저렴</t>
        </is>
      </c>
      <c r="L457" s="6">
        <f>HYPERLINK("https://fin.land.naver.com/articles/2654024817", "매물Link")</f>
        <v/>
      </c>
      <c r="M457" s="6">
        <f>HYPERLINK("https://map.naver.com/p/search/금남면 도남리 127", "지도Link")</f>
        <v/>
      </c>
      <c r="N457" s="6">
        <f>HYPERLINK("http://www.eum.go.kr/web/ar/lu/luLandDet.jsp?pnu=3611034046101270000&amp;isNoScr=script&amp;mode=search", "토지이음")</f>
        <v/>
      </c>
      <c r="O457" s="3" t="inlineStr">
        <is>
          <t>스카이</t>
        </is>
      </c>
      <c r="P457" s="4" t="n">
        <v>2</v>
      </c>
      <c r="Q457" s="4" t="n">
        <v>2464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145</t>
        </is>
      </c>
      <c r="B458" s="3" t="inlineStr">
        <is>
          <t>보전관리지역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48000</v>
      </c>
      <c r="G458" s="4" t="n">
        <v>1525</v>
      </c>
      <c r="H458" s="4" t="n">
        <v>461</v>
      </c>
      <c r="I458" s="5" t="n">
        <v>104.1</v>
      </c>
      <c r="J458" s="5" t="n">
        <v>50</v>
      </c>
      <c r="K458" s="3" t="inlineStr">
        <is>
          <t>금강의 여유를 품은 힐링 토지,세종 10분내 진입권,도로인접</t>
        </is>
      </c>
      <c r="L458" s="6">
        <f>HYPERLINK("https://fin.land.naver.com/articles/2655601388", "매물Link")</f>
        <v/>
      </c>
      <c r="M458" s="6">
        <f>HYPERLINK("https://map.naver.com/p/search/금남면 도남리 145", "지도Link")</f>
        <v/>
      </c>
      <c r="N458" s="6">
        <f>HYPERLINK("http://www.eum.go.kr/web/ar/lu/luLandDet.jsp?pnu=3611034046101450000&amp;isNoScr=script&amp;mode=search", "토지이음")</f>
        <v/>
      </c>
      <c r="O458" s="3" t="inlineStr">
        <is>
          <t>가치잇는</t>
        </is>
      </c>
      <c r="P458" s="4" t="n">
        <v>3</v>
      </c>
      <c r="Q458" s="4" t="n">
        <v>1525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145</t>
        </is>
      </c>
      <c r="B459" s="3" t="inlineStr">
        <is>
          <t>보전관리지역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48000</v>
      </c>
      <c r="G459" s="4" t="n">
        <v>1950</v>
      </c>
      <c r="H459" s="4" t="n">
        <v>590</v>
      </c>
      <c r="I459" s="5" t="n">
        <v>81.40000000000001</v>
      </c>
      <c r="J459" s="5" t="n">
        <v>50</v>
      </c>
      <c r="K459" s="3" t="inlineStr">
        <is>
          <t>2차선도로에 바로 접한 넓은 토지</t>
        </is>
      </c>
      <c r="L459" s="6">
        <f>HYPERLINK("https://fin.land.naver.com/articles/2650448002", "매물Link")</f>
        <v/>
      </c>
      <c r="M459" s="6">
        <f>HYPERLINK("https://map.naver.com/p/search/금남면 도남리 145", "지도Link")</f>
        <v/>
      </c>
      <c r="N459" s="6">
        <f>HYPERLINK("http://www.eum.go.kr/web/ar/lu/luLandDet.jsp?pnu=3611034046101450000&amp;isNoScr=script&amp;mode=search",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1525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도남리 192-13</t>
        </is>
      </c>
      <c r="B460" s="3" t="inlineStr">
        <is>
          <t>보전관리지역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59500</v>
      </c>
      <c r="G460" s="4" t="n">
        <v>687</v>
      </c>
      <c r="H460" s="4" t="n">
        <v>208</v>
      </c>
      <c r="I460" s="5" t="n">
        <v>286.1</v>
      </c>
      <c r="J460" s="5" t="n">
        <v>95.2</v>
      </c>
      <c r="K460" s="3" t="inlineStr">
        <is>
          <t>세종시 금남면 토지 건물 매매 2종근생 사무실 포함</t>
        </is>
      </c>
      <c r="L460" s="6">
        <f>HYPERLINK("https://fin.land.naver.com/articles/2654033490", "매물Link")</f>
        <v/>
      </c>
      <c r="M460" s="6">
        <f>HYPERLINK("https://map.naver.com/p/search/금남면 도남리 192-13", "지도Link")</f>
        <v/>
      </c>
      <c r="N460" s="6">
        <f>HYPERLINK("http://www.eum.go.kr/web/ar/lu/luLandDet.jsp?pnu=3611034046101920013&amp;isNoScr=script&amp;mode=search", "토지이음")</f>
        <v/>
      </c>
      <c r="O460" s="3" t="inlineStr">
        <is>
          <t>THE행복</t>
        </is>
      </c>
      <c r="P460" s="4" t="n">
        <v>1</v>
      </c>
      <c r="Q460" s="4" t="n">
        <v>578</v>
      </c>
      <c r="R460" s="3" t="inlineStr">
        <is>
          <t>지정되지않음</t>
        </is>
      </c>
      <c r="S460" s="3" t="inlineStr">
        <is>
          <t>주거기타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192-13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67000</v>
      </c>
      <c r="G461" s="4" t="n">
        <v>578</v>
      </c>
      <c r="H461" s="4" t="n">
        <v>175</v>
      </c>
      <c r="I461" s="5" t="n">
        <v>382.9</v>
      </c>
      <c r="J461" s="5" t="n">
        <v>95.2</v>
      </c>
      <c r="K461" s="3" t="inlineStr">
        <is>
          <t>nan</t>
        </is>
      </c>
      <c r="L461" s="6">
        <f>HYPERLINK("https://fin.land.naver.com/articles/2651585595", "매물Link")</f>
        <v/>
      </c>
      <c r="M461" s="6">
        <f>HYPERLINK("https://map.naver.com/p/search/금남면 도남리 192-13", "지도Link")</f>
        <v/>
      </c>
      <c r="N461" s="6">
        <f>HYPERLINK("http://www.eum.go.kr/web/ar/lu/luLandDet.jsp?pnu=3611034046101920013&amp;isNoScr=script&amp;mode=search", "토지이음")</f>
        <v/>
      </c>
      <c r="O461" s="3" t="inlineStr">
        <is>
          <t>세종몽땅</t>
        </is>
      </c>
      <c r="P461" s="4" t="n">
        <v>1</v>
      </c>
      <c r="Q461" s="4" t="n">
        <v>578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도남리 229</t>
        </is>
      </c>
      <c r="B462" s="3" t="inlineStr">
        <is>
          <t>보전관리지역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130000</v>
      </c>
      <c r="G462" s="4" t="n">
        <v>5831</v>
      </c>
      <c r="H462" s="4" t="n">
        <v>1764</v>
      </c>
      <c r="I462" s="5" t="n">
        <v>73.7</v>
      </c>
      <c r="J462" s="5" t="n">
        <v>25.3</v>
      </c>
      <c r="K462" s="3" t="inlineStr">
        <is>
          <t>연접2필지 일괄매도, 투자추천, 직사각형 답, 조율가능</t>
        </is>
      </c>
      <c r="L462" s="6">
        <f>HYPERLINK("https://fin.land.naver.com/articles/2652812174", "매물Link")</f>
        <v/>
      </c>
      <c r="M462" s="6">
        <f>HYPERLINK("https://map.naver.com/p/search/금남면 도남리 229", "지도Link")</f>
        <v/>
      </c>
      <c r="N462" s="6">
        <f>HYPERLINK("http://www.eum.go.kr/web/ar/lu/luLandDet.jsp?pnu=3611034046102290000&amp;isNoScr=script&amp;mode=search", "토지이음")</f>
        <v/>
      </c>
      <c r="O462" s="3" t="inlineStr">
        <is>
          <t>생생</t>
        </is>
      </c>
      <c r="P462" s="4" t="n">
        <v>1</v>
      </c>
      <c r="Q462" s="4" t="n">
        <v>3760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금남면 도남리 306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1551</v>
      </c>
      <c r="H463" s="4" t="n">
        <v>469</v>
      </c>
      <c r="I463" s="5" t="n">
        <v>213.2</v>
      </c>
      <c r="J463" s="5" t="n">
        <v>140.4</v>
      </c>
      <c r="K463" s="3" t="inlineStr">
        <is>
          <t>대 포함 3필지 계획관리지역 일괄매매</t>
        </is>
      </c>
      <c r="L463" s="6">
        <f>HYPERLINK("https://fin.land.naver.com/articles/2655134475", "매물Link")</f>
        <v/>
      </c>
      <c r="M463" s="6">
        <f>HYPERLINK("https://map.naver.com/p/search/금남면 도남리 306", "지도Link")</f>
        <v/>
      </c>
      <c r="N463" s="6">
        <f>HYPERLINK("http://www.eum.go.kr/web/ar/lu/luLandDet.jsp?pnu=3611034046103060000&amp;isNoScr=script&amp;mode=search", "토지이음")</f>
        <v/>
      </c>
      <c r="O463" s="3" t="inlineStr">
        <is>
          <t>세종몽땅</t>
        </is>
      </c>
      <c r="P463" s="4" t="n">
        <v>1</v>
      </c>
      <c r="Q463" s="4" t="n">
        <v>200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금남면 도남리 308</t>
        </is>
      </c>
      <c r="B464" s="3" t="inlineStr">
        <is>
          <t>계획관리지역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95000</v>
      </c>
      <c r="G464" s="4" t="n">
        <v>1551</v>
      </c>
      <c r="H464" s="4" t="n">
        <v>469</v>
      </c>
      <c r="I464" s="5" t="n">
        <v>202.6</v>
      </c>
      <c r="J464" s="5" t="n">
        <v>79</v>
      </c>
      <c r="K464" s="3" t="inlineStr">
        <is>
          <t>급매 주변에 카폐,전원주택들이 있고,세종 청사 10분거리,진입도로있음</t>
        </is>
      </c>
      <c r="L464" s="6">
        <f>HYPERLINK("https://fin.land.naver.com/articles/2651967655", "매물Link")</f>
        <v/>
      </c>
      <c r="M464" s="6">
        <f>HYPERLINK("https://map.naver.com/p/search/금남면 도남리 308", "지도Link")</f>
        <v/>
      </c>
      <c r="N464" s="6">
        <f>HYPERLINK("http://www.eum.go.kr/web/ar/lu/luLandDet.jsp?pnu=3611034046103080000&amp;isNoScr=script&amp;mode=search", "토지이음")</f>
        <v/>
      </c>
      <c r="O464" s="3" t="inlineStr">
        <is>
          <t>그린영광</t>
        </is>
      </c>
      <c r="P464" s="4" t="n">
        <v>1</v>
      </c>
      <c r="Q464" s="4" t="n">
        <v>1252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4-24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65000</v>
      </c>
      <c r="G465" s="4" t="n">
        <v>1070</v>
      </c>
      <c r="H465" s="4" t="n">
        <v>324</v>
      </c>
      <c r="I465" s="5" t="n">
        <v>200.6</v>
      </c>
      <c r="J465" s="5" t="n">
        <v>55.4</v>
      </c>
      <c r="K465" s="3" t="inlineStr">
        <is>
          <t>구산림박물관 인근 근생시설부지 매매</t>
        </is>
      </c>
      <c r="L465" s="6">
        <f>HYPERLINK("https://fin.land.naver.com/articles/2654823444", "매물Link")</f>
        <v/>
      </c>
      <c r="M465" s="6">
        <f>HYPERLINK("https://map.naver.com/p/search/금남면 도남리 4-24", "지도Link")</f>
        <v/>
      </c>
      <c r="N465" s="6">
        <f>HYPERLINK("http://www.eum.go.kr/web/ar/lu/luLandDet.jsp?pnu=3611034046100040024&amp;isNoScr=script&amp;mode=search", "토지이음")</f>
        <v/>
      </c>
      <c r="O465" s="3" t="inlineStr">
        <is>
          <t>세종비전행정사</t>
        </is>
      </c>
      <c r="P465" s="4" t="n">
        <v>1</v>
      </c>
      <c r="Q465" s="4" t="n">
        <v>1070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금남면 도남리 4-25</t>
        </is>
      </c>
      <c r="B466" s="3" t="inlineStr">
        <is>
          <t>보전관리지역</t>
        </is>
      </c>
      <c r="C466" s="3" t="inlineStr">
        <is>
          <t>임야</t>
        </is>
      </c>
      <c r="D466" s="3" t="inlineStr">
        <is>
          <t>대</t>
        </is>
      </c>
      <c r="E466" s="3" t="inlineStr">
        <is>
          <t>매매</t>
        </is>
      </c>
      <c r="F466" s="4" t="n">
        <v>52000</v>
      </c>
      <c r="G466" s="4" t="n">
        <v>850</v>
      </c>
      <c r="H466" s="4" t="n">
        <v>257</v>
      </c>
      <c r="I466" s="5" t="n">
        <v>202.3</v>
      </c>
      <c r="J466" s="5" t="n">
        <v>55.4</v>
      </c>
      <c r="K466" s="3" t="inlineStr">
        <is>
          <t>구산림박물관 인근 토목공사 완료된 근생시설부지 매매</t>
        </is>
      </c>
      <c r="L466" s="6">
        <f>HYPERLINK("https://fin.land.naver.com/articles/2654822490", "매물Link")</f>
        <v/>
      </c>
      <c r="M466" s="6">
        <f>HYPERLINK("https://map.naver.com/p/search/금남면 도남리 4-25", "지도Link")</f>
        <v/>
      </c>
      <c r="N466" s="6">
        <f>HYPERLINK("http://www.eum.go.kr/web/ar/lu/luLandDet.jsp?pnu=3611034046100040025&amp;isNoScr=script&amp;mode=search", "토지이음")</f>
        <v/>
      </c>
      <c r="O466" s="3" t="inlineStr">
        <is>
          <t>세종비전행정사</t>
        </is>
      </c>
      <c r="P466" s="4" t="n">
        <v>1</v>
      </c>
      <c r="Q466" s="4" t="n">
        <v>850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금남면 도남리 4-26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69000</v>
      </c>
      <c r="G467" s="4" t="n">
        <v>987</v>
      </c>
      <c r="H467" s="4" t="n">
        <v>299</v>
      </c>
      <c r="I467" s="5" t="n">
        <v>230.8</v>
      </c>
      <c r="J467" s="5" t="n">
        <v>55.4</v>
      </c>
      <c r="K467" s="3" t="inlineStr">
        <is>
          <t>구 산림박물관 인근 카페 등 근생시설 부지 매매</t>
        </is>
      </c>
      <c r="L467" s="6">
        <f>HYPERLINK("https://fin.land.naver.com/articles/2654823439", "매물Link")</f>
        <v/>
      </c>
      <c r="M467" s="6">
        <f>HYPERLINK("https://map.naver.com/p/search/금남면 도남리 4-26", "지도Link")</f>
        <v/>
      </c>
      <c r="N467" s="6">
        <f>HYPERLINK("http://www.eum.go.kr/web/ar/lu/luLandDet.jsp?pnu=3611034046100040026&amp;isNoScr=script&amp;mode=search",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987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6-4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30000</v>
      </c>
      <c r="G468" s="4" t="n">
        <v>493</v>
      </c>
      <c r="H468" s="4" t="n">
        <v>149</v>
      </c>
      <c r="I468" s="5" t="n">
        <v>201.3</v>
      </c>
      <c r="J468" s="5" t="n">
        <v>136.1</v>
      </c>
      <c r="K468" s="3" t="inlineStr">
        <is>
          <t>금강수목원인접토지.가격조정가능</t>
        </is>
      </c>
      <c r="L468" s="6">
        <f>HYPERLINK("https://fin.land.naver.com/articles/2653273866", "매물Link")</f>
        <v/>
      </c>
      <c r="M468" s="6">
        <f>HYPERLINK("https://map.naver.com/p/search/금남면 도남리 6-4", "지도Link")</f>
        <v/>
      </c>
      <c r="N468" s="6">
        <f>HYPERLINK("http://www.eum.go.kr/web/ar/lu/luLandDet.jsp?pnu=3611034046100060004&amp;isNoScr=script&amp;mode=search", "토지이음")</f>
        <v/>
      </c>
      <c r="O468" s="3" t="inlineStr">
        <is>
          <t>늘봄</t>
        </is>
      </c>
      <c r="P468" s="4" t="n">
        <v>1</v>
      </c>
      <c r="Q468" s="4" t="n">
        <v>493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금남면 도남리 82-1</t>
        </is>
      </c>
      <c r="B469" s="3" t="inlineStr">
        <is>
          <t>보전관리지역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46000</v>
      </c>
      <c r="G469" s="4" t="n">
        <v>662</v>
      </c>
      <c r="H469" s="4" t="n">
        <v>200</v>
      </c>
      <c r="I469" s="5" t="n">
        <v>230</v>
      </c>
      <c r="J469" s="5" t="n">
        <v>54.8</v>
      </c>
      <c r="K469" s="3" t="inlineStr">
        <is>
          <t>2차선도로변 토지</t>
        </is>
      </c>
      <c r="L469" s="6">
        <f>HYPERLINK("https://fin.land.naver.com/articles/2654445809", "매물Link")</f>
        <v/>
      </c>
      <c r="M469" s="6">
        <f>HYPERLINK("https://map.naver.com/p/search/금남면 도남리 82-1", "지도Link")</f>
        <v/>
      </c>
      <c r="N469" s="6">
        <f>HYPERLINK("http://www.eum.go.kr/web/ar/lu/luLandDet.jsp?pnu=3611034046100820001&amp;isNoScr=script&amp;mode=search", "토지이음")</f>
        <v/>
      </c>
      <c r="O469" s="3" t="inlineStr">
        <is>
          <t>the다올</t>
        </is>
      </c>
      <c r="P469" s="4" t="n">
        <v>2</v>
      </c>
      <c r="Q469" s="4" t="n">
        <v>662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금남면 도남리 84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46400</v>
      </c>
      <c r="G470" s="4" t="n">
        <v>1279</v>
      </c>
      <c r="H470" s="4" t="n">
        <v>387</v>
      </c>
      <c r="I470" s="5" t="n">
        <v>119.9</v>
      </c>
      <c r="J470" s="5" t="n">
        <v>61.9</v>
      </c>
      <c r="K470" s="3" t="inlineStr">
        <is>
          <t>금남면 도남리 2차선변 보전관리 토지, 금강수목원 인근, 불티교 통함</t>
        </is>
      </c>
      <c r="L470" s="6">
        <f>HYPERLINK("https://fin.land.naver.com/articles/2654021490", "매물Link")</f>
        <v/>
      </c>
      <c r="M470" s="6">
        <f>HYPERLINK("https://map.naver.com/p/search/금남면 도남리 84", "지도Link")</f>
        <v/>
      </c>
      <c r="N470" s="6">
        <f>HYPERLINK("http://www.eum.go.kr/web/ar/lu/luLandDet.jsp?pnu=3611034046100840000&amp;isNoScr=script&amp;mode=search", "토지이음")</f>
        <v/>
      </c>
      <c r="O470" s="3" t="inlineStr">
        <is>
          <t>스카이</t>
        </is>
      </c>
      <c r="P470" s="4" t="n">
        <v>1</v>
      </c>
      <c r="Q470" s="4" t="n">
        <v>1279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금남면 도남리 96-1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25000</v>
      </c>
      <c r="G471" s="4" t="n">
        <v>520</v>
      </c>
      <c r="H471" s="4" t="n">
        <v>157</v>
      </c>
      <c r="I471" s="5" t="n">
        <v>159.2</v>
      </c>
      <c r="J471" s="5" t="n">
        <v>86.2</v>
      </c>
      <c r="K471" s="3" t="inlineStr">
        <is>
          <t>금남면 도남리 계획관리 토지, 도로접, 농막 및 체류형 쉼터, 투자용</t>
        </is>
      </c>
      <c r="L471" s="6">
        <f>HYPERLINK("https://fin.land.naver.com/articles/2654021617", "매물Link")</f>
        <v/>
      </c>
      <c r="M471" s="6">
        <f>HYPERLINK("https://map.naver.com/p/search/금남면 도남리 96-1", "지도Link")</f>
        <v/>
      </c>
      <c r="N471" s="6">
        <f>HYPERLINK("http://www.eum.go.kr/web/ar/lu/luLandDet.jsp?pnu=3611034046100960001&amp;isNoScr=script&amp;mode=search", "토지이음")</f>
        <v/>
      </c>
      <c r="O471" s="3" t="inlineStr">
        <is>
          <t>스카이</t>
        </is>
      </c>
      <c r="P471" s="4" t="n">
        <v>1</v>
      </c>
      <c r="Q471" s="4" t="n">
        <v>520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산9-1</t>
        </is>
      </c>
      <c r="B472" s="3" t="inlineStr">
        <is>
          <t>보전관리지역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3100000</v>
      </c>
      <c r="G472" s="4" t="n">
        <v>50987</v>
      </c>
      <c r="H472" s="4" t="n">
        <v>15424</v>
      </c>
      <c r="I472" s="5" t="n">
        <v>201</v>
      </c>
      <c r="J472" s="5" t="n">
        <v>20.5</v>
      </c>
      <c r="K472" s="3" t="inlineStr">
        <is>
          <t>도남리 금강조망 나오는 타운하우스 개발용 토지매매</t>
        </is>
      </c>
      <c r="L472" s="6">
        <f>HYPERLINK("https://fin.land.naver.com/articles/2655176538", "매물Link")</f>
        <v/>
      </c>
      <c r="M472" s="6">
        <f>HYPERLINK("https://map.naver.com/p/search/금남면 도남리 산9-1", "지도Link")</f>
        <v/>
      </c>
      <c r="N472" s="6">
        <f>HYPERLINK("http://www.eum.go.kr/web/ar/lu/luLandDet.jsp?pnu=3611034046200090001&amp;isNoScr=script&amp;mode=search", "토지이음")</f>
        <v/>
      </c>
      <c r="O472" s="3" t="inlineStr">
        <is>
          <t>에이스</t>
        </is>
      </c>
      <c r="P472" s="4" t="n">
        <v>1</v>
      </c>
      <c r="Q472" s="4" t="n">
        <v>10500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도암리 101-2</t>
        </is>
      </c>
      <c r="B473" s="3" t="inlineStr">
        <is>
          <t>농림지역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300000</v>
      </c>
      <c r="G473" s="4" t="n">
        <v>2059</v>
      </c>
      <c r="H473" s="4" t="n">
        <v>623</v>
      </c>
      <c r="I473" s="5" t="n">
        <v>481.5</v>
      </c>
      <c r="J473" s="5" t="n">
        <v>53.5</v>
      </c>
      <c r="K473" s="3" t="inlineStr">
        <is>
          <t>도로연접한 귀한 가치가 있는 땅</t>
        </is>
      </c>
      <c r="L473" s="6">
        <f>HYPERLINK("https://fin.land.naver.com/articles/2650857286", "매물Link")</f>
        <v/>
      </c>
      <c r="M473" s="6">
        <f>HYPERLINK("https://map.naver.com/p/search/금남면 도암리 101-2", "지도Link")</f>
        <v/>
      </c>
      <c r="N473" s="6">
        <f>HYPERLINK("http://www.eum.go.kr/web/ar/lu/luLandDet.jsp?pnu=3611034039101010002&amp;isNoScr=script&amp;mode=search", "토지이음")</f>
        <v/>
      </c>
      <c r="O473" s="3" t="inlineStr">
        <is>
          <t>금돼지</t>
        </is>
      </c>
      <c r="P473" s="4" t="n">
        <v>1</v>
      </c>
      <c r="Q473" s="4" t="n">
        <v>2059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218</t>
        </is>
      </c>
      <c r="B474" s="3" t="inlineStr">
        <is>
          <t>생산관리지역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21000</v>
      </c>
      <c r="G474" s="4" t="n">
        <v>717</v>
      </c>
      <c r="H474" s="4" t="n">
        <v>217</v>
      </c>
      <c r="I474" s="5" t="n">
        <v>96.8</v>
      </c>
      <c r="J474" s="5" t="n">
        <v>71.8</v>
      </c>
      <c r="K474" s="3" t="inlineStr">
        <is>
          <t>마을앞 접근성 좋은 토지</t>
        </is>
      </c>
      <c r="L474" s="6">
        <f>HYPERLINK("https://fin.land.naver.com/articles/2653352226", "매물Link")</f>
        <v/>
      </c>
      <c r="M474" s="6">
        <f>HYPERLINK("https://map.naver.com/p/search/금남면 도암리 218", "지도Link")</f>
        <v/>
      </c>
      <c r="N474" s="6">
        <f>HYPERLINK("http://www.eum.go.kr/web/ar/lu/luLandDet.jsp?pnu=3611034039102180000&amp;isNoScr=script&amp;mode=search", "토지이음")</f>
        <v/>
      </c>
      <c r="O474" s="3" t="inlineStr">
        <is>
          <t>꽃피는산골  사무소</t>
        </is>
      </c>
      <c r="P474" s="4" t="n">
        <v>1</v>
      </c>
      <c r="Q474" s="4" t="n">
        <v>717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226-2</t>
        </is>
      </c>
      <c r="B475" s="3" t="inlineStr">
        <is>
          <t>생산관리지역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107000</v>
      </c>
      <c r="G475" s="4" t="n">
        <v>1770</v>
      </c>
      <c r="H475" s="4" t="n">
        <v>535</v>
      </c>
      <c r="I475" s="5" t="n">
        <v>200</v>
      </c>
      <c r="J475" s="5" t="n">
        <v>63.1</v>
      </c>
      <c r="K475" s="3" t="inlineStr">
        <is>
          <t>금남면 도암리 토지 전. 생산관리지역</t>
        </is>
      </c>
      <c r="L475" s="6">
        <f>HYPERLINK("https://fin.land.naver.com/articles/2655584647", "매물Link")</f>
        <v/>
      </c>
      <c r="M475" s="6">
        <f>HYPERLINK("https://map.naver.com/p/search/금남면 도암리 226-2", "지도Link")</f>
        <v/>
      </c>
      <c r="N475" s="6">
        <f>HYPERLINK("http://www.eum.go.kr/web/ar/lu/luLandDet.jsp?pnu=3611034039102260002&amp;isNoScr=script&amp;mode=search", "토지이음")</f>
        <v/>
      </c>
      <c r="O475" s="3" t="inlineStr">
        <is>
          <t>새롬삼둥이</t>
        </is>
      </c>
      <c r="P475" s="4" t="n">
        <v>1</v>
      </c>
      <c r="Q475" s="4" t="n">
        <v>1770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245-1</t>
        </is>
      </c>
      <c r="B476" s="3" t="inlineStr">
        <is>
          <t>생산관리지역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151000</v>
      </c>
      <c r="G476" s="4" t="n">
        <v>3444</v>
      </c>
      <c r="H476" s="4" t="n">
        <v>1042</v>
      </c>
      <c r="I476" s="5" t="n">
        <v>144.9</v>
      </c>
      <c r="J476" s="5" t="n">
        <v>66.59999999999999</v>
      </c>
      <c r="K476" s="3" t="inlineStr">
        <is>
          <t>급매 도암리 최저가 귀한매물</t>
        </is>
      </c>
      <c r="L476" s="6">
        <f>HYPERLINK("https://fin.land.naver.com/articles/2654857361", "매물Link")</f>
        <v/>
      </c>
      <c r="M476" s="6">
        <f>HYPERLINK("https://map.naver.com/p/search/금남면 도암리 245-1", "지도Link")</f>
        <v/>
      </c>
      <c r="N476" s="6">
        <f>HYPERLINK("http://www.eum.go.kr/web/ar/lu/luLandDet.jsp?pnu=3611034039102450001&amp;isNoScr=script&amp;mode=search",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1745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245-1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161400</v>
      </c>
      <c r="G477" s="4" t="n">
        <v>3444</v>
      </c>
      <c r="H477" s="4" t="n">
        <v>1042</v>
      </c>
      <c r="I477" s="5" t="n">
        <v>154.9</v>
      </c>
      <c r="J477" s="5" t="n">
        <v>66.59999999999999</v>
      </c>
      <c r="K477" s="3" t="inlineStr">
        <is>
          <t>도암리 마을회관앞 주위 단독주택 소재하는곳</t>
        </is>
      </c>
      <c r="L477" s="6">
        <f>HYPERLINK("https://fin.land.naver.com/articles/2651041749", "매물Link")</f>
        <v/>
      </c>
      <c r="M477" s="6">
        <f>HYPERLINK("https://map.naver.com/p/search/금남면 도암리 245-1", "지도Link")</f>
        <v/>
      </c>
      <c r="N477" s="6">
        <f>HYPERLINK("http://www.eum.go.kr/web/ar/lu/luLandDet.jsp?pnu=3611034039102450001&amp;isNoScr=script&amp;mode=search", "토지이음")</f>
        <v/>
      </c>
      <c r="O477" s="3" t="inlineStr">
        <is>
          <t>원내</t>
        </is>
      </c>
      <c r="P477" s="4" t="n">
        <v>1</v>
      </c>
      <c r="Q477" s="4" t="n">
        <v>1745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245-1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155000</v>
      </c>
      <c r="G478" s="4" t="n">
        <v>3444</v>
      </c>
      <c r="H478" s="4" t="n">
        <v>1042</v>
      </c>
      <c r="I478" s="5" t="n">
        <v>148.8</v>
      </c>
      <c r="J478" s="5" t="n">
        <v>66.59999999999999</v>
      </c>
      <c r="K478" s="3" t="inlineStr">
        <is>
          <t>세종 3생활권 인접 금남면 도암리 성장관리구역 토지</t>
        </is>
      </c>
      <c r="L478" s="6">
        <f>HYPERLINK("https://fin.land.naver.com/articles/2654605971", "매물Link")</f>
        <v/>
      </c>
      <c r="M478" s="6">
        <f>HYPERLINK("https://map.naver.com/p/search/금남면 도암리 245-1", "지도Link")</f>
        <v/>
      </c>
      <c r="N478" s="6">
        <f>HYPERLINK("http://www.eum.go.kr/web/ar/lu/luLandDet.jsp?pnu=3611034039102450001&amp;isNoScr=script&amp;mode=search", "토지이음")</f>
        <v/>
      </c>
      <c r="O478" s="3" t="inlineStr">
        <is>
          <t>미래</t>
        </is>
      </c>
      <c r="P478" s="4" t="n">
        <v>1</v>
      </c>
      <c r="Q478" s="4" t="n">
        <v>1745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275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35000</v>
      </c>
      <c r="G479" s="4" t="n">
        <v>566</v>
      </c>
      <c r="H479" s="4" t="n">
        <v>171</v>
      </c>
      <c r="I479" s="5" t="n">
        <v>204.7</v>
      </c>
      <c r="J479" s="5" t="n">
        <v>135.2</v>
      </c>
      <c r="K479" s="3" t="inlineStr">
        <is>
          <t>계획관리지역, 세종시 개발의 중심, KTX세종역 예정지 인접</t>
        </is>
      </c>
      <c r="L479" s="6">
        <f>HYPERLINK("https://fin.land.naver.com/articles/2654505675", "매물Link")</f>
        <v/>
      </c>
      <c r="M479" s="6">
        <f>HYPERLINK("https://map.naver.com/p/search/금남면 도암리 275", "지도Link")</f>
        <v/>
      </c>
      <c r="N479" s="6">
        <f>HYPERLINK("http://www.eum.go.kr/web/ar/lu/luLandDet.jsp?pnu=3611034039102750000&amp;isNoScr=script&amp;mode=search", "토지이음")</f>
        <v/>
      </c>
      <c r="O479" s="3" t="inlineStr">
        <is>
          <t>세종</t>
        </is>
      </c>
      <c r="P479" s="4" t="n">
        <v>1</v>
      </c>
      <c r="Q479" s="4" t="n">
        <v>566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353-10</t>
        </is>
      </c>
      <c r="B480" s="3" t="inlineStr">
        <is>
          <t>생산관리지역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25000</v>
      </c>
      <c r="G480" s="4" t="n">
        <v>1324</v>
      </c>
      <c r="H480" s="4" t="n">
        <v>401</v>
      </c>
      <c r="I480" s="5" t="n">
        <v>62.3</v>
      </c>
      <c r="J480" s="5" t="n">
        <v>62.3</v>
      </c>
      <c r="K480" s="3" t="inlineStr">
        <is>
          <t>성장관리계획구역내 저렴토지</t>
        </is>
      </c>
      <c r="L480" s="6">
        <f>HYPERLINK("https://fin.land.naver.com/articles/2653461765", "매물Link")</f>
        <v/>
      </c>
      <c r="M480" s="6">
        <f>HYPERLINK("https://map.naver.com/p/search/금남면 도암리 353-10", "지도Link")</f>
        <v/>
      </c>
      <c r="N480" s="6">
        <f>HYPERLINK("http://www.eum.go.kr/web/ar/lu/luLandDet.jsp?pnu=3611034039103530010&amp;isNoScr=script&amp;mode=search", "토지이음")</f>
        <v/>
      </c>
      <c r="O480" s="3" t="inlineStr">
        <is>
          <t>세종금밭</t>
        </is>
      </c>
      <c r="P480" s="4" t="n">
        <v>1</v>
      </c>
      <c r="Q480" s="4" t="n">
        <v>1324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도암리 353-4</t>
        </is>
      </c>
      <c r="B481" s="3" t="inlineStr">
        <is>
          <t>생산관리지역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200000</v>
      </c>
      <c r="G481" s="4" t="n">
        <v>5284</v>
      </c>
      <c r="H481" s="4" t="n">
        <v>1598</v>
      </c>
      <c r="I481" s="5" t="n">
        <v>125.2</v>
      </c>
      <c r="J481" s="5" t="n">
        <v>27.9</v>
      </c>
      <c r="K481" s="3" t="inlineStr">
        <is>
          <t>KTX세종역과 근접한 야산으로 생산관리지역 성장관리계획구역의 투자용 토지</t>
        </is>
      </c>
      <c r="L481" s="6">
        <f>HYPERLINK("https://fin.land.naver.com/articles/2653002374", "매물Link")</f>
        <v/>
      </c>
      <c r="M481" s="6">
        <f>HYPERLINK("https://map.naver.com/p/search/금남면 도암리 353-4", "지도Link")</f>
        <v/>
      </c>
      <c r="N481" s="6">
        <f>HYPERLINK("http://www.eum.go.kr/web/ar/lu/luLandDet.jsp?pnu=3611034039103530004&amp;isNoScr=script&amp;mode=search",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5284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518</t>
        </is>
      </c>
      <c r="B482" s="3" t="inlineStr">
        <is>
          <t>계획관리지역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120000</v>
      </c>
      <c r="G482" s="4" t="n">
        <v>3590</v>
      </c>
      <c r="H482" s="4" t="n">
        <v>1086</v>
      </c>
      <c r="I482" s="5" t="n">
        <v>110.5</v>
      </c>
      <c r="J482" s="5" t="n">
        <v>57.4</v>
      </c>
      <c r="K482" s="3" t="inlineStr">
        <is>
          <t>인기있는 도암리 토지 계획관리지역</t>
        </is>
      </c>
      <c r="L482" s="6">
        <f>HYPERLINK("https://fin.land.naver.com/articles/2651893606", "매물Link")</f>
        <v/>
      </c>
      <c r="M482" s="6">
        <f>HYPERLINK("https://map.naver.com/p/search/금남면 도암리 518", "지도Link")</f>
        <v/>
      </c>
      <c r="N482" s="6">
        <f>HYPERLINK("http://www.eum.go.kr/web/ar/lu/luLandDet.jsp?pnu=3611034039105180000&amp;isNoScr=script&amp;mode=search", "토지이음")</f>
        <v/>
      </c>
      <c r="O482" s="3" t="inlineStr">
        <is>
          <t>새롬삼둥이</t>
        </is>
      </c>
      <c r="P482" s="4" t="n">
        <v>1</v>
      </c>
      <c r="Q482" s="4" t="n">
        <v>3590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금남면 도암리 561</t>
        </is>
      </c>
      <c r="B483" s="3" t="inlineStr">
        <is>
          <t>보전관리지역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61000</v>
      </c>
      <c r="G483" s="4" t="n">
        <v>2357</v>
      </c>
      <c r="H483" s="4" t="n">
        <v>713</v>
      </c>
      <c r="I483" s="5" t="n">
        <v>85.59999999999999</v>
      </c>
      <c r="J483" s="5" t="n">
        <v>35.1</v>
      </c>
      <c r="K483" s="3" t="inlineStr">
        <is>
          <t>0매우 저렴0, 세종 10분, 대전 10분 거리의 인기 지역 토지</t>
        </is>
      </c>
      <c r="L483" s="6">
        <f>HYPERLINK("https://fin.land.naver.com/articles/2652082064", "매물Link")</f>
        <v/>
      </c>
      <c r="M483" s="6">
        <f>HYPERLINK("https://map.naver.com/p/search/금남면 도암리 561", "지도Link")</f>
        <v/>
      </c>
      <c r="N483" s="6">
        <f>HYPERLINK("http://www.eum.go.kr/web/ar/lu/luLandDet.jsp?pnu=3611034039105610000&amp;isNoScr=script&amp;mode=search", "토지이음")</f>
        <v/>
      </c>
      <c r="O483" s="3" t="inlineStr">
        <is>
          <t>허브</t>
        </is>
      </c>
      <c r="P483" s="4" t="n">
        <v>1</v>
      </c>
      <c r="Q483" s="4" t="n">
        <v>2357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602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65000</v>
      </c>
      <c r="G484" s="4" t="n">
        <v>1719</v>
      </c>
      <c r="H484" s="4" t="n">
        <v>520</v>
      </c>
      <c r="I484" s="5" t="n">
        <v>125</v>
      </c>
      <c r="J484" s="5" t="n">
        <v>52.1</v>
      </c>
      <c r="K484" s="3" t="inlineStr">
        <is>
          <t>도로 접근성이 우수한 토지로 이용가치가 다양한 토지임</t>
        </is>
      </c>
      <c r="L484" s="6">
        <f>HYPERLINK("https://fin.land.naver.com/articles/2651091837", "매물Link")</f>
        <v/>
      </c>
      <c r="M484" s="6">
        <f>HYPERLINK("https://map.naver.com/p/search/금남면 도암리 602", "지도Link")</f>
        <v/>
      </c>
      <c r="N484" s="6">
        <f>HYPERLINK("http://www.eum.go.kr/web/ar/lu/luLandDet.jsp?pnu=3611034039106020000&amp;isNoScr=script&amp;mode=search", "토지이음")</f>
        <v/>
      </c>
      <c r="O484" s="3" t="inlineStr">
        <is>
          <t>태평양</t>
        </is>
      </c>
      <c r="P484" s="4" t="n">
        <v>1</v>
      </c>
      <c r="Q484" s="4" t="n">
        <v>1719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금남면 도암리 610-3</t>
        </is>
      </c>
      <c r="B485" s="3" t="inlineStr">
        <is>
          <t>생산관리지역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11000</v>
      </c>
      <c r="G485" s="4" t="n">
        <v>585</v>
      </c>
      <c r="H485" s="4" t="n">
        <v>177</v>
      </c>
      <c r="I485" s="5" t="n">
        <v>62.1</v>
      </c>
      <c r="J485" s="5" t="n">
        <v>53.7</v>
      </c>
      <c r="K485" s="3" t="inlineStr">
        <is>
          <t>도암리 생산관리지역 지목이 전으로 2필지 급매.</t>
        </is>
      </c>
      <c r="L485" s="6">
        <f>HYPERLINK("https://fin.land.naver.com/articles/2652535872", "매물Link")</f>
        <v/>
      </c>
      <c r="M485" s="6">
        <f>HYPERLINK("https://map.naver.com/p/search/금남면 도암리 610-3", "지도Link")</f>
        <v/>
      </c>
      <c r="N485" s="6">
        <f>HYPERLINK("http://www.eum.go.kr/web/ar/lu/luLandDet.jsp?pnu=3611034039106100003&amp;isNoScr=script&amp;mode=search", "토지이음")</f>
        <v/>
      </c>
      <c r="O485" s="3" t="inlineStr">
        <is>
          <t>세종대장</t>
        </is>
      </c>
      <c r="P485" s="4" t="n">
        <v>1</v>
      </c>
      <c r="Q485" s="4" t="n">
        <v>407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도암리 94</t>
        </is>
      </c>
      <c r="B486" s="3" t="inlineStr">
        <is>
          <t>농림지역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133500</v>
      </c>
      <c r="G486" s="4" t="n">
        <v>2942</v>
      </c>
      <c r="H486" s="4" t="n">
        <v>890</v>
      </c>
      <c r="I486" s="5" t="n">
        <v>150</v>
      </c>
      <c r="J486" s="5" t="n">
        <v>53</v>
      </c>
      <c r="K486" s="3" t="inlineStr">
        <is>
          <t>nan</t>
        </is>
      </c>
      <c r="L486" s="6">
        <f>HYPERLINK("https://fin.land.naver.com/articles/2650695657", "매물Link")</f>
        <v/>
      </c>
      <c r="M486" s="6">
        <f>HYPERLINK("https://map.naver.com/p/search/금남면 도암리 94", "지도Link")</f>
        <v/>
      </c>
      <c r="N486" s="6">
        <f>HYPERLINK("http://www.eum.go.kr/web/ar/lu/luLandDet.jsp?pnu=3611034039100940000&amp;isNoScr=script&amp;mode=search", "토지이음")</f>
        <v/>
      </c>
      <c r="O486" s="3" t="inlineStr">
        <is>
          <t>오송역그랜드</t>
        </is>
      </c>
      <c r="P486" s="4" t="n">
        <v>1</v>
      </c>
      <c r="Q486" s="4" t="n">
        <v>2942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124-1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100000</v>
      </c>
      <c r="G487" s="4" t="n">
        <v>2388</v>
      </c>
      <c r="H487" s="4" t="n">
        <v>722</v>
      </c>
      <c r="I487" s="5" t="n">
        <v>138.5</v>
      </c>
      <c r="J487" s="5" t="n">
        <v>57.9</v>
      </c>
      <c r="K487" s="3" t="inlineStr">
        <is>
          <t>남세종IC 인접, 세종시청 10분권의 평탄한 전원형 농지</t>
        </is>
      </c>
      <c r="L487" s="6">
        <f>HYPERLINK("https://fin.land.naver.com/articles/2655042218", "매물Link")</f>
        <v/>
      </c>
      <c r="M487" s="6">
        <f>HYPERLINK("https://map.naver.com/p/search/금남면 두만리 124-1", "지도Link")</f>
        <v/>
      </c>
      <c r="N487" s="6">
        <f>HYPERLINK("http://www.eum.go.kr/web/ar/lu/luLandDet.jsp?pnu=3611034024101240001&amp;isNoScr=script&amp;mode=search", "토지이음")</f>
        <v/>
      </c>
      <c r="O487" s="3" t="inlineStr">
        <is>
          <t>세종소담황금</t>
        </is>
      </c>
      <c r="P487" s="4" t="n">
        <v>1</v>
      </c>
      <c r="Q487" s="4" t="n">
        <v>2388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세로각지(가)</t>
        </is>
      </c>
    </row>
    <row r="488">
      <c r="A488" s="3" t="inlineStr">
        <is>
          <t>금남면 두만리 148</t>
        </is>
      </c>
      <c r="B488" s="3" t="inlineStr">
        <is>
          <t>개발제한구역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44500</v>
      </c>
      <c r="G488" s="4" t="n">
        <v>1963</v>
      </c>
      <c r="H488" s="4" t="n">
        <v>594</v>
      </c>
      <c r="I488" s="5" t="n">
        <v>74.90000000000001</v>
      </c>
      <c r="J488" s="5" t="n">
        <v>40.3</v>
      </c>
      <c r="K488" s="3" t="inlineStr">
        <is>
          <t>nan</t>
        </is>
      </c>
      <c r="L488" s="6">
        <f>HYPERLINK("https://fin.land.naver.com/articles/2651423040", "매물Link")</f>
        <v/>
      </c>
      <c r="M488" s="6">
        <f>HYPERLINK("https://map.naver.com/p/search/금남면 두만리 148", "지도Link")</f>
        <v/>
      </c>
      <c r="N488" s="6">
        <f>HYPERLINK("http://www.eum.go.kr/web/ar/lu/luLandDet.jsp?pnu=3611034024101480000&amp;isNoScr=script&amp;mode=search",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1451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182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33600</v>
      </c>
      <c r="G489" s="4" t="n">
        <v>1388</v>
      </c>
      <c r="H489" s="4" t="n">
        <v>420</v>
      </c>
      <c r="I489" s="5" t="n">
        <v>80</v>
      </c>
      <c r="J489" s="5" t="n">
        <v>34.1</v>
      </c>
      <c r="K489" s="3" t="inlineStr">
        <is>
          <t>대전 세종 중간지점 금남면 토지</t>
        </is>
      </c>
      <c r="L489" s="6">
        <f>HYPERLINK("https://fin.land.naver.com/articles/2651784185", "매물Link")</f>
        <v/>
      </c>
      <c r="M489" s="6">
        <f>HYPERLINK("https://map.naver.com/p/search/금남면 두만리 182", "지도Link")</f>
        <v/>
      </c>
      <c r="N489" s="6">
        <f>HYPERLINK("http://www.eum.go.kr/web/ar/lu/luLandDet.jsp?pnu=3611034024101820000&amp;isNoScr=script&amp;mode=search", "토지이음")</f>
        <v/>
      </c>
      <c r="O489" s="3" t="inlineStr">
        <is>
          <t>반석원무소</t>
        </is>
      </c>
      <c r="P489" s="4" t="n">
        <v>1</v>
      </c>
      <c r="Q489" s="4" t="n">
        <v>1388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273-1</t>
        </is>
      </c>
      <c r="B490" s="3" t="inlineStr">
        <is>
          <t>개발제한구역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112000</v>
      </c>
      <c r="G490" s="4" t="n">
        <v>9039</v>
      </c>
      <c r="H490" s="4" t="n">
        <v>2734</v>
      </c>
      <c r="I490" s="5" t="n">
        <v>41</v>
      </c>
      <c r="J490" s="5" t="n">
        <v>3.7</v>
      </c>
      <c r="K490" s="3" t="inlineStr">
        <is>
          <t>전과 임야로 구성된 토지. 1번국도로 바로 진입되는 위치</t>
        </is>
      </c>
      <c r="L490" s="6">
        <f>HYPERLINK("https://fin.land.naver.com/articles/2652033255", "매물Link")</f>
        <v/>
      </c>
      <c r="M490" s="6">
        <f>HYPERLINK("https://map.naver.com/p/search/금남면 두만리 273-1", "지도Link")</f>
        <v/>
      </c>
      <c r="N490" s="6">
        <f>HYPERLINK("http://www.eum.go.kr/web/ar/lu/luLandDet.jsp?pnu=3611034024102730001&amp;isNoScr=script&amp;mode=search", "토지이음")</f>
        <v/>
      </c>
      <c r="O490" s="3" t="inlineStr">
        <is>
          <t>미스터홈즈강남지사</t>
        </is>
      </c>
      <c r="P490" s="4" t="n">
        <v>1</v>
      </c>
      <c r="Q490" s="4" t="n">
        <v>5396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308-4</t>
        </is>
      </c>
      <c r="B491" s="3" t="inlineStr">
        <is>
          <t>생산관리지역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160000</v>
      </c>
      <c r="G491" s="4" t="n">
        <v>4090</v>
      </c>
      <c r="H491" s="4" t="n">
        <v>1237</v>
      </c>
      <c r="I491" s="5" t="n">
        <v>129.3</v>
      </c>
      <c r="J491" s="5" t="n">
        <v>95.3</v>
      </c>
      <c r="K491" s="3" t="inlineStr">
        <is>
          <t>남세종TG와 가까운 토지매매</t>
        </is>
      </c>
      <c r="L491" s="6">
        <f>HYPERLINK("https://fin.land.naver.com/articles/2653215020", "매물Link")</f>
        <v/>
      </c>
      <c r="M491" s="6">
        <f>HYPERLINK("https://map.naver.com/p/search/금남면 두만리 308-4", "지도Link")</f>
        <v/>
      </c>
      <c r="N491" s="6">
        <f>HYPERLINK("http://www.eum.go.kr/web/ar/lu/luLandDet.jsp?pnu=3611034024103080004&amp;isNoScr=script&amp;mode=search", "토지이음")</f>
        <v/>
      </c>
      <c r="O491" s="3" t="inlineStr">
        <is>
          <t>비전</t>
        </is>
      </c>
      <c r="P491" s="4" t="n">
        <v>1</v>
      </c>
      <c r="Q491" s="4" t="n">
        <v>1855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소로각지</t>
        </is>
      </c>
    </row>
    <row r="492">
      <c r="A492" s="3" t="inlineStr">
        <is>
          <t>금남면 두만리 308-6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250000</v>
      </c>
      <c r="G492" s="4" t="n">
        <v>1694</v>
      </c>
      <c r="H492" s="4" t="n">
        <v>512</v>
      </c>
      <c r="I492" s="5" t="n">
        <v>488.3</v>
      </c>
      <c r="J492" s="5" t="n">
        <v>173</v>
      </c>
      <c r="K492" s="3" t="inlineStr">
        <is>
          <t>세종시내 근접한 창고  및  공장  등  적극 추찬</t>
        </is>
      </c>
      <c r="L492" s="6">
        <f>HYPERLINK("https://fin.land.naver.com/articles/2654646720", "매물Link")</f>
        <v/>
      </c>
      <c r="M492" s="6">
        <f>HYPERLINK("https://map.naver.com/p/search/금남면 두만리 308-6", "지도Link")</f>
        <v/>
      </c>
      <c r="N492" s="6">
        <f>HYPERLINK("http://www.eum.go.kr/web/ar/lu/luLandDet.jsp?pnu=3611034024103080006&amp;isNoScr=script&amp;mode=search", "토지이음")</f>
        <v/>
      </c>
      <c r="O492" s="3" t="inlineStr">
        <is>
          <t>태양</t>
        </is>
      </c>
      <c r="P492" s="4" t="n">
        <v>1</v>
      </c>
      <c r="Q492" s="4" t="n">
        <v>381</v>
      </c>
      <c r="R492" s="3" t="inlineStr">
        <is>
          <t>지정되지않음</t>
        </is>
      </c>
      <c r="S492" s="3" t="inlineStr">
        <is>
          <t>업무용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소로각지</t>
        </is>
      </c>
    </row>
    <row r="493">
      <c r="A493" s="3" t="inlineStr">
        <is>
          <t>금남면 두만리 335-5</t>
        </is>
      </c>
      <c r="B493" s="3" t="inlineStr">
        <is>
          <t>제1종일반주거지역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160000</v>
      </c>
      <c r="G493" s="4" t="n">
        <v>1779</v>
      </c>
      <c r="H493" s="4" t="n">
        <v>538</v>
      </c>
      <c r="I493" s="5" t="n">
        <v>297.4</v>
      </c>
      <c r="J493" s="5" t="n">
        <v>168.5</v>
      </c>
      <c r="K493" s="3" t="inlineStr">
        <is>
          <t>급매,협의절충,지목이 대로 1종일반주거지역이며 바로건축가능,주위인프라 굿</t>
        </is>
      </c>
      <c r="L493" s="6">
        <f>HYPERLINK("https://fin.land.naver.com/articles/2654099213", "매물Link")</f>
        <v/>
      </c>
      <c r="M493" s="6">
        <f>HYPERLINK("https://map.naver.com/p/search/금남면 두만리 335-5", "지도Link")</f>
        <v/>
      </c>
      <c r="N493" s="6">
        <f>HYPERLINK("http://www.eum.go.kr/web/ar/lu/luLandDet.jsp?pnu=3611034024103350005&amp;isNoScr=script&amp;mode=search", "토지이음")</f>
        <v/>
      </c>
      <c r="O493" s="3" t="inlineStr">
        <is>
          <t>세종한울</t>
        </is>
      </c>
      <c r="P493" s="4" t="n">
        <v>1</v>
      </c>
      <c r="Q493" s="4" t="n">
        <v>1779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두만리 353-2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42000</v>
      </c>
      <c r="G494" s="4" t="n">
        <v>397</v>
      </c>
      <c r="H494" s="4" t="n">
        <v>120</v>
      </c>
      <c r="I494" s="5" t="n">
        <v>350</v>
      </c>
      <c r="J494" s="5" t="n">
        <v>152.1</v>
      </c>
      <c r="K494" s="3" t="inlineStr">
        <is>
          <t>대지</t>
        </is>
      </c>
      <c r="L494" s="6">
        <f>HYPERLINK("https://fin.land.naver.com/articles/2653390182", "매물Link")</f>
        <v/>
      </c>
      <c r="M494" s="6">
        <f>HYPERLINK("https://map.naver.com/p/search/금남면 두만리 353-2", "지도Link")</f>
        <v/>
      </c>
      <c r="N494" s="6">
        <f>HYPERLINK("http://www.eum.go.kr/web/ar/lu/luLandDet.jsp?pnu=3611034024103530002&amp;isNoScr=script&amp;mode=search", "토지이음")</f>
        <v/>
      </c>
      <c r="O494" s="3" t="inlineStr">
        <is>
          <t>다산</t>
        </is>
      </c>
      <c r="P494" s="4" t="n">
        <v>1</v>
      </c>
      <c r="Q494" s="4" t="n">
        <v>397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세로각지(가)</t>
        </is>
      </c>
    </row>
    <row r="495">
      <c r="A495" s="3" t="inlineStr">
        <is>
          <t>금남면 두만리 355-2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292</v>
      </c>
      <c r="H495" s="4" t="n">
        <v>88</v>
      </c>
      <c r="I495" s="5" t="n">
        <v>397.7</v>
      </c>
      <c r="J495" s="5" t="n">
        <v>152.5</v>
      </c>
      <c r="K495" s="3" t="inlineStr">
        <is>
          <t>대전 인접으로 향후 주변 산업단지, 지하철 및 KTX세종역 등 호재가 은</t>
        </is>
      </c>
      <c r="L495" s="6">
        <f>HYPERLINK("https://fin.land.naver.com/articles/2654996313", "매물Link")</f>
        <v/>
      </c>
      <c r="M495" s="6">
        <f>HYPERLINK("https://map.naver.com/p/search/금남면 두만리 355-2", "지도Link")</f>
        <v/>
      </c>
      <c r="N495" s="6">
        <f>HYPERLINK("http://www.eum.go.kr/web/ar/lu/luLandDet.jsp?pnu=3611034024103550002&amp;isNoScr=script&amp;mode=search", "토지이음")</f>
        <v/>
      </c>
      <c r="O495" s="3" t="inlineStr">
        <is>
          <t>이선희</t>
        </is>
      </c>
      <c r="P495" s="4" t="n">
        <v>1</v>
      </c>
      <c r="Q495" s="4" t="n">
        <v>292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금남면 두만리 373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93000</v>
      </c>
      <c r="G496" s="4" t="n">
        <v>1051</v>
      </c>
      <c r="H496" s="4" t="n">
        <v>318</v>
      </c>
      <c r="I496" s="5" t="n">
        <v>292.5</v>
      </c>
      <c r="J496" s="5" t="n">
        <v>117.8</v>
      </c>
      <c r="K496" s="3" t="inlineStr">
        <is>
          <t>세종 금남면 주거지역 토지</t>
        </is>
      </c>
      <c r="L496" s="6">
        <f>HYPERLINK("https://fin.land.naver.com/articles/2655616202", "매물Link")</f>
        <v/>
      </c>
      <c r="M496" s="6">
        <f>HYPERLINK("https://map.naver.com/p/search/금남면 두만리 373", "지도Link")</f>
        <v/>
      </c>
      <c r="N496" s="6">
        <f>HYPERLINK("http://www.eum.go.kr/web/ar/lu/luLandDet.jsp?pnu=3611034024103730000&amp;isNoScr=script&amp;mode=search", "토지이음")</f>
        <v/>
      </c>
      <c r="O496" s="3" t="inlineStr">
        <is>
          <t>세종몽땅</t>
        </is>
      </c>
      <c r="P496" s="4" t="n">
        <v>1</v>
      </c>
      <c r="Q496" s="4" t="n">
        <v>1051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두만리 373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93000</v>
      </c>
      <c r="G497" s="4" t="n">
        <v>1050</v>
      </c>
      <c r="H497" s="4" t="n">
        <v>318</v>
      </c>
      <c r="I497" s="5" t="n">
        <v>292.5</v>
      </c>
      <c r="J497" s="5" t="n">
        <v>117.8</v>
      </c>
      <c r="K497" s="3" t="inlineStr">
        <is>
          <t>nan</t>
        </is>
      </c>
      <c r="L497" s="6">
        <f>HYPERLINK("https://fin.land.naver.com/articles/2650740163", "매물Link")</f>
        <v/>
      </c>
      <c r="M497" s="6">
        <f>HYPERLINK("https://map.naver.com/p/search/금남면 두만리 373", "지도Link")</f>
        <v/>
      </c>
      <c r="N497" s="6">
        <f>HYPERLINK("http://www.eum.go.kr/web/ar/lu/luLandDet.jsp?pnu=3611034024103730000&amp;isNoScr=script&amp;mode=search", "토지이음")</f>
        <v/>
      </c>
      <c r="O497" s="3" t="inlineStr">
        <is>
          <t>성실</t>
        </is>
      </c>
      <c r="P497" s="4" t="n">
        <v>2</v>
      </c>
      <c r="Q497" s="4" t="n">
        <v>1051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남세종ic 인근으로 유성안산첨단산업단지 인근 저렴힌 주거지역</t>
        </is>
      </c>
      <c r="L498" s="6">
        <f>HYPERLINK("https://fin.land.naver.com/articles/2651435292",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황소플러스</t>
        </is>
      </c>
      <c r="P498" s="4" t="n">
        <v>3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437-6</t>
        </is>
      </c>
      <c r="B499" s="3" t="inlineStr">
        <is>
          <t>보전관리지역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850000</v>
      </c>
      <c r="G499" s="4" t="n">
        <v>9064</v>
      </c>
      <c r="H499" s="4" t="n">
        <v>2742</v>
      </c>
      <c r="I499" s="5" t="n">
        <v>310</v>
      </c>
      <c r="J499" s="5" t="n">
        <v>62.5</v>
      </c>
      <c r="K499" s="3" t="inlineStr">
        <is>
          <t>세종시 금남면 대형토지 상세글 읽어주세요</t>
        </is>
      </c>
      <c r="L499" s="6">
        <f>HYPERLINK("https://fin.land.naver.com/articles/2654177700", "매물Link")</f>
        <v/>
      </c>
      <c r="M499" s="6">
        <f>HYPERLINK("https://map.naver.com/p/search/금남면 두만리 437-6", "지도Link")</f>
        <v/>
      </c>
      <c r="N499" s="6">
        <f>HYPERLINK("http://www.eum.go.kr/web/ar/lu/luLandDet.jsp?pnu=3611034024104370006&amp;isNoScr=script&amp;mode=search", "토지이음")</f>
        <v/>
      </c>
      <c r="O499" s="3" t="inlineStr">
        <is>
          <t>대전신화</t>
        </is>
      </c>
      <c r="P499" s="4" t="n">
        <v>1</v>
      </c>
      <c r="Q499" s="4" t="n">
        <v>5834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448-8</t>
        </is>
      </c>
      <c r="B500" s="3" t="inlineStr">
        <is>
          <t>농림지역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46280</v>
      </c>
      <c r="G500" s="4" t="n">
        <v>1275</v>
      </c>
      <c r="H500" s="4" t="n">
        <v>386</v>
      </c>
      <c r="I500" s="5" t="n">
        <v>119.9</v>
      </c>
      <c r="J500" s="5" t="n">
        <v>55.6</v>
      </c>
      <c r="K500" s="3" t="inlineStr">
        <is>
          <t>대로에 접한 답으로 농업 진흥 구역에 속한 투자물건</t>
        </is>
      </c>
      <c r="L500" s="6">
        <f>HYPERLINK("https://fin.land.naver.com/articles/2653874297", "매물Link")</f>
        <v/>
      </c>
      <c r="M500" s="6">
        <f>HYPERLINK("https://map.naver.com/p/search/금남면 두만리 448-8", "지도Link")</f>
        <v/>
      </c>
      <c r="N500" s="6">
        <f>HYPERLINK("http://www.eum.go.kr/web/ar/lu/luLandDet.jsp?pnu=3611034024104480008&amp;isNoScr=script&amp;mode=search", "토지이음")</f>
        <v/>
      </c>
      <c r="O500" s="3" t="inlineStr">
        <is>
          <t>우림</t>
        </is>
      </c>
      <c r="P500" s="4" t="n">
        <v>1</v>
      </c>
      <c r="Q500" s="4" t="n">
        <v>1275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금남면 두만리 484</t>
        </is>
      </c>
      <c r="B501" s="3" t="inlineStr">
        <is>
          <t>농림지역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27000</v>
      </c>
      <c r="G501" s="4" t="n">
        <v>1769</v>
      </c>
      <c r="H501" s="4" t="n">
        <v>535</v>
      </c>
      <c r="I501" s="5" t="n">
        <v>50.5</v>
      </c>
      <c r="J501" s="5" t="n">
        <v>47.8</v>
      </c>
      <c r="K501" s="3" t="inlineStr">
        <is>
          <t>세종시 남세종 IC인근 진입로 좋은 토지 매매</t>
        </is>
      </c>
      <c r="L501" s="6">
        <f>HYPERLINK("https://fin.land.naver.com/articles/2653297264", "매물Link")</f>
        <v/>
      </c>
      <c r="M501" s="6">
        <f>HYPERLINK("https://map.naver.com/p/search/금남면 두만리 484", "지도Link")</f>
        <v/>
      </c>
      <c r="N501" s="6">
        <f>HYPERLINK("http://www.eum.go.kr/web/ar/lu/luLandDet.jsp?pnu=3611034024104840000&amp;isNoScr=script&amp;mode=search", "토지이음")</f>
        <v/>
      </c>
      <c r="O501" s="3" t="inlineStr">
        <is>
          <t>갤러리</t>
        </is>
      </c>
      <c r="P501" s="4" t="n">
        <v>1</v>
      </c>
      <c r="Q501" s="4" t="n">
        <v>1769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금남면 두만리 484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32000</v>
      </c>
      <c r="G502" s="4" t="n">
        <v>1769</v>
      </c>
      <c r="H502" s="4" t="n">
        <v>535</v>
      </c>
      <c r="I502" s="5" t="n">
        <v>59.8</v>
      </c>
      <c r="J502" s="5" t="n">
        <v>47.8</v>
      </c>
      <c r="K502" s="3" t="inlineStr">
        <is>
          <t>급매.세종시 동지역과 가까운 주변시세보다 저렴한 토지</t>
        </is>
      </c>
      <c r="L502" s="6">
        <f>HYPERLINK("https://fin.land.naver.com/articles/2652586682", "매물Link")</f>
        <v/>
      </c>
      <c r="M502" s="6">
        <f>HYPERLINK("https://map.naver.com/p/search/금남면 두만리 484", "지도Link")</f>
        <v/>
      </c>
      <c r="N502" s="6">
        <f>HYPERLINK("http://www.eum.go.kr/web/ar/lu/luLandDet.jsp?pnu=3611034024104840000&amp;isNoScr=script&amp;mode=search", "토지이음")</f>
        <v/>
      </c>
      <c r="O502" s="3" t="inlineStr">
        <is>
          <t>킹</t>
        </is>
      </c>
      <c r="P502" s="4" t="n">
        <v>2</v>
      </c>
      <c r="Q502" s="4" t="n">
        <v>1769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32000</v>
      </c>
      <c r="G503" s="4" t="n">
        <v>1769</v>
      </c>
      <c r="H503" s="4" t="n">
        <v>535</v>
      </c>
      <c r="I503" s="5" t="n">
        <v>59.8</v>
      </c>
      <c r="J503" s="5" t="n">
        <v>47.8</v>
      </c>
      <c r="K503" s="3" t="inlineStr">
        <is>
          <t>답으로 도심과 가까운 토지 가격조정가능</t>
        </is>
      </c>
      <c r="L503" s="6">
        <f>HYPERLINK("https://fin.land.naver.com/articles/2653644476",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고운동리치세종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551-6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35000</v>
      </c>
      <c r="G504" s="4" t="n">
        <v>1253</v>
      </c>
      <c r="H504" s="4" t="n">
        <v>379</v>
      </c>
      <c r="I504" s="5" t="n">
        <v>92.3</v>
      </c>
      <c r="J504" s="5" t="n">
        <v>40.5</v>
      </c>
      <c r="K504" s="3" t="inlineStr">
        <is>
          <t>포장 도로접합 지하수 설치 개발제한구역  토지거래허가구역</t>
        </is>
      </c>
      <c r="L504" s="6">
        <f>HYPERLINK("https://fin.land.naver.com/articles/2654276783", "매물Link")</f>
        <v/>
      </c>
      <c r="M504" s="6">
        <f>HYPERLINK("https://map.naver.com/p/search/금남면 두만리 551-6", "지도Link")</f>
        <v/>
      </c>
      <c r="N504" s="6">
        <f>HYPERLINK("http://www.eum.go.kr/web/ar/lu/luLandDet.jsp?pnu=3611034024105510006&amp;isNoScr=script&amp;mode=search", "토지이음")</f>
        <v/>
      </c>
      <c r="O504" s="3" t="inlineStr">
        <is>
          <t>예예</t>
        </is>
      </c>
      <c r="P504" s="4" t="n">
        <v>1</v>
      </c>
      <c r="Q504" s="4" t="n">
        <v>1253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금남면 두만리 75</t>
        </is>
      </c>
      <c r="B505" s="3" t="inlineStr">
        <is>
          <t>개발제한구역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43000</v>
      </c>
      <c r="G505" s="4" t="n">
        <v>1693</v>
      </c>
      <c r="H505" s="4" t="n">
        <v>512</v>
      </c>
      <c r="I505" s="5" t="n">
        <v>84</v>
      </c>
      <c r="J505" s="5" t="n">
        <v>48</v>
      </c>
      <c r="K505" s="3" t="inlineStr">
        <is>
          <t>대로변 마을입구</t>
        </is>
      </c>
      <c r="L505" s="6">
        <f>HYPERLINK("https://fin.land.naver.com/articles/2650884713", "매물Link")</f>
        <v/>
      </c>
      <c r="M505" s="6">
        <f>HYPERLINK("https://map.naver.com/p/search/금남면 두만리 75", "지도Link")</f>
        <v/>
      </c>
      <c r="N505" s="6">
        <f>HYPERLINK("http://www.eum.go.kr/web/ar/lu/luLandDet.jsp?pnu=3611034024100750000&amp;isNoScr=script&amp;mode=search", "토지이음")</f>
        <v/>
      </c>
      <c r="O505" s="3" t="inlineStr">
        <is>
          <t>으뜸</t>
        </is>
      </c>
      <c r="P505" s="4" t="n">
        <v>1</v>
      </c>
      <c r="Q505" s="4" t="n">
        <v>1693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81-4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19000</v>
      </c>
      <c r="G506" s="4" t="n">
        <v>1183</v>
      </c>
      <c r="H506" s="4" t="n">
        <v>358</v>
      </c>
      <c r="I506" s="5" t="n">
        <v>53.1</v>
      </c>
      <c r="J506" s="5" t="n">
        <v>39.8</v>
      </c>
      <c r="K506" s="3" t="inlineStr">
        <is>
          <t>세종시에서 저렴한 토지입니다.</t>
        </is>
      </c>
      <c r="L506" s="6">
        <f>HYPERLINK("https://fin.land.naver.com/articles/2653963853", "매물Link")</f>
        <v/>
      </c>
      <c r="M506" s="6">
        <f>HYPERLINK("https://map.naver.com/p/search/금남면 두만리 81-4", "지도Link")</f>
        <v/>
      </c>
      <c r="N506" s="6">
        <f>HYPERLINK("http://www.eum.go.kr/web/ar/lu/luLandDet.jsp?pnu=3611034024100810004&amp;isNoScr=script&amp;mode=search", "토지이음")</f>
        <v/>
      </c>
      <c r="O506" s="3" t="inlineStr">
        <is>
          <t>골드</t>
        </is>
      </c>
      <c r="P506" s="4" t="n">
        <v>1</v>
      </c>
      <c r="Q506" s="4" t="n">
        <v>1183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금남면 두만리 81-4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19000</v>
      </c>
      <c r="G507" s="4" t="n">
        <v>1183</v>
      </c>
      <c r="H507" s="4" t="n">
        <v>358</v>
      </c>
      <c r="I507" s="5" t="n">
        <v>53.1</v>
      </c>
      <c r="J507" s="5" t="n">
        <v>39.8</v>
      </c>
      <c r="K507" s="3" t="inlineStr">
        <is>
          <t>저렴한토지,농지원부가능</t>
        </is>
      </c>
      <c r="L507" s="6">
        <f>HYPERLINK("https://fin.land.naver.com/articles/2653415813", "매물Link")</f>
        <v/>
      </c>
      <c r="M507" s="6">
        <f>HYPERLINK("https://map.naver.com/p/search/금남면 두만리 81-4", "지도Link")</f>
        <v/>
      </c>
      <c r="N507" s="6">
        <f>HYPERLINK("http://www.eum.go.kr/web/ar/lu/luLandDet.jsp?pnu=3611034024100810004&amp;isNoScr=script&amp;mode=search", "토지이음")</f>
        <v/>
      </c>
      <c r="O507" s="3" t="inlineStr">
        <is>
          <t>두진</t>
        </is>
      </c>
      <c r="P507" s="4" t="n">
        <v>1</v>
      </c>
      <c r="Q507" s="4" t="n">
        <v>1183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박산리 154-30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34000</v>
      </c>
      <c r="G508" s="4" t="n">
        <v>1474</v>
      </c>
      <c r="H508" s="4" t="n">
        <v>446</v>
      </c>
      <c r="I508" s="5" t="n">
        <v>76.2</v>
      </c>
      <c r="J508" s="5" t="n">
        <v>41.6</v>
      </c>
      <c r="K508" s="3" t="inlineStr">
        <is>
          <t>위치좋은 농지</t>
        </is>
      </c>
      <c r="L508" s="6">
        <f>HYPERLINK("https://fin.land.naver.com/articles/2655462858", "매물Link")</f>
        <v/>
      </c>
      <c r="M508" s="6">
        <f>HYPERLINK("https://map.naver.com/p/search/금남면 박산리 154-30", "지도Link")</f>
        <v/>
      </c>
      <c r="N508" s="6">
        <f>HYPERLINK("http://www.eum.go.kr/web/ar/lu/luLandDet.jsp?pnu=3611034033101540030&amp;isNoScr=script&amp;mode=search", "토지이음")</f>
        <v/>
      </c>
      <c r="O508" s="3" t="inlineStr">
        <is>
          <t>샘터아이파크시티</t>
        </is>
      </c>
      <c r="P508" s="4" t="n">
        <v>1</v>
      </c>
      <c r="Q508" s="4" t="n">
        <v>1474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금남면 박산리 154-5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58950</v>
      </c>
      <c r="G509" s="4" t="n">
        <v>2599</v>
      </c>
      <c r="H509" s="4" t="n">
        <v>786</v>
      </c>
      <c r="I509" s="5" t="n">
        <v>75</v>
      </c>
      <c r="J509" s="5" t="n">
        <v>41.6</v>
      </c>
      <c r="K509" s="3" t="inlineStr">
        <is>
          <t>투자가치 좋은곳 2차선도로 근접 가격조절 가능</t>
        </is>
      </c>
      <c r="L509" s="6">
        <f>HYPERLINK("https://fin.land.naver.com/articles/2650975377", "매물Link")</f>
        <v/>
      </c>
      <c r="M509" s="6">
        <f>HYPERLINK("https://map.naver.com/p/search/금남면 박산리 154-5", "지도Link")</f>
        <v/>
      </c>
      <c r="N509" s="6">
        <f>HYPERLINK("http://www.eum.go.kr/web/ar/lu/luLandDet.jsp?pnu=3611034033101540005&amp;isNoScr=script&amp;mode=search", "토지이음")</f>
        <v/>
      </c>
      <c r="O509" s="3" t="inlineStr">
        <is>
          <t>세종자이명가</t>
        </is>
      </c>
      <c r="P509" s="4" t="n">
        <v>1</v>
      </c>
      <c r="Q509" s="4" t="n">
        <v>2599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금남면 박산리 154-5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58900</v>
      </c>
      <c r="G510" s="4" t="n">
        <v>2599</v>
      </c>
      <c r="H510" s="4" t="n">
        <v>786</v>
      </c>
      <c r="I510" s="5" t="n">
        <v>74.90000000000001</v>
      </c>
      <c r="J510" s="5" t="n">
        <v>41.6</v>
      </c>
      <c r="K510" s="3" t="inlineStr">
        <is>
          <t>세종특별자치시 금남면 박산리 자연녹지지역 답</t>
        </is>
      </c>
      <c r="L510" s="6">
        <f>HYPERLINK("https://fin.land.naver.com/articles/2655174065", "매물Link")</f>
        <v/>
      </c>
      <c r="M510" s="6">
        <f>HYPERLINK("https://map.naver.com/p/search/금남면 박산리 154-5", "지도Link")</f>
        <v/>
      </c>
      <c r="N510" s="6">
        <f>HYPERLINK("http://www.eum.go.kr/web/ar/lu/luLandDet.jsp?pnu=3611034033101540005&amp;isNoScr=script&amp;mode=search", "토지이음")</f>
        <v/>
      </c>
      <c r="O510" s="3" t="inlineStr">
        <is>
          <t>하이엔드</t>
        </is>
      </c>
      <c r="P510" s="4" t="n">
        <v>2</v>
      </c>
      <c r="Q510" s="4" t="n">
        <v>2599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156-1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40000</v>
      </c>
      <c r="G511" s="4" t="n">
        <v>1470</v>
      </c>
      <c r="H511" s="4" t="n">
        <v>445</v>
      </c>
      <c r="I511" s="5" t="n">
        <v>89.90000000000001</v>
      </c>
      <c r="J511" s="5" t="n">
        <v>41.6</v>
      </c>
      <c r="K511" s="3" t="inlineStr">
        <is>
          <t>둔곡 지구 인접 토지</t>
        </is>
      </c>
      <c r="L511" s="6">
        <f>HYPERLINK("https://fin.land.naver.com/articles/2651714898", "매물Link")</f>
        <v/>
      </c>
      <c r="M511" s="6">
        <f>HYPERLINK("https://map.naver.com/p/search/금남면 박산리 156-1", "지도Link")</f>
        <v/>
      </c>
      <c r="N511" s="6">
        <f>HYPERLINK("http://www.eum.go.kr/web/ar/lu/luLandDet.jsp?pnu=3611034033101560001&amp;isNoScr=script&amp;mode=search",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1470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박산리 156-4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114200</v>
      </c>
      <c r="G512" s="4" t="n">
        <v>1888</v>
      </c>
      <c r="H512" s="4" t="n">
        <v>571</v>
      </c>
      <c r="I512" s="5" t="n">
        <v>200</v>
      </c>
      <c r="J512" s="5" t="n">
        <v>41.6</v>
      </c>
      <c r="K512" s="3" t="inlineStr">
        <is>
          <t>생명나무,박산리 도로접한 땅모양 예쁜 농지</t>
        </is>
      </c>
      <c r="L512" s="6">
        <f>HYPERLINK("https://fin.land.naver.com/articles/2655217266", "매물Link")</f>
        <v/>
      </c>
      <c r="M512" s="6">
        <f>HYPERLINK("https://map.naver.com/p/search/금남면 박산리 156-4", "지도Link")</f>
        <v/>
      </c>
      <c r="N512" s="6">
        <f>HYPERLINK("http://www.eum.go.kr/web/ar/lu/luLandDet.jsp?pnu=3611034033101560004&amp;isNoScr=script&amp;mode=search", "토지이음")</f>
        <v/>
      </c>
      <c r="O512" s="3" t="inlineStr">
        <is>
          <t>생명나무</t>
        </is>
      </c>
      <c r="P512" s="4" t="n">
        <v>1</v>
      </c>
      <c r="Q512" s="4" t="n">
        <v>1888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219-3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970</v>
      </c>
      <c r="H513" s="4" t="n">
        <v>293</v>
      </c>
      <c r="I513" s="5" t="n">
        <v>307.2</v>
      </c>
      <c r="J513" s="5" t="n">
        <v>154.6</v>
      </c>
      <c r="K513" s="3" t="inlineStr">
        <is>
          <t>지대가 높아 커피숍이나 애완카페 등으로 이용하면 좋은 대지입니다</t>
        </is>
      </c>
      <c r="L513" s="6">
        <f>HYPERLINK("https://fin.land.naver.com/articles/2654381062", "매물Link")</f>
        <v/>
      </c>
      <c r="M513" s="6">
        <f>HYPERLINK("https://map.naver.com/p/search/금남면 박산리 219-3", "지도Link")</f>
        <v/>
      </c>
      <c r="N513" s="6">
        <f>HYPERLINK("http://www.eum.go.kr/web/ar/lu/luLandDet.jsp?pnu=3611034033102190003&amp;isNoScr=script&amp;mode=search",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904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박산리 251-3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30000</v>
      </c>
      <c r="G514" s="4" t="n">
        <v>1249</v>
      </c>
      <c r="H514" s="4" t="n">
        <v>378</v>
      </c>
      <c r="I514" s="5" t="n">
        <v>79.40000000000001</v>
      </c>
      <c r="J514" s="5" t="n">
        <v>42.7</v>
      </c>
      <c r="K514" s="3" t="inlineStr">
        <is>
          <t>세종시내에서 가깝고 투자가치 최고</t>
        </is>
      </c>
      <c r="L514" s="6">
        <f>HYPERLINK("https://fin.land.naver.com/articles/2653069162", "매물Link")</f>
        <v/>
      </c>
      <c r="M514" s="6">
        <f>HYPERLINK("https://map.naver.com/p/search/금남면 박산리 251-3", "지도Link")</f>
        <v/>
      </c>
      <c r="N514" s="6">
        <f>HYPERLINK("http://www.eum.go.kr/web/ar/lu/luLandDet.jsp?pnu=3611034033102510003&amp;isNoScr=script&amp;mode=search", "토지이음")</f>
        <v/>
      </c>
      <c r="O514" s="3" t="inlineStr">
        <is>
          <t>둔곡</t>
        </is>
      </c>
      <c r="P514" s="4" t="n">
        <v>1</v>
      </c>
      <c r="Q514" s="4" t="n">
        <v>1249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소로한면</t>
        </is>
      </c>
    </row>
    <row r="515">
      <c r="A515" s="3" t="inlineStr">
        <is>
          <t>금남면 박산리 251-5</t>
        </is>
      </c>
      <c r="B515" s="3" t="inlineStr">
        <is>
          <t>개발제한구역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57000</v>
      </c>
      <c r="G515" s="4" t="n">
        <v>2094</v>
      </c>
      <c r="H515" s="4" t="n">
        <v>633</v>
      </c>
      <c r="I515" s="5" t="n">
        <v>90</v>
      </c>
      <c r="J515" s="5" t="n">
        <v>42.7</v>
      </c>
      <c r="K515" s="3" t="inlineStr">
        <is>
          <t>세종시 확장성 높은 박산리 답매매</t>
        </is>
      </c>
      <c r="L515" s="6">
        <f>HYPERLINK("https://fin.land.naver.com/articles/2651229972", "매물Link")</f>
        <v/>
      </c>
      <c r="M515" s="6">
        <f>HYPERLINK("https://map.naver.com/p/search/금남면 박산리 251-5", "지도Link")</f>
        <v/>
      </c>
      <c r="N515" s="6">
        <f>HYPERLINK("http://www.eum.go.kr/web/ar/lu/luLandDet.jsp?pnu=3611034033102510005&amp;isNoScr=script&amp;mode=search", "토지이음")</f>
        <v/>
      </c>
      <c r="O515" s="3" t="inlineStr">
        <is>
          <t>황소플러스</t>
        </is>
      </c>
      <c r="P515" s="4" t="n">
        <v>1</v>
      </c>
      <c r="Q515" s="4" t="n">
        <v>2094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금남면 발산리 106</t>
        </is>
      </c>
      <c r="B516" s="3" t="inlineStr">
        <is>
          <t>개발제한구역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73900</v>
      </c>
      <c r="G516" s="4" t="n">
        <v>1163</v>
      </c>
      <c r="H516" s="4" t="n">
        <v>352</v>
      </c>
      <c r="I516" s="5" t="n">
        <v>209.9</v>
      </c>
      <c r="J516" s="5" t="n">
        <v>89.2</v>
      </c>
      <c r="K516" s="3" t="inlineStr">
        <is>
          <t>금남면 발산리 마을포장도로에 접한 투자용 토지, 2필지 합해서 매매도가능</t>
        </is>
      </c>
      <c r="L516" s="6">
        <f>HYPERLINK("https://fin.land.naver.com/articles/2651448519", "매물Link")</f>
        <v/>
      </c>
      <c r="M516" s="6">
        <f>HYPERLINK("https://map.naver.com/p/search/금남면 발산리 106", "지도Link")</f>
        <v/>
      </c>
      <c r="N516" s="6">
        <f>HYPERLINK("http://www.eum.go.kr/web/ar/lu/luLandDet.jsp?pnu=3611034022101060000&amp;isNoScr=script&amp;mode=search", "토지이음")</f>
        <v/>
      </c>
      <c r="O516" s="3" t="inlineStr">
        <is>
          <t>스마일세종</t>
        </is>
      </c>
      <c r="P516" s="4" t="n">
        <v>2</v>
      </c>
      <c r="Q516" s="4" t="n">
        <v>1163</v>
      </c>
      <c r="R516" s="3" t="inlineStr">
        <is>
          <t>제1종일반주거지역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106-1</t>
        </is>
      </c>
      <c r="B517" s="3" t="inlineStr">
        <is>
          <t>개발제한구역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105000</v>
      </c>
      <c r="G517" s="4" t="n">
        <v>1654</v>
      </c>
      <c r="H517" s="4" t="n">
        <v>500</v>
      </c>
      <c r="I517" s="5" t="n">
        <v>210</v>
      </c>
      <c r="J517" s="5" t="n">
        <v>72.40000000000001</v>
      </c>
      <c r="K517" s="3" t="inlineStr">
        <is>
          <t>KTX 세종역 인근 금남면 발산리 마을 포장도로에 접한 투자용 토지입니다</t>
        </is>
      </c>
      <c r="L517" s="6">
        <f>HYPERLINK("https://fin.land.naver.com/articles/2655303201", "매물Link")</f>
        <v/>
      </c>
      <c r="M517" s="6">
        <f>HYPERLINK("https://map.naver.com/p/search/금남면 발산리 106-1", "지도Link")</f>
        <v/>
      </c>
      <c r="N517" s="6">
        <f>HYPERLINK("http://www.eum.go.kr/web/ar/lu/luLandDet.jsp?pnu=3611034022101060001&amp;isNoScr=script&amp;mode=search", "토지이음")</f>
        <v/>
      </c>
      <c r="O517" s="3" t="inlineStr">
        <is>
          <t>스마일세종</t>
        </is>
      </c>
      <c r="P517" s="4" t="n">
        <v>1</v>
      </c>
      <c r="Q517" s="4" t="n">
        <v>1654</v>
      </c>
      <c r="R517" s="3" t="inlineStr">
        <is>
          <t>제1종일반주거지역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109-1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15700</v>
      </c>
      <c r="G518" s="4" t="n">
        <v>519</v>
      </c>
      <c r="H518" s="4" t="n">
        <v>157</v>
      </c>
      <c r="I518" s="5" t="n">
        <v>100</v>
      </c>
      <c r="J518" s="5" t="n">
        <v>55.1</v>
      </c>
      <c r="K518" s="3" t="inlineStr">
        <is>
          <t>개발제한구역 주말농장 적합 투자용 하천구역접함 농노접</t>
        </is>
      </c>
      <c r="L518" s="6">
        <f>HYPERLINK("https://fin.land.naver.com/articles/2652090581", "매물Link")</f>
        <v/>
      </c>
      <c r="M518" s="6">
        <f>HYPERLINK("https://map.naver.com/p/search/금남면 발산리 109-1", "지도Link")</f>
        <v/>
      </c>
      <c r="N518" s="6">
        <f>HYPERLINK("http://www.eum.go.kr/web/ar/lu/luLandDet.jsp?pnu=3611034022101090001&amp;isNoScr=script&amp;mode=search", "토지이음")</f>
        <v/>
      </c>
      <c r="O518" s="3" t="inlineStr">
        <is>
          <t>세종이룸</t>
        </is>
      </c>
      <c r="P518" s="4" t="n">
        <v>1</v>
      </c>
      <c r="Q518" s="4" t="n">
        <v>519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금남면 발산리 141-1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140000</v>
      </c>
      <c r="G519" s="4" t="n">
        <v>7230</v>
      </c>
      <c r="H519" s="4" t="n">
        <v>2187</v>
      </c>
      <c r="I519" s="5" t="n">
        <v>64</v>
      </c>
      <c r="J519" s="5" t="n">
        <v>48.6</v>
      </c>
      <c r="K519" s="3" t="inlineStr">
        <is>
          <t>투자용 과수원 전,임야 도시지역 보전녹지 개발제한구역 토지거래허가 도로접</t>
        </is>
      </c>
      <c r="L519" s="6">
        <f>HYPERLINK("https://fin.land.naver.com/articles/2652091523", "매물Link")</f>
        <v/>
      </c>
      <c r="M519" s="6">
        <f>HYPERLINK("https://map.naver.com/p/search/금남면 발산리 141-1", "지도Link")</f>
        <v/>
      </c>
      <c r="N519" s="6">
        <f>HYPERLINK("http://www.eum.go.kr/web/ar/lu/luLandDet.jsp?pnu=3611034022101410001&amp;isNoScr=script&amp;mode=search", "토지이음")</f>
        <v/>
      </c>
      <c r="O519" s="3" t="inlineStr">
        <is>
          <t>세종이룸</t>
        </is>
      </c>
      <c r="P519" s="4" t="n">
        <v>1</v>
      </c>
      <c r="Q519" s="4" t="n">
        <v>1965</v>
      </c>
      <c r="R519" s="3" t="inlineStr">
        <is>
          <t>지정되지않음</t>
        </is>
      </c>
      <c r="S519" s="3" t="inlineStr">
        <is>
          <t>과수원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154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전</t>
        </is>
      </c>
      <c r="E520" s="3" t="inlineStr">
        <is>
          <t>매매</t>
        </is>
      </c>
      <c r="F520" s="4" t="n">
        <v>110000</v>
      </c>
      <c r="G520" s="4" t="n">
        <v>1821</v>
      </c>
      <c r="H520" s="4" t="n">
        <v>551</v>
      </c>
      <c r="I520" s="5" t="n">
        <v>199.6</v>
      </c>
      <c r="J520" s="5" t="n">
        <v>40.1</v>
      </c>
      <c r="K520" s="3" t="inlineStr">
        <is>
          <t>세종시 금남면 발산리 토지</t>
        </is>
      </c>
      <c r="L520" s="6">
        <f>HYPERLINK("https://fin.land.naver.com/articles/2655509979", "매물Link")</f>
        <v/>
      </c>
      <c r="M520" s="6">
        <f>HYPERLINK("https://map.naver.com/p/search/금남면 발산리 154", "지도Link")</f>
        <v/>
      </c>
      <c r="N520" s="6">
        <f>HYPERLINK("http://www.eum.go.kr/web/ar/lu/luLandDet.jsp?pnu=3611034022101540000&amp;isNoScr=script&amp;mode=search", "토지이음")</f>
        <v/>
      </c>
      <c r="O520" s="3" t="inlineStr">
        <is>
          <t>황금도장</t>
        </is>
      </c>
      <c r="P520" s="4" t="n">
        <v>1</v>
      </c>
      <c r="Q520" s="4" t="n">
        <v>1336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금남면 발산리 155-4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210000</v>
      </c>
      <c r="G521" s="4" t="n">
        <v>3661</v>
      </c>
      <c r="H521" s="4" t="n">
        <v>1107</v>
      </c>
      <c r="I521" s="5" t="n">
        <v>189.7</v>
      </c>
      <c r="J521" s="5" t="n">
        <v>42.6</v>
      </c>
      <c r="K521" s="3" t="inlineStr">
        <is>
          <t>세종시 금남면 발산리 토지</t>
        </is>
      </c>
      <c r="L521" s="6">
        <f>HYPERLINK("https://fin.land.naver.com/articles/2655507085", "매물Link")</f>
        <v/>
      </c>
      <c r="M521" s="6">
        <f>HYPERLINK("https://map.naver.com/p/search/금남면 발산리 155-4", "지도Link")</f>
        <v/>
      </c>
      <c r="N521" s="6">
        <f>HYPERLINK("http://www.eum.go.kr/web/ar/lu/luLandDet.jsp?pnu=3611034022101550004&amp;isNoScr=script&amp;mode=search", "토지이음")</f>
        <v/>
      </c>
      <c r="O521" s="3" t="inlineStr">
        <is>
          <t>황금도장</t>
        </is>
      </c>
      <c r="P521" s="4" t="n">
        <v>1</v>
      </c>
      <c r="Q521" s="4" t="n">
        <v>3307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발산리 165-1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130000</v>
      </c>
      <c r="G522" s="4" t="n">
        <v>6159</v>
      </c>
      <c r="H522" s="4" t="n">
        <v>1863</v>
      </c>
      <c r="I522" s="5" t="n">
        <v>69.8</v>
      </c>
      <c r="J522" s="5" t="n">
        <v>42.6</v>
      </c>
      <c r="K522" s="3" t="inlineStr">
        <is>
          <t>2차선 도로에 접해 있으며 지대가 높아 조망이 좋은 경사도 완만한 전</t>
        </is>
      </c>
      <c r="L522" s="6">
        <f>HYPERLINK("https://fin.land.naver.com/articles/2652467503", "매물Link")</f>
        <v/>
      </c>
      <c r="M522" s="6">
        <f>HYPERLINK("https://map.naver.com/p/search/금남면 발산리 165-1", "지도Link")</f>
        <v/>
      </c>
      <c r="N522" s="6">
        <f>HYPERLINK("http://www.eum.go.kr/web/ar/lu/luLandDet.jsp?pnu=3611034022101650001&amp;isNoScr=script&amp;mode=search", "토지이음")</f>
        <v/>
      </c>
      <c r="O522" s="3" t="inlineStr">
        <is>
          <t>스마일세종</t>
        </is>
      </c>
      <c r="P522" s="4" t="n">
        <v>1</v>
      </c>
      <c r="Q522" s="4" t="n">
        <v>5887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금남면 발산리 261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148000</v>
      </c>
      <c r="G523" s="4" t="n">
        <v>1954</v>
      </c>
      <c r="H523" s="4" t="n">
        <v>591</v>
      </c>
      <c r="I523" s="5" t="n">
        <v>250.4</v>
      </c>
      <c r="J523" s="5" t="n">
        <v>79.59999999999999</v>
      </c>
      <c r="K523" s="3" t="inlineStr">
        <is>
          <t>접근성좋은 발산리 토지 도로접</t>
        </is>
      </c>
      <c r="L523" s="6">
        <f>HYPERLINK("https://fin.land.naver.com/articles/2651904553", "매물Link")</f>
        <v/>
      </c>
      <c r="M523" s="6">
        <f>HYPERLINK("https://map.naver.com/p/search/금남면 발산리 261", "지도Link")</f>
        <v/>
      </c>
      <c r="N523" s="6">
        <f>HYPERLINK("http://www.eum.go.kr/web/ar/lu/luLandDet.jsp?pnu=3611034022102610000&amp;isNoScr=script&amp;mode=search", "토지이음")</f>
        <v/>
      </c>
      <c r="O523" s="3" t="inlineStr">
        <is>
          <t>새롬삼둥이</t>
        </is>
      </c>
      <c r="P523" s="4" t="n">
        <v>1</v>
      </c>
      <c r="Q523" s="4" t="n">
        <v>1954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276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263000</v>
      </c>
      <c r="G524" s="4" t="n">
        <v>1242</v>
      </c>
      <c r="H524" s="4" t="n">
        <v>376</v>
      </c>
      <c r="I524" s="5" t="n">
        <v>699.5</v>
      </c>
      <c r="J524" s="5" t="n">
        <v>334.5</v>
      </c>
      <c r="K524" s="3" t="inlineStr">
        <is>
          <t>1종일반주거지역. 음식점 성업중. 핫플가득한 라인</t>
        </is>
      </c>
      <c r="L524" s="6">
        <f>HYPERLINK("https://fin.land.naver.com/articles/2653461955", "매물Link")</f>
        <v/>
      </c>
      <c r="M524" s="6">
        <f>HYPERLINK("https://map.naver.com/p/search/금남면 발산리 276", "지도Link")</f>
        <v/>
      </c>
      <c r="N524" s="6">
        <f>HYPERLINK("http://www.eum.go.kr/web/ar/lu/luLandDet.jsp?pnu=3611034022102760000&amp;isNoScr=script&amp;mode=search", "토지이음")</f>
        <v/>
      </c>
      <c r="O524" s="3" t="inlineStr">
        <is>
          <t>세종금밭</t>
        </is>
      </c>
      <c r="P524" s="4" t="n">
        <v>1</v>
      </c>
      <c r="Q524" s="4" t="n">
        <v>600</v>
      </c>
      <c r="R524" s="3" t="inlineStr">
        <is>
          <t>지정되지않음</t>
        </is>
      </c>
      <c r="S524" s="3" t="inlineStr">
        <is>
          <t>주상용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286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50000</v>
      </c>
      <c r="G525" s="4" t="n">
        <v>656</v>
      </c>
      <c r="H525" s="4" t="n">
        <v>198</v>
      </c>
      <c r="I525" s="5" t="n">
        <v>252.5</v>
      </c>
      <c r="J525" s="5" t="n">
        <v>155.3</v>
      </c>
      <c r="K525" s="3" t="inlineStr">
        <is>
          <t>O.대로변 주변.접근성 좋음,O,</t>
        </is>
      </c>
      <c r="L525" s="6">
        <f>HYPERLINK("https://fin.land.naver.com/articles/2653085116", "매물Link")</f>
        <v/>
      </c>
      <c r="M525" s="6">
        <f>HYPERLINK("https://map.naver.com/p/search/금남면 발산리 286", "지도Link")</f>
        <v/>
      </c>
      <c r="N525" s="6">
        <f>HYPERLINK("http://www.eum.go.kr/web/ar/lu/luLandDet.jsp?pnu=3611034022102860000&amp;isNoScr=script&amp;mode=search", "토지이음")</f>
        <v/>
      </c>
      <c r="O525" s="3" t="inlineStr">
        <is>
          <t>보람뜰</t>
        </is>
      </c>
      <c r="P525" s="4" t="n">
        <v>1</v>
      </c>
      <c r="Q525" s="4" t="n">
        <v>656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금남면 발산리 316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1472900</v>
      </c>
      <c r="G526" s="4" t="n">
        <v>4427</v>
      </c>
      <c r="H526" s="4" t="n">
        <v>1339</v>
      </c>
      <c r="I526" s="5" t="n">
        <v>1100</v>
      </c>
      <c r="J526" s="5" t="n">
        <v>436.4</v>
      </c>
      <c r="K526" s="3" t="inlineStr">
        <is>
          <t>nan</t>
        </is>
      </c>
      <c r="L526" s="6">
        <f>HYPERLINK("https://fin.land.naver.com/articles/2651414756", "매물Link")</f>
        <v/>
      </c>
      <c r="M526" s="6">
        <f>HYPERLINK("https://map.naver.com/p/search/금남면 발산리 316", "지도Link")</f>
        <v/>
      </c>
      <c r="N526" s="6">
        <f>HYPERLINK("http://www.eum.go.kr/web/ar/lu/luLandDet.jsp?pnu=3611034022103160000&amp;isNoScr=script&amp;mode=search", "토지이음")</f>
        <v/>
      </c>
      <c r="O526" s="3" t="inlineStr">
        <is>
          <t>KB</t>
        </is>
      </c>
      <c r="P526" s="4" t="n">
        <v>1</v>
      </c>
      <c r="Q526" s="4" t="n">
        <v>2474</v>
      </c>
      <c r="R526" s="3" t="inlineStr">
        <is>
          <t>생산녹지지역</t>
        </is>
      </c>
      <c r="S526" s="3" t="inlineStr">
        <is>
          <t>주상나지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중로한면</t>
        </is>
      </c>
    </row>
    <row r="527">
      <c r="A527" s="3" t="inlineStr">
        <is>
          <t>금남면 발산리 417-3</t>
        </is>
      </c>
      <c r="B527" s="3" t="inlineStr">
        <is>
          <t>농림지역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52500</v>
      </c>
      <c r="G527" s="4" t="n">
        <v>1580</v>
      </c>
      <c r="H527" s="4" t="n">
        <v>478</v>
      </c>
      <c r="I527" s="5" t="n">
        <v>109.8</v>
      </c>
      <c r="J527" s="5" t="n">
        <v>77.2</v>
      </c>
      <c r="K527" s="3" t="inlineStr">
        <is>
          <t>KTX 역 부지 접함, 물류 농업용창고부지 투자용</t>
        </is>
      </c>
      <c r="L527" s="6">
        <f>HYPERLINK("https://fin.land.naver.com/articles/2652090878", "매물Link")</f>
        <v/>
      </c>
      <c r="M527" s="6">
        <f>HYPERLINK("https://map.naver.com/p/search/금남면 발산리 417-3", "지도Link")</f>
        <v/>
      </c>
      <c r="N527" s="6">
        <f>HYPERLINK("http://www.eum.go.kr/web/ar/lu/luLandDet.jsp?pnu=3611034022104170003&amp;isNoScr=script&amp;mode=search", "토지이음")</f>
        <v/>
      </c>
      <c r="O527" s="3" t="inlineStr">
        <is>
          <t>세종이룸</t>
        </is>
      </c>
      <c r="P527" s="4" t="n">
        <v>1</v>
      </c>
      <c r="Q527" s="4" t="n">
        <v>1580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417-3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52500</v>
      </c>
      <c r="G528" s="4" t="n">
        <v>1580</v>
      </c>
      <c r="H528" s="4" t="n">
        <v>478</v>
      </c>
      <c r="I528" s="5" t="n">
        <v>109.8</v>
      </c>
      <c r="J528" s="5" t="n">
        <v>77.2</v>
      </c>
      <c r="K528" s="3" t="inlineStr">
        <is>
          <t>세종시  사두면 무조건 돈되는 땅입니다.가격조정 협의</t>
        </is>
      </c>
      <c r="L528" s="6">
        <f>HYPERLINK("https://fin.land.naver.com/articles/2652366141", "매물Link")</f>
        <v/>
      </c>
      <c r="M528" s="6">
        <f>HYPERLINK("https://map.naver.com/p/search/금남면 발산리 417-3", "지도Link")</f>
        <v/>
      </c>
      <c r="N528" s="6">
        <f>HYPERLINK("http://www.eum.go.kr/web/ar/lu/luLandDet.jsp?pnu=3611034022104170003&amp;isNoScr=script&amp;mode=search", "토지이음")</f>
        <v/>
      </c>
      <c r="O528" s="3" t="inlineStr">
        <is>
          <t>유성대박</t>
        </is>
      </c>
      <c r="P528" s="4" t="n">
        <v>1</v>
      </c>
      <c r="Q528" s="4" t="n">
        <v>1580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발산리 46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240600</v>
      </c>
      <c r="G529" s="4" t="n">
        <v>1326</v>
      </c>
      <c r="H529" s="4" t="n">
        <v>401</v>
      </c>
      <c r="I529" s="5" t="n">
        <v>600</v>
      </c>
      <c r="J529" s="5" t="n">
        <v>195.9</v>
      </c>
      <c r="K529" s="3" t="inlineStr">
        <is>
          <t>1종 일반주거지역</t>
        </is>
      </c>
      <c r="L529" s="6">
        <f>HYPERLINK("https://fin.land.naver.com/articles/2650428399", "매물Link")</f>
        <v/>
      </c>
      <c r="M529" s="6">
        <f>HYPERLINK("https://map.naver.com/p/search/금남면 발산리 46", "지도Link")</f>
        <v/>
      </c>
      <c r="N529" s="6">
        <f>HYPERLINK("http://www.eum.go.kr/web/ar/lu/luLandDet.jsp?pnu=3611034022100460000&amp;isNoScr=script&amp;mode=search", "토지이음")</f>
        <v/>
      </c>
      <c r="O529" s="3" t="inlineStr">
        <is>
          <t>신안</t>
        </is>
      </c>
      <c r="P529" s="4" t="n">
        <v>1</v>
      </c>
      <c r="Q529" s="4" t="n">
        <v>1326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55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13300</v>
      </c>
      <c r="G530" s="4" t="n">
        <v>1261</v>
      </c>
      <c r="H530" s="4" t="n">
        <v>381</v>
      </c>
      <c r="I530" s="5" t="n">
        <v>34.9</v>
      </c>
      <c r="J530" s="5" t="n">
        <v>20.7</v>
      </c>
      <c r="K530" s="3" t="inlineStr">
        <is>
          <t>발산리 개발제한구역 내 토지.</t>
        </is>
      </c>
      <c r="L530" s="6">
        <f>HYPERLINK("https://fin.land.naver.com/articles/2654232726", "매물Link")</f>
        <v/>
      </c>
      <c r="M530" s="6">
        <f>HYPERLINK("https://map.naver.com/p/search/금남면 발산리 55", "지도Link")</f>
        <v/>
      </c>
      <c r="N530" s="6">
        <f>HYPERLINK("http://www.eum.go.kr/web/ar/lu/luLandDet.jsp?pnu=3611034022100550000&amp;isNoScr=script&amp;mode=search", "토지이음")</f>
        <v/>
      </c>
      <c r="O530" s="3" t="inlineStr">
        <is>
          <t>미스터홈즈강남지사</t>
        </is>
      </c>
      <c r="P530" s="4" t="n">
        <v>1</v>
      </c>
      <c r="Q530" s="4" t="n">
        <v>1261</v>
      </c>
      <c r="R530" s="3" t="inlineStr">
        <is>
          <t>지정되지않음</t>
        </is>
      </c>
      <c r="S530" s="3" t="inlineStr">
        <is>
          <t>전기타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발산리 67</t>
        </is>
      </c>
      <c r="B531" s="3" t="inlineStr">
        <is>
          <t>개발제한구역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</v>
      </c>
      <c r="G531" s="4" t="n">
        <v>324</v>
      </c>
      <c r="H531" s="4" t="n">
        <v>98</v>
      </c>
      <c r="I531" s="5" t="n">
        <v>153.1</v>
      </c>
      <c r="J531" s="5" t="n">
        <v>45.6</v>
      </c>
      <c r="K531" s="3" t="inlineStr">
        <is>
          <t>소형평수 토지투자</t>
        </is>
      </c>
      <c r="L531" s="6">
        <f>HYPERLINK("https://fin.land.naver.com/articles/2654966326", "매물Link")</f>
        <v/>
      </c>
      <c r="M531" s="6">
        <f>HYPERLINK("https://map.naver.com/p/search/금남면 발산리 67", "지도Link")</f>
        <v/>
      </c>
      <c r="N531" s="6">
        <f>HYPERLINK("http://www.eum.go.kr/web/ar/lu/luLandDet.jsp?pnu=3611034022100670000&amp;isNoScr=script&amp;mode=search", "토지이음")</f>
        <v/>
      </c>
      <c r="O531" s="3" t="inlineStr">
        <is>
          <t>세계로</t>
        </is>
      </c>
      <c r="P531" s="4" t="n">
        <v>1</v>
      </c>
      <c r="Q531" s="4" t="n">
        <v>324</v>
      </c>
      <c r="R531" s="3" t="inlineStr">
        <is>
          <t>지정되지않음</t>
        </is>
      </c>
      <c r="S531" s="3" t="inlineStr">
        <is>
          <t>전기타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발산리 7-4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23883</v>
      </c>
      <c r="G532" s="4" t="n">
        <v>1385</v>
      </c>
      <c r="H532" s="4" t="n">
        <v>419</v>
      </c>
      <c r="I532" s="5" t="n">
        <v>57</v>
      </c>
      <c r="J532" s="5" t="n">
        <v>50.5</v>
      </c>
      <c r="K532" s="3" t="inlineStr">
        <is>
          <t>도로에 접해 접근성 양호한 토지</t>
        </is>
      </c>
      <c r="L532" s="6">
        <f>HYPERLINK("https://fin.land.naver.com/articles/2655519233", "매물Link")</f>
        <v/>
      </c>
      <c r="M532" s="6">
        <f>HYPERLINK("https://map.naver.com/p/search/금남면 발산리 7-4", "지도Link")</f>
        <v/>
      </c>
      <c r="N532" s="6">
        <f>HYPERLINK("http://www.eum.go.kr/web/ar/lu/luLandDet.jsp?pnu=3611034022100070004&amp;isNoScr=script&amp;mode=search", "토지이음")</f>
        <v/>
      </c>
      <c r="O532" s="3" t="inlineStr">
        <is>
          <t>정보은행</t>
        </is>
      </c>
      <c r="P532" s="4" t="n">
        <v>1</v>
      </c>
      <c r="Q532" s="4" t="n">
        <v>1142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88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335000</v>
      </c>
      <c r="G533" s="4" t="n">
        <v>1574</v>
      </c>
      <c r="H533" s="4" t="n">
        <v>476</v>
      </c>
      <c r="I533" s="5" t="n">
        <v>703.8</v>
      </c>
      <c r="J533" s="5" t="n">
        <v>260</v>
      </c>
      <c r="K533" s="3" t="inlineStr">
        <is>
          <t>총3필지매매,대지와 답,전원주택포함매매</t>
        </is>
      </c>
      <c r="L533" s="6">
        <f>HYPERLINK("https://fin.land.naver.com/articles/2655604918", "매물Link")</f>
        <v/>
      </c>
      <c r="M533" s="6">
        <f>HYPERLINK("https://map.naver.com/p/search/금남면 발산리 88", "지도Link")</f>
        <v/>
      </c>
      <c r="N533" s="6">
        <f>HYPERLINK("http://www.eum.go.kr/web/ar/lu/luLandDet.jsp?pnu=3611034022100880000&amp;isNoScr=script&amp;mode=search", "토지이음")</f>
        <v/>
      </c>
      <c r="O533" s="3" t="inlineStr">
        <is>
          <t>담뜰</t>
        </is>
      </c>
      <c r="P533" s="4" t="n">
        <v>2</v>
      </c>
      <c r="Q533" s="4" t="n">
        <v>320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발산리 88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335000</v>
      </c>
      <c r="G534" s="4" t="n">
        <v>1574</v>
      </c>
      <c r="H534" s="4" t="n">
        <v>476</v>
      </c>
      <c r="I534" s="5" t="n">
        <v>703.8</v>
      </c>
      <c r="J534" s="5" t="n">
        <v>260</v>
      </c>
      <c r="K534" s="3" t="inlineStr">
        <is>
          <t>세종시 금남면 발산리 일대 1종주거지역 대형평수</t>
        </is>
      </c>
      <c r="L534" s="6">
        <f>HYPERLINK("https://fin.land.naver.com/articles/2654822916", "매물Link")</f>
        <v/>
      </c>
      <c r="M534" s="6">
        <f>HYPERLINK("https://map.naver.com/p/search/금남면 발산리 88", "지도Link")</f>
        <v/>
      </c>
      <c r="N534" s="6">
        <f>HYPERLINK("http://www.eum.go.kr/web/ar/lu/luLandDet.jsp?pnu=3611034022100880000&amp;isNoScr=script&amp;mode=search",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320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발산리 88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320</v>
      </c>
      <c r="H535" s="4" t="n">
        <v>97</v>
      </c>
      <c r="I535" s="5" t="n">
        <v>701</v>
      </c>
      <c r="J535" s="5" t="n">
        <v>260</v>
      </c>
      <c r="K535" s="3" t="inlineStr">
        <is>
          <t>도로접 도시.1종일반주거지역 알토란 토지,다목적용도 가능</t>
        </is>
      </c>
      <c r="L535" s="6">
        <f>HYPERLINK("https://fin.land.naver.com/articles/2653418124", "매물Link")</f>
        <v/>
      </c>
      <c r="M535" s="6">
        <f>HYPERLINK("https://map.naver.com/p/search/금남면 발산리 88", "지도Link")</f>
        <v/>
      </c>
      <c r="N535" s="6">
        <f>HYPERLINK("http://www.eum.go.kr/web/ar/lu/luLandDet.jsp?pnu=3611034022100880000&amp;isNoScr=script&amp;mode=search", "토지이음")</f>
        <v/>
      </c>
      <c r="O535" s="3" t="inlineStr">
        <is>
          <t>고운맘</t>
        </is>
      </c>
      <c r="P535" s="4" t="n">
        <v>1</v>
      </c>
      <c r="Q535" s="4" t="n">
        <v>320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발산리 88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335000</v>
      </c>
      <c r="G536" s="4" t="n">
        <v>1574</v>
      </c>
      <c r="H536" s="4" t="n">
        <v>476</v>
      </c>
      <c r="I536" s="5" t="n">
        <v>703.8</v>
      </c>
      <c r="J536" s="5" t="n">
        <v>260</v>
      </c>
      <c r="K536" s="3" t="inlineStr">
        <is>
          <t>nan</t>
        </is>
      </c>
      <c r="L536" s="6">
        <f>HYPERLINK("https://fin.land.naver.com/articles/2653432908", "매물Link")</f>
        <v/>
      </c>
      <c r="M536" s="6">
        <f>HYPERLINK("https://map.naver.com/p/search/금남면 발산리 88", "지도Link")</f>
        <v/>
      </c>
      <c r="N536" s="6">
        <f>HYPERLINK("http://www.eum.go.kr/web/ar/lu/luLandDet.jsp?pnu=3611034022100880000&amp;isNoScr=script&amp;mode=search", "토지이음")</f>
        <v/>
      </c>
      <c r="O536" s="3" t="inlineStr">
        <is>
          <t>고운맘</t>
        </is>
      </c>
      <c r="P536" s="4" t="n">
        <v>1</v>
      </c>
      <c r="Q536" s="4" t="n">
        <v>320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발산리 88-1</t>
        </is>
      </c>
      <c r="B537" s="3" t="inlineStr">
        <is>
          <t>제1종일반주거지역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1574</v>
      </c>
      <c r="H537" s="4" t="n">
        <v>476</v>
      </c>
      <c r="I537" s="5" t="n">
        <v>703.8</v>
      </c>
      <c r="J537" s="5" t="n">
        <v>195.9</v>
      </c>
      <c r="K537" s="3" t="inlineStr">
        <is>
          <t>도시1종주거지로 음식점, 사무실, 다가구 등</t>
        </is>
      </c>
      <c r="L537" s="6">
        <f>HYPERLINK("https://fin.land.naver.com/articles/2654544763", "매물Link")</f>
        <v/>
      </c>
      <c r="M537" s="6">
        <f>HYPERLINK("https://map.naver.com/p/search/금남면 발산리 88-1", "지도Link")</f>
        <v/>
      </c>
      <c r="N537" s="6">
        <f>HYPERLINK("http://www.eum.go.kr/web/ar/lu/luLandDet.jsp?pnu=3611034022100880001&amp;isNoScr=script&amp;mode=search",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754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88-1</t>
        </is>
      </c>
      <c r="B538" s="3" t="inlineStr">
        <is>
          <t>제1종일반주거지역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150000</v>
      </c>
      <c r="G538" s="4" t="n">
        <v>754</v>
      </c>
      <c r="H538" s="4" t="n">
        <v>228</v>
      </c>
      <c r="I538" s="5" t="n">
        <v>657.9</v>
      </c>
      <c r="J538" s="5" t="n">
        <v>195.9</v>
      </c>
      <c r="K538" s="3" t="inlineStr">
        <is>
          <t>도로접 도시.1종일반주거지역 알토란 토지,다목적용도 가능</t>
        </is>
      </c>
      <c r="L538" s="6">
        <f>HYPERLINK("https://fin.land.naver.com/articles/2653423145", "매물Link")</f>
        <v/>
      </c>
      <c r="M538" s="6">
        <f>HYPERLINK("https://map.naver.com/p/search/금남면 발산리 88-1", "지도Link")</f>
        <v/>
      </c>
      <c r="N538" s="6">
        <f>HYPERLINK("http://www.eum.go.kr/web/ar/lu/luLandDet.jsp?pnu=3611034022100880001&amp;isNoScr=script&amp;mode=search", "토지이음")</f>
        <v/>
      </c>
      <c r="O538" s="3" t="inlineStr">
        <is>
          <t>고운맘</t>
        </is>
      </c>
      <c r="P538" s="4" t="n">
        <v>1</v>
      </c>
      <c r="Q538" s="4" t="n">
        <v>754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발산리 88-1</t>
        </is>
      </c>
      <c r="B539" s="3" t="inlineStr">
        <is>
          <t>제1종일반주거지역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150000</v>
      </c>
      <c r="G539" s="4" t="n">
        <v>754</v>
      </c>
      <c r="H539" s="4" t="n">
        <v>228</v>
      </c>
      <c r="I539" s="5" t="n">
        <v>657.9</v>
      </c>
      <c r="J539" s="5" t="n">
        <v>195.9</v>
      </c>
      <c r="K539" s="3" t="inlineStr">
        <is>
          <t>음식점 카페, 다가구주택 등 건축이 가능한 제1종 일반주거지역의 조경수</t>
        </is>
      </c>
      <c r="L539" s="6">
        <f>HYPERLINK("https://fin.land.naver.com/articles/2652667261", "매물Link")</f>
        <v/>
      </c>
      <c r="M539" s="6">
        <f>HYPERLINK("https://map.naver.com/p/search/금남면 발산리 88-1", "지도Link")</f>
        <v/>
      </c>
      <c r="N539" s="6">
        <f>HYPERLINK("http://www.eum.go.kr/web/ar/lu/luLandDet.jsp?pnu=3611034022100880001&amp;isNoScr=script&amp;mode=search", "토지이음")</f>
        <v/>
      </c>
      <c r="O539" s="3" t="inlineStr">
        <is>
          <t>스마일세종</t>
        </is>
      </c>
      <c r="P539" s="4" t="n">
        <v>1</v>
      </c>
      <c r="Q539" s="4" t="n">
        <v>754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발산리 88-2</t>
        </is>
      </c>
      <c r="B540" s="3" t="inlineStr">
        <is>
          <t>제1종일반주거지역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105000</v>
      </c>
      <c r="G540" s="4" t="n">
        <v>500</v>
      </c>
      <c r="H540" s="4" t="n">
        <v>151</v>
      </c>
      <c r="I540" s="5" t="n">
        <v>695.4</v>
      </c>
      <c r="J540" s="5" t="n">
        <v>203.7</v>
      </c>
      <c r="K540" s="3" t="inlineStr">
        <is>
          <t>도로접 도시.1종일반주거지역 알토란 토지,다목적용도 가능</t>
        </is>
      </c>
      <c r="L540" s="6">
        <f>HYPERLINK("https://fin.land.naver.com/articles/2653425069", "매물Link")</f>
        <v/>
      </c>
      <c r="M540" s="6">
        <f>HYPERLINK("https://map.naver.com/p/search/금남면 발산리 88-2", "지도Link")</f>
        <v/>
      </c>
      <c r="N540" s="6">
        <f>HYPERLINK("http://www.eum.go.kr/web/ar/lu/luLandDet.jsp?pnu=3611034022100880002&amp;isNoScr=script&amp;mode=search", "토지이음")</f>
        <v/>
      </c>
      <c r="O540" s="3" t="inlineStr">
        <is>
          <t>고운맘</t>
        </is>
      </c>
      <c r="P540" s="4" t="n">
        <v>1</v>
      </c>
      <c r="Q540" s="4" t="n">
        <v>500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세로각지(가)</t>
        </is>
      </c>
    </row>
    <row r="541">
      <c r="A541" s="3" t="inlineStr">
        <is>
          <t>금남면 발산리 88-2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105700</v>
      </c>
      <c r="G541" s="4" t="n">
        <v>500</v>
      </c>
      <c r="H541" s="4" t="n">
        <v>151</v>
      </c>
      <c r="I541" s="5" t="n">
        <v>700</v>
      </c>
      <c r="J541" s="5" t="n">
        <v>203.7</v>
      </c>
      <c r="K541" s="3" t="inlineStr">
        <is>
          <t>다가구, 음식점, 카페 등 건축이 자유로운 도시지역, 제1종일반주거지역</t>
        </is>
      </c>
      <c r="L541" s="6">
        <f>HYPERLINK("https://fin.land.naver.com/articles/2655551318", "매물Link")</f>
        <v/>
      </c>
      <c r="M541" s="6">
        <f>HYPERLINK("https://map.naver.com/p/search/금남면 발산리 88-2", "지도Link")</f>
        <v/>
      </c>
      <c r="N541" s="6">
        <f>HYPERLINK("http://www.eum.go.kr/web/ar/lu/luLandDet.jsp?pnu=3611034022100880002&amp;isNoScr=script&amp;mode=search", "토지이음")</f>
        <v/>
      </c>
      <c r="O541" s="3" t="inlineStr">
        <is>
          <t>스마일세종</t>
        </is>
      </c>
      <c r="P541" s="4" t="n">
        <v>1</v>
      </c>
      <c r="Q541" s="4" t="n">
        <v>500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세로각지(가)</t>
        </is>
      </c>
    </row>
    <row r="542">
      <c r="A542" s="3" t="inlineStr">
        <is>
          <t>금남면 봉암리 161-4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161400</v>
      </c>
      <c r="G542" s="4" t="n">
        <v>2668</v>
      </c>
      <c r="H542" s="4" t="n">
        <v>807</v>
      </c>
      <c r="I542" s="5" t="n">
        <v>200</v>
      </c>
      <c r="J542" s="5" t="n">
        <v>113.1</v>
      </c>
      <c r="K542" s="3" t="inlineStr">
        <is>
          <t>대지 및 전</t>
        </is>
      </c>
      <c r="L542" s="6">
        <f>HYPERLINK("https://fin.land.naver.com/articles/2653526212", "매물Link")</f>
        <v/>
      </c>
      <c r="M542" s="6">
        <f>HYPERLINK("https://map.naver.com/p/search/금남면 봉암리 161-4", "지도Link")</f>
        <v/>
      </c>
      <c r="N542" s="6">
        <f>HYPERLINK("http://www.eum.go.kr/web/ar/lu/luLandDet.jsp?pnu=3611034043101610004&amp;isNoScr=script&amp;mode=search", "토지이음")</f>
        <v/>
      </c>
      <c r="O542" s="3" t="inlineStr">
        <is>
          <t>정직한한국</t>
        </is>
      </c>
      <c r="P542" s="4" t="n">
        <v>1</v>
      </c>
      <c r="Q542" s="4" t="n">
        <v>500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금남면 봉암리 28</t>
        </is>
      </c>
      <c r="B543" s="3" t="inlineStr">
        <is>
          <t>개발제한구역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15000</v>
      </c>
      <c r="G543" s="4" t="n">
        <v>992</v>
      </c>
      <c r="H543" s="4" t="n">
        <v>300</v>
      </c>
      <c r="I543" s="5" t="n">
        <v>50</v>
      </c>
      <c r="J543" s="5" t="n">
        <v>25.7</v>
      </c>
      <c r="K543" s="3" t="inlineStr">
        <is>
          <t>대전 세종 중간 입지 접근성 양호</t>
        </is>
      </c>
      <c r="L543" s="6">
        <f>HYPERLINK("https://fin.land.naver.com/articles/2651001881", "매물Link")</f>
        <v/>
      </c>
      <c r="M543" s="6">
        <f>HYPERLINK("https://map.naver.com/p/search/금남면 봉암리 28", "지도Link")</f>
        <v/>
      </c>
      <c r="N543" s="6">
        <f>HYPERLINK("http://www.eum.go.kr/web/ar/lu/luLandDet.jsp?pnu=3611034043100280000&amp;isNoScr=script&amp;mode=search", "토지이음")</f>
        <v/>
      </c>
      <c r="O543" s="3" t="inlineStr">
        <is>
          <t>반석원무소</t>
        </is>
      </c>
      <c r="P543" s="4" t="n">
        <v>1</v>
      </c>
      <c r="Q543" s="4" t="n">
        <v>992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금남면 부용리 100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98000</v>
      </c>
      <c r="G544" s="4" t="n">
        <v>904</v>
      </c>
      <c r="H544" s="4" t="n">
        <v>273</v>
      </c>
      <c r="I544" s="5" t="n">
        <v>359</v>
      </c>
      <c r="J544" s="5" t="n">
        <v>239.2</v>
      </c>
      <c r="K544" s="3" t="inlineStr">
        <is>
          <t>조율최대 계획관리지역 전원주택 카페등 청주 오송 근거리 매매가</t>
        </is>
      </c>
      <c r="L544" s="6">
        <f>HYPERLINK("https://fin.land.naver.com/articles/2652101196", "매물Link")</f>
        <v/>
      </c>
      <c r="M544" s="6">
        <f>HYPERLINK("https://map.naver.com/p/search/금남면 부용리 100", "지도Link")</f>
        <v/>
      </c>
      <c r="N544" s="6">
        <f>HYPERLINK("http://www.eum.go.kr/web/ar/lu/luLandDet.jsp?pnu=3611034035101000000&amp;isNoScr=script&amp;mode=search", "토지이음")</f>
        <v/>
      </c>
      <c r="O544" s="3" t="inlineStr">
        <is>
          <t>홍기표</t>
        </is>
      </c>
      <c r="P544" s="4" t="n">
        <v>1</v>
      </c>
      <c r="Q544" s="4" t="n">
        <v>904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100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110000</v>
      </c>
      <c r="G545" s="4" t="n">
        <v>904</v>
      </c>
      <c r="H545" s="4" t="n">
        <v>273</v>
      </c>
      <c r="I545" s="5" t="n">
        <v>402.9</v>
      </c>
      <c r="J545" s="5" t="n">
        <v>239.2</v>
      </c>
      <c r="K545" s="3" t="inlineStr">
        <is>
          <t>지목대 계획관리 코너 가시성굿 접근성양호 귀한나대지</t>
        </is>
      </c>
      <c r="L545" s="6">
        <f>HYPERLINK("https://fin.land.naver.com/articles/2654939761", "매물Link")</f>
        <v/>
      </c>
      <c r="M545" s="6">
        <f>HYPERLINK("https://map.naver.com/p/search/금남면 부용리 100", "지도Link")</f>
        <v/>
      </c>
      <c r="N545" s="6">
        <f>HYPERLINK("http://www.eum.go.kr/web/ar/lu/luLandDet.jsp?pnu=3611034035101000000&amp;isNoScr=script&amp;mode=search", "토지이음")</f>
        <v/>
      </c>
      <c r="O545" s="3" t="inlineStr">
        <is>
          <t>열린</t>
        </is>
      </c>
      <c r="P545" s="4" t="n">
        <v>1</v>
      </c>
      <c r="Q545" s="4" t="n">
        <v>904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267-1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월세</t>
        </is>
      </c>
      <c r="F546" s="4" t="n">
        <v>500</v>
      </c>
      <c r="G546" s="4" t="n">
        <v>1964</v>
      </c>
      <c r="H546" s="4" t="n">
        <v>594</v>
      </c>
      <c r="I546" s="5" t="n">
        <v>0.1</v>
      </c>
      <c r="J546" s="5" t="n">
        <v>148</v>
      </c>
      <c r="K546" s="3" t="inlineStr">
        <is>
          <t>nan</t>
        </is>
      </c>
      <c r="L546" s="6">
        <f>HYPERLINK("https://fin.land.naver.com/articles/2653504459", "매물Link")</f>
        <v/>
      </c>
      <c r="M546" s="6">
        <f>HYPERLINK("https://map.naver.com/p/search/금남면 부용리 267-1", "지도Link")</f>
        <v/>
      </c>
      <c r="N546" s="6">
        <f>HYPERLINK("http://www.eum.go.kr/web/ar/lu/luLandDet.jsp?pnu=3611034035102670001&amp;isNoScr=script&amp;mode=search", "토지이음")</f>
        <v/>
      </c>
      <c r="O546" s="3" t="inlineStr">
        <is>
          <t>안중행복드림</t>
        </is>
      </c>
      <c r="P546" s="4" t="n">
        <v>1</v>
      </c>
      <c r="Q546" s="4" t="n">
        <v>1554</v>
      </c>
      <c r="R546" s="3" t="inlineStr">
        <is>
          <t>지정되지않음</t>
        </is>
      </c>
      <c r="S546" s="3" t="inlineStr">
        <is>
          <t>답창고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부용리 278-3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105000</v>
      </c>
      <c r="G547" s="4" t="n">
        <v>723</v>
      </c>
      <c r="H547" s="4" t="n">
        <v>219</v>
      </c>
      <c r="I547" s="5" t="n">
        <v>479.5</v>
      </c>
      <c r="J547" s="5" t="n">
        <v>243.5</v>
      </c>
      <c r="K547" s="3" t="inlineStr">
        <is>
          <t>4생활권 접근성  최상의 위치, 대지, 계획관리지역, 현재사무실사용중</t>
        </is>
      </c>
      <c r="L547" s="6">
        <f>HYPERLINK("https://fin.land.naver.com/articles/2651593543", "매물Link")</f>
        <v/>
      </c>
      <c r="M547" s="6">
        <f>HYPERLINK("https://map.naver.com/p/search/금남면 부용리 278-3", "지도Link")</f>
        <v/>
      </c>
      <c r="N547" s="6">
        <f>HYPERLINK("http://www.eum.go.kr/web/ar/lu/luLandDet.jsp?pnu=3611034035102780003&amp;isNoScr=script&amp;mode=search", "토지이음")</f>
        <v/>
      </c>
      <c r="O547" s="3" t="inlineStr">
        <is>
          <t>이담</t>
        </is>
      </c>
      <c r="P547" s="4" t="n">
        <v>1</v>
      </c>
      <c r="Q547" s="4" t="n">
        <v>723</v>
      </c>
      <c r="R547" s="3" t="inlineStr">
        <is>
          <t>지정되지않음</t>
        </is>
      </c>
      <c r="S547" s="3" t="inlineStr">
        <is>
          <t>주거기타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302-3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45000</v>
      </c>
      <c r="G548" s="4" t="n">
        <v>1410</v>
      </c>
      <c r="H548" s="4" t="n">
        <v>427</v>
      </c>
      <c r="I548" s="5" t="n">
        <v>105.4</v>
      </c>
      <c r="J548" s="5" t="n">
        <v>41.9</v>
      </c>
      <c r="K548" s="3" t="inlineStr">
        <is>
          <t>공동 캠퍼스 인근 토지. 강변 근처 토지</t>
        </is>
      </c>
      <c r="L548" s="6">
        <f>HYPERLINK("https://fin.land.naver.com/articles/2651714908", "매물Link")</f>
        <v/>
      </c>
      <c r="M548" s="6">
        <f>HYPERLINK("https://map.naver.com/p/search/금남면 부용리 302-3", "지도Link")</f>
        <v/>
      </c>
      <c r="N548" s="6">
        <f>HYPERLINK("http://www.eum.go.kr/web/ar/lu/luLandDet.jsp?pnu=3611034035103020003&amp;isNoScr=script&amp;mode=search", "토지이음")</f>
        <v/>
      </c>
      <c r="O548" s="3" t="inlineStr">
        <is>
          <t>이레</t>
        </is>
      </c>
      <c r="P548" s="4" t="n">
        <v>1</v>
      </c>
      <c r="Q548" s="4" t="n">
        <v>668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부용리 353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19200</v>
      </c>
      <c r="G549" s="4" t="n">
        <v>635</v>
      </c>
      <c r="H549" s="4" t="n">
        <v>192</v>
      </c>
      <c r="I549" s="5" t="n">
        <v>100</v>
      </c>
      <c r="J549" s="5" t="n">
        <v>30.7</v>
      </c>
      <c r="K549" s="3" t="inlineStr">
        <is>
          <t>저렴한 토지,투자로 추천,4미터 도로접</t>
        </is>
      </c>
      <c r="L549" s="6">
        <f>HYPERLINK("https://fin.land.naver.com/articles/2654853412", "매물Link")</f>
        <v/>
      </c>
      <c r="M549" s="6">
        <f>HYPERLINK("https://map.naver.com/p/search/금남면 부용리 353", "지도Link")</f>
        <v/>
      </c>
      <c r="N549" s="6">
        <f>HYPERLINK("http://www.eum.go.kr/web/ar/lu/luLandDet.jsp?pnu=3611034035103530000&amp;isNoScr=script&amp;mode=search", "토지이음")</f>
        <v/>
      </c>
      <c r="O549" s="3" t="inlineStr">
        <is>
          <t>담뜰</t>
        </is>
      </c>
      <c r="P549" s="4" t="n">
        <v>1</v>
      </c>
      <c r="Q549" s="4" t="n">
        <v>635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부용리 422</t>
        </is>
      </c>
      <c r="B550" s="3" t="inlineStr">
        <is>
          <t>생산관리지역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335000</v>
      </c>
      <c r="G550" s="4" t="n">
        <v>4432</v>
      </c>
      <c r="H550" s="4" t="n">
        <v>1341</v>
      </c>
      <c r="I550" s="5" t="n">
        <v>249.8</v>
      </c>
      <c r="J550" s="5" t="n">
        <v>95.2</v>
      </c>
      <c r="K550" s="3" t="inlineStr">
        <is>
          <t>4개필지, 도로에 접함</t>
        </is>
      </c>
      <c r="L550" s="6">
        <f>HYPERLINK("https://fin.land.naver.com/articles/2653530372", "매물Link")</f>
        <v/>
      </c>
      <c r="M550" s="6">
        <f>HYPERLINK("https://map.naver.com/p/search/금남면 부용리 422", "지도Link")</f>
        <v/>
      </c>
      <c r="N550" s="6">
        <f>HYPERLINK("http://www.eum.go.kr/web/ar/lu/luLandDet.jsp?pnu=3611034035104220000&amp;isNoScr=script&amp;mode=search", "토지이음")</f>
        <v/>
      </c>
      <c r="O550" s="3" t="inlineStr">
        <is>
          <t>황제</t>
        </is>
      </c>
      <c r="P550" s="4" t="n">
        <v>1</v>
      </c>
      <c r="Q550" s="4" t="n">
        <v>3679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금남면 부용리 45</t>
        </is>
      </c>
      <c r="B551" s="3" t="inlineStr">
        <is>
          <t>생산관리지역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115000</v>
      </c>
      <c r="G551" s="4" t="n">
        <v>1218</v>
      </c>
      <c r="H551" s="4" t="n">
        <v>368</v>
      </c>
      <c r="I551" s="5" t="n">
        <v>312.5</v>
      </c>
      <c r="J551" s="5" t="n">
        <v>110</v>
      </c>
      <c r="K551" s="3" t="inlineStr">
        <is>
          <t>세종 금남면 부용리 조망 좋은 생산관리 토지</t>
        </is>
      </c>
      <c r="L551" s="6">
        <f>HYPERLINK("https://fin.land.naver.com/articles/2655655239", "매물Link")</f>
        <v/>
      </c>
      <c r="M551" s="6">
        <f>HYPERLINK("https://map.naver.com/p/search/금남면 부용리 45", "지도Link")</f>
        <v/>
      </c>
      <c r="N551" s="6">
        <f>HYPERLINK("http://www.eum.go.kr/web/ar/lu/luLandDet.jsp?pnu=3611034035100450000&amp;isNoScr=script&amp;mode=search", "토지이음")</f>
        <v/>
      </c>
      <c r="O551" s="3" t="inlineStr">
        <is>
          <t>세종몽땅</t>
        </is>
      </c>
      <c r="P551" s="4" t="n">
        <v>1</v>
      </c>
      <c r="Q551" s="4" t="n">
        <v>1218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부용리 45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110000</v>
      </c>
      <c r="G552" s="4" t="n">
        <v>1218</v>
      </c>
      <c r="H552" s="4" t="n">
        <v>368</v>
      </c>
      <c r="I552" s="5" t="n">
        <v>298.9</v>
      </c>
      <c r="J552" s="5" t="n">
        <v>110</v>
      </c>
      <c r="K552" s="3" t="inlineStr">
        <is>
          <t>금강 조망 최적의 위치</t>
        </is>
      </c>
      <c r="L552" s="6">
        <f>HYPERLINK("https://fin.land.naver.com/articles/2655630405", "매물Link")</f>
        <v/>
      </c>
      <c r="M552" s="6">
        <f>HYPERLINK("https://map.naver.com/p/search/금남면 부용리 45", "지도Link")</f>
        <v/>
      </c>
      <c r="N552" s="6">
        <f>HYPERLINK("http://www.eum.go.kr/web/ar/lu/luLandDet.jsp?pnu=3611034035100450000&amp;isNoScr=script&amp;mode=search", "토지이음")</f>
        <v/>
      </c>
      <c r="O552" s="3" t="inlineStr">
        <is>
          <t>정민</t>
        </is>
      </c>
      <c r="P552" s="4" t="n">
        <v>1</v>
      </c>
      <c r="Q552" s="4" t="n">
        <v>1218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금남면 부용리 45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110000</v>
      </c>
      <c r="G553" s="4" t="n">
        <v>1218</v>
      </c>
      <c r="H553" s="4" t="n">
        <v>368</v>
      </c>
      <c r="I553" s="5" t="n">
        <v>298.9</v>
      </c>
      <c r="J553" s="5" t="n">
        <v>110</v>
      </c>
      <c r="K553" s="3" t="inlineStr">
        <is>
          <t>Point 수변 카페, 전원주택, 가든 등 신축 가능, 도로접 접근성좋음</t>
        </is>
      </c>
      <c r="L553" s="6">
        <f>HYPERLINK("https://fin.land.naver.com/articles/2654669241", "매물Link")</f>
        <v/>
      </c>
      <c r="M553" s="6">
        <f>HYPERLINK("https://map.naver.com/p/search/금남면 부용리 45", "지도Link")</f>
        <v/>
      </c>
      <c r="N553" s="6">
        <f>HYPERLINK("http://www.eum.go.kr/web/ar/lu/luLandDet.jsp?pnu=3611034035100450000&amp;isNoScr=script&amp;mode=search", "토지이음")</f>
        <v/>
      </c>
      <c r="O553" s="3" t="inlineStr">
        <is>
          <t>도마호반</t>
        </is>
      </c>
      <c r="P553" s="4" t="n">
        <v>2</v>
      </c>
      <c r="Q553" s="4" t="n">
        <v>1218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부용리 497-1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19000</v>
      </c>
      <c r="G554" s="4" t="n">
        <v>647</v>
      </c>
      <c r="H554" s="4" t="n">
        <v>196</v>
      </c>
      <c r="I554" s="5" t="n">
        <v>96.90000000000001</v>
      </c>
      <c r="J554" s="5" t="n">
        <v>91.59999999999999</v>
      </c>
      <c r="K554" s="3" t="inlineStr">
        <is>
          <t>조망좋은 부용리 소형토지매매</t>
        </is>
      </c>
      <c r="L554" s="6">
        <f>HYPERLINK("https://fin.land.naver.com/articles/2655172662", "매물Link")</f>
        <v/>
      </c>
      <c r="M554" s="6">
        <f>HYPERLINK("https://map.naver.com/p/search/금남면 부용리 497-1", "지도Link")</f>
        <v/>
      </c>
      <c r="N554" s="6">
        <f>HYPERLINK("http://www.eum.go.kr/web/ar/lu/luLandDet.jsp?pnu=3611034035104970001&amp;isNoScr=script&amp;mode=search", "토지이음")</f>
        <v/>
      </c>
      <c r="O554" s="3" t="inlineStr">
        <is>
          <t>에이스</t>
        </is>
      </c>
      <c r="P554" s="4" t="n">
        <v>1</v>
      </c>
      <c r="Q554" s="4" t="n">
        <v>647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금남면 부용리 507-1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40000</v>
      </c>
      <c r="G555" s="4" t="n">
        <v>372</v>
      </c>
      <c r="H555" s="4" t="n">
        <v>113</v>
      </c>
      <c r="I555" s="5" t="n">
        <v>354</v>
      </c>
      <c r="J555" s="5" t="n">
        <v>241</v>
      </c>
      <c r="K555" s="3" t="inlineStr">
        <is>
          <t>부용리 마을회관인접,교통좋은 위치,투자추천</t>
        </is>
      </c>
      <c r="L555" s="6">
        <f>HYPERLINK("https://fin.land.naver.com/articles/2651671561", "매물Link")</f>
        <v/>
      </c>
      <c r="M555" s="6">
        <f>HYPERLINK("https://map.naver.com/p/search/금남면 부용리 507-1", "지도Link")</f>
        <v/>
      </c>
      <c r="N555" s="6">
        <f>HYPERLINK("http://www.eum.go.kr/web/ar/lu/luLandDet.jsp?pnu=3611034035105070001&amp;isNoScr=script&amp;mode=search", "토지이음")</f>
        <v/>
      </c>
      <c r="O555" s="3" t="inlineStr">
        <is>
          <t>두진</t>
        </is>
      </c>
      <c r="P555" s="4" t="n">
        <v>1</v>
      </c>
      <c r="Q555" s="4" t="n">
        <v>372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513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68000</v>
      </c>
      <c r="G556" s="4" t="n">
        <v>661</v>
      </c>
      <c r="H556" s="4" t="n">
        <v>200</v>
      </c>
      <c r="I556" s="5" t="n">
        <v>340</v>
      </c>
      <c r="J556" s="5" t="n">
        <v>238.6</v>
      </c>
      <c r="K556" s="3" t="inlineStr">
        <is>
          <t>금남면 부용리 계획관리 대지, 4생활권 및 공동캠퍼스 인근, 자연취락지구</t>
        </is>
      </c>
      <c r="L556" s="6">
        <f>HYPERLINK("https://fin.land.naver.com/articles/2654028508", "매물Link")</f>
        <v/>
      </c>
      <c r="M556" s="6">
        <f>HYPERLINK("https://map.naver.com/p/search/금남면 부용리 513", "지도Link")</f>
        <v/>
      </c>
      <c r="N556" s="6">
        <f>HYPERLINK("http://www.eum.go.kr/web/ar/lu/luLandDet.jsp?pnu=3611034035105130000&amp;isNoScr=script&amp;mode=search", "토지이음")</f>
        <v/>
      </c>
      <c r="O556" s="3" t="inlineStr">
        <is>
          <t>스카이</t>
        </is>
      </c>
      <c r="P556" s="4" t="n">
        <v>1</v>
      </c>
      <c r="Q556" s="4" t="n">
        <v>552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금남면 부용리 518-1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87600</v>
      </c>
      <c r="G557" s="4" t="n">
        <v>1449</v>
      </c>
      <c r="H557" s="4" t="n">
        <v>438</v>
      </c>
      <c r="I557" s="5" t="n">
        <v>200</v>
      </c>
      <c r="J557" s="5" t="n">
        <v>205.1</v>
      </c>
      <c r="K557" s="3" t="inlineStr">
        <is>
          <t>연접3필지 일괄매매</t>
        </is>
      </c>
      <c r="L557" s="6">
        <f>HYPERLINK("https://fin.land.naver.com/articles/2650031191", "매물Link")</f>
        <v/>
      </c>
      <c r="M557" s="6">
        <f>HYPERLINK("https://map.naver.com/p/search/금남면 부용리 518-1", "지도Link")</f>
        <v/>
      </c>
      <c r="N557" s="6">
        <f>HYPERLINK("http://www.eum.go.kr/web/ar/lu/luLandDet.jsp?pnu=3611034035105180001&amp;isNoScr=script&amp;mode=search", "토지이음")</f>
        <v/>
      </c>
      <c r="O557" s="3" t="inlineStr">
        <is>
          <t>새뜸마을</t>
        </is>
      </c>
      <c r="P557" s="4" t="n">
        <v>1</v>
      </c>
      <c r="Q557" s="4" t="n">
        <v>1127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부용리 524-5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25900</v>
      </c>
      <c r="G558" s="4" t="n">
        <v>222</v>
      </c>
      <c r="H558" s="4" t="n">
        <v>67</v>
      </c>
      <c r="I558" s="5" t="n">
        <v>386.6</v>
      </c>
      <c r="J558" s="5" t="n">
        <v>223</v>
      </c>
      <c r="K558" s="3" t="inlineStr">
        <is>
          <t>귀한 입지 미래가 창창 합니다  조건은 열성적으로  협의 해 보시게요</t>
        </is>
      </c>
      <c r="L558" s="6">
        <f>HYPERLINK("https://fin.land.naver.com/articles/2654428292", "매물Link")</f>
        <v/>
      </c>
      <c r="M558" s="6">
        <f>HYPERLINK("https://map.naver.com/p/search/금남면 부용리 524-5", "지도Link")</f>
        <v/>
      </c>
      <c r="N558" s="6">
        <f>HYPERLINK("http://www.eum.go.kr/web/ar/lu/luLandDet.jsp?pnu=3611034035105240005&amp;isNoScr=script&amp;mode=search", "토지이음")</f>
        <v/>
      </c>
      <c r="O558" s="3" t="inlineStr">
        <is>
          <t>세종골드삼성</t>
        </is>
      </c>
      <c r="P558" s="4" t="n">
        <v>1</v>
      </c>
      <c r="Q558" s="4" t="n">
        <v>222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부용리 534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57600</v>
      </c>
      <c r="G559" s="4" t="n">
        <v>424</v>
      </c>
      <c r="H559" s="4" t="n">
        <v>128</v>
      </c>
      <c r="I559" s="5" t="n">
        <v>450</v>
      </c>
      <c r="J559" s="5" t="n">
        <v>159.9</v>
      </c>
      <c r="K559" s="3" t="inlineStr">
        <is>
          <t>입지좋은 도로변토지매매추천</t>
        </is>
      </c>
      <c r="L559" s="6">
        <f>HYPERLINK("https://fin.land.naver.com/articles/2655645476", "매물Link")</f>
        <v/>
      </c>
      <c r="M559" s="6">
        <f>HYPERLINK("https://map.naver.com/p/search/금남면 부용리 534", "지도Link")</f>
        <v/>
      </c>
      <c r="N559" s="6">
        <f>HYPERLINK("http://www.eum.go.kr/web/ar/lu/luLandDet.jsp?pnu=3611034035105340000&amp;isNoScr=script&amp;mode=search", "토지이음")</f>
        <v/>
      </c>
      <c r="O559" s="3" t="inlineStr">
        <is>
          <t>세종365</t>
        </is>
      </c>
      <c r="P559" s="4" t="n">
        <v>1</v>
      </c>
      <c r="Q559" s="4" t="n">
        <v>424</v>
      </c>
      <c r="R559" s="3" t="inlineStr">
        <is>
          <t>지정되지않음</t>
        </is>
      </c>
      <c r="S559" s="3" t="inlineStr">
        <is>
          <t>전기타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부용리 535-1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58000</v>
      </c>
      <c r="G560" s="4" t="n">
        <v>400</v>
      </c>
      <c r="H560" s="4" t="n">
        <v>121</v>
      </c>
      <c r="I560" s="5" t="n">
        <v>479.3</v>
      </c>
      <c r="J560" s="5" t="n">
        <v>225.2</v>
      </c>
      <c r="K560" s="3" t="inlineStr">
        <is>
          <t>세종시 공동캠퍼스 주변 원룸및 전원주택 가능</t>
        </is>
      </c>
      <c r="L560" s="6">
        <f>HYPERLINK("https://fin.land.naver.com/articles/2653842787", "매물Link")</f>
        <v/>
      </c>
      <c r="M560" s="6">
        <f>HYPERLINK("https://map.naver.com/p/search/금남면 부용리 535-1", "지도Link")</f>
        <v/>
      </c>
      <c r="N560" s="6">
        <f>HYPERLINK("http://www.eum.go.kr/web/ar/lu/luLandDet.jsp?pnu=3611034035105350001&amp;isNoScr=script&amp;mode=search", "토지이음")</f>
        <v/>
      </c>
      <c r="O560" s="3" t="inlineStr">
        <is>
          <t>세종나라</t>
        </is>
      </c>
      <c r="P560" s="4" t="n">
        <v>1</v>
      </c>
      <c r="Q560" s="4" t="n">
        <v>400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612-3</t>
        </is>
      </c>
      <c r="B561" s="3" t="inlineStr">
        <is>
          <t>개발제한구역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</v>
      </c>
      <c r="G561" s="4" t="n">
        <v>633</v>
      </c>
      <c r="H561" s="4" t="n">
        <v>191</v>
      </c>
      <c r="I561" s="5" t="n">
        <v>115.2</v>
      </c>
      <c r="J561" s="5" t="n">
        <v>48.3</v>
      </c>
      <c r="K561" s="3" t="inlineStr">
        <is>
          <t>자연녹지 전, 농업진흥구역, 개발제한구역, 토지거래허가구역</t>
        </is>
      </c>
      <c r="L561" s="6">
        <f>HYPERLINK("https://fin.land.naver.com/articles/2652102753", "매물Link")</f>
        <v/>
      </c>
      <c r="M561" s="6">
        <f>HYPERLINK("https://map.naver.com/p/search/금남면 부용리 612-3", "지도Link")</f>
        <v/>
      </c>
      <c r="N561" s="6">
        <f>HYPERLINK("http://www.eum.go.kr/web/ar/lu/luLandDet.jsp?pnu=3611034035106120003&amp;isNoScr=script&amp;mode=search",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633.2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세로장방</t>
        </is>
      </c>
      <c r="V561" s="3" t="inlineStr">
        <is>
          <t>세로한면(가)</t>
        </is>
      </c>
    </row>
    <row r="562">
      <c r="A562" s="3" t="inlineStr">
        <is>
          <t>금남면 부용리 83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20000</v>
      </c>
      <c r="G562" s="4" t="n">
        <v>331</v>
      </c>
      <c r="H562" s="4" t="n">
        <v>100</v>
      </c>
      <c r="I562" s="5" t="n">
        <v>200</v>
      </c>
      <c r="J562" s="5" t="n">
        <v>136.9</v>
      </c>
      <c r="K562" s="3" t="inlineStr">
        <is>
          <t>세종 금남면 토지, 성장관리계획구역, 금강, 부강역, 세종5생활권</t>
        </is>
      </c>
      <c r="L562" s="6">
        <f>HYPERLINK("https://fin.land.naver.com/articles/2653517417", "매물Link")</f>
        <v/>
      </c>
      <c r="M562" s="6">
        <f>HYPERLINK("https://map.naver.com/p/search/금남면 부용리 83", "지도Link")</f>
        <v/>
      </c>
      <c r="N562" s="6">
        <f>HYPERLINK("http://www.eum.go.kr/web/ar/lu/luLandDet.jsp?pnu=3611034035100830000&amp;isNoScr=script&amp;mode=search", "토지이음")</f>
        <v/>
      </c>
      <c r="O562" s="3" t="inlineStr">
        <is>
          <t>나침반</t>
        </is>
      </c>
      <c r="P562" s="4" t="n">
        <v>1</v>
      </c>
      <c r="Q562" s="4" t="n">
        <v>331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86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105000</v>
      </c>
      <c r="G563" s="4" t="n">
        <v>1405</v>
      </c>
      <c r="H563" s="4" t="n">
        <v>425</v>
      </c>
      <c r="I563" s="5" t="n">
        <v>247.1</v>
      </c>
      <c r="J563" s="5" t="n">
        <v>147.2</v>
      </c>
      <c r="K563" s="3" t="inlineStr">
        <is>
          <t>대학교 인근 계획관리 토지</t>
        </is>
      </c>
      <c r="L563" s="6">
        <f>HYPERLINK("https://fin.land.naver.com/articles/2653362495", "매물Link")</f>
        <v/>
      </c>
      <c r="M563" s="6">
        <f>HYPERLINK("https://map.naver.com/p/search/금남면 부용리 86", "지도Link")</f>
        <v/>
      </c>
      <c r="N563" s="6">
        <f>HYPERLINK("http://www.eum.go.kr/web/ar/lu/luLandDet.jsp?pnu=3611034035100860000&amp;isNoScr=script&amp;mode=search",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1405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세로한면(가)</t>
        </is>
      </c>
    </row>
    <row r="564">
      <c r="A564" s="3" t="inlineStr">
        <is>
          <t>금남면 부용리 87-1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전</t>
        </is>
      </c>
      <c r="E564" s="3" t="inlineStr">
        <is>
          <t>매매</t>
        </is>
      </c>
      <c r="F564" s="4" t="n">
        <v>250000</v>
      </c>
      <c r="G564" s="4" t="n">
        <v>324</v>
      </c>
      <c r="H564" s="4" t="n">
        <v>98</v>
      </c>
      <c r="I564" s="5" t="n">
        <v>2551</v>
      </c>
      <c r="J564" s="5" t="n">
        <v>241.6</v>
      </c>
      <c r="K564" s="3" t="inlineStr">
        <is>
          <t>금강면 부강생활 체육공원 마자은편3필지 매매가격조율 가능</t>
        </is>
      </c>
      <c r="L564" s="6">
        <f>HYPERLINK("https://fin.land.naver.com/articles/2650977251", "매물Link")</f>
        <v/>
      </c>
      <c r="M564" s="6">
        <f>HYPERLINK("https://map.naver.com/p/search/금남면 부용리 87-1", "지도Link")</f>
        <v/>
      </c>
      <c r="N564" s="6">
        <f>HYPERLINK("http://www.eum.go.kr/web/ar/lu/luLandDet.jsp?pnu=3611034035100870001&amp;isNoScr=script&amp;mode=search", "토지이음")</f>
        <v/>
      </c>
      <c r="O564" s="3" t="inlineStr">
        <is>
          <t>금백</t>
        </is>
      </c>
      <c r="P564" s="4" t="n">
        <v>1</v>
      </c>
      <c r="Q564" s="4" t="n">
        <v>324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88-1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33000</v>
      </c>
      <c r="G565" s="4" t="n">
        <v>295</v>
      </c>
      <c r="H565" s="4" t="n">
        <v>89</v>
      </c>
      <c r="I565" s="5" t="n">
        <v>370.8</v>
      </c>
      <c r="J565" s="5" t="n">
        <v>241.6</v>
      </c>
      <c r="K565" s="3" t="inlineStr">
        <is>
          <t>귀한 원주민 토지. 소형평수. 금강벚꽃길을 내집에서 감상하세요</t>
        </is>
      </c>
      <c r="L565" s="6">
        <f>HYPERLINK("https://fin.land.naver.com/articles/2653462061", "매물Link")</f>
        <v/>
      </c>
      <c r="M565" s="6">
        <f>HYPERLINK("https://map.naver.com/p/search/금남면 부용리 88-1", "지도Link")</f>
        <v/>
      </c>
      <c r="N565" s="6">
        <f>HYPERLINK("http://www.eum.go.kr/web/ar/lu/luLandDet.jsp?pnu=3611034035100880001&amp;isNoScr=script&amp;mode=search", "토지이음")</f>
        <v/>
      </c>
      <c r="O565" s="3" t="inlineStr">
        <is>
          <t>세종금밭</t>
        </is>
      </c>
      <c r="P565" s="4" t="n">
        <v>1</v>
      </c>
      <c r="Q565" s="4" t="n">
        <v>295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부용리 97-2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90000</v>
      </c>
      <c r="G566" s="4" t="n">
        <v>1051</v>
      </c>
      <c r="H566" s="4" t="n">
        <v>318</v>
      </c>
      <c r="I566" s="5" t="n">
        <v>283</v>
      </c>
      <c r="J566" s="5" t="n">
        <v>241.6</v>
      </c>
      <c r="K566" s="3" t="inlineStr">
        <is>
          <t>대학교 인근 토지.</t>
        </is>
      </c>
      <c r="L566" s="6">
        <f>HYPERLINK("https://fin.land.naver.com/articles/2653362520", "매물Link")</f>
        <v/>
      </c>
      <c r="M566" s="6">
        <f>HYPERLINK("https://map.naver.com/p/search/금남면 부용리 97-2", "지도Link")</f>
        <v/>
      </c>
      <c r="N566" s="6">
        <f>HYPERLINK("http://www.eum.go.kr/web/ar/lu/luLandDet.jsp?pnu=3611034035100970002&amp;isNoScr=script&amp;mode=search",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1051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산49</t>
        </is>
      </c>
      <c r="B567" s="3" t="inlineStr">
        <is>
          <t>계획관리지역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200000</v>
      </c>
      <c r="G567" s="4" t="n">
        <v>2380</v>
      </c>
      <c r="H567" s="4" t="n">
        <v>720</v>
      </c>
      <c r="I567" s="5" t="n">
        <v>277.8</v>
      </c>
      <c r="J567" s="5" t="n">
        <v>20</v>
      </c>
      <c r="K567" s="3" t="inlineStr">
        <is>
          <t>대학교인근 계획관리</t>
        </is>
      </c>
      <c r="L567" s="6">
        <f>HYPERLINK("https://fin.land.naver.com/articles/2651714885", "매물Link")</f>
        <v/>
      </c>
      <c r="M567" s="6">
        <f>HYPERLINK("https://map.naver.com/p/search/금남면 부용리 산49", "지도Link")</f>
        <v/>
      </c>
      <c r="N567" s="6">
        <f>HYPERLINK("http://www.eum.go.kr/web/ar/lu/luLandDet.jsp?pnu=3611034035200490000&amp;isNoScr=script&amp;mode=search",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2380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산5-5</t>
        </is>
      </c>
      <c r="B568" s="3" t="inlineStr">
        <is>
          <t>농림지역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152000</v>
      </c>
      <c r="G568" s="4" t="n">
        <v>62888</v>
      </c>
      <c r="H568" s="4" t="n">
        <v>19024</v>
      </c>
      <c r="I568" s="5" t="n">
        <v>8</v>
      </c>
      <c r="J568" s="5" t="n">
        <v>2.3</v>
      </c>
      <c r="K568" s="3" t="inlineStr">
        <is>
          <t>행복도시 접한 투자용 임야</t>
        </is>
      </c>
      <c r="L568" s="6">
        <f>HYPERLINK("https://fin.land.naver.com/articles/2654855925", "매물Link")</f>
        <v/>
      </c>
      <c r="M568" s="6">
        <f>HYPERLINK("https://map.naver.com/p/search/금남면 부용리 산5-5", "지도Link")</f>
        <v/>
      </c>
      <c r="N568" s="6">
        <f>HYPERLINK("http://www.eum.go.kr/web/ar/lu/luLandDet.jsp?pnu=3611034035200050005&amp;isNoScr=script&amp;mode=search", "토지이음")</f>
        <v/>
      </c>
      <c r="O568" s="3" t="inlineStr">
        <is>
          <t>세종스타</t>
        </is>
      </c>
      <c r="P568" s="4" t="n">
        <v>2</v>
      </c>
      <c r="Q568" s="4" t="n">
        <v>62888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금남면 부용리 산81-1</t>
        </is>
      </c>
      <c r="B569" s="3" t="inlineStr">
        <is>
          <t>개발제한구역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100000</v>
      </c>
      <c r="G569" s="4" t="n">
        <v>22784</v>
      </c>
      <c r="H569" s="4" t="n">
        <v>6892</v>
      </c>
      <c r="I569" s="5" t="n">
        <v>14.5</v>
      </c>
      <c r="J569" s="5" t="n">
        <v>3.4</v>
      </c>
      <c r="K569" s="3" t="inlineStr">
        <is>
          <t>도시지역,자연녹지,개발제한구역,진입도로 있슴,전망좋음.조율가,4생활권근교</t>
        </is>
      </c>
      <c r="L569" s="6">
        <f>HYPERLINK("https://fin.land.naver.com/articles/2654138457", "매물Link")</f>
        <v/>
      </c>
      <c r="M569" s="6">
        <f>HYPERLINK("https://map.naver.com/p/search/금남면 부용리 산81-1", "지도Link")</f>
        <v/>
      </c>
      <c r="N569" s="6">
        <f>HYPERLINK("http://www.eum.go.kr/web/ar/lu/luLandDet.jsp?pnu=3611034035200810001&amp;isNoScr=script&amp;mode=search", "토지이음")</f>
        <v/>
      </c>
      <c r="O569" s="3" t="inlineStr">
        <is>
          <t>세종지원</t>
        </is>
      </c>
      <c r="P569" s="4" t="n">
        <v>1</v>
      </c>
      <c r="Q569" s="4" t="n">
        <v>17251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성강리 109-10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60000</v>
      </c>
      <c r="G570" s="4" t="n">
        <v>550</v>
      </c>
      <c r="H570" s="4" t="n">
        <v>166</v>
      </c>
      <c r="I570" s="5" t="n">
        <v>361.4</v>
      </c>
      <c r="J570" s="5" t="n">
        <v>62</v>
      </c>
      <c r="K570" s="3" t="inlineStr">
        <is>
          <t>4차선 도로에 인접하고 동학사와 근접해 있는 조망좋은 전원주택지</t>
        </is>
      </c>
      <c r="L570" s="6">
        <f>HYPERLINK("https://fin.land.naver.com/articles/2651194389", "매물Link")</f>
        <v/>
      </c>
      <c r="M570" s="6">
        <f>HYPERLINK("https://map.naver.com/p/search/금남면 성강리 109-10", "지도Link")</f>
        <v/>
      </c>
      <c r="N570" s="6">
        <f>HYPERLINK("http://www.eum.go.kr/web/ar/lu/luLandDet.jsp?pnu=3611034042101090010&amp;isNoScr=script&amp;mode=search", "토지이음")</f>
        <v/>
      </c>
      <c r="O570" s="3" t="inlineStr">
        <is>
          <t>가람</t>
        </is>
      </c>
      <c r="P570" s="4" t="n">
        <v>1</v>
      </c>
      <c r="Q570" s="4" t="n">
        <v>550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성강리 109-40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703</v>
      </c>
      <c r="H571" s="4" t="n">
        <v>213</v>
      </c>
      <c r="I571" s="5" t="n">
        <v>154.9</v>
      </c>
      <c r="J571" s="5" t="n">
        <v>62</v>
      </c>
      <c r="K571" s="3" t="inlineStr">
        <is>
          <t>세종시 금남면 성강리 전원주택지 비버리힐스 급매 010 3819 3805</t>
        </is>
      </c>
      <c r="L571" s="6">
        <f>HYPERLINK("https://fin.land.naver.com/articles/2650215939", "매물Link")</f>
        <v/>
      </c>
      <c r="M571" s="6">
        <f>HYPERLINK("https://map.naver.com/p/search/금남면 성강리 109-40", "지도Link")</f>
        <v/>
      </c>
      <c r="N571" s="6">
        <f>HYPERLINK("http://www.eum.go.kr/web/ar/lu/luLandDet.jsp?pnu=3611034042101090040&amp;isNoScr=script&amp;mode=search", "토지이음")</f>
        <v/>
      </c>
      <c r="O571" s="3" t="inlineStr">
        <is>
          <t>국제</t>
        </is>
      </c>
      <c r="P571" s="4" t="n">
        <v>1</v>
      </c>
      <c r="Q571" s="4" t="n">
        <v>580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성강리 119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100000</v>
      </c>
      <c r="G572" s="4" t="n">
        <v>3326</v>
      </c>
      <c r="H572" s="4" t="n">
        <v>1006</v>
      </c>
      <c r="I572" s="5" t="n">
        <v>99.40000000000001</v>
      </c>
      <c r="J572" s="5" t="n">
        <v>28.9</v>
      </c>
      <c r="K572" s="3" t="inlineStr">
        <is>
          <t>성강길인근토지 도보5분대단지아파트입주예정</t>
        </is>
      </c>
      <c r="L572" s="6">
        <f>HYPERLINK("https://fin.land.naver.com/articles/2652653766", "매물Link")</f>
        <v/>
      </c>
      <c r="M572" s="6">
        <f>HYPERLINK("https://map.naver.com/p/search/금남면 성강리 119", "지도Link")</f>
        <v/>
      </c>
      <c r="N572" s="6">
        <f>HYPERLINK("http://www.eum.go.kr/web/ar/lu/luLandDet.jsp?pnu=3611034042101190000&amp;isNoScr=script&amp;mode=search",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3326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188-4</t>
        </is>
      </c>
      <c r="B573" s="3" t="inlineStr">
        <is>
          <t>생산관리지역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26000</v>
      </c>
      <c r="G573" s="4" t="n">
        <v>792</v>
      </c>
      <c r="H573" s="4" t="n">
        <v>240</v>
      </c>
      <c r="I573" s="5" t="n">
        <v>108.3</v>
      </c>
      <c r="J573" s="5" t="n">
        <v>35.4</v>
      </c>
      <c r="K573" s="3" t="inlineStr">
        <is>
          <t>계룡산 뷰 전원주택부지 매매</t>
        </is>
      </c>
      <c r="L573" s="6">
        <f>HYPERLINK("https://fin.land.naver.com/articles/2655589005", "매물Link")</f>
        <v/>
      </c>
      <c r="M573" s="6">
        <f>HYPERLINK("https://map.naver.com/p/search/금남면 성강리 188-4", "지도Link")</f>
        <v/>
      </c>
      <c r="N573" s="6">
        <f>HYPERLINK("http://www.eum.go.kr/web/ar/lu/luLandDet.jsp?pnu=3611034042101880004&amp;isNoScr=script&amp;mode=search", "토지이음")</f>
        <v/>
      </c>
      <c r="O573" s="3" t="inlineStr">
        <is>
          <t>신세계</t>
        </is>
      </c>
      <c r="P573" s="4" t="n">
        <v>1</v>
      </c>
      <c r="Q573" s="4" t="n">
        <v>677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금남면 성강리 234</t>
        </is>
      </c>
      <c r="B574" s="3" t="inlineStr">
        <is>
          <t>농림지역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80000</v>
      </c>
      <c r="G574" s="4" t="n">
        <v>3316</v>
      </c>
      <c r="H574" s="4" t="n">
        <v>1003</v>
      </c>
      <c r="I574" s="5" t="n">
        <v>79.8</v>
      </c>
      <c r="J574" s="5" t="n">
        <v>40.3</v>
      </c>
      <c r="K574" s="3" t="inlineStr">
        <is>
          <t>접근성이좋은 도로에접해있는토지남세종IC10분거리근처대단지아파트분양예정</t>
        </is>
      </c>
      <c r="L574" s="6">
        <f>HYPERLINK("https://fin.land.naver.com/articles/2655500787", "매물Link")</f>
        <v/>
      </c>
      <c r="M574" s="6">
        <f>HYPERLINK("https://map.naver.com/p/search/금남면 성강리 234", "지도Link")</f>
        <v/>
      </c>
      <c r="N574" s="6">
        <f>HYPERLINK("http://www.eum.go.kr/web/ar/lu/luLandDet.jsp?pnu=3611034042102340000&amp;isNoScr=script&amp;mode=search", "토지이음")</f>
        <v/>
      </c>
      <c r="O574" s="3" t="inlineStr">
        <is>
          <t>성대리치</t>
        </is>
      </c>
      <c r="P574" s="4" t="n">
        <v>1</v>
      </c>
      <c r="Q574" s="4" t="n">
        <v>3316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240</t>
        </is>
      </c>
      <c r="B575" s="3" t="inlineStr">
        <is>
          <t>생산관리지역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813</v>
      </c>
      <c r="H575" s="4" t="n">
        <v>246</v>
      </c>
      <c r="I575" s="5" t="n">
        <v>284.6</v>
      </c>
      <c r="J575" s="5" t="n">
        <v>71.3</v>
      </c>
      <c r="K575" s="3" t="inlineStr">
        <is>
          <t>사진0  이쁘게 잘꾸며진 정원이있는 전원주택 토지 매매</t>
        </is>
      </c>
      <c r="L575" s="6">
        <f>HYPERLINK("https://fin.land.naver.com/articles/2652662384", "매물Link")</f>
        <v/>
      </c>
      <c r="M575" s="6">
        <f>HYPERLINK("https://map.naver.com/p/search/금남면 성강리 240", "지도Link")</f>
        <v/>
      </c>
      <c r="N575" s="6">
        <f>HYPERLINK("http://www.eum.go.kr/web/ar/lu/luLandDet.jsp?pnu=3611034042102400000&amp;isNoScr=script&amp;mode=search", "토지이음")</f>
        <v/>
      </c>
      <c r="O575" s="3" t="inlineStr">
        <is>
          <t>어울림</t>
        </is>
      </c>
      <c r="P575" s="4" t="n">
        <v>1</v>
      </c>
      <c r="Q575" s="4" t="n">
        <v>814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HYPERLINK("https://fin.land.naver.com/articles/2651464416",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306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78.8</v>
      </c>
      <c r="K577" s="3" t="inlineStr">
        <is>
          <t>세종시 근접한 조용한 주택지</t>
        </is>
      </c>
      <c r="L577" s="6">
        <f>HYPERLINK("https://fin.land.naver.com/articles/2655550854", "매물Link")</f>
        <v/>
      </c>
      <c r="M577" s="6">
        <f>HYPERLINK("https://map.naver.com/p/search/금남면 성강리 306", "지도Link")</f>
        <v/>
      </c>
      <c r="N577" s="6">
        <f>HYPERLINK("http://www.eum.go.kr/web/ar/lu/luLandDet.jsp?pnu=3611034042103060000&amp;isNoScr=script&amp;mode=search",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281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306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22000</v>
      </c>
      <c r="G578" s="4" t="n">
        <v>462</v>
      </c>
      <c r="H578" s="4" t="n">
        <v>140</v>
      </c>
      <c r="I578" s="5" t="n">
        <v>157.1</v>
      </c>
      <c r="J578" s="5" t="n">
        <v>78.8</v>
      </c>
      <c r="K578" s="3" t="inlineStr">
        <is>
          <t>시내권 차량10분거리,도로접,조그만 집 지어 조용한 전원생활,텃밭이용가,</t>
        </is>
      </c>
      <c r="L578" s="6">
        <f>HYPERLINK("https://fin.land.naver.com/articles/2652709212", "매물Link")</f>
        <v/>
      </c>
      <c r="M578" s="6">
        <f>HYPERLINK("https://map.naver.com/p/search/금남면 성강리 306", "지도Link")</f>
        <v/>
      </c>
      <c r="N578" s="6">
        <f>HYPERLINK("http://www.eum.go.kr/web/ar/lu/luLandDet.jsp?pnu=3611034042103060000&amp;isNoScr=script&amp;mode=search", "토지이음")</f>
        <v/>
      </c>
      <c r="O578" s="3" t="inlineStr">
        <is>
          <t>세종지원</t>
        </is>
      </c>
      <c r="P578" s="4" t="n">
        <v>1</v>
      </c>
      <c r="Q578" s="4" t="n">
        <v>281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325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대</t>
        </is>
      </c>
      <c r="E579" s="3" t="inlineStr">
        <is>
          <t>매매</t>
        </is>
      </c>
      <c r="F579" s="4" t="n">
        <v>21000</v>
      </c>
      <c r="G579" s="4" t="n">
        <v>463</v>
      </c>
      <c r="H579" s="4" t="n">
        <v>140</v>
      </c>
      <c r="I579" s="5" t="n">
        <v>150</v>
      </c>
      <c r="J579" s="5" t="n">
        <v>43</v>
      </c>
      <c r="K579" s="3" t="inlineStr">
        <is>
          <t>경관과 조망이 좋은 마을 포장도로에 접한 계획관리지역의 대지와 전 입니다</t>
        </is>
      </c>
      <c r="L579" s="6">
        <f>HYPERLINK("https://fin.land.naver.com/articles/2654790132", "매물Link")</f>
        <v/>
      </c>
      <c r="M579" s="6">
        <f>HYPERLINK("https://map.naver.com/p/search/금남면 성강리 325", "지도Link")</f>
        <v/>
      </c>
      <c r="N579" s="6">
        <f>HYPERLINK("http://www.eum.go.kr/web/ar/lu/luLandDet.jsp?pnu=3611034042103250000&amp;isNoScr=script&amp;mode=search", "토지이음")</f>
        <v/>
      </c>
      <c r="O579" s="3" t="inlineStr">
        <is>
          <t>스마일세종</t>
        </is>
      </c>
      <c r="P579" s="4" t="n">
        <v>1</v>
      </c>
      <c r="Q579" s="4" t="n">
        <v>182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349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8000</v>
      </c>
      <c r="G580" s="4" t="n">
        <v>202</v>
      </c>
      <c r="H580" s="4" t="n">
        <v>61</v>
      </c>
      <c r="I580" s="5" t="n">
        <v>131.1</v>
      </c>
      <c r="J580" s="5" t="n">
        <v>32.6</v>
      </c>
      <c r="K580" s="3" t="inlineStr">
        <is>
          <t>도로 예쁘게 접한 저렴이 토지</t>
        </is>
      </c>
      <c r="L580" s="6">
        <f>HYPERLINK("https://fin.land.naver.com/articles/2651733850", "매물Link")</f>
        <v/>
      </c>
      <c r="M580" s="6">
        <f>HYPERLINK("https://map.naver.com/p/search/금남면 성강리 349", "지도Link")</f>
        <v/>
      </c>
      <c r="N580" s="6">
        <f>HYPERLINK("http://www.eum.go.kr/web/ar/lu/luLandDet.jsp?pnu=3611034042103490000&amp;isNoScr=script&amp;mode=search", "토지이음")</f>
        <v/>
      </c>
      <c r="O580" s="3" t="inlineStr">
        <is>
          <t>THE행복</t>
        </is>
      </c>
      <c r="P580" s="4" t="n">
        <v>1</v>
      </c>
      <c r="Q580" s="4" t="n">
        <v>202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금남면 성강리 456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20000</v>
      </c>
      <c r="G581" s="4" t="n">
        <v>426</v>
      </c>
      <c r="H581" s="4" t="n">
        <v>129</v>
      </c>
      <c r="I581" s="5" t="n">
        <v>155</v>
      </c>
      <c r="J581" s="5" t="n">
        <v>25.6</v>
      </c>
      <c r="K581" s="3" t="inlineStr">
        <is>
          <t>비닐하우스, 조경수식재,  정비잘되어있는 토지입니다.</t>
        </is>
      </c>
      <c r="L581" s="6">
        <f>HYPERLINK("https://fin.land.naver.com/articles/2651395945", "매물Link")</f>
        <v/>
      </c>
      <c r="M581" s="6">
        <f>HYPERLINK("https://map.naver.com/p/search/금남면 성강리 456", "지도Link")</f>
        <v/>
      </c>
      <c r="N581" s="6">
        <f>HYPERLINK("http://www.eum.go.kr/web/ar/lu/luLandDet.jsp?pnu=3611034042104560000&amp;isNoScr=script&amp;mode=search", "토지이음")</f>
        <v/>
      </c>
      <c r="O581" s="3" t="inlineStr">
        <is>
          <t>이담</t>
        </is>
      </c>
      <c r="P581" s="4" t="n">
        <v>1</v>
      </c>
      <c r="Q581" s="4" t="n">
        <v>426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성덕리 170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100800</v>
      </c>
      <c r="G582" s="4" t="n">
        <v>1851</v>
      </c>
      <c r="H582" s="4" t="n">
        <v>560</v>
      </c>
      <c r="I582" s="5" t="n">
        <v>180</v>
      </c>
      <c r="J582" s="5" t="n">
        <v>69.09999999999999</v>
      </c>
      <c r="K582" s="3" t="inlineStr">
        <is>
          <t>세종시 초인접 성덕리 토지, 건축가능, 개발여지 많은 토지</t>
        </is>
      </c>
      <c r="L582" s="6">
        <f>HYPERLINK("https://fin.land.naver.com/articles/2652093689", "매물Link")</f>
        <v/>
      </c>
      <c r="M582" s="6">
        <f>HYPERLINK("https://map.naver.com/p/search/금남면 성덕리 170", "지도Link")</f>
        <v/>
      </c>
      <c r="N582" s="6">
        <f>HYPERLINK("http://www.eum.go.kr/web/ar/lu/luLandDet.jsp?pnu=3611034040101700000&amp;isNoScr=script&amp;mode=search", "토지이음")</f>
        <v/>
      </c>
      <c r="O582" s="3" t="inlineStr">
        <is>
          <t>미스터홈즈강남지사</t>
        </is>
      </c>
      <c r="P582" s="4" t="n">
        <v>1</v>
      </c>
      <c r="Q582" s="4" t="n">
        <v>1851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가로장방</t>
        </is>
      </c>
      <c r="V582" s="3" t="inlineStr">
        <is>
          <t>세로각지(가)</t>
        </is>
      </c>
    </row>
    <row r="583">
      <c r="A583" s="3" t="inlineStr">
        <is>
          <t>금남면 성덕리 195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134.8</v>
      </c>
      <c r="K583" s="3" t="inlineStr">
        <is>
          <t>계획관리지역 대지와답 분할매매가능</t>
        </is>
      </c>
      <c r="L583" s="6">
        <f>HYPERLINK("https://fin.land.naver.com/articles/2650467278", "매물Link")</f>
        <v/>
      </c>
      <c r="M583" s="6">
        <f>HYPERLINK("https://map.naver.com/p/search/금남면 성덕리 195", "지도Link")</f>
        <v/>
      </c>
      <c r="N583" s="6">
        <f>HYPERLINK("http://www.eum.go.kr/web/ar/lu/luLandDet.jsp?pnu=3611034040101950000&amp;isNoScr=script&amp;mode=search", "토지이음")</f>
        <v/>
      </c>
      <c r="O583" s="3" t="inlineStr">
        <is>
          <t>열린</t>
        </is>
      </c>
      <c r="P583" s="4" t="n">
        <v>1</v>
      </c>
      <c r="Q583" s="4" t="n">
        <v>470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사진.유.도로.농로접.계획관리지역.대전.30분이내.투자.강력추천</t>
        </is>
      </c>
      <c r="L584" s="6">
        <f>HYPERLINK("https://fin.land.naver.com/articles/2650737015",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명작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197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106.7</v>
      </c>
      <c r="K585" s="3" t="inlineStr">
        <is>
          <t>삼면이 도로에접한 남향 토지,전과 대지3필지,분할매매가능,차량진입가능,</t>
        </is>
      </c>
      <c r="L585" s="6">
        <f>HYPERLINK("https://fin.land.naver.com/articles/2650391832", "매물Link")</f>
        <v/>
      </c>
      <c r="M585" s="6">
        <f>HYPERLINK("https://map.naver.com/p/search/금남면 성덕리 197", "지도Link")</f>
        <v/>
      </c>
      <c r="N585" s="6">
        <f>HYPERLINK("http://www.eum.go.kr/web/ar/lu/luLandDet.jsp?pnu=3611034040101970000&amp;isNoScr=script&amp;mode=search", "토지이음")</f>
        <v/>
      </c>
      <c r="O585" s="3" t="inlineStr">
        <is>
          <t>담뜰</t>
        </is>
      </c>
      <c r="P585" s="4" t="n">
        <v>1</v>
      </c>
      <c r="Q585" s="4" t="n">
        <v>3014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금남면 성덕리 200-2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100000</v>
      </c>
      <c r="G586" s="4" t="n">
        <v>1339</v>
      </c>
      <c r="H586" s="4" t="n">
        <v>405</v>
      </c>
      <c r="I586" s="5" t="n">
        <v>246.9</v>
      </c>
      <c r="J586" s="5" t="n">
        <v>65</v>
      </c>
      <c r="K586" s="3" t="inlineStr">
        <is>
          <t>nan</t>
        </is>
      </c>
      <c r="L586" s="6">
        <f>HYPERLINK("https://fin.land.naver.com/articles/2651560176", "매물Link")</f>
        <v/>
      </c>
      <c r="M586" s="6">
        <f>HYPERLINK("https://map.naver.com/p/search/금남면 성덕리 200-2", "지도Link")</f>
        <v/>
      </c>
      <c r="N586" s="6">
        <f>HYPERLINK("http://www.eum.go.kr/web/ar/lu/luLandDet.jsp?pnu=3611034040102000002&amp;isNoScr=script&amp;mode=search", "토지이음")</f>
        <v/>
      </c>
      <c r="O586" s="3" t="inlineStr">
        <is>
          <t>부엉이</t>
        </is>
      </c>
      <c r="P586" s="4" t="n">
        <v>1</v>
      </c>
      <c r="Q586" s="4" t="n">
        <v>1339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205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52500</v>
      </c>
      <c r="G587" s="4" t="n">
        <v>968</v>
      </c>
      <c r="H587" s="4" t="n">
        <v>293</v>
      </c>
      <c r="I587" s="5" t="n">
        <v>179.2</v>
      </c>
      <c r="J587" s="5" t="n">
        <v>65</v>
      </c>
      <c r="K587" s="3" t="inlineStr">
        <is>
          <t>200p대 분할급매매 세종 신도시 접경지 개발호재지 도로접</t>
        </is>
      </c>
      <c r="L587" s="6">
        <f>HYPERLINK("https://fin.land.naver.com/articles/2652292498", "매물Link")</f>
        <v/>
      </c>
      <c r="M587" s="6">
        <f>HYPERLINK("https://map.naver.com/p/search/금남면 성덕리 205", "지도Link")</f>
        <v/>
      </c>
      <c r="N587" s="6">
        <f>HYPERLINK("http://www.eum.go.kr/web/ar/lu/luLandDet.jsp?pnu=3611034040102050000&amp;isNoScr=script&amp;mode=search", "토지이음")</f>
        <v/>
      </c>
      <c r="O587" s="3" t="inlineStr">
        <is>
          <t>세종강남</t>
        </is>
      </c>
      <c r="P587" s="4" t="n">
        <v>1</v>
      </c>
      <c r="Q587" s="4" t="n">
        <v>1936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290-1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100000</v>
      </c>
      <c r="G588" s="4" t="n">
        <v>1091</v>
      </c>
      <c r="H588" s="4" t="n">
        <v>330</v>
      </c>
      <c r="I588" s="5" t="n">
        <v>303</v>
      </c>
      <c r="J588" s="5" t="n">
        <v>69.7</v>
      </c>
      <c r="K588" s="3" t="inlineStr">
        <is>
          <t>대전 세종 접근성 좋은  세종시청 10분이내 활용도 높은 토지</t>
        </is>
      </c>
      <c r="L588" s="6">
        <f>HYPERLINK("https://fin.land.naver.com/articles/2651883261", "매물Link")</f>
        <v/>
      </c>
      <c r="M588" s="6">
        <f>HYPERLINK("https://map.naver.com/p/search/금남면 성덕리 290-1", "지도Link")</f>
        <v/>
      </c>
      <c r="N588" s="6">
        <f>HYPERLINK("http://www.eum.go.kr/web/ar/lu/luLandDet.jsp?pnu=3611034040102900001&amp;isNoScr=script&amp;mode=search", "토지이음")</f>
        <v/>
      </c>
      <c r="O588" s="3" t="inlineStr">
        <is>
          <t>새롬삼둥이</t>
        </is>
      </c>
      <c r="P588" s="4" t="n">
        <v>1</v>
      </c>
      <c r="Q588" s="4" t="n">
        <v>1091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HYPERLINK("https://fin.land.naver.com/articles/2650410266",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HYPERLINK("https://fin.land.naver.com/articles/2650744156",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84</t>
        </is>
      </c>
      <c r="B601" s="3" t="inlineStr">
        <is>
          <t>제1종일반주거지역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170000</v>
      </c>
      <c r="G601" s="4" t="n">
        <v>1446</v>
      </c>
      <c r="H601" s="4" t="n">
        <v>437</v>
      </c>
      <c r="I601" s="5" t="n">
        <v>389</v>
      </c>
      <c r="J601" s="5" t="n">
        <v>166.6</v>
      </c>
      <c r="K601" s="3" t="inlineStr">
        <is>
          <t>nan</t>
        </is>
      </c>
      <c r="L601" s="6">
        <f>HYPERLINK("https://fin.land.naver.com/articles/2651414726", "매물Link")</f>
        <v/>
      </c>
      <c r="M601" s="6">
        <f>HYPERLINK("https://map.naver.com/p/search/금남면 신촌리 84", "지도Link")</f>
        <v/>
      </c>
      <c r="N601" s="6">
        <f>HYPERLINK("http://www.eum.go.kr/web/ar/lu/luLandDet.jsp?pnu=3611034038100840000&amp;isNoScr=script&amp;mode=search", "토지이음")</f>
        <v/>
      </c>
      <c r="O601" s="3" t="inlineStr">
        <is>
          <t>KB</t>
        </is>
      </c>
      <c r="P601" s="4" t="n">
        <v>1</v>
      </c>
      <c r="Q601" s="4" t="n">
        <v>417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산14-4</t>
        </is>
      </c>
      <c r="B602" s="3" t="inlineStr">
        <is>
          <t>개발제한구역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78000</v>
      </c>
      <c r="G602" s="4" t="n">
        <v>25983</v>
      </c>
      <c r="H602" s="4" t="n">
        <v>7860</v>
      </c>
      <c r="I602" s="5" t="n">
        <v>9.9</v>
      </c>
      <c r="J602" s="5" t="n">
        <v>3.2</v>
      </c>
      <c r="K602" s="3" t="inlineStr">
        <is>
          <t>세종시 3생활권 근접 투자물건</t>
        </is>
      </c>
      <c r="L602" s="6">
        <f>HYPERLINK("https://fin.land.naver.com/articles/2650955029", "매물Link")</f>
        <v/>
      </c>
      <c r="M602" s="6">
        <f>HYPERLINK("https://map.naver.com/p/search/금남면 신촌리 산14-4", "지도Link")</f>
        <v/>
      </c>
      <c r="N602" s="6">
        <f>HYPERLINK("http://www.eum.go.kr/web/ar/lu/luLandDet.jsp?pnu=3611034038200140004&amp;isNoScr=script&amp;mode=search", "토지이음")</f>
        <v/>
      </c>
      <c r="O602" s="3" t="inlineStr">
        <is>
          <t>세종나라</t>
        </is>
      </c>
      <c r="P602" s="4" t="n">
        <v>1</v>
      </c>
      <c r="Q602" s="4" t="n">
        <v>25983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613</v>
      </c>
      <c r="H603" s="4" t="n">
        <v>185</v>
      </c>
      <c r="I603" s="5" t="n">
        <v>189.2</v>
      </c>
      <c r="J603" s="5" t="n">
        <v>99.09999999999999</v>
      </c>
      <c r="K603" s="3" t="inlineStr">
        <is>
          <t>행복도시 10분거리 대지. 교통좋고  투자가치 높은 추천 매물입니다.</t>
        </is>
      </c>
      <c r="L603" s="6">
        <f>HYPERLINK("https://fin.land.naver.com/articles/2655593345",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새롬삼둥이</t>
        </is>
      </c>
      <c r="P603" s="4" t="n">
        <v>2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33000</v>
      </c>
      <c r="G604" s="4" t="n">
        <v>663</v>
      </c>
      <c r="H604" s="4" t="n">
        <v>201</v>
      </c>
      <c r="I604" s="5" t="n">
        <v>164.2</v>
      </c>
      <c r="J604" s="5" t="n">
        <v>99.09999999999999</v>
      </c>
      <c r="K604" s="3" t="inlineStr">
        <is>
          <t>남세종IC 13분, 유성 반석동 16분 신축 주택 철거후 나대지 급매</t>
        </is>
      </c>
      <c r="L604" s="6">
        <f>HYPERLINK("https://fin.land.naver.com/articles/2652394946",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나침반</t>
        </is>
      </c>
      <c r="P604" s="4" t="n">
        <v>1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74000</v>
      </c>
      <c r="G610" s="4" t="n">
        <v>1435</v>
      </c>
      <c r="H610" s="4" t="n">
        <v>434</v>
      </c>
      <c r="I610" s="5" t="n">
        <v>170.5</v>
      </c>
      <c r="J610" s="5" t="n">
        <v>80.59999999999999</v>
      </c>
      <c r="K610" s="3" t="inlineStr">
        <is>
          <t>2종근생 제조업소추천, 건폐율 50, 용적률 125,도로 폭 4m</t>
        </is>
      </c>
      <c r="L610" s="6">
        <f>HYPERLINK("https://fin.land.naver.com/articles/2654069984",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태성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가격협의가능,2차선도로접,단독주택지.근생용지로 추천,</t>
        </is>
      </c>
      <c r="L611" s="6">
        <f>HYPERLINK("https://fin.land.naver.com/articles/2653425953",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담뜰</t>
        </is>
      </c>
      <c r="P611" s="4" t="n">
        <v>1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HYPERLINK("https://fin.land.naver.com/articles/2650155713",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400</t>
        </is>
      </c>
      <c r="B616" s="3" t="inlineStr">
        <is>
          <t>농림지역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68000</v>
      </c>
      <c r="G616" s="4" t="n">
        <v>2646</v>
      </c>
      <c r="H616" s="4" t="n">
        <v>800</v>
      </c>
      <c r="I616" s="5" t="n">
        <v>85</v>
      </c>
      <c r="J616" s="5" t="n">
        <v>41.4</v>
      </c>
      <c r="K616" s="3" t="inlineStr">
        <is>
          <t>토지 농림지역, 남세종IC 10분 접근성 ,행정복합도시의 최인접</t>
        </is>
      </c>
      <c r="L616" s="6">
        <f>HYPERLINK("https://fin.land.naver.com/articles/2653678068", "매물Link")</f>
        <v/>
      </c>
      <c r="M616" s="6">
        <f>HYPERLINK("https://map.naver.com/p/search/금남면 영곡리 400", "지도Link")</f>
        <v/>
      </c>
      <c r="N616" s="6">
        <f>HYPERLINK("http://www.eum.go.kr/web/ar/lu/luLandDet.jsp?pnu=3611034041104000000&amp;isNoScr=script&amp;mode=search", "토지이음")</f>
        <v/>
      </c>
      <c r="O616" s="3" t="inlineStr">
        <is>
          <t>대명</t>
        </is>
      </c>
      <c r="P616" s="4" t="n">
        <v>1</v>
      </c>
      <c r="Q616" s="4" t="n">
        <v>4498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404-1</t>
        </is>
      </c>
      <c r="B617" s="3" t="inlineStr">
        <is>
          <t>보전관리지역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180000</v>
      </c>
      <c r="G617" s="4" t="n">
        <v>4077</v>
      </c>
      <c r="H617" s="4" t="n">
        <v>1233</v>
      </c>
      <c r="I617" s="5" t="n">
        <v>146</v>
      </c>
      <c r="J617" s="5" t="n">
        <v>55.8</v>
      </c>
      <c r="K617" s="3" t="inlineStr">
        <is>
          <t>미래 투자 가지 가성비 좋음</t>
        </is>
      </c>
      <c r="L617" s="6">
        <f>HYPERLINK("https://fin.land.naver.com/articles/2655411361", "매물Link")</f>
        <v/>
      </c>
      <c r="M617" s="6">
        <f>HYPERLINK("https://map.naver.com/p/search/금남면 영곡리 404-1", "지도Link")</f>
        <v/>
      </c>
      <c r="N617" s="6">
        <f>HYPERLINK("http://www.eum.go.kr/web/ar/lu/luLandDet.jsp?pnu=3611034041104040001&amp;isNoScr=script&amp;mode=search", "토지이음")</f>
        <v/>
      </c>
      <c r="O617" s="3" t="inlineStr">
        <is>
          <t>광교테라스힐</t>
        </is>
      </c>
      <c r="P617" s="4" t="n">
        <v>1</v>
      </c>
      <c r="Q617" s="4" t="n">
        <v>4077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금남면 영곡리 507-2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74520</v>
      </c>
      <c r="G618" s="4" t="n">
        <v>1369</v>
      </c>
      <c r="H618" s="4" t="n">
        <v>414</v>
      </c>
      <c r="I618" s="5" t="n">
        <v>180</v>
      </c>
      <c r="J618" s="5" t="n">
        <v>80.59999999999999</v>
      </c>
      <c r="K618" s="3" t="inlineStr">
        <is>
          <t>nan</t>
        </is>
      </c>
      <c r="L618" s="6">
        <f>HYPERLINK("https://fin.land.naver.com/articles/2653825626", "매물Link")</f>
        <v/>
      </c>
      <c r="M618" s="6">
        <f>HYPERLINK("https://map.naver.com/p/search/금남면 영곡리 507-2", "지도Link")</f>
        <v/>
      </c>
      <c r="N618" s="6">
        <f>HYPERLINK("http://www.eum.go.kr/web/ar/lu/luLandDet.jsp?pnu=3611034041105070002&amp;isNoScr=script&amp;mode=search", "토지이음")</f>
        <v/>
      </c>
      <c r="O618" s="3" t="inlineStr">
        <is>
          <t>세종</t>
        </is>
      </c>
      <c r="P618" s="4" t="n">
        <v>1</v>
      </c>
      <c r="Q618" s="4" t="n">
        <v>1369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549-2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88650</v>
      </c>
      <c r="G619" s="4" t="n">
        <v>1954</v>
      </c>
      <c r="H619" s="4" t="n">
        <v>591</v>
      </c>
      <c r="I619" s="5" t="n">
        <v>150</v>
      </c>
      <c r="J619" s="5" t="n">
        <v>58</v>
      </c>
      <c r="K619" s="3" t="inlineStr">
        <is>
          <t>생산관리지역 2필지, 현황상 도로에 접함, 세종시내 접근, 활용도 좋은</t>
        </is>
      </c>
      <c r="L619" s="6">
        <f>HYPERLINK("https://fin.land.naver.com/articles/2652830043", "매물Link")</f>
        <v/>
      </c>
      <c r="M619" s="6">
        <f>HYPERLINK("https://map.naver.com/p/search/금남면 영곡리 549-2", "지도Link")</f>
        <v/>
      </c>
      <c r="N619" s="6">
        <f>HYPERLINK("http://www.eum.go.kr/web/ar/lu/luLandDet.jsp?pnu=3611034041105490002&amp;isNoScr=script&amp;mode=search", "토지이음")</f>
        <v/>
      </c>
      <c r="O619" s="3" t="inlineStr">
        <is>
          <t>우민</t>
        </is>
      </c>
      <c r="P619" s="4" t="n">
        <v>1</v>
      </c>
      <c r="Q619" s="4" t="n">
        <v>1137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560-3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19000</v>
      </c>
      <c r="G620" s="4" t="n">
        <v>772</v>
      </c>
      <c r="H620" s="4" t="n">
        <v>234</v>
      </c>
      <c r="I620" s="5" t="n">
        <v>81.2</v>
      </c>
      <c r="J620" s="5" t="n">
        <v>47.8</v>
      </c>
      <c r="K620" s="3" t="inlineStr">
        <is>
          <t>영곡리 소형상가건물 있는 임야매매</t>
        </is>
      </c>
      <c r="L620" s="6">
        <f>HYPERLINK("https://fin.land.naver.com/articles/2655173188", "매물Link")</f>
        <v/>
      </c>
      <c r="M620" s="6">
        <f>HYPERLINK("https://map.naver.com/p/search/금남면 영곡리 560-3", "지도Link")</f>
        <v/>
      </c>
      <c r="N620" s="6">
        <f>HYPERLINK("http://www.eum.go.kr/web/ar/lu/luLandDet.jsp?pnu=3611034041105600003&amp;isNoScr=script&amp;mode=search", "토지이음")</f>
        <v/>
      </c>
      <c r="O620" s="3" t="inlineStr">
        <is>
          <t>에이스</t>
        </is>
      </c>
      <c r="P620" s="4" t="n">
        <v>1</v>
      </c>
      <c r="Q620" s="4" t="n">
        <v>250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급경사</t>
        </is>
      </c>
      <c r="U620" s="3" t="inlineStr">
        <is>
          <t>사다리형</t>
        </is>
      </c>
      <c r="V620" s="3" t="inlineStr">
        <is>
          <t>맹지</t>
        </is>
      </c>
    </row>
    <row r="621">
      <c r="A621" s="3" t="inlineStr">
        <is>
          <t>금남면 영곡리 578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79000</v>
      </c>
      <c r="G621" s="4" t="n">
        <v>744</v>
      </c>
      <c r="H621" s="4" t="n">
        <v>225</v>
      </c>
      <c r="I621" s="5" t="n">
        <v>351.1</v>
      </c>
      <c r="J621" s="5" t="n">
        <v>128</v>
      </c>
      <c r="K621" s="3" t="inlineStr">
        <is>
          <t>영곡리 자연취락지구 대지</t>
        </is>
      </c>
      <c r="L621" s="6">
        <f>HYPERLINK("https://fin.land.naver.com/articles/2654704421", "매물Link")</f>
        <v/>
      </c>
      <c r="M621" s="6">
        <f>HYPERLINK("https://map.naver.com/p/search/금남면 영곡리 578", "지도Link")</f>
        <v/>
      </c>
      <c r="N621" s="6">
        <f>HYPERLINK("http://www.eum.go.kr/web/ar/lu/luLandDet.jsp?pnu=3611034041105780000&amp;isNoScr=script&amp;mode=search", "토지이음")</f>
        <v/>
      </c>
      <c r="O621" s="3" t="inlineStr">
        <is>
          <t>세종천지</t>
        </is>
      </c>
      <c r="P621" s="4" t="n">
        <v>1</v>
      </c>
      <c r="Q621" s="4" t="n">
        <v>744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세로각지(가)</t>
        </is>
      </c>
    </row>
    <row r="622">
      <c r="A622" s="3" t="inlineStr">
        <is>
          <t>금남면 영곡리 70-2</t>
        </is>
      </c>
      <c r="B622" s="3" t="inlineStr">
        <is>
          <t>계획관리지역</t>
        </is>
      </c>
      <c r="C622" s="3" t="inlineStr">
        <is>
          <t>과수원</t>
        </is>
      </c>
      <c r="D622" s="3" t="inlineStr">
        <is>
          <t>과수원</t>
        </is>
      </c>
      <c r="E622" s="3" t="inlineStr">
        <is>
          <t>매매</t>
        </is>
      </c>
      <c r="F622" s="4" t="n">
        <v>130000</v>
      </c>
      <c r="G622" s="4" t="n">
        <v>1544</v>
      </c>
      <c r="H622" s="4" t="n">
        <v>467</v>
      </c>
      <c r="I622" s="5" t="n">
        <v>278.4</v>
      </c>
      <c r="J622" s="5" t="n">
        <v>116.7</v>
      </c>
      <c r="K622" s="3" t="inlineStr">
        <is>
          <t>계획관리지역으로 용도다양,주변택지개벌등으로 지가상승기대</t>
        </is>
      </c>
      <c r="L622" s="6">
        <f>HYPERLINK("https://fin.land.naver.com/articles/2651145031", "매물Link")</f>
        <v/>
      </c>
      <c r="M622" s="6">
        <f>HYPERLINK("https://map.naver.com/p/search/금남면 영곡리 70-2", "지도Link")</f>
        <v/>
      </c>
      <c r="N622" s="6">
        <f>HYPERLINK("http://www.eum.go.kr/web/ar/lu/luLandDet.jsp?pnu=3611034041100700002&amp;isNoScr=script&amp;mode=search", "토지이음")</f>
        <v/>
      </c>
      <c r="O622" s="3" t="inlineStr">
        <is>
          <t>뉴장원</t>
        </is>
      </c>
      <c r="P622" s="4" t="n">
        <v>1</v>
      </c>
      <c r="Q622" s="4" t="n">
        <v>1544</v>
      </c>
      <c r="R622" s="3" t="inlineStr">
        <is>
          <t>지정되지않음</t>
        </is>
      </c>
      <c r="S622" s="3" t="inlineStr">
        <is>
          <t>과수원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산10-5</t>
        </is>
      </c>
      <c r="B623" s="3" t="inlineStr">
        <is>
          <t>농림지역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240000</v>
      </c>
      <c r="G623" s="4" t="n">
        <v>79473</v>
      </c>
      <c r="H623" s="4" t="n">
        <v>24041</v>
      </c>
      <c r="I623" s="5" t="n">
        <v>10</v>
      </c>
      <c r="J623" s="5" t="n">
        <v>2.2</v>
      </c>
      <c r="K623" s="3" t="inlineStr">
        <is>
          <t>매매가 조율가능</t>
        </is>
      </c>
      <c r="L623" s="6">
        <f>HYPERLINK("https://fin.land.naver.com/articles/2652082829", "매물Link")</f>
        <v/>
      </c>
      <c r="M623" s="6">
        <f>HYPERLINK("https://map.naver.com/p/search/금남면 영곡리 산10-5", "지도Link")</f>
        <v/>
      </c>
      <c r="N623" s="6">
        <f>HYPERLINK("http://www.eum.go.kr/web/ar/lu/luLandDet.jsp?pnu=3611034041200100005&amp;isNoScr=script&amp;mode=search", "토지이음")</f>
        <v/>
      </c>
      <c r="O623" s="3" t="inlineStr">
        <is>
          <t>해들마루</t>
        </is>
      </c>
      <c r="P623" s="4" t="n">
        <v>1</v>
      </c>
      <c r="Q623" s="4" t="n">
        <v>79473</v>
      </c>
      <c r="R623" s="3" t="inlineStr">
        <is>
          <t>보전관리지역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금남면 영대리 188</t>
        </is>
      </c>
      <c r="B624" s="3" t="inlineStr">
        <is>
          <t>개발제한구역</t>
        </is>
      </c>
      <c r="C624" s="3" t="inlineStr">
        <is>
          <t>전</t>
        </is>
      </c>
      <c r="D624" s="3" t="inlineStr">
        <is>
          <t>답</t>
        </is>
      </c>
      <c r="E624" s="3" t="inlineStr">
        <is>
          <t>매매</t>
        </is>
      </c>
      <c r="F624" s="4" t="n">
        <v>65000</v>
      </c>
      <c r="G624" s="4" t="n">
        <v>2472</v>
      </c>
      <c r="H624" s="4" t="n">
        <v>748</v>
      </c>
      <c r="I624" s="5" t="n">
        <v>86.90000000000001</v>
      </c>
      <c r="J624" s="5" t="n">
        <v>49.1</v>
      </c>
      <c r="K624" s="3" t="inlineStr">
        <is>
          <t>급매, 2차선 도로에 접해있어 투자가치가 좋은 그린벨트 투자용 토지</t>
        </is>
      </c>
      <c r="L624" s="6">
        <f>HYPERLINK("https://fin.land.naver.com/articles/2651478945", "매물Link")</f>
        <v/>
      </c>
      <c r="M624" s="6">
        <f>HYPERLINK("https://map.naver.com/p/search/금남면 영대리 188", "지도Link")</f>
        <v/>
      </c>
      <c r="N624" s="6">
        <f>HYPERLINK("http://www.eum.go.kr/web/ar/lu/luLandDet.jsp?pnu=3611034031101880000&amp;isNoScr=script&amp;mode=search", "토지이음")</f>
        <v/>
      </c>
      <c r="O624" s="3" t="inlineStr">
        <is>
          <t>스마일세종</t>
        </is>
      </c>
      <c r="P624" s="4" t="n">
        <v>1</v>
      </c>
      <c r="Q624" s="4" t="n">
        <v>2472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금남면 영대리 25-2</t>
        </is>
      </c>
      <c r="B625" s="3" t="inlineStr">
        <is>
          <t>개발제한구역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12000</v>
      </c>
      <c r="G625" s="4" t="n">
        <v>616</v>
      </c>
      <c r="H625" s="4" t="n">
        <v>186</v>
      </c>
      <c r="I625" s="5" t="n">
        <v>64.5</v>
      </c>
      <c r="J625" s="5" t="n">
        <v>27.2</v>
      </c>
      <c r="K625" s="3" t="inlineStr">
        <is>
          <t>세종시 개발제한구역내 장기투자용</t>
        </is>
      </c>
      <c r="L625" s="6">
        <f>HYPERLINK("https://fin.land.naver.com/articles/2655435530", "매물Link")</f>
        <v/>
      </c>
      <c r="M625" s="6">
        <f>HYPERLINK("https://map.naver.com/p/search/금남면 영대리 25-2", "지도Link")</f>
        <v/>
      </c>
      <c r="N625" s="6">
        <f>HYPERLINK("http://www.eum.go.kr/web/ar/lu/luLandDet.jsp?pnu=3611034031100250002&amp;isNoScr=script&amp;mode=search", "토지이음")</f>
        <v/>
      </c>
      <c r="O625" s="3" t="inlineStr">
        <is>
          <t>다모아</t>
        </is>
      </c>
      <c r="P625" s="4" t="n">
        <v>1</v>
      </c>
      <c r="Q625" s="4" t="n">
        <v>616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금남면 영대리 296</t>
        </is>
      </c>
      <c r="B626" s="3" t="inlineStr">
        <is>
          <t>개발제한구역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47500</v>
      </c>
      <c r="G626" s="4" t="n">
        <v>1650</v>
      </c>
      <c r="H626" s="4" t="n">
        <v>499</v>
      </c>
      <c r="I626" s="5" t="n">
        <v>95.2</v>
      </c>
      <c r="J626" s="5" t="n">
        <v>35.3</v>
      </c>
      <c r="K626" s="3" t="inlineStr">
        <is>
          <t>1종 주거지역에 접한 토지, 소로3류에 접함</t>
        </is>
      </c>
      <c r="L626" s="6">
        <f>HYPERLINK("https://fin.land.naver.com/articles/2655663751", "매물Link")</f>
        <v/>
      </c>
      <c r="M626" s="6">
        <f>HYPERLINK("https://map.naver.com/p/search/금남면 영대리 296", "지도Link")</f>
        <v/>
      </c>
      <c r="N626" s="6">
        <f>HYPERLINK("http://www.eum.go.kr/web/ar/lu/luLandDet.jsp?pnu=3611034031102960000&amp;isNoScr=script&amp;mode=search",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1650</v>
      </c>
      <c r="R626" s="3" t="inlineStr">
        <is>
          <t>제1종일반주거지역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영대리 315</t>
        </is>
      </c>
      <c r="B627" s="3" t="inlineStr">
        <is>
          <t>개발제한구역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60000</v>
      </c>
      <c r="G627" s="4" t="n">
        <v>1996</v>
      </c>
      <c r="H627" s="4" t="n">
        <v>604</v>
      </c>
      <c r="I627" s="5" t="n">
        <v>99.3</v>
      </c>
      <c r="J627" s="5" t="n">
        <v>34.6</v>
      </c>
      <c r="K627" s="3" t="inlineStr">
        <is>
          <t>금남면 영대리에 있는 개발제한구역의 토지로서 향후 지가상승이 기대되는 곳</t>
        </is>
      </c>
      <c r="L627" s="6">
        <f>HYPERLINK("https://fin.land.naver.com/articles/2653441168", "매물Link")</f>
        <v/>
      </c>
      <c r="M627" s="6">
        <f>HYPERLINK("https://map.naver.com/p/search/금남면 영대리 315", "지도Link")</f>
        <v/>
      </c>
      <c r="N627" s="6">
        <f>HYPERLINK("http://www.eum.go.kr/web/ar/lu/luLandDet.jsp?pnu=3611034031103150000&amp;isNoScr=script&amp;mode=search",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1996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금남면 영대리 368</t>
        </is>
      </c>
      <c r="B628" s="3" t="inlineStr">
        <is>
          <t>자연녹지지역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67000</v>
      </c>
      <c r="G628" s="4" t="n">
        <v>641</v>
      </c>
      <c r="H628" s="4" t="n">
        <v>194</v>
      </c>
      <c r="I628" s="5" t="n">
        <v>345.4</v>
      </c>
      <c r="J628" s="5" t="n">
        <v>115.7</v>
      </c>
      <c r="K628" s="3" t="inlineStr">
        <is>
          <t>O더끌림O 개발 호재 인근 토지 매매, 투자 가치 높은 매물</t>
        </is>
      </c>
      <c r="L628" s="6">
        <f>HYPERLINK("https://fin.land.naver.com/articles/2654815668", "매물Link")</f>
        <v/>
      </c>
      <c r="M628" s="6">
        <f>HYPERLINK("https://map.naver.com/p/search/금남면 영대리 368", "지도Link")</f>
        <v/>
      </c>
      <c r="N628" s="6">
        <f>HYPERLINK("http://www.eum.go.kr/web/ar/lu/luLandDet.jsp?pnu=3611034031103680000&amp;isNoScr=script&amp;mode=search", "토지이음")</f>
        <v/>
      </c>
      <c r="O628" s="3" t="inlineStr">
        <is>
          <t>더끌림</t>
        </is>
      </c>
      <c r="P628" s="4" t="n">
        <v>1</v>
      </c>
      <c r="Q628" s="4" t="n">
        <v>641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373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32400</v>
      </c>
      <c r="G629" s="4" t="n">
        <v>714</v>
      </c>
      <c r="H629" s="4" t="n">
        <v>216</v>
      </c>
      <c r="I629" s="5" t="n">
        <v>150</v>
      </c>
      <c r="J629" s="5" t="n">
        <v>86.3</v>
      </c>
      <c r="K629" s="3" t="inlineStr">
        <is>
          <t>세종시 도시지역 내 취락지구 토지 매매.가격조정 협의</t>
        </is>
      </c>
      <c r="L629" s="6">
        <f>HYPERLINK("https://fin.land.naver.com/articles/2652374975", "매물Link")</f>
        <v/>
      </c>
      <c r="M629" s="6">
        <f>HYPERLINK("https://map.naver.com/p/search/금남면 영대리 373", "지도Link")</f>
        <v/>
      </c>
      <c r="N629" s="6">
        <f>HYPERLINK("http://www.eum.go.kr/web/ar/lu/luLandDet.jsp?pnu=3611034031103730000&amp;isNoScr=script&amp;mode=search", "토지이음")</f>
        <v/>
      </c>
      <c r="O629" s="3" t="inlineStr">
        <is>
          <t>유성대박</t>
        </is>
      </c>
      <c r="P629" s="4" t="n">
        <v>1</v>
      </c>
      <c r="Q629" s="4" t="n">
        <v>714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406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30510</v>
      </c>
      <c r="G630" s="4" t="n">
        <v>3362</v>
      </c>
      <c r="H630" s="4" t="n">
        <v>1017</v>
      </c>
      <c r="I630" s="5" t="n">
        <v>30</v>
      </c>
      <c r="J630" s="5" t="n">
        <v>21.8</v>
      </c>
      <c r="K630" s="3" t="inlineStr">
        <is>
          <t>세종시 사놓으면 돈 되는 땅. 맹지아님,가격조정 협의</t>
        </is>
      </c>
      <c r="L630" s="6">
        <f>HYPERLINK("https://fin.land.naver.com/articles/2652361662", "매물Link")</f>
        <v/>
      </c>
      <c r="M630" s="6">
        <f>HYPERLINK("https://map.naver.com/p/search/금남면 영대리 406", "지도Link")</f>
        <v/>
      </c>
      <c r="N630" s="6">
        <f>HYPERLINK("http://www.eum.go.kr/web/ar/lu/luLandDet.jsp?pnu=3611034031104060000&amp;isNoScr=script&amp;mode=search", "토지이음")</f>
        <v/>
      </c>
      <c r="O630" s="3" t="inlineStr">
        <is>
          <t>유성대박</t>
        </is>
      </c>
      <c r="P630" s="4" t="n">
        <v>1</v>
      </c>
      <c r="Q630" s="4" t="n">
        <v>3362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436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13500</v>
      </c>
      <c r="G631" s="4" t="n">
        <v>1488</v>
      </c>
      <c r="H631" s="4" t="n">
        <v>450</v>
      </c>
      <c r="I631" s="5" t="n">
        <v>30</v>
      </c>
      <c r="J631" s="5" t="n">
        <v>15.3</v>
      </c>
      <c r="K631" s="3" t="inlineStr">
        <is>
          <t>OK  자연녹지, 개발제한구역. 현황도로있음</t>
        </is>
      </c>
      <c r="L631" s="6">
        <f>HYPERLINK("https://fin.land.naver.com/articles/2651929514", "매물Link")</f>
        <v/>
      </c>
      <c r="M631" s="6">
        <f>HYPERLINK("https://map.naver.com/p/search/금남면 영대리 436", "지도Link")</f>
        <v/>
      </c>
      <c r="N631" s="6">
        <f>HYPERLINK("http://www.eum.go.kr/web/ar/lu/luLandDet.jsp?pnu=3611034031104360000&amp;isNoScr=script&amp;mode=search", "토지이음")</f>
        <v/>
      </c>
      <c r="O631" s="3" t="inlineStr">
        <is>
          <t>OK</t>
        </is>
      </c>
      <c r="P631" s="4" t="n">
        <v>1</v>
      </c>
      <c r="Q631" s="4" t="n">
        <v>1488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456-6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13000</v>
      </c>
      <c r="G632" s="4" t="n">
        <v>1235</v>
      </c>
      <c r="H632" s="4" t="n">
        <v>374</v>
      </c>
      <c r="I632" s="5" t="n">
        <v>34.8</v>
      </c>
      <c r="J632" s="5" t="n">
        <v>28</v>
      </c>
      <c r="K632" s="3" t="inlineStr">
        <is>
          <t>세계로 대토추천급매 도로접 집단취락지구 전입니다.</t>
        </is>
      </c>
      <c r="L632" s="6">
        <f>HYPERLINK("https://fin.land.naver.com/articles/2654963705", "매물Link")</f>
        <v/>
      </c>
      <c r="M632" s="6">
        <f>HYPERLINK("https://map.naver.com/p/search/금남면 영대리 456-6", "지도Link")</f>
        <v/>
      </c>
      <c r="N632" s="6">
        <f>HYPERLINK("http://www.eum.go.kr/web/ar/lu/luLandDet.jsp?pnu=3611034031104560006&amp;isNoScr=script&amp;mode=search", "토지이음")</f>
        <v/>
      </c>
      <c r="O632" s="3" t="inlineStr">
        <is>
          <t>세계로</t>
        </is>
      </c>
      <c r="P632" s="4" t="n">
        <v>1</v>
      </c>
      <c r="Q632" s="4" t="n">
        <v>1235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508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23800</v>
      </c>
      <c r="G633" s="4" t="n">
        <v>787</v>
      </c>
      <c r="H633" s="4" t="n">
        <v>238</v>
      </c>
      <c r="I633" s="5" t="n">
        <v>100</v>
      </c>
      <c r="J633" s="5" t="n">
        <v>39.9</v>
      </c>
      <c r="K633" s="3" t="inlineStr">
        <is>
          <t>땅모양 예쁘고 2면도로 접한토지,대토나투자용으로 추천</t>
        </is>
      </c>
      <c r="L633" s="6">
        <f>HYPERLINK("https://fin.land.naver.com/articles/2651590116", "매물Link")</f>
        <v/>
      </c>
      <c r="M633" s="6">
        <f>HYPERLINK("https://map.naver.com/p/search/금남면 영대리 508", "지도Link")</f>
        <v/>
      </c>
      <c r="N633" s="6">
        <f>HYPERLINK("http://www.eum.go.kr/web/ar/lu/luLandDet.jsp?pnu=3611034031105080000&amp;isNoScr=script&amp;mode=search", "토지이음")</f>
        <v/>
      </c>
      <c r="O633" s="3" t="inlineStr">
        <is>
          <t>타이밍</t>
        </is>
      </c>
      <c r="P633" s="4" t="n">
        <v>1</v>
      </c>
      <c r="Q633" s="4" t="n">
        <v>787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508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23800</v>
      </c>
      <c r="G634" s="4" t="n">
        <v>787</v>
      </c>
      <c r="H634" s="4" t="n">
        <v>238</v>
      </c>
      <c r="I634" s="5" t="n">
        <v>100</v>
      </c>
      <c r="J634" s="5" t="n">
        <v>39.9</v>
      </c>
      <c r="K634" s="3" t="inlineStr">
        <is>
          <t>2면도로접함,땅모양예뻐요,투자,영농 적극추천</t>
        </is>
      </c>
      <c r="L634" s="6">
        <f>HYPERLINK("https://fin.land.naver.com/articles/2650812708", "매물Link")</f>
        <v/>
      </c>
      <c r="M634" s="6">
        <f>HYPERLINK("https://map.naver.com/p/search/금남면 영대리 508", "지도Link")</f>
        <v/>
      </c>
      <c r="N634" s="6">
        <f>HYPERLINK("http://www.eum.go.kr/web/ar/lu/luLandDet.jsp?pnu=3611034031105080000&amp;isNoScr=script&amp;mode=search", "토지이음")</f>
        <v/>
      </c>
      <c r="O634" s="3" t="inlineStr">
        <is>
          <t>타이밍</t>
        </is>
      </c>
      <c r="P634" s="4" t="n">
        <v>1</v>
      </c>
      <c r="Q634" s="4" t="n">
        <v>787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529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30000</v>
      </c>
      <c r="G635" s="4" t="n">
        <v>1653</v>
      </c>
      <c r="H635" s="4" t="n">
        <v>500</v>
      </c>
      <c r="I635" s="5" t="n">
        <v>60</v>
      </c>
      <c r="J635" s="5" t="n">
        <v>47.6</v>
      </c>
      <c r="K635" s="3" t="inlineStr">
        <is>
          <t>nan</t>
        </is>
      </c>
      <c r="L635" s="6">
        <f>HYPERLINK("https://fin.land.naver.com/articles/2652365794", "매물Link")</f>
        <v/>
      </c>
      <c r="M635" s="6">
        <f>HYPERLINK("https://map.naver.com/p/search/금남면 영대리 529", "지도Link")</f>
        <v/>
      </c>
      <c r="N635" s="6">
        <f>HYPERLINK("http://www.eum.go.kr/web/ar/lu/luLandDet.jsp?pnu=3611034031105290000&amp;isNoScr=script&amp;mode=search", "토지이음")</f>
        <v/>
      </c>
      <c r="O635" s="3" t="inlineStr">
        <is>
          <t>유성대박</t>
        </is>
      </c>
      <c r="P635" s="4" t="n">
        <v>1</v>
      </c>
      <c r="Q635" s="4" t="n">
        <v>1653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61-3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26000</v>
      </c>
      <c r="G636" s="4" t="n">
        <v>1230</v>
      </c>
      <c r="H636" s="4" t="n">
        <v>372</v>
      </c>
      <c r="I636" s="5" t="n">
        <v>69.90000000000001</v>
      </c>
      <c r="J636" s="5" t="n">
        <v>31.9</v>
      </c>
      <c r="K636" s="3" t="inlineStr">
        <is>
          <t>3생활권초입 미래가치 좋은 접근성 및 관리 용이</t>
        </is>
      </c>
      <c r="L636" s="6">
        <f>HYPERLINK("https://fin.land.naver.com/articles/2655662755", "매물Link")</f>
        <v/>
      </c>
      <c r="M636" s="6">
        <f>HYPERLINK("https://map.naver.com/p/search/금남면 영대리 61-3", "지도Link")</f>
        <v/>
      </c>
      <c r="N636" s="6">
        <f>HYPERLINK("http://www.eum.go.kr/web/ar/lu/luLandDet.jsp?pnu=3611034031100610003&amp;isNoScr=script&amp;mode=search", "토지이음")</f>
        <v/>
      </c>
      <c r="O636" s="3" t="inlineStr">
        <is>
          <t>세종어울림</t>
        </is>
      </c>
      <c r="P636" s="4" t="n">
        <v>1</v>
      </c>
      <c r="Q636" s="4" t="n">
        <v>1230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영대리 619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100000</v>
      </c>
      <c r="G637" s="4" t="n">
        <v>4996</v>
      </c>
      <c r="H637" s="4" t="n">
        <v>1511</v>
      </c>
      <c r="I637" s="5" t="n">
        <v>66.2</v>
      </c>
      <c r="J637" s="5" t="n">
        <v>31</v>
      </c>
      <c r="K637" s="3" t="inlineStr">
        <is>
          <t>영대리 자연취락지구 개발제한구역의 경사도 완만하고 아늑한 투자용 토지</t>
        </is>
      </c>
      <c r="L637" s="6">
        <f>HYPERLINK("https://fin.land.naver.com/articles/2654025533", "매물Link")</f>
        <v/>
      </c>
      <c r="M637" s="6">
        <f>HYPERLINK("https://map.naver.com/p/search/금남면 영대리 619", "지도Link")</f>
        <v/>
      </c>
      <c r="N637" s="6">
        <f>HYPERLINK("http://www.eum.go.kr/web/ar/lu/luLandDet.jsp?pnu=3611034031106190000&amp;isNoScr=script&amp;mode=search", "토지이음")</f>
        <v/>
      </c>
      <c r="O637" s="3" t="inlineStr">
        <is>
          <t>스마일세종</t>
        </is>
      </c>
      <c r="P637" s="4" t="n">
        <v>1</v>
      </c>
      <c r="Q637" s="4" t="n">
        <v>1683</v>
      </c>
      <c r="R637" s="3" t="inlineStr">
        <is>
          <t>자연녹지지역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세로한면(불)</t>
        </is>
      </c>
    </row>
    <row r="638">
      <c r="A638" s="3" t="inlineStr">
        <is>
          <t>금남면 영대리 62-3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54000</v>
      </c>
      <c r="G638" s="4" t="n">
        <v>2975</v>
      </c>
      <c r="H638" s="4" t="n">
        <v>900</v>
      </c>
      <c r="I638" s="5" t="n">
        <v>60</v>
      </c>
      <c r="J638" s="5" t="n">
        <v>38.5</v>
      </c>
      <c r="K638" s="3" t="inlineStr">
        <is>
          <t>3생활권초입위치, 미래가치 좋은 곳, 접근성 및관리용이</t>
        </is>
      </c>
      <c r="L638" s="6">
        <f>HYPERLINK("https://fin.land.naver.com/articles/2655663416", "매물Link")</f>
        <v/>
      </c>
      <c r="M638" s="6">
        <f>HYPERLINK("https://map.naver.com/p/search/금남면 영대리 62-3", "지도Link")</f>
        <v/>
      </c>
      <c r="N638" s="6">
        <f>HYPERLINK("http://www.eum.go.kr/web/ar/lu/luLandDet.jsp?pnu=3611034031100620003&amp;isNoScr=script&amp;mode=search", "토지이음")</f>
        <v/>
      </c>
      <c r="O638" s="3" t="inlineStr">
        <is>
          <t>세종어울림</t>
        </is>
      </c>
      <c r="P638" s="4" t="n">
        <v>1</v>
      </c>
      <c r="Q638" s="4" t="n">
        <v>2975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금남면 영대리 620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1160</v>
      </c>
      <c r="H639" s="4" t="n">
        <v>351</v>
      </c>
      <c r="I639" s="5" t="n">
        <v>170.9</v>
      </c>
      <c r="J639" s="5" t="n">
        <v>108</v>
      </c>
      <c r="K639" s="3" t="inlineStr">
        <is>
          <t>절충 가능한 영대리 도시지역 자연취락지구의 주변시세보다 저렴한 대지입니다</t>
        </is>
      </c>
      <c r="L639" s="6">
        <f>HYPERLINK("https://fin.land.naver.com/articles/2653272828", "매물Link")</f>
        <v/>
      </c>
      <c r="M639" s="6">
        <f>HYPERLINK("https://map.naver.com/p/search/금남면 영대리 620", "지도Link")</f>
        <v/>
      </c>
      <c r="N639" s="6">
        <f>HYPERLINK("http://www.eum.go.kr/web/ar/lu/luLandDet.jsp?pnu=3611034031106200000&amp;isNoScr=script&amp;mode=search",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1160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금남면 영대리 643</t>
        </is>
      </c>
      <c r="B640" s="3" t="inlineStr">
        <is>
          <t>개발제한구역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22000</v>
      </c>
      <c r="G640" s="4" t="n">
        <v>1012</v>
      </c>
      <c r="H640" s="4" t="n">
        <v>306</v>
      </c>
      <c r="I640" s="5" t="n">
        <v>71.90000000000001</v>
      </c>
      <c r="J640" s="5" t="n">
        <v>24.4</v>
      </c>
      <c r="K640" s="3" t="inlineStr">
        <is>
          <t>주말농장 귀농 또는 투자 가능한 저렴한 토지</t>
        </is>
      </c>
      <c r="L640" s="6">
        <f>HYPERLINK("https://fin.land.naver.com/articles/2655120568", "매물Link")</f>
        <v/>
      </c>
      <c r="M640" s="6">
        <f>HYPERLINK("https://map.naver.com/p/search/금남면 영대리 643", "지도Link")</f>
        <v/>
      </c>
      <c r="N640" s="6">
        <f>HYPERLINK("http://www.eum.go.kr/web/ar/lu/luLandDet.jsp?pnu=3611034031106430000&amp;isNoScr=script&amp;mode=search", "토지이음")</f>
        <v/>
      </c>
      <c r="O640" s="3" t="inlineStr">
        <is>
          <t>뉴엘리트탑</t>
        </is>
      </c>
      <c r="P640" s="4" t="n">
        <v>1</v>
      </c>
      <c r="Q640" s="4" t="n">
        <v>1012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영대리 735-1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5000</v>
      </c>
      <c r="G641" s="4" t="n">
        <v>476</v>
      </c>
      <c r="H641" s="4" t="n">
        <v>144</v>
      </c>
      <c r="I641" s="5" t="n">
        <v>34.7</v>
      </c>
      <c r="J641" s="5" t="n">
        <v>25.6</v>
      </c>
      <c r="K641" s="3" t="inlineStr">
        <is>
          <t>소액으로 세종에서 가까운 위치에 투자</t>
        </is>
      </c>
      <c r="L641" s="6">
        <f>HYPERLINK("https://fin.land.naver.com/articles/2652739706", "매물Link")</f>
        <v/>
      </c>
      <c r="M641" s="6">
        <f>HYPERLINK("https://map.naver.com/p/search/금남면 영대리 735-1", "지도Link")</f>
        <v/>
      </c>
      <c r="N641" s="6">
        <f>HYPERLINK("http://www.eum.go.kr/web/ar/lu/luLandDet.jsp?pnu=3611034031107350001&amp;isNoScr=script&amp;mode=search", "토지이음")</f>
        <v/>
      </c>
      <c r="O641" s="3" t="inlineStr">
        <is>
          <t>세종대평</t>
        </is>
      </c>
      <c r="P641" s="4" t="n">
        <v>1</v>
      </c>
      <c r="Q641" s="4" t="n">
        <v>476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762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13600</v>
      </c>
      <c r="G642" s="4" t="n">
        <v>562</v>
      </c>
      <c r="H642" s="4" t="n">
        <v>170</v>
      </c>
      <c r="I642" s="5" t="n">
        <v>80</v>
      </c>
      <c r="J642" s="5" t="n">
        <v>19.2</v>
      </c>
      <c r="K642" s="3" t="inlineStr">
        <is>
          <t>금남면 용대리 토지매매</t>
        </is>
      </c>
      <c r="L642" s="6">
        <f>HYPERLINK("https://fin.land.naver.com/articles/2651374323", "매물Link")</f>
        <v/>
      </c>
      <c r="M642" s="6">
        <f>HYPERLINK("https://map.naver.com/p/search/금남면 영대리 762", "지도Link")</f>
        <v/>
      </c>
      <c r="N642" s="6">
        <f>HYPERLINK("http://www.eum.go.kr/web/ar/lu/luLandDet.jsp?pnu=3611034031107620000&amp;isNoScr=script&amp;mode=search", "토지이음")</f>
        <v/>
      </c>
      <c r="O642" s="3" t="inlineStr">
        <is>
          <t>세종중흥S클래스</t>
        </is>
      </c>
      <c r="P642" s="4" t="n">
        <v>1</v>
      </c>
      <c r="Q642" s="4" t="n">
        <v>562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763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39000</v>
      </c>
      <c r="G643" s="4" t="n">
        <v>1610</v>
      </c>
      <c r="H643" s="4" t="n">
        <v>487</v>
      </c>
      <c r="I643" s="5" t="n">
        <v>80.09999999999999</v>
      </c>
      <c r="J643" s="5" t="n">
        <v>19.2</v>
      </c>
      <c r="K643" s="3" t="inlineStr">
        <is>
          <t>금남면 영대리 토지매매</t>
        </is>
      </c>
      <c r="L643" s="6">
        <f>HYPERLINK("https://fin.land.naver.com/articles/2651374233", "매물Link")</f>
        <v/>
      </c>
      <c r="M643" s="6">
        <f>HYPERLINK("https://map.naver.com/p/search/금남면 영대리 763", "지도Link")</f>
        <v/>
      </c>
      <c r="N643" s="6">
        <f>HYPERLINK("http://www.eum.go.kr/web/ar/lu/luLandDet.jsp?pnu=3611034031107630000&amp;isNoScr=script&amp;mode=search",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1610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산 48</t>
        </is>
      </c>
      <c r="B644" s="3" t="inlineStr">
        <is>
          <t>개발제한구역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27540</v>
      </c>
      <c r="G644" s="4" t="n">
        <v>20347</v>
      </c>
      <c r="H644" s="4" t="n">
        <v>6155</v>
      </c>
      <c r="I644" s="5" t="n">
        <v>4.5</v>
      </c>
      <c r="J644" s="5" t="n">
        <v>2.7</v>
      </c>
      <c r="K644" s="3" t="inlineStr">
        <is>
          <t>세종시 귀한 얕은 임야, 사두면 돈 되는 땅,가격조정 협의</t>
        </is>
      </c>
      <c r="L644" s="6">
        <f>HYPERLINK("https://fin.land.naver.com/articles/2652361778", "매물Link")</f>
        <v/>
      </c>
      <c r="M644" s="6">
        <f>HYPERLINK("https://map.naver.com/p/search/금남면 영대리 산 48", "지도Link")</f>
        <v/>
      </c>
      <c r="N644" s="6">
        <f>HYPERLINK("http://www.eum.go.kr/web/ar/lu/luLandDet.jsp?pnu=3611034031200480000&amp;isNoScr=script&amp;mode=search",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30347</v>
      </c>
      <c r="R644" s="3" t="inlineStr">
        <is>
          <t>지정되지않음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 72-2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180000</v>
      </c>
      <c r="G645" s="4" t="n">
        <v>132485</v>
      </c>
      <c r="H645" s="4" t="n">
        <v>40077</v>
      </c>
      <c r="I645" s="5" t="n">
        <v>4.5</v>
      </c>
      <c r="J645" s="5" t="n">
        <v>2.8</v>
      </c>
      <c r="K645" s="3" t="inlineStr">
        <is>
          <t>nan</t>
        </is>
      </c>
      <c r="L645" s="6">
        <f>HYPERLINK("https://fin.land.naver.com/articles/2651910430", "매물Link")</f>
        <v/>
      </c>
      <c r="M645" s="6">
        <f>HYPERLINK("https://map.naver.com/p/search/금남면 영대리 산 72-2", "지도Link")</f>
        <v/>
      </c>
      <c r="N645" s="6">
        <f>HYPERLINK("http://www.eum.go.kr/web/ar/lu/luLandDet.jsp?pnu=3611034031200720002&amp;isNoScr=script&amp;mode=search", "토지이음")</f>
        <v/>
      </c>
      <c r="O645" s="3" t="inlineStr">
        <is>
          <t>다온</t>
        </is>
      </c>
      <c r="P645" s="4" t="n">
        <v>1</v>
      </c>
      <c r="Q645" s="4" t="n">
        <v>128993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금남면 영대리 산120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97000</v>
      </c>
      <c r="G646" s="4" t="n">
        <v>31945</v>
      </c>
      <c r="H646" s="4" t="n">
        <v>9663</v>
      </c>
      <c r="I646" s="5" t="n">
        <v>10</v>
      </c>
      <c r="J646" s="5" t="n">
        <v>2.8</v>
      </c>
      <c r="K646" s="3" t="inlineStr">
        <is>
          <t>세종시행복도시원내 인접 세종시청 차량7분 미래가치 충분한 투자처로 최고</t>
        </is>
      </c>
      <c r="L646" s="6">
        <f>HYPERLINK("https://fin.land.naver.com/articles/2655113161", "매물Link")</f>
        <v/>
      </c>
      <c r="M646" s="6">
        <f>HYPERLINK("https://map.naver.com/p/search/금남면 영대리 산120", "지도Link")</f>
        <v/>
      </c>
      <c r="N646" s="6">
        <f>HYPERLINK("http://www.eum.go.kr/web/ar/lu/luLandDet.jsp?pnu=3611034031201200000&amp;isNoScr=script&amp;mode=search",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31945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산15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300000</v>
      </c>
      <c r="G647" s="4" t="n">
        <v>73388</v>
      </c>
      <c r="H647" s="4" t="n">
        <v>22200</v>
      </c>
      <c r="I647" s="5" t="n">
        <v>13.5</v>
      </c>
      <c r="J647" s="5" t="n">
        <v>3.2</v>
      </c>
      <c r="K647" s="3" t="inlineStr">
        <is>
          <t>도로에 접한 저렴한 임야,농장 하실분 적극추천</t>
        </is>
      </c>
      <c r="L647" s="6">
        <f>HYPERLINK("https://fin.land.naver.com/articles/2653453884", "매물Link")</f>
        <v/>
      </c>
      <c r="M647" s="6">
        <f>HYPERLINK("https://map.naver.com/p/search/금남면 영대리 산15", "지도Link")</f>
        <v/>
      </c>
      <c r="N647" s="6">
        <f>HYPERLINK("http://www.eum.go.kr/web/ar/lu/luLandDet.jsp?pnu=3611034031200150000&amp;isNoScr=script&amp;mode=search", "토지이음")</f>
        <v/>
      </c>
      <c r="O647" s="3" t="inlineStr">
        <is>
          <t>보람뜰</t>
        </is>
      </c>
      <c r="P647" s="4" t="n">
        <v>1</v>
      </c>
      <c r="Q647" s="4" t="n">
        <v>73388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산94-10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50000</v>
      </c>
      <c r="G648" s="4" t="n">
        <v>19898</v>
      </c>
      <c r="H648" s="4" t="n">
        <v>6019</v>
      </c>
      <c r="I648" s="5" t="n">
        <v>8.300000000000001</v>
      </c>
      <c r="J648" s="5" t="n">
        <v>4.3</v>
      </c>
      <c r="K648" s="3" t="inlineStr">
        <is>
          <t>nan</t>
        </is>
      </c>
      <c r="L648" s="6">
        <f>HYPERLINK("https://fin.land.naver.com/articles/2654703941", "매물Link")</f>
        <v/>
      </c>
      <c r="M648" s="6">
        <f>HYPERLINK("https://map.naver.com/p/search/금남면 영대리 산94-10", "지도Link")</f>
        <v/>
      </c>
      <c r="N648" s="6">
        <f>HYPERLINK("http://www.eum.go.kr/web/ar/lu/luLandDet.jsp?pnu=3611034031200940010&amp;isNoScr=script&amp;mode=search", "토지이음")</f>
        <v/>
      </c>
      <c r="O648" s="3" t="inlineStr">
        <is>
          <t>세종</t>
        </is>
      </c>
      <c r="P648" s="4" t="n">
        <v>1</v>
      </c>
      <c r="Q648" s="4" t="n">
        <v>19500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산94-2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18619</v>
      </c>
      <c r="H649" s="4" t="n">
        <v>5632</v>
      </c>
      <c r="I649" s="5" t="n">
        <v>10.7</v>
      </c>
      <c r="J649" s="5" t="n">
        <v>3.6</v>
      </c>
      <c r="K649" s="3" t="inlineStr">
        <is>
          <t>임야,전으로 구성된 총2필지,둔곡지구 인근,지적도상맹지이나 도로개설가능</t>
        </is>
      </c>
      <c r="L649" s="6">
        <f>HYPERLINK("https://fin.land.naver.com/articles/2650775693", "매물Link")</f>
        <v/>
      </c>
      <c r="M649" s="6">
        <f>HYPERLINK("https://map.naver.com/p/search/금남면 영대리 산94-2", "지도Link")</f>
        <v/>
      </c>
      <c r="N649" s="6">
        <f>HYPERLINK("http://www.eum.go.kr/web/ar/lu/luLandDet.jsp?pnu=3611034031200940002&amp;isNoScr=script&amp;mode=search", "토지이음")</f>
        <v/>
      </c>
      <c r="O649" s="3" t="inlineStr">
        <is>
          <t>부자마을</t>
        </is>
      </c>
      <c r="P649" s="4" t="n">
        <v>1</v>
      </c>
      <c r="Q649" s="4" t="n">
        <v>16500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맹지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세종도심지 인근에 위치 도로접 신규영농자격 필요한분 최적지</t>
        </is>
      </c>
      <c r="L652" s="6">
        <f>HYPERLINK("https://fin.land.naver.com/articles/2654523412",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킹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HYPERLINK("https://fin.land.naver.com/articles/2650530412",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네모반듯하고 햇볕 잘드는 전원주택지</t>
        </is>
      </c>
      <c r="L658" s="6">
        <f>HYPERLINK("https://fin.land.naver.com/articles/2651892900",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창고의여왕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nan</t>
        </is>
      </c>
      <c r="L659" s="6">
        <f>HYPERLINK("https://fin.land.naver.com/articles/2654498018",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내동굿모닝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41000</v>
      </c>
      <c r="G662" s="4" t="n">
        <v>539</v>
      </c>
      <c r="H662" s="4" t="n">
        <v>163</v>
      </c>
      <c r="I662" s="5" t="n">
        <v>251.5</v>
      </c>
      <c r="J662" s="5" t="n">
        <v>98.3</v>
      </c>
      <c r="K662" s="3" t="inlineStr">
        <is>
          <t>도로 접한 투자가치 좋은 토지</t>
        </is>
      </c>
      <c r="L662" s="6">
        <f>HYPERLINK("https://fin.land.naver.com/articles/2655612386",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메트로무소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20000</v>
      </c>
      <c r="G663" s="4" t="n">
        <v>539</v>
      </c>
      <c r="H663" s="4" t="n">
        <v>163</v>
      </c>
      <c r="I663" s="5" t="n">
        <v>122.7</v>
      </c>
      <c r="J663" s="5" t="n">
        <v>98.3</v>
      </c>
      <c r="K663" s="3" t="inlineStr">
        <is>
          <t>자연취락지구포장도로 접근, 남세종IC세종생활권 연계 우수</t>
        </is>
      </c>
      <c r="L663" s="6">
        <f>HYPERLINK("https://fin.land.naver.com/articles/2651259348",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세종소담황금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249-2</t>
        </is>
      </c>
      <c r="B664" s="3" t="inlineStr">
        <is>
          <t>자연녹지지역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718</v>
      </c>
      <c r="H664" s="4" t="n">
        <v>217</v>
      </c>
      <c r="I664" s="5" t="n">
        <v>188.9</v>
      </c>
      <c r="J664" s="5" t="n">
        <v>137.5</v>
      </c>
      <c r="K664" s="3" t="inlineStr">
        <is>
          <t>용담리 길따라 위치한 정중앙 주택. 넓은마당 단독주택 편안한삶 추천</t>
        </is>
      </c>
      <c r="L664" s="6">
        <f>HYPERLINK("https://fin.land.naver.com/articles/2651553860", "매물Link")</f>
        <v/>
      </c>
      <c r="M664" s="6">
        <f>HYPERLINK("https://map.naver.com/p/search/금남면 용담리 249-2", "지도Link")</f>
        <v/>
      </c>
      <c r="N664" s="6">
        <f>HYPERLINK("http://www.eum.go.kr/web/ar/lu/luLandDet.jsp?pnu=3611034025102490002&amp;isNoScr=script&amp;mode=search", "토지이음")</f>
        <v/>
      </c>
      <c r="O664" s="3" t="inlineStr">
        <is>
          <t>땅집사</t>
        </is>
      </c>
      <c r="P664" s="4" t="n">
        <v>1</v>
      </c>
      <c r="Q664" s="4" t="n">
        <v>718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259-1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76000</v>
      </c>
      <c r="G665" s="4" t="n">
        <v>1927</v>
      </c>
      <c r="H665" s="4" t="n">
        <v>583</v>
      </c>
      <c r="I665" s="5" t="n">
        <v>130.4</v>
      </c>
      <c r="J665" s="5" t="n">
        <v>55.1</v>
      </c>
      <c r="K665" s="3" t="inlineStr">
        <is>
          <t>조율가능,도로와 접해 활용도 좋은토지,세종 대전 더블생활권</t>
        </is>
      </c>
      <c r="L665" s="6">
        <f>HYPERLINK("https://fin.land.naver.com/articles/2653705004", "매물Link")</f>
        <v/>
      </c>
      <c r="M665" s="6">
        <f>HYPERLINK("https://map.naver.com/p/search/금남면 용담리 259-1", "지도Link")</f>
        <v/>
      </c>
      <c r="N665" s="6">
        <f>HYPERLINK("http://www.eum.go.kr/web/ar/lu/luLandDet.jsp?pnu=3611034025102590001&amp;isNoScr=script&amp;mode=search",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1927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안산 산업단지 수혜로 가격상승 투자 강추</t>
        </is>
      </c>
      <c r="L666" s="6">
        <f>HYPERLINK("https://fin.land.naver.com/articles/2654148586",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신호반2블럭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270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50000</v>
      </c>
      <c r="G667" s="4" t="n">
        <v>1408</v>
      </c>
      <c r="H667" s="4" t="n">
        <v>426</v>
      </c>
      <c r="I667" s="5" t="n">
        <v>117.4</v>
      </c>
      <c r="J667" s="5" t="n">
        <v>33</v>
      </c>
      <c r="K667" s="3" t="inlineStr">
        <is>
          <t>마을 인접 현황 진입 가능한 금남면 영농형 농지</t>
        </is>
      </c>
      <c r="L667" s="6">
        <f>HYPERLINK("https://fin.land.naver.com/articles/2655038694", "매물Link")</f>
        <v/>
      </c>
      <c r="M667" s="6">
        <f>HYPERLINK("https://map.naver.com/p/search/금남면 용담리 270", "지도Link")</f>
        <v/>
      </c>
      <c r="N667" s="6">
        <f>HYPERLINK("http://www.eum.go.kr/web/ar/lu/luLandDet.jsp?pnu=3611034025102700000&amp;isNoScr=script&amp;mode=search", "토지이음")</f>
        <v/>
      </c>
      <c r="O667" s="3" t="inlineStr">
        <is>
          <t>세종소담황금</t>
        </is>
      </c>
      <c r="P667" s="4" t="n">
        <v>1</v>
      </c>
      <c r="Q667" s="4" t="n">
        <v>1408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HYPERLINK("https://fin.land.naver.com/articles/2651107543",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56-1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24500</v>
      </c>
      <c r="G669" s="4" t="n">
        <v>1157</v>
      </c>
      <c r="H669" s="4" t="n">
        <v>350</v>
      </c>
      <c r="I669" s="5" t="n">
        <v>70</v>
      </c>
      <c r="J669" s="5" t="n">
        <v>35.1</v>
      </c>
      <c r="K669" s="3" t="inlineStr">
        <is>
          <t>용담리. 지가 상승 지역으로 투자 강추</t>
        </is>
      </c>
      <c r="L669" s="6">
        <f>HYPERLINK("https://fin.land.naver.com/articles/2652722784", "매물Link")</f>
        <v/>
      </c>
      <c r="M669" s="6">
        <f>HYPERLINK("https://map.naver.com/p/search/금남면 용담리 56-1", "지도Link")</f>
        <v/>
      </c>
      <c r="N669" s="6">
        <f>HYPERLINK("http://www.eum.go.kr/web/ar/lu/luLandDet.jsp?pnu=3611034025100560001&amp;isNoScr=script&amp;mode=search", "토지이음")</f>
        <v/>
      </c>
      <c r="O669" s="3" t="inlineStr">
        <is>
          <t>내동굿모닝</t>
        </is>
      </c>
      <c r="P669" s="4" t="n">
        <v>1</v>
      </c>
      <c r="Q669" s="4" t="n">
        <v>1157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57</t>
        </is>
      </c>
      <c r="B670" s="3" t="inlineStr">
        <is>
          <t>개발제한구역</t>
        </is>
      </c>
      <c r="C670" s="3" t="inlineStr">
        <is>
          <t>창고용지</t>
        </is>
      </c>
      <c r="D670" s="3" t="inlineStr">
        <is>
          <t>답</t>
        </is>
      </c>
      <c r="E670" s="3" t="inlineStr">
        <is>
          <t>매매</t>
        </is>
      </c>
      <c r="F670" s="4" t="n">
        <v>43000</v>
      </c>
      <c r="G670" s="4" t="n">
        <v>1737</v>
      </c>
      <c r="H670" s="4" t="n">
        <v>525</v>
      </c>
      <c r="I670" s="5" t="n">
        <v>81.90000000000001</v>
      </c>
      <c r="J670" s="5" t="n">
        <v>44.2</v>
      </c>
      <c r="K670" s="3" t="inlineStr">
        <is>
          <t>금남면 용담리 토지매매(창고1동 포함)</t>
        </is>
      </c>
      <c r="L670" s="6">
        <f>HYPERLINK("https://fin.land.naver.com/articles/2654357547", "매물Link")</f>
        <v/>
      </c>
      <c r="M670" s="6">
        <f>HYPERLINK("https://map.naver.com/p/search/금남면 용담리 57", "지도Link")</f>
        <v/>
      </c>
      <c r="N670" s="6">
        <f>HYPERLINK("http://www.eum.go.kr/web/ar/lu/luLandDet.jsp?pnu=3611034025100570000&amp;isNoScr=script&amp;mode=search", "토지이음")</f>
        <v/>
      </c>
      <c r="O670" s="3" t="inlineStr">
        <is>
          <t>비전</t>
        </is>
      </c>
      <c r="P670" s="4" t="n">
        <v>1</v>
      </c>
      <c r="Q670" s="4" t="n">
        <v>130</v>
      </c>
      <c r="R670" s="3" t="inlineStr">
        <is>
          <t>지정되지않음</t>
        </is>
      </c>
      <c r="S670" s="3" t="inlineStr">
        <is>
          <t>답창고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세로한면(가)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HYPERLINK("https://fin.land.naver.com/articles/2650900562",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167-8</t>
        </is>
      </c>
      <c r="B673" s="3" t="inlineStr">
        <is>
          <t>제1종일반주거지역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7150</v>
      </c>
      <c r="G673" s="4" t="n">
        <v>79</v>
      </c>
      <c r="H673" s="4" t="n">
        <v>24</v>
      </c>
      <c r="I673" s="5" t="n">
        <v>297.9</v>
      </c>
      <c r="J673" s="5" t="n">
        <v>258.8</v>
      </c>
      <c r="K673" s="3" t="inlineStr">
        <is>
          <t>금남면 용포리 지목 대 소형토지</t>
        </is>
      </c>
      <c r="L673" s="6">
        <f>HYPERLINK("https://fin.land.naver.com/articles/2650897151", "매물Link")</f>
        <v/>
      </c>
      <c r="M673" s="6">
        <f>HYPERLINK("https://map.naver.com/p/search/금남면 용포리 167-8", "지도Link")</f>
        <v/>
      </c>
      <c r="N673" s="6">
        <f>HYPERLINK("http://www.eum.go.kr/web/ar/lu/luLandDet.jsp?pnu=3611034021101670008&amp;isNoScr=script&amp;mode=search", "토지이음")</f>
        <v/>
      </c>
      <c r="O673" s="3" t="inlineStr">
        <is>
          <t>88</t>
        </is>
      </c>
      <c r="P673" s="4" t="n">
        <v>1</v>
      </c>
      <c r="Q673" s="4" t="n">
        <v>79</v>
      </c>
      <c r="R673" s="3" t="inlineStr">
        <is>
          <t>자연녹지지역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용포리 169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34100</v>
      </c>
      <c r="G674" s="4" t="n">
        <v>206</v>
      </c>
      <c r="H674" s="4" t="n">
        <v>62</v>
      </c>
      <c r="I674" s="5" t="n">
        <v>550</v>
      </c>
      <c r="J674" s="5" t="n">
        <v>360.3</v>
      </c>
      <c r="K674" s="3" t="inlineStr">
        <is>
          <t>급매,2차선도로에 붙은 대지,단독주택지 추천 관공서 생활편의 시설 인접</t>
        </is>
      </c>
      <c r="L674" s="6">
        <f>HYPERLINK("https://fin.land.naver.com/articles/2651700142", "매물Link")</f>
        <v/>
      </c>
      <c r="M674" s="6">
        <f>HYPERLINK("https://map.naver.com/p/search/금남면 용포리 169", "지도Link")</f>
        <v/>
      </c>
      <c r="N674" s="6">
        <f>HYPERLINK("http://www.eum.go.kr/web/ar/lu/luLandDet.jsp?pnu=3611034021101690000&amp;isNoScr=script&amp;mode=search", "토지이음")</f>
        <v/>
      </c>
      <c r="O674" s="3" t="inlineStr">
        <is>
          <t>두진</t>
        </is>
      </c>
      <c r="P674" s="4" t="n">
        <v>1</v>
      </c>
      <c r="Q674" s="4" t="n">
        <v>206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소로한면</t>
        </is>
      </c>
    </row>
    <row r="675">
      <c r="A675" s="3" t="inlineStr">
        <is>
          <t>금남면 용포리 185-3</t>
        </is>
      </c>
      <c r="B675" s="3" t="inlineStr">
        <is>
          <t>제2종일반주거지역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245</v>
      </c>
      <c r="H675" s="4" t="n">
        <v>74</v>
      </c>
      <c r="I675" s="5" t="n">
        <v>608.1</v>
      </c>
      <c r="J675" s="5" t="n">
        <v>324.5</v>
      </c>
      <c r="K675" s="3" t="inlineStr">
        <is>
          <t>세종시 금남면 용포리에 위치한 단독주택 또는 공동주택 건축 적합지 245</t>
        </is>
      </c>
      <c r="L675" s="6">
        <f>HYPERLINK("https://fin.land.naver.com/articles/2650688926", "매물Link")</f>
        <v/>
      </c>
      <c r="M675" s="6">
        <f>HYPERLINK("https://map.naver.com/p/search/금남면 용포리 185-3", "지도Link")</f>
        <v/>
      </c>
      <c r="N675" s="6">
        <f>HYPERLINK("http://www.eum.go.kr/web/ar/lu/luLandDet.jsp?pnu=3611034021101850003&amp;isNoScr=script&amp;mode=search", "토지이음")</f>
        <v/>
      </c>
      <c r="O675" s="3" t="inlineStr">
        <is>
          <t>주식회사 고창</t>
        </is>
      </c>
      <c r="P675" s="4" t="n">
        <v>1</v>
      </c>
      <c r="Q675" s="4" t="n">
        <v>245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세로한면(가)</t>
        </is>
      </c>
    </row>
    <row r="676">
      <c r="A676" s="3" t="inlineStr">
        <is>
          <t>금남면 용포리 193-27</t>
        </is>
      </c>
      <c r="B676" s="3" t="inlineStr">
        <is>
          <t>일반상업지역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72000</v>
      </c>
      <c r="G676" s="4" t="n">
        <v>181</v>
      </c>
      <c r="H676" s="4" t="n">
        <v>55</v>
      </c>
      <c r="I676" s="5" t="n">
        <v>1309.1</v>
      </c>
      <c r="J676" s="5" t="n">
        <v>680</v>
      </c>
      <c r="K676" s="3" t="inlineStr">
        <is>
          <t>절충가능 합니다.</t>
        </is>
      </c>
      <c r="L676" s="6">
        <f>HYPERLINK("https://fin.land.naver.com/articles/2652588057", "매물Link")</f>
        <v/>
      </c>
      <c r="M676" s="6">
        <f>HYPERLINK("https://map.naver.com/p/search/금남면 용포리 193-27", "지도Link")</f>
        <v/>
      </c>
      <c r="N676" s="6">
        <f>HYPERLINK("http://www.eum.go.kr/web/ar/lu/luLandDet.jsp?pnu=3611034021101930027&amp;isNoScr=script&amp;mode=search", "토지이음")</f>
        <v/>
      </c>
      <c r="O676" s="3" t="inlineStr">
        <is>
          <t>행복한엘드</t>
        </is>
      </c>
      <c r="P676" s="4" t="n">
        <v>1</v>
      </c>
      <c r="Q676" s="4" t="n">
        <v>177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중로한면</t>
        </is>
      </c>
    </row>
    <row r="677">
      <c r="A677" s="3" t="inlineStr">
        <is>
          <t>금남면 용포리 193-9</t>
        </is>
      </c>
      <c r="B677" s="3" t="inlineStr">
        <is>
          <t>일반상업지역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42000</v>
      </c>
      <c r="G677" s="4" t="n">
        <v>116</v>
      </c>
      <c r="H677" s="4" t="n">
        <v>35</v>
      </c>
      <c r="I677" s="5" t="n">
        <v>1200</v>
      </c>
      <c r="J677" s="5" t="n">
        <v>591.7</v>
      </c>
      <c r="K677" s="3" t="inlineStr">
        <is>
          <t>일반상업지역으로 건폐율,용적률 증가로 건물 지을수 있음</t>
        </is>
      </c>
      <c r="L677" s="6">
        <f>HYPERLINK("https://fin.land.naver.com/articles/2651053429", "매물Link")</f>
        <v/>
      </c>
      <c r="M677" s="6">
        <f>HYPERLINK("https://map.naver.com/p/search/금남면 용포리 193-9", "지도Link")</f>
        <v/>
      </c>
      <c r="N677" s="6">
        <f>HYPERLINK("http://www.eum.go.kr/web/ar/lu/luLandDet.jsp?pnu=3611034021101930009&amp;isNoScr=script&amp;mode=search", "토지이음")</f>
        <v/>
      </c>
      <c r="O677" s="3" t="inlineStr">
        <is>
          <t>담뜰</t>
        </is>
      </c>
      <c r="P677" s="4" t="n">
        <v>1</v>
      </c>
      <c r="Q677" s="4" t="n">
        <v>116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금남면 용포리 205-10</t>
        </is>
      </c>
      <c r="B678" s="3" t="inlineStr">
        <is>
          <t>제2종일반주거지역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210000</v>
      </c>
      <c r="G678" s="4" t="n">
        <v>473</v>
      </c>
      <c r="H678" s="4" t="n">
        <v>143</v>
      </c>
      <c r="I678" s="5" t="n">
        <v>1468.5</v>
      </c>
      <c r="J678" s="5" t="n">
        <v>828.8</v>
      </c>
      <c r="K678" s="3" t="inlineStr">
        <is>
          <t>상가임대, 회전교차로, 투자</t>
        </is>
      </c>
      <c r="L678" s="6">
        <f>HYPERLINK("https://fin.land.naver.com/articles/2650858428", "매물Link")</f>
        <v/>
      </c>
      <c r="M678" s="6">
        <f>HYPERLINK("https://map.naver.com/p/search/금남면 용포리 205-10", "지도Link")</f>
        <v/>
      </c>
      <c r="N678" s="6">
        <f>HYPERLINK("http://www.eum.go.kr/web/ar/lu/luLandDet.jsp?pnu=3611034021102050010&amp;isNoScr=script&amp;mode=search", "토지이음")</f>
        <v/>
      </c>
      <c r="O678" s="3" t="inlineStr">
        <is>
          <t>한뜰금빛</t>
        </is>
      </c>
      <c r="P678" s="4" t="n">
        <v>1</v>
      </c>
      <c r="Q678" s="4" t="n">
        <v>473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237-46</t>
        </is>
      </c>
      <c r="B679" s="3" t="inlineStr">
        <is>
          <t>생산녹지지역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2115</v>
      </c>
      <c r="H679" s="4" t="n">
        <v>640</v>
      </c>
      <c r="I679" s="5" t="n">
        <v>187.5</v>
      </c>
      <c r="J679" s="5" t="n">
        <v>110.8</v>
      </c>
      <c r="K679" s="3" t="inlineStr">
        <is>
          <t>행정도시옆에 위치하고 있으며 향후 투자가치가 높음</t>
        </is>
      </c>
      <c r="L679" s="6">
        <f>HYPERLINK("https://fin.land.naver.com/articles/2654740953", "매물Link")</f>
        <v/>
      </c>
      <c r="M679" s="6">
        <f>HYPERLINK("https://map.naver.com/p/search/금남면 용포리 237-46", "지도Link")</f>
        <v/>
      </c>
      <c r="N679" s="6">
        <f>HYPERLINK("http://www.eum.go.kr/web/ar/lu/luLandDet.jsp?pnu=3611034021102370046&amp;isNoScr=script&amp;mode=search", "토지이음")</f>
        <v/>
      </c>
      <c r="O679" s="3" t="inlineStr">
        <is>
          <t>창고의여왕</t>
        </is>
      </c>
      <c r="P679" s="4" t="n">
        <v>2</v>
      </c>
      <c r="Q679" s="4" t="n">
        <v>2115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금남면 용포리 49-3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55900</v>
      </c>
      <c r="G680" s="4" t="n">
        <v>1847</v>
      </c>
      <c r="H680" s="4" t="n">
        <v>559</v>
      </c>
      <c r="I680" s="5" t="n">
        <v>100</v>
      </c>
      <c r="J680" s="5" t="n">
        <v>90.59999999999999</v>
      </c>
      <c r="K680" s="3" t="inlineStr">
        <is>
          <t>공시가 급매물 보전녹지지역 자연녹지지역 성장관리계획구역</t>
        </is>
      </c>
      <c r="L680" s="6">
        <f>HYPERLINK("https://fin.land.naver.com/articles/2655017751", "매물Link")</f>
        <v/>
      </c>
      <c r="M680" s="6">
        <f>HYPERLINK("https://map.naver.com/p/search/금남면 용포리 49-3", "지도Link")</f>
        <v/>
      </c>
      <c r="N680" s="6">
        <f>HYPERLINK("http://www.eum.go.kr/web/ar/lu/luLandDet.jsp?pnu=3611034021100490003&amp;isNoScr=script&amp;mode=search", "토지이음")</f>
        <v/>
      </c>
      <c r="O680" s="3" t="inlineStr">
        <is>
          <t>THE행복</t>
        </is>
      </c>
      <c r="P680" s="4" t="n">
        <v>1</v>
      </c>
      <c r="Q680" s="4" t="n">
        <v>1848</v>
      </c>
      <c r="R680" s="3" t="inlineStr">
        <is>
          <t>자연녹지지역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용포리 72</t>
        </is>
      </c>
      <c r="B681" s="3" t="inlineStr">
        <is>
          <t>제2종일반주거지역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453000</v>
      </c>
      <c r="G681" s="4" t="n">
        <v>2497</v>
      </c>
      <c r="H681" s="4" t="n">
        <v>755</v>
      </c>
      <c r="I681" s="5" t="n">
        <v>600</v>
      </c>
      <c r="J681" s="5" t="n">
        <v>401.7</v>
      </c>
      <c r="K681" s="3" t="inlineStr">
        <is>
          <t>급매 나대지 투자 다가구주택용지</t>
        </is>
      </c>
      <c r="L681" s="6">
        <f>HYPERLINK("https://fin.land.naver.com/articles/2651113571", "매물Link")</f>
        <v/>
      </c>
      <c r="M681" s="6">
        <f>HYPERLINK("https://map.naver.com/p/search/금남면 용포리 72", "지도Link")</f>
        <v/>
      </c>
      <c r="N681" s="6">
        <f>HYPERLINK("http://www.eum.go.kr/web/ar/lu/luLandDet.jsp?pnu=3611034021100720000&amp;isNoScr=script&amp;mode=search", "토지이음")</f>
        <v/>
      </c>
      <c r="O681" s="3" t="inlineStr">
        <is>
          <t>세계로</t>
        </is>
      </c>
      <c r="P681" s="4" t="n">
        <v>1</v>
      </c>
      <c r="Q681" s="4" t="n">
        <v>2497</v>
      </c>
      <c r="R681" s="3" t="inlineStr">
        <is>
          <t>자연녹지지역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용포리 8-2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72400</v>
      </c>
      <c r="G682" s="4" t="n">
        <v>1040</v>
      </c>
      <c r="H682" s="4" t="n">
        <v>315</v>
      </c>
      <c r="I682" s="5" t="n">
        <v>229.8</v>
      </c>
      <c r="J682" s="5" t="n">
        <v>63.8</v>
      </c>
      <c r="K682" s="3" t="inlineStr">
        <is>
          <t>2차선 도로접 지대가 높고 막힘없는 조망권뷰 최상,체육공원인접</t>
        </is>
      </c>
      <c r="L682" s="6">
        <f>HYPERLINK("https://fin.land.naver.com/articles/2653427208", "매물Link")</f>
        <v/>
      </c>
      <c r="M682" s="6">
        <f>HYPERLINK("https://map.naver.com/p/search/금남면 용포리 8-2", "지도Link")</f>
        <v/>
      </c>
      <c r="N682" s="6">
        <f>HYPERLINK("http://www.eum.go.kr/web/ar/lu/luLandDet.jsp?pnu=3611034021100080002&amp;isNoScr=script&amp;mode=search",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1040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소로한면</t>
        </is>
      </c>
    </row>
    <row r="683">
      <c r="A683" s="3" t="inlineStr">
        <is>
          <t>금남면 용포리 8-2</t>
        </is>
      </c>
      <c r="B683" s="3" t="inlineStr">
        <is>
          <t>개발제한구역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72400</v>
      </c>
      <c r="G683" s="4" t="n">
        <v>1040</v>
      </c>
      <c r="H683" s="4" t="n">
        <v>315</v>
      </c>
      <c r="I683" s="5" t="n">
        <v>229.8</v>
      </c>
      <c r="J683" s="5" t="n">
        <v>63.8</v>
      </c>
      <c r="K683" s="3" t="inlineStr">
        <is>
          <t>2차선 도로 접한 현황 토지(농지) 그린벨트지역 보기 좋은 토지</t>
        </is>
      </c>
      <c r="L683" s="6">
        <f>HYPERLINK("https://fin.land.naver.com/articles/2651396670", "매물Link")</f>
        <v/>
      </c>
      <c r="M683" s="6">
        <f>HYPERLINK("https://map.naver.com/p/search/금남면 용포리 8-2", "지도Link")</f>
        <v/>
      </c>
      <c r="N683" s="6">
        <f>HYPERLINK("http://www.eum.go.kr/web/ar/lu/luLandDet.jsp?pnu=3611034021100080002&amp;isNoScr=script&amp;mode=search", "토지이음")</f>
        <v/>
      </c>
      <c r="O683" s="3" t="inlineStr">
        <is>
          <t>로데오상가</t>
        </is>
      </c>
      <c r="P683" s="4" t="n">
        <v>1</v>
      </c>
      <c r="Q683" s="4" t="n">
        <v>1040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소로한면</t>
        </is>
      </c>
    </row>
    <row r="684">
      <c r="A684" s="3" t="inlineStr">
        <is>
          <t>금남면 용포리 8-2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72400</v>
      </c>
      <c r="G684" s="4" t="n">
        <v>1040</v>
      </c>
      <c r="H684" s="4" t="n">
        <v>315</v>
      </c>
      <c r="I684" s="5" t="n">
        <v>229.8</v>
      </c>
      <c r="J684" s="5" t="n">
        <v>63.8</v>
      </c>
      <c r="K684" s="3" t="inlineStr">
        <is>
          <t>금남면 용포리 답으로 단독주택가능한 용지</t>
        </is>
      </c>
      <c r="L684" s="6">
        <f>HYPERLINK("https://fin.land.naver.com/articles/2654820474", "매물Link")</f>
        <v/>
      </c>
      <c r="M684" s="6">
        <f>HYPERLINK("https://map.naver.com/p/search/금남면 용포리 8-2", "지도Link")</f>
        <v/>
      </c>
      <c r="N684" s="6">
        <f>HYPERLINK("http://www.eum.go.kr/web/ar/lu/luLandDet.jsp?pnu=3611034021100080002&amp;isNoScr=script&amp;mode=search", "토지이음")</f>
        <v/>
      </c>
      <c r="O684" s="3" t="inlineStr">
        <is>
          <t>황소플러스</t>
        </is>
      </c>
      <c r="P684" s="4" t="n">
        <v>4</v>
      </c>
      <c r="Q684" s="4" t="n">
        <v>1040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금남면 용포리 86-1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1336000</v>
      </c>
      <c r="G685" s="4" t="n">
        <v>4417</v>
      </c>
      <c r="H685" s="4" t="n">
        <v>1336</v>
      </c>
      <c r="I685" s="5" t="n">
        <v>1000</v>
      </c>
      <c r="J685" s="5" t="n">
        <v>635.7</v>
      </c>
      <c r="K685" s="3" t="inlineStr">
        <is>
          <t>용포리 건축가능 최고의 위치 나대지</t>
        </is>
      </c>
      <c r="L685" s="6">
        <f>HYPERLINK("https://fin.land.naver.com/articles/2654963312", "매물Link")</f>
        <v/>
      </c>
      <c r="M685" s="6">
        <f>HYPERLINK("https://map.naver.com/p/search/금남면 용포리 86-1", "지도Link")</f>
        <v/>
      </c>
      <c r="N685" s="6">
        <f>HYPERLINK("http://www.eum.go.kr/web/ar/lu/luLandDet.jsp?pnu=3611034021100860001&amp;isNoScr=script&amp;mode=search",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862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중로한면</t>
        </is>
      </c>
    </row>
    <row r="686">
      <c r="A686" s="3" t="inlineStr">
        <is>
          <t>금남면 용포리 90-16</t>
        </is>
      </c>
      <c r="B686" s="3" t="inlineStr">
        <is>
          <t>제2종일반주거지역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76000</v>
      </c>
      <c r="G686" s="4" t="n">
        <v>277</v>
      </c>
      <c r="H686" s="4" t="n">
        <v>84</v>
      </c>
      <c r="I686" s="5" t="n">
        <v>904.8</v>
      </c>
      <c r="J686" s="5" t="n">
        <v>436.7</v>
      </c>
      <c r="K686" s="3" t="inlineStr">
        <is>
          <t>현재컨테이너 근생용으로 허가사용하고있음,근생용지,다가구용지로 추천</t>
        </is>
      </c>
      <c r="L686" s="6">
        <f>HYPERLINK("https://fin.land.naver.com/articles/2651463047", "매물Link")</f>
        <v/>
      </c>
      <c r="M686" s="6">
        <f>HYPERLINK("https://map.naver.com/p/search/금남면 용포리 90-16", "지도Link")</f>
        <v/>
      </c>
      <c r="N686" s="6">
        <f>HYPERLINK("http://www.eum.go.kr/web/ar/lu/luLandDet.jsp?pnu=3611034021100900016&amp;isNoScr=script&amp;mode=search", "토지이음")</f>
        <v/>
      </c>
      <c r="O686" s="3" t="inlineStr">
        <is>
          <t>담뜰</t>
        </is>
      </c>
      <c r="P686" s="4" t="n">
        <v>1</v>
      </c>
      <c r="Q686" s="4" t="n">
        <v>115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용포리 90-17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277</v>
      </c>
      <c r="H687" s="4" t="n">
        <v>84</v>
      </c>
      <c r="I687" s="5" t="n">
        <v>773.8</v>
      </c>
      <c r="J687" s="5" t="n">
        <v>436.7</v>
      </c>
      <c r="K687" s="3" t="inlineStr">
        <is>
          <t>용포리 저렴한 2종근생</t>
        </is>
      </c>
      <c r="L687" s="6">
        <f>HYPERLINK("https://fin.land.naver.com/articles/2651637349", "매물Link")</f>
        <v/>
      </c>
      <c r="M687" s="6">
        <f>HYPERLINK("https://map.naver.com/p/search/금남면 용포리 90-17", "지도Link")</f>
        <v/>
      </c>
      <c r="N687" s="6">
        <f>HYPERLINK("http://www.eum.go.kr/web/ar/lu/luLandDet.jsp?pnu=3611034021100900017&amp;isNoScr=script&amp;mode=search", "토지이음")</f>
        <v/>
      </c>
      <c r="O687" s="3" t="inlineStr">
        <is>
          <t>THE행복</t>
        </is>
      </c>
      <c r="P687" s="4" t="n">
        <v>1</v>
      </c>
      <c r="Q687" s="4" t="n">
        <v>86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용포리 산12</t>
        </is>
      </c>
      <c r="B688" s="3" t="inlineStr">
        <is>
          <t>개발제한구역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20000</v>
      </c>
      <c r="G688" s="4" t="n">
        <v>9788</v>
      </c>
      <c r="H688" s="4" t="n">
        <v>2961</v>
      </c>
      <c r="I688" s="5" t="n">
        <v>6.8</v>
      </c>
      <c r="J688" s="5" t="n">
        <v>4.6</v>
      </c>
      <c r="K688" s="3" t="inlineStr">
        <is>
          <t>nan</t>
        </is>
      </c>
      <c r="L688" s="6">
        <f>HYPERLINK("https://fin.land.naver.com/articles/2653785596", "매물Link")</f>
        <v/>
      </c>
      <c r="M688" s="6">
        <f>HYPERLINK("https://map.naver.com/p/search/금남면 용포리 산12", "지도Link")</f>
        <v/>
      </c>
      <c r="N688" s="6">
        <f>HYPERLINK("http://www.eum.go.kr/web/ar/lu/luLandDet.jsp?pnu=3611034021200120000&amp;isNoScr=script&amp;mode=search", "토지이음")</f>
        <v/>
      </c>
      <c r="O688" s="3" t="inlineStr">
        <is>
          <t>바른</t>
        </is>
      </c>
      <c r="P688" s="4" t="n">
        <v>1</v>
      </c>
      <c r="Q688" s="4" t="n">
        <v>9788</v>
      </c>
      <c r="R688" s="3" t="inlineStr">
        <is>
          <t>지정되지않음</t>
        </is>
      </c>
      <c r="S688" s="3" t="inlineStr">
        <is>
          <t>자연림</t>
        </is>
      </c>
      <c r="T688" s="3" t="inlineStr">
        <is>
          <t>급경사</t>
        </is>
      </c>
      <c r="U688" s="3" t="inlineStr">
        <is>
          <t>부정형</t>
        </is>
      </c>
      <c r="V688" s="3" t="inlineStr">
        <is>
          <t>맹지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HYPERLINK("https://fin.land.naver.com/articles/2651526802",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31500</v>
      </c>
      <c r="G690" s="4" t="n">
        <v>1140</v>
      </c>
      <c r="H690" s="4" t="n">
        <v>345</v>
      </c>
      <c r="I690" s="5" t="n">
        <v>91.3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HYPERLINK("https://fin.land.naver.com/articles/2654911100",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297-3</t>
        </is>
      </c>
      <c r="B692" s="3" t="inlineStr">
        <is>
          <t>계획관리지역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118000</v>
      </c>
      <c r="G692" s="4" t="n">
        <v>2058</v>
      </c>
      <c r="H692" s="4" t="n">
        <v>623</v>
      </c>
      <c r="I692" s="5" t="n">
        <v>189.4</v>
      </c>
      <c r="J692" s="5" t="n">
        <v>114.9</v>
      </c>
      <c r="K692" s="3" t="inlineStr">
        <is>
          <t>금남면 원봉리 계획관리지역 전원주택지</t>
        </is>
      </c>
      <c r="L692" s="6">
        <f>HYPERLINK("https://fin.land.naver.com/articles/2654065271", "매물Link")</f>
        <v/>
      </c>
      <c r="M692" s="6">
        <f>HYPERLINK("https://map.naver.com/p/search/금남면 원봉리 297-3", "지도Link")</f>
        <v/>
      </c>
      <c r="N692" s="6">
        <f>HYPERLINK("http://www.eum.go.kr/web/ar/lu/luLandDet.jsp?pnu=3611034045102970003&amp;isNoScr=script&amp;mode=search", "토지이음")</f>
        <v/>
      </c>
      <c r="O692" s="3" t="inlineStr">
        <is>
          <t>세종천지</t>
        </is>
      </c>
      <c r="P692" s="4" t="n">
        <v>1</v>
      </c>
      <c r="Q692" s="4" t="n">
        <v>1034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297-5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52560</v>
      </c>
      <c r="G693" s="4" t="n">
        <v>1022</v>
      </c>
      <c r="H693" s="4" t="n">
        <v>309</v>
      </c>
      <c r="I693" s="5" t="n">
        <v>170.1</v>
      </c>
      <c r="J693" s="5" t="n">
        <v>114.9</v>
      </c>
      <c r="K693" s="3" t="inlineStr">
        <is>
          <t>주택은 고쳐서 다시 지으면 좋음. 행복도시 15분거리</t>
        </is>
      </c>
      <c r="L693" s="6">
        <f>HYPERLINK("https://fin.land.naver.com/articles/2651160796", "매물Link")</f>
        <v/>
      </c>
      <c r="M693" s="6">
        <f>HYPERLINK("https://map.naver.com/p/search/금남면 원봉리 297-5", "지도Link")</f>
        <v/>
      </c>
      <c r="N693" s="6">
        <f>HYPERLINK("http://www.eum.go.kr/web/ar/lu/luLandDet.jsp?pnu=3611034045102970005&amp;isNoScr=script&amp;mode=search", "토지이음")</f>
        <v/>
      </c>
      <c r="O693" s="3" t="inlineStr">
        <is>
          <t>미스터홈즈강남지사</t>
        </is>
      </c>
      <c r="P693" s="4" t="n">
        <v>1</v>
      </c>
      <c r="Q693" s="4" t="n">
        <v>1022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297-6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57000</v>
      </c>
      <c r="G694" s="4" t="n">
        <v>1047</v>
      </c>
      <c r="H694" s="4" t="n">
        <v>317</v>
      </c>
      <c r="I694" s="5" t="n">
        <v>179.8</v>
      </c>
      <c r="J694" s="5" t="n">
        <v>114.9</v>
      </c>
      <c r="K694" s="3" t="inlineStr">
        <is>
          <t>nan</t>
        </is>
      </c>
      <c r="L694" s="6">
        <f>HYPERLINK("https://fin.land.naver.com/articles/2655051016", "매물Link")</f>
        <v/>
      </c>
      <c r="M694" s="6">
        <f>HYPERLINK("https://map.naver.com/p/search/금남면 원봉리 297-6", "지도Link")</f>
        <v/>
      </c>
      <c r="N694" s="6">
        <f>HYPERLINK("http://www.eum.go.kr/web/ar/lu/luLandDet.jsp?pnu=3611034045102970006&amp;isNoScr=script&amp;mode=search", "토지이음")</f>
        <v/>
      </c>
      <c r="O694" s="3" t="inlineStr">
        <is>
          <t>세종소담황금</t>
        </is>
      </c>
      <c r="P694" s="4" t="n">
        <v>1</v>
      </c>
      <c r="Q694" s="4" t="n">
        <v>923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297-8</t>
        </is>
      </c>
      <c r="B695" s="3" t="inlineStr">
        <is>
          <t>보전관리지역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230000</v>
      </c>
      <c r="G695" s="4" t="n">
        <v>7741</v>
      </c>
      <c r="H695" s="4" t="n">
        <v>2342</v>
      </c>
      <c r="I695" s="5" t="n">
        <v>98.2</v>
      </c>
      <c r="J695" s="5" t="n">
        <v>41.1</v>
      </c>
      <c r="K695" s="3" t="inlineStr">
        <is>
          <t>분할매매 가능, 신도시 접근성 탁월, 향후 투자가치 상승, 전, 임야</t>
        </is>
      </c>
      <c r="L695" s="6">
        <f>HYPERLINK("https://fin.land.naver.com/articles/2651430367", "매물Link")</f>
        <v/>
      </c>
      <c r="M695" s="6">
        <f>HYPERLINK("https://map.naver.com/p/search/금남면 원봉리 297-8", "지도Link")</f>
        <v/>
      </c>
      <c r="N695" s="6">
        <f>HYPERLINK("http://www.eum.go.kr/web/ar/lu/luLandDet.jsp?pnu=3611034045102970008&amp;isNoScr=script&amp;mode=search", "토지이음")</f>
        <v/>
      </c>
      <c r="O695" s="3" t="inlineStr">
        <is>
          <t>세종</t>
        </is>
      </c>
      <c r="P695" s="4" t="n">
        <v>1</v>
      </c>
      <c r="Q695" s="4" t="n">
        <v>4645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원봉리 341-13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33000</v>
      </c>
      <c r="G696" s="4" t="n">
        <v>495</v>
      </c>
      <c r="H696" s="4" t="n">
        <v>150</v>
      </c>
      <c r="I696" s="5" t="n">
        <v>220</v>
      </c>
      <c r="J696" s="5" t="n">
        <v>91.40000000000001</v>
      </c>
      <c r="K696" s="3" t="inlineStr">
        <is>
          <t>전원주택부지 매매</t>
        </is>
      </c>
      <c r="L696" s="6">
        <f>HYPERLINK("https://fin.land.naver.com/articles/2654709053", "매물Link")</f>
        <v/>
      </c>
      <c r="M696" s="6">
        <f>HYPERLINK("https://map.naver.com/p/search/금남면 원봉리 341-13", "지도Link")</f>
        <v/>
      </c>
      <c r="N696" s="6">
        <f>HYPERLINK("http://www.eum.go.kr/web/ar/lu/luLandDet.jsp?pnu=3611034045103410013&amp;isNoScr=script&amp;mode=search", "토지이음")</f>
        <v/>
      </c>
      <c r="O696" s="3" t="inlineStr">
        <is>
          <t>마니</t>
        </is>
      </c>
      <c r="P696" s="4" t="n">
        <v>1</v>
      </c>
      <c r="Q696" s="4" t="n">
        <v>495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400-1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120000</v>
      </c>
      <c r="G697" s="4" t="n">
        <v>1844</v>
      </c>
      <c r="H697" s="4" t="n">
        <v>558</v>
      </c>
      <c r="I697" s="5" t="n">
        <v>215.1</v>
      </c>
      <c r="J697" s="5" t="n">
        <v>62.6</v>
      </c>
      <c r="K697" s="3" t="inlineStr">
        <is>
          <t>계획관리지역의 전으로, 지대도 높고 주변 환경도 좋은 투자용 토지입니다</t>
        </is>
      </c>
      <c r="L697" s="6">
        <f>HYPERLINK("https://fin.land.naver.com/articles/2651933876", "매물Link")</f>
        <v/>
      </c>
      <c r="M697" s="6">
        <f>HYPERLINK("https://map.naver.com/p/search/금남면 원봉리 400-1", "지도Link")</f>
        <v/>
      </c>
      <c r="N697" s="6">
        <f>HYPERLINK("http://www.eum.go.kr/web/ar/lu/luLandDet.jsp?pnu=3611034045104000001&amp;isNoScr=script&amp;mode=search", "토지이음")</f>
        <v/>
      </c>
      <c r="O697" s="3" t="inlineStr">
        <is>
          <t>스마일세종</t>
        </is>
      </c>
      <c r="P697" s="4" t="n">
        <v>1</v>
      </c>
      <c r="Q697" s="4" t="n">
        <v>1074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원봉리 402-3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43000</v>
      </c>
      <c r="G698" s="4" t="n">
        <v>711</v>
      </c>
      <c r="H698" s="4" t="n">
        <v>215</v>
      </c>
      <c r="I698" s="5" t="n">
        <v>200</v>
      </c>
      <c r="J698" s="5" t="n">
        <v>44.5</v>
      </c>
      <c r="K698" s="3" t="inlineStr">
        <is>
          <t>세종시내권 접근 양호 포장도로 접한 전원주택 검토형 토지</t>
        </is>
      </c>
      <c r="L698" s="6">
        <f>HYPERLINK("https://fin.land.naver.com/articles/2655549499", "매물Link")</f>
        <v/>
      </c>
      <c r="M698" s="6">
        <f>HYPERLINK("https://map.naver.com/p/search/금남면 원봉리 402-3", "지도Link")</f>
        <v/>
      </c>
      <c r="N698" s="6">
        <f>HYPERLINK("http://www.eum.go.kr/web/ar/lu/luLandDet.jsp?pnu=3611034045104020003&amp;isNoScr=script&amp;mode=search", "토지이음")</f>
        <v/>
      </c>
      <c r="O698" s="3" t="inlineStr">
        <is>
          <t>세종소담황금</t>
        </is>
      </c>
      <c r="P698" s="4" t="n">
        <v>1</v>
      </c>
      <c r="Q698" s="4" t="n">
        <v>711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437-3</t>
        </is>
      </c>
      <c r="B699" s="3" t="inlineStr">
        <is>
          <t>보전관리지역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28000</v>
      </c>
      <c r="G699" s="4" t="n">
        <v>902</v>
      </c>
      <c r="H699" s="4" t="n">
        <v>273</v>
      </c>
      <c r="I699" s="5" t="n">
        <v>102.6</v>
      </c>
      <c r="J699" s="5" t="n">
        <v>48.7</v>
      </c>
      <c r="K699" s="3" t="inlineStr">
        <is>
          <t>급매, 사진O, 원봉리 위치 좋은 농지입니다.</t>
        </is>
      </c>
      <c r="L699" s="6">
        <f>HYPERLINK("https://fin.land.naver.com/articles/2651362568", "매물Link")</f>
        <v/>
      </c>
      <c r="M699" s="6">
        <f>HYPERLINK("https://map.naver.com/p/search/금남면 원봉리 437-3", "지도Link")</f>
        <v/>
      </c>
      <c r="N699" s="6">
        <f>HYPERLINK("http://www.eum.go.kr/web/ar/lu/luLandDet.jsp?pnu=3611034045104370003&amp;isNoScr=script&amp;mode=search", "토지이음")</f>
        <v/>
      </c>
      <c r="O699" s="3" t="inlineStr">
        <is>
          <t>허브</t>
        </is>
      </c>
      <c r="P699" s="4" t="n">
        <v>1</v>
      </c>
      <c r="Q699" s="4" t="n">
        <v>902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원봉리 472-72</t>
        </is>
      </c>
      <c r="B700" s="3" t="inlineStr">
        <is>
          <t>계획관리지역</t>
        </is>
      </c>
      <c r="C700" s="3" t="inlineStr">
        <is>
          <t>학교용지</t>
        </is>
      </c>
      <c r="D700" s="3" t="inlineStr">
        <is>
          <t>임야</t>
        </is>
      </c>
      <c r="E700" s="3" t="inlineStr">
        <is>
          <t>매매</t>
        </is>
      </c>
      <c r="F700" s="4" t="n">
        <v>29000</v>
      </c>
      <c r="G700" s="4" t="n">
        <v>385</v>
      </c>
      <c r="H700" s="4" t="n">
        <v>116</v>
      </c>
      <c r="I700" s="5" t="n">
        <v>250</v>
      </c>
      <c r="J700" s="5" t="n">
        <v>116</v>
      </c>
      <c r="K700" s="3" t="inlineStr">
        <is>
          <t>행복도시에 가까운 전원주택단지</t>
        </is>
      </c>
      <c r="L700" s="6">
        <f>HYPERLINK("https://fin.land.naver.com/articles/2654430350", "매물Link")</f>
        <v/>
      </c>
      <c r="M700" s="6">
        <f>HYPERLINK("https://map.naver.com/p/search/금남면 원봉리 472-72", "지도Link")</f>
        <v/>
      </c>
      <c r="N700" s="6">
        <f>HYPERLINK("http://www.eum.go.kr/web/ar/lu/luLandDet.jsp?pnu=3611034045104720072&amp;isNoScr=script&amp;mode=search", "토지이음")</f>
        <v/>
      </c>
      <c r="O700" s="3" t="inlineStr">
        <is>
          <t>초정</t>
        </is>
      </c>
      <c r="P700" s="4" t="n">
        <v>1</v>
      </c>
      <c r="Q700" s="4" t="n">
        <v>192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476-1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82000</v>
      </c>
      <c r="G701" s="4" t="n">
        <v>1767</v>
      </c>
      <c r="H701" s="4" t="n">
        <v>535</v>
      </c>
      <c r="I701" s="5" t="n">
        <v>153.3</v>
      </c>
      <c r="J701" s="5" t="n">
        <v>53.1</v>
      </c>
      <c r="K701" s="3" t="inlineStr">
        <is>
          <t>금남면 원봉리 계획관리 토지, 도로접, 근생시설 및 창고 등</t>
        </is>
      </c>
      <c r="L701" s="6">
        <f>HYPERLINK("https://fin.land.naver.com/articles/2654021905", "매물Link")</f>
        <v/>
      </c>
      <c r="M701" s="6">
        <f>HYPERLINK("https://map.naver.com/p/search/금남면 원봉리 476-1", "지도Link")</f>
        <v/>
      </c>
      <c r="N701" s="6">
        <f>HYPERLINK("http://www.eum.go.kr/web/ar/lu/luLandDet.jsp?pnu=3611034045104760001&amp;isNoScr=script&amp;mode=search", "토지이음")</f>
        <v/>
      </c>
      <c r="O701" s="3" t="inlineStr">
        <is>
          <t>스카이</t>
        </is>
      </c>
      <c r="P701" s="4" t="n">
        <v>2</v>
      </c>
      <c r="Q701" s="4" t="n">
        <v>1540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원봉리 510-3</t>
        </is>
      </c>
      <c r="B702" s="3" t="inlineStr">
        <is>
          <t>생산관리지역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35000</v>
      </c>
      <c r="G702" s="4" t="n">
        <v>625</v>
      </c>
      <c r="H702" s="4" t="n">
        <v>189</v>
      </c>
      <c r="I702" s="5" t="n">
        <v>185.2</v>
      </c>
      <c r="J702" s="5" t="n">
        <v>51.4</v>
      </c>
      <c r="K702" s="3" t="inlineStr">
        <is>
          <t>성장관리구역,</t>
        </is>
      </c>
      <c r="L702" s="6">
        <f>HYPERLINK("https://fin.land.naver.com/articles/2655340850", "매물Link")</f>
        <v/>
      </c>
      <c r="M702" s="6">
        <f>HYPERLINK("https://map.naver.com/p/search/금남면 원봉리 510-3", "지도Link")</f>
        <v/>
      </c>
      <c r="N702" s="6">
        <f>HYPERLINK("http://www.eum.go.kr/web/ar/lu/luLandDet.jsp?pnu=3611034045105100003&amp;isNoScr=script&amp;mode=search", "토지이음")</f>
        <v/>
      </c>
      <c r="O702" s="3" t="inlineStr">
        <is>
          <t>역전</t>
        </is>
      </c>
      <c r="P702" s="4" t="n">
        <v>1</v>
      </c>
      <c r="Q702" s="4" t="n">
        <v>625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완경사</t>
        </is>
      </c>
      <c r="U702" s="3" t="inlineStr">
        <is>
          <t>가로장방</t>
        </is>
      </c>
      <c r="V702" s="3" t="inlineStr">
        <is>
          <t>세로한면(불)</t>
        </is>
      </c>
    </row>
    <row r="703">
      <c r="A703" s="3" t="inlineStr">
        <is>
          <t>금남면 원봉리 548-55</t>
        </is>
      </c>
      <c r="B703" s="3" t="inlineStr">
        <is>
          <t>보전관리지역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48000</v>
      </c>
      <c r="G703" s="4" t="n">
        <v>559</v>
      </c>
      <c r="H703" s="4" t="n">
        <v>169</v>
      </c>
      <c r="I703" s="5" t="n">
        <v>284</v>
      </c>
      <c r="J703" s="5" t="n">
        <v>97.8</v>
      </c>
      <c r="K703" s="3" t="inlineStr">
        <is>
          <t>금강이보이는 전원주택지</t>
        </is>
      </c>
      <c r="L703" s="6">
        <f>HYPERLINK("https://fin.land.naver.com/articles/2650898567", "매물Link")</f>
        <v/>
      </c>
      <c r="M703" s="6">
        <f>HYPERLINK("https://map.naver.com/p/search/금남면 원봉리 548-55", "지도Link")</f>
        <v/>
      </c>
      <c r="N703" s="6">
        <f>HYPERLINK("http://www.eum.go.kr/web/ar/lu/luLandDet.jsp?pnu=3611034045105480055&amp;isNoScr=script&amp;mode=search", "토지이음")</f>
        <v/>
      </c>
      <c r="O703" s="3" t="inlineStr">
        <is>
          <t>세종천지</t>
        </is>
      </c>
      <c r="P703" s="4" t="n">
        <v>1</v>
      </c>
      <c r="Q703" s="4" t="n">
        <v>559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세로장방</t>
        </is>
      </c>
      <c r="V703" s="3" t="inlineStr">
        <is>
          <t>세로한면(가)</t>
        </is>
      </c>
    </row>
    <row r="704">
      <c r="A704" s="3" t="inlineStr">
        <is>
          <t>금남면 원봉리 575-56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37000</v>
      </c>
      <c r="G704" s="4" t="n">
        <v>435</v>
      </c>
      <c r="H704" s="4" t="n">
        <v>132</v>
      </c>
      <c r="I704" s="5" t="n">
        <v>280.3</v>
      </c>
      <c r="J704" s="5" t="n">
        <v>16</v>
      </c>
      <c r="K704" s="3" t="inlineStr">
        <is>
          <t>금남면 원봉리 금강이보이는 전원주택지</t>
        </is>
      </c>
      <c r="L704" s="6">
        <f>HYPERLINK("https://fin.land.naver.com/articles/2653537352", "매물Link")</f>
        <v/>
      </c>
      <c r="M704" s="6">
        <f>HYPERLINK("https://map.naver.com/p/search/금남면 원봉리 575-56", "지도Link")</f>
        <v/>
      </c>
      <c r="N704" s="6">
        <f>HYPERLINK("http://www.eum.go.kr/web/ar/lu/luLandDet.jsp?pnu=3611034045105750056&amp;isNoScr=script&amp;mode=search", "토지이음")</f>
        <v/>
      </c>
      <c r="O704" s="3" t="inlineStr">
        <is>
          <t>세종천지</t>
        </is>
      </c>
      <c r="P704" s="4" t="n">
        <v>1</v>
      </c>
      <c r="Q704" s="4" t="n">
        <v>435</v>
      </c>
      <c r="R704" s="3" t="inlineStr">
        <is>
          <t>지정되지않음</t>
        </is>
      </c>
      <c r="S704" s="3" t="inlineStr">
        <is>
          <t>자연림</t>
        </is>
      </c>
      <c r="T704" s="3" t="inlineStr">
        <is>
          <t>완경사</t>
        </is>
      </c>
      <c r="U704" s="3" t="inlineStr">
        <is>
          <t>세로장방</t>
        </is>
      </c>
      <c r="V704" s="3" t="inlineStr">
        <is>
          <t>세로한면(가)</t>
        </is>
      </c>
    </row>
    <row r="705">
      <c r="A705" s="3" t="inlineStr">
        <is>
          <t>금남면 원봉리 578-22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56000</v>
      </c>
      <c r="G705" s="4" t="n">
        <v>743</v>
      </c>
      <c r="H705" s="4" t="n">
        <v>225</v>
      </c>
      <c r="I705" s="5" t="n">
        <v>248.9</v>
      </c>
      <c r="J705" s="5" t="n">
        <v>123.6</v>
      </c>
      <c r="K705" s="3" t="inlineStr">
        <is>
          <t>세종,대전 접근성좋은 계획관리 대지</t>
        </is>
      </c>
      <c r="L705" s="6">
        <f>HYPERLINK("https://fin.land.naver.com/articles/2654217304", "매물Link")</f>
        <v/>
      </c>
      <c r="M705" s="6">
        <f>HYPERLINK("https://map.naver.com/p/search/금남면 원봉리 578-22", "지도Link")</f>
        <v/>
      </c>
      <c r="N705" s="6">
        <f>HYPERLINK("http://www.eum.go.kr/web/ar/lu/luLandDet.jsp?pnu=3611034045105780022&amp;isNoScr=script&amp;mode=search", "토지이음")</f>
        <v/>
      </c>
      <c r="O705" s="3" t="inlineStr">
        <is>
          <t>가치잇는</t>
        </is>
      </c>
      <c r="P705" s="4" t="n">
        <v>2</v>
      </c>
      <c r="Q705" s="4" t="n">
        <v>645</v>
      </c>
      <c r="R705" s="3" t="inlineStr">
        <is>
          <t>지정되지않음</t>
        </is>
      </c>
      <c r="S705" s="3" t="inlineStr">
        <is>
          <t>단독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세로한면(가)</t>
        </is>
      </c>
    </row>
    <row r="706">
      <c r="A706" s="3" t="inlineStr">
        <is>
          <t>금남면 원봉리 578-22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56000</v>
      </c>
      <c r="G706" s="4" t="n">
        <v>743</v>
      </c>
      <c r="H706" s="4" t="n">
        <v>225</v>
      </c>
      <c r="I706" s="5" t="n">
        <v>248.9</v>
      </c>
      <c r="J706" s="5" t="n">
        <v>123.6</v>
      </c>
      <c r="K706" s="3" t="inlineStr">
        <is>
          <t>세종시와 근접하고 금강수목원 인접지</t>
        </is>
      </c>
      <c r="L706" s="6">
        <f>HYPERLINK("https://fin.land.naver.com/articles/2653274348", "매물Link")</f>
        <v/>
      </c>
      <c r="M706" s="6">
        <f>HYPERLINK("https://map.naver.com/p/search/금남면 원봉리 578-22", "지도Link")</f>
        <v/>
      </c>
      <c r="N706" s="6">
        <f>HYPERLINK("http://www.eum.go.kr/web/ar/lu/luLandDet.jsp?pnu=3611034045105780022&amp;isNoScr=script&amp;mode=search", "토지이음")</f>
        <v/>
      </c>
      <c r="O706" s="3" t="inlineStr">
        <is>
          <t>늘봄</t>
        </is>
      </c>
      <c r="P706" s="4" t="n">
        <v>1</v>
      </c>
      <c r="Q706" s="4" t="n">
        <v>645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578-38</t>
        </is>
      </c>
      <c r="B707" s="3" t="inlineStr">
        <is>
          <t>보전관리지역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44000</v>
      </c>
      <c r="G707" s="4" t="n">
        <v>686</v>
      </c>
      <c r="H707" s="4" t="n">
        <v>208</v>
      </c>
      <c r="I707" s="5" t="n">
        <v>211.5</v>
      </c>
      <c r="J707" s="5" t="n">
        <v>52.7</v>
      </c>
      <c r="K707" s="3" t="inlineStr">
        <is>
          <t>전원주택지로 적극 추천함</t>
        </is>
      </c>
      <c r="L707" s="6">
        <f>HYPERLINK("https://fin.land.naver.com/articles/2654847023", "매물Link")</f>
        <v/>
      </c>
      <c r="M707" s="6">
        <f>HYPERLINK("https://map.naver.com/p/search/금남면 원봉리 578-38", "지도Link")</f>
        <v/>
      </c>
      <c r="N707" s="6">
        <f>HYPERLINK("http://www.eum.go.kr/web/ar/lu/luLandDet.jsp?pnu=3611034045105780038&amp;isNoScr=script&amp;mode=search", "토지이음")</f>
        <v/>
      </c>
      <c r="O707" s="3" t="inlineStr">
        <is>
          <t>세종대평</t>
        </is>
      </c>
      <c r="P707" s="4" t="n">
        <v>1</v>
      </c>
      <c r="Q707" s="4" t="n">
        <v>410</v>
      </c>
      <c r="R707" s="3" t="inlineStr">
        <is>
          <t>지정되지않음</t>
        </is>
      </c>
      <c r="S707" s="3" t="inlineStr">
        <is>
          <t>전기타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세로한면(가)</t>
        </is>
      </c>
    </row>
    <row r="708">
      <c r="A708" s="3" t="inlineStr">
        <is>
          <t>금남면 원봉리 578-40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45000</v>
      </c>
      <c r="G708" s="4" t="n">
        <v>2191</v>
      </c>
      <c r="H708" s="4" t="n">
        <v>663</v>
      </c>
      <c r="I708" s="5" t="n">
        <v>67.90000000000001</v>
      </c>
      <c r="J708" s="5" t="n">
        <v>52.7</v>
      </c>
      <c r="K708" s="3" t="inlineStr">
        <is>
          <t>진입도로 돼있고요 전원주택지  세종시청 15분 거리입니다</t>
        </is>
      </c>
      <c r="L708" s="6">
        <f>HYPERLINK("https://fin.land.naver.com/articles/2654323258", "매물Link")</f>
        <v/>
      </c>
      <c r="M708" s="6">
        <f>HYPERLINK("https://map.naver.com/p/search/금남면 원봉리 578-40", "지도Link")</f>
        <v/>
      </c>
      <c r="N708" s="6">
        <f>HYPERLINK("http://www.eum.go.kr/web/ar/lu/luLandDet.jsp?pnu=3611034045105780040&amp;isNoScr=script&amp;mode=search", "토지이음")</f>
        <v/>
      </c>
      <c r="O708" s="3" t="inlineStr">
        <is>
          <t>세종시삼성래미안</t>
        </is>
      </c>
      <c r="P708" s="4" t="n">
        <v>1</v>
      </c>
      <c r="Q708" s="4" t="n">
        <v>2094</v>
      </c>
      <c r="R708" s="3" t="inlineStr">
        <is>
          <t>지정되지않음</t>
        </is>
      </c>
      <c r="S708" s="3" t="inlineStr">
        <is>
          <t>전기타</t>
        </is>
      </c>
      <c r="T708" s="3" t="inlineStr">
        <is>
          <t>완경사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원봉리 578-40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54000</v>
      </c>
      <c r="G709" s="4" t="n">
        <v>2094</v>
      </c>
      <c r="H709" s="4" t="n">
        <v>633</v>
      </c>
      <c r="I709" s="5" t="n">
        <v>85.3</v>
      </c>
      <c r="J709" s="5" t="n">
        <v>52.7</v>
      </c>
      <c r="K709" s="3" t="inlineStr">
        <is>
          <t>금강조망권,전원생활 또는 투자에 적합한 입지</t>
        </is>
      </c>
      <c r="L709" s="6">
        <f>HYPERLINK("https://fin.land.naver.com/articles/2651677646", "매물Link")</f>
        <v/>
      </c>
      <c r="M709" s="6">
        <f>HYPERLINK("https://map.naver.com/p/search/금남면 원봉리 578-40", "지도Link")</f>
        <v/>
      </c>
      <c r="N709" s="6">
        <f>HYPERLINK("http://www.eum.go.kr/web/ar/lu/luLandDet.jsp?pnu=3611034045105780040&amp;isNoScr=script&amp;mode=search",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2094</v>
      </c>
      <c r="R709" s="3" t="inlineStr">
        <is>
          <t>지정되지않음</t>
        </is>
      </c>
      <c r="S709" s="3" t="inlineStr">
        <is>
          <t>전기타</t>
        </is>
      </c>
      <c r="T709" s="3" t="inlineStr">
        <is>
          <t>완경사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원봉리 584-3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50000</v>
      </c>
      <c r="G710" s="4" t="n">
        <v>1999</v>
      </c>
      <c r="H710" s="4" t="n">
        <v>605</v>
      </c>
      <c r="I710" s="5" t="n">
        <v>82.59999999999999</v>
      </c>
      <c r="J710" s="5" t="n">
        <v>48.7</v>
      </c>
      <c r="K710" s="3" t="inlineStr">
        <is>
          <t>2차선접함, 농가주택, 대토 추천</t>
        </is>
      </c>
      <c r="L710" s="6">
        <f>HYPERLINK("https://fin.land.naver.com/articles/2653530673", "매물Link")</f>
        <v/>
      </c>
      <c r="M710" s="6">
        <f>HYPERLINK("https://map.naver.com/p/search/금남면 원봉리 584-3", "지도Link")</f>
        <v/>
      </c>
      <c r="N710" s="6">
        <f>HYPERLINK("http://www.eum.go.kr/web/ar/lu/luLandDet.jsp?pnu=3611034045105840003&amp;isNoScr=script&amp;mode=search",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1999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금남면 원봉리 585-2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98600</v>
      </c>
      <c r="G711" s="4" t="n">
        <v>1630</v>
      </c>
      <c r="H711" s="4" t="n">
        <v>493</v>
      </c>
      <c r="I711" s="5" t="n">
        <v>200</v>
      </c>
      <c r="J711" s="5" t="n">
        <v>48.7</v>
      </c>
      <c r="K711" s="3" t="inlineStr">
        <is>
          <t>2차선 농업보호구역 필지별매매가능</t>
        </is>
      </c>
      <c r="L711" s="6">
        <f>HYPERLINK("https://fin.land.naver.com/articles/2650613217", "매물Link")</f>
        <v/>
      </c>
      <c r="M711" s="6">
        <f>HYPERLINK("https://map.naver.com/p/search/금남면 원봉리 585-2", "지도Link")</f>
        <v/>
      </c>
      <c r="N711" s="6">
        <f>HYPERLINK("http://www.eum.go.kr/web/ar/lu/luLandDet.jsp?pnu=3611034045105850002&amp;isNoScr=script&amp;mode=search", "토지이음")</f>
        <v/>
      </c>
      <c r="O711" s="3" t="inlineStr">
        <is>
          <t>THE행복</t>
        </is>
      </c>
      <c r="P711" s="4" t="n">
        <v>1</v>
      </c>
      <c r="Q711" s="4" t="n">
        <v>1070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원봉리 591-18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839</v>
      </c>
      <c r="H712" s="4" t="n">
        <v>254</v>
      </c>
      <c r="I712" s="5" t="n">
        <v>236.2</v>
      </c>
      <c r="J712" s="5" t="n">
        <v>167.7</v>
      </c>
      <c r="K712" s="3" t="inlineStr">
        <is>
          <t>금남면 금강주변 선호도 높은 고급주택택지</t>
        </is>
      </c>
      <c r="L712" s="6">
        <f>HYPERLINK("https://fin.land.naver.com/articles/2654055954", "매물Link")</f>
        <v/>
      </c>
      <c r="M712" s="6">
        <f>HYPERLINK("https://map.naver.com/p/search/금남면 원봉리 591-18", "지도Link")</f>
        <v/>
      </c>
      <c r="N712" s="6">
        <f>HYPERLINK("http://www.eum.go.kr/web/ar/lu/luLandDet.jsp?pnu=3611034045105910018&amp;isNoScr=script&amp;mode=search", "토지이음")</f>
        <v/>
      </c>
      <c r="O712" s="3" t="inlineStr">
        <is>
          <t>황소플러스</t>
        </is>
      </c>
      <c r="P712" s="4" t="n">
        <v>1</v>
      </c>
      <c r="Q712" s="4" t="n">
        <v>839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완경사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591-18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1041</v>
      </c>
      <c r="H713" s="4" t="n">
        <v>315</v>
      </c>
      <c r="I713" s="5" t="n">
        <v>190.5</v>
      </c>
      <c r="J713" s="5" t="n">
        <v>167.7</v>
      </c>
      <c r="K713" s="3" t="inlineStr">
        <is>
          <t>이가격까지 내려갈줄 몰랐죠</t>
        </is>
      </c>
      <c r="L713" s="6">
        <f>HYPERLINK("https://fin.land.naver.com/articles/2651938110", "매물Link")</f>
        <v/>
      </c>
      <c r="M713" s="6">
        <f>HYPERLINK("https://map.naver.com/p/search/금남면 원봉리 591-18", "지도Link")</f>
        <v/>
      </c>
      <c r="N713" s="6">
        <f>HYPERLINK("http://www.eum.go.kr/web/ar/lu/luLandDet.jsp?pnu=3611034045105910018&amp;isNoScr=script&amp;mode=search", "토지이음")</f>
        <v/>
      </c>
      <c r="O713" s="3" t="inlineStr">
        <is>
          <t>용궁</t>
        </is>
      </c>
      <c r="P713" s="4" t="n">
        <v>2</v>
      </c>
      <c r="Q713" s="4" t="n">
        <v>839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금남면 원봉리 591-33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25000</v>
      </c>
      <c r="G714" s="4" t="n">
        <v>329</v>
      </c>
      <c r="H714" s="4" t="n">
        <v>100</v>
      </c>
      <c r="I714" s="5" t="n">
        <v>250</v>
      </c>
      <c r="J714" s="5" t="n">
        <v>64.3</v>
      </c>
      <c r="K714" s="3" t="inlineStr">
        <is>
          <t>주변 시도유지 활용가능한 토지. 주말농장추천</t>
        </is>
      </c>
      <c r="L714" s="6">
        <f>HYPERLINK("https://fin.land.naver.com/articles/2652048111", "매물Link")</f>
        <v/>
      </c>
      <c r="M714" s="6">
        <f>HYPERLINK("https://map.naver.com/p/search/금남면 원봉리 591-33", "지도Link")</f>
        <v/>
      </c>
      <c r="N714" s="6">
        <f>HYPERLINK("http://www.eum.go.kr/web/ar/lu/luLandDet.jsp?pnu=3611034045105910033&amp;isNoScr=script&amp;mode=search", "토지이음")</f>
        <v/>
      </c>
      <c r="O714" s="3" t="inlineStr">
        <is>
          <t>미스터홈즈강남지사</t>
        </is>
      </c>
      <c r="P714" s="4" t="n">
        <v>2</v>
      </c>
      <c r="Q714" s="4" t="n">
        <v>305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원봉리 592-15</t>
        </is>
      </c>
      <c r="B715" s="3" t="inlineStr">
        <is>
          <t>보전관리지역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128000</v>
      </c>
      <c r="G715" s="4" t="n">
        <v>1346</v>
      </c>
      <c r="H715" s="4" t="n">
        <v>407</v>
      </c>
      <c r="I715" s="5" t="n">
        <v>314.5</v>
      </c>
      <c r="J715" s="5" t="n">
        <v>94.90000000000001</v>
      </c>
      <c r="K715" s="3" t="inlineStr">
        <is>
          <t>nan</t>
        </is>
      </c>
      <c r="L715" s="6">
        <f>HYPERLINK("https://fin.land.naver.com/articles/2650194284", "매물Link")</f>
        <v/>
      </c>
      <c r="M715" s="6">
        <f>HYPERLINK("https://map.naver.com/p/search/금남면 원봉리 592-15", "지도Link")</f>
        <v/>
      </c>
      <c r="N715" s="6">
        <f>HYPERLINK("http://www.eum.go.kr/web/ar/lu/luLandDet.jsp?pnu=3611034045105920015&amp;isNoScr=script&amp;mode=search", "토지이음")</f>
        <v/>
      </c>
      <c r="O715" s="3" t="inlineStr">
        <is>
          <t>-</t>
        </is>
      </c>
      <c r="P715" s="4" t="n">
        <v>1</v>
      </c>
      <c r="Q715" s="4" t="n">
        <v>1346</v>
      </c>
      <c r="R715" s="3" t="inlineStr">
        <is>
          <t>지정되지않음</t>
        </is>
      </c>
      <c r="S715" s="3" t="inlineStr">
        <is>
          <t>주거기타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81-2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55000</v>
      </c>
      <c r="G716" s="4" t="n">
        <v>925</v>
      </c>
      <c r="H716" s="4" t="n">
        <v>280</v>
      </c>
      <c r="I716" s="5" t="n">
        <v>196.4</v>
      </c>
      <c r="J716" s="5" t="n">
        <v>60.7</v>
      </c>
      <c r="K716" s="3" t="inlineStr">
        <is>
          <t>살기좋은 세종 금남면 전원주택지</t>
        </is>
      </c>
      <c r="L716" s="6">
        <f>HYPERLINK("https://fin.land.naver.com/articles/2652933625", "매물Link")</f>
        <v/>
      </c>
      <c r="M716" s="6">
        <f>HYPERLINK("https://map.naver.com/p/search/금남면 원봉리 81-2", "지도Link")</f>
        <v/>
      </c>
      <c r="N716" s="6">
        <f>HYPERLINK("http://www.eum.go.kr/web/ar/lu/luLandDet.jsp?pnu=3611034045100810002&amp;isNoScr=script&amp;mode=search", "토지이음")</f>
        <v/>
      </c>
      <c r="O716" s="3" t="inlineStr">
        <is>
          <t>황소플러스</t>
        </is>
      </c>
      <c r="P716" s="4" t="n">
        <v>1</v>
      </c>
      <c r="Q716" s="4" t="n">
        <v>925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금남면 원봉리 산 17-12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98000</v>
      </c>
      <c r="G717" s="4" t="n">
        <v>3252</v>
      </c>
      <c r="H717" s="4" t="n">
        <v>984</v>
      </c>
      <c r="I717" s="5" t="n">
        <v>99.59999999999999</v>
      </c>
      <c r="J717" s="5" t="n">
        <v>8.300000000000001</v>
      </c>
      <c r="K717" s="3" t="inlineStr">
        <is>
          <t>세종시 원봉리 언덕위 좋은임야</t>
        </is>
      </c>
      <c r="L717" s="6">
        <f>HYPERLINK("https://fin.land.naver.com/articles/2650197681", "매물Link")</f>
        <v/>
      </c>
      <c r="M717" s="6">
        <f>HYPERLINK("https://map.naver.com/p/search/금남면 원봉리 산 17-12", "지도Link")</f>
        <v/>
      </c>
      <c r="N717" s="6">
        <f>HYPERLINK("http://www.eum.go.kr/web/ar/lu/luLandDet.jsp?pnu=3611034045200170012&amp;isNoScr=script&amp;mode=search", "토지이음")</f>
        <v/>
      </c>
      <c r="O717" s="3" t="inlineStr">
        <is>
          <t>-</t>
        </is>
      </c>
      <c r="P717" s="4" t="n">
        <v>1</v>
      </c>
      <c r="Q717" s="4" t="n">
        <v>4878</v>
      </c>
      <c r="R717" s="3" t="inlineStr">
        <is>
          <t>지정되지않음</t>
        </is>
      </c>
      <c r="S717" s="3" t="inlineStr">
        <is>
          <t>자연림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원봉리 산10-21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22000</v>
      </c>
      <c r="G718" s="4" t="n">
        <v>1653</v>
      </c>
      <c r="H718" s="4" t="n">
        <v>500</v>
      </c>
      <c r="I718" s="5" t="n">
        <v>44</v>
      </c>
      <c r="J718" s="5" t="n">
        <v>8.6</v>
      </c>
      <c r="K718" s="3" t="inlineStr">
        <is>
          <t>급매,임야,평당 50만원대</t>
        </is>
      </c>
      <c r="L718" s="6">
        <f>HYPERLINK("https://fin.land.naver.com/articles/2654537521", "매물Link")</f>
        <v/>
      </c>
      <c r="M718" s="6">
        <f>HYPERLINK("https://map.naver.com/p/search/금남면 원봉리 산10-21", "지도Link")</f>
        <v/>
      </c>
      <c r="N718" s="6">
        <f>HYPERLINK("http://www.eum.go.kr/web/ar/lu/luLandDet.jsp?pnu=3611034045200100021&amp;isNoScr=script&amp;mode=search", "토지이음")</f>
        <v/>
      </c>
      <c r="O718" s="3" t="inlineStr">
        <is>
          <t>다산</t>
        </is>
      </c>
      <c r="P718" s="4" t="n">
        <v>4</v>
      </c>
      <c r="Q718" s="4" t="n">
        <v>1653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맹지</t>
        </is>
      </c>
    </row>
    <row r="719">
      <c r="A719" s="3" t="inlineStr">
        <is>
          <t>금남면 원봉리 산44-3</t>
        </is>
      </c>
      <c r="B719" s="3" t="inlineStr">
        <is>
          <t>농림지역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105000</v>
      </c>
      <c r="G719" s="4" t="n">
        <v>3880</v>
      </c>
      <c r="H719" s="4" t="n">
        <v>1174</v>
      </c>
      <c r="I719" s="5" t="n">
        <v>89.40000000000001</v>
      </c>
      <c r="J719" s="5" t="n">
        <v>4.9</v>
      </c>
      <c r="K719" s="3" t="inlineStr">
        <is>
          <t>급매 원봉리 2차선에 접한 밭으로 이용중인 임야로서, 분할매매도 가능</t>
        </is>
      </c>
      <c r="L719" s="6">
        <f>HYPERLINK("https://fin.land.naver.com/articles/2654558733", "매물Link")</f>
        <v/>
      </c>
      <c r="M719" s="6">
        <f>HYPERLINK("https://map.naver.com/p/search/금남면 원봉리 산44-3", "지도Link")</f>
        <v/>
      </c>
      <c r="N719" s="6">
        <f>HYPERLINK("http://www.eum.go.kr/web/ar/lu/luLandDet.jsp?pnu=3611034045200440003&amp;isNoScr=script&amp;mode=search", "토지이음")</f>
        <v/>
      </c>
      <c r="O719" s="3" t="inlineStr">
        <is>
          <t>스마일세종</t>
        </is>
      </c>
      <c r="P719" s="4" t="n">
        <v>2</v>
      </c>
      <c r="Q719" s="4" t="n">
        <v>3880</v>
      </c>
      <c r="R719" s="3" t="inlineStr">
        <is>
          <t>보전관리지역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금남면 원봉리 산45-7</t>
        </is>
      </c>
      <c r="B720" s="3" t="inlineStr">
        <is>
          <t>농림지역</t>
        </is>
      </c>
      <c r="C720" s="3" t="inlineStr">
        <is>
          <t>임야</t>
        </is>
      </c>
      <c r="D720" s="3" t="inlineStr">
        <is>
          <t>임야</t>
        </is>
      </c>
      <c r="E720" s="3" t="inlineStr">
        <is>
          <t>매매</t>
        </is>
      </c>
      <c r="F720" s="4" t="n">
        <v>98200</v>
      </c>
      <c r="G720" s="4" t="n">
        <v>9024</v>
      </c>
      <c r="H720" s="4" t="n">
        <v>2730</v>
      </c>
      <c r="I720" s="5" t="n">
        <v>36</v>
      </c>
      <c r="J720" s="5" t="n">
        <v>4</v>
      </c>
      <c r="K720" s="3" t="inlineStr">
        <is>
          <t>전원주택 인접토지</t>
        </is>
      </c>
      <c r="L720" s="6">
        <f>HYPERLINK("https://fin.land.naver.com/articles/2651783230", "매물Link")</f>
        <v/>
      </c>
      <c r="M720" s="6">
        <f>HYPERLINK("https://map.naver.com/p/search/금남면 원봉리 산45-7", "지도Link")</f>
        <v/>
      </c>
      <c r="N720" s="6">
        <f>HYPERLINK("http://www.eum.go.kr/web/ar/lu/luLandDet.jsp?pnu=3611034045200450007&amp;isNoScr=script&amp;mode=search", "토지이음")</f>
        <v/>
      </c>
      <c r="O720" s="3" t="inlineStr">
        <is>
          <t>중촌역푸르지오</t>
        </is>
      </c>
      <c r="P720" s="4" t="n">
        <v>1</v>
      </c>
      <c r="Q720" s="4" t="n">
        <v>9006</v>
      </c>
      <c r="R720" s="3" t="inlineStr">
        <is>
          <t>보전관리지역</t>
        </is>
      </c>
      <c r="S720" s="3" t="inlineStr">
        <is>
          <t>조림</t>
        </is>
      </c>
      <c r="T720" s="3" t="inlineStr">
        <is>
          <t>급경사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장재리 185-4</t>
        </is>
      </c>
      <c r="B721" s="3" t="inlineStr">
        <is>
          <t>개발제한구역</t>
        </is>
      </c>
      <c r="C721" s="3" t="inlineStr">
        <is>
          <t>과수원</t>
        </is>
      </c>
      <c r="D721" s="3" t="inlineStr">
        <is>
          <t>과수원</t>
        </is>
      </c>
      <c r="E721" s="3" t="inlineStr">
        <is>
          <t>매매</t>
        </is>
      </c>
      <c r="F721" s="4" t="n">
        <v>157000</v>
      </c>
      <c r="G721" s="4" t="n">
        <v>3355</v>
      </c>
      <c r="H721" s="4" t="n">
        <v>1015</v>
      </c>
      <c r="I721" s="5" t="n">
        <v>154.7</v>
      </c>
      <c r="J721" s="5" t="n">
        <v>58.3</v>
      </c>
      <c r="K721" s="3" t="inlineStr">
        <is>
          <t>추천. 소담동 인근 절대농지</t>
        </is>
      </c>
      <c r="L721" s="6">
        <f>HYPERLINK("https://fin.land.naver.com/articles/2651921848", "매물Link")</f>
        <v/>
      </c>
      <c r="M721" s="6">
        <f>HYPERLINK("https://map.naver.com/p/search/금남면 장재리 185-4", "지도Link")</f>
        <v/>
      </c>
      <c r="N721" s="6">
        <f>HYPERLINK("http://www.eum.go.kr/web/ar/lu/luLandDet.jsp?pnu=3611034036101850004&amp;isNoScr=script&amp;mode=search", "토지이음")</f>
        <v/>
      </c>
      <c r="O721" s="3" t="inlineStr">
        <is>
          <t>강아지풀</t>
        </is>
      </c>
      <c r="P721" s="4" t="n">
        <v>1</v>
      </c>
      <c r="Q721" s="4" t="n">
        <v>965</v>
      </c>
      <c r="R721" s="3" t="inlineStr">
        <is>
          <t>지정되지않음</t>
        </is>
      </c>
      <c r="S721" s="3" t="inlineStr">
        <is>
          <t>과수원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세로한면(가)</t>
        </is>
      </c>
    </row>
    <row r="722">
      <c r="A722" s="3" t="inlineStr">
        <is>
          <t>금남면 장재리 275</t>
        </is>
      </c>
      <c r="B722" s="3" t="inlineStr">
        <is>
          <t>개발제한구역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12000</v>
      </c>
      <c r="G722" s="4" t="n">
        <v>929</v>
      </c>
      <c r="H722" s="4" t="n">
        <v>281</v>
      </c>
      <c r="I722" s="5" t="n">
        <v>42.7</v>
      </c>
      <c r="J722" s="5" t="n">
        <v>39.9</v>
      </c>
      <c r="K722" s="3" t="inlineStr">
        <is>
          <t>수익, 연접매매 가능, 접근성 좋음</t>
        </is>
      </c>
      <c r="L722" s="6">
        <f>HYPERLINK("https://fin.land.naver.com/articles/2652537891", "매물Link")</f>
        <v/>
      </c>
      <c r="M722" s="6">
        <f>HYPERLINK("https://map.naver.com/p/search/금남면 장재리 275", "지도Link")</f>
        <v/>
      </c>
      <c r="N722" s="6">
        <f>HYPERLINK("http://www.eum.go.kr/web/ar/lu/luLandDet.jsp?pnu=3611034036102750000&amp;isNoScr=script&amp;mode=search", "토지이음")</f>
        <v/>
      </c>
      <c r="O722" s="3" t="inlineStr">
        <is>
          <t>한뜰금빛</t>
        </is>
      </c>
      <c r="P722" s="4" t="n">
        <v>1</v>
      </c>
      <c r="Q722" s="4" t="n">
        <v>929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장재리 288</t>
        </is>
      </c>
      <c r="B723" s="3" t="inlineStr">
        <is>
          <t>개발제한구역</t>
        </is>
      </c>
      <c r="C723" s="3" t="inlineStr">
        <is>
          <t>전</t>
        </is>
      </c>
      <c r="D723" s="3" t="inlineStr">
        <is>
          <t>답</t>
        </is>
      </c>
      <c r="E723" s="3" t="inlineStr">
        <is>
          <t>매매</t>
        </is>
      </c>
      <c r="F723" s="4" t="n">
        <v>60000</v>
      </c>
      <c r="G723" s="4" t="n">
        <v>1974</v>
      </c>
      <c r="H723" s="4" t="n">
        <v>597</v>
      </c>
      <c r="I723" s="5" t="n">
        <v>100.5</v>
      </c>
      <c r="J723" s="5" t="n">
        <v>49.1</v>
      </c>
      <c r="K723" s="3" t="inlineStr">
        <is>
          <t>세종시 금남면 장재리 국제과학비즈니스벨트 인근 개발제한구역 농지</t>
        </is>
      </c>
      <c r="L723" s="6">
        <f>HYPERLINK("https://fin.land.naver.com/articles/2650048798", "매물Link")</f>
        <v/>
      </c>
      <c r="M723" s="6">
        <f>HYPERLINK("https://map.naver.com/p/search/금남면 장재리 288", "지도Link")</f>
        <v/>
      </c>
      <c r="N723" s="6">
        <f>HYPERLINK("http://www.eum.go.kr/web/ar/lu/luLandDet.jsp?pnu=3611034036102880000&amp;isNoScr=script&amp;mode=search", "토지이음")</f>
        <v/>
      </c>
      <c r="O723" s="3" t="inlineStr">
        <is>
          <t>하이엔드</t>
        </is>
      </c>
      <c r="P723" s="4" t="n">
        <v>1</v>
      </c>
      <c r="Q723" s="4" t="n">
        <v>1974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장재리 305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112000</v>
      </c>
      <c r="G724" s="4" t="n">
        <v>3212</v>
      </c>
      <c r="H724" s="4" t="n">
        <v>972</v>
      </c>
      <c r="I724" s="5" t="n">
        <v>115.2</v>
      </c>
      <c r="J724" s="5" t="n">
        <v>67.90000000000001</v>
      </c>
      <c r="K724" s="3" t="inlineStr">
        <is>
          <t>추천,세종 신도시 위치한 귀한 토지,투자가치 높음. 관정설치,조율가능</t>
        </is>
      </c>
      <c r="L724" s="6">
        <f>HYPERLINK("https://fin.land.naver.com/articles/2655524076", "매물Link")</f>
        <v/>
      </c>
      <c r="M724" s="6">
        <f>HYPERLINK("https://map.naver.com/p/search/금남면 장재리 305", "지도Link")</f>
        <v/>
      </c>
      <c r="N724" s="6">
        <f>HYPERLINK("http://www.eum.go.kr/web/ar/lu/luLandDet.jsp?pnu=3611034036103050000&amp;isNoScr=script&amp;mode=search", "토지이음")</f>
        <v/>
      </c>
      <c r="O724" s="3" t="inlineStr">
        <is>
          <t>생생</t>
        </is>
      </c>
      <c r="P724" s="4" t="n">
        <v>2</v>
      </c>
      <c r="Q724" s="4" t="n">
        <v>3212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장재리 350-2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380000</v>
      </c>
      <c r="G725" s="4" t="n">
        <v>487</v>
      </c>
      <c r="H725" s="4" t="n">
        <v>147</v>
      </c>
      <c r="I725" s="5" t="n">
        <v>2585</v>
      </c>
      <c r="J725" s="5" t="n">
        <v>518.7</v>
      </c>
      <c r="K725" s="3" t="inlineStr">
        <is>
          <t>도시지역, 위치좋은 토지  강추매매, 현2종근생 일반음식점등 운영중</t>
        </is>
      </c>
      <c r="L725" s="6">
        <f>HYPERLINK("https://fin.land.naver.com/articles/2651520932", "매물Link")</f>
        <v/>
      </c>
      <c r="M725" s="6">
        <f>HYPERLINK("https://map.naver.com/p/search/금남면 장재리 350-2", "지도Link")</f>
        <v/>
      </c>
      <c r="N725" s="6">
        <f>HYPERLINK("http://www.eum.go.kr/web/ar/lu/luLandDet.jsp?pnu=3611034036103500002&amp;isNoScr=script&amp;mode=search", "토지이음")</f>
        <v/>
      </c>
      <c r="O725" s="3" t="inlineStr">
        <is>
          <t>Home</t>
        </is>
      </c>
      <c r="P725" s="4" t="n">
        <v>1</v>
      </c>
      <c r="Q725" s="4" t="n">
        <v>487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중로각지</t>
        </is>
      </c>
    </row>
    <row r="726">
      <c r="A726" s="3" t="inlineStr">
        <is>
          <t>금남면 장재리 354</t>
        </is>
      </c>
      <c r="B726" s="3" t="inlineStr">
        <is>
          <t>자연녹지지역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44550</v>
      </c>
      <c r="G726" s="4" t="n">
        <v>327</v>
      </c>
      <c r="H726" s="4" t="n">
        <v>99</v>
      </c>
      <c r="I726" s="5" t="n">
        <v>450</v>
      </c>
      <c r="J726" s="5" t="n">
        <v>208.2</v>
      </c>
      <c r="K726" s="3" t="inlineStr">
        <is>
          <t>대지로 전환하여 , 전원주택 사용가능, 도시지역에 자연녹지</t>
        </is>
      </c>
      <c r="L726" s="6">
        <f>HYPERLINK("https://fin.land.naver.com/articles/2650930914", "매물Link")</f>
        <v/>
      </c>
      <c r="M726" s="6">
        <f>HYPERLINK("https://map.naver.com/p/search/금남면 장재리 354", "지도Link")</f>
        <v/>
      </c>
      <c r="N726" s="6">
        <f>HYPERLINK("http://www.eum.go.kr/web/ar/lu/luLandDet.jsp?pnu=3611034036103540000&amp;isNoScr=script&amp;mode=search", "토지이음")</f>
        <v/>
      </c>
      <c r="O726" s="3" t="inlineStr">
        <is>
          <t>세종타운</t>
        </is>
      </c>
      <c r="P726" s="4" t="n">
        <v>2</v>
      </c>
      <c r="Q726" s="4" t="n">
        <v>327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장재리 373</t>
        </is>
      </c>
      <c r="B727" s="3" t="inlineStr">
        <is>
          <t>자연녹지지역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80000</v>
      </c>
      <c r="G727" s="4" t="n">
        <v>664</v>
      </c>
      <c r="H727" s="4" t="n">
        <v>201</v>
      </c>
      <c r="I727" s="5" t="n">
        <v>398</v>
      </c>
      <c r="J727" s="5" t="n">
        <v>189.8</v>
      </c>
      <c r="K727" s="3" t="inlineStr">
        <is>
          <t>급. 금남면 건축가능 토지</t>
        </is>
      </c>
      <c r="L727" s="6">
        <f>HYPERLINK("https://fin.land.naver.com/articles/2651935883", "매물Link")</f>
        <v/>
      </c>
      <c r="M727" s="6">
        <f>HYPERLINK("https://map.naver.com/p/search/금남면 장재리 373", "지도Link")</f>
        <v/>
      </c>
      <c r="N727" s="6">
        <f>HYPERLINK("http://www.eum.go.kr/web/ar/lu/luLandDet.jsp?pnu=3611034036103730000&amp;isNoScr=script&amp;mode=search", "토지이음")</f>
        <v/>
      </c>
      <c r="O727" s="3" t="inlineStr">
        <is>
          <t>강아지풀</t>
        </is>
      </c>
      <c r="P727" s="4" t="n">
        <v>1</v>
      </c>
      <c r="Q727" s="4" t="n">
        <v>664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장재리 95-2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130000</v>
      </c>
      <c r="G728" s="4" t="n">
        <v>1043</v>
      </c>
      <c r="H728" s="4" t="n">
        <v>316</v>
      </c>
      <c r="I728" s="5" t="n">
        <v>411.4</v>
      </c>
      <c r="J728" s="5" t="n">
        <v>67.3</v>
      </c>
      <c r="K728" s="3" t="inlineStr">
        <is>
          <t>가격조정가.도로접.세종명성교회뒷편.개발제한구역.자연녹지,장기투자용도</t>
        </is>
      </c>
      <c r="L728" s="6">
        <f>HYPERLINK("https://fin.land.naver.com/articles/2653080966", "매물Link")</f>
        <v/>
      </c>
      <c r="M728" s="6">
        <f>HYPERLINK("https://map.naver.com/p/search/금남면 장재리 95-2", "지도Link")</f>
        <v/>
      </c>
      <c r="N728" s="6">
        <f>HYPERLINK("http://www.eum.go.kr/web/ar/lu/luLandDet.jsp?pnu=3611034036100950002&amp;isNoScr=script&amp;mode=search", "토지이음")</f>
        <v/>
      </c>
      <c r="O728" s="3" t="inlineStr">
        <is>
          <t>돈방석</t>
        </is>
      </c>
      <c r="P728" s="4" t="n">
        <v>1</v>
      </c>
      <c r="Q728" s="4" t="n">
        <v>1043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축산리 538-1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33000</v>
      </c>
      <c r="G729" s="4" t="n">
        <v>1200</v>
      </c>
      <c r="H729" s="4" t="n">
        <v>363</v>
      </c>
      <c r="I729" s="5" t="n">
        <v>90.90000000000001</v>
      </c>
      <c r="J729" s="5" t="n">
        <v>31.7</v>
      </c>
      <c r="K729" s="3" t="inlineStr">
        <is>
          <t>세종,대전 접근성좋은 토지</t>
        </is>
      </c>
      <c r="L729" s="6">
        <f>HYPERLINK("https://fin.land.naver.com/articles/2653342560", "매물Link")</f>
        <v/>
      </c>
      <c r="M729" s="6">
        <f>HYPERLINK("https://map.naver.com/p/search/금남면 축산리 538-1", "지도Link")</f>
        <v/>
      </c>
      <c r="N729" s="6">
        <f>HYPERLINK("http://www.eum.go.kr/web/ar/lu/luLandDet.jsp?pnu=3611034026105380001&amp;isNoScr=script&amp;mode=search", "토지이음")</f>
        <v/>
      </c>
      <c r="O729" s="3" t="inlineStr">
        <is>
          <t>가치잇는</t>
        </is>
      </c>
      <c r="P729" s="4" t="n">
        <v>1</v>
      </c>
      <c r="Q729" s="4" t="n">
        <v>1200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축산리 540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44000</v>
      </c>
      <c r="G730" s="4" t="n">
        <v>1719</v>
      </c>
      <c r="H730" s="4" t="n">
        <v>520</v>
      </c>
      <c r="I730" s="5" t="n">
        <v>84.59999999999999</v>
      </c>
      <c r="J730" s="5" t="n">
        <v>31.7</v>
      </c>
      <c r="K730" s="3" t="inlineStr">
        <is>
          <t>정부청사10분 남세종IC 5분 금남면 축산리 토지</t>
        </is>
      </c>
      <c r="L730" s="6">
        <f>HYPERLINK("https://fin.land.naver.com/articles/2653632239", "매물Link")</f>
        <v/>
      </c>
      <c r="M730" s="6">
        <f>HYPERLINK("https://map.naver.com/p/search/금남면 축산리 540", "지도Link")</f>
        <v/>
      </c>
      <c r="N730" s="6">
        <f>HYPERLINK("http://www.eum.go.kr/web/ar/lu/luLandDet.jsp?pnu=3611034026105400000&amp;isNoScr=script&amp;mode=search", "토지이음")</f>
        <v/>
      </c>
      <c r="O730" s="3" t="inlineStr">
        <is>
          <t>새롬삼둥이</t>
        </is>
      </c>
      <c r="P730" s="4" t="n">
        <v>1</v>
      </c>
      <c r="Q730" s="4" t="n">
        <v>1719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축산리 566-9</t>
        </is>
      </c>
      <c r="B731" s="3" t="inlineStr">
        <is>
          <t>개발제한구역</t>
        </is>
      </c>
      <c r="C731" s="3" t="inlineStr">
        <is>
          <t>창고용지</t>
        </is>
      </c>
      <c r="D731" s="3" t="inlineStr">
        <is>
          <t>창고용지</t>
        </is>
      </c>
      <c r="E731" s="3" t="inlineStr">
        <is>
          <t>매매</t>
        </is>
      </c>
      <c r="F731" s="4" t="n">
        <v>120000</v>
      </c>
      <c r="G731" s="4" t="n">
        <v>2140</v>
      </c>
      <c r="H731" s="4" t="n">
        <v>647</v>
      </c>
      <c r="I731" s="5" t="n">
        <v>185.5</v>
      </c>
      <c r="J731" s="5" t="n">
        <v>43.7</v>
      </c>
      <c r="K731" s="3" t="inlineStr">
        <is>
          <t>카페 바베큐식당  토지 및 건물 매매 건</t>
        </is>
      </c>
      <c r="L731" s="6">
        <f>HYPERLINK("https://fin.land.naver.com/articles/2654396303", "매물Link")</f>
        <v/>
      </c>
      <c r="M731" s="6">
        <f>HYPERLINK("https://map.naver.com/p/search/금남면 축산리 566-9", "지도Link")</f>
        <v/>
      </c>
      <c r="N731" s="6">
        <f>HYPERLINK("http://www.eum.go.kr/web/ar/lu/luLandDet.jsp?pnu=3611034026105660009&amp;isNoScr=script&amp;mode=search", "토지이음")</f>
        <v/>
      </c>
      <c r="O731" s="3" t="inlineStr">
        <is>
          <t>봉담내리지구찐</t>
        </is>
      </c>
      <c r="P731" s="4" t="n">
        <v>1</v>
      </c>
      <c r="Q731" s="4" t="n">
        <v>451</v>
      </c>
      <c r="R731" s="3" t="inlineStr">
        <is>
          <t>지정되지않음</t>
        </is>
      </c>
      <c r="S731" s="3" t="inlineStr">
        <is>
          <t>전창고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축산리 86-4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70000</v>
      </c>
      <c r="G732" s="4" t="n">
        <v>1477</v>
      </c>
      <c r="H732" s="4" t="n">
        <v>447</v>
      </c>
      <c r="I732" s="5" t="n">
        <v>156.6</v>
      </c>
      <c r="J732" s="5" t="n">
        <v>37.2</v>
      </c>
      <c r="K732" s="3" t="inlineStr">
        <is>
          <t>마을입구 마을회관 앞 광장에 접함, 전원주택 등 추천</t>
        </is>
      </c>
      <c r="L732" s="6">
        <f>HYPERLINK("https://fin.land.naver.com/articles/2650488010", "매물Link")</f>
        <v/>
      </c>
      <c r="M732" s="6">
        <f>HYPERLINK("https://map.naver.com/p/search/금남면 축산리 86-4", "지도Link")</f>
        <v/>
      </c>
      <c r="N732" s="6">
        <f>HYPERLINK("http://www.eum.go.kr/web/ar/lu/luLandDet.jsp?pnu=3611034026100860004&amp;isNoScr=script&amp;mode=search", "토지이음")</f>
        <v/>
      </c>
      <c r="O732" s="3" t="inlineStr">
        <is>
          <t>세종나라</t>
        </is>
      </c>
      <c r="P732" s="4" t="n">
        <v>1</v>
      </c>
      <c r="Q732" s="4" t="n">
        <v>736</v>
      </c>
      <c r="R732" s="3" t="inlineStr">
        <is>
          <t>자연녹지지역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호탄리 122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150000</v>
      </c>
      <c r="G733" s="4" t="n">
        <v>952</v>
      </c>
      <c r="H733" s="4" t="n">
        <v>288</v>
      </c>
      <c r="I733" s="5" t="n">
        <v>520.8</v>
      </c>
      <c r="J733" s="5" t="n">
        <v>239.6</v>
      </c>
      <c r="K733" s="3" t="inlineStr">
        <is>
          <t>세종의 숨은 노른자 호탄리 건축 가능 대지</t>
        </is>
      </c>
      <c r="L733" s="6">
        <f>HYPERLINK("https://fin.land.naver.com/articles/2652940773", "매물Link")</f>
        <v/>
      </c>
      <c r="M733" s="6">
        <f>HYPERLINK("https://map.naver.com/p/search/금남면 호탄리 122", "지도Link")</f>
        <v/>
      </c>
      <c r="N733" s="6">
        <f>HYPERLINK("http://www.eum.go.kr/web/ar/lu/luLandDet.jsp?pnu=3611034037101220000&amp;isNoScr=script&amp;mode=search", "토지이음")</f>
        <v/>
      </c>
      <c r="O733" s="3" t="inlineStr">
        <is>
          <t>삼복</t>
        </is>
      </c>
      <c r="P733" s="4" t="n">
        <v>1</v>
      </c>
      <c r="Q733" s="4" t="n">
        <v>572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호탄리 135</t>
        </is>
      </c>
      <c r="B734" s="3" t="inlineStr">
        <is>
          <t>제1종일반주거지역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380000</v>
      </c>
      <c r="G734" s="4" t="n">
        <v>1701</v>
      </c>
      <c r="H734" s="4" t="n">
        <v>515</v>
      </c>
      <c r="I734" s="5" t="n">
        <v>737.9</v>
      </c>
      <c r="J734" s="5" t="n">
        <v>361.7</v>
      </c>
      <c r="K734" s="3" t="inlineStr">
        <is>
          <t>급매호탄리 근린생활시설건축가능토지</t>
        </is>
      </c>
      <c r="L734" s="6">
        <f>HYPERLINK("https://fin.land.naver.com/articles/2655435916", "매물Link")</f>
        <v/>
      </c>
      <c r="M734" s="6">
        <f>HYPERLINK("https://map.naver.com/p/search/금남면 호탄리 135", "지도Link")</f>
        <v/>
      </c>
      <c r="N734" s="6">
        <f>HYPERLINK("http://www.eum.go.kr/web/ar/lu/luLandDet.jsp?pnu=3611034037101350000&amp;isNoScr=script&amp;mode=search", "토지이음")</f>
        <v/>
      </c>
      <c r="O734" s="3" t="inlineStr">
        <is>
          <t>세계로</t>
        </is>
      </c>
      <c r="P734" s="4" t="n">
        <v>2</v>
      </c>
      <c r="Q734" s="4" t="n">
        <v>1701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금남면 호탄리 143-1</t>
        </is>
      </c>
      <c r="B735" s="3" t="inlineStr">
        <is>
          <t>개발제한구역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110000</v>
      </c>
      <c r="G735" s="4" t="n">
        <v>14079</v>
      </c>
      <c r="H735" s="4" t="n">
        <v>4259</v>
      </c>
      <c r="I735" s="5" t="n">
        <v>25.8</v>
      </c>
      <c r="J735" s="5" t="n">
        <v>3.8</v>
      </c>
      <c r="K735" s="3" t="inlineStr">
        <is>
          <t>e루다 개발호재가득한임야,투자하실매매물건,4259</t>
        </is>
      </c>
      <c r="L735" s="6">
        <f>HYPERLINK("https://fin.land.naver.com/articles/2652866439", "매물Link")</f>
        <v/>
      </c>
      <c r="M735" s="6">
        <f>HYPERLINK("https://map.naver.com/p/search/금남면 호탄리 143-1", "지도Link")</f>
        <v/>
      </c>
      <c r="N735" s="6">
        <f>HYPERLINK("http://www.eum.go.kr/web/ar/lu/luLandDet.jsp?pnu=3611034037101430001&amp;isNoScr=script&amp;mode=search", "토지이음")</f>
        <v/>
      </c>
      <c r="O735" s="3" t="inlineStr">
        <is>
          <t>이루다</t>
        </is>
      </c>
      <c r="P735" s="4" t="n">
        <v>1</v>
      </c>
      <c r="Q735" s="4" t="n">
        <v>14078</v>
      </c>
      <c r="R735" s="3" t="inlineStr">
        <is>
          <t>지정되지않음</t>
        </is>
      </c>
      <c r="S735" s="3" t="inlineStr">
        <is>
          <t>자연림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호탄리 152-7</t>
        </is>
      </c>
      <c r="B736" s="3" t="inlineStr">
        <is>
          <t>제1종일반주거지역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295000</v>
      </c>
      <c r="G736" s="4" t="n">
        <v>1157</v>
      </c>
      <c r="H736" s="4" t="n">
        <v>350</v>
      </c>
      <c r="I736" s="5" t="n">
        <v>842.9</v>
      </c>
      <c r="J736" s="5" t="n">
        <v>380.8</v>
      </c>
      <c r="K736" s="3" t="inlineStr">
        <is>
          <t>추천. 호탄리 좋은 땅</t>
        </is>
      </c>
      <c r="L736" s="6">
        <f>HYPERLINK("https://fin.land.naver.com/articles/2651911805", "매물Link")</f>
        <v/>
      </c>
      <c r="M736" s="6">
        <f>HYPERLINK("https://map.naver.com/p/search/금남면 호탄리 152-7", "지도Link")</f>
        <v/>
      </c>
      <c r="N736" s="6">
        <f>HYPERLINK("http://www.eum.go.kr/web/ar/lu/luLandDet.jsp?pnu=3611034037101520007&amp;isNoScr=script&amp;mode=search", "토지이음")</f>
        <v/>
      </c>
      <c r="O736" s="3" t="inlineStr">
        <is>
          <t>강아지풀</t>
        </is>
      </c>
      <c r="P736" s="4" t="n">
        <v>2</v>
      </c>
      <c r="Q736" s="4" t="n">
        <v>1157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금남면 호탄리 152-8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55000</v>
      </c>
      <c r="G737" s="4" t="n">
        <v>264</v>
      </c>
      <c r="H737" s="4" t="n">
        <v>80</v>
      </c>
      <c r="I737" s="5" t="n">
        <v>687.5</v>
      </c>
      <c r="J737" s="5" t="n">
        <v>380.8</v>
      </c>
      <c r="K737" s="3" t="inlineStr">
        <is>
          <t>세종 남부권 접근 좋은 도로접 주거지역 소형토지</t>
        </is>
      </c>
      <c r="L737" s="6">
        <f>HYPERLINK("https://fin.land.naver.com/articles/2654354218", "매물Link")</f>
        <v/>
      </c>
      <c r="M737" s="6">
        <f>HYPERLINK("https://map.naver.com/p/search/금남면 호탄리 152-8", "지도Link")</f>
        <v/>
      </c>
      <c r="N737" s="6">
        <f>HYPERLINK("http://www.eum.go.kr/web/ar/lu/luLandDet.jsp?pnu=3611034037101520008&amp;isNoScr=script&amp;mode=search",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264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금남면 호탄리 170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344</v>
      </c>
      <c r="H738" s="4" t="n">
        <v>104</v>
      </c>
      <c r="I738" s="5" t="n">
        <v>336.5</v>
      </c>
      <c r="J738" s="5" t="n">
        <v>242</v>
      </c>
      <c r="K738" s="3" t="inlineStr">
        <is>
          <t>세종시 인근 상권이 형성되기 시작하는 곳에 위치</t>
        </is>
      </c>
      <c r="L738" s="6">
        <f>HYPERLINK("https://fin.land.naver.com/articles/2652147883", "매물Link")</f>
        <v/>
      </c>
      <c r="M738" s="6">
        <f>HYPERLINK("https://map.naver.com/p/search/금남면 호탄리 170", "지도Link")</f>
        <v/>
      </c>
      <c r="N738" s="6">
        <f>HYPERLINK("http://www.eum.go.kr/web/ar/lu/luLandDet.jsp?pnu=3611034037101700000&amp;isNoScr=script&amp;mode=search", "토지이음")</f>
        <v/>
      </c>
      <c r="O738" s="3" t="inlineStr">
        <is>
          <t>해들일번지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금남면 호탄리 217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25000</v>
      </c>
      <c r="G739" s="4" t="n">
        <v>516</v>
      </c>
      <c r="H739" s="4" t="n">
        <v>156</v>
      </c>
      <c r="I739" s="5" t="n">
        <v>160.3</v>
      </c>
      <c r="J739" s="5" t="n">
        <v>48.3</v>
      </c>
      <c r="K739" s="3" t="inlineStr">
        <is>
          <t>세종 도심과 가까운 위치</t>
        </is>
      </c>
      <c r="L739" s="6">
        <f>HYPERLINK("https://fin.land.naver.com/articles/2652742966", "매물Link")</f>
        <v/>
      </c>
      <c r="M739" s="6">
        <f>HYPERLINK("https://map.naver.com/p/search/금남면 호탄리 217", "지도Link")</f>
        <v/>
      </c>
      <c r="N739" s="6">
        <f>HYPERLINK("http://www.eum.go.kr/web/ar/lu/luLandDet.jsp?pnu=3611034037102170000&amp;isNoScr=script&amp;mode=search", "토지이음")</f>
        <v/>
      </c>
      <c r="O739" s="3" t="inlineStr">
        <is>
          <t>세종대평</t>
        </is>
      </c>
      <c r="P739" s="4" t="n">
        <v>1</v>
      </c>
      <c r="Q739" s="4" t="n">
        <v>516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호탄리 217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25000</v>
      </c>
      <c r="G740" s="4" t="n">
        <v>516</v>
      </c>
      <c r="H740" s="4" t="n">
        <v>156</v>
      </c>
      <c r="I740" s="5" t="n">
        <v>160.3</v>
      </c>
      <c r="J740" s="5" t="n">
        <v>48.3</v>
      </c>
      <c r="K740" s="3" t="inlineStr">
        <is>
          <t>호탄리 마을 인근에 시멘트 포장도로 잘 접함</t>
        </is>
      </c>
      <c r="L740" s="6">
        <f>HYPERLINK("https://fin.land.naver.com/articles/2655510863", "매물Link")</f>
        <v/>
      </c>
      <c r="M740" s="6">
        <f>HYPERLINK("https://map.naver.com/p/search/금남면 호탄리 217", "지도Link")</f>
        <v/>
      </c>
      <c r="N740" s="6">
        <f>HYPERLINK("http://www.eum.go.kr/web/ar/lu/luLandDet.jsp?pnu=3611034037102170000&amp;isNoScr=script&amp;mode=search", "토지이음")</f>
        <v/>
      </c>
      <c r="O740" s="3" t="inlineStr">
        <is>
          <t>신안</t>
        </is>
      </c>
      <c r="P740" s="4" t="n">
        <v>1</v>
      </c>
      <c r="Q740" s="4" t="n">
        <v>516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호탄리 229-2</t>
        </is>
      </c>
      <c r="B741" s="3" t="inlineStr">
        <is>
          <t>개발제한구역</t>
        </is>
      </c>
      <c r="C741" s="3" t="inlineStr">
        <is>
          <t>전</t>
        </is>
      </c>
      <c r="D741" s="3" t="inlineStr">
        <is>
          <t>임야</t>
        </is>
      </c>
      <c r="E741" s="3" t="inlineStr">
        <is>
          <t>매매</t>
        </is>
      </c>
      <c r="F741" s="4" t="n">
        <v>250000</v>
      </c>
      <c r="G741" s="4" t="n">
        <v>5370</v>
      </c>
      <c r="H741" s="4" t="n">
        <v>1624</v>
      </c>
      <c r="I741" s="5" t="n">
        <v>153.9</v>
      </c>
      <c r="J741" s="5" t="n">
        <v>52.9</v>
      </c>
      <c r="K741" s="3" t="inlineStr">
        <is>
          <t>세종시 3생활권과 근접거리에 있어 향후 지가상승이 기대되는 급매물입니다</t>
        </is>
      </c>
      <c r="L741" s="6">
        <f>HYPERLINK("https://fin.land.naver.com/articles/2651937129", "매물Link")</f>
        <v/>
      </c>
      <c r="M741" s="6">
        <f>HYPERLINK("https://map.naver.com/p/search/금남면 호탄리 229-2", "지도Link")</f>
        <v/>
      </c>
      <c r="N741" s="6">
        <f>HYPERLINK("http://www.eum.go.kr/web/ar/lu/luLandDet.jsp?pnu=3611034037102290002&amp;isNoScr=script&amp;mode=search", "토지이음")</f>
        <v/>
      </c>
      <c r="O741" s="3" t="inlineStr">
        <is>
          <t>스마일세종</t>
        </is>
      </c>
      <c r="P741" s="4" t="n">
        <v>1</v>
      </c>
      <c r="Q741" s="4" t="n">
        <v>1693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금남면 호탄리 87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70000</v>
      </c>
      <c r="G742" s="4" t="n">
        <v>1421</v>
      </c>
      <c r="H742" s="4" t="n">
        <v>430</v>
      </c>
      <c r="I742" s="5" t="n">
        <v>162.8</v>
      </c>
      <c r="J742" s="5" t="n">
        <v>55.7</v>
      </c>
      <c r="K742" s="3" t="inlineStr">
        <is>
          <t>보람동 도보 10분이내 접근 가능한 농지. 투자 유망. 그린벨트.</t>
        </is>
      </c>
      <c r="L742" s="6">
        <f>HYPERLINK("https://fin.land.naver.com/articles/2650484384", "매물Link")</f>
        <v/>
      </c>
      <c r="M742" s="6">
        <f>HYPERLINK("https://map.naver.com/p/search/금남면 호탄리 87", "지도Link")</f>
        <v/>
      </c>
      <c r="N742" s="6">
        <f>HYPERLINK("http://www.eum.go.kr/web/ar/lu/luLandDet.jsp?pnu=3611034037100870000&amp;isNoScr=script&amp;mode=search", "토지이음")</f>
        <v/>
      </c>
      <c r="O742" s="3" t="inlineStr">
        <is>
          <t>세종소담114</t>
        </is>
      </c>
      <c r="P742" s="4" t="n">
        <v>1</v>
      </c>
      <c r="Q742" s="4" t="n">
        <v>1421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금남면 호탄리 87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60000</v>
      </c>
      <c r="G743" s="4" t="n">
        <v>1421</v>
      </c>
      <c r="H743" s="4" t="n">
        <v>430</v>
      </c>
      <c r="I743" s="5" t="n">
        <v>139.5</v>
      </c>
      <c r="J743" s="5" t="n">
        <v>55.7</v>
      </c>
      <c r="K743" s="3" t="inlineStr">
        <is>
          <t>nan</t>
        </is>
      </c>
      <c r="L743" s="6">
        <f>HYPERLINK("https://fin.land.naver.com/articles/2650276607", "매물Link")</f>
        <v/>
      </c>
      <c r="M743" s="6">
        <f>HYPERLINK("https://map.naver.com/p/search/금남면 호탄리 87", "지도Link")</f>
        <v/>
      </c>
      <c r="N743" s="6">
        <f>HYPERLINK("http://www.eum.go.kr/web/ar/lu/luLandDet.jsp?pnu=3611034037100870000&amp;isNoScr=script&amp;mode=search", "토지이음")</f>
        <v/>
      </c>
      <c r="O743" s="3" t="inlineStr">
        <is>
          <t>세종</t>
        </is>
      </c>
      <c r="P743" s="4" t="n">
        <v>1</v>
      </c>
      <c r="Q743" s="4" t="n">
        <v>1421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세로한면(불)</t>
        </is>
      </c>
    </row>
    <row r="744">
      <c r="A744" s="3" t="inlineStr">
        <is>
          <t>금남면 호탄리 91-2</t>
        </is>
      </c>
      <c r="B744" s="3" t="inlineStr">
        <is>
          <t>제1종일반주거지역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110000</v>
      </c>
      <c r="G744" s="4" t="n">
        <v>860</v>
      </c>
      <c r="H744" s="4" t="n">
        <v>260</v>
      </c>
      <c r="I744" s="5" t="n">
        <v>423.1</v>
      </c>
      <c r="J744" s="5" t="n">
        <v>158</v>
      </c>
      <c r="K744" s="3" t="inlineStr">
        <is>
          <t>호탄리 제1종일반주거지역의 대지와 전 주변시세보다 저렴하게 급매합니다.</t>
        </is>
      </c>
      <c r="L744" s="6">
        <f>HYPERLINK("https://fin.land.naver.com/articles/2651456368", "매물Link")</f>
        <v/>
      </c>
      <c r="M744" s="6">
        <f>HYPERLINK("https://map.naver.com/p/search/금남면 호탄리 91-2", "지도Link")</f>
        <v/>
      </c>
      <c r="N744" s="6">
        <f>HYPERLINK("http://www.eum.go.kr/web/ar/lu/luLandDet.jsp?pnu=3611034037100910002&amp;isNoScr=script&amp;mode=search",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410</v>
      </c>
      <c r="R744" s="3" t="inlineStr">
        <is>
          <t>지정되지않음</t>
        </is>
      </c>
      <c r="S744" s="3" t="inlineStr">
        <is>
          <t>전기타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세로한면(불)</t>
        </is>
      </c>
    </row>
    <row r="745">
      <c r="A745" s="3" t="inlineStr">
        <is>
          <t>금남면 황용리 11</t>
        </is>
      </c>
      <c r="B745" s="3" t="inlineStr">
        <is>
          <t>개발제한구역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40000</v>
      </c>
      <c r="G745" s="4" t="n">
        <v>1732</v>
      </c>
      <c r="H745" s="4" t="n">
        <v>524</v>
      </c>
      <c r="I745" s="5" t="n">
        <v>76.3</v>
      </c>
      <c r="J745" s="5" t="n">
        <v>44</v>
      </c>
      <c r="K745" s="3" t="inlineStr">
        <is>
          <t>급매,협의절충,자연녹지,금남농협 벼 건조장 맞은편, 입지,주위인프라 굿</t>
        </is>
      </c>
      <c r="L745" s="6">
        <f>HYPERLINK("https://fin.land.naver.com/articles/2654837103", "매물Link")</f>
        <v/>
      </c>
      <c r="M745" s="6">
        <f>HYPERLINK("https://map.naver.com/p/search/금남면 황용리 11", "지도Link")</f>
        <v/>
      </c>
      <c r="N745" s="6">
        <f>HYPERLINK("http://www.eum.go.kr/web/ar/lu/luLandDet.jsp?pnu=3611034030100110000&amp;isNoScr=script&amp;mode=search", "토지이음")</f>
        <v/>
      </c>
      <c r="O745" s="3" t="inlineStr">
        <is>
          <t>세종한울</t>
        </is>
      </c>
      <c r="P745" s="4" t="n">
        <v>1</v>
      </c>
      <c r="Q745" s="4" t="n">
        <v>1732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금남면 황용리 110-1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52200</v>
      </c>
      <c r="G746" s="4" t="n">
        <v>3141</v>
      </c>
      <c r="H746" s="4" t="n">
        <v>950</v>
      </c>
      <c r="I746" s="5" t="n">
        <v>54.9</v>
      </c>
      <c r="J746" s="5" t="n">
        <v>29.8</v>
      </c>
      <c r="K746" s="3" t="inlineStr">
        <is>
          <t>급매 세종 대전 접근성좋은 황용리 도로접한 답2필지</t>
        </is>
      </c>
      <c r="L746" s="6">
        <f>HYPERLINK("https://fin.land.naver.com/articles/2655578932", "매물Link")</f>
        <v/>
      </c>
      <c r="M746" s="6">
        <f>HYPERLINK("https://map.naver.com/p/search/금남면 황용리 110-1", "지도Link")</f>
        <v/>
      </c>
      <c r="N746" s="6">
        <f>HYPERLINK("http://www.eum.go.kr/web/ar/lu/luLandDet.jsp?pnu=3611034030101100001&amp;isNoScr=script&amp;mode=search",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2591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115-2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55000</v>
      </c>
      <c r="G747" s="4" t="n">
        <v>3131</v>
      </c>
      <c r="H747" s="4" t="n">
        <v>947</v>
      </c>
      <c r="I747" s="5" t="n">
        <v>58.1</v>
      </c>
      <c r="J747" s="5" t="n">
        <v>25.3</v>
      </c>
      <c r="K747" s="3" t="inlineStr">
        <is>
          <t>nan</t>
        </is>
      </c>
      <c r="L747" s="6">
        <f>HYPERLINK("https://fin.land.naver.com/articles/2653461196", "매물Link")</f>
        <v/>
      </c>
      <c r="M747" s="6">
        <f>HYPERLINK("https://map.naver.com/p/search/금남면 황용리 115-2", "지도Link")</f>
        <v/>
      </c>
      <c r="N747" s="6">
        <f>HYPERLINK("http://www.eum.go.kr/web/ar/lu/luLandDet.jsp?pnu=3611034030101150002&amp;isNoScr=script&amp;mode=search", "토지이음")</f>
        <v/>
      </c>
      <c r="O747" s="3" t="inlineStr">
        <is>
          <t>다온</t>
        </is>
      </c>
      <c r="P747" s="4" t="n">
        <v>1</v>
      </c>
      <c r="Q747" s="4" t="n">
        <v>1782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황용리 120-2</t>
        </is>
      </c>
      <c r="B748" s="3" t="inlineStr">
        <is>
          <t>개발제한구역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32000</v>
      </c>
      <c r="G748" s="4" t="n">
        <v>527</v>
      </c>
      <c r="H748" s="4" t="n">
        <v>159</v>
      </c>
      <c r="I748" s="5" t="n">
        <v>201.3</v>
      </c>
      <c r="J748" s="5" t="n">
        <v>108.9</v>
      </c>
      <c r="K748" s="3" t="inlineStr">
        <is>
          <t>nan</t>
        </is>
      </c>
      <c r="L748" s="6">
        <f>HYPERLINK("https://fin.land.naver.com/articles/2653155524", "매물Link")</f>
        <v/>
      </c>
      <c r="M748" s="6">
        <f>HYPERLINK("https://map.naver.com/p/search/금남면 황용리 120-2", "지도Link")</f>
        <v/>
      </c>
      <c r="N748" s="6">
        <f>HYPERLINK("http://www.eum.go.kr/web/ar/lu/luLandDet.jsp?pnu=3611034030101200002&amp;isNoScr=script&amp;mode=search", "토지이음")</f>
        <v/>
      </c>
      <c r="O748" s="3" t="inlineStr">
        <is>
          <t>다온</t>
        </is>
      </c>
      <c r="P748" s="4" t="n">
        <v>2</v>
      </c>
      <c r="Q748" s="4" t="n">
        <v>527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금남면 황용리 166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34000</v>
      </c>
      <c r="G749" s="4" t="n">
        <v>2873</v>
      </c>
      <c r="H749" s="4" t="n">
        <v>869</v>
      </c>
      <c r="I749" s="5" t="n">
        <v>39.1</v>
      </c>
      <c r="J749" s="5" t="n">
        <v>22.5</v>
      </c>
      <c r="K749" s="3" t="inlineStr">
        <is>
          <t>세종시 4생활권 인근 토지 매매</t>
        </is>
      </c>
      <c r="L749" s="6">
        <f>HYPERLINK("https://fin.land.naver.com/articles/2652374611", "매물Link")</f>
        <v/>
      </c>
      <c r="M749" s="6">
        <f>HYPERLINK("https://map.naver.com/p/search/금남면 황용리 166", "지도Link")</f>
        <v/>
      </c>
      <c r="N749" s="6">
        <f>HYPERLINK("http://www.eum.go.kr/web/ar/lu/luLandDet.jsp?pnu=3611034030101660000&amp;isNoScr=script&amp;mode=search", "토지이음")</f>
        <v/>
      </c>
      <c r="O749" s="3" t="inlineStr">
        <is>
          <t>유성대박</t>
        </is>
      </c>
      <c r="P749" s="4" t="n">
        <v>1</v>
      </c>
      <c r="Q749" s="4" t="n">
        <v>2873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172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27300</v>
      </c>
      <c r="G750" s="4" t="n">
        <v>2376</v>
      </c>
      <c r="H750" s="4" t="n">
        <v>719</v>
      </c>
      <c r="I750" s="5" t="n">
        <v>38</v>
      </c>
      <c r="J750" s="5" t="n">
        <v>22.5</v>
      </c>
      <c r="K750" s="3" t="inlineStr">
        <is>
          <t>도시근접 도로접한 토지 자연녹지지역 도시지역</t>
        </is>
      </c>
      <c r="L750" s="6">
        <f>HYPERLINK("https://fin.land.naver.com/articles/2651914094", "매물Link")</f>
        <v/>
      </c>
      <c r="M750" s="6">
        <f>HYPERLINK("https://map.naver.com/p/search/금남면 황용리 172", "지도Link")</f>
        <v/>
      </c>
      <c r="N750" s="6">
        <f>HYPERLINK("http://www.eum.go.kr/web/ar/lu/luLandDet.jsp?pnu=3611034030101720000&amp;isNoScr=script&amp;mode=search", "토지이음")</f>
        <v/>
      </c>
      <c r="O750" s="3" t="inlineStr">
        <is>
          <t>새롬삼둥이</t>
        </is>
      </c>
      <c r="P750" s="4" t="n">
        <v>1</v>
      </c>
      <c r="Q750" s="4" t="n">
        <v>1074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185</t>
        </is>
      </c>
      <c r="B751" s="3" t="inlineStr">
        <is>
          <t>개발제한구역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57000</v>
      </c>
      <c r="G751" s="4" t="n">
        <v>2688</v>
      </c>
      <c r="H751" s="4" t="n">
        <v>813</v>
      </c>
      <c r="I751" s="5" t="n">
        <v>70.09999999999999</v>
      </c>
      <c r="J751" s="5" t="n">
        <v>22.2</v>
      </c>
      <c r="K751" s="3" t="inlineStr">
        <is>
          <t>장기보유 가치 있는 자연녹지 토지</t>
        </is>
      </c>
      <c r="L751" s="6">
        <f>HYPERLINK("https://fin.land.naver.com/articles/2655656684", "매물Link")</f>
        <v/>
      </c>
      <c r="M751" s="6">
        <f>HYPERLINK("https://map.naver.com/p/search/금남면 황용리 185", "지도Link")</f>
        <v/>
      </c>
      <c r="N751" s="6">
        <f>HYPERLINK("http://www.eum.go.kr/web/ar/lu/luLandDet.jsp?pnu=3611034030101850000&amp;isNoScr=script&amp;mode=search", "토지이음")</f>
        <v/>
      </c>
      <c r="O751" s="3" t="inlineStr">
        <is>
          <t>세종몽땅</t>
        </is>
      </c>
      <c r="P751" s="4" t="n">
        <v>1</v>
      </c>
      <c r="Q751" s="4" t="n">
        <v>2334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황용리 204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106700</v>
      </c>
      <c r="G752" s="4" t="n">
        <v>7054</v>
      </c>
      <c r="H752" s="4" t="n">
        <v>2134</v>
      </c>
      <c r="I752" s="5" t="n">
        <v>50</v>
      </c>
      <c r="J752" s="5" t="n">
        <v>26.2</v>
      </c>
      <c r="K752" s="3" t="inlineStr">
        <is>
          <t>세종 인접 농지,답 여섯개필지</t>
        </is>
      </c>
      <c r="L752" s="6">
        <f>HYPERLINK("https://fin.land.naver.com/articles/2654534285", "매물Link")</f>
        <v/>
      </c>
      <c r="M752" s="6">
        <f>HYPERLINK("https://map.naver.com/p/search/금남면 황용리 204", "지도Link")</f>
        <v/>
      </c>
      <c r="N752" s="6">
        <f>HYPERLINK("http://www.eum.go.kr/web/ar/lu/luLandDet.jsp?pnu=3611034030102040000&amp;isNoScr=script&amp;mode=search", "토지이음")</f>
        <v/>
      </c>
      <c r="O752" s="3" t="inlineStr">
        <is>
          <t>다산</t>
        </is>
      </c>
      <c r="P752" s="4" t="n">
        <v>1</v>
      </c>
      <c r="Q752" s="4" t="n">
        <v>767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황용리 251-1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49000</v>
      </c>
      <c r="G753" s="4" t="n">
        <v>1035</v>
      </c>
      <c r="H753" s="4" t="n">
        <v>313</v>
      </c>
      <c r="I753" s="5" t="n">
        <v>156.5</v>
      </c>
      <c r="J753" s="5" t="n">
        <v>39.8</v>
      </c>
      <c r="K753" s="3" t="inlineStr">
        <is>
          <t>마을인근밭.6미터도로접.신도시지근거리지역.장기적투자관점.토지거래허가구역</t>
        </is>
      </c>
      <c r="L753" s="6">
        <f>HYPERLINK("https://fin.land.naver.com/articles/2654868475", "매물Link")</f>
        <v/>
      </c>
      <c r="M753" s="6">
        <f>HYPERLINK("https://map.naver.com/p/search/금남면 황용리 251-1", "지도Link")</f>
        <v/>
      </c>
      <c r="N753" s="6">
        <f>HYPERLINK("http://www.eum.go.kr/web/ar/lu/luLandDet.jsp?pnu=3611034030102510001&amp;isNoScr=script&amp;mode=search", "토지이음")</f>
        <v/>
      </c>
      <c r="O753" s="3" t="inlineStr">
        <is>
          <t>돈방석</t>
        </is>
      </c>
      <c r="P753" s="4" t="n">
        <v>3</v>
      </c>
      <c r="Q753" s="4" t="n">
        <v>1035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251-1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49000</v>
      </c>
      <c r="G754" s="4" t="n">
        <v>1035</v>
      </c>
      <c r="H754" s="4" t="n">
        <v>313</v>
      </c>
      <c r="I754" s="5" t="n">
        <v>156.5</v>
      </c>
      <c r="J754" s="5" t="n">
        <v>39.8</v>
      </c>
      <c r="K754" s="3" t="inlineStr">
        <is>
          <t>도시지역,자연녹지,버섯하우스포함일괄매매</t>
        </is>
      </c>
      <c r="L754" s="6">
        <f>HYPERLINK("https://fin.land.naver.com/articles/2655494076", "매물Link")</f>
        <v/>
      </c>
      <c r="M754" s="6">
        <f>HYPERLINK("https://map.naver.com/p/search/금남면 황용리 251-1", "지도Link")</f>
        <v/>
      </c>
      <c r="N754" s="6">
        <f>HYPERLINK("http://www.eum.go.kr/web/ar/lu/luLandDet.jsp?pnu=3611034030102510001&amp;isNoScr=script&amp;mode=search", "토지이음")</f>
        <v/>
      </c>
      <c r="O754" s="3" t="inlineStr">
        <is>
          <t>힐스테이트행복</t>
        </is>
      </c>
      <c r="P754" s="4" t="n">
        <v>1</v>
      </c>
      <c r="Q754" s="4" t="n">
        <v>1035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252-1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50000</v>
      </c>
      <c r="G755" s="4" t="n">
        <v>3464</v>
      </c>
      <c r="H755" s="4" t="n">
        <v>1048</v>
      </c>
      <c r="I755" s="5" t="n">
        <v>47.7</v>
      </c>
      <c r="J755" s="5" t="n">
        <v>33.2</v>
      </c>
      <c r="K755" s="3" t="inlineStr">
        <is>
          <t>급매 자연녹지지역 마을인접토지</t>
        </is>
      </c>
      <c r="L755" s="6">
        <f>HYPERLINK("https://fin.land.naver.com/articles/2651719766", "매물Link")</f>
        <v/>
      </c>
      <c r="M755" s="6">
        <f>HYPERLINK("https://map.naver.com/p/search/금남면 황용리 252-1", "지도Link")</f>
        <v/>
      </c>
      <c r="N755" s="6">
        <f>HYPERLINK("http://www.eum.go.kr/web/ar/lu/luLandDet.jsp?pnu=3611034030102520001&amp;isNoScr=script&amp;mode=search", "토지이음")</f>
        <v/>
      </c>
      <c r="O755" s="3" t="inlineStr">
        <is>
          <t>레몬</t>
        </is>
      </c>
      <c r="P755" s="4" t="n">
        <v>1</v>
      </c>
      <c r="Q755" s="4" t="n">
        <v>1255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황용리 253-2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80450</v>
      </c>
      <c r="G756" s="4" t="n">
        <v>5319</v>
      </c>
      <c r="H756" s="4" t="n">
        <v>1609</v>
      </c>
      <c r="I756" s="5" t="n">
        <v>50</v>
      </c>
      <c r="J756" s="5" t="n">
        <v>41.4</v>
      </c>
      <c r="K756" s="3" t="inlineStr">
        <is>
          <t>nan</t>
        </is>
      </c>
      <c r="L756" s="6">
        <f>HYPERLINK("https://fin.land.naver.com/articles/2655258191", "매물Link")</f>
        <v/>
      </c>
      <c r="M756" s="6">
        <f>HYPERLINK("https://map.naver.com/p/search/금남면 황용리 253-2", "지도Link")</f>
        <v/>
      </c>
      <c r="N756" s="6">
        <f>HYPERLINK("http://www.eum.go.kr/web/ar/lu/luLandDet.jsp?pnu=3611034030102530002&amp;isNoScr=script&amp;mode=search", "토지이음")</f>
        <v/>
      </c>
      <c r="O756" s="3" t="inlineStr">
        <is>
          <t>이서방</t>
        </is>
      </c>
      <c r="P756" s="4" t="n">
        <v>1</v>
      </c>
      <c r="Q756" s="4" t="n">
        <v>1180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금남면 황용리 254-4</t>
        </is>
      </c>
      <c r="B757" s="3" t="inlineStr">
        <is>
          <t>자연녹지지역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478</v>
      </c>
      <c r="H757" s="4" t="n">
        <v>145</v>
      </c>
      <c r="I757" s="5" t="n">
        <v>310.3</v>
      </c>
      <c r="J757" s="5" t="n">
        <v>133.9</v>
      </c>
      <c r="K757" s="3" t="inlineStr">
        <is>
          <t>사진첨부 세종시 금남면 황용리 당미서복마을 전원주택지 매매</t>
        </is>
      </c>
      <c r="L757" s="6">
        <f>HYPERLINK("https://fin.land.naver.com/articles/2653197097", "매물Link")</f>
        <v/>
      </c>
      <c r="M757" s="6">
        <f>HYPERLINK("https://map.naver.com/p/search/금남면 황용리 254-4", "지도Link")</f>
        <v/>
      </c>
      <c r="N757" s="6">
        <f>HYPERLINK("http://www.eum.go.kr/web/ar/lu/luLandDet.jsp?pnu=3611034030102540004&amp;isNoScr=script&amp;mode=search", "토지이음")</f>
        <v/>
      </c>
      <c r="O757" s="3" t="inlineStr">
        <is>
          <t>셀리</t>
        </is>
      </c>
      <c r="P757" s="4" t="n">
        <v>1</v>
      </c>
      <c r="Q757" s="4" t="n">
        <v>478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268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23000</v>
      </c>
      <c r="G758" s="4" t="n">
        <v>1583</v>
      </c>
      <c r="H758" s="4" t="n">
        <v>479</v>
      </c>
      <c r="I758" s="5" t="n">
        <v>48</v>
      </c>
      <c r="J758" s="5" t="n">
        <v>31</v>
      </c>
      <c r="K758" s="3" t="inlineStr">
        <is>
          <t>조율가능 분할가능 주말농장 농막 물탱크 잔디마당</t>
        </is>
      </c>
      <c r="L758" s="6">
        <f>HYPERLINK("https://fin.land.naver.com/articles/2655181416", "매물Link")</f>
        <v/>
      </c>
      <c r="M758" s="6">
        <f>HYPERLINK("https://map.naver.com/p/search/금남면 황용리 268", "지도Link")</f>
        <v/>
      </c>
      <c r="N758" s="6">
        <f>HYPERLINK("http://www.eum.go.kr/web/ar/lu/luLandDet.jsp?pnu=3611034030102680000&amp;isNoScr=script&amp;mode=search",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1583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금남면 황용리 284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30000</v>
      </c>
      <c r="G759" s="4" t="n">
        <v>750</v>
      </c>
      <c r="H759" s="4" t="n">
        <v>227</v>
      </c>
      <c r="I759" s="5" t="n">
        <v>132.2</v>
      </c>
      <c r="J759" s="5" t="n">
        <v>100.5</v>
      </c>
      <c r="K759" s="3" t="inlineStr">
        <is>
          <t>지목변경후 건축가</t>
        </is>
      </c>
      <c r="L759" s="6">
        <f>HYPERLINK("https://fin.land.naver.com/articles/2655723757", "매물Link")</f>
        <v/>
      </c>
      <c r="M759" s="6">
        <f>HYPERLINK("https://map.naver.com/p/search/금남면 황용리 284", "지도Link")</f>
        <v/>
      </c>
      <c r="N759" s="6">
        <f>HYPERLINK("http://www.eum.go.kr/web/ar/lu/luLandDet.jsp?pnu=3611034030102840000&amp;isNoScr=script&amp;mode=search", "토지이음")</f>
        <v/>
      </c>
      <c r="O759" s="3" t="inlineStr">
        <is>
          <t>원효</t>
        </is>
      </c>
      <c r="P759" s="4" t="n">
        <v>1</v>
      </c>
      <c r="Q759" s="4" t="n">
        <v>750</v>
      </c>
      <c r="R759" s="3" t="inlineStr">
        <is>
          <t>지정되지않음</t>
        </is>
      </c>
      <c r="S759" s="3" t="inlineStr">
        <is>
          <t>과수원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364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15600</v>
      </c>
      <c r="G760" s="4" t="n">
        <v>737</v>
      </c>
      <c r="H760" s="4" t="n">
        <v>223</v>
      </c>
      <c r="I760" s="5" t="n">
        <v>70</v>
      </c>
      <c r="J760" s="5" t="n">
        <v>32.7</v>
      </c>
      <c r="K760" s="3" t="inlineStr">
        <is>
          <t>세종시청 약 10분, 구즉세종로 인접 및 차량진입 가능한 도시근교 농지</t>
        </is>
      </c>
      <c r="L760" s="6">
        <f>HYPERLINK("https://fin.land.naver.com/articles/2655041211", "매물Link")</f>
        <v/>
      </c>
      <c r="M760" s="6">
        <f>HYPERLINK("https://map.naver.com/p/search/금남면 황용리 364", "지도Link")</f>
        <v/>
      </c>
      <c r="N760" s="6">
        <f>HYPERLINK("http://www.eum.go.kr/web/ar/lu/luLandDet.jsp?pnu=3611034030103640000&amp;isNoScr=script&amp;mode=search", "토지이음")</f>
        <v/>
      </c>
      <c r="O760" s="3" t="inlineStr">
        <is>
          <t>세종소담황금</t>
        </is>
      </c>
      <c r="P760" s="4" t="n">
        <v>1</v>
      </c>
      <c r="Q760" s="4" t="n">
        <v>737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맹지</t>
        </is>
      </c>
    </row>
    <row r="761">
      <c r="A761" s="3" t="inlineStr">
        <is>
          <t>금남면 황용리 402-16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16000</v>
      </c>
      <c r="G761" s="4" t="n">
        <v>1046</v>
      </c>
      <c r="H761" s="4" t="n">
        <v>316</v>
      </c>
      <c r="I761" s="5" t="n">
        <v>50.6</v>
      </c>
      <c r="J761" s="5" t="n">
        <v>39.5</v>
      </c>
      <c r="K761" s="3" t="inlineStr">
        <is>
          <t>주말농장,</t>
        </is>
      </c>
      <c r="L761" s="6">
        <f>HYPERLINK("https://fin.land.naver.com/articles/2650509092", "매물Link")</f>
        <v/>
      </c>
      <c r="M761" s="6">
        <f>HYPERLINK("https://map.naver.com/p/search/금남면 황용리 402-16", "지도Link")</f>
        <v/>
      </c>
      <c r="N761" s="6">
        <f>HYPERLINK("http://www.eum.go.kr/web/ar/lu/luLandDet.jsp?pnu=3611034030104020016&amp;isNoScr=script&amp;mode=search",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1644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세로한면(가)</t>
        </is>
      </c>
    </row>
    <row r="762">
      <c r="A762" s="3" t="inlineStr">
        <is>
          <t>금남면 황용리 403-10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22000</v>
      </c>
      <c r="G762" s="4" t="n">
        <v>723</v>
      </c>
      <c r="H762" s="4" t="n">
        <v>219</v>
      </c>
      <c r="I762" s="5" t="n">
        <v>100.5</v>
      </c>
      <c r="J762" s="5" t="n">
        <v>43.8</v>
      </c>
      <c r="K762" s="3" t="inlineStr">
        <is>
          <t>명성공인, 전용220, 금남면 황용리 답 추천 매물</t>
        </is>
      </c>
      <c r="L762" s="6">
        <f>HYPERLINK("https://fin.land.naver.com/articles/2653839731", "매물Link")</f>
        <v/>
      </c>
      <c r="M762" s="6">
        <f>HYPERLINK("https://map.naver.com/p/search/금남면 황용리 403-10", "지도Link")</f>
        <v/>
      </c>
      <c r="N762" s="6">
        <f>HYPERLINK("http://www.eum.go.kr/web/ar/lu/luLandDet.jsp?pnu=3611034030104030010&amp;isNoScr=script&amp;mode=search",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723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금남면 황용리 404-13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36000</v>
      </c>
      <c r="G763" s="4" t="n">
        <v>2971</v>
      </c>
      <c r="H763" s="4" t="n">
        <v>899</v>
      </c>
      <c r="I763" s="5" t="n">
        <v>40</v>
      </c>
      <c r="J763" s="5" t="n">
        <v>39.5</v>
      </c>
      <c r="K763" s="3" t="inlineStr">
        <is>
          <t>급매,</t>
        </is>
      </c>
      <c r="L763" s="6">
        <f>HYPERLINK("https://fin.land.naver.com/articles/2654859552", "매물Link")</f>
        <v/>
      </c>
      <c r="M763" s="6">
        <f>HYPERLINK("https://map.naver.com/p/search/금남면 황용리 404-13", "지도Link")</f>
        <v/>
      </c>
      <c r="N763" s="6">
        <f>HYPERLINK("http://www.eum.go.kr/web/ar/lu/luLandDet.jsp?pnu=3611034030104040013&amp;isNoScr=script&amp;mode=search",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2971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414-9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34900</v>
      </c>
      <c r="G764" s="4" t="n">
        <v>1153</v>
      </c>
      <c r="H764" s="4" t="n">
        <v>349</v>
      </c>
      <c r="I764" s="5" t="n">
        <v>100</v>
      </c>
      <c r="J764" s="5" t="n">
        <v>39.6</v>
      </c>
      <c r="K764" s="3" t="inlineStr">
        <is>
          <t>nan</t>
        </is>
      </c>
      <c r="L764" s="6">
        <f>HYPERLINK("https://fin.land.naver.com/articles/2650901837", "매물Link")</f>
        <v/>
      </c>
      <c r="M764" s="6">
        <f>HYPERLINK("https://map.naver.com/p/search/금남면 황용리 414-9", "지도Link")</f>
        <v/>
      </c>
      <c r="N764" s="6">
        <f>HYPERLINK("http://www.eum.go.kr/web/ar/lu/luLandDet.jsp?pnu=3611034030104140009&amp;isNoScr=script&amp;mode=search", "토지이음")</f>
        <v/>
      </c>
      <c r="O764" s="3" t="inlineStr">
        <is>
          <t>현대엠코</t>
        </is>
      </c>
      <c r="P764" s="4" t="n">
        <v>1</v>
      </c>
      <c r="Q764" s="4" t="n">
        <v>1153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416-1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85940</v>
      </c>
      <c r="G765" s="4" t="n">
        <v>2840</v>
      </c>
      <c r="H765" s="4" t="n">
        <v>859</v>
      </c>
      <c r="I765" s="5" t="n">
        <v>100</v>
      </c>
      <c r="J765" s="5" t="n">
        <v>43.7</v>
      </c>
      <c r="K765" s="3" t="inlineStr">
        <is>
          <t>nan</t>
        </is>
      </c>
      <c r="L765" s="6">
        <f>HYPERLINK("https://fin.land.naver.com/articles/2652744184", "매물Link")</f>
        <v/>
      </c>
      <c r="M765" s="6">
        <f>HYPERLINK("https://map.naver.com/p/search/금남면 황용리 416-1", "지도Link")</f>
        <v/>
      </c>
      <c r="N765" s="6">
        <f>HYPERLINK("http://www.eum.go.kr/web/ar/lu/luLandDet.jsp?pnu=3611034030104160001&amp;isNoScr=script&amp;mode=search", "토지이음")</f>
        <v/>
      </c>
      <c r="O765" s="3" t="inlineStr">
        <is>
          <t>세종대평</t>
        </is>
      </c>
      <c r="P765" s="4" t="n">
        <v>1</v>
      </c>
      <c r="Q765" s="4" t="n">
        <v>2841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418-18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21300</v>
      </c>
      <c r="G766" s="4" t="n">
        <v>1007</v>
      </c>
      <c r="H766" s="4" t="n">
        <v>305</v>
      </c>
      <c r="I766" s="5" t="n">
        <v>69.8</v>
      </c>
      <c r="J766" s="5" t="n">
        <v>39.9</v>
      </c>
      <c r="K766" s="3" t="inlineStr">
        <is>
          <t>세종 신도심 가까운 평탄한 농지, 도로배수 양호한 장기보유형 토지</t>
        </is>
      </c>
      <c r="L766" s="6">
        <f>HYPERLINK("https://fin.land.naver.com/articles/2655040886", "매물Link")</f>
        <v/>
      </c>
      <c r="M766" s="6">
        <f>HYPERLINK("https://map.naver.com/p/search/금남면 황용리 418-18", "지도Link")</f>
        <v/>
      </c>
      <c r="N766" s="6">
        <f>HYPERLINK("http://www.eum.go.kr/web/ar/lu/luLandDet.jsp?pnu=3611034030104180018&amp;isNoScr=script&amp;mode=search", "토지이음")</f>
        <v/>
      </c>
      <c r="O766" s="3" t="inlineStr">
        <is>
          <t>세종소담황금</t>
        </is>
      </c>
      <c r="P766" s="4" t="n">
        <v>1</v>
      </c>
      <c r="Q766" s="4" t="n">
        <v>1007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세로한면(가)</t>
        </is>
      </c>
    </row>
    <row r="767">
      <c r="A767" s="3" t="inlineStr">
        <is>
          <t>금남면 황용리 435-6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200000</v>
      </c>
      <c r="G767" s="4" t="n">
        <v>661</v>
      </c>
      <c r="H767" s="4" t="n">
        <v>200</v>
      </c>
      <c r="I767" s="5" t="n">
        <v>1000</v>
      </c>
      <c r="J767" s="5" t="n">
        <v>446</v>
      </c>
      <c r="K767" s="3" t="inlineStr">
        <is>
          <t>OK  계획관리. 성장관리계획구역. 대로변 인접. 접근성 좋음</t>
        </is>
      </c>
      <c r="L767" s="6">
        <f>HYPERLINK("https://fin.land.naver.com/articles/2653457417", "매물Link")</f>
        <v/>
      </c>
      <c r="M767" s="6">
        <f>HYPERLINK("https://map.naver.com/p/search/금남면 황용리 435-6", "지도Link")</f>
        <v/>
      </c>
      <c r="N767" s="6">
        <f>HYPERLINK("http://www.eum.go.kr/web/ar/lu/luLandDet.jsp?pnu=3611034030104350006&amp;isNoScr=script&amp;mode=search", "토지이음")</f>
        <v/>
      </c>
      <c r="O767" s="3" t="inlineStr">
        <is>
          <t>OK</t>
        </is>
      </c>
      <c r="P767" s="4" t="n">
        <v>1</v>
      </c>
      <c r="Q767" s="4" t="n">
        <v>661</v>
      </c>
      <c r="R767" s="3" t="inlineStr">
        <is>
          <t>지정되지않음</t>
        </is>
      </c>
      <c r="S767" s="3" t="inlineStr">
        <is>
          <t>업무용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금남면 황용리 438-1</t>
        </is>
      </c>
      <c r="B768" s="3" t="inlineStr">
        <is>
          <t>생산관리지역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220000</v>
      </c>
      <c r="G768" s="4" t="n">
        <v>909</v>
      </c>
      <c r="H768" s="4" t="n">
        <v>275</v>
      </c>
      <c r="I768" s="5" t="n">
        <v>800</v>
      </c>
      <c r="J768" s="5" t="n">
        <v>324.6</v>
      </c>
      <c r="K768" s="3" t="inlineStr">
        <is>
          <t>nan</t>
        </is>
      </c>
      <c r="L768" s="6">
        <f>HYPERLINK("https://fin.land.naver.com/articles/2653433669", "매물Link")</f>
        <v/>
      </c>
      <c r="M768" s="6">
        <f>HYPERLINK("https://map.naver.com/p/search/금남면 황용리 438-1", "지도Link")</f>
        <v/>
      </c>
      <c r="N768" s="6">
        <f>HYPERLINK("http://www.eum.go.kr/web/ar/lu/luLandDet.jsp?pnu=3611034030104380001&amp;isNoScr=script&amp;mode=search", "토지이음")</f>
        <v/>
      </c>
      <c r="O768" s="3" t="inlineStr">
        <is>
          <t>장수</t>
        </is>
      </c>
      <c r="P768" s="4" t="n">
        <v>2</v>
      </c>
      <c r="Q768" s="4" t="n">
        <v>853</v>
      </c>
      <c r="R768" s="3" t="inlineStr">
        <is>
          <t>지정되지않음</t>
        </is>
      </c>
      <c r="S768" s="3" t="inlineStr">
        <is>
          <t>상업용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금남면 황용리 438-2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200000</v>
      </c>
      <c r="G769" s="4" t="n">
        <v>840</v>
      </c>
      <c r="H769" s="4" t="n">
        <v>254</v>
      </c>
      <c r="I769" s="5" t="n">
        <v>787.4</v>
      </c>
      <c r="J769" s="5" t="n">
        <v>324.6</v>
      </c>
      <c r="K769" s="3" t="inlineStr">
        <is>
          <t>세종과 과학밸트 약10분내위치, 도로접, 다양업종가능해요</t>
        </is>
      </c>
      <c r="L769" s="6">
        <f>HYPERLINK("https://fin.land.naver.com/articles/2651275155", "매물Link")</f>
        <v/>
      </c>
      <c r="M769" s="6">
        <f>HYPERLINK("https://map.naver.com/p/search/금남면 황용리 438-2", "지도Link")</f>
        <v/>
      </c>
      <c r="N769" s="6">
        <f>HYPERLINK("http://www.eum.go.kr/web/ar/lu/luLandDet.jsp?pnu=3611034030104380002&amp;isNoScr=script&amp;mode=search", "토지이음")</f>
        <v/>
      </c>
      <c r="O769" s="3" t="inlineStr">
        <is>
          <t>큰길</t>
        </is>
      </c>
      <c r="P769" s="4" t="n">
        <v>1</v>
      </c>
      <c r="Q769" s="4" t="n">
        <v>804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438-5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220000</v>
      </c>
      <c r="G770" s="4" t="n">
        <v>860</v>
      </c>
      <c r="H770" s="4" t="n">
        <v>260</v>
      </c>
      <c r="I770" s="5" t="n">
        <v>846.2</v>
      </c>
      <c r="J770" s="5" t="n">
        <v>305</v>
      </c>
      <c r="K770" s="3" t="inlineStr">
        <is>
          <t>세종과 과학밸트 약10분내거리, 다양한용도 가능해요</t>
        </is>
      </c>
      <c r="L770" s="6">
        <f>HYPERLINK("https://fin.land.naver.com/articles/2651274509", "매물Link")</f>
        <v/>
      </c>
      <c r="M770" s="6">
        <f>HYPERLINK("https://map.naver.com/p/search/금남면 황용리 438-5", "지도Link")</f>
        <v/>
      </c>
      <c r="N770" s="6">
        <f>HYPERLINK("http://www.eum.go.kr/web/ar/lu/luLandDet.jsp?pnu=3611034030104380005&amp;isNoScr=script&amp;mode=search", "토지이음")</f>
        <v/>
      </c>
      <c r="O770" s="3" t="inlineStr">
        <is>
          <t>큰길</t>
        </is>
      </c>
      <c r="P770" s="4" t="n">
        <v>1</v>
      </c>
      <c r="Q770" s="4" t="n">
        <v>825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146-1</t>
        </is>
      </c>
      <c r="B771" s="3" t="inlineStr">
        <is>
          <t>자연녹지지역</t>
        </is>
      </c>
      <c r="C771" s="3" t="inlineStr">
        <is>
          <t>답</t>
        </is>
      </c>
      <c r="D771" s="3" t="inlineStr">
        <is>
          <t>전</t>
        </is>
      </c>
      <c r="E771" s="3" t="inlineStr">
        <is>
          <t>매매</t>
        </is>
      </c>
      <c r="F771" s="4" t="n">
        <v>300000</v>
      </c>
      <c r="G771" s="4" t="n">
        <v>3752</v>
      </c>
      <c r="H771" s="4" t="n">
        <v>1135</v>
      </c>
      <c r="I771" s="5" t="n">
        <v>264.3</v>
      </c>
      <c r="J771" s="5" t="n">
        <v>96.40000000000001</v>
      </c>
      <c r="K771" s="3" t="inlineStr">
        <is>
          <t>4차선접토지.산남동 아파트단지인근</t>
        </is>
      </c>
      <c r="L771" s="6">
        <f>HYPERLINK("https://fin.land.naver.com/articles/2654609968", "매물Link")</f>
        <v/>
      </c>
      <c r="M771" s="6">
        <f>HYPERLINK("https://map.naver.com/p/search/남이면 가마리 146-1", "지도Link")</f>
        <v/>
      </c>
      <c r="N771" s="6">
        <f>HYPERLINK("http://www.eum.go.kr/web/ar/lu/luLandDet.jsp?pnu=4311231038101460001&amp;isNoScr=script&amp;mode=search", "토지이음")</f>
        <v/>
      </c>
      <c r="O771" s="3" t="inlineStr">
        <is>
          <t>둥지</t>
        </is>
      </c>
      <c r="P771" s="4" t="n">
        <v>2</v>
      </c>
      <c r="Q771" s="4" t="n">
        <v>3352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가마리 148-1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105000</v>
      </c>
      <c r="G772" s="4" t="n">
        <v>866</v>
      </c>
      <c r="H772" s="4" t="n">
        <v>262</v>
      </c>
      <c r="I772" s="5" t="n">
        <v>400.8</v>
      </c>
      <c r="J772" s="5" t="n">
        <v>113.5</v>
      </c>
      <c r="K772" s="3" t="inlineStr">
        <is>
          <t>가마리 4차선 대로변 토지매매</t>
        </is>
      </c>
      <c r="L772" s="6">
        <f>HYPERLINK("https://fin.land.naver.com/articles/2651766992", "매물Link")</f>
        <v/>
      </c>
      <c r="M772" s="6">
        <f>HYPERLINK("https://map.naver.com/p/search/남이면 가마리 148-1", "지도Link")</f>
        <v/>
      </c>
      <c r="N772" s="6">
        <f>HYPERLINK("http://www.eum.go.kr/web/ar/lu/luLandDet.jsp?pnu=4311231038101480001&amp;isNoScr=script&amp;mode=search", "토지이음")</f>
        <v/>
      </c>
      <c r="O772" s="3" t="inlineStr">
        <is>
          <t>한아름</t>
        </is>
      </c>
      <c r="P772" s="4" t="n">
        <v>1</v>
      </c>
      <c r="Q772" s="4" t="n">
        <v>781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중로한면</t>
        </is>
      </c>
    </row>
    <row r="773">
      <c r="A773" s="3" t="inlineStr">
        <is>
          <t>남이면 가마리 149-1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220000</v>
      </c>
      <c r="G773" s="4" t="n">
        <v>2103</v>
      </c>
      <c r="H773" s="4" t="n">
        <v>636</v>
      </c>
      <c r="I773" s="5" t="n">
        <v>345.9</v>
      </c>
      <c r="J773" s="5" t="n">
        <v>168.3</v>
      </c>
      <c r="K773" s="3" t="inlineStr">
        <is>
          <t>현재 화훼농원이며 건물신축 최적지</t>
        </is>
      </c>
      <c r="L773" s="6">
        <f>HYPERLINK("https://fin.land.naver.com/articles/2653881055", "매물Link")</f>
        <v/>
      </c>
      <c r="M773" s="6">
        <f>HYPERLINK("https://map.naver.com/p/search/남이면 가마리 149-1", "지도Link")</f>
        <v/>
      </c>
      <c r="N773" s="6">
        <f>HYPERLINK("http://www.eum.go.kr/web/ar/lu/luLandDet.jsp?pnu=4311231038101490001&amp;isNoScr=script&amp;mode=search", "토지이음")</f>
        <v/>
      </c>
      <c r="O773" s="3" t="inlineStr">
        <is>
          <t>산들</t>
        </is>
      </c>
      <c r="P773" s="4" t="n">
        <v>1</v>
      </c>
      <c r="Q773" s="4" t="n">
        <v>645</v>
      </c>
      <c r="R773" s="3" t="inlineStr">
        <is>
          <t>지정되지않음</t>
        </is>
      </c>
      <c r="S773" s="3" t="inlineStr">
        <is>
          <t>상업용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남이면 가마리 156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250000</v>
      </c>
      <c r="G774" s="4" t="n">
        <v>5481</v>
      </c>
      <c r="H774" s="4" t="n">
        <v>1658</v>
      </c>
      <c r="I774" s="5" t="n">
        <v>150.8</v>
      </c>
      <c r="J774" s="5" t="n">
        <v>69.3</v>
      </c>
      <c r="K774" s="3" t="inlineStr">
        <is>
          <t>남이면 가마리에 위치한 토지 매매</t>
        </is>
      </c>
      <c r="L774" s="6">
        <f>HYPERLINK("https://fin.land.naver.com/articles/2651761333", "매물Link")</f>
        <v/>
      </c>
      <c r="M774" s="6">
        <f>HYPERLINK("https://map.naver.com/p/search/남이면 가마리 156", "지도Link")</f>
        <v/>
      </c>
      <c r="N774" s="6">
        <f>HYPERLINK("http://www.eum.go.kr/web/ar/lu/luLandDet.jsp?pnu=4311231038101560000&amp;isNoScr=script&amp;mode=search", "토지이음")</f>
        <v/>
      </c>
      <c r="O774" s="3" t="inlineStr">
        <is>
          <t>대지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가마리 160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67000</v>
      </c>
      <c r="G775" s="4" t="n">
        <v>1104</v>
      </c>
      <c r="H775" s="4" t="n">
        <v>334</v>
      </c>
      <c r="I775" s="5" t="n">
        <v>200.6</v>
      </c>
      <c r="J775" s="5" t="n">
        <v>58.5</v>
      </c>
      <c r="K775" s="3" t="inlineStr">
        <is>
          <t>사진 有, 토목공사 일부 완료된 공장용지 334형 매매</t>
        </is>
      </c>
      <c r="L775" s="6">
        <f>HYPERLINK("https://fin.land.naver.com/articles/2651813817", "매물Link")</f>
        <v/>
      </c>
      <c r="M775" s="6">
        <f>HYPERLINK("https://map.naver.com/p/search/남이면 가마리 160", "지도Link")</f>
        <v/>
      </c>
      <c r="N775" s="6">
        <f>HYPERLINK("http://www.eum.go.kr/web/ar/lu/luLandDet.jsp?pnu=4311231038101600000&amp;isNoScr=script&amp;mode=search", "토지이음")</f>
        <v/>
      </c>
      <c r="O775" s="3" t="inlineStr">
        <is>
          <t>태성</t>
        </is>
      </c>
      <c r="P775" s="4" t="n">
        <v>1</v>
      </c>
      <c r="Q775" s="4" t="n">
        <v>2787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168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48000</v>
      </c>
      <c r="G777" s="4" t="n">
        <v>1223</v>
      </c>
      <c r="H777" s="4" t="n">
        <v>370</v>
      </c>
      <c r="I777" s="5" t="n">
        <v>129.7</v>
      </c>
      <c r="J777" s="5" t="n">
        <v>46.8</v>
      </c>
      <c r="K777" s="3" t="inlineStr">
        <is>
          <t>자연녹지, 가마리 경지좋고 공기 좋아요, 주말농장으로 강추입니다.</t>
        </is>
      </c>
      <c r="L777" s="6">
        <f>HYPERLINK("https://fin.land.naver.com/articles/2654786841", "매물Link")</f>
        <v/>
      </c>
      <c r="M777" s="6">
        <f>HYPERLINK("https://map.naver.com/p/search/남이면 가마리 168", "지도Link")</f>
        <v/>
      </c>
      <c r="N777" s="6">
        <f>HYPERLINK("http://www.eum.go.kr/web/ar/lu/luLandDet.jsp?pnu=4311231038101680000&amp;isNoScr=script&amp;mode=search", "토지이음")</f>
        <v/>
      </c>
      <c r="O777" s="3" t="inlineStr">
        <is>
          <t>지웰사랑합동사무소</t>
        </is>
      </c>
      <c r="P777" s="4" t="n">
        <v>1</v>
      </c>
      <c r="Q777" s="4" t="n">
        <v>1223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남이면 가마리 168-3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47250</v>
      </c>
      <c r="G778" s="4" t="n">
        <v>1041</v>
      </c>
      <c r="H778" s="4" t="n">
        <v>315</v>
      </c>
      <c r="I778" s="5" t="n">
        <v>150</v>
      </c>
      <c r="J778" s="5" t="n">
        <v>46.8</v>
      </c>
      <c r="K778" s="3" t="inlineStr">
        <is>
          <t>투자용 농지로 추천드리며,도로접해있고 옆에 개울도 있습니다</t>
        </is>
      </c>
      <c r="L778" s="6">
        <f>HYPERLINK("https://fin.land.naver.com/articles/2653080924", "매물Link")</f>
        <v/>
      </c>
      <c r="M778" s="6">
        <f>HYPERLINK("https://map.naver.com/p/search/남이면 가마리 168-3", "지도Link")</f>
        <v/>
      </c>
      <c r="N778" s="6">
        <f>HYPERLINK("http://www.eum.go.kr/web/ar/lu/luLandDet.jsp?pnu=4311231038101680003&amp;isNoScr=script&amp;mode=search", "토지이음")</f>
        <v/>
      </c>
      <c r="O778" s="3" t="inlineStr">
        <is>
          <t>대성합동사무소</t>
        </is>
      </c>
      <c r="P778" s="4" t="n">
        <v>1</v>
      </c>
      <c r="Q778" s="4" t="n">
        <v>1041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180-2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전</t>
        </is>
      </c>
      <c r="E779" s="3" t="inlineStr">
        <is>
          <t>매매</t>
        </is>
      </c>
      <c r="F779" s="4" t="n">
        <v>49100</v>
      </c>
      <c r="G779" s="4" t="n">
        <v>2701</v>
      </c>
      <c r="H779" s="4" t="n">
        <v>817</v>
      </c>
      <c r="I779" s="5" t="n">
        <v>60.1</v>
      </c>
      <c r="J779" s="5" t="n">
        <v>48.1</v>
      </c>
      <c r="K779" s="3" t="inlineStr">
        <is>
          <t>진입도로 있어  경작하기 좋습니다.</t>
        </is>
      </c>
      <c r="L779" s="6">
        <f>HYPERLINK("https://fin.land.naver.com/articles/2653260647", "매물Link")</f>
        <v/>
      </c>
      <c r="M779" s="6">
        <f>HYPERLINK("https://map.naver.com/p/search/남이면 가마리 180-2", "지도Link")</f>
        <v/>
      </c>
      <c r="N779" s="6">
        <f>HYPERLINK("http://www.eum.go.kr/web/ar/lu/luLandDet.jsp?pnu=4311231038101800002&amp;isNoScr=script&amp;mode=search", "토지이음")</f>
        <v/>
      </c>
      <c r="O779" s="3" t="inlineStr">
        <is>
          <t>파트너아이파크</t>
        </is>
      </c>
      <c r="P779" s="4" t="n">
        <v>1</v>
      </c>
      <c r="Q779" s="4" t="n">
        <v>2701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가마리 182-2</t>
        </is>
      </c>
      <c r="B780" s="3" t="inlineStr">
        <is>
          <t>보전녹지지역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29000</v>
      </c>
      <c r="G780" s="4" t="n">
        <v>1157</v>
      </c>
      <c r="H780" s="4" t="n">
        <v>350</v>
      </c>
      <c r="I780" s="5" t="n">
        <v>82.90000000000001</v>
      </c>
      <c r="J780" s="5" t="n">
        <v>26.1</v>
      </c>
      <c r="K780" s="3" t="inlineStr">
        <is>
          <t>2순환도로 가마삼거리에서 가까운 전원주택지</t>
        </is>
      </c>
      <c r="L780" s="6">
        <f>HYPERLINK("https://fin.land.naver.com/articles/2653497885", "매물Link")</f>
        <v/>
      </c>
      <c r="M780" s="6">
        <f>HYPERLINK("https://map.naver.com/p/search/남이면 가마리 182-2", "지도Link")</f>
        <v/>
      </c>
      <c r="N780" s="6">
        <f>HYPERLINK("http://www.eum.go.kr/web/ar/lu/luLandDet.jsp?pnu=4311231038101820002&amp;isNoScr=script&amp;mode=search", "토지이음")</f>
        <v/>
      </c>
      <c r="O780" s="3" t="inlineStr">
        <is>
          <t>청주114</t>
        </is>
      </c>
      <c r="P780" s="4" t="n">
        <v>1</v>
      </c>
      <c r="Q780" s="4" t="n">
        <v>1142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가마리 190-1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107360</v>
      </c>
      <c r="G781" s="4" t="n">
        <v>4436</v>
      </c>
      <c r="H781" s="4" t="n">
        <v>1342</v>
      </c>
      <c r="I781" s="5" t="n">
        <v>80</v>
      </c>
      <c r="J781" s="5" t="n">
        <v>41.8</v>
      </c>
      <c r="K781" s="3" t="inlineStr">
        <is>
          <t>양촌jc 인근 시세보다 저렴한 투자용 토지</t>
        </is>
      </c>
      <c r="L781" s="6">
        <f>HYPERLINK("https://fin.land.naver.com/articles/2654622382", "매물Link")</f>
        <v/>
      </c>
      <c r="M781" s="6">
        <f>HYPERLINK("https://map.naver.com/p/search/남이면 가마리 190-1", "지도Link")</f>
        <v/>
      </c>
      <c r="N781" s="6">
        <f>HYPERLINK("http://www.eum.go.kr/web/ar/lu/luLandDet.jsp?pnu=4311231038101900001&amp;isNoScr=script&amp;mode=search", "토지이음")</f>
        <v/>
      </c>
      <c r="O781" s="3" t="inlineStr">
        <is>
          <t>토담</t>
        </is>
      </c>
      <c r="P781" s="4" t="n">
        <v>1</v>
      </c>
      <c r="Q781" s="4" t="n">
        <v>1355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남이면 가마리 234-2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115000</v>
      </c>
      <c r="G782" s="4" t="n">
        <v>1061</v>
      </c>
      <c r="H782" s="4" t="n">
        <v>321</v>
      </c>
      <c r="I782" s="5" t="n">
        <v>358.3</v>
      </c>
      <c r="J782" s="5" t="n">
        <v>74.2</v>
      </c>
      <c r="K782" s="3" t="inlineStr">
        <is>
          <t>2차우회도로접   상가  근생용지</t>
        </is>
      </c>
      <c r="L782" s="6">
        <f>HYPERLINK("https://fin.land.naver.com/articles/2652150694", "매물Link")</f>
        <v/>
      </c>
      <c r="M782" s="6">
        <f>HYPERLINK("https://map.naver.com/p/search/남이면 가마리 234-2", "지도Link")</f>
        <v/>
      </c>
      <c r="N782" s="6">
        <f>HYPERLINK("http://www.eum.go.kr/web/ar/lu/luLandDet.jsp?pnu=4311231038102340002&amp;isNoScr=script&amp;mode=search", "토지이음")</f>
        <v/>
      </c>
      <c r="O782" s="3" t="inlineStr">
        <is>
          <t>대길</t>
        </is>
      </c>
      <c r="P782" s="4" t="n">
        <v>1</v>
      </c>
      <c r="Q782" s="4" t="n">
        <v>476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235-5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55000</v>
      </c>
      <c r="G783" s="4" t="n">
        <v>585</v>
      </c>
      <c r="H783" s="4" t="n">
        <v>177</v>
      </c>
      <c r="I783" s="5" t="n">
        <v>310.7</v>
      </c>
      <c r="J783" s="5" t="n">
        <v>102.4</v>
      </c>
      <c r="K783" s="3" t="inlineStr">
        <is>
          <t>nan</t>
        </is>
      </c>
      <c r="L783" s="6">
        <f>HYPERLINK("https://fin.land.naver.com/articles/2651710388", "매물Link")</f>
        <v/>
      </c>
      <c r="M783" s="6">
        <f>HYPERLINK("https://map.naver.com/p/search/남이면 가마리 235-5", "지도Link")</f>
        <v/>
      </c>
      <c r="N783" s="6">
        <f>HYPERLINK("http://www.eum.go.kr/web/ar/lu/luLandDet.jsp?pnu=4311231038102350005&amp;isNoScr=script&amp;mode=search",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355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광대로한면</t>
        </is>
      </c>
    </row>
    <row r="784">
      <c r="A784" s="3" t="inlineStr">
        <is>
          <t>남이면 가마리 24-2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230000</v>
      </c>
      <c r="G784" s="4" t="n">
        <v>1293</v>
      </c>
      <c r="H784" s="4" t="n">
        <v>391</v>
      </c>
      <c r="I784" s="5" t="n">
        <v>588.2</v>
      </c>
      <c r="J784" s="5" t="n">
        <v>100.9</v>
      </c>
      <c r="K784" s="3" t="inlineStr">
        <is>
          <t>가마리 가마교차로인근 6차선도로변접 대로변에 길게 접함</t>
        </is>
      </c>
      <c r="L784" s="6">
        <f>HYPERLINK("https://fin.land.naver.com/articles/2651209994", "매물Link")</f>
        <v/>
      </c>
      <c r="M784" s="6">
        <f>HYPERLINK("https://map.naver.com/p/search/남이면 가마리 24-2", "지도Link")</f>
        <v/>
      </c>
      <c r="N784" s="6">
        <f>HYPERLINK("http://www.eum.go.kr/web/ar/lu/luLandDet.jsp?pnu=4311231038100240002&amp;isNoScr=script&amp;mode=search", "토지이음")</f>
        <v/>
      </c>
      <c r="O784" s="3" t="inlineStr">
        <is>
          <t>프라임</t>
        </is>
      </c>
      <c r="P784" s="4" t="n">
        <v>1</v>
      </c>
      <c r="Q784" s="4" t="n">
        <v>1054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중로한면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남이 가마교차로 인근 도로, 자연녹지, 건축 투자 등 다양한 용도 가능</t>
        </is>
      </c>
      <c r="L785" s="6">
        <f>HYPERLINK("https://fin.land.naver.com/articles/2655291476",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라인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최근 개발되고 있는 신분평지구인근으로 다양한 용도 가능한 귀한매물</t>
        </is>
      </c>
      <c r="L786" s="6">
        <f>HYPERLINK("https://fin.land.naver.com/articles/2655209726",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청주원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264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105000</v>
      </c>
      <c r="G789" s="4" t="n">
        <v>1739</v>
      </c>
      <c r="H789" s="4" t="n">
        <v>526</v>
      </c>
      <c r="I789" s="5" t="n">
        <v>199.6</v>
      </c>
      <c r="J789" s="5" t="n">
        <v>58.5</v>
      </c>
      <c r="K789" s="3" t="inlineStr">
        <is>
          <t>nan</t>
        </is>
      </c>
      <c r="L789" s="6">
        <f>HYPERLINK("https://fin.land.naver.com/articles/2651061295", "매물Link")</f>
        <v/>
      </c>
      <c r="M789" s="6">
        <f>HYPERLINK("https://map.naver.com/p/search/남이면 가마리 264", "지도Link")</f>
        <v/>
      </c>
      <c r="N789" s="6">
        <f>HYPERLINK("http://www.eum.go.kr/web/ar/lu/luLandDet.jsp?pnu=4311231038102640000&amp;isNoScr=script&amp;mode=search", "토지이음")</f>
        <v/>
      </c>
      <c r="O789" s="3" t="inlineStr">
        <is>
          <t>행복도시</t>
        </is>
      </c>
      <c r="P789" s="4" t="n">
        <v>1</v>
      </c>
      <c r="Q789" s="4" t="n">
        <v>1343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296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31200</v>
      </c>
      <c r="G790" s="4" t="n">
        <v>863</v>
      </c>
      <c r="H790" s="4" t="n">
        <v>261</v>
      </c>
      <c r="I790" s="5" t="n">
        <v>119.5</v>
      </c>
      <c r="J790" s="5" t="n">
        <v>34.9</v>
      </c>
      <c r="K790" s="3" t="inlineStr">
        <is>
          <t>도심 가까운 최고의 입지, 자연녹지, 취락지구, 제2순환도로 인접</t>
        </is>
      </c>
      <c r="L790" s="6">
        <f>HYPERLINK("https://fin.land.naver.com/articles/2654786142", "매물Link")</f>
        <v/>
      </c>
      <c r="M790" s="6">
        <f>HYPERLINK("https://map.naver.com/p/search/남이면 가마리 296", "지도Link")</f>
        <v/>
      </c>
      <c r="N790" s="6">
        <f>HYPERLINK("http://www.eum.go.kr/web/ar/lu/luLandDet.jsp?pnu=4311231038102960000&amp;isNoScr=script&amp;mode=search", "토지이음")</f>
        <v/>
      </c>
      <c r="O790" s="3" t="inlineStr">
        <is>
          <t>지웰사랑합동사무소</t>
        </is>
      </c>
      <c r="P790" s="4" t="n">
        <v>1</v>
      </c>
      <c r="Q790" s="4" t="n">
        <v>863</v>
      </c>
      <c r="R790" s="3" t="inlineStr">
        <is>
          <t>보전녹지지역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가마리 301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290000</v>
      </c>
      <c r="G791" s="4" t="n">
        <v>4720</v>
      </c>
      <c r="H791" s="4" t="n">
        <v>1428</v>
      </c>
      <c r="I791" s="5" t="n">
        <v>203.1</v>
      </c>
      <c r="J791" s="5" t="n">
        <v>59.7</v>
      </c>
      <c r="K791" s="3" t="inlineStr">
        <is>
          <t>제2순환로에서 250미터 인접한  자연녹지,자연취락지구</t>
        </is>
      </c>
      <c r="L791" s="6">
        <f>HYPERLINK("https://fin.land.naver.com/articles/2650856471", "매물Link")</f>
        <v/>
      </c>
      <c r="M791" s="6">
        <f>HYPERLINK("https://map.naver.com/p/search/남이면 가마리 301", "지도Link")</f>
        <v/>
      </c>
      <c r="N791" s="6">
        <f>HYPERLINK("http://www.eum.go.kr/web/ar/lu/luLandDet.jsp?pnu=4311231038103010000&amp;isNoScr=script&amp;mode=search", "토지이음")</f>
        <v/>
      </c>
      <c r="O791" s="3" t="inlineStr">
        <is>
          <t>강산</t>
        </is>
      </c>
      <c r="P791" s="4" t="n">
        <v>1</v>
      </c>
      <c r="Q791" s="4" t="n">
        <v>4720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세로각지(가)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68502</v>
      </c>
      <c r="G792" s="4" t="n">
        <v>2311</v>
      </c>
      <c r="H792" s="4" t="n">
        <v>699</v>
      </c>
      <c r="I792" s="5" t="n">
        <v>98</v>
      </c>
      <c r="J792" s="5" t="n">
        <v>98.09999999999999</v>
      </c>
      <c r="K792" s="3" t="inlineStr">
        <is>
          <t>가마리 자연취락지구, 대지</t>
        </is>
      </c>
      <c r="L792" s="6">
        <f>HYPERLINK("https://fin.land.naver.com/articles/2654622248",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토담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104850</v>
      </c>
      <c r="G793" s="4" t="n">
        <v>2310</v>
      </c>
      <c r="H793" s="4" t="n">
        <v>699</v>
      </c>
      <c r="I793" s="5" t="n">
        <v>150</v>
      </c>
      <c r="J793" s="5" t="n">
        <v>98.09999999999999</v>
      </c>
      <c r="K793" s="3" t="inlineStr">
        <is>
          <t>양촌jc에서 반경1.6km이내 풀스윙배팅센터 인근 조용한곳</t>
        </is>
      </c>
      <c r="L793" s="6">
        <f>HYPERLINK("https://fin.land.naver.com/articles/2651484070",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윤슬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342-2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60000</v>
      </c>
      <c r="G794" s="4" t="n">
        <v>1288</v>
      </c>
      <c r="H794" s="4" t="n">
        <v>390</v>
      </c>
      <c r="I794" s="5" t="n">
        <v>153.8</v>
      </c>
      <c r="J794" s="5" t="n">
        <v>88.2</v>
      </c>
      <c r="K794" s="3" t="inlineStr">
        <is>
          <t>2순환로 접근성 좋은 토지매매</t>
        </is>
      </c>
      <c r="L794" s="6">
        <f>HYPERLINK("https://fin.land.naver.com/articles/2651121463", "매물Link")</f>
        <v/>
      </c>
      <c r="M794" s="6">
        <f>HYPERLINK("https://map.naver.com/p/search/남이면 가마리 342-2", "지도Link")</f>
        <v/>
      </c>
      <c r="N794" s="6">
        <f>HYPERLINK("http://www.eum.go.kr/web/ar/lu/luLandDet.jsp?pnu=4311231038103420002&amp;isNoScr=script&amp;mode=search", "토지이음")</f>
        <v/>
      </c>
      <c r="O794" s="3" t="inlineStr">
        <is>
          <t>원탑</t>
        </is>
      </c>
      <c r="P794" s="4" t="n">
        <v>1</v>
      </c>
      <c r="Q794" s="4" t="n">
        <v>1288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산 6-7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29750</v>
      </c>
      <c r="G795" s="4" t="n">
        <v>578</v>
      </c>
      <c r="H795" s="4" t="n">
        <v>175</v>
      </c>
      <c r="I795" s="5" t="n">
        <v>170</v>
      </c>
      <c r="J795" s="5" t="n">
        <v>50.9</v>
      </c>
      <c r="K795" s="3" t="inlineStr">
        <is>
          <t>건축허가및 토목이 완료된 전원주택지</t>
        </is>
      </c>
      <c r="L795" s="6">
        <f>HYPERLINK("https://fin.land.naver.com/articles/2655098316", "매물Link")</f>
        <v/>
      </c>
      <c r="M795" s="6">
        <f>HYPERLINK("https://map.naver.com/p/search/남이면 가마리 산 6-7", "지도Link")</f>
        <v/>
      </c>
      <c r="N795" s="6">
        <f>HYPERLINK("http://www.eum.go.kr/web/ar/lu/luLandDet.jsp?pnu=4311231038200060007&amp;isNoScr=script&amp;mode=search", "토지이음")</f>
        <v/>
      </c>
      <c r="O795" s="3" t="inlineStr">
        <is>
          <t>플러스태양</t>
        </is>
      </c>
      <c r="P795" s="4" t="n">
        <v>1</v>
      </c>
      <c r="Q795" s="4" t="n">
        <v>533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세로각지(가)</t>
        </is>
      </c>
    </row>
    <row r="796">
      <c r="A796" s="3" t="inlineStr">
        <is>
          <t>남이면 가마리 산6-6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45000</v>
      </c>
      <c r="G796" s="4" t="n">
        <v>876</v>
      </c>
      <c r="H796" s="4" t="n">
        <v>265</v>
      </c>
      <c r="I796" s="5" t="n">
        <v>169.8</v>
      </c>
      <c r="J796" s="5" t="n">
        <v>41.7</v>
      </c>
      <c r="K796" s="3" t="inlineStr">
        <is>
          <t>청주 서원 남이 가마리 2순환로 인근 전원주택용지 매매, 다양한면적 보유</t>
        </is>
      </c>
      <c r="L796" s="6">
        <f>HYPERLINK("https://fin.land.naver.com/articles/2655195032", "매물Link")</f>
        <v/>
      </c>
      <c r="M796" s="6">
        <f>HYPERLINK("https://map.naver.com/p/search/남이면 가마리 산6-6", "지도Link")</f>
        <v/>
      </c>
      <c r="N796" s="6">
        <f>HYPERLINK("http://www.eum.go.kr/web/ar/lu/luLandDet.jsp?pnu=4311231038200060006&amp;isNoScr=script&amp;mode=search", "토지이음")</f>
        <v/>
      </c>
      <c r="O796" s="3" t="inlineStr">
        <is>
          <t>라인</t>
        </is>
      </c>
      <c r="P796" s="4" t="n">
        <v>1</v>
      </c>
      <c r="Q796" s="4" t="n">
        <v>678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세로한면(불)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37000</v>
      </c>
      <c r="G797" s="4" t="n">
        <v>1170</v>
      </c>
      <c r="H797" s="4" t="n">
        <v>354</v>
      </c>
      <c r="I797" s="5" t="n">
        <v>104.5</v>
      </c>
      <c r="J797" s="5" t="n">
        <v>26.8</v>
      </c>
      <c r="K797" s="3" t="inlineStr">
        <is>
          <t>시내 인접토지.창고, 공장. 주말농장</t>
        </is>
      </c>
      <c r="L797" s="6">
        <f>HYPERLINK("https://fin.land.naver.com/articles/2653502250",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둥지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28400</v>
      </c>
      <c r="G798" s="4" t="n">
        <v>1174</v>
      </c>
      <c r="H798" s="4" t="n">
        <v>355</v>
      </c>
      <c r="I798" s="5" t="n">
        <v>80</v>
      </c>
      <c r="J798" s="5" t="n">
        <v>26.8</v>
      </c>
      <c r="K798" s="3" t="inlineStr">
        <is>
          <t>2차선 도로에 접한 자연녹지지역의 전원주택 및 근린생활용지</t>
        </is>
      </c>
      <c r="L798" s="6">
        <f>HYPERLINK("https://fin.land.naver.com/articles/2655486804",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강문구</t>
        </is>
      </c>
      <c r="P798" s="4" t="n">
        <v>2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HYPERLINK("https://fin.land.naver.com/articles/2650047649",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HYPERLINK("https://fin.land.naver.com/articles/2650782580",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HYPERLINK("https://fin.land.naver.com/articles/2655253660",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HYPERLINK("https://fin.land.naver.com/articles/2652455294",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235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200000</v>
      </c>
      <c r="G807" s="4" t="n">
        <v>3130</v>
      </c>
      <c r="H807" s="4" t="n">
        <v>947</v>
      </c>
      <c r="I807" s="5" t="n">
        <v>211.2</v>
      </c>
      <c r="J807" s="5" t="n">
        <v>96.59999999999999</v>
      </c>
      <c r="K807" s="3" t="inlineStr">
        <is>
          <t>1층식당, 2층 주택, 대전 청주 17번 국도변에 위치</t>
        </is>
      </c>
      <c r="L807" s="6">
        <f>HYPERLINK("https://fin.land.naver.com/articles/2653353135", "매물Link")</f>
        <v/>
      </c>
      <c r="M807" s="6">
        <f>HYPERLINK("https://map.naver.com/p/search/남이면 가좌리 235", "지도Link")</f>
        <v/>
      </c>
      <c r="N807" s="6">
        <f>HYPERLINK("http://www.eum.go.kr/web/ar/lu/luLandDet.jsp?pnu=4311231036102350000&amp;isNoScr=script&amp;mode=search", "토지이음")</f>
        <v/>
      </c>
      <c r="O807" s="3" t="inlineStr">
        <is>
          <t>황제</t>
        </is>
      </c>
      <c r="P807" s="4" t="n">
        <v>1</v>
      </c>
      <c r="Q807" s="4" t="n">
        <v>3130</v>
      </c>
      <c r="R807" s="3" t="inlineStr">
        <is>
          <t>지정되지않음</t>
        </is>
      </c>
      <c r="S807" s="3" t="inlineStr">
        <is>
          <t>상업용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가좌리 259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130000</v>
      </c>
      <c r="G808" s="4" t="n">
        <v>1237</v>
      </c>
      <c r="H808" s="4" t="n">
        <v>374</v>
      </c>
      <c r="I808" s="5" t="n">
        <v>347.6</v>
      </c>
      <c r="J808" s="5" t="n">
        <v>31.6</v>
      </c>
      <c r="K808" s="3" t="inlineStr">
        <is>
          <t>가시성 뛰어난 토지. 4차선 도로접</t>
        </is>
      </c>
      <c r="L808" s="6">
        <f>HYPERLINK("https://fin.land.naver.com/articles/2655152383", "매물Link")</f>
        <v/>
      </c>
      <c r="M808" s="6">
        <f>HYPERLINK("https://map.naver.com/p/search/남이면 가좌리 259", "지도Link")</f>
        <v/>
      </c>
      <c r="N808" s="6">
        <f>HYPERLINK("http://www.eum.go.kr/web/ar/lu/luLandDet.jsp?pnu=4311231036102590000&amp;isNoScr=script&amp;mode=search", "토지이음")</f>
        <v/>
      </c>
      <c r="O808" s="3" t="inlineStr">
        <is>
          <t>터</t>
        </is>
      </c>
      <c r="P808" s="4" t="n">
        <v>2</v>
      </c>
      <c r="Q808" s="4" t="n">
        <v>1237</v>
      </c>
      <c r="R808" s="3" t="inlineStr">
        <is>
          <t>보전녹지지역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중로한면</t>
        </is>
      </c>
    </row>
    <row r="809">
      <c r="A809" s="3" t="inlineStr">
        <is>
          <t>남이면 가좌리 259</t>
        </is>
      </c>
      <c r="B809" s="3" t="inlineStr">
        <is>
          <t>자연녹지지역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100000</v>
      </c>
      <c r="G809" s="4" t="n">
        <v>1237</v>
      </c>
      <c r="H809" s="4" t="n">
        <v>374</v>
      </c>
      <c r="I809" s="5" t="n">
        <v>267.4</v>
      </c>
      <c r="J809" s="5" t="n">
        <v>31.6</v>
      </c>
      <c r="K809" s="3" t="inlineStr">
        <is>
          <t>남이면 가좌리 광고효과 좋은 대로변 토지 매매.</t>
        </is>
      </c>
      <c r="L809" s="6">
        <f>HYPERLINK("https://fin.land.naver.com/articles/2654154168", "매물Link")</f>
        <v/>
      </c>
      <c r="M809" s="6">
        <f>HYPERLINK("https://map.naver.com/p/search/남이면 가좌리 259", "지도Link")</f>
        <v/>
      </c>
      <c r="N809" s="6">
        <f>HYPERLINK("http://www.eum.go.kr/web/ar/lu/luLandDet.jsp?pnu=4311231036102590000&amp;isNoScr=script&amp;mode=search", "토지이음")</f>
        <v/>
      </c>
      <c r="O809" s="3" t="inlineStr">
        <is>
          <t>방서에이스</t>
        </is>
      </c>
      <c r="P809" s="4" t="n">
        <v>2</v>
      </c>
      <c r="Q809" s="4" t="n">
        <v>1237</v>
      </c>
      <c r="R809" s="3" t="inlineStr">
        <is>
          <t>보전녹지지역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남이면 가좌리 308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110000</v>
      </c>
      <c r="G810" s="4" t="n">
        <v>4692</v>
      </c>
      <c r="H810" s="4" t="n">
        <v>1419</v>
      </c>
      <c r="I810" s="5" t="n">
        <v>77.5</v>
      </c>
      <c r="J810" s="5" t="n">
        <v>25.1</v>
      </c>
      <c r="K810" s="3" t="inlineStr">
        <is>
          <t>남이면 가좌리 토목공사 완료된 토지 매매.제조업가능.</t>
        </is>
      </c>
      <c r="L810" s="6">
        <f>HYPERLINK("https://fin.land.naver.com/articles/2655568607", "매물Link")</f>
        <v/>
      </c>
      <c r="M810" s="6">
        <f>HYPERLINK("https://map.naver.com/p/search/남이면 가좌리 308", "지도Link")</f>
        <v/>
      </c>
      <c r="N810" s="6">
        <f>HYPERLINK("http://www.eum.go.kr/web/ar/lu/luLandDet.jsp?pnu=4311231036103080000&amp;isNoScr=script&amp;mode=search", "토지이음")</f>
        <v/>
      </c>
      <c r="O810" s="3" t="inlineStr">
        <is>
          <t>방서에이스</t>
        </is>
      </c>
      <c r="P810" s="4" t="n">
        <v>1</v>
      </c>
      <c r="Q810" s="4" t="n">
        <v>1711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가좌리 54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46600</v>
      </c>
      <c r="G811" s="4" t="n">
        <v>2371</v>
      </c>
      <c r="H811" s="4" t="n">
        <v>717</v>
      </c>
      <c r="I811" s="5" t="n">
        <v>65</v>
      </c>
      <c r="J811" s="5" t="n">
        <v>24</v>
      </c>
      <c r="K811" s="3" t="inlineStr">
        <is>
          <t>nan</t>
        </is>
      </c>
      <c r="L811" s="6">
        <f>HYPERLINK("https://fin.land.naver.com/articles/2651710438", "매물Link")</f>
        <v/>
      </c>
      <c r="M811" s="6">
        <f>HYPERLINK("https://map.naver.com/p/search/남이면 가좌리 54", "지도Link")</f>
        <v/>
      </c>
      <c r="N811" s="6">
        <f>HYPERLINK("http://www.eum.go.kr/web/ar/lu/luLandDet.jsp?pnu=4311231036100540000&amp;isNoScr=script&amp;mode=search", "토지이음")</f>
        <v/>
      </c>
      <c r="O811" s="3" t="inlineStr">
        <is>
          <t>대길</t>
        </is>
      </c>
      <c r="P811" s="4" t="n">
        <v>1</v>
      </c>
      <c r="Q811" s="4" t="n">
        <v>2371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가좌리 63-9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136000</v>
      </c>
      <c r="G812" s="4" t="n">
        <v>2811</v>
      </c>
      <c r="H812" s="4" t="n">
        <v>850</v>
      </c>
      <c r="I812" s="5" t="n">
        <v>160</v>
      </c>
      <c r="J812" s="5" t="n">
        <v>42.1</v>
      </c>
      <c r="K812" s="3" t="inlineStr">
        <is>
          <t>투자용,창고용,캠핑카수리전무점,등 추전 매매13억6천,조절가능합니다</t>
        </is>
      </c>
      <c r="L812" s="6">
        <f>HYPERLINK("https://fin.land.naver.com/articles/2655597129", "매물Link")</f>
        <v/>
      </c>
      <c r="M812" s="6">
        <f>HYPERLINK("https://map.naver.com/p/search/남이면 가좌리 63-9", "지도Link")</f>
        <v/>
      </c>
      <c r="N812" s="6">
        <f>HYPERLINK("http://www.eum.go.kr/web/ar/lu/luLandDet.jsp?pnu=4311231036100630009&amp;isNoScr=script&amp;mode=search", "토지이음")</f>
        <v/>
      </c>
      <c r="O812" s="3" t="inlineStr">
        <is>
          <t>SB</t>
        </is>
      </c>
      <c r="P812" s="4" t="n">
        <v>1</v>
      </c>
      <c r="Q812" s="4" t="n">
        <v>2811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97-2</t>
        </is>
      </c>
      <c r="B813" s="3" t="inlineStr">
        <is>
          <t>자연녹지지역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655</v>
      </c>
      <c r="H813" s="4" t="n">
        <v>198</v>
      </c>
      <c r="I813" s="5" t="n">
        <v>176.8</v>
      </c>
      <c r="J813" s="5" t="n">
        <v>69.7</v>
      </c>
      <c r="K813" s="3" t="inlineStr">
        <is>
          <t>2차선 도로접한 나대지 토지로 활용도 높음</t>
        </is>
      </c>
      <c r="L813" s="6">
        <f>HYPERLINK("https://fin.land.naver.com/articles/2655210183", "매물Link")</f>
        <v/>
      </c>
      <c r="M813" s="6">
        <f>HYPERLINK("https://map.naver.com/p/search/남이면 가좌리 97-2", "지도Link")</f>
        <v/>
      </c>
      <c r="N813" s="6">
        <f>HYPERLINK("http://www.eum.go.kr/web/ar/lu/luLandDet.jsp?pnu=4311231036100970002&amp;isNoScr=script&amp;mode=search", "토지이음")</f>
        <v/>
      </c>
      <c r="O813" s="3" t="inlineStr">
        <is>
          <t>청주원</t>
        </is>
      </c>
      <c r="P813" s="4" t="n">
        <v>2</v>
      </c>
      <c r="Q813" s="4" t="n">
        <v>655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소로각지</t>
        </is>
      </c>
    </row>
    <row r="814">
      <c r="A814" s="3" t="inlineStr">
        <is>
          <t>남이면 가좌리 산 70-3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131800</v>
      </c>
      <c r="G814" s="4" t="n">
        <v>4990</v>
      </c>
      <c r="H814" s="4" t="n">
        <v>1509</v>
      </c>
      <c r="I814" s="5" t="n">
        <v>87.3</v>
      </c>
      <c r="J814" s="5" t="n">
        <v>3.7</v>
      </c>
      <c r="K814" s="3" t="inlineStr">
        <is>
          <t>사진 有 남청주ic구 청원ic 8분 접근성 좋은 창고부지</t>
        </is>
      </c>
      <c r="L814" s="6">
        <f>HYPERLINK("https://fin.land.naver.com/articles/2650890338", "매물Link")</f>
        <v/>
      </c>
      <c r="M814" s="6">
        <f>HYPERLINK("https://map.naver.com/p/search/남이면 가좌리 산 70-3", "지도Link")</f>
        <v/>
      </c>
      <c r="N814" s="6">
        <f>HYPERLINK("http://www.eum.go.kr/web/ar/lu/luLandDet.jsp?pnu=4311231036200700003&amp;isNoScr=script&amp;mode=search", "토지이음")</f>
        <v/>
      </c>
      <c r="O814" s="3" t="inlineStr">
        <is>
          <t>청주대장</t>
        </is>
      </c>
      <c r="P814" s="4" t="n">
        <v>1</v>
      </c>
      <c r="Q814" s="4" t="n">
        <v>2483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급경사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산63-22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11000</v>
      </c>
      <c r="G815" s="4" t="n">
        <v>409</v>
      </c>
      <c r="H815" s="4" t="n">
        <v>124</v>
      </c>
      <c r="I815" s="5" t="n">
        <v>88.7</v>
      </c>
      <c r="J815" s="5" t="n">
        <v>19.5</v>
      </c>
      <c r="K815" s="3" t="inlineStr">
        <is>
          <t>nan</t>
        </is>
      </c>
      <c r="L815" s="6">
        <f>HYPERLINK("https://fin.land.naver.com/articles/2652058035", "매물Link")</f>
        <v/>
      </c>
      <c r="M815" s="6">
        <f>HYPERLINK("https://map.naver.com/p/search/남이면 가좌리 산63-22", "지도Link")</f>
        <v/>
      </c>
      <c r="N815" s="6">
        <f>HYPERLINK("http://www.eum.go.kr/web/ar/lu/luLandDet.jsp?pnu=4311231036200630022&amp;isNoScr=script&amp;mode=search", "토지이음")</f>
        <v/>
      </c>
      <c r="O815" s="3" t="inlineStr">
        <is>
          <t>거림</t>
        </is>
      </c>
      <c r="P815" s="4" t="n">
        <v>1</v>
      </c>
      <c r="Q815" s="4" t="n">
        <v>282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남이면 갈원리 207-3</t>
        </is>
      </c>
      <c r="B816" s="3" t="inlineStr">
        <is>
          <t>계획관리지역</t>
        </is>
      </c>
      <c r="C816" s="3" t="inlineStr">
        <is>
          <t>주유소용지</t>
        </is>
      </c>
      <c r="D816" s="3" t="inlineStr">
        <is>
          <t>주유소용지</t>
        </is>
      </c>
      <c r="E816" s="3" t="inlineStr">
        <is>
          <t>매매</t>
        </is>
      </c>
      <c r="F816" s="4" t="n">
        <v>180000</v>
      </c>
      <c r="G816" s="4" t="n">
        <v>1805</v>
      </c>
      <c r="H816" s="4" t="n">
        <v>546</v>
      </c>
      <c r="I816" s="5" t="n">
        <v>329.7</v>
      </c>
      <c r="J816" s="5" t="n">
        <v>66.2</v>
      </c>
      <c r="K816" s="3" t="inlineStr">
        <is>
          <t>갈원리 계획관리지역의 위치 좋은 주유소용지 매매이예요</t>
        </is>
      </c>
      <c r="L816" s="6">
        <f>HYPERLINK("https://fin.land.naver.com/articles/2651068722", "매물Link")</f>
        <v/>
      </c>
      <c r="M816" s="6">
        <f>HYPERLINK("https://map.naver.com/p/search/남이면 갈원리 207-3", "지도Link")</f>
        <v/>
      </c>
      <c r="N816" s="6">
        <f>HYPERLINK("http://www.eum.go.kr/web/ar/lu/luLandDet.jsp?pnu=4311231029102070003&amp;isNoScr=script&amp;mode=search", "토지이음")</f>
        <v/>
      </c>
      <c r="O816" s="3" t="inlineStr">
        <is>
          <t>4989명품</t>
        </is>
      </c>
      <c r="P816" s="4" t="n">
        <v>1</v>
      </c>
      <c r="Q816" s="4" t="n">
        <v>1484</v>
      </c>
      <c r="R816" s="3" t="inlineStr">
        <is>
          <t>지정되지않음</t>
        </is>
      </c>
      <c r="S816" s="3" t="inlineStr">
        <is>
          <t>상업용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갈원리 276</t>
        </is>
      </c>
      <c r="B817" s="3" t="inlineStr">
        <is>
          <t>생산관리지역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15000</v>
      </c>
      <c r="G817" s="4" t="n">
        <v>1033</v>
      </c>
      <c r="H817" s="4" t="n">
        <v>312</v>
      </c>
      <c r="I817" s="5" t="n">
        <v>48.1</v>
      </c>
      <c r="J817" s="5" t="n">
        <v>12.8</v>
      </c>
      <c r="K817" s="3" t="inlineStr">
        <is>
          <t>전, 생산관리, 갈원초 남쪽 길건너 인근, 접근성 양호</t>
        </is>
      </c>
      <c r="L817" s="6">
        <f>HYPERLINK("https://fin.land.naver.com/articles/2654355044", "매물Link")</f>
        <v/>
      </c>
      <c r="M817" s="6">
        <f>HYPERLINK("https://map.naver.com/p/search/남이면 갈원리 276", "지도Link")</f>
        <v/>
      </c>
      <c r="N817" s="6">
        <f>HYPERLINK("http://www.eum.go.kr/web/ar/lu/luLandDet.jsp?pnu=4311231029102760000&amp;isNoScr=script&amp;mode=search", "토지이음")</f>
        <v/>
      </c>
      <c r="O817" s="3" t="inlineStr">
        <is>
          <t>서일</t>
        </is>
      </c>
      <c r="P817" s="4" t="n">
        <v>1</v>
      </c>
      <c r="Q817" s="4" t="n">
        <v>1033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갈원리 6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30000</v>
      </c>
      <c r="G818" s="4" t="n">
        <v>1907</v>
      </c>
      <c r="H818" s="4" t="n">
        <v>577</v>
      </c>
      <c r="I818" s="5" t="n">
        <v>52</v>
      </c>
      <c r="J818" s="5" t="n">
        <v>21.8</v>
      </c>
      <c r="K818" s="3" t="inlineStr">
        <is>
          <t>남이면 주말농장 소개해드립니다</t>
        </is>
      </c>
      <c r="L818" s="6">
        <f>HYPERLINK("https://fin.land.naver.com/articles/2651733436", "매물Link")</f>
        <v/>
      </c>
      <c r="M818" s="6">
        <f>HYPERLINK("https://map.naver.com/p/search/남이면 갈원리 6", "지도Link")</f>
        <v/>
      </c>
      <c r="N818" s="6">
        <f>HYPERLINK("http://www.eum.go.kr/web/ar/lu/luLandDet.jsp?pnu=4311231029100060000&amp;isNoScr=script&amp;mode=search", "토지이음")</f>
        <v/>
      </c>
      <c r="O818" s="3" t="inlineStr">
        <is>
          <t>이로운 사무소</t>
        </is>
      </c>
      <c r="P818" s="4" t="n">
        <v>1</v>
      </c>
      <c r="Q818" s="4" t="n">
        <v>1907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산 39-8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40000</v>
      </c>
      <c r="G819" s="4" t="n">
        <v>3300</v>
      </c>
      <c r="H819" s="4" t="n">
        <v>998</v>
      </c>
      <c r="I819" s="5" t="n">
        <v>40.1</v>
      </c>
      <c r="J819" s="5" t="n">
        <v>2.9</v>
      </c>
      <c r="K819" s="3" t="inlineStr">
        <is>
          <t>2차선 대로변 낮은 임야</t>
        </is>
      </c>
      <c r="L819" s="6">
        <f>HYPERLINK("https://fin.land.naver.com/articles/2654696842", "매물Link")</f>
        <v/>
      </c>
      <c r="M819" s="6">
        <f>HYPERLINK("https://map.naver.com/p/search/남이면 갈원리 산 39-8", "지도Link")</f>
        <v/>
      </c>
      <c r="N819" s="6">
        <f>HYPERLINK("http://www.eum.go.kr/web/ar/lu/luLandDet.jsp?pnu=4311231029200390008&amp;isNoScr=script&amp;mode=search", "토지이음")</f>
        <v/>
      </c>
      <c r="O819" s="3" t="inlineStr">
        <is>
          <t>수풀림</t>
        </is>
      </c>
      <c r="P819" s="4" t="n">
        <v>2</v>
      </c>
      <c r="Q819" s="4" t="n">
        <v>3300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소로한면</t>
        </is>
      </c>
    </row>
    <row r="820">
      <c r="A820" s="3" t="inlineStr">
        <is>
          <t>남이면 구미리 189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공장용지</t>
        </is>
      </c>
      <c r="E820" s="3" t="inlineStr">
        <is>
          <t>매매</t>
        </is>
      </c>
      <c r="F820" s="4" t="n">
        <v>544000</v>
      </c>
      <c r="G820" s="4" t="n">
        <v>11240</v>
      </c>
      <c r="H820" s="4" t="n">
        <v>3400</v>
      </c>
      <c r="I820" s="5" t="n">
        <v>160</v>
      </c>
      <c r="J820" s="5" t="n">
        <v>21.5</v>
      </c>
      <c r="K820" s="3" t="inlineStr">
        <is>
          <t>공장 인허가 완료된 토지매매</t>
        </is>
      </c>
      <c r="L820" s="6">
        <f>HYPERLINK("https://fin.land.naver.com/articles/2652774322", "매물Link")</f>
        <v/>
      </c>
      <c r="M820" s="6">
        <f>HYPERLINK("https://map.naver.com/p/search/남이면 구미리 189", "지도Link")</f>
        <v/>
      </c>
      <c r="N820" s="6">
        <f>HYPERLINK("http://www.eum.go.kr/web/ar/lu/luLandDet.jsp?pnu=4311231027101890000&amp;isNoScr=script&amp;mode=search", "토지이음")</f>
        <v/>
      </c>
      <c r="O820" s="3" t="inlineStr">
        <is>
          <t>금화랜드</t>
        </is>
      </c>
      <c r="P820" s="4" t="n">
        <v>1</v>
      </c>
      <c r="Q820" s="4" t="n">
        <v>2144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구미리 189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대</t>
        </is>
      </c>
      <c r="E821" s="3" t="inlineStr">
        <is>
          <t>매매</t>
        </is>
      </c>
      <c r="F821" s="4" t="n">
        <v>205000</v>
      </c>
      <c r="G821" s="4" t="n">
        <v>4159</v>
      </c>
      <c r="H821" s="4" t="n">
        <v>1258</v>
      </c>
      <c r="I821" s="5" t="n">
        <v>163</v>
      </c>
      <c r="J821" s="5" t="n">
        <v>21.5</v>
      </c>
      <c r="K821" s="3" t="inlineStr">
        <is>
          <t>청주시 남이면 구미리 2차선도로변 근린생활시설허가 토지</t>
        </is>
      </c>
      <c r="L821" s="6">
        <f>HYPERLINK("https://fin.land.naver.com/articles/2650771236", "매물Link")</f>
        <v/>
      </c>
      <c r="M821" s="6">
        <f>HYPERLINK("https://map.naver.com/p/search/남이면 구미리 189", "지도Link")</f>
        <v/>
      </c>
      <c r="N821" s="6">
        <f>HYPERLINK("http://www.eum.go.kr/web/ar/lu/luLandDet.jsp?pnu=4311231027101890000&amp;isNoScr=script&amp;mode=search", "토지이음")</f>
        <v/>
      </c>
      <c r="O821" s="3" t="inlineStr">
        <is>
          <t>좋은선택</t>
        </is>
      </c>
      <c r="P821" s="4" t="n">
        <v>1</v>
      </c>
      <c r="Q821" s="4" t="n">
        <v>2144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구미리 192-3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736000</v>
      </c>
      <c r="G822" s="4" t="n">
        <v>18719</v>
      </c>
      <c r="H822" s="4" t="n">
        <v>5662</v>
      </c>
      <c r="I822" s="5" t="n">
        <v>130</v>
      </c>
      <c r="J822" s="5" t="n">
        <v>34.8</v>
      </c>
      <c r="K822" s="3" t="inlineStr">
        <is>
          <t>청주 남이면 구미리 2차선 도로접, 공장허가득한 토</t>
        </is>
      </c>
      <c r="L822" s="6">
        <f>HYPERLINK("https://fin.land.naver.com/articles/2652739615", "매물Link")</f>
        <v/>
      </c>
      <c r="M822" s="6">
        <f>HYPERLINK("https://map.naver.com/p/search/남이면 구미리 192-3", "지도Link")</f>
        <v/>
      </c>
      <c r="N822" s="6">
        <f>HYPERLINK("http://www.eum.go.kr/web/ar/lu/luLandDet.jsp?pnu=4311231027101920003&amp;isNoScr=script&amp;mode=search", "토지이음")</f>
        <v/>
      </c>
      <c r="O822" s="3" t="inlineStr">
        <is>
          <t>좋은선택</t>
        </is>
      </c>
      <c r="P822" s="4" t="n">
        <v>1</v>
      </c>
      <c r="Q822" s="4" t="n">
        <v>18455</v>
      </c>
      <c r="R822" s="3" t="inlineStr">
        <is>
          <t>농림지역</t>
        </is>
      </c>
      <c r="S822" s="3" t="inlineStr">
        <is>
          <t>공업나지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구미리 223-1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51000</v>
      </c>
      <c r="G823" s="4" t="n">
        <v>5058</v>
      </c>
      <c r="H823" s="4" t="n">
        <v>1530</v>
      </c>
      <c r="I823" s="5" t="n">
        <v>33.3</v>
      </c>
      <c r="J823" s="5" t="n">
        <v>13.1</v>
      </c>
      <c r="K823" s="3" t="inlineStr">
        <is>
          <t>nan</t>
        </is>
      </c>
      <c r="L823" s="6">
        <f>HYPERLINK("https://fin.land.naver.com/articles/2650538806", "매물Link")</f>
        <v/>
      </c>
      <c r="M823" s="6">
        <f>HYPERLINK("https://map.naver.com/p/search/남이면 구미리 223-1", "지도Link")</f>
        <v/>
      </c>
      <c r="N823" s="6">
        <f>HYPERLINK("http://www.eum.go.kr/web/ar/lu/luLandDet.jsp?pnu=4311231027102230001&amp;isNoScr=script&amp;mode=search", "토지이음")</f>
        <v/>
      </c>
      <c r="O823" s="3" t="inlineStr">
        <is>
          <t>세종큰길</t>
        </is>
      </c>
      <c r="P823" s="4" t="n">
        <v>1</v>
      </c>
      <c r="Q823" s="4" t="n">
        <v>5058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구미리 223-1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50000</v>
      </c>
      <c r="G824" s="4" t="n">
        <v>5058</v>
      </c>
      <c r="H824" s="4" t="n">
        <v>1530</v>
      </c>
      <c r="I824" s="5" t="n">
        <v>32.7</v>
      </c>
      <c r="J824" s="5" t="n">
        <v>13.1</v>
      </c>
      <c r="K824" s="3" t="inlineStr">
        <is>
          <t>농막, 지하수, 전기 인입된 투자용 토지</t>
        </is>
      </c>
      <c r="L824" s="6">
        <f>HYPERLINK("https://fin.land.naver.com/articles/2653240662", "매물Link")</f>
        <v/>
      </c>
      <c r="M824" s="6">
        <f>HYPERLINK("https://map.naver.com/p/search/남이면 구미리 223-1", "지도Link")</f>
        <v/>
      </c>
      <c r="N824" s="6">
        <f>HYPERLINK("http://www.eum.go.kr/web/ar/lu/luLandDet.jsp?pnu=4311231027102230001&amp;isNoScr=script&amp;mode=search", "토지이음")</f>
        <v/>
      </c>
      <c r="O824" s="3" t="inlineStr">
        <is>
          <t>산들</t>
        </is>
      </c>
      <c r="P824" s="4" t="n">
        <v>2</v>
      </c>
      <c r="Q824" s="4" t="n">
        <v>5058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구미리 302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439600</v>
      </c>
      <c r="G825" s="4" t="n">
        <v>7276</v>
      </c>
      <c r="H825" s="4" t="n">
        <v>2201</v>
      </c>
      <c r="I825" s="5" t="n">
        <v>199.7</v>
      </c>
      <c r="J825" s="5" t="n">
        <v>20.2</v>
      </c>
      <c r="K825" s="3" t="inlineStr">
        <is>
          <t>남이면 구미리 토지매매 왕복2차선 도로접</t>
        </is>
      </c>
      <c r="L825" s="6">
        <f>HYPERLINK("https://fin.land.naver.com/articles/2652822357", "매물Link")</f>
        <v/>
      </c>
      <c r="M825" s="6">
        <f>HYPERLINK("https://map.naver.com/p/search/남이면 구미리 302", "지도Link")</f>
        <v/>
      </c>
      <c r="N825" s="6">
        <f>HYPERLINK("http://www.eum.go.kr/web/ar/lu/luLandDet.jsp?pnu=4311231027103020000&amp;isNoScr=script&amp;mode=search", "토지이음")</f>
        <v/>
      </c>
      <c r="O825" s="3" t="inlineStr">
        <is>
          <t>탄탄</t>
        </is>
      </c>
      <c r="P825" s="4" t="n">
        <v>1</v>
      </c>
      <c r="Q825" s="4" t="n">
        <v>668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남이면 구미리 35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200000</v>
      </c>
      <c r="G826" s="4" t="n">
        <v>4553</v>
      </c>
      <c r="H826" s="4" t="n">
        <v>1377</v>
      </c>
      <c r="I826" s="5" t="n">
        <v>145.2</v>
      </c>
      <c r="J826" s="5" t="n">
        <v>20</v>
      </c>
      <c r="K826" s="3" t="inlineStr">
        <is>
          <t>2차선도로접. 분할가능. 연정교차로 인근.공장.창고추천</t>
        </is>
      </c>
      <c r="L826" s="6">
        <f>HYPERLINK("https://fin.land.naver.com/articles/2654897822", "매물Link")</f>
        <v/>
      </c>
      <c r="M826" s="6">
        <f>HYPERLINK("https://map.naver.com/p/search/남이면 구미리 35", "지도Link")</f>
        <v/>
      </c>
      <c r="N826" s="6">
        <f>HYPERLINK("http://www.eum.go.kr/web/ar/lu/luLandDet.jsp?pnu=4311231027100350000&amp;isNoScr=script&amp;mode=search", "토지이음")</f>
        <v/>
      </c>
      <c r="O826" s="3" t="inlineStr">
        <is>
          <t>플러스자이합동</t>
        </is>
      </c>
      <c r="P826" s="4" t="n">
        <v>1</v>
      </c>
      <c r="Q826" s="4" t="n">
        <v>4553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구미리 산19-9</t>
        </is>
      </c>
      <c r="B827" s="3" t="inlineStr">
        <is>
          <t>계획관리지역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62000</v>
      </c>
      <c r="G827" s="4" t="n">
        <v>2357</v>
      </c>
      <c r="H827" s="4" t="n">
        <v>713</v>
      </c>
      <c r="I827" s="5" t="n">
        <v>87</v>
      </c>
      <c r="J827" s="5" t="n">
        <v>8.5</v>
      </c>
      <c r="K827" s="3" t="inlineStr">
        <is>
          <t>계획관리지역 공장,창고 추천</t>
        </is>
      </c>
      <c r="L827" s="6">
        <f>HYPERLINK("https://fin.land.naver.com/articles/2651068418", "매물Link")</f>
        <v/>
      </c>
      <c r="M827" s="6">
        <f>HYPERLINK("https://map.naver.com/p/search/남이면 구미리 산19-9", "지도Link")</f>
        <v/>
      </c>
      <c r="N827" s="6">
        <f>HYPERLINK("http://www.eum.go.kr/web/ar/lu/luLandDet.jsp?pnu=4311231027200190009&amp;isNoScr=script&amp;mode=search", "토지이음")</f>
        <v/>
      </c>
      <c r="O827" s="3" t="inlineStr">
        <is>
          <t>새로이</t>
        </is>
      </c>
      <c r="P827" s="4" t="n">
        <v>1</v>
      </c>
      <c r="Q827" s="4" t="n">
        <v>2262</v>
      </c>
      <c r="R827" s="3" t="inlineStr">
        <is>
          <t>지정되지않음</t>
        </is>
      </c>
      <c r="S827" s="3" t="inlineStr">
        <is>
          <t>임야기타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남이면 구암리 103-2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107000</v>
      </c>
      <c r="G828" s="4" t="n">
        <v>2354</v>
      </c>
      <c r="H828" s="4" t="n">
        <v>712</v>
      </c>
      <c r="I828" s="5" t="n">
        <v>150.3</v>
      </c>
      <c r="J828" s="5" t="n">
        <v>42.8</v>
      </c>
      <c r="K828" s="3" t="inlineStr">
        <is>
          <t>청주 세종간 4차선도로변 공장부지 근린생활시설</t>
        </is>
      </c>
      <c r="L828" s="6">
        <f>HYPERLINK("https://fin.land.naver.com/articles/2650505679", "매물Link")</f>
        <v/>
      </c>
      <c r="M828" s="6">
        <f>HYPERLINK("https://map.naver.com/p/search/남이면 구암리 103-2", "지도Link")</f>
        <v/>
      </c>
      <c r="N828" s="6">
        <f>HYPERLINK("http://www.eum.go.kr/web/ar/lu/luLandDet.jsp?pnu=4311231032101030002&amp;isNoScr=script&amp;mode=search", "토지이음")</f>
        <v/>
      </c>
      <c r="O828" s="3" t="inlineStr">
        <is>
          <t>두원</t>
        </is>
      </c>
      <c r="P828" s="4" t="n">
        <v>1</v>
      </c>
      <c r="Q828" s="4" t="n">
        <v>2095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구암리 11-1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103560</v>
      </c>
      <c r="G829" s="4" t="n">
        <v>2848</v>
      </c>
      <c r="H829" s="4" t="n">
        <v>862</v>
      </c>
      <c r="I829" s="5" t="n">
        <v>120.1</v>
      </c>
      <c r="J829" s="5" t="n">
        <v>17.3</v>
      </c>
      <c r="K829" s="3" t="inlineStr">
        <is>
          <t>석곡사거리 진입편리한 창고부지</t>
        </is>
      </c>
      <c r="L829" s="6">
        <f>HYPERLINK("https://fin.land.naver.com/articles/2655700004", "매물Link")</f>
        <v/>
      </c>
      <c r="M829" s="6">
        <f>HYPERLINK("https://map.naver.com/p/search/남이면 구암리 11-1", "지도Link")</f>
        <v/>
      </c>
      <c r="N829" s="6">
        <f>HYPERLINK("http://www.eum.go.kr/web/ar/lu/luLandDet.jsp?pnu=4311231032100110001&amp;isNoScr=script&amp;mode=search", "토지이음")</f>
        <v/>
      </c>
      <c r="O829" s="3" t="inlineStr">
        <is>
          <t>토담</t>
        </is>
      </c>
      <c r="P829" s="4" t="n">
        <v>1</v>
      </c>
      <c r="Q829" s="4" t="n">
        <v>2758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구암리 123-1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대</t>
        </is>
      </c>
      <c r="E830" s="3" t="inlineStr">
        <is>
          <t>매매</t>
        </is>
      </c>
      <c r="F830" s="4" t="n">
        <v>178800</v>
      </c>
      <c r="G830" s="4" t="n">
        <v>3940</v>
      </c>
      <c r="H830" s="4" t="n">
        <v>1192</v>
      </c>
      <c r="I830" s="5" t="n">
        <v>150</v>
      </c>
      <c r="J830" s="5" t="n">
        <v>46.1</v>
      </c>
      <c r="K830" s="3" t="inlineStr">
        <is>
          <t>nan</t>
        </is>
      </c>
      <c r="L830" s="6">
        <f>HYPERLINK("https://fin.land.naver.com/articles/2652111791", "매물Link")</f>
        <v/>
      </c>
      <c r="M830" s="6">
        <f>HYPERLINK("https://map.naver.com/p/search/남이면 구암리 123-1", "지도Link")</f>
        <v/>
      </c>
      <c r="N830" s="6">
        <f>HYPERLINK("http://www.eum.go.kr/web/ar/lu/luLandDet.jsp?pnu=4311231032101230001&amp;isNoScr=script&amp;mode=search", "토지이음")</f>
        <v/>
      </c>
      <c r="O830" s="3" t="inlineStr">
        <is>
          <t>교차로</t>
        </is>
      </c>
      <c r="P830" s="4" t="n">
        <v>1</v>
      </c>
      <c r="Q830" s="4" t="n">
        <v>3011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구암리 143-3</t>
        </is>
      </c>
      <c r="B831" s="3" t="inlineStr">
        <is>
          <t>자연녹지지역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60000</v>
      </c>
      <c r="G831" s="4" t="n">
        <v>2791</v>
      </c>
      <c r="H831" s="4" t="n">
        <v>844</v>
      </c>
      <c r="I831" s="5" t="n">
        <v>71.09999999999999</v>
      </c>
      <c r="J831" s="5" t="n">
        <v>30.6</v>
      </c>
      <c r="K831" s="3" t="inlineStr">
        <is>
          <t>혜화학교 인근 자연녹지 토지로 활용도 많은 땅임.</t>
        </is>
      </c>
      <c r="L831" s="6">
        <f>HYPERLINK("https://fin.land.naver.com/articles/2654382340", "매물Link")</f>
        <v/>
      </c>
      <c r="M831" s="6">
        <f>HYPERLINK("https://map.naver.com/p/search/남이면 구암리 143-3", "지도Link")</f>
        <v/>
      </c>
      <c r="N831" s="6">
        <f>HYPERLINK("http://www.eum.go.kr/web/ar/lu/luLandDet.jsp?pnu=4311231032101430003&amp;isNoScr=script&amp;mode=search", "토지이음")</f>
        <v/>
      </c>
      <c r="O831" s="3" t="inlineStr">
        <is>
          <t>포시즌</t>
        </is>
      </c>
      <c r="P831" s="4" t="n">
        <v>1</v>
      </c>
      <c r="Q831" s="4" t="n">
        <v>2791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남이면 구암리 232-31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19000</v>
      </c>
      <c r="G832" s="4" t="n">
        <v>431</v>
      </c>
      <c r="H832" s="4" t="n">
        <v>130</v>
      </c>
      <c r="I832" s="5" t="n">
        <v>146.2</v>
      </c>
      <c r="J832" s="5" t="n">
        <v>7.1</v>
      </c>
      <c r="K832" s="3" t="inlineStr">
        <is>
          <t>신축하기 좋은 전원주택 부지를 저렴하게 매매합니다.</t>
        </is>
      </c>
      <c r="L832" s="6">
        <f>HYPERLINK("https://fin.land.naver.com/articles/2651905087", "매물Link")</f>
        <v/>
      </c>
      <c r="M832" s="6">
        <f>HYPERLINK("https://map.naver.com/p/search/남이면 구암리 232-31", "지도Link")</f>
        <v/>
      </c>
      <c r="N832" s="6">
        <f>HYPERLINK("http://www.eum.go.kr/web/ar/lu/luLandDet.jsp?pnu=4311231032102320031&amp;isNoScr=script&amp;mode=search", "토지이음")</f>
        <v/>
      </c>
      <c r="O832" s="3" t="inlineStr">
        <is>
          <t>대전</t>
        </is>
      </c>
      <c r="P832" s="4" t="n">
        <v>1</v>
      </c>
      <c r="Q832" s="4" t="n">
        <v>4771</v>
      </c>
      <c r="R832" s="3" t="inlineStr">
        <is>
          <t>지정되지않음</t>
        </is>
      </c>
      <c r="S832" s="3" t="inlineStr">
        <is>
          <t>임야기타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272-3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33000</v>
      </c>
      <c r="G833" s="4" t="n">
        <v>842</v>
      </c>
      <c r="H833" s="4" t="n">
        <v>255</v>
      </c>
      <c r="I833" s="5" t="n">
        <v>129.4</v>
      </c>
      <c r="J833" s="5" t="n">
        <v>60.6</v>
      </c>
      <c r="K833" s="3" t="inlineStr">
        <is>
          <t>청주시내권, 전원주택지 주말농장, 토목공사완료, 가격절충, 즉시사용</t>
        </is>
      </c>
      <c r="L833" s="6">
        <f>HYPERLINK("https://fin.land.naver.com/articles/2655501606", "매물Link")</f>
        <v/>
      </c>
      <c r="M833" s="6">
        <f>HYPERLINK("https://map.naver.com/p/search/남이면 구암리 272-3", "지도Link")</f>
        <v/>
      </c>
      <c r="N833" s="6">
        <f>HYPERLINK("http://www.eum.go.kr/web/ar/lu/luLandDet.jsp?pnu=4311231032102720003&amp;isNoScr=script&amp;mode=search", "토지이음")</f>
        <v/>
      </c>
      <c r="O833" s="3" t="inlineStr">
        <is>
          <t>라인</t>
        </is>
      </c>
      <c r="P833" s="4" t="n">
        <v>2</v>
      </c>
      <c r="Q833" s="4" t="n">
        <v>842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308-16</t>
        </is>
      </c>
      <c r="B834" s="3" t="inlineStr">
        <is>
          <t>자연녹지지역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1400000</v>
      </c>
      <c r="G834" s="4" t="n">
        <v>23228</v>
      </c>
      <c r="H834" s="4" t="n">
        <v>7026</v>
      </c>
      <c r="I834" s="5" t="n">
        <v>199.3</v>
      </c>
      <c r="J834" s="5" t="n">
        <v>49.5</v>
      </c>
      <c r="K834" s="3" t="inlineStr">
        <is>
          <t>고속도로  광고 가능</t>
        </is>
      </c>
      <c r="L834" s="6">
        <f>HYPERLINK("https://fin.land.naver.com/articles/2655081257", "매물Link")</f>
        <v/>
      </c>
      <c r="M834" s="6">
        <f>HYPERLINK("https://map.naver.com/p/search/남이면 구암리 308-16", "지도Link")</f>
        <v/>
      </c>
      <c r="N834" s="6">
        <f>HYPERLINK("http://www.eum.go.kr/web/ar/lu/luLandDet.jsp?pnu=4311231032103080016&amp;isNoScr=script&amp;mode=search", "토지이음")</f>
        <v/>
      </c>
      <c r="O834" s="3" t="inlineStr">
        <is>
          <t>조은</t>
        </is>
      </c>
      <c r="P834" s="4" t="n">
        <v>1</v>
      </c>
      <c r="Q834" s="4" t="n">
        <v>3524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세로각지(가)</t>
        </is>
      </c>
    </row>
    <row r="835">
      <c r="A835" s="3" t="inlineStr">
        <is>
          <t>남이면 구암리 93-2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17500</v>
      </c>
      <c r="G835" s="4" t="n">
        <v>1448</v>
      </c>
      <c r="H835" s="4" t="n">
        <v>438</v>
      </c>
      <c r="I835" s="5" t="n">
        <v>40</v>
      </c>
      <c r="J835" s="5" t="n">
        <v>35.5</v>
      </c>
      <c r="K835" s="3" t="inlineStr">
        <is>
          <t>전원 주택지 적합</t>
        </is>
      </c>
      <c r="L835" s="6">
        <f>HYPERLINK("https://fin.land.naver.com/articles/2651956458", "매물Link")</f>
        <v/>
      </c>
      <c r="M835" s="6">
        <f>HYPERLINK("https://map.naver.com/p/search/남이면 구암리 93-2", "지도Link")</f>
        <v/>
      </c>
      <c r="N835" s="6">
        <f>HYPERLINK("http://www.eum.go.kr/web/ar/lu/luLandDet.jsp?pnu=4311231032100930002&amp;isNoScr=script&amp;mode=search", "토지이음")</f>
        <v/>
      </c>
      <c r="O835" s="3" t="inlineStr">
        <is>
          <t>효성</t>
        </is>
      </c>
      <c r="P835" s="4" t="n">
        <v>2</v>
      </c>
      <c r="Q835" s="4" t="n">
        <v>1448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구암리 산 14-1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80000</v>
      </c>
      <c r="G836" s="4" t="n">
        <v>41068</v>
      </c>
      <c r="H836" s="4" t="n">
        <v>12423</v>
      </c>
      <c r="I836" s="5" t="n">
        <v>6.4</v>
      </c>
      <c r="J836" s="5" t="n">
        <v>2.6</v>
      </c>
      <c r="K836" s="3" t="inlineStr">
        <is>
          <t>도시지역.보전녹지. 전.있음</t>
        </is>
      </c>
      <c r="L836" s="6">
        <f>HYPERLINK("https://fin.land.naver.com/articles/2654581431", "매물Link")</f>
        <v/>
      </c>
      <c r="M836" s="6">
        <f>HYPERLINK("https://map.naver.com/p/search/남이면 구암리 산 14-1", "지도Link")</f>
        <v/>
      </c>
      <c r="N836" s="6">
        <f>HYPERLINK("http://www.eum.go.kr/web/ar/lu/luLandDet.jsp?pnu=4311231032200140001&amp;isNoScr=script&amp;mode=search", "토지이음")</f>
        <v/>
      </c>
      <c r="O836" s="3" t="inlineStr">
        <is>
          <t>단지내 구현대</t>
        </is>
      </c>
      <c r="P836" s="4" t="n">
        <v>1</v>
      </c>
      <c r="Q836" s="4" t="n">
        <v>39372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남이면 구암리 산 14-1</t>
        </is>
      </c>
      <c r="B837" s="3" t="inlineStr">
        <is>
          <t>보전녹지지역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74500</v>
      </c>
      <c r="G837" s="4" t="n">
        <v>41068</v>
      </c>
      <c r="H837" s="4" t="n">
        <v>12423</v>
      </c>
      <c r="I837" s="5" t="n">
        <v>6</v>
      </c>
      <c r="J837" s="5" t="n">
        <v>2.6</v>
      </c>
      <c r="K837" s="3" t="inlineStr">
        <is>
          <t>지목  임야     전</t>
        </is>
      </c>
      <c r="L837" s="6">
        <f>HYPERLINK("https://fin.land.naver.com/articles/2653746352", "매물Link")</f>
        <v/>
      </c>
      <c r="M837" s="6">
        <f>HYPERLINK("https://map.naver.com/p/search/남이면 구암리 산 14-1", "지도Link")</f>
        <v/>
      </c>
      <c r="N837" s="6">
        <f>HYPERLINK("http://www.eum.go.kr/web/ar/lu/luLandDet.jsp?pnu=4311231032200140001&amp;isNoScr=script&amp;mode=search", "토지이음")</f>
        <v/>
      </c>
      <c r="O837" s="3" t="inlineStr">
        <is>
          <t>단지내 구현대</t>
        </is>
      </c>
      <c r="P837" s="4" t="n">
        <v>1</v>
      </c>
      <c r="Q837" s="4" t="n">
        <v>39372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남이면 구암리 산 23-2</t>
        </is>
      </c>
      <c r="B838" s="3" t="inlineStr">
        <is>
          <t>보전녹지지역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18700</v>
      </c>
      <c r="G838" s="4" t="n">
        <v>2470</v>
      </c>
      <c r="H838" s="4" t="n">
        <v>747</v>
      </c>
      <c r="I838" s="5" t="n">
        <v>25</v>
      </c>
      <c r="J838" s="5" t="n">
        <v>3.1</v>
      </c>
      <c r="K838" s="3" t="inlineStr">
        <is>
          <t>남이면 구암리 임야 매매</t>
        </is>
      </c>
      <c r="L838" s="6">
        <f>HYPERLINK("https://fin.land.naver.com/articles/2651762000", "매물Link")</f>
        <v/>
      </c>
      <c r="M838" s="6">
        <f>HYPERLINK("https://map.naver.com/p/search/남이면 구암리 산 23-2", "지도Link")</f>
        <v/>
      </c>
      <c r="N838" s="6">
        <f>HYPERLINK("http://www.eum.go.kr/web/ar/lu/luLandDet.jsp?pnu=4311231032200230002&amp;isNoScr=script&amp;mode=search", "토지이음")</f>
        <v/>
      </c>
      <c r="O838" s="3" t="inlineStr">
        <is>
          <t>대지</t>
        </is>
      </c>
      <c r="P838" s="4" t="n">
        <v>1</v>
      </c>
      <c r="Q838" s="4" t="n">
        <v>2470</v>
      </c>
      <c r="R838" s="3" t="inlineStr">
        <is>
          <t>지정되지않음</t>
        </is>
      </c>
      <c r="S838" s="3" t="inlineStr">
        <is>
          <t>임야기타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세로한면(불)</t>
        </is>
      </c>
    </row>
    <row r="839">
      <c r="A839" s="3" t="inlineStr">
        <is>
          <t>남이면 구암리 산 65-2</t>
        </is>
      </c>
      <c r="B839" s="3" t="inlineStr">
        <is>
          <t>보전녹지지역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182000</v>
      </c>
      <c r="G839" s="4" t="n">
        <v>4628</v>
      </c>
      <c r="H839" s="4" t="n">
        <v>1400</v>
      </c>
      <c r="I839" s="5" t="n">
        <v>130</v>
      </c>
      <c r="J839" s="5" t="n">
        <v>2.7</v>
      </c>
      <c r="K839" s="3" t="inlineStr">
        <is>
          <t>사진有.청주 서부권 산업물류우수지, 토목완료된 개발사업지. 대형차량가능.</t>
        </is>
      </c>
      <c r="L839" s="6">
        <f>HYPERLINK("https://fin.land.naver.com/articles/2650206505", "매물Link")</f>
        <v/>
      </c>
      <c r="M839" s="6">
        <f>HYPERLINK("https://map.naver.com/p/search/남이면 구암리 산 65-2", "지도Link")</f>
        <v/>
      </c>
      <c r="N839" s="6">
        <f>HYPERLINK("http://www.eum.go.kr/web/ar/lu/luLandDet.jsp?pnu=4311231032200650002&amp;isNoScr=script&amp;mode=search", "토지이음")</f>
        <v/>
      </c>
      <c r="O839" s="3" t="inlineStr">
        <is>
          <t>오너스</t>
        </is>
      </c>
      <c r="P839" s="4" t="n">
        <v>1</v>
      </c>
      <c r="Q839" s="4" t="n">
        <v>6080</v>
      </c>
      <c r="R839" s="3" t="inlineStr">
        <is>
          <t>자연녹지지역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남이면 구암리 산21</t>
        </is>
      </c>
      <c r="B840" s="3" t="inlineStr">
        <is>
          <t>자연녹지지역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38000</v>
      </c>
      <c r="G840" s="4" t="n">
        <v>1665</v>
      </c>
      <c r="H840" s="4" t="n">
        <v>504</v>
      </c>
      <c r="I840" s="5" t="n">
        <v>75.40000000000001</v>
      </c>
      <c r="J840" s="5" t="n">
        <v>17.8</v>
      </c>
      <c r="K840" s="3" t="inlineStr">
        <is>
          <t>2차선도로접,석곡사거리에서2km로 5분거리,토목공사완료</t>
        </is>
      </c>
      <c r="L840" s="6">
        <f>HYPERLINK("https://fin.land.naver.com/articles/2653652351", "매물Link")</f>
        <v/>
      </c>
      <c r="M840" s="6">
        <f>HYPERLINK("https://map.naver.com/p/search/남이면 구암리 산21", "지도Link")</f>
        <v/>
      </c>
      <c r="N840" s="6">
        <f>HYPERLINK("http://www.eum.go.kr/web/ar/lu/luLandDet.jsp?pnu=4311231032200210000&amp;isNoScr=script&amp;mode=search", "토지이음")</f>
        <v/>
      </c>
      <c r="O840" s="3" t="inlineStr">
        <is>
          <t>GS자이</t>
        </is>
      </c>
      <c r="P840" s="4" t="n">
        <v>1</v>
      </c>
      <c r="Q840" s="4" t="n">
        <v>1667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남이면 구암리 산21</t>
        </is>
      </c>
      <c r="B841" s="3" t="inlineStr">
        <is>
          <t>자연녹지지역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50000</v>
      </c>
      <c r="G841" s="4" t="n">
        <v>1667</v>
      </c>
      <c r="H841" s="4" t="n">
        <v>504</v>
      </c>
      <c r="I841" s="5" t="n">
        <v>99.2</v>
      </c>
      <c r="J841" s="5" t="n">
        <v>17.8</v>
      </c>
      <c r="K841" s="3" t="inlineStr">
        <is>
          <t>급매,추천,도로접함,위치좋음</t>
        </is>
      </c>
      <c r="L841" s="6">
        <f>HYPERLINK("https://fin.land.naver.com/articles/2651876026", "매물Link")</f>
        <v/>
      </c>
      <c r="M841" s="6">
        <f>HYPERLINK("https://map.naver.com/p/search/남이면 구암리 산21", "지도Link")</f>
        <v/>
      </c>
      <c r="N841" s="6">
        <f>HYPERLINK("http://www.eum.go.kr/web/ar/lu/luLandDet.jsp?pnu=4311231032200210000&amp;isNoScr=script&amp;mode=search", "토지이음")</f>
        <v/>
      </c>
      <c r="O841" s="3" t="inlineStr">
        <is>
          <t>가경아이파크5단지일타</t>
        </is>
      </c>
      <c r="P841" s="4" t="n">
        <v>1</v>
      </c>
      <c r="Q841" s="4" t="n">
        <v>1667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소로한면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남청주 IC 인근, 청주 외곽순환로 접근성 최상 입지 토지 급매</t>
        </is>
      </c>
      <c r="L842" s="6">
        <f>HYPERLINK("https://fin.land.naver.com/articles/2653087489",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대지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대련리 129-2</t>
        </is>
      </c>
      <c r="B843" s="3" t="inlineStr">
        <is>
          <t>자연녹지지역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39000</v>
      </c>
      <c r="G843" s="4" t="n">
        <v>2324</v>
      </c>
      <c r="H843" s="4" t="n">
        <v>703</v>
      </c>
      <c r="I843" s="5" t="n">
        <v>55.5</v>
      </c>
      <c r="J843" s="5" t="n">
        <v>24.5</v>
      </c>
      <c r="K843" s="3" t="inlineStr">
        <is>
          <t>도심근교에 있는, 자연녹지 지역 토지이며,  물류창고,등 추천함.</t>
        </is>
      </c>
      <c r="L843" s="6">
        <f>HYPERLINK("https://fin.land.naver.com/articles/2654703688", "매물Link")</f>
        <v/>
      </c>
      <c r="M843" s="6">
        <f>HYPERLINK("https://map.naver.com/p/search/남이면 대련리 129-2", "지도Link")</f>
        <v/>
      </c>
      <c r="N843" s="6">
        <f>HYPERLINK("http://www.eum.go.kr/web/ar/lu/luLandDet.jsp?pnu=4311231035101290002&amp;isNoScr=script&amp;mode=search", "토지이음")</f>
        <v/>
      </c>
      <c r="O843" s="3" t="inlineStr">
        <is>
          <t>포시즌</t>
        </is>
      </c>
      <c r="P843" s="4" t="n">
        <v>1</v>
      </c>
      <c r="Q843" s="4" t="n">
        <v>1663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대련리 2-1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56300</v>
      </c>
      <c r="G844" s="4" t="n">
        <v>3722</v>
      </c>
      <c r="H844" s="4" t="n">
        <v>1126</v>
      </c>
      <c r="I844" s="5" t="n">
        <v>50</v>
      </c>
      <c r="J844" s="5" t="n">
        <v>25.1</v>
      </c>
      <c r="K844" s="3" t="inlineStr">
        <is>
          <t>현황도로 있음 지적상은 맹지 매매가 절충가능</t>
        </is>
      </c>
      <c r="L844" s="6">
        <f>HYPERLINK("https://fin.land.naver.com/articles/2654659554", "매물Link")</f>
        <v/>
      </c>
      <c r="M844" s="6">
        <f>HYPERLINK("https://map.naver.com/p/search/남이면 대련리 2-1", "지도Link")</f>
        <v/>
      </c>
      <c r="N844" s="6">
        <f>HYPERLINK("http://www.eum.go.kr/web/ar/lu/luLandDet.jsp?pnu=4311231035100020001&amp;isNoScr=script&amp;mode=search", "토지이음")</f>
        <v/>
      </c>
      <c r="O844" s="3" t="inlineStr">
        <is>
          <t>세종</t>
        </is>
      </c>
      <c r="P844" s="4" t="n">
        <v>1</v>
      </c>
      <c r="Q844" s="4" t="n">
        <v>2297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대련리 201-2</t>
        </is>
      </c>
      <c r="B845" s="3" t="inlineStr">
        <is>
          <t>자연녹지지역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59702</v>
      </c>
      <c r="G845" s="4" t="n">
        <v>1974</v>
      </c>
      <c r="H845" s="4" t="n">
        <v>597</v>
      </c>
      <c r="I845" s="5" t="n">
        <v>100</v>
      </c>
      <c r="J845" s="5" t="n">
        <v>17</v>
      </c>
      <c r="K845" s="3" t="inlineStr">
        <is>
          <t>4m도로접, 민원소지 없는 공장 ,창고 추천</t>
        </is>
      </c>
      <c r="L845" s="6">
        <f>HYPERLINK("https://fin.land.naver.com/articles/2654897511", "매물Link")</f>
        <v/>
      </c>
      <c r="M845" s="6">
        <f>HYPERLINK("https://map.naver.com/p/search/남이면 대련리 201-2", "지도Link")</f>
        <v/>
      </c>
      <c r="N845" s="6">
        <f>HYPERLINK("http://www.eum.go.kr/web/ar/lu/luLandDet.jsp?pnu=4311231035102010002&amp;isNoScr=script&amp;mode=search", "토지이음")</f>
        <v/>
      </c>
      <c r="O845" s="3" t="inlineStr">
        <is>
          <t>플러스자이합동</t>
        </is>
      </c>
      <c r="P845" s="4" t="n">
        <v>2</v>
      </c>
      <c r="Q845" s="4" t="n">
        <v>1974</v>
      </c>
      <c r="R845" s="3" t="inlineStr">
        <is>
          <t>보전녹지지역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남이면 대련리 224-3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1001</v>
      </c>
      <c r="H846" s="4" t="n">
        <v>303</v>
      </c>
      <c r="I846" s="5" t="n">
        <v>89.09999999999999</v>
      </c>
      <c r="J846" s="5" t="n">
        <v>23.6</v>
      </c>
      <c r="K846" s="3" t="inlineStr">
        <is>
          <t>남이초 인근 대련리 토지매매</t>
        </is>
      </c>
      <c r="L846" s="6">
        <f>HYPERLINK("https://fin.land.naver.com/articles/2653467124", "매물Link")</f>
        <v/>
      </c>
      <c r="M846" s="6">
        <f>HYPERLINK("https://map.naver.com/p/search/남이면 대련리 224-3", "지도Link")</f>
        <v/>
      </c>
      <c r="N846" s="6">
        <f>HYPERLINK("http://www.eum.go.kr/web/ar/lu/luLandDet.jsp?pnu=4311231035102240003&amp;isNoScr=script&amp;mode=search", "토지이음")</f>
        <v/>
      </c>
      <c r="O846" s="3" t="inlineStr">
        <is>
          <t>원탑</t>
        </is>
      </c>
      <c r="P846" s="4" t="n">
        <v>2</v>
      </c>
      <c r="Q846" s="4" t="n">
        <v>1001</v>
      </c>
      <c r="R846" s="3" t="inlineStr">
        <is>
          <t>지정되지않음</t>
        </is>
      </c>
      <c r="S846" s="3" t="inlineStr">
        <is>
          <t>전기타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대련리 25</t>
        </is>
      </c>
      <c r="B847" s="3" t="inlineStr">
        <is>
          <t>자연녹지지역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29500</v>
      </c>
      <c r="G847" s="4" t="n">
        <v>771</v>
      </c>
      <c r="H847" s="4" t="n">
        <v>233</v>
      </c>
      <c r="I847" s="5" t="n">
        <v>126.6</v>
      </c>
      <c r="J847" s="5" t="n">
        <v>57.3</v>
      </c>
      <c r="K847" s="3" t="inlineStr">
        <is>
          <t>토지뒷편으로 마을동산이 있어요  전원주택지 자주좋아요</t>
        </is>
      </c>
      <c r="L847" s="6">
        <f>HYPERLINK("https://fin.land.naver.com/articles/2654711773", "매물Link")</f>
        <v/>
      </c>
      <c r="M847" s="6">
        <f>HYPERLINK("https://map.naver.com/p/search/남이면 대련리 25", "지도Link")</f>
        <v/>
      </c>
      <c r="N847" s="6">
        <f>HYPERLINK("http://www.eum.go.kr/web/ar/lu/luLandDet.jsp?pnu=4311231035100250000&amp;isNoScr=script&amp;mode=search", "토지이음")</f>
        <v/>
      </c>
      <c r="O847" s="3" t="inlineStr">
        <is>
          <t>신화</t>
        </is>
      </c>
      <c r="P847" s="4" t="n">
        <v>1</v>
      </c>
      <c r="Q847" s="4" t="n">
        <v>717.7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남이면 대련리 270-1</t>
        </is>
      </c>
      <c r="B848" s="3" t="inlineStr">
        <is>
          <t>자연녹지지역</t>
        </is>
      </c>
      <c r="C848" s="3" t="inlineStr">
        <is>
          <t>잡종지</t>
        </is>
      </c>
      <c r="D848" s="3" t="inlineStr">
        <is>
          <t>잡종지</t>
        </is>
      </c>
      <c r="E848" s="3" t="inlineStr">
        <is>
          <t>매매</t>
        </is>
      </c>
      <c r="F848" s="4" t="n">
        <v>220000</v>
      </c>
      <c r="G848" s="4" t="n">
        <v>2062</v>
      </c>
      <c r="H848" s="4" t="n">
        <v>624</v>
      </c>
      <c r="I848" s="5" t="n">
        <v>352.6</v>
      </c>
      <c r="J848" s="5" t="n">
        <v>86</v>
      </c>
      <c r="K848" s="3" t="inlineStr">
        <is>
          <t>nan</t>
        </is>
      </c>
      <c r="L848" s="6">
        <f>HYPERLINK("https://fin.land.naver.com/articles/2651957545", "매물Link")</f>
        <v/>
      </c>
      <c r="M848" s="6">
        <f>HYPERLINK("https://map.naver.com/p/search/남이면 대련리 270-1", "지도Link")</f>
        <v/>
      </c>
      <c r="N848" s="6">
        <f>HYPERLINK("http://www.eum.go.kr/web/ar/lu/luLandDet.jsp?pnu=4311231035102700001&amp;isNoScr=script&amp;mode=search", "토지이음")</f>
        <v/>
      </c>
      <c r="O848" s="3" t="inlineStr">
        <is>
          <t>청주 합동</t>
        </is>
      </c>
      <c r="P848" s="4" t="n">
        <v>1</v>
      </c>
      <c r="Q848" s="4" t="n">
        <v>987</v>
      </c>
      <c r="R848" s="3" t="inlineStr">
        <is>
          <t>지정되지않음</t>
        </is>
      </c>
      <c r="S848" s="3" t="inlineStr">
        <is>
          <t>공업용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중로한면</t>
        </is>
      </c>
    </row>
    <row r="849">
      <c r="A849" s="3" t="inlineStr">
        <is>
          <t>남이면 대련리 270-1</t>
        </is>
      </c>
      <c r="B849" s="3" t="inlineStr">
        <is>
          <t>자연녹지지역</t>
        </is>
      </c>
      <c r="C849" s="3" t="inlineStr">
        <is>
          <t>잡종지</t>
        </is>
      </c>
      <c r="D849" s="3" t="inlineStr">
        <is>
          <t>잡종지</t>
        </is>
      </c>
      <c r="E849" s="3" t="inlineStr">
        <is>
          <t>매매</t>
        </is>
      </c>
      <c r="F849" s="4" t="n">
        <v>270000</v>
      </c>
      <c r="G849" s="4" t="n">
        <v>2062</v>
      </c>
      <c r="H849" s="4" t="n">
        <v>624</v>
      </c>
      <c r="I849" s="5" t="n">
        <v>432.7</v>
      </c>
      <c r="J849" s="5" t="n">
        <v>86</v>
      </c>
      <c r="K849" s="3" t="inlineStr">
        <is>
          <t>대도로변 접, 다용도 활용가능한 잡종지, 유통 물류, 광고효과</t>
        </is>
      </c>
      <c r="L849" s="6">
        <f>HYPERLINK("https://fin.land.naver.com/articles/2650955489", "매물Link")</f>
        <v/>
      </c>
      <c r="M849" s="6">
        <f>HYPERLINK("https://map.naver.com/p/search/남이면 대련리 270-1", "지도Link")</f>
        <v/>
      </c>
      <c r="N849" s="6">
        <f>HYPERLINK("http://www.eum.go.kr/web/ar/lu/luLandDet.jsp?pnu=4311231035102700001&amp;isNoScr=script&amp;mode=search", "토지이음")</f>
        <v/>
      </c>
      <c r="O849" s="3" t="inlineStr">
        <is>
          <t>두진하트</t>
        </is>
      </c>
      <c r="P849" s="4" t="n">
        <v>1</v>
      </c>
      <c r="Q849" s="4" t="n">
        <v>987</v>
      </c>
      <c r="R849" s="3" t="inlineStr">
        <is>
          <t>지정되지않음</t>
        </is>
      </c>
      <c r="S849" s="3" t="inlineStr">
        <is>
          <t>공업용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대련리 75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137020</v>
      </c>
      <c r="G850" s="4" t="n">
        <v>3487</v>
      </c>
      <c r="H850" s="4" t="n">
        <v>1055</v>
      </c>
      <c r="I850" s="5" t="n">
        <v>129.9</v>
      </c>
      <c r="J850" s="5" t="n">
        <v>35.5</v>
      </c>
      <c r="K850" s="3" t="inlineStr">
        <is>
          <t>도로와 접한 모양 좋은 토지, 주변에 소규모공장 산재,공장,창고 등 추천</t>
        </is>
      </c>
      <c r="L850" s="6">
        <f>HYPERLINK("https://fin.land.naver.com/articles/2654599913", "매물Link")</f>
        <v/>
      </c>
      <c r="M850" s="6">
        <f>HYPERLINK("https://map.naver.com/p/search/남이면 대련리 75", "지도Link")</f>
        <v/>
      </c>
      <c r="N850" s="6">
        <f>HYPERLINK("http://www.eum.go.kr/web/ar/lu/luLandDet.jsp?pnu=4311231035100750000&amp;isNoScr=script&amp;mode=search", "토지이음")</f>
        <v/>
      </c>
      <c r="O850" s="3" t="inlineStr">
        <is>
          <t>바로그</t>
        </is>
      </c>
      <c r="P850" s="4" t="n">
        <v>1</v>
      </c>
      <c r="Q850" s="4" t="n">
        <v>3487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대련리 75</t>
        </is>
      </c>
      <c r="B851" s="3" t="inlineStr">
        <is>
          <t>자연녹지지역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168800</v>
      </c>
      <c r="G851" s="4" t="n">
        <v>3487</v>
      </c>
      <c r="H851" s="4" t="n">
        <v>1055</v>
      </c>
      <c r="I851" s="5" t="n">
        <v>160</v>
      </c>
      <c r="J851" s="5" t="n">
        <v>35.5</v>
      </c>
      <c r="K851" s="3" t="inlineStr">
        <is>
          <t>nan</t>
        </is>
      </c>
      <c r="L851" s="6">
        <f>HYPERLINK("https://fin.land.naver.com/articles/2652941172", "매물Link")</f>
        <v/>
      </c>
      <c r="M851" s="6">
        <f>HYPERLINK("https://map.naver.com/p/search/남이면 대련리 75", "지도Link")</f>
        <v/>
      </c>
      <c r="N851" s="6">
        <f>HYPERLINK("http://www.eum.go.kr/web/ar/lu/luLandDet.jsp?pnu=4311231035100750000&amp;isNoScr=script&amp;mode=search", "토지이음")</f>
        <v/>
      </c>
      <c r="O851" s="3" t="inlineStr">
        <is>
          <t>신화</t>
        </is>
      </c>
      <c r="P851" s="4" t="n">
        <v>1</v>
      </c>
      <c r="Q851" s="4" t="n">
        <v>3487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자루형</t>
        </is>
      </c>
      <c r="V851" s="3" t="inlineStr">
        <is>
          <t>세로한면(가)</t>
        </is>
      </c>
    </row>
    <row r="852">
      <c r="A852" s="3" t="inlineStr">
        <is>
          <t>남이면 대련리 88-1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10650</v>
      </c>
      <c r="G852" s="4" t="n">
        <v>236</v>
      </c>
      <c r="H852" s="4" t="n">
        <v>71</v>
      </c>
      <c r="I852" s="5" t="n">
        <v>150</v>
      </c>
      <c r="J852" s="5" t="n">
        <v>33.4</v>
      </c>
      <c r="K852" s="3" t="inlineStr">
        <is>
          <t>모든 건축행위 가능한 2차선 접한 귀한 소액물건</t>
        </is>
      </c>
      <c r="L852" s="6">
        <f>HYPERLINK("https://fin.land.naver.com/articles/2654659609", "매물Link")</f>
        <v/>
      </c>
      <c r="M852" s="6">
        <f>HYPERLINK("https://map.naver.com/p/search/남이면 대련리 88-1", "지도Link")</f>
        <v/>
      </c>
      <c r="N852" s="6">
        <f>HYPERLINK("http://www.eum.go.kr/web/ar/lu/luLandDet.jsp?pnu=4311231035100880001&amp;isNoScr=script&amp;mode=search", "토지이음")</f>
        <v/>
      </c>
      <c r="O852" s="3" t="inlineStr">
        <is>
          <t>세종</t>
        </is>
      </c>
      <c r="P852" s="4" t="n">
        <v>1</v>
      </c>
      <c r="Q852" s="4" t="n">
        <v>236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남이면 대련리 98-2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전</t>
        </is>
      </c>
      <c r="E853" s="3" t="inlineStr">
        <is>
          <t>매매</t>
        </is>
      </c>
      <c r="F853" s="4" t="n">
        <v>40000</v>
      </c>
      <c r="G853" s="4" t="n">
        <v>1884</v>
      </c>
      <c r="H853" s="4" t="n">
        <v>570</v>
      </c>
      <c r="I853" s="5" t="n">
        <v>70.2</v>
      </c>
      <c r="J853" s="5" t="n">
        <v>24.5</v>
      </c>
      <c r="K853" s="3" t="inlineStr">
        <is>
          <t>시내권  다양한용도 개발가능 급매</t>
        </is>
      </c>
      <c r="L853" s="6">
        <f>HYPERLINK("https://fin.land.naver.com/articles/2654005871", "매물Link")</f>
        <v/>
      </c>
      <c r="M853" s="6">
        <f>HYPERLINK("https://map.naver.com/p/search/남이면 대련리 98-2", "지도Link")</f>
        <v/>
      </c>
      <c r="N853" s="6">
        <f>HYPERLINK("http://www.eum.go.kr/web/ar/lu/luLandDet.jsp?pnu=4311231035100980002&amp;isNoScr=script&amp;mode=search", "토지이음")</f>
        <v/>
      </c>
      <c r="O853" s="3" t="inlineStr">
        <is>
          <t>청주지웰프로</t>
        </is>
      </c>
      <c r="P853" s="4" t="n">
        <v>1</v>
      </c>
      <c r="Q853" s="4" t="n">
        <v>1884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남이면 대련리 산 56-3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40000</v>
      </c>
      <c r="G854" s="4" t="n">
        <v>6557</v>
      </c>
      <c r="H854" s="4" t="n">
        <v>1983</v>
      </c>
      <c r="I854" s="5" t="n">
        <v>20.2</v>
      </c>
      <c r="J854" s="5" t="n">
        <v>3.3</v>
      </c>
      <c r="K854" s="3" t="inlineStr">
        <is>
          <t>남이면 대련리 임야 매매 차량 진입 원활 일부 밭 사용 가능 도시공원</t>
        </is>
      </c>
      <c r="L854" s="6">
        <f>HYPERLINK("https://fin.land.naver.com/articles/2652211222", "매물Link")</f>
        <v/>
      </c>
      <c r="M854" s="6">
        <f>HYPERLINK("https://map.naver.com/p/search/남이면 대련리 산 56-3", "지도Link")</f>
        <v/>
      </c>
      <c r="N854" s="6">
        <f>HYPERLINK("http://www.eum.go.kr/web/ar/lu/luLandDet.jsp?pnu=4311231035200560003&amp;isNoScr=script&amp;mode=search", "토지이음")</f>
        <v/>
      </c>
      <c r="O854" s="3" t="inlineStr">
        <is>
          <t>그린</t>
        </is>
      </c>
      <c r="P854" s="4" t="n">
        <v>1</v>
      </c>
      <c r="Q854" s="4" t="n">
        <v>6557</v>
      </c>
      <c r="R854" s="3" t="inlineStr">
        <is>
          <t>자연녹지지역</t>
        </is>
      </c>
      <c r="S854" s="3" t="inlineStr">
        <is>
          <t>자연림</t>
        </is>
      </c>
      <c r="T854" s="3" t="inlineStr">
        <is>
          <t>급경사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문동리 143-1</t>
        </is>
      </c>
      <c r="B855" s="3" t="inlineStr">
        <is>
          <t>생산관리지역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29500</v>
      </c>
      <c r="G855" s="4" t="n">
        <v>978</v>
      </c>
      <c r="H855" s="4" t="n">
        <v>296</v>
      </c>
      <c r="I855" s="5" t="n">
        <v>99.7</v>
      </c>
      <c r="J855" s="5" t="n">
        <v>14.7</v>
      </c>
      <c r="K855" s="3" t="inlineStr">
        <is>
          <t>문동리 2차선도로 접합, 세리모텔근처, 충청살수환경옆</t>
        </is>
      </c>
      <c r="L855" s="6">
        <f>HYPERLINK("https://fin.land.naver.com/articles/2652439169", "매물Link")</f>
        <v/>
      </c>
      <c r="M855" s="6">
        <f>HYPERLINK("https://map.naver.com/p/search/남이면 문동리 143-1", "지도Link")</f>
        <v/>
      </c>
      <c r="N855" s="6">
        <f>HYPERLINK("http://www.eum.go.kr/web/ar/lu/luLandDet.jsp?pnu=4311231023101430001&amp;isNoScr=script&amp;mode=search", "토지이음")</f>
        <v/>
      </c>
      <c r="O855" s="3" t="inlineStr">
        <is>
          <t>길</t>
        </is>
      </c>
      <c r="P855" s="4" t="n">
        <v>1</v>
      </c>
      <c r="Q855" s="4" t="n">
        <v>978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문동리 192-1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130000</v>
      </c>
      <c r="G856" s="4" t="n">
        <v>2395</v>
      </c>
      <c r="H856" s="4" t="n">
        <v>724</v>
      </c>
      <c r="I856" s="5" t="n">
        <v>179.6</v>
      </c>
      <c r="J856" s="5" t="n">
        <v>36.5</v>
      </c>
      <c r="K856" s="3" t="inlineStr">
        <is>
          <t>고물상, 쓰레기처리시설 추천</t>
        </is>
      </c>
      <c r="L856" s="6">
        <f>HYPERLINK("https://fin.land.naver.com/articles/2653577537", "매물Link")</f>
        <v/>
      </c>
      <c r="M856" s="6">
        <f>HYPERLINK("https://map.naver.com/p/search/남이면 문동리 192-1", "지도Link")</f>
        <v/>
      </c>
      <c r="N856" s="6">
        <f>HYPERLINK("http://www.eum.go.kr/web/ar/lu/luLandDet.jsp?pnu=4311231023101920001&amp;isNoScr=script&amp;mode=search", "토지이음")</f>
        <v/>
      </c>
      <c r="O856" s="3" t="inlineStr">
        <is>
          <t>노블</t>
        </is>
      </c>
      <c r="P856" s="4" t="n">
        <v>1</v>
      </c>
      <c r="Q856" s="4" t="n">
        <v>1520</v>
      </c>
      <c r="R856" s="3" t="inlineStr">
        <is>
          <t>지정되지않음</t>
        </is>
      </c>
      <c r="S856" s="3" t="inlineStr">
        <is>
          <t>주거기타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남이면 문동리 205</t>
        </is>
      </c>
      <c r="B857" s="3" t="inlineStr">
        <is>
          <t>생산관리지역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38000</v>
      </c>
      <c r="G857" s="4" t="n">
        <v>1300</v>
      </c>
      <c r="H857" s="4" t="n">
        <v>393</v>
      </c>
      <c r="I857" s="5" t="n">
        <v>96.7</v>
      </c>
      <c r="J857" s="5" t="n">
        <v>80.8</v>
      </c>
      <c r="K857" s="3" t="inlineStr">
        <is>
          <t>nan</t>
        </is>
      </c>
      <c r="L857" s="6">
        <f>HYPERLINK("https://fin.land.naver.com/articles/2650890944", "매물Link")</f>
        <v/>
      </c>
      <c r="M857" s="6">
        <f>HYPERLINK("https://map.naver.com/p/search/남이면 문동리 205", "지도Link")</f>
        <v/>
      </c>
      <c r="N857" s="6">
        <f>HYPERLINK("http://www.eum.go.kr/web/ar/lu/luLandDet.jsp?pnu=4311231023102050000&amp;isNoScr=script&amp;mode=search", "토지이음")</f>
        <v/>
      </c>
      <c r="O857" s="3" t="inlineStr">
        <is>
          <t>대웅</t>
        </is>
      </c>
      <c r="P857" s="4" t="n">
        <v>1</v>
      </c>
      <c r="Q857" s="4" t="n">
        <v>940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문동리 21-1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대</t>
        </is>
      </c>
      <c r="E858" s="3" t="inlineStr">
        <is>
          <t>매매</t>
        </is>
      </c>
      <c r="F858" s="4" t="n">
        <v>11500</v>
      </c>
      <c r="G858" s="4" t="n">
        <v>760</v>
      </c>
      <c r="H858" s="4" t="n">
        <v>230</v>
      </c>
      <c r="I858" s="5" t="n">
        <v>50</v>
      </c>
      <c r="J858" s="5" t="n">
        <v>15.7</v>
      </c>
      <c r="K858" s="3" t="inlineStr">
        <is>
          <t>정남향의 전원주택지.바로옆에 도랑이 사계절 흐름.</t>
        </is>
      </c>
      <c r="L858" s="6">
        <f>HYPERLINK("https://fin.land.naver.com/articles/2651081704", "매물Link")</f>
        <v/>
      </c>
      <c r="M858" s="6">
        <f>HYPERLINK("https://map.naver.com/p/search/남이면 문동리 21-1", "지도Link")</f>
        <v/>
      </c>
      <c r="N858" s="6">
        <f>HYPERLINK("http://www.eum.go.kr/web/ar/lu/luLandDet.jsp?pnu=4311231023100210001&amp;isNoScr=script&amp;mode=search", "토지이음")</f>
        <v/>
      </c>
      <c r="O858" s="3" t="inlineStr">
        <is>
          <t>청와대합동사무소</t>
        </is>
      </c>
      <c r="P858" s="4" t="n">
        <v>1</v>
      </c>
      <c r="Q858" s="4" t="n">
        <v>261</v>
      </c>
      <c r="R858" s="3" t="inlineStr">
        <is>
          <t>지정되지않음</t>
        </is>
      </c>
      <c r="S858" s="3" t="inlineStr">
        <is>
          <t>전기타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문동리 234</t>
        </is>
      </c>
      <c r="B859" s="3" t="inlineStr">
        <is>
          <t>생산관리지역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23000</v>
      </c>
      <c r="G859" s="4" t="n">
        <v>3492</v>
      </c>
      <c r="H859" s="4" t="n">
        <v>1056</v>
      </c>
      <c r="I859" s="5" t="n">
        <v>21.8</v>
      </c>
      <c r="J859" s="5" t="n">
        <v>8.5</v>
      </c>
      <c r="K859" s="3" t="inlineStr">
        <is>
          <t>문동1리 북측, 블루베리 470주, 농막 포함.</t>
        </is>
      </c>
      <c r="L859" s="6">
        <f>HYPERLINK("https://fin.land.naver.com/articles/2654633261", "매물Link")</f>
        <v/>
      </c>
      <c r="M859" s="6">
        <f>HYPERLINK("https://map.naver.com/p/search/남이면 문동리 234", "지도Link")</f>
        <v/>
      </c>
      <c r="N859" s="6">
        <f>HYPERLINK("http://www.eum.go.kr/web/ar/lu/luLandDet.jsp?pnu=4311231023102340000&amp;isNoScr=script&amp;mode=search", "토지이음")</f>
        <v/>
      </c>
      <c r="O859" s="3" t="inlineStr">
        <is>
          <t>청주모충주공사모1·2재개발명성</t>
        </is>
      </c>
      <c r="P859" s="4" t="n">
        <v>1</v>
      </c>
      <c r="Q859" s="4" t="n">
        <v>1980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남이면 문동리 259-2</t>
        </is>
      </c>
      <c r="B860" s="3" t="inlineStr">
        <is>
          <t>생산관리지역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12100</v>
      </c>
      <c r="G860" s="4" t="n">
        <v>800</v>
      </c>
      <c r="H860" s="4" t="n">
        <v>242</v>
      </c>
      <c r="I860" s="5" t="n">
        <v>50</v>
      </c>
      <c r="J860" s="5" t="n">
        <v>14.5</v>
      </c>
      <c r="K860" s="3" t="inlineStr">
        <is>
          <t>남이면 문동리 토지매매</t>
        </is>
      </c>
      <c r="L860" s="6">
        <f>HYPERLINK("https://fin.land.naver.com/articles/2654947651", "매물Link")</f>
        <v/>
      </c>
      <c r="M860" s="6">
        <f>HYPERLINK("https://map.naver.com/p/search/남이면 문동리 259-2", "지도Link")</f>
        <v/>
      </c>
      <c r="N860" s="6">
        <f>HYPERLINK("http://www.eum.go.kr/web/ar/lu/luLandDet.jsp?pnu=4311231023102590002&amp;isNoScr=script&amp;mode=search", "토지이음")</f>
        <v/>
      </c>
      <c r="O860" s="3" t="inlineStr">
        <is>
          <t>세원</t>
        </is>
      </c>
      <c r="P860" s="4" t="n">
        <v>1</v>
      </c>
      <c r="Q860" s="4" t="n">
        <v>800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남이면 문동리 262-1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12000</v>
      </c>
      <c r="G861" s="4" t="n">
        <v>629</v>
      </c>
      <c r="H861" s="4" t="n">
        <v>190</v>
      </c>
      <c r="I861" s="5" t="n">
        <v>63.2</v>
      </c>
      <c r="J861" s="5" t="n">
        <v>32.6</v>
      </c>
      <c r="K861" s="3" t="inlineStr">
        <is>
          <t>서원구 남이면 문동리 위치한 전원주택지입니다.</t>
        </is>
      </c>
      <c r="L861" s="6">
        <f>HYPERLINK("https://fin.land.naver.com/articles/2655591595", "매물Link")</f>
        <v/>
      </c>
      <c r="M861" s="6">
        <f>HYPERLINK("https://map.naver.com/p/search/남이면 문동리 262-1", "지도Link")</f>
        <v/>
      </c>
      <c r="N861" s="6">
        <f>HYPERLINK("http://www.eum.go.kr/web/ar/lu/luLandDet.jsp?pnu=4311231023102620001&amp;isNoScr=script&amp;mode=search", "토지이음")</f>
        <v/>
      </c>
      <c r="O861" s="3" t="inlineStr">
        <is>
          <t>세원</t>
        </is>
      </c>
      <c r="P861" s="4" t="n">
        <v>1</v>
      </c>
      <c r="Q861" s="4" t="n">
        <v>629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문동리 264-3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10000</v>
      </c>
      <c r="G862" s="4" t="n">
        <v>555</v>
      </c>
      <c r="H862" s="4" t="n">
        <v>168</v>
      </c>
      <c r="I862" s="5" t="n">
        <v>59.5</v>
      </c>
      <c r="J862" s="5" t="n">
        <v>32.9</v>
      </c>
      <c r="K862" s="3" t="inlineStr">
        <is>
          <t>남이면 문동리 토지매매</t>
        </is>
      </c>
      <c r="L862" s="6">
        <f>HYPERLINK("https://fin.land.naver.com/articles/2654947097", "매물Link")</f>
        <v/>
      </c>
      <c r="M862" s="6">
        <f>HYPERLINK("https://map.naver.com/p/search/남이면 문동리 264-3", "지도Link")</f>
        <v/>
      </c>
      <c r="N862" s="6">
        <f>HYPERLINK("http://www.eum.go.kr/web/ar/lu/luLandDet.jsp?pnu=4311231023102640003&amp;isNoScr=script&amp;mode=search", "토지이음")</f>
        <v/>
      </c>
      <c r="O862" s="3" t="inlineStr">
        <is>
          <t>세원</t>
        </is>
      </c>
      <c r="P862" s="4" t="n">
        <v>1</v>
      </c>
      <c r="Q862" s="4" t="n">
        <v>555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세로각지(가)</t>
        </is>
      </c>
    </row>
    <row r="863">
      <c r="A863" s="3" t="inlineStr">
        <is>
          <t>남이면 문동리 338-1</t>
        </is>
      </c>
      <c r="B863" s="3" t="inlineStr">
        <is>
          <t>생산관리지역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14000</v>
      </c>
      <c r="G863" s="4" t="n">
        <v>756</v>
      </c>
      <c r="H863" s="4" t="n">
        <v>229</v>
      </c>
      <c r="I863" s="5" t="n">
        <v>61.1</v>
      </c>
      <c r="J863" s="5" t="n">
        <v>13.6</v>
      </c>
      <c r="K863" s="3" t="inlineStr">
        <is>
          <t>2차선도로에 접한땅임.소매 물류창고추천</t>
        </is>
      </c>
      <c r="L863" s="6">
        <f>HYPERLINK("https://fin.land.naver.com/articles/2654708901", "매물Link")</f>
        <v/>
      </c>
      <c r="M863" s="6">
        <f>HYPERLINK("https://map.naver.com/p/search/남이면 문동리 338-1", "지도Link")</f>
        <v/>
      </c>
      <c r="N863" s="6">
        <f>HYPERLINK("http://www.eum.go.kr/web/ar/lu/luLandDet.jsp?pnu=4311231023103380001&amp;isNoScr=script&amp;mode=search", "토지이음")</f>
        <v/>
      </c>
      <c r="O863" s="3" t="inlineStr">
        <is>
          <t>포시즌</t>
        </is>
      </c>
      <c r="P863" s="4" t="n">
        <v>1</v>
      </c>
      <c r="Q863" s="4" t="n">
        <v>756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344</t>
        </is>
      </c>
      <c r="B864" s="3" t="inlineStr">
        <is>
          <t>자연환경보전지역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17000</v>
      </c>
      <c r="G864" s="4" t="n">
        <v>2939</v>
      </c>
      <c r="H864" s="4" t="n">
        <v>889</v>
      </c>
      <c r="I864" s="5" t="n">
        <v>19.1</v>
      </c>
      <c r="J864" s="5" t="n">
        <v>8.9</v>
      </c>
      <c r="K864" s="3" t="inlineStr">
        <is>
          <t>남이면 문동리 전 매매</t>
        </is>
      </c>
      <c r="L864" s="6">
        <f>HYPERLINK("https://fin.land.naver.com/articles/2650251867", "매물Link")</f>
        <v/>
      </c>
      <c r="M864" s="6">
        <f>HYPERLINK("https://map.naver.com/p/search/남이면 문동리 344", "지도Link")</f>
        <v/>
      </c>
      <c r="N864" s="6">
        <f>HYPERLINK("http://www.eum.go.kr/web/ar/lu/luLandDet.jsp?pnu=4311231023103440000&amp;isNoScr=script&amp;mode=search", "토지이음")</f>
        <v/>
      </c>
      <c r="O864" s="3" t="inlineStr">
        <is>
          <t>터와뜰</t>
        </is>
      </c>
      <c r="P864" s="4" t="n">
        <v>1</v>
      </c>
      <c r="Q864" s="4" t="n">
        <v>2939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477</t>
        </is>
      </c>
      <c r="B865" s="3" t="inlineStr">
        <is>
          <t>자연환경보전지역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</v>
      </c>
      <c r="G865" s="4" t="n">
        <v>734</v>
      </c>
      <c r="H865" s="4" t="n">
        <v>222</v>
      </c>
      <c r="I865" s="5" t="n">
        <v>40.5</v>
      </c>
      <c r="J865" s="5" t="n">
        <v>23</v>
      </c>
      <c r="K865" s="3" t="inlineStr">
        <is>
          <t>남청주 iC 에서 차로 15분 내 진입가능 토목공사 완료 됨 건축가능</t>
        </is>
      </c>
      <c r="L865" s="6">
        <f>HYPERLINK("https://fin.land.naver.com/articles/2650931497", "매물Link")</f>
        <v/>
      </c>
      <c r="M865" s="6">
        <f>HYPERLINK("https://map.naver.com/p/search/남이면 문동리 477", "지도Link")</f>
        <v/>
      </c>
      <c r="N865" s="6">
        <f>HYPERLINK("http://www.eum.go.kr/web/ar/lu/luLandDet.jsp?pnu=4311231023104770000&amp;isNoScr=script&amp;mode=search", "토지이음")</f>
        <v/>
      </c>
      <c r="O865" s="3" t="inlineStr">
        <is>
          <t>하나</t>
        </is>
      </c>
      <c r="P865" s="4" t="n">
        <v>1</v>
      </c>
      <c r="Q865" s="4" t="n">
        <v>734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남이면 문동리 산 26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78000</v>
      </c>
      <c r="G866" s="4" t="n">
        <v>3224</v>
      </c>
      <c r="H866" s="4" t="n">
        <v>975</v>
      </c>
      <c r="I866" s="5" t="n">
        <v>80</v>
      </c>
      <c r="J866" s="5" t="n">
        <v>30</v>
      </c>
      <c r="K866" s="3" t="inlineStr">
        <is>
          <t>nan</t>
        </is>
      </c>
      <c r="L866" s="6">
        <f>HYPERLINK("https://fin.land.naver.com/articles/2650275971", "매물Link")</f>
        <v/>
      </c>
      <c r="M866" s="6">
        <f>HYPERLINK("https://map.naver.com/p/search/남이면 문동리 산 26", "지도Link")</f>
        <v/>
      </c>
      <c r="N866" s="6">
        <f>HYPERLINK("http://www.eum.go.kr/web/ar/lu/luLandDet.jsp?pnu=4311231023200260000&amp;isNoScr=script&amp;mode=search", "토지이음")</f>
        <v/>
      </c>
      <c r="O866" s="3" t="inlineStr">
        <is>
          <t>일등</t>
        </is>
      </c>
      <c r="P866" s="4" t="n">
        <v>1</v>
      </c>
      <c r="Q866" s="4" t="n">
        <v>772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산 26-51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17000</v>
      </c>
      <c r="G867" s="4" t="n">
        <v>718</v>
      </c>
      <c r="H867" s="4" t="n">
        <v>217</v>
      </c>
      <c r="I867" s="5" t="n">
        <v>78.3</v>
      </c>
      <c r="J867" s="5" t="n">
        <v>30</v>
      </c>
      <c r="K867" s="3" t="inlineStr">
        <is>
          <t>남이면 문동리 토목공사 완료된 택지 매매 주택 세컨드하우스등 추천</t>
        </is>
      </c>
      <c r="L867" s="6">
        <f>HYPERLINK("https://fin.land.naver.com/articles/2652464628", "매물Link")</f>
        <v/>
      </c>
      <c r="M867" s="6">
        <f>HYPERLINK("https://map.naver.com/p/search/남이면 문동리 산 26-51", "지도Link")</f>
        <v/>
      </c>
      <c r="N867" s="6">
        <f>HYPERLINK("http://www.eum.go.kr/web/ar/lu/luLandDet.jsp?pnu=4311231023200260051&amp;isNoScr=script&amp;mode=search", "토지이음")</f>
        <v/>
      </c>
      <c r="O867" s="3" t="inlineStr">
        <is>
          <t>그린</t>
        </is>
      </c>
      <c r="P867" s="4" t="n">
        <v>1</v>
      </c>
      <c r="Q867" s="4" t="n">
        <v>652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산26-20</t>
        </is>
      </c>
      <c r="B868" s="3" t="inlineStr">
        <is>
          <t>보전녹지지역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25000</v>
      </c>
      <c r="G868" s="4" t="n">
        <v>1749</v>
      </c>
      <c r="H868" s="4" t="n">
        <v>529</v>
      </c>
      <c r="I868" s="5" t="n">
        <v>47.3</v>
      </c>
      <c r="J868" s="5" t="n">
        <v>29.7</v>
      </c>
      <c r="K868" s="3" t="inlineStr">
        <is>
          <t>남이면 문동리 택지 매매 토목공사 완료 주택지 창고 근생등</t>
        </is>
      </c>
      <c r="L868" s="6">
        <f>HYPERLINK("https://fin.land.naver.com/articles/2652463956", "매물Link")</f>
        <v/>
      </c>
      <c r="M868" s="6">
        <f>HYPERLINK("https://map.naver.com/p/search/남이면 문동리 산26-20", "지도Link")</f>
        <v/>
      </c>
      <c r="N868" s="6">
        <f>HYPERLINK("http://www.eum.go.kr/web/ar/lu/luLandDet.jsp?pnu=4311231023200260020&amp;isNoScr=script&amp;mode=search", "토지이음")</f>
        <v/>
      </c>
      <c r="O868" s="3" t="inlineStr">
        <is>
          <t>그린</t>
        </is>
      </c>
      <c r="P868" s="4" t="n">
        <v>1</v>
      </c>
      <c r="Q868" s="4" t="n">
        <v>1528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산26-20</t>
        </is>
      </c>
      <c r="B869" s="3" t="inlineStr">
        <is>
          <t>보전녹지지역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25000</v>
      </c>
      <c r="G869" s="4" t="n">
        <v>1528</v>
      </c>
      <c r="H869" s="4" t="n">
        <v>462</v>
      </c>
      <c r="I869" s="5" t="n">
        <v>54.1</v>
      </c>
      <c r="J869" s="5" t="n">
        <v>29.7</v>
      </c>
      <c r="K869" s="3" t="inlineStr">
        <is>
          <t>문동리 토목공사 완료된 전원주택지 매매, 1종근생가능</t>
        </is>
      </c>
      <c r="L869" s="6">
        <f>HYPERLINK("https://fin.land.naver.com/articles/2653456144", "매물Link")</f>
        <v/>
      </c>
      <c r="M869" s="6">
        <f>HYPERLINK("https://map.naver.com/p/search/남이면 문동리 산26-20", "지도Link")</f>
        <v/>
      </c>
      <c r="N869" s="6">
        <f>HYPERLINK("http://www.eum.go.kr/web/ar/lu/luLandDet.jsp?pnu=4311231023200260020&amp;isNoScr=script&amp;mode=search", "토지이음")</f>
        <v/>
      </c>
      <c r="O869" s="3" t="inlineStr">
        <is>
          <t>원탑</t>
        </is>
      </c>
      <c r="P869" s="4" t="n">
        <v>1</v>
      </c>
      <c r="Q869" s="4" t="n">
        <v>1528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남이면 문동리 산26-7</t>
        </is>
      </c>
      <c r="B870" s="3" t="inlineStr">
        <is>
          <t>보전녹지지역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</v>
      </c>
      <c r="G870" s="4" t="n">
        <v>1435</v>
      </c>
      <c r="H870" s="4" t="n">
        <v>434</v>
      </c>
      <c r="I870" s="5" t="n">
        <v>34.6</v>
      </c>
      <c r="J870" s="5" t="n">
        <v>5.2</v>
      </c>
      <c r="K870" s="3" t="inlineStr">
        <is>
          <t>문동리한의사마을 전원주택지 매매</t>
        </is>
      </c>
      <c r="L870" s="6">
        <f>HYPERLINK("https://fin.land.naver.com/articles/2655329481", "매물Link")</f>
        <v/>
      </c>
      <c r="M870" s="6">
        <f>HYPERLINK("https://map.naver.com/p/search/남이면 문동리 산26-7", "지도Link")</f>
        <v/>
      </c>
      <c r="N870" s="6">
        <f>HYPERLINK("http://www.eum.go.kr/web/ar/lu/luLandDet.jsp?pnu=4311231023200260007&amp;isNoScr=script&amp;mode=search", "토지이음")</f>
        <v/>
      </c>
      <c r="O870" s="3" t="inlineStr">
        <is>
          <t>스피드</t>
        </is>
      </c>
      <c r="P870" s="4" t="n">
        <v>1</v>
      </c>
      <c r="Q870" s="4" t="n">
        <v>1435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남이면 부용외천리 1069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대</t>
        </is>
      </c>
      <c r="E871" s="3" t="inlineStr">
        <is>
          <t>매매</t>
        </is>
      </c>
      <c r="F871" s="4" t="n">
        <v>170000</v>
      </c>
      <c r="G871" s="4" t="n">
        <v>4513</v>
      </c>
      <c r="H871" s="4" t="n">
        <v>1365</v>
      </c>
      <c r="I871" s="5" t="n">
        <v>124.5</v>
      </c>
      <c r="J871" s="5" t="n">
        <v>45.3</v>
      </c>
      <c r="K871" s="3" t="inlineStr">
        <is>
          <t>즉시 건축 가능한 계획 관리 공장 및 창고부지 매매, 4차선 도로 인접</t>
        </is>
      </c>
      <c r="L871" s="6">
        <f>HYPERLINK("https://fin.land.naver.com/articles/2650884786", "매물Link")</f>
        <v/>
      </c>
      <c r="M871" s="6">
        <f>HYPERLINK("https://map.naver.com/p/search/남이면 부용외천리 1069", "지도Link")</f>
        <v/>
      </c>
      <c r="N871" s="6">
        <f>HYPERLINK("http://www.eum.go.kr/web/ar/lu/luLandDet.jsp?pnu=4311231040110690000&amp;isNoScr=script&amp;mode=search", "토지이음")</f>
        <v/>
      </c>
      <c r="O871" s="3" t="inlineStr">
        <is>
          <t>대전토지로무소</t>
        </is>
      </c>
      <c r="P871" s="4" t="n">
        <v>1</v>
      </c>
      <c r="Q871" s="4" t="n">
        <v>2801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남이면 부용외천리 1069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대</t>
        </is>
      </c>
      <c r="E872" s="3" t="inlineStr">
        <is>
          <t>매매</t>
        </is>
      </c>
      <c r="F872" s="4" t="n">
        <v>170000</v>
      </c>
      <c r="G872" s="4" t="n">
        <v>4513</v>
      </c>
      <c r="H872" s="4" t="n">
        <v>1365</v>
      </c>
      <c r="I872" s="5" t="n">
        <v>124.5</v>
      </c>
      <c r="J872" s="5" t="n">
        <v>45.3</v>
      </c>
      <c r="K872" s="3" t="inlineStr">
        <is>
          <t>nan</t>
        </is>
      </c>
      <c r="L872" s="6">
        <f>HYPERLINK("https://fin.land.naver.com/articles/2655019421", "매물Link")</f>
        <v/>
      </c>
      <c r="M872" s="6">
        <f>HYPERLINK("https://map.naver.com/p/search/남이면 부용외천리 1069", "지도Link")</f>
        <v/>
      </c>
      <c r="N872" s="6">
        <f>HYPERLINK("http://www.eum.go.kr/web/ar/lu/luLandDet.jsp?pnu=4311231040110690000&amp;isNoScr=script&amp;mode=search", "토지이음")</f>
        <v/>
      </c>
      <c r="O872" s="3" t="inlineStr">
        <is>
          <t>포도</t>
        </is>
      </c>
      <c r="P872" s="4" t="n">
        <v>1</v>
      </c>
      <c r="Q872" s="4" t="n">
        <v>2801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남이면 부용외천리 254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49700</v>
      </c>
      <c r="G873" s="4" t="n">
        <v>607</v>
      </c>
      <c r="H873" s="4" t="n">
        <v>184</v>
      </c>
      <c r="I873" s="5" t="n">
        <v>270.1</v>
      </c>
      <c r="J873" s="5" t="n">
        <v>67.09999999999999</v>
      </c>
      <c r="K873" s="3" t="inlineStr">
        <is>
          <t>남청주IC 인근 대로 접한 계획관리 토지</t>
        </is>
      </c>
      <c r="L873" s="6">
        <f>HYPERLINK("https://fin.land.naver.com/articles/2655630590", "매물Link")</f>
        <v/>
      </c>
      <c r="M873" s="6">
        <f>HYPERLINK("https://map.naver.com/p/search/남이면 부용외천리 254", "지도Link")</f>
        <v/>
      </c>
      <c r="N873" s="6">
        <f>HYPERLINK("http://www.eum.go.kr/web/ar/lu/luLandDet.jsp?pnu=4311231040102540000&amp;isNoScr=script&amp;mode=search", "토지이음")</f>
        <v/>
      </c>
      <c r="O873" s="3" t="inlineStr">
        <is>
          <t>정민</t>
        </is>
      </c>
      <c r="P873" s="4" t="n">
        <v>1</v>
      </c>
      <c r="Q873" s="4" t="n">
        <v>607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중로한면</t>
        </is>
      </c>
    </row>
    <row r="874">
      <c r="A874" s="3" t="inlineStr">
        <is>
          <t>남이면 부용외천리 63-1</t>
        </is>
      </c>
      <c r="B874" s="3" t="inlineStr">
        <is>
          <t>계획관리지역</t>
        </is>
      </c>
      <c r="C874" s="3" t="inlineStr">
        <is>
          <t>창고용지</t>
        </is>
      </c>
      <c r="D874" s="3" t="inlineStr">
        <is>
          <t>창고용지</t>
        </is>
      </c>
      <c r="E874" s="3" t="inlineStr">
        <is>
          <t>매매</t>
        </is>
      </c>
      <c r="F874" s="4" t="n">
        <v>250000</v>
      </c>
      <c r="G874" s="4" t="n">
        <v>5703</v>
      </c>
      <c r="H874" s="4" t="n">
        <v>1725</v>
      </c>
      <c r="I874" s="5" t="n">
        <v>144.9</v>
      </c>
      <c r="J874" s="5" t="n">
        <v>33.1</v>
      </c>
      <c r="K874" s="3" t="inlineStr">
        <is>
          <t>남청주IC 인근, 토지 및 건축물 매매, 가격절충가능</t>
        </is>
      </c>
      <c r="L874" s="6">
        <f>HYPERLINK("https://fin.land.naver.com/articles/2651985023", "매물Link")</f>
        <v/>
      </c>
      <c r="M874" s="6">
        <f>HYPERLINK("https://map.naver.com/p/search/남이면 부용외천리 63-1", "지도Link")</f>
        <v/>
      </c>
      <c r="N874" s="6">
        <f>HYPERLINK("http://www.eum.go.kr/web/ar/lu/luLandDet.jsp?pnu=4311231040100630001&amp;isNoScr=script&amp;mode=search", "토지이음")</f>
        <v/>
      </c>
      <c r="O874" s="3" t="inlineStr">
        <is>
          <t>라인</t>
        </is>
      </c>
      <c r="P874" s="4" t="n">
        <v>1</v>
      </c>
      <c r="Q874" s="4" t="n">
        <v>4923</v>
      </c>
      <c r="R874" s="3" t="inlineStr">
        <is>
          <t>지정되지않음</t>
        </is>
      </c>
      <c r="S874" s="3" t="inlineStr">
        <is>
          <t>주거기타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부용외천리 732-1</t>
        </is>
      </c>
      <c r="B875" s="3" t="inlineStr">
        <is>
          <t>보전관리지역</t>
        </is>
      </c>
      <c r="C875" s="3" t="inlineStr">
        <is>
          <t>전</t>
        </is>
      </c>
      <c r="D875" s="3" t="inlineStr">
        <is>
          <t>대</t>
        </is>
      </c>
      <c r="E875" s="3" t="inlineStr">
        <is>
          <t>매매</t>
        </is>
      </c>
      <c r="F875" s="4" t="n">
        <v>64200</v>
      </c>
      <c r="G875" s="4" t="n">
        <v>3538</v>
      </c>
      <c r="H875" s="4" t="n">
        <v>1070</v>
      </c>
      <c r="I875" s="5" t="n">
        <v>60</v>
      </c>
      <c r="J875" s="5" t="n">
        <v>13.7</v>
      </c>
      <c r="K875" s="3" t="inlineStr">
        <is>
          <t>도시인근 개발추천 ,명문골프장인근에 위치,금액은 조절가능함</t>
        </is>
      </c>
      <c r="L875" s="6">
        <f>HYPERLINK("https://fin.land.naver.com/articles/2655597604", "매물Link")</f>
        <v/>
      </c>
      <c r="M875" s="6">
        <f>HYPERLINK("https://map.naver.com/p/search/남이면 부용외천리 732-1", "지도Link")</f>
        <v/>
      </c>
      <c r="N875" s="6">
        <f>HYPERLINK("http://www.eum.go.kr/web/ar/lu/luLandDet.jsp?pnu=4311231040107320001&amp;isNoScr=script&amp;mode=search", "토지이음")</f>
        <v/>
      </c>
      <c r="O875" s="3" t="inlineStr">
        <is>
          <t>SB</t>
        </is>
      </c>
      <c r="P875" s="4" t="n">
        <v>1</v>
      </c>
      <c r="Q875" s="4" t="n">
        <v>3538</v>
      </c>
      <c r="R875" s="3" t="inlineStr">
        <is>
          <t>지정되지않음</t>
        </is>
      </c>
      <c r="S875" s="3" t="inlineStr">
        <is>
          <t>전기타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부용외천리 825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90000</v>
      </c>
      <c r="G876" s="4" t="n">
        <v>2192</v>
      </c>
      <c r="H876" s="4" t="n">
        <v>663</v>
      </c>
      <c r="I876" s="5" t="n">
        <v>135.7</v>
      </c>
      <c r="J876" s="5" t="n">
        <v>39.6</v>
      </c>
      <c r="K876" s="3" t="inlineStr">
        <is>
          <t>남청주IC 100M 이내,  토지 매매</t>
        </is>
      </c>
      <c r="L876" s="6">
        <f>HYPERLINK("https://fin.land.naver.com/articles/2655581073", "매물Link")</f>
        <v/>
      </c>
      <c r="M876" s="6">
        <f>HYPERLINK("https://map.naver.com/p/search/남이면 부용외천리 825", "지도Link")</f>
        <v/>
      </c>
      <c r="N876" s="6">
        <f>HYPERLINK("http://www.eum.go.kr/web/ar/lu/luLandDet.jsp?pnu=4311231040108250000&amp;isNoScr=script&amp;mode=search", "토지이음")</f>
        <v/>
      </c>
      <c r="O876" s="3" t="inlineStr">
        <is>
          <t>금화랜드</t>
        </is>
      </c>
      <c r="P876" s="4" t="n">
        <v>1</v>
      </c>
      <c r="Q876" s="4" t="n">
        <v>2192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부용외천리 866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200000</v>
      </c>
      <c r="G877" s="4" t="n">
        <v>4423</v>
      </c>
      <c r="H877" s="4" t="n">
        <v>1338</v>
      </c>
      <c r="I877" s="5" t="n">
        <v>149.5</v>
      </c>
      <c r="J877" s="5" t="n">
        <v>37.3</v>
      </c>
      <c r="K877" s="3" t="inlineStr">
        <is>
          <t>남청주IC 삼거리 부근으로 접근성 좋고, 투자가치 좋은 부지</t>
        </is>
      </c>
      <c r="L877" s="6">
        <f>HYPERLINK("https://fin.land.naver.com/articles/2655436259", "매물Link")</f>
        <v/>
      </c>
      <c r="M877" s="6">
        <f>HYPERLINK("https://map.naver.com/p/search/남이면 부용외천리 866", "지도Link")</f>
        <v/>
      </c>
      <c r="N877" s="6">
        <f>HYPERLINK("http://www.eum.go.kr/web/ar/lu/luLandDet.jsp?pnu=4311231040108660000&amp;isNoScr=script&amp;mode=search", "토지이음")</f>
        <v/>
      </c>
      <c r="O877" s="3" t="inlineStr">
        <is>
          <t>(주)미르</t>
        </is>
      </c>
      <c r="P877" s="4" t="n">
        <v>1</v>
      </c>
      <c r="Q877" s="4" t="n">
        <v>1656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남이면 부용외천리 866-3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4423</v>
      </c>
      <c r="H878" s="4" t="n">
        <v>1338</v>
      </c>
      <c r="I878" s="5" t="n">
        <v>127.1</v>
      </c>
      <c r="J878" s="5" t="n">
        <v>75.09999999999999</v>
      </c>
      <c r="K878" s="3" t="inlineStr">
        <is>
          <t>공장,창고 추천,계획관리지역,차량진출입 용이,남청주IC 바로 앞</t>
        </is>
      </c>
      <c r="L878" s="6">
        <f>HYPERLINK("https://fin.land.naver.com/articles/2651579592", "매물Link")</f>
        <v/>
      </c>
      <c r="M878" s="6">
        <f>HYPERLINK("https://map.naver.com/p/search/남이면 부용외천리 866-3", "지도Link")</f>
        <v/>
      </c>
      <c r="N878" s="6">
        <f>HYPERLINK("http://www.eum.go.kr/web/ar/lu/luLandDet.jsp?pnu=4311231040108660003&amp;isNoScr=script&amp;mode=search", "토지이음")</f>
        <v/>
      </c>
      <c r="O878" s="3" t="inlineStr">
        <is>
          <t>금화랜드</t>
        </is>
      </c>
      <c r="P878" s="4" t="n">
        <v>1</v>
      </c>
      <c r="Q878" s="4" t="n">
        <v>556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남이면 부용외천리 866-3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4410</v>
      </c>
      <c r="H879" s="4" t="n">
        <v>1334</v>
      </c>
      <c r="I879" s="5" t="n">
        <v>127.4</v>
      </c>
      <c r="J879" s="5" t="n">
        <v>75.09999999999999</v>
      </c>
      <c r="K879" s="3" t="inlineStr">
        <is>
          <t>남청주IC 인근 계획관리  공장 창고, 회사사옥 등 투자가치 높은땅</t>
        </is>
      </c>
      <c r="L879" s="6">
        <f>HYPERLINK("https://fin.land.naver.com/articles/2650688603", "매물Link")</f>
        <v/>
      </c>
      <c r="M879" s="6">
        <f>HYPERLINK("https://map.naver.com/p/search/남이면 부용외천리 866-3", "지도Link")</f>
        <v/>
      </c>
      <c r="N879" s="6">
        <f>HYPERLINK("http://www.eum.go.kr/web/ar/lu/luLandDet.jsp?pnu=4311231040108660003&amp;isNoScr=script&amp;mode=search", "토지이음")</f>
        <v/>
      </c>
      <c r="O879" s="3" t="inlineStr">
        <is>
          <t>대전토지로무소</t>
        </is>
      </c>
      <c r="P879" s="4" t="n">
        <v>1</v>
      </c>
      <c r="Q879" s="4" t="n">
        <v>556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남이면 부용외천리 산 153-24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749999</v>
      </c>
      <c r="G880" s="4" t="n">
        <v>22318</v>
      </c>
      <c r="H880" s="4" t="n">
        <v>6751</v>
      </c>
      <c r="I880" s="5" t="n">
        <v>111.1</v>
      </c>
      <c r="J880" s="5" t="n">
        <v>4.6</v>
      </c>
      <c r="K880" s="3" t="inlineStr">
        <is>
          <t>nan</t>
        </is>
      </c>
      <c r="L880" s="6">
        <f>HYPERLINK("https://fin.land.naver.com/articles/2653531052", "매물Link")</f>
        <v/>
      </c>
      <c r="M880" s="6">
        <f>HYPERLINK("https://map.naver.com/p/search/남이면 부용외천리 산 153-24", "지도Link")</f>
        <v/>
      </c>
      <c r="N880" s="6">
        <f>HYPERLINK("http://www.eum.go.kr/web/ar/lu/luLandDet.jsp?pnu=4311231040201530024&amp;isNoScr=script&amp;mode=search", "토지이음")</f>
        <v/>
      </c>
      <c r="O880" s="3" t="inlineStr">
        <is>
          <t>황제</t>
        </is>
      </c>
      <c r="P880" s="4" t="n">
        <v>1</v>
      </c>
      <c r="Q880" s="4" t="n">
        <v>20281</v>
      </c>
      <c r="R880" s="3" t="inlineStr">
        <is>
          <t>지정되지않음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부용외천리 산 224-4</t>
        </is>
      </c>
      <c r="B881" s="3" t="inlineStr">
        <is>
          <t>생산관리지역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6800</v>
      </c>
      <c r="G881" s="4" t="n">
        <v>454</v>
      </c>
      <c r="H881" s="4" t="n">
        <v>137</v>
      </c>
      <c r="I881" s="5" t="n">
        <v>49.6</v>
      </c>
      <c r="J881" s="5" t="n">
        <v>2.5</v>
      </c>
      <c r="K881" s="3" t="inlineStr">
        <is>
          <t>도심인근 숲속 전원주택지임.토목공사완료및 진입도로,수도,전기 인입</t>
        </is>
      </c>
      <c r="L881" s="6">
        <f>HYPERLINK("https://fin.land.naver.com/articles/2654698858", "매물Link")</f>
        <v/>
      </c>
      <c r="M881" s="6">
        <f>HYPERLINK("https://map.naver.com/p/search/남이면 부용외천리 산 224-4", "지도Link")</f>
        <v/>
      </c>
      <c r="N881" s="6">
        <f>HYPERLINK("http://www.eum.go.kr/web/ar/lu/luLandDet.jsp?pnu=4311231040202240004&amp;isNoScr=script&amp;mode=search", "토지이음")</f>
        <v/>
      </c>
      <c r="O881" s="3" t="inlineStr">
        <is>
          <t>포시즌</t>
        </is>
      </c>
      <c r="P881" s="4" t="n">
        <v>1</v>
      </c>
      <c r="Q881" s="4" t="n">
        <v>386</v>
      </c>
      <c r="R881" s="3" t="inlineStr">
        <is>
          <t>지정되지않음</t>
        </is>
      </c>
      <c r="S881" s="3" t="inlineStr">
        <is>
          <t>자연림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비룡리 218-3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2038</v>
      </c>
      <c r="H882" s="4" t="n">
        <v>616</v>
      </c>
      <c r="I882" s="5" t="n">
        <v>170.5</v>
      </c>
      <c r="J882" s="5" t="n">
        <v>14.3</v>
      </c>
      <c r="K882" s="3" t="inlineStr">
        <is>
          <t>토지급매 세종청주 고속도로 강내IC2030년 예정 최대 수혜</t>
        </is>
      </c>
      <c r="L882" s="6">
        <f>HYPERLINK("https://fin.land.naver.com/articles/2651661050", "매물Link")</f>
        <v/>
      </c>
      <c r="M882" s="6">
        <f>HYPERLINK("https://map.naver.com/p/search/남이면 비룡리 218-3", "지도Link")</f>
        <v/>
      </c>
      <c r="N882" s="6">
        <f>HYPERLINK("http://www.eum.go.kr/web/ar/lu/luLandDet.jsp?pnu=4311231026102180003&amp;isNoScr=script&amp;mode=search", "토지이음")</f>
        <v/>
      </c>
      <c r="O882" s="3" t="inlineStr">
        <is>
          <t>타임합동사무소</t>
        </is>
      </c>
      <c r="P882" s="4" t="n">
        <v>1</v>
      </c>
      <c r="Q882" s="4" t="n">
        <v>147</v>
      </c>
      <c r="R882" s="3" t="inlineStr">
        <is>
          <t>지정되지않음</t>
        </is>
      </c>
      <c r="S882" s="3" t="inlineStr">
        <is>
          <t>도로등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비룡리 32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15000</v>
      </c>
      <c r="G883" s="4" t="n">
        <v>2160</v>
      </c>
      <c r="H883" s="4" t="n">
        <v>653</v>
      </c>
      <c r="I883" s="5" t="n">
        <v>23</v>
      </c>
      <c r="J883" s="5" t="n">
        <v>10</v>
      </c>
      <c r="K883" s="3" t="inlineStr">
        <is>
          <t>공기좋은 비룡리토지 비닐하우스 안 컨테이너농막 풍부한지하수 주말농장추천</t>
        </is>
      </c>
      <c r="L883" s="6">
        <f>HYPERLINK("https://fin.land.naver.com/articles/2653069463", "매물Link")</f>
        <v/>
      </c>
      <c r="M883" s="6">
        <f>HYPERLINK("https://map.naver.com/p/search/남이면 비룡리 32", "지도Link")</f>
        <v/>
      </c>
      <c r="N883" s="6">
        <f>HYPERLINK("http://www.eum.go.kr/web/ar/lu/luLandDet.jsp?pnu=4311231026100320000&amp;isNoScr=script&amp;mode=search", "토지이음")</f>
        <v/>
      </c>
      <c r="O883" s="3" t="inlineStr">
        <is>
          <t>행복도시</t>
        </is>
      </c>
      <c r="P883" s="4" t="n">
        <v>2</v>
      </c>
      <c r="Q883" s="4" t="n">
        <v>2160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비룡리 325-3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185000</v>
      </c>
      <c r="G884" s="4" t="n">
        <v>585</v>
      </c>
      <c r="H884" s="4" t="n">
        <v>177</v>
      </c>
      <c r="I884" s="5" t="n">
        <v>1045.2</v>
      </c>
      <c r="J884" s="5" t="n">
        <v>28.9</v>
      </c>
      <c r="K884" s="3" t="inlineStr">
        <is>
          <t>o사진o 계획관리 도로접한 공장용지</t>
        </is>
      </c>
      <c r="L884" s="6">
        <f>HYPERLINK("https://fin.land.naver.com/articles/2654399449", "매물Link")</f>
        <v/>
      </c>
      <c r="M884" s="6">
        <f>HYPERLINK("https://map.naver.com/p/search/남이면 비룡리 325-3", "지도Link")</f>
        <v/>
      </c>
      <c r="N884" s="6">
        <f>HYPERLINK("http://www.eum.go.kr/web/ar/lu/luLandDet.jsp?pnu=4311231026103250003&amp;isNoScr=script&amp;mode=search", "토지이음")</f>
        <v/>
      </c>
      <c r="O884" s="3" t="inlineStr">
        <is>
          <t>서초만땅</t>
        </is>
      </c>
      <c r="P884" s="4" t="n">
        <v>1</v>
      </c>
      <c r="Q884" s="4" t="n">
        <v>2630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남이면 비룡리 325-3</t>
        </is>
      </c>
      <c r="B885" s="3" t="inlineStr">
        <is>
          <t>계획관리지역</t>
        </is>
      </c>
      <c r="C885" s="3" t="inlineStr">
        <is>
          <t>답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185000</v>
      </c>
      <c r="G885" s="4" t="n">
        <v>4066</v>
      </c>
      <c r="H885" s="4" t="n">
        <v>1230</v>
      </c>
      <c r="I885" s="5" t="n">
        <v>150.4</v>
      </c>
      <c r="J885" s="5" t="n">
        <v>28.9</v>
      </c>
      <c r="K885" s="3" t="inlineStr">
        <is>
          <t>만땅 1230 p 개발행위 득한 도로접한 나대지 계획관리</t>
        </is>
      </c>
      <c r="L885" s="6">
        <f>HYPERLINK("https://fin.land.naver.com/articles/2654561971", "매물Link")</f>
        <v/>
      </c>
      <c r="M885" s="6">
        <f>HYPERLINK("https://map.naver.com/p/search/남이면 비룡리 325-3", "지도Link")</f>
        <v/>
      </c>
      <c r="N885" s="6">
        <f>HYPERLINK("http://www.eum.go.kr/web/ar/lu/luLandDet.jsp?pnu=4311231026103250003&amp;isNoScr=script&amp;mode=search", "토지이음")</f>
        <v/>
      </c>
      <c r="O885" s="3" t="inlineStr">
        <is>
          <t>서초만땅</t>
        </is>
      </c>
      <c r="P885" s="4" t="n">
        <v>1</v>
      </c>
      <c r="Q885" s="4" t="n">
        <v>2630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비룡리 463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27000</v>
      </c>
      <c r="G886" s="4" t="n">
        <v>2441</v>
      </c>
      <c r="H886" s="4" t="n">
        <v>738</v>
      </c>
      <c r="I886" s="5" t="n">
        <v>36.6</v>
      </c>
      <c r="J886" s="5" t="n">
        <v>19.9</v>
      </c>
      <c r="K886" s="3" t="inlineStr">
        <is>
          <t>생산관리 토지 매매</t>
        </is>
      </c>
      <c r="L886" s="6">
        <f>HYPERLINK("https://fin.land.naver.com/articles/2653037411", "매물Link")</f>
        <v/>
      </c>
      <c r="M886" s="6">
        <f>HYPERLINK("https://map.naver.com/p/search/남이면 비룡리 463", "지도Link")</f>
        <v/>
      </c>
      <c r="N886" s="6">
        <f>HYPERLINK("http://www.eum.go.kr/web/ar/lu/luLandDet.jsp?pnu=4311231026104630000&amp;isNoScr=script&amp;mode=search", "토지이음")</f>
        <v/>
      </c>
      <c r="O886" s="3" t="inlineStr">
        <is>
          <t>정민</t>
        </is>
      </c>
      <c r="P886" s="4" t="n">
        <v>1</v>
      </c>
      <c r="Q886" s="4" t="n">
        <v>2441.7</v>
      </c>
      <c r="R886" s="3" t="inlineStr">
        <is>
          <t>농림지역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사동리 128-1</t>
        </is>
      </c>
      <c r="B887" s="3" t="inlineStr">
        <is>
          <t>보전녹지지역</t>
        </is>
      </c>
      <c r="C887" s="3" t="inlineStr">
        <is>
          <t>답</t>
        </is>
      </c>
      <c r="D887" s="3" t="inlineStr">
        <is>
          <t>전</t>
        </is>
      </c>
      <c r="E887" s="3" t="inlineStr">
        <is>
          <t>매매</t>
        </is>
      </c>
      <c r="F887" s="4" t="n">
        <v>15000</v>
      </c>
      <c r="G887" s="4" t="n">
        <v>960</v>
      </c>
      <c r="H887" s="4" t="n">
        <v>290</v>
      </c>
      <c r="I887" s="5" t="n">
        <v>51.7</v>
      </c>
      <c r="J887" s="5" t="n">
        <v>17</v>
      </c>
      <c r="K887" s="3" t="inlineStr">
        <is>
          <t>2필지(전,답)으로 구성된 토지로 투자용 매매 적극 추천 합니다</t>
        </is>
      </c>
      <c r="L887" s="6">
        <f>HYPERLINK("https://fin.land.naver.com/articles/2653019296", "매물Link")</f>
        <v/>
      </c>
      <c r="M887" s="6">
        <f>HYPERLINK("https://map.naver.com/p/search/남이면 사동리 128-1", "지도Link")</f>
        <v/>
      </c>
      <c r="N887" s="6">
        <f>HYPERLINK("http://www.eum.go.kr/web/ar/lu/luLandDet.jsp?pnu=4311231028101280001&amp;isNoScr=script&amp;mode=search", "토지이음")</f>
        <v/>
      </c>
      <c r="O887" s="3" t="inlineStr">
        <is>
          <t>투자</t>
        </is>
      </c>
      <c r="P887" s="4" t="n">
        <v>1</v>
      </c>
      <c r="Q887" s="4" t="n">
        <v>250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산막리 247-1</t>
        </is>
      </c>
      <c r="B888" s="3" t="inlineStr">
        <is>
          <t>생산관리지역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18000</v>
      </c>
      <c r="G888" s="4" t="n">
        <v>1464</v>
      </c>
      <c r="H888" s="4" t="n">
        <v>443</v>
      </c>
      <c r="I888" s="5" t="n">
        <v>40.6</v>
      </c>
      <c r="J888" s="5" t="n">
        <v>12.3</v>
      </c>
      <c r="K888" s="3" t="inlineStr">
        <is>
          <t>남이면 산막리 도로접한 토지 매매</t>
        </is>
      </c>
      <c r="L888" s="6">
        <f>HYPERLINK("https://fin.land.naver.com/articles/2651762335", "매물Link")</f>
        <v/>
      </c>
      <c r="M888" s="6">
        <f>HYPERLINK("https://map.naver.com/p/search/남이면 산막리 247-1", "지도Link")</f>
        <v/>
      </c>
      <c r="N888" s="6">
        <f>HYPERLINK("http://www.eum.go.kr/web/ar/lu/luLandDet.jsp?pnu=4311231025102470001&amp;isNoScr=script&amp;mode=search", "토지이음")</f>
        <v/>
      </c>
      <c r="O888" s="3" t="inlineStr">
        <is>
          <t>대지</t>
        </is>
      </c>
      <c r="P888" s="4" t="n">
        <v>1</v>
      </c>
      <c r="Q888" s="4" t="n">
        <v>1464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산막리 263-2</t>
        </is>
      </c>
      <c r="B889" s="3" t="inlineStr">
        <is>
          <t>생산관리지역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16000</v>
      </c>
      <c r="G889" s="4" t="n">
        <v>1326</v>
      </c>
      <c r="H889" s="4" t="n">
        <v>401</v>
      </c>
      <c r="I889" s="5" t="n">
        <v>39.9</v>
      </c>
      <c r="J889" s="5" t="n">
        <v>12.3</v>
      </c>
      <c r="K889" s="3" t="inlineStr">
        <is>
          <t>남이면 산막리 시도21호선 접한 토지 매매</t>
        </is>
      </c>
      <c r="L889" s="6">
        <f>HYPERLINK("https://fin.land.naver.com/articles/2651761606", "매물Link")</f>
        <v/>
      </c>
      <c r="M889" s="6">
        <f>HYPERLINK("https://map.naver.com/p/search/남이면 산막리 263-2", "지도Link")</f>
        <v/>
      </c>
      <c r="N889" s="6">
        <f>HYPERLINK("http://www.eum.go.kr/web/ar/lu/luLandDet.jsp?pnu=4311231025102630002&amp;isNoScr=script&amp;mode=search",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1326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산막리 37</t>
        </is>
      </c>
      <c r="B890" s="3" t="inlineStr">
        <is>
          <t>농림지역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1360</v>
      </c>
      <c r="G890" s="4" t="n">
        <v>450</v>
      </c>
      <c r="H890" s="4" t="n">
        <v>136</v>
      </c>
      <c r="I890" s="5" t="n">
        <v>10</v>
      </c>
      <c r="J890" s="5" t="n">
        <v>8.800000000000001</v>
      </c>
      <c r="K890" s="3" t="inlineStr">
        <is>
          <t>농업진흥구역의 농림지역 주말농장으로추천함. 구거접함</t>
        </is>
      </c>
      <c r="L890" s="6">
        <f>HYPERLINK("https://fin.land.naver.com/articles/2651088390", "매물Link")</f>
        <v/>
      </c>
      <c r="M890" s="6">
        <f>HYPERLINK("https://map.naver.com/p/search/남이면 산막리 37", "지도Link")</f>
        <v/>
      </c>
      <c r="N890" s="6">
        <f>HYPERLINK("http://www.eum.go.kr/web/ar/lu/luLandDet.jsp?pnu=4311231025100370000&amp;isNoScr=script&amp;mode=search", "토지이음")</f>
        <v/>
      </c>
      <c r="O890" s="3" t="inlineStr">
        <is>
          <t>청주원</t>
        </is>
      </c>
      <c r="P890" s="4" t="n">
        <v>1</v>
      </c>
      <c r="Q890" s="4" t="n">
        <v>414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산막리 52-2</t>
        </is>
      </c>
      <c r="B891" s="3" t="inlineStr">
        <is>
          <t>생산관리지역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25000</v>
      </c>
      <c r="G891" s="4" t="n">
        <v>1515</v>
      </c>
      <c r="H891" s="4" t="n">
        <v>458</v>
      </c>
      <c r="I891" s="5" t="n">
        <v>54.6</v>
      </c>
      <c r="J891" s="5" t="n">
        <v>16.5</v>
      </c>
      <c r="K891" s="3" t="inlineStr">
        <is>
          <t>한적한 곳에 전원주택및부지, 인접 전,도로용지 포 3필지,주말농장 활용</t>
        </is>
      </c>
      <c r="L891" s="6">
        <f>HYPERLINK("https://fin.land.naver.com/articles/2654411697", "매물Link")</f>
        <v/>
      </c>
      <c r="M891" s="6">
        <f>HYPERLINK("https://map.naver.com/p/search/남이면 산막리 52-2", "지도Link")</f>
        <v/>
      </c>
      <c r="N891" s="6">
        <f>HYPERLINK("http://www.eum.go.kr/web/ar/lu/luLandDet.jsp?pnu=4311231025100520002&amp;isNoScr=script&amp;mode=search", "토지이음")</f>
        <v/>
      </c>
      <c r="O891" s="3" t="inlineStr">
        <is>
          <t>우리</t>
        </is>
      </c>
      <c r="P891" s="4" t="n">
        <v>1</v>
      </c>
      <c r="Q891" s="4" t="n">
        <v>980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남이면 상발리 108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55000</v>
      </c>
      <c r="G892" s="4" t="n">
        <v>2603</v>
      </c>
      <c r="H892" s="4" t="n">
        <v>787</v>
      </c>
      <c r="I892" s="5" t="n">
        <v>69.90000000000001</v>
      </c>
      <c r="J892" s="5" t="n">
        <v>16.7</v>
      </c>
      <c r="K892" s="3" t="inlineStr">
        <is>
          <t>상발리 토지매매</t>
        </is>
      </c>
      <c r="L892" s="6">
        <f>HYPERLINK("https://fin.land.naver.com/articles/2653622570", "매물Link")</f>
        <v/>
      </c>
      <c r="M892" s="6">
        <f>HYPERLINK("https://map.naver.com/p/search/남이면 상발리 108", "지도Link")</f>
        <v/>
      </c>
      <c r="N892" s="6">
        <f>HYPERLINK("http://www.eum.go.kr/web/ar/lu/luLandDet.jsp?pnu=4311231031101080000&amp;isNoScr=script&amp;mode=search", "토지이음")</f>
        <v/>
      </c>
      <c r="O892" s="3" t="inlineStr">
        <is>
          <t>스피드</t>
        </is>
      </c>
      <c r="P892" s="4" t="n">
        <v>1</v>
      </c>
      <c r="Q892" s="4" t="n">
        <v>2603</v>
      </c>
      <c r="R892" s="3" t="inlineStr">
        <is>
          <t>보전녹지지역</t>
        </is>
      </c>
      <c r="S892" s="3" t="inlineStr">
        <is>
          <t>답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남이면 상발리 108</t>
        </is>
      </c>
      <c r="B893" s="3" t="inlineStr">
        <is>
          <t>자연녹지지역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55000</v>
      </c>
      <c r="G893" s="4" t="n">
        <v>2603</v>
      </c>
      <c r="H893" s="4" t="n">
        <v>787</v>
      </c>
      <c r="I893" s="5" t="n">
        <v>69.90000000000001</v>
      </c>
      <c r="J893" s="5" t="n">
        <v>16.7</v>
      </c>
      <c r="K893" s="3" t="inlineStr">
        <is>
          <t>상발리 도로 접한 토지</t>
        </is>
      </c>
      <c r="L893" s="6">
        <f>HYPERLINK("https://fin.land.naver.com/articles/2655671708", "매물Link")</f>
        <v/>
      </c>
      <c r="M893" s="6">
        <f>HYPERLINK("https://map.naver.com/p/search/남이면 상발리 108", "지도Link")</f>
        <v/>
      </c>
      <c r="N893" s="6">
        <f>HYPERLINK("http://www.eum.go.kr/web/ar/lu/luLandDet.jsp?pnu=4311231031101080000&amp;isNoScr=script&amp;mode=search", "토지이음")</f>
        <v/>
      </c>
      <c r="O893" s="3" t="inlineStr">
        <is>
          <t>더원</t>
        </is>
      </c>
      <c r="P893" s="4" t="n">
        <v>5</v>
      </c>
      <c r="Q893" s="4" t="n">
        <v>2603</v>
      </c>
      <c r="R893" s="3" t="inlineStr">
        <is>
          <t>보전녹지지역</t>
        </is>
      </c>
      <c r="S893" s="3" t="inlineStr">
        <is>
          <t>답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상발리 16-2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245000</v>
      </c>
      <c r="G894" s="4" t="n">
        <v>8008</v>
      </c>
      <c r="H894" s="4" t="n">
        <v>2422</v>
      </c>
      <c r="I894" s="5" t="n">
        <v>101.2</v>
      </c>
      <c r="J894" s="5" t="n">
        <v>31.6</v>
      </c>
      <c r="K894" s="3" t="inlineStr">
        <is>
          <t>청주 남이면 상발리, 투자개발 최적지 토지 매매</t>
        </is>
      </c>
      <c r="L894" s="6">
        <f>HYPERLINK("https://fin.land.naver.com/articles/2650045640", "매물Link")</f>
        <v/>
      </c>
      <c r="M894" s="6">
        <f>HYPERLINK("https://map.naver.com/p/search/남이면 상발리 16-2", "지도Link")</f>
        <v/>
      </c>
      <c r="N894" s="6">
        <f>HYPERLINK("http://www.eum.go.kr/web/ar/lu/luLandDet.jsp?pnu=4311231031100160002&amp;isNoScr=script&amp;mode=search",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2865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세로각지(가)</t>
        </is>
      </c>
    </row>
    <row r="895">
      <c r="A895" s="3" t="inlineStr">
        <is>
          <t>남이면 상발리 27-1</t>
        </is>
      </c>
      <c r="B895" s="3" t="inlineStr">
        <is>
          <t>자연녹지지역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48000</v>
      </c>
      <c r="G895" s="4" t="n">
        <v>990</v>
      </c>
      <c r="H895" s="4" t="n">
        <v>299</v>
      </c>
      <c r="I895" s="5" t="n">
        <v>160.5</v>
      </c>
      <c r="J895" s="5" t="n">
        <v>37.7</v>
      </c>
      <c r="K895" s="3" t="inlineStr">
        <is>
          <t>2차선 도로변에 접하고 있음, 접근성 뛰어남, 소형 토지 투자로 적합</t>
        </is>
      </c>
      <c r="L895" s="6">
        <f>HYPERLINK("https://fin.land.naver.com/articles/2655068048", "매물Link")</f>
        <v/>
      </c>
      <c r="M895" s="6">
        <f>HYPERLINK("https://map.naver.com/p/search/남이면 상발리 27-1", "지도Link")</f>
        <v/>
      </c>
      <c r="N895" s="6">
        <f>HYPERLINK("http://www.eum.go.kr/web/ar/lu/luLandDet.jsp?pnu=4311231031100270001&amp;isNoScr=script&amp;mode=search", "토지이음")</f>
        <v/>
      </c>
      <c r="O895" s="3" t="inlineStr">
        <is>
          <t>제이</t>
        </is>
      </c>
      <c r="P895" s="4" t="n">
        <v>3</v>
      </c>
      <c r="Q895" s="4" t="n">
        <v>990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남이면 상발리 산14-35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24200</v>
      </c>
      <c r="G896" s="4" t="n">
        <v>660</v>
      </c>
      <c r="H896" s="4" t="n">
        <v>200</v>
      </c>
      <c r="I896" s="5" t="n">
        <v>121</v>
      </c>
      <c r="J896" s="5" t="n">
        <v>2.9</v>
      </c>
      <c r="K896" s="3" t="inlineStr">
        <is>
          <t>전원주택 부지로 최적</t>
        </is>
      </c>
      <c r="L896" s="6">
        <f>HYPERLINK("https://fin.land.naver.com/articles/2654984064", "매물Link")</f>
        <v/>
      </c>
      <c r="M896" s="6">
        <f>HYPERLINK("https://map.naver.com/p/search/남이면 상발리 산14-35", "지도Link")</f>
        <v/>
      </c>
      <c r="N896" s="6">
        <f>HYPERLINK("http://www.eum.go.kr/web/ar/lu/luLandDet.jsp?pnu=4311231031200140035&amp;isNoScr=script&amp;mode=search", "토지이음")</f>
        <v/>
      </c>
      <c r="O896" s="3" t="inlineStr">
        <is>
          <t>다미</t>
        </is>
      </c>
      <c r="P896" s="4" t="n">
        <v>2</v>
      </c>
      <c r="Q896" s="4" t="n">
        <v>660</v>
      </c>
      <c r="R896" s="3" t="inlineStr">
        <is>
          <t>지정되지않음</t>
        </is>
      </c>
      <c r="S896" s="3" t="inlineStr">
        <is>
          <t>임야기타</t>
        </is>
      </c>
      <c r="T896" s="3" t="inlineStr">
        <is>
          <t>급경사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석실리 198</t>
        </is>
      </c>
      <c r="B897" s="3" t="inlineStr">
        <is>
          <t>자연녹지지역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25000</v>
      </c>
      <c r="G897" s="4" t="n">
        <v>591</v>
      </c>
      <c r="H897" s="4" t="n">
        <v>179</v>
      </c>
      <c r="I897" s="5" t="n">
        <v>139.7</v>
      </c>
      <c r="J897" s="5" t="n">
        <v>62.1</v>
      </c>
      <c r="K897" s="3" t="inlineStr">
        <is>
          <t>석실리  전원생활 꿈꾸시는분께 추천합니다.</t>
        </is>
      </c>
      <c r="L897" s="6">
        <f>HYPERLINK("https://fin.land.naver.com/articles/2650276733", "매물Link")</f>
        <v/>
      </c>
      <c r="M897" s="6">
        <f>HYPERLINK("https://map.naver.com/p/search/남이면 석실리 198", "지도Link")</f>
        <v/>
      </c>
      <c r="N897" s="6">
        <f>HYPERLINK("http://www.eum.go.kr/web/ar/lu/luLandDet.jsp?pnu=4311231033101980000&amp;isNoScr=script&amp;mode=search", "토지이음")</f>
        <v/>
      </c>
      <c r="O897" s="3" t="inlineStr">
        <is>
          <t>용암해온</t>
        </is>
      </c>
      <c r="P897" s="4" t="n">
        <v>1</v>
      </c>
      <c r="Q897" s="4" t="n">
        <v>591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석실리 222-2</t>
        </is>
      </c>
      <c r="B898" s="3" t="inlineStr">
        <is>
          <t>자연녹지지역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102000</v>
      </c>
      <c r="G898" s="4" t="n">
        <v>2050</v>
      </c>
      <c r="H898" s="4" t="n">
        <v>620</v>
      </c>
      <c r="I898" s="5" t="n">
        <v>164.5</v>
      </c>
      <c r="J898" s="5" t="n">
        <v>43.6</v>
      </c>
      <c r="K898" s="3" t="inlineStr">
        <is>
          <t>nan</t>
        </is>
      </c>
      <c r="L898" s="6">
        <f>HYPERLINK("https://fin.land.naver.com/articles/2654684126", "매물Link")</f>
        <v/>
      </c>
      <c r="M898" s="6">
        <f>HYPERLINK("https://map.naver.com/p/search/남이면 석실리 222-2", "지도Link")</f>
        <v/>
      </c>
      <c r="N898" s="6">
        <f>HYPERLINK("http://www.eum.go.kr/web/ar/lu/luLandDet.jsp?pnu=4311231033102220002&amp;isNoScr=script&amp;mode=search", "토지이음")</f>
        <v/>
      </c>
      <c r="O898" s="3" t="inlineStr">
        <is>
          <t>대지</t>
        </is>
      </c>
      <c r="P898" s="4" t="n">
        <v>1</v>
      </c>
      <c r="Q898" s="4" t="n">
        <v>2050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남이면 석실리 222-6</t>
        </is>
      </c>
      <c r="B899" s="3" t="inlineStr">
        <is>
          <t>자연녹지지역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월세</t>
        </is>
      </c>
      <c r="F899" s="4" t="n">
        <v>1000</v>
      </c>
      <c r="G899" s="4" t="n">
        <v>975</v>
      </c>
      <c r="H899" s="4" t="n">
        <v>295</v>
      </c>
      <c r="I899" s="5" t="n">
        <v>0.4</v>
      </c>
      <c r="J899" s="5" t="n">
        <v>94</v>
      </c>
      <c r="K899" s="3" t="inlineStr">
        <is>
          <t>나대지 토지 295형 임대</t>
        </is>
      </c>
      <c r="L899" s="6">
        <f>HYPERLINK("https://fin.land.naver.com/articles/2655369489", "매물Link")</f>
        <v/>
      </c>
      <c r="M899" s="6">
        <f>HYPERLINK("https://map.naver.com/p/search/남이면 석실리 222-6", "지도Link")</f>
        <v/>
      </c>
      <c r="N899" s="6">
        <f>HYPERLINK("http://www.eum.go.kr/web/ar/lu/luLandDet.jsp?pnu=4311231033102220006&amp;isNoScr=script&amp;mode=search", "토지이음")</f>
        <v/>
      </c>
      <c r="O899" s="3" t="inlineStr">
        <is>
          <t>위더스</t>
        </is>
      </c>
      <c r="P899" s="4" t="n">
        <v>1</v>
      </c>
      <c r="Q899" s="4" t="n">
        <v>976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남이면 석실리 222-6</t>
        </is>
      </c>
      <c r="B900" s="3" t="inlineStr">
        <is>
          <t>자연녹지지역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월세</t>
        </is>
      </c>
      <c r="F900" s="4" t="n">
        <v>1000</v>
      </c>
      <c r="G900" s="4" t="n">
        <v>976</v>
      </c>
      <c r="H900" s="4" t="n">
        <v>295</v>
      </c>
      <c r="I900" s="5" t="n">
        <v>0.3</v>
      </c>
      <c r="J900" s="5" t="n">
        <v>94</v>
      </c>
      <c r="K900" s="3" t="inlineStr">
        <is>
          <t>2차로 접한 야적장 주차장, 대형차 진입</t>
        </is>
      </c>
      <c r="L900" s="6">
        <f>HYPERLINK("https://fin.land.naver.com/articles/2650307502", "매물Link")</f>
        <v/>
      </c>
      <c r="M900" s="6">
        <f>HYPERLINK("https://map.naver.com/p/search/남이면 석실리 222-6", "지도Link")</f>
        <v/>
      </c>
      <c r="N900" s="6">
        <f>HYPERLINK("http://www.eum.go.kr/web/ar/lu/luLandDet.jsp?pnu=4311231033102220006&amp;isNoScr=script&amp;mode=search", "토지이음")</f>
        <v/>
      </c>
      <c r="O900" s="3" t="inlineStr">
        <is>
          <t>노블</t>
        </is>
      </c>
      <c r="P900" s="4" t="n">
        <v>1</v>
      </c>
      <c r="Q900" s="4" t="n">
        <v>976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소로한면</t>
        </is>
      </c>
    </row>
    <row r="901">
      <c r="A901" s="3" t="inlineStr">
        <is>
          <t>남이면 석실리 261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15000</v>
      </c>
      <c r="G901" s="4" t="n">
        <v>450</v>
      </c>
      <c r="H901" s="4" t="n">
        <v>136</v>
      </c>
      <c r="I901" s="5" t="n">
        <v>110.3</v>
      </c>
      <c r="J901" s="5" t="n">
        <v>37.9</v>
      </c>
      <c r="K901" s="3" t="inlineStr">
        <is>
          <t>비닐하우스에 전기 .화장실있음.농막사용가능</t>
        </is>
      </c>
      <c r="L901" s="6">
        <f>HYPERLINK("https://fin.land.naver.com/articles/2651478225", "매물Link")</f>
        <v/>
      </c>
      <c r="M901" s="6">
        <f>HYPERLINK("https://map.naver.com/p/search/남이면 석실리 261", "지도Link")</f>
        <v/>
      </c>
      <c r="N901" s="6">
        <f>HYPERLINK("http://www.eum.go.kr/web/ar/lu/luLandDet.jsp?pnu=4311231033102610000&amp;isNoScr=script&amp;mode=search", "토지이음")</f>
        <v/>
      </c>
      <c r="O901" s="3" t="inlineStr">
        <is>
          <t>주공3단지</t>
        </is>
      </c>
      <c r="P901" s="4" t="n">
        <v>1</v>
      </c>
      <c r="Q901" s="4" t="n">
        <v>450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남이면 석실리 339-2</t>
        </is>
      </c>
      <c r="B902" s="3" t="inlineStr">
        <is>
          <t>자연녹지지역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월세</t>
        </is>
      </c>
      <c r="F902" s="4" t="n">
        <v>1000</v>
      </c>
      <c r="G902" s="4" t="n">
        <v>873</v>
      </c>
      <c r="H902" s="4" t="n">
        <v>264</v>
      </c>
      <c r="I902" s="5" t="n">
        <v>0.5</v>
      </c>
      <c r="J902" s="5" t="n">
        <v>101.7</v>
      </c>
      <c r="K902" s="3" t="inlineStr">
        <is>
          <t>무인운영 천연잔디 애견카페 인테리어 최상 매매도 가능</t>
        </is>
      </c>
      <c r="L902" s="6">
        <f>HYPERLINK("https://fin.land.naver.com/articles/2652477469", "매물Link")</f>
        <v/>
      </c>
      <c r="M902" s="6">
        <f>HYPERLINK("https://map.naver.com/p/search/남이면 석실리 339-2", "지도Link")</f>
        <v/>
      </c>
      <c r="N902" s="6">
        <f>HYPERLINK("http://www.eum.go.kr/web/ar/lu/luLandDet.jsp?pnu=4311231033103390002&amp;isNoScr=script&amp;mode=search", "토지이음")</f>
        <v/>
      </c>
      <c r="O902" s="3" t="inlineStr">
        <is>
          <t>라라랜드  사무소</t>
        </is>
      </c>
      <c r="P902" s="4" t="n">
        <v>1</v>
      </c>
      <c r="Q902" s="4" t="n">
        <v>873</v>
      </c>
      <c r="R902" s="3" t="inlineStr">
        <is>
          <t>지정되지않음</t>
        </is>
      </c>
      <c r="S902" s="3" t="inlineStr">
        <is>
          <t>공업용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남이면 석실리 352-3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160000</v>
      </c>
      <c r="G903" s="4" t="n">
        <v>3300</v>
      </c>
      <c r="H903" s="4" t="n">
        <v>998</v>
      </c>
      <c r="I903" s="5" t="n">
        <v>160.3</v>
      </c>
      <c r="J903" s="5" t="n">
        <v>45.2</v>
      </c>
      <c r="K903" s="3" t="inlineStr">
        <is>
          <t>2차선도로접, 사무실,공장,창고 등 다용도활용가능</t>
        </is>
      </c>
      <c r="L903" s="6">
        <f>HYPERLINK("https://fin.land.naver.com/articles/2654898449", "매물Link")</f>
        <v/>
      </c>
      <c r="M903" s="6">
        <f>HYPERLINK("https://map.naver.com/p/search/남이면 석실리 352-3", "지도Link")</f>
        <v/>
      </c>
      <c r="N903" s="6">
        <f>HYPERLINK("http://www.eum.go.kr/web/ar/lu/luLandDet.jsp?pnu=4311231033103520003&amp;isNoScr=script&amp;mode=search", "토지이음")</f>
        <v/>
      </c>
      <c r="O903" s="3" t="inlineStr">
        <is>
          <t>플러스자이합동</t>
        </is>
      </c>
      <c r="P903" s="4" t="n">
        <v>2</v>
      </c>
      <c r="Q903" s="4" t="n">
        <v>3300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남이면 석실리 376</t>
        </is>
      </c>
      <c r="B904" s="3" t="inlineStr">
        <is>
          <t>자연녹지지역</t>
        </is>
      </c>
      <c r="C904" s="3" t="inlineStr">
        <is>
          <t>창고용지</t>
        </is>
      </c>
      <c r="D904" s="3" t="inlineStr">
        <is>
          <t>창고용지</t>
        </is>
      </c>
      <c r="E904" s="3" t="inlineStr">
        <is>
          <t>매매</t>
        </is>
      </c>
      <c r="F904" s="4" t="n">
        <v>230000</v>
      </c>
      <c r="G904" s="4" t="n">
        <v>5728</v>
      </c>
      <c r="H904" s="4" t="n">
        <v>1733</v>
      </c>
      <c r="I904" s="5" t="n">
        <v>132.7</v>
      </c>
      <c r="J904" s="5" t="n">
        <v>51.2</v>
      </c>
      <c r="K904" s="3" t="inlineStr">
        <is>
          <t>남이면 석실리 2차선 도로접한 광고효과 좋은 토지매매</t>
        </is>
      </c>
      <c r="L904" s="6">
        <f>HYPERLINK("https://fin.land.naver.com/articles/2651764275", "매물Link")</f>
        <v/>
      </c>
      <c r="M904" s="6">
        <f>HYPERLINK("https://map.naver.com/p/search/남이면 석실리 376", "지도Link")</f>
        <v/>
      </c>
      <c r="N904" s="6">
        <f>HYPERLINK("http://www.eum.go.kr/web/ar/lu/luLandDet.jsp?pnu=4311231033103760000&amp;isNoScr=script&amp;mode=search",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705</v>
      </c>
      <c r="R904" s="3" t="inlineStr">
        <is>
          <t>지정되지않음</t>
        </is>
      </c>
      <c r="S904" s="3" t="inlineStr">
        <is>
          <t>전창고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석실리 산 2-1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4972</v>
      </c>
      <c r="H905" s="4" t="n">
        <v>1504</v>
      </c>
      <c r="I905" s="5" t="n">
        <v>99.7</v>
      </c>
      <c r="J905" s="5" t="n">
        <v>7.6</v>
      </c>
      <c r="K905" s="3" t="inlineStr">
        <is>
          <t>6m도로접,제2종근생제조업 허가득,공장,창고,등 다용도활용가능</t>
        </is>
      </c>
      <c r="L905" s="6">
        <f>HYPERLINK("https://fin.land.naver.com/articles/2651059878", "매물Link")</f>
        <v/>
      </c>
      <c r="M905" s="6">
        <f>HYPERLINK("https://map.naver.com/p/search/남이면 석실리 산 2-1", "지도Link")</f>
        <v/>
      </c>
      <c r="N905" s="6">
        <f>HYPERLINK("http://www.eum.go.kr/web/ar/lu/luLandDet.jsp?pnu=4311231033200020001&amp;isNoScr=script&amp;mode=search",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20887</v>
      </c>
      <c r="R905" s="3" t="inlineStr">
        <is>
          <t>자연녹지지역</t>
        </is>
      </c>
      <c r="S905" s="3" t="inlineStr">
        <is>
          <t>자연림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남이면 석실리 산 78-8</t>
        </is>
      </c>
      <c r="B906" s="3" t="inlineStr">
        <is>
          <t>보전녹지지역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305000</v>
      </c>
      <c r="G906" s="4" t="n">
        <v>6740</v>
      </c>
      <c r="H906" s="4" t="n">
        <v>2039</v>
      </c>
      <c r="I906" s="5" t="n">
        <v>149.6</v>
      </c>
      <c r="J906" s="5" t="n">
        <v>2.4</v>
      </c>
      <c r="K906" s="3" t="inlineStr">
        <is>
          <t>nan</t>
        </is>
      </c>
      <c r="L906" s="6">
        <f>HYPERLINK("https://fin.land.naver.com/articles/2652140110", "매물Link")</f>
        <v/>
      </c>
      <c r="M906" s="6">
        <f>HYPERLINK("https://map.naver.com/p/search/남이면 석실리 산 78-8", "지도Link")</f>
        <v/>
      </c>
      <c r="N906" s="6">
        <f>HYPERLINK("http://www.eum.go.kr/web/ar/lu/luLandDet.jsp?pnu=4311231033200780008&amp;isNoScr=script&amp;mode=search", "토지이음")</f>
        <v/>
      </c>
      <c r="O906" s="3" t="inlineStr">
        <is>
          <t>정</t>
        </is>
      </c>
      <c r="P906" s="4" t="n">
        <v>1</v>
      </c>
      <c r="Q906" s="4" t="n">
        <v>3770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남이면 석실리 산78-7</t>
        </is>
      </c>
      <c r="B907" s="3" t="inlineStr">
        <is>
          <t>보전녹지지역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200000</v>
      </c>
      <c r="G907" s="4" t="n">
        <v>4238</v>
      </c>
      <c r="H907" s="4" t="n">
        <v>1282</v>
      </c>
      <c r="I907" s="5" t="n">
        <v>156</v>
      </c>
      <c r="J907" s="5" t="n">
        <v>2.5</v>
      </c>
      <c r="K907" s="3" t="inlineStr">
        <is>
          <t>청주시 서원구 남이면 석실리 2차선도로변토지매매</t>
        </is>
      </c>
      <c r="L907" s="6">
        <f>HYPERLINK("https://fin.land.naver.com/articles/2650376518", "매물Link")</f>
        <v/>
      </c>
      <c r="M907" s="6">
        <f>HYPERLINK("https://map.naver.com/p/search/남이면 석실리 산78-7", "지도Link")</f>
        <v/>
      </c>
      <c r="N907" s="6">
        <f>HYPERLINK("http://www.eum.go.kr/web/ar/lu/luLandDet.jsp?pnu=4311231033200780007&amp;isNoScr=script&amp;mode=search", "토지이음")</f>
        <v/>
      </c>
      <c r="O907" s="3" t="inlineStr">
        <is>
          <t>충대</t>
        </is>
      </c>
      <c r="P907" s="4" t="n">
        <v>1</v>
      </c>
      <c r="Q907" s="4" t="n">
        <v>2185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석판리 129-1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88000</v>
      </c>
      <c r="G908" s="4" t="n">
        <v>1007</v>
      </c>
      <c r="H908" s="4" t="n">
        <v>305</v>
      </c>
      <c r="I908" s="5" t="n">
        <v>288.5</v>
      </c>
      <c r="J908" s="5" t="n">
        <v>47.5</v>
      </c>
      <c r="K908" s="3" t="inlineStr">
        <is>
          <t>사진有 석판리 2차선 도로옆 토지매매 공장창고 상가건물 추천</t>
        </is>
      </c>
      <c r="L908" s="6">
        <f>HYPERLINK("https://fin.land.naver.com/articles/2653063879", "매물Link")</f>
        <v/>
      </c>
      <c r="M908" s="6">
        <f>HYPERLINK("https://map.naver.com/p/search/남이면 석판리 129-1", "지도Link")</f>
        <v/>
      </c>
      <c r="N908" s="6">
        <f>HYPERLINK("http://www.eum.go.kr/web/ar/lu/luLandDet.jsp?pnu=4311231034101290001&amp;isNoScr=script&amp;mode=search", "토지이음")</f>
        <v/>
      </c>
      <c r="O908" s="3" t="inlineStr">
        <is>
          <t>행복도시</t>
        </is>
      </c>
      <c r="P908" s="4" t="n">
        <v>1</v>
      </c>
      <c r="Q908" s="4" t="n">
        <v>562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석판리 131-1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403000</v>
      </c>
      <c r="G909" s="4" t="n">
        <v>5795</v>
      </c>
      <c r="H909" s="4" t="n">
        <v>1753</v>
      </c>
      <c r="I909" s="5" t="n">
        <v>229.9</v>
      </c>
      <c r="J909" s="5" t="n">
        <v>47.5</v>
      </c>
      <c r="K909" s="3" t="inlineStr">
        <is>
          <t>2차선도로접 성토완료 4필지매매 시세이하 투자및 공장추천</t>
        </is>
      </c>
      <c r="L909" s="6">
        <f>HYPERLINK("https://fin.land.naver.com/articles/2654056470", "매물Link")</f>
        <v/>
      </c>
      <c r="M909" s="6">
        <f>HYPERLINK("https://map.naver.com/p/search/남이면 석판리 131-1", "지도Link")</f>
        <v/>
      </c>
      <c r="N909" s="6">
        <f>HYPERLINK("http://www.eum.go.kr/web/ar/lu/luLandDet.jsp?pnu=4311231034101310001&amp;isNoScr=script&amp;mode=search", "토지이음")</f>
        <v/>
      </c>
      <c r="O909" s="3" t="inlineStr">
        <is>
          <t>플러스태양</t>
        </is>
      </c>
      <c r="P909" s="4" t="n">
        <v>1</v>
      </c>
      <c r="Q909" s="4" t="n">
        <v>1854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석판리 139-5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답</t>
        </is>
      </c>
      <c r="E910" s="3" t="inlineStr">
        <is>
          <t>매매</t>
        </is>
      </c>
      <c r="F910" s="4" t="n">
        <v>438000</v>
      </c>
      <c r="G910" s="4" t="n">
        <v>5791</v>
      </c>
      <c r="H910" s="4" t="n">
        <v>1752</v>
      </c>
      <c r="I910" s="5" t="n">
        <v>250</v>
      </c>
      <c r="J910" s="5" t="n">
        <v>116.5</v>
      </c>
      <c r="K910" s="3" t="inlineStr">
        <is>
          <t>돈되는 투자처 모든 개발호재 독식 석판리 제2종근생 제조 개발허가득</t>
        </is>
      </c>
      <c r="L910" s="6">
        <f>HYPERLINK("https://fin.land.naver.com/articles/2652823732", "매물Link")</f>
        <v/>
      </c>
      <c r="M910" s="6">
        <f>HYPERLINK("https://map.naver.com/p/search/남이면 석판리 139-5", "지도Link")</f>
        <v/>
      </c>
      <c r="N910" s="6">
        <f>HYPERLINK("http://www.eum.go.kr/web/ar/lu/luLandDet.jsp?pnu=4311231034101390005&amp;isNoScr=script&amp;mode=search", "토지이음")</f>
        <v/>
      </c>
      <c r="O910" s="3" t="inlineStr">
        <is>
          <t>그랜드사무소</t>
        </is>
      </c>
      <c r="P910" s="4" t="n">
        <v>1</v>
      </c>
      <c r="Q910" s="4" t="n">
        <v>3120</v>
      </c>
      <c r="R910" s="3" t="inlineStr">
        <is>
          <t>지정되지않음</t>
        </is>
      </c>
      <c r="S910" s="3" t="inlineStr">
        <is>
          <t>주상기타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석판리 248-1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49600</v>
      </c>
      <c r="G911" s="4" t="n">
        <v>1364</v>
      </c>
      <c r="H911" s="4" t="n">
        <v>413</v>
      </c>
      <c r="I911" s="5" t="n">
        <v>120.1</v>
      </c>
      <c r="J911" s="5" t="n">
        <v>23.1</v>
      </c>
      <c r="K911" s="3" t="inlineStr">
        <is>
          <t>nan</t>
        </is>
      </c>
      <c r="L911" s="6">
        <f>HYPERLINK("https://fin.land.naver.com/articles/2651049567", "매물Link")</f>
        <v/>
      </c>
      <c r="M911" s="6">
        <f>HYPERLINK("https://map.naver.com/p/search/남이면 석판리 248-1", "지도Link")</f>
        <v/>
      </c>
      <c r="N911" s="6">
        <f>HYPERLINK("http://www.eum.go.kr/web/ar/lu/luLandDet.jsp?pnu=4311231034102480001&amp;isNoScr=script&amp;mode=search", "토지이음")</f>
        <v/>
      </c>
      <c r="O911" s="3" t="inlineStr">
        <is>
          <t>오송파라곤하늘</t>
        </is>
      </c>
      <c r="P911" s="4" t="n">
        <v>1</v>
      </c>
      <c r="Q911" s="4" t="n">
        <v>1364.4</v>
      </c>
      <c r="R911" s="3" t="inlineStr">
        <is>
          <t>보전녹지지역</t>
        </is>
      </c>
      <c r="S911" s="3" t="inlineStr">
        <is>
          <t>전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석판리 26-1</t>
        </is>
      </c>
      <c r="B912" s="3" t="inlineStr">
        <is>
          <t>자연녹지지역</t>
        </is>
      </c>
      <c r="C912" s="3" t="inlineStr">
        <is>
          <t>잡종지</t>
        </is>
      </c>
      <c r="D912" s="3" t="inlineStr">
        <is>
          <t>잡종지</t>
        </is>
      </c>
      <c r="E912" s="3" t="inlineStr">
        <is>
          <t>매매</t>
        </is>
      </c>
      <c r="F912" s="4" t="n">
        <v>169400</v>
      </c>
      <c r="G912" s="4" t="n">
        <v>1600</v>
      </c>
      <c r="H912" s="4" t="n">
        <v>484</v>
      </c>
      <c r="I912" s="5" t="n">
        <v>350</v>
      </c>
      <c r="J912" s="5" t="n">
        <v>140.4</v>
      </c>
      <c r="K912" s="3" t="inlineStr">
        <is>
          <t>석판리 대로변 토지 매매 .광고효과 최고</t>
        </is>
      </c>
      <c r="L912" s="6">
        <f>HYPERLINK("https://fin.land.naver.com/articles/2653458319", "매물Link")</f>
        <v/>
      </c>
      <c r="M912" s="6">
        <f>HYPERLINK("https://map.naver.com/p/search/남이면 석판리 26-1", "지도Link")</f>
        <v/>
      </c>
      <c r="N912" s="6">
        <f>HYPERLINK("http://www.eum.go.kr/web/ar/lu/luLandDet.jsp?pnu=4311231034100260001&amp;isNoScr=script&amp;mode=search", "토지이음")</f>
        <v/>
      </c>
      <c r="O912" s="3" t="inlineStr">
        <is>
          <t>방서에이스</t>
        </is>
      </c>
      <c r="P912" s="4" t="n">
        <v>1</v>
      </c>
      <c r="Q912" s="4" t="n">
        <v>660</v>
      </c>
      <c r="R912" s="3" t="inlineStr">
        <is>
          <t>지정되지않음</t>
        </is>
      </c>
      <c r="S912" s="3" t="inlineStr">
        <is>
          <t>상업용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남이면 석판리 26-11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170000</v>
      </c>
      <c r="G913" s="4" t="n">
        <v>1600</v>
      </c>
      <c r="H913" s="4" t="n">
        <v>484</v>
      </c>
      <c r="I913" s="5" t="n">
        <v>351.2</v>
      </c>
      <c r="J913" s="5" t="n">
        <v>43.9</v>
      </c>
      <c r="K913" s="3" t="inlineStr">
        <is>
          <t>남이면 석판리 왕복2차선 도로 접한 토지 매매</t>
        </is>
      </c>
      <c r="L913" s="6">
        <f>HYPERLINK("https://fin.land.naver.com/articles/2654683399", "매물Link")</f>
        <v/>
      </c>
      <c r="M913" s="6">
        <f>HYPERLINK("https://map.naver.com/p/search/남이면 석판리 26-11", "지도Link")</f>
        <v/>
      </c>
      <c r="N913" s="6">
        <f>HYPERLINK("http://www.eum.go.kr/web/ar/lu/luLandDet.jsp?pnu=4311231034100260011&amp;isNoScr=script&amp;mode=search",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941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석판리 265-1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118800</v>
      </c>
      <c r="G914" s="4" t="n">
        <v>2453</v>
      </c>
      <c r="H914" s="4" t="n">
        <v>742</v>
      </c>
      <c r="I914" s="5" t="n">
        <v>160.1</v>
      </c>
      <c r="J914" s="5" t="n">
        <v>50.2</v>
      </c>
      <c r="K914" s="3" t="inlineStr">
        <is>
          <t>사진有 석판리 토지 매매. 주말농장, 전원주택부지 추천</t>
        </is>
      </c>
      <c r="L914" s="6">
        <f>HYPERLINK("https://fin.land.naver.com/articles/2654908264", "매물Link")</f>
        <v/>
      </c>
      <c r="M914" s="6">
        <f>HYPERLINK("https://map.naver.com/p/search/남이면 석판리 265-1", "지도Link")</f>
        <v/>
      </c>
      <c r="N914" s="6">
        <f>HYPERLINK("http://www.eum.go.kr/web/ar/lu/luLandDet.jsp?pnu=4311231034102650001&amp;isNoScr=script&amp;mode=search", "토지이음")</f>
        <v/>
      </c>
      <c r="O914" s="3" t="inlineStr">
        <is>
          <t>행복도시</t>
        </is>
      </c>
      <c r="P914" s="4" t="n">
        <v>1</v>
      </c>
      <c r="Q914" s="4" t="n">
        <v>2453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석판리 3-1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220000</v>
      </c>
      <c r="G915" s="4" t="n">
        <v>1462</v>
      </c>
      <c r="H915" s="4" t="n">
        <v>442</v>
      </c>
      <c r="I915" s="5" t="n">
        <v>497.7</v>
      </c>
      <c r="J915" s="5" t="n">
        <v>210</v>
      </c>
      <c r="K915" s="3" t="inlineStr">
        <is>
          <t>2종 근생건물 토지 제조업 허가 매매 향후 투자가치 좋음</t>
        </is>
      </c>
      <c r="L915" s="6">
        <f>HYPERLINK("https://fin.land.naver.com/articles/2652729659", "매물Link")</f>
        <v/>
      </c>
      <c r="M915" s="6">
        <f>HYPERLINK("https://map.naver.com/p/search/남이면 석판리 3-1", "지도Link")</f>
        <v/>
      </c>
      <c r="N915" s="6">
        <f>HYPERLINK("http://www.eum.go.kr/web/ar/lu/luLandDet.jsp?pnu=4311231034100030001&amp;isNoScr=script&amp;mode=search", "토지이음")</f>
        <v/>
      </c>
      <c r="O915" s="3" t="inlineStr">
        <is>
          <t>반석</t>
        </is>
      </c>
      <c r="P915" s="4" t="n">
        <v>1</v>
      </c>
      <c r="Q915" s="4" t="n">
        <v>1462</v>
      </c>
      <c r="R915" s="3" t="inlineStr">
        <is>
          <t>지정되지않음</t>
        </is>
      </c>
      <c r="S915" s="3" t="inlineStr">
        <is>
          <t>상업기타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중로한면</t>
        </is>
      </c>
    </row>
    <row r="916">
      <c r="A916" s="3" t="inlineStr">
        <is>
          <t>남이면 석판리 313-2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70000</v>
      </c>
      <c r="G916" s="4" t="n">
        <v>2014</v>
      </c>
      <c r="H916" s="4" t="n">
        <v>609</v>
      </c>
      <c r="I916" s="5" t="n">
        <v>114.9</v>
      </c>
      <c r="J916" s="5" t="n">
        <v>49.9</v>
      </c>
      <c r="K916" s="3" t="inlineStr">
        <is>
          <t>공장 및 창고용도</t>
        </is>
      </c>
      <c r="L916" s="6">
        <f>HYPERLINK("https://fin.land.naver.com/articles/2655486050", "매물Link")</f>
        <v/>
      </c>
      <c r="M916" s="6">
        <f>HYPERLINK("https://map.naver.com/p/search/남이면 석판리 313-2", "지도Link")</f>
        <v/>
      </c>
      <c r="N916" s="6">
        <f>HYPERLINK("http://www.eum.go.kr/web/ar/lu/luLandDet.jsp?pnu=4311231034103130002&amp;isNoScr=script&amp;mode=search", "토지이음")</f>
        <v/>
      </c>
      <c r="O916" s="3" t="inlineStr">
        <is>
          <t>일품</t>
        </is>
      </c>
      <c r="P916" s="4" t="n">
        <v>1</v>
      </c>
      <c r="Q916" s="4" t="n">
        <v>2014.9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석판리 354-1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77000</v>
      </c>
      <c r="G917" s="4" t="n">
        <v>3266</v>
      </c>
      <c r="H917" s="4" t="n">
        <v>988</v>
      </c>
      <c r="I917" s="5" t="n">
        <v>77.90000000000001</v>
      </c>
      <c r="J917" s="5" t="n">
        <v>34.9</v>
      </c>
      <c r="K917" s="3" t="inlineStr">
        <is>
          <t>nan</t>
        </is>
      </c>
      <c r="L917" s="6">
        <f>HYPERLINK("https://fin.land.naver.com/articles/2655484682", "매물Link")</f>
        <v/>
      </c>
      <c r="M917" s="6">
        <f>HYPERLINK("https://map.naver.com/p/search/남이면 석판리 354-1", "지도Link")</f>
        <v/>
      </c>
      <c r="N917" s="6">
        <f>HYPERLINK("http://www.eum.go.kr/web/ar/lu/luLandDet.jsp?pnu=4311231034103540001&amp;isNoScr=script&amp;mode=search", "토지이음")</f>
        <v/>
      </c>
      <c r="O917" s="3" t="inlineStr">
        <is>
          <t>일등</t>
        </is>
      </c>
      <c r="P917" s="4" t="n">
        <v>1</v>
      </c>
      <c r="Q917" s="4" t="n">
        <v>3266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남이면 석판리 61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45000</v>
      </c>
      <c r="G918" s="4" t="n">
        <v>946</v>
      </c>
      <c r="H918" s="4" t="n">
        <v>286</v>
      </c>
      <c r="I918" s="5" t="n">
        <v>157.3</v>
      </c>
      <c r="J918" s="5" t="n">
        <v>56.9</v>
      </c>
      <c r="K918" s="3" t="inlineStr">
        <is>
          <t>석판리 전원주택지 매매. 도로접.코너위치. 접근성 좋아요.</t>
        </is>
      </c>
      <c r="L918" s="6">
        <f>HYPERLINK("https://fin.land.naver.com/articles/2653458772", "매물Link")</f>
        <v/>
      </c>
      <c r="M918" s="6">
        <f>HYPERLINK("https://map.naver.com/p/search/남이면 석판리 61", "지도Link")</f>
        <v/>
      </c>
      <c r="N918" s="6">
        <f>HYPERLINK("http://www.eum.go.kr/web/ar/lu/luLandDet.jsp?pnu=4311231034100610000&amp;isNoScr=script&amp;mode=search", "토지이음")</f>
        <v/>
      </c>
      <c r="O918" s="3" t="inlineStr">
        <is>
          <t>방서에이스</t>
        </is>
      </c>
      <c r="P918" s="4" t="n">
        <v>2</v>
      </c>
      <c r="Q918" s="4" t="n">
        <v>946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석판리 산22-6</t>
        </is>
      </c>
      <c r="B919" s="3" t="inlineStr">
        <is>
          <t>자연녹지지역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25400</v>
      </c>
      <c r="G919" s="4" t="n">
        <v>560</v>
      </c>
      <c r="H919" s="4" t="n">
        <v>169</v>
      </c>
      <c r="I919" s="5" t="n">
        <v>150.3</v>
      </c>
      <c r="J919" s="5" t="n">
        <v>22.9</v>
      </c>
      <c r="K919" s="3" t="inlineStr">
        <is>
          <t>허가득한 토지로 바로 건축가능합니다.</t>
        </is>
      </c>
      <c r="L919" s="6">
        <f>HYPERLINK("https://fin.land.naver.com/articles/2651705689", "매물Link")</f>
        <v/>
      </c>
      <c r="M919" s="6">
        <f>HYPERLINK("https://map.naver.com/p/search/남이면 석판리 산22-6", "지도Link")</f>
        <v/>
      </c>
      <c r="N919" s="6">
        <f>HYPERLINK("http://www.eum.go.kr/web/ar/lu/luLandDet.jsp?pnu=4311231034200220006&amp;isNoScr=script&amp;mode=search", "토지이음")</f>
        <v/>
      </c>
      <c r="O919" s="3" t="inlineStr">
        <is>
          <t>터사랑</t>
        </is>
      </c>
      <c r="P919" s="4" t="n">
        <v>1</v>
      </c>
      <c r="Q919" s="4" t="n">
        <v>498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수대리 1-29</t>
        </is>
      </c>
      <c r="B920" s="3" t="inlineStr">
        <is>
          <t>자연녹지지역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42000</v>
      </c>
      <c r="G920" s="4" t="n">
        <v>1000</v>
      </c>
      <c r="H920" s="4" t="n">
        <v>302</v>
      </c>
      <c r="I920" s="5" t="n">
        <v>139.1</v>
      </c>
      <c r="J920" s="5" t="n">
        <v>69.2</v>
      </c>
      <c r="K920" s="3" t="inlineStr">
        <is>
          <t>남이면수대리위치좋은토지저렴하게매매,금액협의</t>
        </is>
      </c>
      <c r="L920" s="6">
        <f>HYPERLINK("https://fin.land.naver.com/articles/2653463929", "매물Link")</f>
        <v/>
      </c>
      <c r="M920" s="6">
        <f>HYPERLINK("https://map.naver.com/p/search/남이면 수대리 1-29", "지도Link")</f>
        <v/>
      </c>
      <c r="N920" s="6">
        <f>HYPERLINK("http://www.eum.go.kr/web/ar/lu/luLandDet.jsp?pnu=4311231039100010029&amp;isNoScr=script&amp;mode=search", "토지이음")</f>
        <v/>
      </c>
      <c r="O920" s="3" t="inlineStr">
        <is>
          <t>금호스마트</t>
        </is>
      </c>
      <c r="P920" s="4" t="n">
        <v>1</v>
      </c>
      <c r="Q920" s="4" t="n">
        <v>584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수대리 11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66000</v>
      </c>
      <c r="G921" s="4" t="n">
        <v>731</v>
      </c>
      <c r="H921" s="4" t="n">
        <v>221</v>
      </c>
      <c r="I921" s="5" t="n">
        <v>298.6</v>
      </c>
      <c r="J921" s="5" t="n">
        <v>60.8</v>
      </c>
      <c r="K921" s="3" t="inlineStr">
        <is>
          <t>4차로변 광고효과 탁월, 상가건물 추천</t>
        </is>
      </c>
      <c r="L921" s="6">
        <f>HYPERLINK("https://fin.land.naver.com/articles/2655630670", "매물Link")</f>
        <v/>
      </c>
      <c r="M921" s="6">
        <f>HYPERLINK("https://map.naver.com/p/search/남이면 수대리 11", "지도Link")</f>
        <v/>
      </c>
      <c r="N921" s="6">
        <f>HYPERLINK("http://www.eum.go.kr/web/ar/lu/luLandDet.jsp?pnu=4311231039100110000&amp;isNoScr=script&amp;mode=search", "토지이음")</f>
        <v/>
      </c>
      <c r="O921" s="3" t="inlineStr">
        <is>
          <t>정민</t>
        </is>
      </c>
      <c r="P921" s="4" t="n">
        <v>1</v>
      </c>
      <c r="Q921" s="4" t="n">
        <v>560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중로한면</t>
        </is>
      </c>
    </row>
    <row r="922">
      <c r="A922" s="3" t="inlineStr">
        <is>
          <t>남이면 수대리 11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66000</v>
      </c>
      <c r="G922" s="4" t="n">
        <v>731</v>
      </c>
      <c r="H922" s="4" t="n">
        <v>221</v>
      </c>
      <c r="I922" s="5" t="n">
        <v>298.6</v>
      </c>
      <c r="J922" s="5" t="n">
        <v>60.8</v>
      </c>
      <c r="K922" s="3" t="inlineStr">
        <is>
          <t>남이면 수대리 대로변 자연녹지 매매 창고 근생 자동차관련등 추천</t>
        </is>
      </c>
      <c r="L922" s="6">
        <f>HYPERLINK("https://fin.land.naver.com/articles/2654131214", "매물Link")</f>
        <v/>
      </c>
      <c r="M922" s="6">
        <f>HYPERLINK("https://map.naver.com/p/search/남이면 수대리 11", "지도Link")</f>
        <v/>
      </c>
      <c r="N922" s="6">
        <f>HYPERLINK("http://www.eum.go.kr/web/ar/lu/luLandDet.jsp?pnu=4311231039100110000&amp;isNoScr=script&amp;mode=search", "토지이음")</f>
        <v/>
      </c>
      <c r="O922" s="3" t="inlineStr">
        <is>
          <t>그린</t>
        </is>
      </c>
      <c r="P922" s="4" t="n">
        <v>1</v>
      </c>
      <c r="Q922" s="4" t="n">
        <v>560</v>
      </c>
      <c r="R922" s="3" t="inlineStr">
        <is>
          <t>지정되지않음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중로한면</t>
        </is>
      </c>
    </row>
    <row r="923">
      <c r="A923" s="3" t="inlineStr">
        <is>
          <t>남이면 수대리 114-7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13000</v>
      </c>
      <c r="G923" s="4" t="n">
        <v>508</v>
      </c>
      <c r="H923" s="4" t="n">
        <v>154</v>
      </c>
      <c r="I923" s="5" t="n">
        <v>84.40000000000001</v>
      </c>
      <c r="J923" s="5" t="n">
        <v>25.3</v>
      </c>
      <c r="K923" s="3" t="inlineStr">
        <is>
          <t>도심근교  주말쉼터 , 세컨하우스 좋은곳임.</t>
        </is>
      </c>
      <c r="L923" s="6">
        <f>HYPERLINK("https://fin.land.naver.com/articles/2651814384", "매물Link")</f>
        <v/>
      </c>
      <c r="M923" s="6">
        <f>HYPERLINK("https://map.naver.com/p/search/남이면 수대리 114-7", "지도Link")</f>
        <v/>
      </c>
      <c r="N923" s="6">
        <f>HYPERLINK("http://www.eum.go.kr/web/ar/lu/luLandDet.jsp?pnu=4311231039101140007&amp;isNoScr=script&amp;mode=search", "토지이음")</f>
        <v/>
      </c>
      <c r="O923" s="3" t="inlineStr">
        <is>
          <t>포시즌</t>
        </is>
      </c>
      <c r="P923" s="4" t="n">
        <v>2</v>
      </c>
      <c r="Q923" s="4" t="n">
        <v>445.3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수대리 170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27000</v>
      </c>
      <c r="G924" s="4" t="n">
        <v>1785</v>
      </c>
      <c r="H924" s="4" t="n">
        <v>540</v>
      </c>
      <c r="I924" s="5" t="n">
        <v>50</v>
      </c>
      <c r="J924" s="5" t="n">
        <v>22.4</v>
      </c>
      <c r="K924" s="3" t="inlineStr">
        <is>
          <t>청주 서원구 남이면 수대리 토지  매매</t>
        </is>
      </c>
      <c r="L924" s="6">
        <f>HYPERLINK("https://fin.land.naver.com/articles/2652888421", "매물Link")</f>
        <v/>
      </c>
      <c r="M924" s="6">
        <f>HYPERLINK("https://map.naver.com/p/search/남이면 수대리 170", "지도Link")</f>
        <v/>
      </c>
      <c r="N924" s="6">
        <f>HYPERLINK("http://www.eum.go.kr/web/ar/lu/luLandDet.jsp?pnu=4311231039101700000&amp;isNoScr=script&amp;mode=search", "토지이음")</f>
        <v/>
      </c>
      <c r="O924" s="3" t="inlineStr">
        <is>
          <t>일등무소</t>
        </is>
      </c>
      <c r="P924" s="4" t="n">
        <v>1</v>
      </c>
      <c r="Q924" s="4" t="n">
        <v>1785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수대리 186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130000</v>
      </c>
      <c r="G925" s="4" t="n">
        <v>5031</v>
      </c>
      <c r="H925" s="4" t="n">
        <v>1522</v>
      </c>
      <c r="I925" s="5" t="n">
        <v>85.40000000000001</v>
      </c>
      <c r="J925" s="5" t="n">
        <v>32</v>
      </c>
      <c r="K925" s="3" t="inlineStr">
        <is>
          <t>수대리 도로접한 토지 매매.</t>
        </is>
      </c>
      <c r="L925" s="6">
        <f>HYPERLINK("https://fin.land.naver.com/articles/2653458378", "매물Link")</f>
        <v/>
      </c>
      <c r="M925" s="6">
        <f>HYPERLINK("https://map.naver.com/p/search/남이면 수대리 186", "지도Link")</f>
        <v/>
      </c>
      <c r="N925" s="6">
        <f>HYPERLINK("http://www.eum.go.kr/web/ar/lu/luLandDet.jsp?pnu=4311231039101860000&amp;isNoScr=script&amp;mode=search", "토지이음")</f>
        <v/>
      </c>
      <c r="O925" s="3" t="inlineStr">
        <is>
          <t>방서에이스</t>
        </is>
      </c>
      <c r="P925" s="4" t="n">
        <v>1</v>
      </c>
      <c r="Q925" s="4" t="n">
        <v>3233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수대리 20-1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250000</v>
      </c>
      <c r="G926" s="4" t="n">
        <v>3048</v>
      </c>
      <c r="H926" s="4" t="n">
        <v>922</v>
      </c>
      <c r="I926" s="5" t="n">
        <v>271.1</v>
      </c>
      <c r="J926" s="5" t="n">
        <v>38.3</v>
      </c>
      <c r="K926" s="3" t="inlineStr">
        <is>
          <t>6차선도로바로옆 건물건축후임대수익또는직접사용가능 전시장,아울렛등추천</t>
        </is>
      </c>
      <c r="L926" s="6">
        <f>HYPERLINK("https://fin.land.naver.com/articles/2653653132", "매물Link")</f>
        <v/>
      </c>
      <c r="M926" s="6">
        <f>HYPERLINK("https://map.naver.com/p/search/남이면 수대리 20-1", "지도Link")</f>
        <v/>
      </c>
      <c r="N926" s="6">
        <f>HYPERLINK("http://www.eum.go.kr/web/ar/lu/luLandDet.jsp?pnu=4311231039100200001&amp;isNoScr=script&amp;mode=search", "토지이음")</f>
        <v/>
      </c>
      <c r="O926" s="3" t="inlineStr">
        <is>
          <t>하트리움</t>
        </is>
      </c>
      <c r="P926" s="4" t="n">
        <v>1</v>
      </c>
      <c r="Q926" s="4" t="n">
        <v>1831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수대리 229-1</t>
        </is>
      </c>
      <c r="B927" s="3" t="inlineStr">
        <is>
          <t>보전녹지지역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140000</v>
      </c>
      <c r="G927" s="4" t="n">
        <v>4423</v>
      </c>
      <c r="H927" s="4" t="n">
        <v>1338</v>
      </c>
      <c r="I927" s="5" t="n">
        <v>104.6</v>
      </c>
      <c r="J927" s="5" t="n">
        <v>3.2</v>
      </c>
      <c r="K927" s="3" t="inlineStr">
        <is>
          <t>4차선 도로접 토지</t>
        </is>
      </c>
      <c r="L927" s="6">
        <f>HYPERLINK("https://fin.land.naver.com/articles/2650759433", "매물Link")</f>
        <v/>
      </c>
      <c r="M927" s="6">
        <f>HYPERLINK("https://map.naver.com/p/search/남이면 수대리 229-1", "지도Link")</f>
        <v/>
      </c>
      <c r="N927" s="6">
        <f>HYPERLINK("http://www.eum.go.kr/web/ar/lu/luLandDet.jsp?pnu=4311231039102290001&amp;isNoScr=script&amp;mode=search", "토지이음")</f>
        <v/>
      </c>
      <c r="O927" s="3" t="inlineStr">
        <is>
          <t>김창수</t>
        </is>
      </c>
      <c r="P927" s="4" t="n">
        <v>1</v>
      </c>
      <c r="Q927" s="4" t="n">
        <v>3933</v>
      </c>
      <c r="R927" s="3" t="inlineStr">
        <is>
          <t>자연녹지지역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수대리 25-1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68000</v>
      </c>
      <c r="G928" s="4" t="n">
        <v>2988</v>
      </c>
      <c r="H928" s="4" t="n">
        <v>904</v>
      </c>
      <c r="I928" s="5" t="n">
        <v>75.2</v>
      </c>
      <c r="J928" s="5" t="n">
        <v>25.3</v>
      </c>
      <c r="K928" s="3" t="inlineStr">
        <is>
          <t>도시지역 자연녹지지역</t>
        </is>
      </c>
      <c r="L928" s="6">
        <f>HYPERLINK("https://fin.land.naver.com/articles/2652234500", "매물Link")</f>
        <v/>
      </c>
      <c r="M928" s="6">
        <f>HYPERLINK("https://map.naver.com/p/search/남이면 수대리 25-1", "지도Link")</f>
        <v/>
      </c>
      <c r="N928" s="6">
        <f>HYPERLINK("http://www.eum.go.kr/web/ar/lu/luLandDet.jsp?pnu=4311231039100250001&amp;isNoScr=script&amp;mode=search", "토지이음")</f>
        <v/>
      </c>
      <c r="O928" s="3" t="inlineStr">
        <is>
          <t>김창수</t>
        </is>
      </c>
      <c r="P928" s="4" t="n">
        <v>1</v>
      </c>
      <c r="Q928" s="4" t="n">
        <v>2988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수대리 282-1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150000</v>
      </c>
      <c r="G929" s="4" t="n">
        <v>19500</v>
      </c>
      <c r="H929" s="4" t="n">
        <v>5899</v>
      </c>
      <c r="I929" s="5" t="n">
        <v>25.4</v>
      </c>
      <c r="J929" s="5" t="n">
        <v>37.1</v>
      </c>
      <c r="K929" s="3" t="inlineStr">
        <is>
          <t>남이면 수대리 전, 임야 2필지 매매</t>
        </is>
      </c>
      <c r="L929" s="6">
        <f>HYPERLINK("https://fin.land.naver.com/articles/2651321062", "매물Link")</f>
        <v/>
      </c>
      <c r="M929" s="6">
        <f>HYPERLINK("https://map.naver.com/p/search/남이면 수대리 282-1", "지도Link")</f>
        <v/>
      </c>
      <c r="N929" s="6">
        <f>HYPERLINK("http://www.eum.go.kr/web/ar/lu/luLandDet.jsp?pnu=4311231039102820001&amp;isNoScr=script&amp;mode=search", "토지이음")</f>
        <v/>
      </c>
      <c r="O929" s="3" t="inlineStr">
        <is>
          <t>서초</t>
        </is>
      </c>
      <c r="P929" s="4" t="n">
        <v>1</v>
      </c>
      <c r="Q929" s="4" t="n">
        <v>1622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남이면 수대리 95-2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34000</v>
      </c>
      <c r="G930" s="4" t="n">
        <v>1439</v>
      </c>
      <c r="H930" s="4" t="n">
        <v>435</v>
      </c>
      <c r="I930" s="5" t="n">
        <v>78.2</v>
      </c>
      <c r="J930" s="5" t="n">
        <v>20.4</v>
      </c>
      <c r="K930" s="3" t="inlineStr">
        <is>
          <t>수대리 자연녹지 밭 매매 주택 쉼터용 주말용등 추천</t>
        </is>
      </c>
      <c r="L930" s="6">
        <f>HYPERLINK("https://fin.land.naver.com/articles/2655527570", "매물Link")</f>
        <v/>
      </c>
      <c r="M930" s="6">
        <f>HYPERLINK("https://map.naver.com/p/search/남이면 수대리 95-2", "지도Link")</f>
        <v/>
      </c>
      <c r="N930" s="6">
        <f>HYPERLINK("http://www.eum.go.kr/web/ar/lu/luLandDet.jsp?pnu=4311231039100950002&amp;isNoScr=script&amp;mode=search", "토지이음")</f>
        <v/>
      </c>
      <c r="O930" s="3" t="inlineStr">
        <is>
          <t>그린</t>
        </is>
      </c>
      <c r="P930" s="4" t="n">
        <v>1</v>
      </c>
      <c r="Q930" s="4" t="n">
        <v>660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남이면 수대리 산 26-1</t>
        </is>
      </c>
      <c r="B931" s="3" t="inlineStr">
        <is>
          <t>보전녹지지역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33000</v>
      </c>
      <c r="G931" s="4" t="n">
        <v>3361</v>
      </c>
      <c r="H931" s="4" t="n">
        <v>1017</v>
      </c>
      <c r="I931" s="5" t="n">
        <v>32.4</v>
      </c>
      <c r="J931" s="5" t="n">
        <v>2.6</v>
      </c>
      <c r="K931" s="3" t="inlineStr">
        <is>
          <t>선산,물류센터,전원주택단지 추천</t>
        </is>
      </c>
      <c r="L931" s="6">
        <f>HYPERLINK("https://fin.land.naver.com/articles/2652445357", "매물Link")</f>
        <v/>
      </c>
      <c r="M931" s="6">
        <f>HYPERLINK("https://map.naver.com/p/search/남이면 수대리 산 26-1", "지도Link")</f>
        <v/>
      </c>
      <c r="N931" s="6">
        <f>HYPERLINK("http://www.eum.go.kr/web/ar/lu/luLandDet.jsp?pnu=4311231039200260001&amp;isNoScr=script&amp;mode=search", "토지이음")</f>
        <v/>
      </c>
      <c r="O931" s="3" t="inlineStr">
        <is>
          <t>건국</t>
        </is>
      </c>
      <c r="P931" s="4" t="n">
        <v>1</v>
      </c>
      <c r="Q931" s="4" t="n">
        <v>3361</v>
      </c>
      <c r="R931" s="3" t="inlineStr">
        <is>
          <t>지정되지않음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남이면 수대리 산4</t>
        </is>
      </c>
      <c r="B932" s="3" t="inlineStr">
        <is>
          <t>보전녹지지역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63000</v>
      </c>
      <c r="G932" s="4" t="n">
        <v>5157</v>
      </c>
      <c r="H932" s="4" t="n">
        <v>1560</v>
      </c>
      <c r="I932" s="5" t="n">
        <v>40.4</v>
      </c>
      <c r="J932" s="5" t="n">
        <v>4.1</v>
      </c>
      <c r="K932" s="3" t="inlineStr">
        <is>
          <t>청주시 서원구 남이면 수대리 토지 매매</t>
        </is>
      </c>
      <c r="L932" s="6">
        <f>HYPERLINK("https://fin.land.naver.com/articles/2652887612", "매물Link")</f>
        <v/>
      </c>
      <c r="M932" s="6">
        <f>HYPERLINK("https://map.naver.com/p/search/남이면 수대리 산4", "지도Link")</f>
        <v/>
      </c>
      <c r="N932" s="6">
        <f>HYPERLINK("http://www.eum.go.kr/web/ar/lu/luLandDet.jsp?pnu=4311231039200040000&amp;isNoScr=script&amp;mode=search", "토지이음")</f>
        <v/>
      </c>
      <c r="O932" s="3" t="inlineStr">
        <is>
          <t>일등무소</t>
        </is>
      </c>
      <c r="P932" s="4" t="n">
        <v>1</v>
      </c>
      <c r="Q932" s="4" t="n">
        <v>5157</v>
      </c>
      <c r="R932" s="3" t="inlineStr">
        <is>
          <t>자연녹지지역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남이면 양촌리 125-3</t>
        </is>
      </c>
      <c r="B933" s="3" t="inlineStr">
        <is>
          <t>자연녹지지역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140000</v>
      </c>
      <c r="G933" s="4" t="n">
        <v>2099</v>
      </c>
      <c r="H933" s="4" t="n">
        <v>635</v>
      </c>
      <c r="I933" s="5" t="n">
        <v>220.5</v>
      </c>
      <c r="J933" s="5" t="n">
        <v>56.6</v>
      </c>
      <c r="K933" s="3" t="inlineStr">
        <is>
          <t>청주시내 접근성 좋은 남이면 양촌리 근생으로 개발하면 좋을 토지매매</t>
        </is>
      </c>
      <c r="L933" s="6">
        <f>HYPERLINK("https://fin.land.naver.com/articles/2655718663", "매물Link")</f>
        <v/>
      </c>
      <c r="M933" s="6">
        <f>HYPERLINK("https://map.naver.com/p/search/남이면 양촌리 125-3", "지도Link")</f>
        <v/>
      </c>
      <c r="N933" s="6">
        <f>HYPERLINK("http://www.eum.go.kr/web/ar/lu/luLandDet.jsp?pnu=4311231037101250003&amp;isNoScr=script&amp;mode=search",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2099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152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168000</v>
      </c>
      <c r="G934" s="4" t="n">
        <v>5293</v>
      </c>
      <c r="H934" s="4" t="n">
        <v>1601</v>
      </c>
      <c r="I934" s="5" t="n">
        <v>104.9</v>
      </c>
      <c r="J934" s="5" t="n">
        <v>65.40000000000001</v>
      </c>
      <c r="K934" s="3" t="inlineStr">
        <is>
          <t>3차 우회도로 인근 공장 및 창고부지로 추천함</t>
        </is>
      </c>
      <c r="L934" s="6">
        <f>HYPERLINK("https://fin.land.naver.com/articles/2651557248", "매물Link")</f>
        <v/>
      </c>
      <c r="M934" s="6">
        <f>HYPERLINK("https://map.naver.com/p/search/남이면 양촌리 152", "지도Link")</f>
        <v/>
      </c>
      <c r="N934" s="6">
        <f>HYPERLINK("http://www.eum.go.kr/web/ar/lu/luLandDet.jsp?pnu=4311231037101520000&amp;isNoScr=script&amp;mode=search", "토지이음")</f>
        <v/>
      </c>
      <c r="O934" s="3" t="inlineStr">
        <is>
          <t>청주원</t>
        </is>
      </c>
      <c r="P934" s="4" t="n">
        <v>1</v>
      </c>
      <c r="Q934" s="4" t="n">
        <v>2302</v>
      </c>
      <c r="R934" s="3" t="inlineStr">
        <is>
          <t>지정되지않음</t>
        </is>
      </c>
      <c r="S934" s="3" t="inlineStr">
        <is>
          <t>주거기타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양촌리 165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</v>
      </c>
      <c r="G935" s="4" t="n">
        <v>394</v>
      </c>
      <c r="H935" s="4" t="n">
        <v>119</v>
      </c>
      <c r="I935" s="5" t="n">
        <v>100.8</v>
      </c>
      <c r="J935" s="5" t="n">
        <v>36.1</v>
      </c>
      <c r="K935" s="3" t="inlineStr">
        <is>
          <t>청주시내인근 주택지 쉼터용지 텃밭</t>
        </is>
      </c>
      <c r="L935" s="6">
        <f>HYPERLINK("https://fin.land.naver.com/articles/2654657241", "매물Link")</f>
        <v/>
      </c>
      <c r="M935" s="6">
        <f>HYPERLINK("https://map.naver.com/p/search/남이면 양촌리 165", "지도Link")</f>
        <v/>
      </c>
      <c r="N935" s="6">
        <f>HYPERLINK("http://www.eum.go.kr/web/ar/lu/luLandDet.jsp?pnu=4311231037101650000&amp;isNoScr=script&amp;mode=search", "토지이음")</f>
        <v/>
      </c>
      <c r="O935" s="3" t="inlineStr">
        <is>
          <t>원</t>
        </is>
      </c>
      <c r="P935" s="4" t="n">
        <v>1</v>
      </c>
      <c r="Q935" s="4" t="n">
        <v>394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268-6</t>
        </is>
      </c>
      <c r="B936" s="3" t="inlineStr">
        <is>
          <t>자연녹지지역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70000</v>
      </c>
      <c r="G936" s="4" t="n">
        <v>626</v>
      </c>
      <c r="H936" s="4" t="n">
        <v>189</v>
      </c>
      <c r="I936" s="5" t="n">
        <v>370.4</v>
      </c>
      <c r="J936" s="5" t="n">
        <v>133.1</v>
      </c>
      <c r="K936" s="3" t="inlineStr">
        <is>
          <t>양촌카플주차장 인근, 인접토지건물 연계 매매23억원, 가격 절충</t>
        </is>
      </c>
      <c r="L936" s="6">
        <f>HYPERLINK("https://fin.land.naver.com/articles/2653650190", "매물Link")</f>
        <v/>
      </c>
      <c r="M936" s="6">
        <f>HYPERLINK("https://map.naver.com/p/search/남이면 양촌리 268-6", "지도Link")</f>
        <v/>
      </c>
      <c r="N936" s="6">
        <f>HYPERLINK("http://www.eum.go.kr/web/ar/lu/luLandDet.jsp?pnu=4311231037102680006&amp;isNoScr=script&amp;mode=search", "토지이음")</f>
        <v/>
      </c>
      <c r="O936" s="3" t="inlineStr">
        <is>
          <t>라인</t>
        </is>
      </c>
      <c r="P936" s="4" t="n">
        <v>1</v>
      </c>
      <c r="Q936" s="4" t="n">
        <v>626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양촌리 314-2</t>
        </is>
      </c>
      <c r="B937" s="3" t="inlineStr">
        <is>
          <t>자연녹지지역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44000</v>
      </c>
      <c r="G937" s="4" t="n">
        <v>969</v>
      </c>
      <c r="H937" s="4" t="n">
        <v>293</v>
      </c>
      <c r="I937" s="5" t="n">
        <v>150.2</v>
      </c>
      <c r="J937" s="5" t="n">
        <v>68.8</v>
      </c>
      <c r="K937" s="3" t="inlineStr">
        <is>
          <t>도로접한 전원주택지 매매</t>
        </is>
      </c>
      <c r="L937" s="6">
        <f>HYPERLINK("https://fin.land.naver.com/articles/2654796113", "매물Link")</f>
        <v/>
      </c>
      <c r="M937" s="6">
        <f>HYPERLINK("https://map.naver.com/p/search/남이면 양촌리 314-2", "지도Link")</f>
        <v/>
      </c>
      <c r="N937" s="6">
        <f>HYPERLINK("http://www.eum.go.kr/web/ar/lu/luLandDet.jsp?pnu=4311231037103140002&amp;isNoScr=script&amp;mode=search", "토지이음")</f>
        <v/>
      </c>
      <c r="O937" s="3" t="inlineStr">
        <is>
          <t>원탑</t>
        </is>
      </c>
      <c r="P937" s="4" t="n">
        <v>1</v>
      </c>
      <c r="Q937" s="4" t="n">
        <v>969</v>
      </c>
      <c r="R937" s="3" t="inlineStr">
        <is>
          <t>보전녹지지역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남이면 양촌리 317-2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53000</v>
      </c>
      <c r="G938" s="4" t="n">
        <v>1309</v>
      </c>
      <c r="H938" s="4" t="n">
        <v>396</v>
      </c>
      <c r="I938" s="5" t="n">
        <v>133.8</v>
      </c>
      <c r="J938" s="5" t="n">
        <v>48.1</v>
      </c>
      <c r="K938" s="3" t="inlineStr">
        <is>
          <t>남이면 양촌리 도로 접한 자연녹지 밭 매매 창고.근생등 추천</t>
        </is>
      </c>
      <c r="L938" s="6">
        <f>HYPERLINK("https://fin.land.naver.com/articles/2651924628", "매물Link")</f>
        <v/>
      </c>
      <c r="M938" s="6">
        <f>HYPERLINK("https://map.naver.com/p/search/남이면 양촌리 317-2", "지도Link")</f>
        <v/>
      </c>
      <c r="N938" s="6">
        <f>HYPERLINK("http://www.eum.go.kr/web/ar/lu/luLandDet.jsp?pnu=4311231037103170002&amp;isNoScr=script&amp;mode=search", "토지이음")</f>
        <v/>
      </c>
      <c r="O938" s="3" t="inlineStr">
        <is>
          <t>그린</t>
        </is>
      </c>
      <c r="P938" s="4" t="n">
        <v>1</v>
      </c>
      <c r="Q938" s="4" t="n">
        <v>1309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양촌리 373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71000</v>
      </c>
      <c r="G939" s="4" t="n">
        <v>1993</v>
      </c>
      <c r="H939" s="4" t="n">
        <v>603</v>
      </c>
      <c r="I939" s="5" t="n">
        <v>117.7</v>
      </c>
      <c r="J939" s="5" t="n">
        <v>52.3</v>
      </c>
      <c r="K939" s="3" t="inlineStr">
        <is>
          <t>3순환로 인접  정남향 토지로 활용도 좋은 저렴한토지</t>
        </is>
      </c>
      <c r="L939" s="6">
        <f>HYPERLINK("https://fin.land.naver.com/articles/2655210050", "매물Link")</f>
        <v/>
      </c>
      <c r="M939" s="6">
        <f>HYPERLINK("https://map.naver.com/p/search/남이면 양촌리 373", "지도Link")</f>
        <v/>
      </c>
      <c r="N939" s="6">
        <f>HYPERLINK("http://www.eum.go.kr/web/ar/lu/luLandDet.jsp?pnu=4311231037103730000&amp;isNoScr=script&amp;mode=search", "토지이음")</f>
        <v/>
      </c>
      <c r="O939" s="3" t="inlineStr">
        <is>
          <t>청주원</t>
        </is>
      </c>
      <c r="P939" s="4" t="n">
        <v>1</v>
      </c>
      <c r="Q939" s="4" t="n">
        <v>1993</v>
      </c>
      <c r="R939" s="3" t="inlineStr">
        <is>
          <t>보전녹지지역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양촌리 395-1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29000</v>
      </c>
      <c r="G940" s="4" t="n">
        <v>684</v>
      </c>
      <c r="H940" s="4" t="n">
        <v>207</v>
      </c>
      <c r="I940" s="5" t="n">
        <v>140.1</v>
      </c>
      <c r="J940" s="5" t="n">
        <v>42.1</v>
      </c>
      <c r="K940" s="3" t="inlineStr">
        <is>
          <t>남향토지로 접근성 우수</t>
        </is>
      </c>
      <c r="L940" s="6">
        <f>HYPERLINK("https://fin.land.naver.com/articles/2651705474", "매물Link")</f>
        <v/>
      </c>
      <c r="M940" s="6">
        <f>HYPERLINK("https://map.naver.com/p/search/남이면 양촌리 395-1", "지도Link")</f>
        <v/>
      </c>
      <c r="N940" s="6">
        <f>HYPERLINK("http://www.eum.go.kr/web/ar/lu/luLandDet.jsp?pnu=4311231037103950001&amp;isNoScr=script&amp;mode=search", "토지이음")</f>
        <v/>
      </c>
      <c r="O940" s="3" t="inlineStr">
        <is>
          <t>터사랑</t>
        </is>
      </c>
      <c r="P940" s="4" t="n">
        <v>1</v>
      </c>
      <c r="Q940" s="4" t="n">
        <v>684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양촌리 417-3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220000</v>
      </c>
      <c r="G941" s="4" t="n">
        <v>4540</v>
      </c>
      <c r="H941" s="4" t="n">
        <v>1373</v>
      </c>
      <c r="I941" s="5" t="n">
        <v>160.2</v>
      </c>
      <c r="J941" s="5" t="n">
        <v>30.3</v>
      </c>
      <c r="K941" s="3" t="inlineStr">
        <is>
          <t>8m 아스팔트 포장도로에 접한 토지. 용도 다양함</t>
        </is>
      </c>
      <c r="L941" s="6">
        <f>HYPERLINK("https://fin.land.naver.com/articles/2655210508", "매물Link")</f>
        <v/>
      </c>
      <c r="M941" s="6">
        <f>HYPERLINK("https://map.naver.com/p/search/남이면 양촌리 417-3", "지도Link")</f>
        <v/>
      </c>
      <c r="N941" s="6">
        <f>HYPERLINK("http://www.eum.go.kr/web/ar/lu/luLandDet.jsp?pnu=4311231037104170003&amp;isNoScr=script&amp;mode=search", "토지이음")</f>
        <v/>
      </c>
      <c r="O941" s="3" t="inlineStr">
        <is>
          <t>청주원</t>
        </is>
      </c>
      <c r="P941" s="4" t="n">
        <v>1</v>
      </c>
      <c r="Q941" s="4" t="n">
        <v>1088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양촌리 419-4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220000</v>
      </c>
      <c r="G942" s="4" t="n">
        <v>4540</v>
      </c>
      <c r="H942" s="4" t="n">
        <v>1373</v>
      </c>
      <c r="I942" s="5" t="n">
        <v>160.2</v>
      </c>
      <c r="J942" s="5" t="n">
        <v>37.5</v>
      </c>
      <c r="K942" s="3" t="inlineStr">
        <is>
          <t>제2종근생 허가득,토목공사 완료,오폐수직관,3순환로인접,공장 음식점</t>
        </is>
      </c>
      <c r="L942" s="6">
        <f>HYPERLINK("https://fin.land.naver.com/articles/2651557955", "매물Link")</f>
        <v/>
      </c>
      <c r="M942" s="6">
        <f>HYPERLINK("https://map.naver.com/p/search/남이면 양촌리 419-4", "지도Link")</f>
        <v/>
      </c>
      <c r="N942" s="6">
        <f>HYPERLINK("http://www.eum.go.kr/web/ar/lu/luLandDet.jsp?pnu=4311231037104190004&amp;isNoScr=script&amp;mode=search", "토지이음")</f>
        <v/>
      </c>
      <c r="O942" s="3" t="inlineStr">
        <is>
          <t>라인</t>
        </is>
      </c>
      <c r="P942" s="4" t="n">
        <v>1</v>
      </c>
      <c r="Q942" s="4" t="n">
        <v>911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양촌리 419-4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234000</v>
      </c>
      <c r="G943" s="4" t="n">
        <v>4829</v>
      </c>
      <c r="H943" s="4" t="n">
        <v>1461</v>
      </c>
      <c r="I943" s="5" t="n">
        <v>160.2</v>
      </c>
      <c r="J943" s="5" t="n">
        <v>37.5</v>
      </c>
      <c r="K943" s="3" t="inlineStr">
        <is>
          <t>8m도로접, 제2종근생 제조압 허가득, 토목공사 완료</t>
        </is>
      </c>
      <c r="L943" s="6">
        <f>HYPERLINK("https://fin.land.naver.com/articles/2654897282", "매물Link")</f>
        <v/>
      </c>
      <c r="M943" s="6">
        <f>HYPERLINK("https://map.naver.com/p/search/남이면 양촌리 419-4", "지도Link")</f>
        <v/>
      </c>
      <c r="N943" s="6">
        <f>HYPERLINK("http://www.eum.go.kr/web/ar/lu/luLandDet.jsp?pnu=4311231037104190004&amp;isNoScr=script&amp;mode=search", "토지이음")</f>
        <v/>
      </c>
      <c r="O943" s="3" t="inlineStr">
        <is>
          <t>플러스자이합동</t>
        </is>
      </c>
      <c r="P943" s="4" t="n">
        <v>1</v>
      </c>
      <c r="Q943" s="4" t="n">
        <v>911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양촌리 53-69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33460</v>
      </c>
      <c r="G944" s="4" t="n">
        <v>791</v>
      </c>
      <c r="H944" s="4" t="n">
        <v>239</v>
      </c>
      <c r="I944" s="5" t="n">
        <v>140</v>
      </c>
      <c r="J944" s="5" t="n">
        <v>103.6</v>
      </c>
      <c r="K944" s="3" t="inlineStr">
        <is>
          <t>청주 서원구 남이면 양촌리 가마리 인근 전원마을 토목공사완료 주택건축</t>
        </is>
      </c>
      <c r="L944" s="6">
        <f>HYPERLINK("https://fin.land.naver.com/articles/2653517521", "매물Link")</f>
        <v/>
      </c>
      <c r="M944" s="6">
        <f>HYPERLINK("https://map.naver.com/p/search/남이면 양촌리 53-69", "지도Link")</f>
        <v/>
      </c>
      <c r="N944" s="6">
        <f>HYPERLINK("http://www.eum.go.kr/web/ar/lu/luLandDet.jsp?pnu=4311231037100530069&amp;isNoScr=script&amp;mode=search", "토지이음")</f>
        <v/>
      </c>
      <c r="O944" s="3" t="inlineStr">
        <is>
          <t>나침반</t>
        </is>
      </c>
      <c r="P944" s="4" t="n">
        <v>1</v>
      </c>
      <c r="Q944" s="4" t="n">
        <v>685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양촌리 53-96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32300</v>
      </c>
      <c r="G945" s="4" t="n">
        <v>631</v>
      </c>
      <c r="H945" s="4" t="n">
        <v>191</v>
      </c>
      <c r="I945" s="5" t="n">
        <v>169.1</v>
      </c>
      <c r="J945" s="5" t="n">
        <v>43.5</v>
      </c>
      <c r="K945" s="3" t="inlineStr">
        <is>
          <t>nan</t>
        </is>
      </c>
      <c r="L945" s="6">
        <f>HYPERLINK("https://fin.land.naver.com/articles/2655704749", "매물Link")</f>
        <v/>
      </c>
      <c r="M945" s="6">
        <f>HYPERLINK("https://map.naver.com/p/search/남이면 양촌리 53-96", "지도Link")</f>
        <v/>
      </c>
      <c r="N945" s="6">
        <f>HYPERLINK("http://www.eum.go.kr/web/ar/lu/luLandDet.jsp?pnu=4311231037100530096&amp;isNoScr=script&amp;mode=search", "토지이음")</f>
        <v/>
      </c>
      <c r="O945" s="3" t="inlineStr">
        <is>
          <t>좋은선택</t>
        </is>
      </c>
      <c r="P945" s="4" t="n">
        <v>1</v>
      </c>
      <c r="Q945" s="4" t="n">
        <v>631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맹지</t>
        </is>
      </c>
    </row>
    <row r="946">
      <c r="A946" s="3" t="inlineStr">
        <is>
          <t>남이면 양촌리 64-4</t>
        </is>
      </c>
      <c r="B946" s="3" t="inlineStr">
        <is>
          <t>자연녹지지역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180000</v>
      </c>
      <c r="G946" s="4" t="n">
        <v>5731</v>
      </c>
      <c r="H946" s="4" t="n">
        <v>1734</v>
      </c>
      <c r="I946" s="5" t="n">
        <v>103.8</v>
      </c>
      <c r="J946" s="5" t="n">
        <v>76.40000000000001</v>
      </c>
      <c r="K946" s="3" t="inlineStr">
        <is>
          <t>nan</t>
        </is>
      </c>
      <c r="L946" s="6">
        <f>HYPERLINK("https://fin.land.naver.com/articles/2650045759", "매물Link")</f>
        <v/>
      </c>
      <c r="M946" s="6">
        <f>HYPERLINK("https://map.naver.com/p/search/남이면 양촌리 64-4", "지도Link")</f>
        <v/>
      </c>
      <c r="N946" s="6">
        <f>HYPERLINK("http://www.eum.go.kr/web/ar/lu/luLandDet.jsp?pnu=4311231037100640004&amp;isNoScr=script&amp;mode=search", "토지이음")</f>
        <v/>
      </c>
      <c r="O946" s="3" t="inlineStr">
        <is>
          <t>대지</t>
        </is>
      </c>
      <c r="P946" s="4" t="n">
        <v>1</v>
      </c>
      <c r="Q946" s="4" t="n">
        <v>460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양촌리 산 12-5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87800</v>
      </c>
      <c r="G947" s="4" t="n">
        <v>2233</v>
      </c>
      <c r="H947" s="4" t="n">
        <v>675</v>
      </c>
      <c r="I947" s="5" t="n">
        <v>130.1</v>
      </c>
      <c r="J947" s="5" t="n">
        <v>3.5</v>
      </c>
      <c r="K947" s="3" t="inlineStr">
        <is>
          <t>청주 시내뷰를 가진 시내권 전원주택</t>
        </is>
      </c>
      <c r="L947" s="6">
        <f>HYPERLINK("https://fin.land.naver.com/articles/2652742861", "매물Link")</f>
        <v/>
      </c>
      <c r="M947" s="6">
        <f>HYPERLINK("https://map.naver.com/p/search/남이면 양촌리 산 12-5", "지도Link")</f>
        <v/>
      </c>
      <c r="N947" s="6">
        <f>HYPERLINK("http://www.eum.go.kr/web/ar/lu/luLandDet.jsp?pnu=4311231037200120005&amp;isNoScr=script&amp;mode=search", "토지이음")</f>
        <v/>
      </c>
      <c r="O947" s="3" t="inlineStr">
        <is>
          <t>좋은선택</t>
        </is>
      </c>
      <c r="P947" s="4" t="n">
        <v>1</v>
      </c>
      <c r="Q947" s="4" t="n">
        <v>1910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양촌리 산8-26</t>
        </is>
      </c>
      <c r="B948" s="3" t="inlineStr">
        <is>
          <t>자연녹지지역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21000</v>
      </c>
      <c r="G948" s="4" t="n">
        <v>425</v>
      </c>
      <c r="H948" s="4" t="n">
        <v>129</v>
      </c>
      <c r="I948" s="5" t="n">
        <v>162.8</v>
      </c>
      <c r="J948" s="5" t="n">
        <v>74.3</v>
      </c>
      <c r="K948" s="3" t="inlineStr">
        <is>
          <t>도심 근교 주택부지</t>
        </is>
      </c>
      <c r="L948" s="6">
        <f>HYPERLINK("https://fin.land.naver.com/articles/2655584658", "매물Link")</f>
        <v/>
      </c>
      <c r="M948" s="6">
        <f>HYPERLINK("https://map.naver.com/p/search/남이면 양촌리 산8-26", "지도Link")</f>
        <v/>
      </c>
      <c r="N948" s="6">
        <f>HYPERLINK("http://www.eum.go.kr/web/ar/lu/luLandDet.jsp?pnu=4311231037200080026&amp;isNoScr=script&amp;mode=search", "토지이음")</f>
        <v/>
      </c>
      <c r="O948" s="3" t="inlineStr">
        <is>
          <t>조은</t>
        </is>
      </c>
      <c r="P948" s="4" t="n">
        <v>1</v>
      </c>
      <c r="Q948" s="4" t="n">
        <v>388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외천리 121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285000</v>
      </c>
      <c r="G949" s="4" t="n">
        <v>6282</v>
      </c>
      <c r="H949" s="4" t="n">
        <v>1900</v>
      </c>
      <c r="I949" s="5" t="n">
        <v>150</v>
      </c>
      <c r="J949" s="5" t="n">
        <v>18.5</v>
      </c>
      <c r="K949" s="3" t="inlineStr">
        <is>
          <t>청주시 남이면 경부,중부,당진영덕고속도로 ic,jc로 바로연결 가능</t>
        </is>
      </c>
      <c r="L949" s="6">
        <f>HYPERLINK("https://fin.land.naver.com/articles/2652451277", "매물Link")</f>
        <v/>
      </c>
      <c r="M949" s="6">
        <f>HYPERLINK("https://map.naver.com/p/search/남이면 외천리 121", "지도Link")</f>
        <v/>
      </c>
      <c r="N949" s="6">
        <f>HYPERLINK("http://www.eum.go.kr/web/ar/lu/luLandDet.jsp?pnu=4311231022101210000&amp;isNoScr=script&amp;mode=search",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2280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외천리 276-2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3700</v>
      </c>
      <c r="G950" s="4" t="n">
        <v>384</v>
      </c>
      <c r="H950" s="4" t="n">
        <v>116</v>
      </c>
      <c r="I950" s="5" t="n">
        <v>31.9</v>
      </c>
      <c r="J950" s="5" t="n">
        <v>30</v>
      </c>
      <c r="K950" s="3" t="inlineStr">
        <is>
          <t>외천리 계획관리지역내의 반듯한 모양의 작은 토지 매매이예요</t>
        </is>
      </c>
      <c r="L950" s="6">
        <f>HYPERLINK("https://fin.land.naver.com/articles/2651072689", "매물Link")</f>
        <v/>
      </c>
      <c r="M950" s="6">
        <f>HYPERLINK("https://map.naver.com/p/search/남이면 외천리 276-2", "지도Link")</f>
        <v/>
      </c>
      <c r="N950" s="6">
        <f>HYPERLINK("http://www.eum.go.kr/web/ar/lu/luLandDet.jsp?pnu=4311231022102760002&amp;isNoScr=script&amp;mode=search", "토지이음")</f>
        <v/>
      </c>
      <c r="O950" s="3" t="inlineStr">
        <is>
          <t>4989명품</t>
        </is>
      </c>
      <c r="P950" s="4" t="n">
        <v>1</v>
      </c>
      <c r="Q950" s="4" t="n">
        <v>384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외천리 276-2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3700</v>
      </c>
      <c r="G951" s="4" t="n">
        <v>384</v>
      </c>
      <c r="H951" s="4" t="n">
        <v>116</v>
      </c>
      <c r="I951" s="5" t="n">
        <v>31.9</v>
      </c>
      <c r="J951" s="5" t="n">
        <v>30</v>
      </c>
      <c r="K951" s="3" t="inlineStr">
        <is>
          <t>nan</t>
        </is>
      </c>
      <c r="L951" s="6">
        <f>HYPERLINK("https://fin.land.naver.com/articles/2651009859", "매물Link")</f>
        <v/>
      </c>
      <c r="M951" s="6">
        <f>HYPERLINK("https://map.naver.com/p/search/남이면 외천리 276-2", "지도Link")</f>
        <v/>
      </c>
      <c r="N951" s="6">
        <f>HYPERLINK("http://www.eum.go.kr/web/ar/lu/luLandDet.jsp?pnu=4311231022102760002&amp;isNoScr=script&amp;mode=search", "토지이음")</f>
        <v/>
      </c>
      <c r="O951" s="3" t="inlineStr">
        <is>
          <t>노른자</t>
        </is>
      </c>
      <c r="P951" s="4" t="n">
        <v>1</v>
      </c>
      <c r="Q951" s="4" t="n">
        <v>384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외천리 276-2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3700</v>
      </c>
      <c r="G952" s="4" t="n">
        <v>384</v>
      </c>
      <c r="H952" s="4" t="n">
        <v>116</v>
      </c>
      <c r="I952" s="5" t="n">
        <v>31.9</v>
      </c>
      <c r="J952" s="5" t="n">
        <v>30</v>
      </c>
      <c r="K952" s="3" t="inlineStr">
        <is>
          <t>남이면 외천리 작은 밭 급매 지적도상 도로 접미개설 주말농장등</t>
        </is>
      </c>
      <c r="L952" s="6">
        <f>HYPERLINK("https://fin.land.naver.com/articles/2650746620", "매물Link")</f>
        <v/>
      </c>
      <c r="M952" s="6">
        <f>HYPERLINK("https://map.naver.com/p/search/남이면 외천리 276-2", "지도Link")</f>
        <v/>
      </c>
      <c r="N952" s="6">
        <f>HYPERLINK("http://www.eum.go.kr/web/ar/lu/luLandDet.jsp?pnu=4311231022102760002&amp;isNoScr=script&amp;mode=search", "토지이음")</f>
        <v/>
      </c>
      <c r="O952" s="3" t="inlineStr">
        <is>
          <t>그린</t>
        </is>
      </c>
      <c r="P952" s="4" t="n">
        <v>1</v>
      </c>
      <c r="Q952" s="4" t="n">
        <v>384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남이면 외천리 296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20600</v>
      </c>
      <c r="G953" s="4" t="n">
        <v>620</v>
      </c>
      <c r="H953" s="4" t="n">
        <v>188</v>
      </c>
      <c r="I953" s="5" t="n">
        <v>109.6</v>
      </c>
      <c r="J953" s="5" t="n">
        <v>55.7</v>
      </c>
      <c r="K953" s="3" t="inlineStr">
        <is>
          <t>계획관리지역, 도로인접, 신탄진네거리에서 차량으로 20분 거리</t>
        </is>
      </c>
      <c r="L953" s="6">
        <f>HYPERLINK("https://fin.land.naver.com/articles/2654547410", "매물Link")</f>
        <v/>
      </c>
      <c r="M953" s="6">
        <f>HYPERLINK("https://map.naver.com/p/search/남이면 외천리 296", "지도Link")</f>
        <v/>
      </c>
      <c r="N953" s="6">
        <f>HYPERLINK("http://www.eum.go.kr/web/ar/lu/luLandDet.jsp?pnu=4311231022102960000&amp;isNoScr=script&amp;mode=search", "토지이음")</f>
        <v/>
      </c>
      <c r="O953" s="3" t="inlineStr">
        <is>
          <t>대지</t>
        </is>
      </c>
      <c r="P953" s="4" t="n">
        <v>2</v>
      </c>
      <c r="Q953" s="4" t="n">
        <v>620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세로각지(가)</t>
        </is>
      </c>
    </row>
    <row r="954">
      <c r="A954" s="3" t="inlineStr">
        <is>
          <t>남이면 외천리 296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22500</v>
      </c>
      <c r="G954" s="4" t="n">
        <v>620</v>
      </c>
      <c r="H954" s="4" t="n">
        <v>188</v>
      </c>
      <c r="I954" s="5" t="n">
        <v>119.7</v>
      </c>
      <c r="J954" s="5" t="n">
        <v>55.7</v>
      </c>
      <c r="K954" s="3" t="inlineStr">
        <is>
          <t>계획관리. 나대지</t>
        </is>
      </c>
      <c r="L954" s="6">
        <f>HYPERLINK("https://fin.land.naver.com/articles/2655630754", "매물Link")</f>
        <v/>
      </c>
      <c r="M954" s="6">
        <f>HYPERLINK("https://map.naver.com/p/search/남이면 외천리 296", "지도Link")</f>
        <v/>
      </c>
      <c r="N954" s="6">
        <f>HYPERLINK("http://www.eum.go.kr/web/ar/lu/luLandDet.jsp?pnu=4311231022102960000&amp;isNoScr=script&amp;mode=search", "토지이음")</f>
        <v/>
      </c>
      <c r="O954" s="3" t="inlineStr">
        <is>
          <t>정민</t>
        </is>
      </c>
      <c r="P954" s="4" t="n">
        <v>1</v>
      </c>
      <c r="Q954" s="4" t="n">
        <v>620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세로각지(가)</t>
        </is>
      </c>
    </row>
    <row r="955">
      <c r="A955" s="3" t="inlineStr">
        <is>
          <t>남이면 외천리 296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23000</v>
      </c>
      <c r="G955" s="4" t="n">
        <v>620</v>
      </c>
      <c r="H955" s="4" t="n">
        <v>188</v>
      </c>
      <c r="I955" s="5" t="n">
        <v>122.3</v>
      </c>
      <c r="J955" s="5" t="n">
        <v>55.7</v>
      </c>
      <c r="K955" s="3" t="inlineStr">
        <is>
          <t>남이면 코너 대지 매매</t>
        </is>
      </c>
      <c r="L955" s="6">
        <f>HYPERLINK("https://fin.land.naver.com/articles/2651167055", "매물Link")</f>
        <v/>
      </c>
      <c r="M955" s="6">
        <f>HYPERLINK("https://map.naver.com/p/search/남이면 외천리 296", "지도Link")</f>
        <v/>
      </c>
      <c r="N955" s="6">
        <f>HYPERLINK("http://www.eum.go.kr/web/ar/lu/luLandDet.jsp?pnu=4311231022102960000&amp;isNoScr=script&amp;mode=search", "토지이음")</f>
        <v/>
      </c>
      <c r="O955" s="3" t="inlineStr">
        <is>
          <t>더공감</t>
        </is>
      </c>
      <c r="P955" s="4" t="n">
        <v>1</v>
      </c>
      <c r="Q955" s="4" t="n">
        <v>620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세로각지(가)</t>
        </is>
      </c>
    </row>
    <row r="956">
      <c r="A956" s="3" t="inlineStr">
        <is>
          <t>남이면 외천리 37-5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310000</v>
      </c>
      <c r="G956" s="4" t="n">
        <v>6841</v>
      </c>
      <c r="H956" s="4" t="n">
        <v>2069</v>
      </c>
      <c r="I956" s="5" t="n">
        <v>149.8</v>
      </c>
      <c r="J956" s="5" t="n">
        <v>34.8</v>
      </c>
      <c r="K956" s="3" t="inlineStr">
        <is>
          <t>계획관리지역, 공장 및 창고, 물류센터용 토지 매매</t>
        </is>
      </c>
      <c r="L956" s="6">
        <f>HYPERLINK("https://fin.land.naver.com/articles/2655595043", "매물Link")</f>
        <v/>
      </c>
      <c r="M956" s="6">
        <f>HYPERLINK("https://map.naver.com/p/search/남이면 외천리 37-5", "지도Link")</f>
        <v/>
      </c>
      <c r="N956" s="6">
        <f>HYPERLINK("http://www.eum.go.kr/web/ar/lu/luLandDet.jsp?pnu=4311231022100370005&amp;isNoScr=script&amp;mode=search", "토지이음")</f>
        <v/>
      </c>
      <c r="O956" s="3" t="inlineStr">
        <is>
          <t>금화랜드</t>
        </is>
      </c>
      <c r="P956" s="4" t="n">
        <v>1</v>
      </c>
      <c r="Q956" s="4" t="n">
        <v>2790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외천리 428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146000</v>
      </c>
      <c r="G957" s="4" t="n">
        <v>3570</v>
      </c>
      <c r="H957" s="4" t="n">
        <v>1080</v>
      </c>
      <c r="I957" s="5" t="n">
        <v>135.2</v>
      </c>
      <c r="J957" s="5" t="n">
        <v>16.4</v>
      </c>
      <c r="K957" s="3" t="inlineStr">
        <is>
          <t>남청주IC 청남로 인근 토지  대, 전  계획관리지역, 성장관리계획.</t>
        </is>
      </c>
      <c r="L957" s="6">
        <f>HYPERLINK("https://fin.land.naver.com/articles/2651725704", "매물Link")</f>
        <v/>
      </c>
      <c r="M957" s="6">
        <f>HYPERLINK("https://map.naver.com/p/search/남이면 외천리 428", "지도Link")</f>
        <v/>
      </c>
      <c r="N957" s="6">
        <f>HYPERLINK("http://www.eum.go.kr/web/ar/lu/luLandDet.jsp?pnu=4311231022104280000&amp;isNoScr=script&amp;mode=search", "토지이음")</f>
        <v/>
      </c>
      <c r="O957" s="3" t="inlineStr">
        <is>
          <t>두꺼비</t>
        </is>
      </c>
      <c r="P957" s="4" t="n">
        <v>1</v>
      </c>
      <c r="Q957" s="4" t="n">
        <v>1613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외천리 93-3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282000</v>
      </c>
      <c r="G958" s="4" t="n">
        <v>6230</v>
      </c>
      <c r="H958" s="4" t="n">
        <v>1885</v>
      </c>
      <c r="I958" s="5" t="n">
        <v>149.6</v>
      </c>
      <c r="J958" s="5" t="n">
        <v>61.2</v>
      </c>
      <c r="K958" s="3" t="inlineStr">
        <is>
          <t>총10필지이며 대지 및 답으로 되어 있으나  현황은 전체 대지처럼 사용함</t>
        </is>
      </c>
      <c r="L958" s="6">
        <f>HYPERLINK("https://fin.land.naver.com/articles/2652762140", "매물Link")</f>
        <v/>
      </c>
      <c r="M958" s="6">
        <f>HYPERLINK("https://map.naver.com/p/search/남이면 외천리 93-3", "지도Link")</f>
        <v/>
      </c>
      <c r="N958" s="6">
        <f>HYPERLINK("http://www.eum.go.kr/web/ar/lu/luLandDet.jsp?pnu=4311231022100930003&amp;isNoScr=script&amp;mode=search", "토지이음")</f>
        <v/>
      </c>
      <c r="O958" s="3" t="inlineStr">
        <is>
          <t>포시즌</t>
        </is>
      </c>
      <c r="P958" s="4" t="n">
        <v>1</v>
      </c>
      <c r="Q958" s="4" t="n">
        <v>766</v>
      </c>
      <c r="R958" s="3" t="inlineStr">
        <is>
          <t>지정되지않음</t>
        </is>
      </c>
      <c r="S958" s="3" t="inlineStr">
        <is>
          <t>단독</t>
        </is>
      </c>
      <c r="T958" s="3" t="inlineStr">
        <is>
          <t>완경사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남이면 척북리 74-2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96000</v>
      </c>
      <c r="G959" s="4" t="n">
        <v>2268</v>
      </c>
      <c r="H959" s="4" t="n">
        <v>686</v>
      </c>
      <c r="I959" s="5" t="n">
        <v>139.9</v>
      </c>
      <c r="J959" s="5" t="n">
        <v>35.2</v>
      </c>
      <c r="K959" s="3" t="inlineStr">
        <is>
          <t>2차선 코너도로접 남청주ic 7분거리</t>
        </is>
      </c>
      <c r="L959" s="6">
        <f>HYPERLINK("https://fin.land.naver.com/articles/2654700849", "매물Link")</f>
        <v/>
      </c>
      <c r="M959" s="6">
        <f>HYPERLINK("https://map.naver.com/p/search/남이면 척북리 74-2", "지도Link")</f>
        <v/>
      </c>
      <c r="N959" s="6">
        <f>HYPERLINK("http://www.eum.go.kr/web/ar/lu/luLandDet.jsp?pnu=4311231024100740002&amp;isNoScr=script&amp;mode=search", "토지이음")</f>
        <v/>
      </c>
      <c r="O959" s="3" t="inlineStr">
        <is>
          <t>플러스태양</t>
        </is>
      </c>
      <c r="P959" s="4" t="n">
        <v>3</v>
      </c>
      <c r="Q959" s="4" t="n">
        <v>2268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소로각지</t>
        </is>
      </c>
    </row>
    <row r="960">
      <c r="A960" s="3" t="inlineStr">
        <is>
          <t>남이면 척북리 산 30-6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25000</v>
      </c>
      <c r="G960" s="4" t="n">
        <v>557</v>
      </c>
      <c r="H960" s="4" t="n">
        <v>168</v>
      </c>
      <c r="I960" s="5" t="n">
        <v>148.8</v>
      </c>
      <c r="J960" s="5" t="n">
        <v>18.8</v>
      </c>
      <c r="K960" s="3" t="inlineStr">
        <is>
          <t>2차선도접 성토및 옹벽공사완료</t>
        </is>
      </c>
      <c r="L960" s="6">
        <f>HYPERLINK("https://fin.land.naver.com/articles/2650429265", "매물Link")</f>
        <v/>
      </c>
      <c r="M960" s="6">
        <f>HYPERLINK("https://map.naver.com/p/search/남이면 척북리 산 30-6", "지도Link")</f>
        <v/>
      </c>
      <c r="N960" s="6">
        <f>HYPERLINK("http://www.eum.go.kr/web/ar/lu/luLandDet.jsp?pnu=4311231024200300006&amp;isNoScr=script&amp;mode=search", "토지이음")</f>
        <v/>
      </c>
      <c r="O960" s="3" t="inlineStr">
        <is>
          <t>플러스태양</t>
        </is>
      </c>
      <c r="P960" s="4" t="n">
        <v>1</v>
      </c>
      <c r="Q960" s="4" t="n">
        <v>557</v>
      </c>
      <c r="R960" s="3" t="inlineStr">
        <is>
          <t>지정되지않음</t>
        </is>
      </c>
      <c r="S960" s="3" t="inlineStr">
        <is>
          <t>도로등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남이면 척산리 241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105000</v>
      </c>
      <c r="G961" s="4" t="n">
        <v>3678</v>
      </c>
      <c r="H961" s="4" t="n">
        <v>1113</v>
      </c>
      <c r="I961" s="5" t="n">
        <v>94.3</v>
      </c>
      <c r="J961" s="5" t="n">
        <v>26.4</v>
      </c>
      <c r="K961" s="3" t="inlineStr">
        <is>
          <t>척산면 면사무소근처 분할매매가능 도로조건좋은 계획관리 토지</t>
        </is>
      </c>
      <c r="L961" s="6">
        <f>HYPERLINK("https://fin.land.naver.com/articles/2650997047", "매물Link")</f>
        <v/>
      </c>
      <c r="M961" s="6">
        <f>HYPERLINK("https://map.naver.com/p/search/남이면 척산리 241", "지도Link")</f>
        <v/>
      </c>
      <c r="N961" s="6">
        <f>HYPERLINK("http://www.eum.go.kr/web/ar/lu/luLandDet.jsp?pnu=4311231021102410000&amp;isNoScr=script&amp;mode=search", "토지이음")</f>
        <v/>
      </c>
      <c r="O961" s="3" t="inlineStr">
        <is>
          <t>두원</t>
        </is>
      </c>
      <c r="P961" s="4" t="n">
        <v>1</v>
      </c>
      <c r="Q961" s="4" t="n">
        <v>3678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남이면 척산리 41-2</t>
        </is>
      </c>
      <c r="B962" s="3" t="inlineStr">
        <is>
          <t>계획관리지역</t>
        </is>
      </c>
      <c r="C962" s="3" t="inlineStr">
        <is>
          <t>공장용지</t>
        </is>
      </c>
      <c r="D962" s="3" t="inlineStr">
        <is>
          <t>공장용지</t>
        </is>
      </c>
      <c r="E962" s="3" t="inlineStr">
        <is>
          <t>매매</t>
        </is>
      </c>
      <c r="F962" s="4" t="n">
        <v>220000</v>
      </c>
      <c r="G962" s="4" t="n">
        <v>3761</v>
      </c>
      <c r="H962" s="4" t="n">
        <v>1138</v>
      </c>
      <c r="I962" s="5" t="n">
        <v>193.3</v>
      </c>
      <c r="J962" s="5" t="n">
        <v>65.7</v>
      </c>
      <c r="K962" s="3" t="inlineStr">
        <is>
          <t>청주 서원구 남이면 척산리 토지 매매</t>
        </is>
      </c>
      <c r="L962" s="6">
        <f>HYPERLINK("https://fin.land.naver.com/articles/2650405233", "매물Link")</f>
        <v/>
      </c>
      <c r="M962" s="6">
        <f>HYPERLINK("https://map.naver.com/p/search/남이면 척산리 41-2", "지도Link")</f>
        <v/>
      </c>
      <c r="N962" s="6">
        <f>HYPERLINK("http://www.eum.go.kr/web/ar/lu/luLandDet.jsp?pnu=4311231021100410002&amp;isNoScr=script&amp;mode=search", "토지이음")</f>
        <v/>
      </c>
      <c r="O962" s="3" t="inlineStr">
        <is>
          <t>일등무소</t>
        </is>
      </c>
      <c r="P962" s="4" t="n">
        <v>1</v>
      </c>
      <c r="Q962" s="4" t="n">
        <v>1648</v>
      </c>
      <c r="R962" s="3" t="inlineStr">
        <is>
          <t>지정되지않음</t>
        </is>
      </c>
      <c r="S962" s="3" t="inlineStr">
        <is>
          <t>공업용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척산리 497-1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46700</v>
      </c>
      <c r="G963" s="4" t="n">
        <v>1544</v>
      </c>
      <c r="H963" s="4" t="n">
        <v>467</v>
      </c>
      <c r="I963" s="5" t="n">
        <v>100</v>
      </c>
      <c r="J963" s="5" t="n">
        <v>42</v>
      </c>
      <c r="K963" s="3" t="inlineStr">
        <is>
          <t>전남향 전원주택 주말농원 적합 버스정류장에서 약300미터</t>
        </is>
      </c>
      <c r="L963" s="6">
        <f>HYPERLINK("https://fin.land.naver.com/articles/2655100182", "매물Link")</f>
        <v/>
      </c>
      <c r="M963" s="6">
        <f>HYPERLINK("https://map.naver.com/p/search/남이면 척산리 497-1", "지도Link")</f>
        <v/>
      </c>
      <c r="N963" s="6">
        <f>HYPERLINK("http://www.eum.go.kr/web/ar/lu/luLandDet.jsp?pnu=4311231021104970001&amp;isNoScr=script&amp;mode=search", "토지이음")</f>
        <v/>
      </c>
      <c r="O963" s="3" t="inlineStr">
        <is>
          <t>한진인사무소</t>
        </is>
      </c>
      <c r="P963" s="4" t="n">
        <v>1</v>
      </c>
      <c r="Q963" s="4" t="n">
        <v>1544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남이면 척산리 528-4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21000</v>
      </c>
      <c r="G964" s="4" t="n">
        <v>635</v>
      </c>
      <c r="H964" s="4" t="n">
        <v>192</v>
      </c>
      <c r="I964" s="5" t="n">
        <v>109.4</v>
      </c>
      <c r="J964" s="5" t="n">
        <v>54.9</v>
      </c>
      <c r="K964" s="3" t="inlineStr">
        <is>
          <t>남이면 사무소근처 척산리 전원주택부지 대지 매매</t>
        </is>
      </c>
      <c r="L964" s="6">
        <f>HYPERLINK("https://fin.land.naver.com/articles/2651683218", "매물Link")</f>
        <v/>
      </c>
      <c r="M964" s="6">
        <f>HYPERLINK("https://map.naver.com/p/search/남이면 척산리 528-4", "지도Link")</f>
        <v/>
      </c>
      <c r="N964" s="6">
        <f>HYPERLINK("http://www.eum.go.kr/web/ar/lu/luLandDet.jsp?pnu=4311231021105280004&amp;isNoScr=script&amp;mode=search", "토지이음")</f>
        <v/>
      </c>
      <c r="O964" s="3" t="inlineStr">
        <is>
          <t>두원</t>
        </is>
      </c>
      <c r="P964" s="4" t="n">
        <v>1</v>
      </c>
      <c r="Q964" s="4" t="n">
        <v>635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척산리 693</t>
        </is>
      </c>
      <c r="B965" s="3" t="inlineStr">
        <is>
          <t>생산관리지역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16200</v>
      </c>
      <c r="G965" s="4" t="n">
        <v>1785</v>
      </c>
      <c r="H965" s="4" t="n">
        <v>540</v>
      </c>
      <c r="I965" s="5" t="n">
        <v>30</v>
      </c>
      <c r="J965" s="5" t="n">
        <v>11.9</v>
      </c>
      <c r="K965" s="3" t="inlineStr">
        <is>
          <t>nan</t>
        </is>
      </c>
      <c r="L965" s="6">
        <f>HYPERLINK("https://fin.land.naver.com/articles/2651478139", "매물Link")</f>
        <v/>
      </c>
      <c r="M965" s="6">
        <f>HYPERLINK("https://map.naver.com/p/search/남이면 척산리 693", "지도Link")</f>
        <v/>
      </c>
      <c r="N965" s="6">
        <f>HYPERLINK("http://www.eum.go.kr/web/ar/lu/luLandDet.jsp?pnu=4311231021106930000&amp;isNoScr=script&amp;mode=search", "토지이음")</f>
        <v/>
      </c>
      <c r="O965" s="3" t="inlineStr">
        <is>
          <t>주공3단지</t>
        </is>
      </c>
      <c r="P965" s="4" t="n">
        <v>1</v>
      </c>
      <c r="Q965" s="4" t="n">
        <v>1785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척산리 79</t>
        </is>
      </c>
      <c r="B966" s="3" t="inlineStr">
        <is>
          <t>생산관리지역</t>
        </is>
      </c>
      <c r="C966" s="3" t="inlineStr">
        <is>
          <t>전</t>
        </is>
      </c>
      <c r="D966" s="3" t="inlineStr">
        <is>
          <t>답</t>
        </is>
      </c>
      <c r="E966" s="3" t="inlineStr">
        <is>
          <t>매매</t>
        </is>
      </c>
      <c r="F966" s="4" t="n">
        <v>34600</v>
      </c>
      <c r="G966" s="4" t="n">
        <v>4241</v>
      </c>
      <c r="H966" s="4" t="n">
        <v>1283</v>
      </c>
      <c r="I966" s="5" t="n">
        <v>27</v>
      </c>
      <c r="J966" s="5" t="n">
        <v>12</v>
      </c>
      <c r="K966" s="3" t="inlineStr">
        <is>
          <t>주변 토지 매입 가능. 도로 확장 협의.</t>
        </is>
      </c>
      <c r="L966" s="6">
        <f>HYPERLINK("https://fin.land.naver.com/articles/2654682425", "매물Link")</f>
        <v/>
      </c>
      <c r="M966" s="6">
        <f>HYPERLINK("https://map.naver.com/p/search/남이면 척산리 79", "지도Link")</f>
        <v/>
      </c>
      <c r="N966" s="6">
        <f>HYPERLINK("http://www.eum.go.kr/web/ar/lu/luLandDet.jsp?pnu=4311231021100790000&amp;isNoScr=script&amp;mode=search", "토지이음")</f>
        <v/>
      </c>
      <c r="O966" s="3" t="inlineStr">
        <is>
          <t>태광</t>
        </is>
      </c>
      <c r="P966" s="4" t="n">
        <v>1</v>
      </c>
      <c r="Q966" s="4" t="n">
        <v>2188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남이면 척산리 산 117-1</t>
        </is>
      </c>
      <c r="B967" s="3" t="inlineStr">
        <is>
          <t>보전관리지역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174000</v>
      </c>
      <c r="G967" s="4" t="n">
        <v>11508</v>
      </c>
      <c r="H967" s="4" t="n">
        <v>3481</v>
      </c>
      <c r="I967" s="5" t="n">
        <v>50</v>
      </c>
      <c r="J967" s="5" t="n">
        <v>5.7</v>
      </c>
      <c r="K967" s="3" t="inlineStr">
        <is>
          <t>6M도로접 2필지매매 야산 대도로 인접함</t>
        </is>
      </c>
      <c r="L967" s="6">
        <f>HYPERLINK("https://fin.land.naver.com/articles/2653628121", "매물Link")</f>
        <v/>
      </c>
      <c r="M967" s="6">
        <f>HYPERLINK("https://map.naver.com/p/search/남이면 척산리 산 117-1", "지도Link")</f>
        <v/>
      </c>
      <c r="N967" s="6">
        <f>HYPERLINK("http://www.eum.go.kr/web/ar/lu/luLandDet.jsp?pnu=4311231021201170001&amp;isNoScr=script&amp;mode=search", "토지이음")</f>
        <v/>
      </c>
      <c r="O967" s="3" t="inlineStr">
        <is>
          <t>플러스태양</t>
        </is>
      </c>
      <c r="P967" s="4" t="n">
        <v>1</v>
      </c>
      <c r="Q967" s="4" t="n">
        <v>9534</v>
      </c>
      <c r="R967" s="3" t="inlineStr">
        <is>
          <t>계획관리지역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남이면 척산리 산92</t>
        </is>
      </c>
      <c r="B968" s="3" t="inlineStr">
        <is>
          <t>보전관리지역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59000</v>
      </c>
      <c r="G968" s="4" t="n">
        <v>7008</v>
      </c>
      <c r="H968" s="4" t="n">
        <v>2120</v>
      </c>
      <c r="I968" s="5" t="n">
        <v>27.8</v>
      </c>
      <c r="J968" s="5" t="n">
        <v>3.2</v>
      </c>
      <c r="K968" s="3" t="inlineStr">
        <is>
          <t>도로접한 임야 매매 합니다</t>
        </is>
      </c>
      <c r="L968" s="6">
        <f>HYPERLINK("https://fin.land.naver.com/articles/2651026639", "매물Link")</f>
        <v/>
      </c>
      <c r="M968" s="6">
        <f>HYPERLINK("https://map.naver.com/p/search/남이면 척산리 산92", "지도Link")</f>
        <v/>
      </c>
      <c r="N968" s="6">
        <f>HYPERLINK("http://www.eum.go.kr/web/ar/lu/luLandDet.jsp?pnu=4311231021200920000&amp;isNoScr=script&amp;mode=search", "토지이음")</f>
        <v/>
      </c>
      <c r="O968" s="3" t="inlineStr">
        <is>
          <t>수피아</t>
        </is>
      </c>
      <c r="P968" s="4" t="n">
        <v>1</v>
      </c>
      <c r="Q968" s="4" t="n">
        <v>4400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팔봉리 101-3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83600</v>
      </c>
      <c r="G969" s="4" t="n">
        <v>3253</v>
      </c>
      <c r="H969" s="4" t="n">
        <v>984</v>
      </c>
      <c r="I969" s="5" t="n">
        <v>85</v>
      </c>
      <c r="J969" s="5" t="n">
        <v>22.4</v>
      </c>
      <c r="K969" s="3" t="inlineStr">
        <is>
          <t>8M 도로접 투자성 높은 토지매매</t>
        </is>
      </c>
      <c r="L969" s="6">
        <f>HYPERLINK("https://fin.land.naver.com/articles/2653630483", "매물Link")</f>
        <v/>
      </c>
      <c r="M969" s="6">
        <f>HYPERLINK("https://map.naver.com/p/search/남이면 팔봉리 101-3", "지도Link")</f>
        <v/>
      </c>
      <c r="N969" s="6">
        <f>HYPERLINK("http://www.eum.go.kr/web/ar/lu/luLandDet.jsp?pnu=4311231030101010003&amp;isNoScr=script&amp;mode=search", "토지이음")</f>
        <v/>
      </c>
      <c r="O969" s="3" t="inlineStr">
        <is>
          <t>학사</t>
        </is>
      </c>
      <c r="P969" s="4" t="n">
        <v>1</v>
      </c>
      <c r="Q969" s="4" t="n">
        <v>1775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팔봉리 264-5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45360</v>
      </c>
      <c r="G970" s="4" t="n">
        <v>1874</v>
      </c>
      <c r="H970" s="4" t="n">
        <v>567</v>
      </c>
      <c r="I970" s="5" t="n">
        <v>80</v>
      </c>
      <c r="J970" s="5" t="n">
        <v>20.4</v>
      </c>
      <c r="K970" s="3" t="inlineStr">
        <is>
          <t>급매,2차선 도로접함,투자,창고용도 추천</t>
        </is>
      </c>
      <c r="L970" s="6">
        <f>HYPERLINK("https://fin.land.naver.com/articles/2651873712", "매물Link")</f>
        <v/>
      </c>
      <c r="M970" s="6">
        <f>HYPERLINK("https://map.naver.com/p/search/남이면 팔봉리 264-5", "지도Link")</f>
        <v/>
      </c>
      <c r="N970" s="6">
        <f>HYPERLINK("http://www.eum.go.kr/web/ar/lu/luLandDet.jsp?pnu=4311231030102640005&amp;isNoScr=script&amp;mode=search", "토지이음")</f>
        <v/>
      </c>
      <c r="O970" s="3" t="inlineStr">
        <is>
          <t>가경아이파크5단지일타</t>
        </is>
      </c>
      <c r="P970" s="4" t="n">
        <v>1</v>
      </c>
      <c r="Q970" s="4" t="n">
        <v>1874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남이면 팔봉리 264-5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45360</v>
      </c>
      <c r="G971" s="4" t="n">
        <v>1874</v>
      </c>
      <c r="H971" s="4" t="n">
        <v>567</v>
      </c>
      <c r="I971" s="5" t="n">
        <v>80</v>
      </c>
      <c r="J971" s="5" t="n">
        <v>20.4</v>
      </c>
      <c r="K971" s="3" t="inlineStr">
        <is>
          <t>팔봉리 2차선접 투자용 저렴한 토지매매</t>
        </is>
      </c>
      <c r="L971" s="6">
        <f>HYPERLINK("https://fin.land.naver.com/articles/2654843363", "매물Link")</f>
        <v/>
      </c>
      <c r="M971" s="6">
        <f>HYPERLINK("https://map.naver.com/p/search/남이면 팔봉리 264-5", "지도Link")</f>
        <v/>
      </c>
      <c r="N971" s="6">
        <f>HYPERLINK("http://www.eum.go.kr/web/ar/lu/luLandDet.jsp?pnu=4311231030102640005&amp;isNoScr=script&amp;mode=search", "토지이음")</f>
        <v/>
      </c>
      <c r="O971" s="3" t="inlineStr">
        <is>
          <t>학사</t>
        </is>
      </c>
      <c r="P971" s="4" t="n">
        <v>1</v>
      </c>
      <c r="Q971" s="4" t="n">
        <v>1874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남이면 팔봉리 329</t>
        </is>
      </c>
      <c r="B972" s="3" t="inlineStr">
        <is>
          <t>자연녹지지역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33400</v>
      </c>
      <c r="G972" s="4" t="n">
        <v>1006</v>
      </c>
      <c r="H972" s="4" t="n">
        <v>304</v>
      </c>
      <c r="I972" s="5" t="n">
        <v>109.9</v>
      </c>
      <c r="J972" s="5" t="n">
        <v>20.4</v>
      </c>
      <c r="K972" s="3" t="inlineStr">
        <is>
          <t>청주 팔봉리 토지매매, 2차선 도로접합, 영농 주말농장, 개발, 투자용</t>
        </is>
      </c>
      <c r="L972" s="6">
        <f>HYPERLINK("https://fin.land.naver.com/articles/2652179682", "매물Link")</f>
        <v/>
      </c>
      <c r="M972" s="6">
        <f>HYPERLINK("https://map.naver.com/p/search/남이면 팔봉리 329", "지도Link")</f>
        <v/>
      </c>
      <c r="N972" s="6">
        <f>HYPERLINK("http://www.eum.go.kr/web/ar/lu/luLandDet.jsp?pnu=4311231030103290000&amp;isNoScr=script&amp;mode=search", "토지이음")</f>
        <v/>
      </c>
      <c r="O972" s="3" t="inlineStr">
        <is>
          <t>라인</t>
        </is>
      </c>
      <c r="P972" s="4" t="n">
        <v>1</v>
      </c>
      <c r="Q972" s="4" t="n">
        <v>591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남이면 팔봉리 376-1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45000</v>
      </c>
      <c r="G973" s="4" t="n">
        <v>1544</v>
      </c>
      <c r="H973" s="4" t="n">
        <v>467</v>
      </c>
      <c r="I973" s="5" t="n">
        <v>96.40000000000001</v>
      </c>
      <c r="J973" s="5" t="n">
        <v>17.4</v>
      </c>
      <c r="K973" s="3" t="inlineStr">
        <is>
          <t>건축허가완료 제조업가능 저렴한 매물</t>
        </is>
      </c>
      <c r="L973" s="6">
        <f>HYPERLINK("https://fin.land.naver.com/articles/2654838437", "매물Link")</f>
        <v/>
      </c>
      <c r="M973" s="6">
        <f>HYPERLINK("https://map.naver.com/p/search/남이면 팔봉리 376-1", "지도Link")</f>
        <v/>
      </c>
      <c r="N973" s="6">
        <f>HYPERLINK("http://www.eum.go.kr/web/ar/lu/luLandDet.jsp?pnu=4311231030103760001&amp;isNoScr=script&amp;mode=search", "토지이음")</f>
        <v/>
      </c>
      <c r="O973" s="3" t="inlineStr">
        <is>
          <t>학사</t>
        </is>
      </c>
      <c r="P973" s="4" t="n">
        <v>2</v>
      </c>
      <c r="Q973" s="4" t="n">
        <v>1544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팔봉리 51-11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22000</v>
      </c>
      <c r="G974" s="4" t="n">
        <v>840</v>
      </c>
      <c r="H974" s="4" t="n">
        <v>254</v>
      </c>
      <c r="I974" s="5" t="n">
        <v>86.59999999999999</v>
      </c>
      <c r="J974" s="5" t="n">
        <v>50.2</v>
      </c>
      <c r="K974" s="3" t="inlineStr">
        <is>
          <t>청주 팔봉리 전원주택용지 매매,시내접근성 우수,가격절충,도로지분포함</t>
        </is>
      </c>
      <c r="L974" s="6">
        <f>HYPERLINK("https://fin.land.naver.com/articles/2653376919", "매물Link")</f>
        <v/>
      </c>
      <c r="M974" s="6">
        <f>HYPERLINK("https://map.naver.com/p/search/남이면 팔봉리 51-11", "지도Link")</f>
        <v/>
      </c>
      <c r="N974" s="6">
        <f>HYPERLINK("http://www.eum.go.kr/web/ar/lu/luLandDet.jsp?pnu=4311231030100510011&amp;isNoScr=script&amp;mode=search", "토지이음")</f>
        <v/>
      </c>
      <c r="O974" s="3" t="inlineStr">
        <is>
          <t>라인</t>
        </is>
      </c>
      <c r="P974" s="4" t="n">
        <v>1</v>
      </c>
      <c r="Q974" s="4" t="n">
        <v>732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남이면 팔봉리 산 23-14</t>
        </is>
      </c>
      <c r="B975" s="3" t="inlineStr">
        <is>
          <t>보전녹지지역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22000</v>
      </c>
      <c r="G975" s="4" t="n">
        <v>865</v>
      </c>
      <c r="H975" s="4" t="n">
        <v>262</v>
      </c>
      <c r="I975" s="5" t="n">
        <v>84</v>
      </c>
      <c r="J975" s="5" t="n">
        <v>40.1</v>
      </c>
      <c r="K975" s="3" t="inlineStr">
        <is>
          <t>급매, 팔봉리 전원주택 토지매매</t>
        </is>
      </c>
      <c r="L975" s="6">
        <f>HYPERLINK("https://fin.land.naver.com/articles/2650589873", "매물Link")</f>
        <v/>
      </c>
      <c r="M975" s="6">
        <f>HYPERLINK("https://map.naver.com/p/search/남이면 팔봉리 산 23-14", "지도Link")</f>
        <v/>
      </c>
      <c r="N975" s="6">
        <f>HYPERLINK("http://www.eum.go.kr/web/ar/lu/luLandDet.jsp?pnu=4311231030200230014&amp;isNoScr=script&amp;mode=search", "토지이음")</f>
        <v/>
      </c>
      <c r="O975" s="3" t="inlineStr">
        <is>
          <t>강남하택</t>
        </is>
      </c>
      <c r="P975" s="4" t="n">
        <v>1</v>
      </c>
      <c r="Q975" s="4" t="n">
        <v>865</v>
      </c>
      <c r="R975" s="3" t="inlineStr">
        <is>
          <t>자연녹지지역</t>
        </is>
      </c>
      <c r="S975" s="3" t="inlineStr">
        <is>
          <t>주거나지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남이면 팔봉리 산22-11</t>
        </is>
      </c>
      <c r="B976" s="3" t="inlineStr">
        <is>
          <t>보전녹지지역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18000</v>
      </c>
      <c r="G976" s="4" t="n">
        <v>650</v>
      </c>
      <c r="H976" s="4" t="n">
        <v>197</v>
      </c>
      <c r="I976" s="5" t="n">
        <v>91.40000000000001</v>
      </c>
      <c r="J976" s="5" t="n">
        <v>41</v>
      </c>
      <c r="K976" s="3" t="inlineStr">
        <is>
          <t>전원주택 최적지 매매 저렴한금액 가격조정가능 도로지분있음</t>
        </is>
      </c>
      <c r="L976" s="6">
        <f>HYPERLINK("https://fin.land.naver.com/articles/2651030939", "매물Link")</f>
        <v/>
      </c>
      <c r="M976" s="6">
        <f>HYPERLINK("https://map.naver.com/p/search/남이면 팔봉리 산22-11", "지도Link")</f>
        <v/>
      </c>
      <c r="N976" s="6">
        <f>HYPERLINK("http://www.eum.go.kr/web/ar/lu/luLandDet.jsp?pnu=4311231030200220011&amp;isNoScr=script&amp;mode=search", "토지이음")</f>
        <v/>
      </c>
      <c r="O976" s="3" t="inlineStr">
        <is>
          <t>고운동리치세종</t>
        </is>
      </c>
      <c r="P976" s="4" t="n">
        <v>1</v>
      </c>
      <c r="Q976" s="4" t="n">
        <v>650</v>
      </c>
      <c r="R976" s="3" t="inlineStr">
        <is>
          <t>자연녹지지역</t>
        </is>
      </c>
      <c r="S976" s="3" t="inlineStr">
        <is>
          <t>주거나지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세로각지(가)</t>
        </is>
      </c>
    </row>
    <row r="977">
      <c r="A977" s="3" t="inlineStr">
        <is>
          <t>남이면 팔봉리 산40-16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60000</v>
      </c>
      <c r="G977" s="4" t="n">
        <v>35282</v>
      </c>
      <c r="H977" s="4" t="n">
        <v>10673</v>
      </c>
      <c r="I977" s="5" t="n">
        <v>5.6</v>
      </c>
      <c r="J977" s="5" t="n">
        <v>1.7</v>
      </c>
      <c r="K977" s="3" t="inlineStr">
        <is>
          <t>남이면 팔봉리에 위치한 임야 급매</t>
        </is>
      </c>
      <c r="L977" s="6">
        <f>HYPERLINK("https://fin.land.naver.com/articles/2653402243", "매물Link")</f>
        <v/>
      </c>
      <c r="M977" s="6">
        <f>HYPERLINK("https://map.naver.com/p/search/남이면 팔봉리 산40-16", "지도Link")</f>
        <v/>
      </c>
      <c r="N977" s="6">
        <f>HYPERLINK("http://www.eum.go.kr/web/ar/lu/luLandDet.jsp?pnu=4311231030200400016&amp;isNoScr=script&amp;mode=search", "토지이음")</f>
        <v/>
      </c>
      <c r="O977" s="3" t="inlineStr">
        <is>
          <t>대지</t>
        </is>
      </c>
      <c r="P977" s="4" t="n">
        <v>1</v>
      </c>
      <c r="Q977" s="4" t="n">
        <v>35282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다정동 641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409</v>
      </c>
      <c r="H978" s="4" t="n">
        <v>124</v>
      </c>
      <c r="I978" s="5" t="n">
        <v>483.9</v>
      </c>
      <c r="J978" s="5" t="n">
        <v>324.8</v>
      </c>
      <c r="K978" s="3" t="inlineStr">
        <is>
          <t>3면코너각지 대형필지 조율가능</t>
        </is>
      </c>
      <c r="L978" s="6">
        <f>HYPERLINK("https://fin.land.naver.com/articles/2653668178", "매물Link")</f>
        <v/>
      </c>
      <c r="M978" s="6">
        <f>HYPERLINK("https://map.naver.com/p/search/다정동 641", "지도Link")</f>
        <v/>
      </c>
      <c r="N978" s="6">
        <f>HYPERLINK("http://www.eum.go.kr/web/ar/lu/luLandDet.jsp?pnu=3611010900106410000&amp;isNoScr=script&amp;mode=search",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408.8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643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68000</v>
      </c>
      <c r="G979" s="4" t="n">
        <v>535</v>
      </c>
      <c r="H979" s="4" t="n">
        <v>162</v>
      </c>
      <c r="I979" s="5" t="n">
        <v>419.8</v>
      </c>
      <c r="J979" s="5" t="n">
        <v>278</v>
      </c>
      <c r="K979" s="3" t="inlineStr">
        <is>
          <t>162.1p, 평단가 낮은 다정동 급매 토지</t>
        </is>
      </c>
      <c r="L979" s="6">
        <f>HYPERLINK("https://fin.land.naver.com/articles/2654897667", "매물Link")</f>
        <v/>
      </c>
      <c r="M979" s="6">
        <f>HYPERLINK("https://map.naver.com/p/search/다정동 643", "지도Link")</f>
        <v/>
      </c>
      <c r="N979" s="6">
        <f>HYPERLINK("http://www.eum.go.kr/web/ar/lu/luLandDet.jsp?pnu=3611010900106430000&amp;isNoScr=script&amp;mode=search",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535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소로한면</t>
        </is>
      </c>
    </row>
    <row r="980">
      <c r="A980" s="3" t="inlineStr">
        <is>
          <t>다정동 643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68000</v>
      </c>
      <c r="G980" s="4" t="n">
        <v>535</v>
      </c>
      <c r="H980" s="4" t="n">
        <v>162</v>
      </c>
      <c r="I980" s="5" t="n">
        <v>419.8</v>
      </c>
      <c r="J980" s="5" t="n">
        <v>278</v>
      </c>
      <c r="K980" s="3" t="inlineStr">
        <is>
          <t>급매 추가조율가능 161.5p 공원접함 프라이버시최상</t>
        </is>
      </c>
      <c r="L980" s="6">
        <f>HYPERLINK("https://fin.land.naver.com/articles/2654659639", "매물Link")</f>
        <v/>
      </c>
      <c r="M980" s="6">
        <f>HYPERLINK("https://map.naver.com/p/search/다정동 643", "지도Link")</f>
        <v/>
      </c>
      <c r="N980" s="6">
        <f>HYPERLINK("http://www.eum.go.kr/web/ar/lu/luLandDet.jsp?pnu=3611010900106430000&amp;isNoScr=script&amp;mode=search", "토지이음")</f>
        <v/>
      </c>
      <c r="O980" s="3" t="inlineStr">
        <is>
          <t>세종스타</t>
        </is>
      </c>
      <c r="P980" s="4" t="n">
        <v>2</v>
      </c>
      <c r="Q980" s="4" t="n">
        <v>535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소로한면</t>
        </is>
      </c>
    </row>
    <row r="981">
      <c r="A981" s="3" t="inlineStr">
        <is>
          <t>다정동 643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68000</v>
      </c>
      <c r="G981" s="4" t="n">
        <v>534</v>
      </c>
      <c r="H981" s="4" t="n">
        <v>162</v>
      </c>
      <c r="I981" s="5" t="n">
        <v>419.8</v>
      </c>
      <c r="J981" s="5" t="n">
        <v>278</v>
      </c>
      <c r="K981" s="3" t="inlineStr">
        <is>
          <t>공원 인근 다정동 단독주택지, 넓은 면적 추천</t>
        </is>
      </c>
      <c r="L981" s="6">
        <f>HYPERLINK("https://fin.land.naver.com/articles/2650427943", "매물Link")</f>
        <v/>
      </c>
      <c r="M981" s="6">
        <f>HYPERLINK("https://map.naver.com/p/search/다정동 643", "지도Link")</f>
        <v/>
      </c>
      <c r="N981" s="6">
        <f>HYPERLINK("http://www.eum.go.kr/web/ar/lu/luLandDet.jsp?pnu=3611010900106430000&amp;isNoScr=script&amp;mode=search",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535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다정동 651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300</v>
      </c>
      <c r="H982" s="4" t="n">
        <v>91</v>
      </c>
      <c r="I982" s="5" t="n">
        <v>659.3</v>
      </c>
      <c r="J982" s="5" t="n">
        <v>292.7</v>
      </c>
      <c r="K982" s="3" t="inlineStr">
        <is>
          <t>총 90.9p, 다정동 조용한 단독주택지, 정남향</t>
        </is>
      </c>
      <c r="L982" s="6">
        <f>HYPERLINK("https://fin.land.naver.com/articles/2652842480", "매물Link")</f>
        <v/>
      </c>
      <c r="M982" s="6">
        <f>HYPERLINK("https://map.naver.com/p/search/다정동 651", "지도Link")</f>
        <v/>
      </c>
      <c r="N982" s="6">
        <f>HYPERLINK("http://www.eum.go.kr/web/ar/lu/luLandDet.jsp?pnu=3611010900106510000&amp;isNoScr=script&amp;mode=search",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300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651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300</v>
      </c>
      <c r="H983" s="4" t="n">
        <v>91</v>
      </c>
      <c r="I983" s="5" t="n">
        <v>659.3</v>
      </c>
      <c r="J983" s="5" t="n">
        <v>292.7</v>
      </c>
      <c r="K983" s="3" t="inlineStr">
        <is>
          <t>가격조정가능 공원옆으로 남향 입지최고</t>
        </is>
      </c>
      <c r="L983" s="6">
        <f>HYPERLINK("https://fin.land.naver.com/articles/2654712768", "매물Link")</f>
        <v/>
      </c>
      <c r="M983" s="6">
        <f>HYPERLINK("https://map.naver.com/p/search/다정동 651", "지도Link")</f>
        <v/>
      </c>
      <c r="N983" s="6">
        <f>HYPERLINK("http://www.eum.go.kr/web/ar/lu/luLandDet.jsp?pnu=3611010900106510000&amp;isNoScr=script&amp;mode=search", "토지이음")</f>
        <v/>
      </c>
      <c r="O983" s="3" t="inlineStr">
        <is>
          <t>고운동리치세종</t>
        </is>
      </c>
      <c r="P983" s="4" t="n">
        <v>2</v>
      </c>
      <c r="Q983" s="4" t="n">
        <v>300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651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300</v>
      </c>
      <c r="H984" s="4" t="n">
        <v>91</v>
      </c>
      <c r="I984" s="5" t="n">
        <v>659.3</v>
      </c>
      <c r="J984" s="5" t="n">
        <v>292.7</v>
      </c>
      <c r="K984" s="3" t="inlineStr">
        <is>
          <t>총 90.9p, 다정동 가격좋은 조용한 위치 토지매매</t>
        </is>
      </c>
      <c r="L984" s="6">
        <f>HYPERLINK("https://fin.land.naver.com/articles/2654927950", "매물Link")</f>
        <v/>
      </c>
      <c r="M984" s="6">
        <f>HYPERLINK("https://map.naver.com/p/search/다정동 651", "지도Link")</f>
        <v/>
      </c>
      <c r="N984" s="6">
        <f>HYPERLINK("http://www.eum.go.kr/web/ar/lu/luLandDet.jsp?pnu=3611010900106510000&amp;isNoScr=script&amp;mode=search",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300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667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62000</v>
      </c>
      <c r="G985" s="4" t="n">
        <v>336</v>
      </c>
      <c r="H985" s="4" t="n">
        <v>102</v>
      </c>
      <c r="I985" s="5" t="n">
        <v>607.8</v>
      </c>
      <c r="J985" s="5" t="n">
        <v>324.8</v>
      </c>
      <c r="K985" s="3" t="inlineStr">
        <is>
          <t>다정동 단독상가 매매, 입지 좋은 조용한 위치</t>
        </is>
      </c>
      <c r="L985" s="6">
        <f>HYPERLINK("https://fin.land.naver.com/articles/2653565556", "매물Link")</f>
        <v/>
      </c>
      <c r="M985" s="6">
        <f>HYPERLINK("https://map.naver.com/p/search/다정동 667", "지도Link")</f>
        <v/>
      </c>
      <c r="N985" s="6">
        <f>HYPERLINK("http://www.eum.go.kr/web/ar/lu/luLandDet.jsp?pnu=3611010900106670000&amp;isNoScr=script&amp;mode=search",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336.3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중로각지</t>
        </is>
      </c>
    </row>
    <row r="986">
      <c r="A986" s="3" t="inlineStr">
        <is>
          <t>다정동 674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43000</v>
      </c>
      <c r="G986" s="4" t="n">
        <v>290</v>
      </c>
      <c r="H986" s="4" t="n">
        <v>88</v>
      </c>
      <c r="I986" s="5" t="n">
        <v>488.6</v>
      </c>
      <c r="J986" s="5" t="n">
        <v>292.7</v>
      </c>
      <c r="K986" s="3" t="inlineStr">
        <is>
          <t>총 87.9p, 토지 초급매, 추천매물</t>
        </is>
      </c>
      <c r="L986" s="6">
        <f>HYPERLINK("https://fin.land.naver.com/articles/2654897202", "매물Link")</f>
        <v/>
      </c>
      <c r="M986" s="6">
        <f>HYPERLINK("https://map.naver.com/p/search/다정동 674", "지도Link")</f>
        <v/>
      </c>
      <c r="N986" s="6">
        <f>HYPERLINK("http://www.eum.go.kr/web/ar/lu/luLandDet.jsp?pnu=3611010900106740000&amp;isNoScr=script&amp;mode=search",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290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다정동 674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290</v>
      </c>
      <c r="H987" s="4" t="n">
        <v>88</v>
      </c>
      <c r="I987" s="5" t="n">
        <v>488.6</v>
      </c>
      <c r="J987" s="5" t="n">
        <v>292.7</v>
      </c>
      <c r="K987" s="3" t="inlineStr">
        <is>
          <t>저렴한매매 가격조정가능</t>
        </is>
      </c>
      <c r="L987" s="6">
        <f>HYPERLINK("https://fin.land.naver.com/articles/2654749132", "매물Link")</f>
        <v/>
      </c>
      <c r="M987" s="6">
        <f>HYPERLINK("https://map.naver.com/p/search/다정동 674", "지도Link")</f>
        <v/>
      </c>
      <c r="N987" s="6">
        <f>HYPERLINK("http://www.eum.go.kr/web/ar/lu/luLandDet.jsp?pnu=3611010900106740000&amp;isNoScr=script&amp;mode=search", "토지이음")</f>
        <v/>
      </c>
      <c r="O987" s="3" t="inlineStr">
        <is>
          <t>고운동리치세종</t>
        </is>
      </c>
      <c r="P987" s="4" t="n">
        <v>3</v>
      </c>
      <c r="Q987" s="4" t="n">
        <v>290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다정동 674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43000</v>
      </c>
      <c r="G988" s="4" t="n">
        <v>290</v>
      </c>
      <c r="H988" s="4" t="n">
        <v>88</v>
      </c>
      <c r="I988" s="5" t="n">
        <v>488.6</v>
      </c>
      <c r="J988" s="5" t="n">
        <v>292.7</v>
      </c>
      <c r="K988" s="3" t="inlineStr">
        <is>
          <t>총 87.9p, 다정동 저렴한 단독주택지 매매</t>
        </is>
      </c>
      <c r="L988" s="6">
        <f>HYPERLINK("https://fin.land.naver.com/articles/2652839084", "매물Link")</f>
        <v/>
      </c>
      <c r="M988" s="6">
        <f>HYPERLINK("https://map.naver.com/p/search/다정동 674", "지도Link")</f>
        <v/>
      </c>
      <c r="N988" s="6">
        <f>HYPERLINK("http://www.eum.go.kr/web/ar/lu/luLandDet.jsp?pnu=3611010900106740000&amp;isNoScr=script&amp;mode=search",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290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다정동 677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62000</v>
      </c>
      <c r="G989" s="4" t="n">
        <v>270</v>
      </c>
      <c r="H989" s="4" t="n">
        <v>82</v>
      </c>
      <c r="I989" s="5" t="n">
        <v>756.1</v>
      </c>
      <c r="J989" s="5" t="n">
        <v>292.7</v>
      </c>
      <c r="K989" s="3" t="inlineStr">
        <is>
          <t>단독주택부지. 교통, 상권 편리한 귀한 필지</t>
        </is>
      </c>
      <c r="L989" s="6">
        <f>HYPERLINK("https://fin.land.naver.com/articles/2654913777", "매물Link")</f>
        <v/>
      </c>
      <c r="M989" s="6">
        <f>HYPERLINK("https://map.naver.com/p/search/다정동 677", "지도Link")</f>
        <v/>
      </c>
      <c r="N989" s="6">
        <f>HYPERLINK("http://www.eum.go.kr/web/ar/lu/luLandDet.jsp?pnu=3611010900106770000&amp;isNoScr=script&amp;mode=search", "토지이음")</f>
        <v/>
      </c>
      <c r="O989" s="3" t="inlineStr">
        <is>
          <t>라이프</t>
        </is>
      </c>
      <c r="P989" s="4" t="n">
        <v>2</v>
      </c>
      <c r="Q989" s="4" t="n">
        <v>270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다정동 688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273</v>
      </c>
      <c r="H990" s="4" t="n">
        <v>83</v>
      </c>
      <c r="I990" s="5" t="n">
        <v>542.2</v>
      </c>
      <c r="J990" s="5" t="n">
        <v>313.1</v>
      </c>
      <c r="K990" s="3" t="inlineStr">
        <is>
          <t>조용한 단독주택지,급매</t>
        </is>
      </c>
      <c r="L990" s="6">
        <f>HYPERLINK("https://fin.land.naver.com/articles/2654512640", "매물Link")</f>
        <v/>
      </c>
      <c r="M990" s="6">
        <f>HYPERLINK("https://map.naver.com/p/search/다정동 688", "지도Link")</f>
        <v/>
      </c>
      <c r="N990" s="6">
        <f>HYPERLINK("http://www.eum.go.kr/web/ar/lu/luLandDet.jsp?pnu=3611010900106880000&amp;isNoScr=script&amp;mode=search", "토지이음")</f>
        <v/>
      </c>
      <c r="O990" s="3" t="inlineStr">
        <is>
          <t>세종금주</t>
        </is>
      </c>
      <c r="P990" s="4" t="n">
        <v>1</v>
      </c>
      <c r="Q990" s="4" t="n">
        <v>273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중로한면</t>
        </is>
      </c>
    </row>
    <row r="991">
      <c r="A991" s="3" t="inlineStr">
        <is>
          <t>다정동 688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273</v>
      </c>
      <c r="H991" s="4" t="n">
        <v>83</v>
      </c>
      <c r="I991" s="5" t="n">
        <v>542.2</v>
      </c>
      <c r="J991" s="5" t="n">
        <v>313.1</v>
      </c>
      <c r="K991" s="3" t="inlineStr">
        <is>
          <t>조율가능 편의시설옆 건축하기 좋은 모양</t>
        </is>
      </c>
      <c r="L991" s="6">
        <f>HYPERLINK("https://fin.land.naver.com/articles/2651087752", "매물Link")</f>
        <v/>
      </c>
      <c r="M991" s="6">
        <f>HYPERLINK("https://map.naver.com/p/search/다정동 688", "지도Link")</f>
        <v/>
      </c>
      <c r="N991" s="6">
        <f>HYPERLINK("http://www.eum.go.kr/web/ar/lu/luLandDet.jsp?pnu=3611010900106880000&amp;isNoScr=script&amp;mode=search",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273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중로한면</t>
        </is>
      </c>
    </row>
    <row r="992">
      <c r="A992" s="3" t="inlineStr">
        <is>
          <t>다정동 728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351</v>
      </c>
      <c r="H992" s="4" t="n">
        <v>106</v>
      </c>
      <c r="I992" s="5" t="n">
        <v>518.9</v>
      </c>
      <c r="J992" s="5" t="n">
        <v>341.2</v>
      </c>
      <c r="K992" s="3" t="inlineStr">
        <is>
          <t>급매,위치 좋은곳</t>
        </is>
      </c>
      <c r="L992" s="6">
        <f>HYPERLINK("https://fin.land.naver.com/articles/2655225992", "매물Link")</f>
        <v/>
      </c>
      <c r="M992" s="6">
        <f>HYPERLINK("https://map.naver.com/p/search/다정동 728", "지도Link")</f>
        <v/>
      </c>
      <c r="N992" s="6">
        <f>HYPERLINK("http://www.eum.go.kr/web/ar/lu/luLandDet.jsp?pnu=3611010900107280000&amp;isNoScr=script&amp;mode=search", "토지이음")</f>
        <v/>
      </c>
      <c r="O992" s="3" t="inlineStr">
        <is>
          <t>힐데스하임</t>
        </is>
      </c>
      <c r="P992" s="4" t="n">
        <v>1</v>
      </c>
      <c r="Q992" s="4" t="n">
        <v>351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중로한면</t>
        </is>
      </c>
    </row>
    <row r="993">
      <c r="A993" s="3" t="inlineStr">
        <is>
          <t>다정동 729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67000</v>
      </c>
      <c r="G993" s="4" t="n">
        <v>369</v>
      </c>
      <c r="H993" s="4" t="n">
        <v>112</v>
      </c>
      <c r="I993" s="5" t="n">
        <v>598.2</v>
      </c>
      <c r="J993" s="5" t="n">
        <v>341.2</v>
      </c>
      <c r="K993" s="3" t="inlineStr">
        <is>
          <t>다정동 단독주택토지, 코너입지, 111.8p</t>
        </is>
      </c>
      <c r="L993" s="6">
        <f>HYPERLINK("https://fin.land.naver.com/articles/2652838896", "매물Link")</f>
        <v/>
      </c>
      <c r="M993" s="6">
        <f>HYPERLINK("https://map.naver.com/p/search/다정동 729", "지도Link")</f>
        <v/>
      </c>
      <c r="N993" s="6">
        <f>HYPERLINK("http://www.eum.go.kr/web/ar/lu/luLandDet.jsp?pnu=3611010900107290000&amp;isNoScr=script&amp;mode=search",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중로한면</t>
        </is>
      </c>
    </row>
    <row r="994">
      <c r="A994" s="3" t="inlineStr">
        <is>
          <t>다정동 729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67000</v>
      </c>
      <c r="G994" s="4" t="n">
        <v>368</v>
      </c>
      <c r="H994" s="4" t="n">
        <v>111</v>
      </c>
      <c r="I994" s="5" t="n">
        <v>603.6</v>
      </c>
      <c r="J994" s="5" t="n">
        <v>341.2</v>
      </c>
      <c r="K994" s="3" t="inlineStr">
        <is>
          <t>111.8p, 삼거리 코너, 정남향, 다정동 단독주택 토지매매</t>
        </is>
      </c>
      <c r="L994" s="6">
        <f>HYPERLINK("https://fin.land.naver.com/articles/2654225284", "매물Link")</f>
        <v/>
      </c>
      <c r="M994" s="6">
        <f>HYPERLINK("https://map.naver.com/p/search/다정동 729", "지도Link")</f>
        <v/>
      </c>
      <c r="N994" s="6">
        <f>HYPERLINK("http://www.eum.go.kr/web/ar/lu/luLandDet.jsp?pnu=3611010900107290000&amp;isNoScr=script&amp;mode=search",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369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중로한면</t>
        </is>
      </c>
    </row>
    <row r="995">
      <c r="A995" s="3" t="inlineStr">
        <is>
          <t>다정동 729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67000</v>
      </c>
      <c r="G995" s="4" t="n">
        <v>369</v>
      </c>
      <c r="H995" s="4" t="n">
        <v>112</v>
      </c>
      <c r="I995" s="5" t="n">
        <v>598.2</v>
      </c>
      <c r="J995" s="5" t="n">
        <v>341.2</v>
      </c>
      <c r="K995" s="3" t="inlineStr">
        <is>
          <t>남향이면서 코너자리 입지최고 가격조정가능</t>
        </is>
      </c>
      <c r="L995" s="6">
        <f>HYPERLINK("https://fin.land.naver.com/articles/2654733672", "매물Link")</f>
        <v/>
      </c>
      <c r="M995" s="6">
        <f>HYPERLINK("https://map.naver.com/p/search/다정동 729", "지도Link")</f>
        <v/>
      </c>
      <c r="N995" s="6">
        <f>HYPERLINK("http://www.eum.go.kr/web/ar/lu/luLandDet.jsp?pnu=3611010900107290000&amp;isNoScr=script&amp;mode=search",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369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중로한면</t>
        </is>
      </c>
    </row>
    <row r="996">
      <c r="A996" s="3" t="inlineStr">
        <is>
          <t>다정동 751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49000</v>
      </c>
      <c r="G996" s="4" t="n">
        <v>278</v>
      </c>
      <c r="H996" s="4" t="n">
        <v>84</v>
      </c>
      <c r="I996" s="5" t="n">
        <v>583.3</v>
      </c>
      <c r="J996" s="5" t="n">
        <v>337.9</v>
      </c>
      <c r="K996" s="3" t="inlineStr">
        <is>
          <t>코너각지, 가격조율가능, 위치좋음, 모양좋음, 전화주세요.</t>
        </is>
      </c>
      <c r="L996" s="6">
        <f>HYPERLINK("https://fin.land.naver.com/articles/2654035759", "매물Link")</f>
        <v/>
      </c>
      <c r="M996" s="6">
        <f>HYPERLINK("https://map.naver.com/p/search/다정동 751", "지도Link")</f>
        <v/>
      </c>
      <c r="N996" s="6">
        <f>HYPERLINK("http://www.eum.go.kr/web/ar/lu/luLandDet.jsp?pnu=3611010900107510000&amp;isNoScr=script&amp;mode=search", "토지이음")</f>
        <v/>
      </c>
      <c r="O996" s="3" t="inlineStr">
        <is>
          <t>다정동첫번째</t>
        </is>
      </c>
      <c r="P996" s="4" t="n">
        <v>1</v>
      </c>
      <c r="Q996" s="4" t="n">
        <v>278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756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83625</v>
      </c>
      <c r="G997" s="4" t="n">
        <v>368</v>
      </c>
      <c r="H997" s="4" t="n">
        <v>111</v>
      </c>
      <c r="I997" s="5" t="n">
        <v>753.4</v>
      </c>
      <c r="J997" s="5" t="n">
        <v>326</v>
      </c>
      <c r="K997" s="3" t="inlineStr">
        <is>
          <t>코너자리 위치 좋음, 넓은토지</t>
        </is>
      </c>
      <c r="L997" s="6">
        <f>HYPERLINK("https://fin.land.naver.com/articles/2654222787", "매물Link")</f>
        <v/>
      </c>
      <c r="M997" s="6">
        <f>HYPERLINK("https://map.naver.com/p/search/다정동 756", "지도Link")</f>
        <v/>
      </c>
      <c r="N997" s="6">
        <f>HYPERLINK("http://www.eum.go.kr/web/ar/lu/luLandDet.jsp?pnu=3611010900107560000&amp;isNoScr=script&amp;mode=search",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368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중로한면</t>
        </is>
      </c>
    </row>
    <row r="998">
      <c r="A998" s="3" t="inlineStr">
        <is>
          <t>다정동 756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83000</v>
      </c>
      <c r="G998" s="4" t="n">
        <v>368</v>
      </c>
      <c r="H998" s="4" t="n">
        <v>111</v>
      </c>
      <c r="I998" s="5" t="n">
        <v>747.7</v>
      </c>
      <c r="J998" s="5" t="n">
        <v>326</v>
      </c>
      <c r="K998" s="3" t="inlineStr">
        <is>
          <t>다정동 조용한 위치 단독주택 매매, 코너위치</t>
        </is>
      </c>
      <c r="L998" s="6">
        <f>HYPERLINK("https://fin.land.naver.com/articles/2650890648", "매물Link")</f>
        <v/>
      </c>
      <c r="M998" s="6">
        <f>HYPERLINK("https://map.naver.com/p/search/다정동 756", "지도Link")</f>
        <v/>
      </c>
      <c r="N998" s="6">
        <f>HYPERLINK("http://www.eum.go.kr/web/ar/lu/luLandDet.jsp?pnu=3611010900107560000&amp;isNoScr=script&amp;mode=search",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368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중로한면</t>
        </is>
      </c>
    </row>
    <row r="999">
      <c r="A999" s="3" t="inlineStr">
        <is>
          <t>다정동 769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269</v>
      </c>
      <c r="H999" s="4" t="n">
        <v>81</v>
      </c>
      <c r="I999" s="5" t="n">
        <v>617.3</v>
      </c>
      <c r="J999" s="5" t="n">
        <v>313.8</v>
      </c>
      <c r="K999" s="3" t="inlineStr">
        <is>
          <t>세종시 다정동 안쪽 코너각지 나대지</t>
        </is>
      </c>
      <c r="L999" s="6">
        <f>HYPERLINK("https://fin.land.naver.com/articles/2651425080", "매물Link")</f>
        <v/>
      </c>
      <c r="M999" s="6">
        <f>HYPERLINK("https://map.naver.com/p/search/다정동 769", "지도Link")</f>
        <v/>
      </c>
      <c r="N999" s="6">
        <f>HYPERLINK("http://www.eum.go.kr/web/ar/lu/luLandDet.jsp?pnu=3611010900107690000&amp;isNoScr=script&amp;mode=search", "토지이음")</f>
        <v/>
      </c>
      <c r="O999" s="3" t="inlineStr">
        <is>
          <t>청명</t>
        </is>
      </c>
      <c r="P999" s="4" t="n">
        <v>1</v>
      </c>
      <c r="Q999" s="4" t="n">
        <v>269.7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772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69500</v>
      </c>
      <c r="G1000" s="4" t="n">
        <v>279</v>
      </c>
      <c r="H1000" s="4" t="n">
        <v>84</v>
      </c>
      <c r="I1000" s="5" t="n">
        <v>827.4</v>
      </c>
      <c r="J1000" s="5" t="n">
        <v>304.6</v>
      </c>
      <c r="K1000" s="3" t="inlineStr">
        <is>
          <t>총 84.8p, 다정동 입지 좋은 단독주태 토지</t>
        </is>
      </c>
      <c r="L1000" s="6">
        <f>HYPERLINK("https://fin.land.naver.com/articles/2654927003", "매물Link")</f>
        <v/>
      </c>
      <c r="M1000" s="6">
        <f>HYPERLINK("https://map.naver.com/p/search/다정동 772", "지도Link")</f>
        <v/>
      </c>
      <c r="N1000" s="6">
        <f>HYPERLINK("http://www.eum.go.kr/web/ar/lu/luLandDet.jsp?pnu=3611010900107720000&amp;isNoScr=script&amp;mode=search",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279.7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772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69700</v>
      </c>
      <c r="G1001" s="4" t="n">
        <v>279</v>
      </c>
      <c r="H1001" s="4" t="n">
        <v>84</v>
      </c>
      <c r="I1001" s="5" t="n">
        <v>829.8</v>
      </c>
      <c r="J1001" s="5" t="n">
        <v>304.6</v>
      </c>
      <c r="K1001" s="3" t="inlineStr">
        <is>
          <t>다정동 접근성 좋은 주택지 매매</t>
        </is>
      </c>
      <c r="L1001" s="6">
        <f>HYPERLINK("https://fin.land.naver.com/articles/2652651256", "매물Link")</f>
        <v/>
      </c>
      <c r="M1001" s="6">
        <f>HYPERLINK("https://map.naver.com/p/search/다정동 772", "지도Link")</f>
        <v/>
      </c>
      <c r="N1001" s="6">
        <f>HYPERLINK("http://www.eum.go.kr/web/ar/lu/luLandDet.jsp?pnu=3611010900107720000&amp;isNoScr=script&amp;mode=search", "토지이음")</f>
        <v/>
      </c>
      <c r="O1001" s="3" t="inlineStr">
        <is>
          <t>태양</t>
        </is>
      </c>
      <c r="P1001" s="4" t="n">
        <v>1</v>
      </c>
      <c r="Q1001" s="4" t="n">
        <v>279.7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다정동 772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69500</v>
      </c>
      <c r="G1002" s="4" t="n">
        <v>279</v>
      </c>
      <c r="H1002" s="4" t="n">
        <v>84</v>
      </c>
      <c r="I1002" s="5" t="n">
        <v>827.4</v>
      </c>
      <c r="J1002" s="5" t="n">
        <v>304.6</v>
      </c>
      <c r="K1002" s="3" t="inlineStr">
        <is>
          <t>84.8p, 정남향, 다정동 단독주택지</t>
        </is>
      </c>
      <c r="L1002" s="6">
        <f>HYPERLINK("https://fin.land.naver.com/articles/2653565355", "매물Link")</f>
        <v/>
      </c>
      <c r="M1002" s="6">
        <f>HYPERLINK("https://map.naver.com/p/search/다정동 772", "지도Link")</f>
        <v/>
      </c>
      <c r="N1002" s="6">
        <f>HYPERLINK("http://www.eum.go.kr/web/ar/lu/luLandDet.jsp?pnu=3611010900107720000&amp;isNoScr=script&amp;mode=search",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279.7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다정동 773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44000</v>
      </c>
      <c r="G1003" s="4" t="n">
        <v>279</v>
      </c>
      <c r="H1003" s="4" t="n">
        <v>84</v>
      </c>
      <c r="I1003" s="5" t="n">
        <v>523.8</v>
      </c>
      <c r="J1003" s="5" t="n">
        <v>304.6</v>
      </c>
      <c r="K1003" s="3" t="inlineStr">
        <is>
          <t>급매 남향 택지 조용한위치 상권 학교 가까움</t>
        </is>
      </c>
      <c r="L1003" s="6">
        <f>HYPERLINK("https://fin.land.naver.com/articles/2655177158", "매물Link")</f>
        <v/>
      </c>
      <c r="M1003" s="6">
        <f>HYPERLINK("https://map.naver.com/p/search/다정동 773", "지도Link")</f>
        <v/>
      </c>
      <c r="N1003" s="6">
        <f>HYPERLINK("http://www.eum.go.kr/web/ar/lu/luLandDet.jsp?pnu=3611010900107730000&amp;isNoScr=script&amp;mode=search",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279.7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다정동 773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69500</v>
      </c>
      <c r="G1004" s="4" t="n">
        <v>280</v>
      </c>
      <c r="H1004" s="4" t="n">
        <v>85</v>
      </c>
      <c r="I1004" s="5" t="n">
        <v>817.6</v>
      </c>
      <c r="J1004" s="5" t="n">
        <v>304.6</v>
      </c>
      <c r="K1004" s="3" t="inlineStr">
        <is>
          <t>nan</t>
        </is>
      </c>
      <c r="L1004" s="6">
        <f>HYPERLINK("https://fin.land.naver.com/articles/2651035742", "매물Link")</f>
        <v/>
      </c>
      <c r="M1004" s="6">
        <f>HYPERLINK("https://map.naver.com/p/search/다정동 773", "지도Link")</f>
        <v/>
      </c>
      <c r="N1004" s="6">
        <f>HYPERLINK("http://www.eum.go.kr/web/ar/lu/luLandDet.jsp?pnu=3611010900107730000&amp;isNoScr=script&amp;mode=search", "토지이음")</f>
        <v/>
      </c>
      <c r="O1004" s="3" t="inlineStr">
        <is>
          <t>디아트성심</t>
        </is>
      </c>
      <c r="P1004" s="4" t="n">
        <v>1</v>
      </c>
      <c r="Q1004" s="4" t="n">
        <v>279.7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소로한면</t>
        </is>
      </c>
    </row>
    <row r="1005">
      <c r="A1005" s="3" t="inlineStr">
        <is>
          <t>다정동 774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69500</v>
      </c>
      <c r="G1005" s="4" t="n">
        <v>280</v>
      </c>
      <c r="H1005" s="4" t="n">
        <v>85</v>
      </c>
      <c r="I1005" s="5" t="n">
        <v>817.6</v>
      </c>
      <c r="J1005" s="5" t="n">
        <v>337.9</v>
      </c>
      <c r="K1005" s="3" t="inlineStr">
        <is>
          <t>nan</t>
        </is>
      </c>
      <c r="L1005" s="6">
        <f>HYPERLINK("https://fin.land.naver.com/articles/2655010750", "매물Link")</f>
        <v/>
      </c>
      <c r="M1005" s="6">
        <f>HYPERLINK("https://map.naver.com/p/search/다정동 774", "지도Link")</f>
        <v/>
      </c>
      <c r="N1005" s="6">
        <f>HYPERLINK("http://www.eum.go.kr/web/ar/lu/luLandDet.jsp?pnu=3611010900107740000&amp;isNoScr=script&amp;mode=search",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291.7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중로각지</t>
        </is>
      </c>
    </row>
    <row r="1006">
      <c r="A1006" s="3" t="inlineStr">
        <is>
          <t>다정동 777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43000</v>
      </c>
      <c r="G1006" s="4" t="n">
        <v>297</v>
      </c>
      <c r="H1006" s="4" t="n">
        <v>90</v>
      </c>
      <c r="I1006" s="5" t="n">
        <v>477.8</v>
      </c>
      <c r="J1006" s="5" t="n">
        <v>304.6</v>
      </c>
      <c r="K1006" s="3" t="inlineStr">
        <is>
          <t>급매 다정동 아파트 단지 인프라와 근린공원 조망 단독주택 부지 매매</t>
        </is>
      </c>
      <c r="L1006" s="6">
        <f>HYPERLINK("https://fin.land.naver.com/articles/2654809804", "매물Link")</f>
        <v/>
      </c>
      <c r="M1006" s="6">
        <f>HYPERLINK("https://map.naver.com/p/search/다정동 777", "지도Link")</f>
        <v/>
      </c>
      <c r="N1006" s="6">
        <f>HYPERLINK("http://www.eum.go.kr/web/ar/lu/luLandDet.jsp?pnu=3611010900107770000&amp;isNoScr=script&amp;mode=search", "토지이음")</f>
        <v/>
      </c>
      <c r="O1006" s="3" t="inlineStr">
        <is>
          <t>이지</t>
        </is>
      </c>
      <c r="P1006" s="4" t="n">
        <v>1</v>
      </c>
      <c r="Q1006" s="4" t="n">
        <v>297.3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779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50000</v>
      </c>
      <c r="G1007" s="4" t="n">
        <v>297</v>
      </c>
      <c r="H1007" s="4" t="n">
        <v>90</v>
      </c>
      <c r="I1007" s="5" t="n">
        <v>555.6</v>
      </c>
      <c r="J1007" s="5" t="n">
        <v>304.6</v>
      </c>
      <c r="K1007" s="3" t="inlineStr">
        <is>
          <t>I 신한 I  급매  Iㅑ채광 좋은 남향 단독주택용지</t>
        </is>
      </c>
      <c r="L1007" s="6">
        <f>HYPERLINK("https://fin.land.naver.com/articles/2650851726", "매물Link")</f>
        <v/>
      </c>
      <c r="M1007" s="6">
        <f>HYPERLINK("https://map.naver.com/p/search/다정동 779", "지도Link")</f>
        <v/>
      </c>
      <c r="N1007" s="6">
        <f>HYPERLINK("http://www.eum.go.kr/web/ar/lu/luLandDet.jsp?pnu=3611010900107790000&amp;isNoScr=script&amp;mode=search", "토지이음")</f>
        <v/>
      </c>
      <c r="O1007" s="3" t="inlineStr">
        <is>
          <t>세종신한</t>
        </is>
      </c>
      <c r="P1007" s="4" t="n">
        <v>1</v>
      </c>
      <c r="Q1007" s="4" t="n">
        <v>297.3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781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45000</v>
      </c>
      <c r="G1008" s="4" t="n">
        <v>254</v>
      </c>
      <c r="H1008" s="4" t="n">
        <v>77</v>
      </c>
      <c r="I1008" s="5" t="n">
        <v>584.4</v>
      </c>
      <c r="J1008" s="5" t="n">
        <v>313.8</v>
      </c>
      <c r="K1008" s="3" t="inlineStr">
        <is>
          <t>nan</t>
        </is>
      </c>
      <c r="L1008" s="6">
        <f>HYPERLINK("https://fin.land.naver.com/articles/2655010813", "매물Link")</f>
        <v/>
      </c>
      <c r="M1008" s="6">
        <f>HYPERLINK("https://map.naver.com/p/search/다정동 781", "지도Link")</f>
        <v/>
      </c>
      <c r="N1008" s="6">
        <f>HYPERLINK("http://www.eum.go.kr/web/ar/lu/luLandDet.jsp?pnu=3611010900107810000&amp;isNoScr=script&amp;mode=search", "토지이음")</f>
        <v/>
      </c>
      <c r="O1008" s="3" t="inlineStr">
        <is>
          <t>디아트성심</t>
        </is>
      </c>
      <c r="P1008" s="4" t="n">
        <v>1</v>
      </c>
      <c r="Q1008" s="4" t="n">
        <v>254.3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소로각지</t>
        </is>
      </c>
    </row>
    <row r="1009">
      <c r="A1009" s="3" t="inlineStr">
        <is>
          <t>다정동 781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42000</v>
      </c>
      <c r="G1009" s="4" t="n">
        <v>254</v>
      </c>
      <c r="H1009" s="4" t="n">
        <v>77</v>
      </c>
      <c r="I1009" s="5" t="n">
        <v>545.5</v>
      </c>
      <c r="J1009" s="5" t="n">
        <v>313.8</v>
      </c>
      <c r="K1009" s="3" t="inlineStr">
        <is>
          <t>급매 코너각지 정남향 최저가 조율협의가능</t>
        </is>
      </c>
      <c r="L1009" s="6">
        <f>HYPERLINK("https://fin.land.naver.com/articles/2652943070", "매물Link")</f>
        <v/>
      </c>
      <c r="M1009" s="6">
        <f>HYPERLINK("https://map.naver.com/p/search/다정동 781", "지도Link")</f>
        <v/>
      </c>
      <c r="N1009" s="6">
        <f>HYPERLINK("http://www.eum.go.kr/web/ar/lu/luLandDet.jsp?pnu=3611010900107810000&amp;isNoScr=script&amp;mode=search", "토지이음")</f>
        <v/>
      </c>
      <c r="O1009" s="3" t="inlineStr">
        <is>
          <t>세종스타</t>
        </is>
      </c>
      <c r="P1009" s="4" t="n">
        <v>1</v>
      </c>
      <c r="Q1009" s="4" t="n">
        <v>254.3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소로각지</t>
        </is>
      </c>
    </row>
    <row r="1010">
      <c r="A1010" s="3" t="inlineStr">
        <is>
          <t>다정동 793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75000</v>
      </c>
      <c r="G1010" s="4" t="n">
        <v>315</v>
      </c>
      <c r="H1010" s="4" t="n">
        <v>95</v>
      </c>
      <c r="I1010" s="5" t="n">
        <v>789.5</v>
      </c>
      <c r="J1010" s="5" t="n">
        <v>313.8</v>
      </c>
      <c r="K1010" s="3" t="inlineStr">
        <is>
          <t>코너각지,선호하는 위치 모양좋은 대지,가격조율가능</t>
        </is>
      </c>
      <c r="L1010" s="6">
        <f>HYPERLINK("https://fin.land.naver.com/articles/2652735525", "매물Link")</f>
        <v/>
      </c>
      <c r="M1010" s="6">
        <f>HYPERLINK("https://map.naver.com/p/search/다정동 793", "지도Link")</f>
        <v/>
      </c>
      <c r="N1010" s="6">
        <f>HYPERLINK("http://www.eum.go.kr/web/ar/lu/luLandDet.jsp?pnu=3611010900107930000&amp;isNoScr=script&amp;mode=search", "토지이음")</f>
        <v/>
      </c>
      <c r="O1010" s="3" t="inlineStr">
        <is>
          <t>다정동첫번째</t>
        </is>
      </c>
      <c r="P1010" s="4" t="n">
        <v>1</v>
      </c>
      <c r="Q1010" s="4" t="n">
        <v>315.9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소로각지</t>
        </is>
      </c>
    </row>
    <row r="1011">
      <c r="A1011" s="3" t="inlineStr">
        <is>
          <t>다정동 794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48000</v>
      </c>
      <c r="G1011" s="4" t="n">
        <v>254</v>
      </c>
      <c r="H1011" s="4" t="n">
        <v>77</v>
      </c>
      <c r="I1011" s="5" t="n">
        <v>623.4</v>
      </c>
      <c r="J1011" s="5" t="n">
        <v>337.9</v>
      </c>
      <c r="K1011" s="3" t="inlineStr">
        <is>
          <t>코너각지 공공인도접함 선호하는위치</t>
        </is>
      </c>
      <c r="L1011" s="6">
        <f>HYPERLINK("https://fin.land.naver.com/articles/2654633192", "매물Link")</f>
        <v/>
      </c>
      <c r="M1011" s="6">
        <f>HYPERLINK("https://map.naver.com/p/search/다정동 794", "지도Link")</f>
        <v/>
      </c>
      <c r="N1011" s="6">
        <f>HYPERLINK("http://www.eum.go.kr/web/ar/lu/luLandDet.jsp?pnu=3611010900107940000&amp;isNoScr=script&amp;mode=search", "토지이음")</f>
        <v/>
      </c>
      <c r="O1011" s="3" t="inlineStr">
        <is>
          <t>세종스타</t>
        </is>
      </c>
      <c r="P1011" s="4" t="n">
        <v>1</v>
      </c>
      <c r="Q1011" s="4" t="n">
        <v>254.9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818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83500</v>
      </c>
      <c r="G1012" s="4" t="n">
        <v>394</v>
      </c>
      <c r="H1012" s="4" t="n">
        <v>119</v>
      </c>
      <c r="I1012" s="5" t="n">
        <v>701.7</v>
      </c>
      <c r="J1012" s="5" t="n">
        <v>353.7</v>
      </c>
      <c r="K1012" s="3" t="inlineStr">
        <is>
          <t>사거리 코너, 입지 좋은토지, 조율가능</t>
        </is>
      </c>
      <c r="L1012" s="6">
        <f>HYPERLINK("https://fin.land.naver.com/articles/2653568831", "매물Link")</f>
        <v/>
      </c>
      <c r="M1012" s="6">
        <f>HYPERLINK("https://map.naver.com/p/search/다정동 818", "지도Link")</f>
        <v/>
      </c>
      <c r="N1012" s="6">
        <f>HYPERLINK("http://www.eum.go.kr/web/ar/lu/luLandDet.jsp?pnu=3611010900108180000&amp;isNoScr=script&amp;mode=search",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394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822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75000</v>
      </c>
      <c r="G1013" s="4" t="n">
        <v>315</v>
      </c>
      <c r="H1013" s="4" t="n">
        <v>95</v>
      </c>
      <c r="I1013" s="5" t="n">
        <v>789.5</v>
      </c>
      <c r="J1013" s="5" t="n">
        <v>341.2</v>
      </c>
      <c r="K1013" s="3" t="inlineStr">
        <is>
          <t>nan</t>
        </is>
      </c>
      <c r="L1013" s="6">
        <f>HYPERLINK("https://fin.land.naver.com/articles/2655011012", "매물Link")</f>
        <v/>
      </c>
      <c r="M1013" s="6">
        <f>HYPERLINK("https://map.naver.com/p/search/다정동 822", "지도Link")</f>
        <v/>
      </c>
      <c r="N1013" s="6">
        <f>HYPERLINK("http://www.eum.go.kr/web/ar/lu/luLandDet.jsp?pnu=3611010900108220000&amp;isNoScr=script&amp;mode=search", "토지이음")</f>
        <v/>
      </c>
      <c r="O1013" s="3" t="inlineStr">
        <is>
          <t>디아트성심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중로한면</t>
        </is>
      </c>
    </row>
    <row r="1014">
      <c r="A1014" s="3" t="inlineStr">
        <is>
          <t>다정동 823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73000</v>
      </c>
      <c r="G1014" s="4" t="n">
        <v>315</v>
      </c>
      <c r="H1014" s="4" t="n">
        <v>95</v>
      </c>
      <c r="I1014" s="5" t="n">
        <v>768.4</v>
      </c>
      <c r="J1014" s="5" t="n">
        <v>341.2</v>
      </c>
      <c r="K1014" s="3" t="inlineStr">
        <is>
          <t>총 95.5p, 조율가능, 다정동 단독주택지</t>
        </is>
      </c>
      <c r="L1014" s="6">
        <f>HYPERLINK("https://fin.land.naver.com/articles/2654703670", "매물Link")</f>
        <v/>
      </c>
      <c r="M1014" s="6">
        <f>HYPERLINK("https://map.naver.com/p/search/다정동 823", "지도Link")</f>
        <v/>
      </c>
      <c r="N1014" s="6">
        <f>HYPERLINK("http://www.eum.go.kr/web/ar/lu/luLandDet.jsp?pnu=3611010900108230000&amp;isNoScr=script&amp;mode=search",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315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중로한면</t>
        </is>
      </c>
    </row>
    <row r="1015">
      <c r="A1015" s="3" t="inlineStr">
        <is>
          <t>다정동 823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73000</v>
      </c>
      <c r="G1015" s="4" t="n">
        <v>315</v>
      </c>
      <c r="H1015" s="4" t="n">
        <v>95</v>
      </c>
      <c r="I1015" s="5" t="n">
        <v>768.4</v>
      </c>
      <c r="J1015" s="5" t="n">
        <v>341.2</v>
      </c>
      <c r="K1015" s="3" t="inlineStr">
        <is>
          <t>95.5p, 유치원 맞은편, 가운데 토지</t>
        </is>
      </c>
      <c r="L1015" s="6">
        <f>HYPERLINK("https://fin.land.naver.com/articles/2654717356", "매물Link")</f>
        <v/>
      </c>
      <c r="M1015" s="6">
        <f>HYPERLINK("https://map.naver.com/p/search/다정동 823", "지도Link")</f>
        <v/>
      </c>
      <c r="N1015" s="6">
        <f>HYPERLINK("http://www.eum.go.kr/web/ar/lu/luLandDet.jsp?pnu=3611010900108230000&amp;isNoScr=script&amp;mode=search",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315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중로한면</t>
        </is>
      </c>
    </row>
    <row r="1016">
      <c r="A1016" s="3" t="inlineStr">
        <is>
          <t>다정동 823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73000</v>
      </c>
      <c r="G1016" s="4" t="n">
        <v>315</v>
      </c>
      <c r="H1016" s="4" t="n">
        <v>95</v>
      </c>
      <c r="I1016" s="5" t="n">
        <v>768.4</v>
      </c>
      <c r="J1016" s="5" t="n">
        <v>341.2</v>
      </c>
      <c r="K1016" s="3" t="inlineStr">
        <is>
          <t>nan</t>
        </is>
      </c>
      <c r="L1016" s="6">
        <f>HYPERLINK("https://fin.land.naver.com/articles/2655007233", "매물Link")</f>
        <v/>
      </c>
      <c r="M1016" s="6">
        <f>HYPERLINK("https://map.naver.com/p/search/다정동 823", "지도Link")</f>
        <v/>
      </c>
      <c r="N1016" s="6">
        <f>HYPERLINK("http://www.eum.go.kr/web/ar/lu/luLandDet.jsp?pnu=3611010900108230000&amp;isNoScr=script&amp;mode=search", "토지이음")</f>
        <v/>
      </c>
      <c r="O1016" s="3" t="inlineStr">
        <is>
          <t>디아트성심</t>
        </is>
      </c>
      <c r="P1016" s="4" t="n">
        <v>1</v>
      </c>
      <c r="Q1016" s="4" t="n">
        <v>315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중로한면</t>
        </is>
      </c>
    </row>
    <row r="1017">
      <c r="A1017" s="3" t="inlineStr">
        <is>
          <t>다정동 823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64000</v>
      </c>
      <c r="G1017" s="4" t="n">
        <v>315</v>
      </c>
      <c r="H1017" s="4" t="n">
        <v>95</v>
      </c>
      <c r="I1017" s="5" t="n">
        <v>673.7</v>
      </c>
      <c r="J1017" s="5" t="n">
        <v>341.2</v>
      </c>
      <c r="K1017" s="3" t="inlineStr">
        <is>
          <t>다정동 인기있는 단독주택, 명당터, 공원과 유치원 근처, 힐링</t>
        </is>
      </c>
      <c r="L1017" s="6">
        <f>HYPERLINK("https://fin.land.naver.com/articles/2654623538", "매물Link")</f>
        <v/>
      </c>
      <c r="M1017" s="6">
        <f>HYPERLINK("https://map.naver.com/p/search/다정동 823", "지도Link")</f>
        <v/>
      </c>
      <c r="N1017" s="6">
        <f>HYPERLINK("http://www.eum.go.kr/web/ar/lu/luLandDet.jsp?pnu=3611010900108230000&amp;isNoScr=script&amp;mode=search", "토지이음")</f>
        <v/>
      </c>
      <c r="O1017" s="3" t="inlineStr">
        <is>
          <t>풍경채대지</t>
        </is>
      </c>
      <c r="P1017" s="4" t="n">
        <v>1</v>
      </c>
      <c r="Q1017" s="4" t="n">
        <v>315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중로한면</t>
        </is>
      </c>
    </row>
    <row r="1018">
      <c r="A1018" s="3" t="inlineStr">
        <is>
          <t>다정동 829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40000</v>
      </c>
      <c r="G1018" s="4" t="n">
        <v>270</v>
      </c>
      <c r="H1018" s="4" t="n">
        <v>82</v>
      </c>
      <c r="I1018" s="5" t="n">
        <v>487.8</v>
      </c>
      <c r="J1018" s="5" t="n">
        <v>341.2</v>
      </c>
      <c r="K1018" s="3" t="inlineStr">
        <is>
          <t>급매 추가조율가능 근생편의시설인근</t>
        </is>
      </c>
      <c r="L1018" s="6">
        <f>HYPERLINK("https://fin.land.naver.com/articles/2654850766", "매물Link")</f>
        <v/>
      </c>
      <c r="M1018" s="6">
        <f>HYPERLINK("https://map.naver.com/p/search/다정동 829", "지도Link")</f>
        <v/>
      </c>
      <c r="N1018" s="6">
        <f>HYPERLINK("http://www.eum.go.kr/web/ar/lu/luLandDet.jsp?pnu=3611010900108290000&amp;isNoScr=script&amp;mode=search",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270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중로한면</t>
        </is>
      </c>
    </row>
    <row r="1019">
      <c r="A1019" s="3" t="inlineStr">
        <is>
          <t>다정동 842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64000</v>
      </c>
      <c r="G1019" s="4" t="n">
        <v>315</v>
      </c>
      <c r="H1019" s="4" t="n">
        <v>95</v>
      </c>
      <c r="I1019" s="5" t="n">
        <v>673.7</v>
      </c>
      <c r="J1019" s="5" t="n">
        <v>318.9</v>
      </c>
      <c r="K1019" s="3" t="inlineStr">
        <is>
          <t>총 95.5p, 새솔유치원인근, 가운데 토지</t>
        </is>
      </c>
      <c r="L1019" s="6">
        <f>HYPERLINK("https://fin.land.naver.com/articles/2654896232", "매물Link")</f>
        <v/>
      </c>
      <c r="M1019" s="6">
        <f>HYPERLINK("https://map.naver.com/p/search/다정동 842", "지도Link")</f>
        <v/>
      </c>
      <c r="N1019" s="6">
        <f>HYPERLINK("http://www.eum.go.kr/web/ar/lu/luLandDet.jsp?pnu=3611010900108420000&amp;isNoScr=script&amp;mode=search",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315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다정동 842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64000</v>
      </c>
      <c r="G1020" s="4" t="n">
        <v>315</v>
      </c>
      <c r="H1020" s="4" t="n">
        <v>95</v>
      </c>
      <c r="I1020" s="5" t="n">
        <v>673.7</v>
      </c>
      <c r="J1020" s="5" t="n">
        <v>318.9</v>
      </c>
      <c r="K1020" s="3" t="inlineStr">
        <is>
          <t>총 95.5p, 유치원 인근 다정동 토지매매</t>
        </is>
      </c>
      <c r="L1020" s="6">
        <f>HYPERLINK("https://fin.land.naver.com/articles/2655487391", "매물Link")</f>
        <v/>
      </c>
      <c r="M1020" s="6">
        <f>HYPERLINK("https://map.naver.com/p/search/다정동 842", "지도Link")</f>
        <v/>
      </c>
      <c r="N1020" s="6">
        <f>HYPERLINK("http://www.eum.go.kr/web/ar/lu/luLandDet.jsp?pnu=3611010900108420000&amp;isNoScr=script&amp;mode=search",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315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다정동 842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315</v>
      </c>
      <c r="H1021" s="4" t="n">
        <v>95</v>
      </c>
      <c r="I1021" s="5" t="n">
        <v>515.8</v>
      </c>
      <c r="J1021" s="5" t="n">
        <v>318.9</v>
      </c>
      <c r="K1021" s="3" t="inlineStr">
        <is>
          <t>급매 조율가능 조용한 선호하는 안쪽위치</t>
        </is>
      </c>
      <c r="L1021" s="6">
        <f>HYPERLINK("https://fin.land.naver.com/articles/2652419011", "매물Link")</f>
        <v/>
      </c>
      <c r="M1021" s="6">
        <f>HYPERLINK("https://map.naver.com/p/search/다정동 842", "지도Link")</f>
        <v/>
      </c>
      <c r="N1021" s="6">
        <f>HYPERLINK("http://www.eum.go.kr/web/ar/lu/luLandDet.jsp?pnu=3611010900108420000&amp;isNoScr=script&amp;mode=search",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315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다정동 885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48000</v>
      </c>
      <c r="G1022" s="4" t="n">
        <v>397</v>
      </c>
      <c r="H1022" s="4" t="n">
        <v>120</v>
      </c>
      <c r="I1022" s="5" t="n">
        <v>400</v>
      </c>
      <c r="J1022" s="5" t="n">
        <v>353.7</v>
      </c>
      <c r="K1022" s="3" t="inlineStr">
        <is>
          <t>급매 추가조율가능 삼면 코너각지 큰평수</t>
        </is>
      </c>
      <c r="L1022" s="6">
        <f>HYPERLINK("https://fin.land.naver.com/articles/2655187673", "매물Link")</f>
        <v/>
      </c>
      <c r="M1022" s="6">
        <f>HYPERLINK("https://map.naver.com/p/search/다정동 885", "지도Link")</f>
        <v/>
      </c>
      <c r="N1022" s="6">
        <f>HYPERLINK("http://www.eum.go.kr/web/ar/lu/luLandDet.jsp?pnu=3611010900108850000&amp;isNoScr=script&amp;mode=search", "토지이음")</f>
        <v/>
      </c>
      <c r="O1022" s="3" t="inlineStr">
        <is>
          <t>세종스타</t>
        </is>
      </c>
      <c r="P1022" s="4" t="n">
        <v>2</v>
      </c>
      <c r="Q1022" s="4" t="n">
        <v>397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중로각지</t>
        </is>
      </c>
    </row>
    <row r="1023">
      <c r="A1023" s="3" t="inlineStr">
        <is>
          <t>다정동 887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41000</v>
      </c>
      <c r="G1023" s="4" t="n">
        <v>374</v>
      </c>
      <c r="H1023" s="4" t="n">
        <v>113</v>
      </c>
      <c r="I1023" s="5" t="n">
        <v>362.8</v>
      </c>
      <c r="J1023" s="5" t="n">
        <v>353.7</v>
      </c>
      <c r="K1023" s="3" t="inlineStr">
        <is>
          <t>급매 큰평수 남서향으로 트인위치 추가조율가능</t>
        </is>
      </c>
      <c r="L1023" s="6">
        <f>HYPERLINK("https://fin.land.naver.com/articles/2655187383", "매물Link")</f>
        <v/>
      </c>
      <c r="M1023" s="6">
        <f>HYPERLINK("https://map.naver.com/p/search/다정동 887", "지도Link")</f>
        <v/>
      </c>
      <c r="N1023" s="6">
        <f>HYPERLINK("http://www.eum.go.kr/web/ar/lu/luLandDet.jsp?pnu=3611010900108870000&amp;isNoScr=script&amp;mode=search", "토지이음")</f>
        <v/>
      </c>
      <c r="O1023" s="3" t="inlineStr">
        <is>
          <t>세종스타</t>
        </is>
      </c>
      <c r="P1023" s="4" t="n">
        <v>3</v>
      </c>
      <c r="Q1023" s="4" t="n">
        <v>374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중로각지</t>
        </is>
      </c>
    </row>
    <row r="1024">
      <c r="A1024" s="3" t="inlineStr">
        <is>
          <t>다정동 887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53000</v>
      </c>
      <c r="G1024" s="4" t="n">
        <v>374</v>
      </c>
      <c r="H1024" s="4" t="n">
        <v>113</v>
      </c>
      <c r="I1024" s="5" t="n">
        <v>469</v>
      </c>
      <c r="J1024" s="5" t="n">
        <v>353.7</v>
      </c>
      <c r="K1024" s="3" t="inlineStr">
        <is>
          <t>113.3p, 주유소 맞은편. 조율가능</t>
        </is>
      </c>
      <c r="L1024" s="6">
        <f>HYPERLINK("https://fin.land.naver.com/articles/2654925319", "매물Link")</f>
        <v/>
      </c>
      <c r="M1024" s="6">
        <f>HYPERLINK("https://map.naver.com/p/search/다정동 887", "지도Link")</f>
        <v/>
      </c>
      <c r="N1024" s="6">
        <f>HYPERLINK("http://www.eum.go.kr/web/ar/lu/luLandDet.jsp?pnu=3611010900108870000&amp;isNoScr=script&amp;mode=search",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374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중로각지</t>
        </is>
      </c>
    </row>
    <row r="1025">
      <c r="A1025" s="3" t="inlineStr">
        <is>
          <t>다정동 887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41000</v>
      </c>
      <c r="G1025" s="4" t="n">
        <v>374</v>
      </c>
      <c r="H1025" s="4" t="n">
        <v>113</v>
      </c>
      <c r="I1025" s="5" t="n">
        <v>362.8</v>
      </c>
      <c r="J1025" s="5" t="n">
        <v>353.7</v>
      </c>
      <c r="K1025" s="3" t="inlineStr">
        <is>
          <t>급매 다정동 전원주택토지임.</t>
        </is>
      </c>
      <c r="L1025" s="6">
        <f>HYPERLINK("https://fin.land.naver.com/articles/2653163964", "매물Link")</f>
        <v/>
      </c>
      <c r="M1025" s="6">
        <f>HYPERLINK("https://map.naver.com/p/search/다정동 887", "지도Link")</f>
        <v/>
      </c>
      <c r="N1025" s="6">
        <f>HYPERLINK("http://www.eum.go.kr/web/ar/lu/luLandDet.jsp?pnu=3611010900108870000&amp;isNoScr=script&amp;mode=search", "토지이음")</f>
        <v/>
      </c>
      <c r="O1025" s="3" t="inlineStr">
        <is>
          <t>태흥</t>
        </is>
      </c>
      <c r="P1025" s="4" t="n">
        <v>1</v>
      </c>
      <c r="Q1025" s="4" t="n">
        <v>374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887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41000</v>
      </c>
      <c r="G1026" s="4" t="n">
        <v>374</v>
      </c>
      <c r="H1026" s="4" t="n">
        <v>113</v>
      </c>
      <c r="I1026" s="5" t="n">
        <v>362.8</v>
      </c>
      <c r="J1026" s="5" t="n">
        <v>353.7</v>
      </c>
      <c r="K1026" s="3" t="inlineStr">
        <is>
          <t>총 113.3p, 조율가능, 주유소인근, 다정동 단독주택지</t>
        </is>
      </c>
      <c r="L1026" s="6">
        <f>HYPERLINK("https://fin.land.naver.com/articles/2653561661", "매물Link")</f>
        <v/>
      </c>
      <c r="M1026" s="6">
        <f>HYPERLINK("https://map.naver.com/p/search/다정동 887", "지도Link")</f>
        <v/>
      </c>
      <c r="N1026" s="6">
        <f>HYPERLINK("http://www.eum.go.kr/web/ar/lu/luLandDet.jsp?pnu=3611010900108870000&amp;isNoScr=script&amp;mode=search",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374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887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41000</v>
      </c>
      <c r="G1027" s="4" t="n">
        <v>374</v>
      </c>
      <c r="H1027" s="4" t="n">
        <v>113</v>
      </c>
      <c r="I1027" s="5" t="n">
        <v>362.8</v>
      </c>
      <c r="J1027" s="5" t="n">
        <v>353.7</v>
      </c>
      <c r="K1027" s="3" t="inlineStr">
        <is>
          <t>세종 다정동 단독주택 부지로 주목할 대지 매매</t>
        </is>
      </c>
      <c r="L1027" s="6">
        <f>HYPERLINK("https://fin.land.naver.com/articles/2654266239", "매물Link")</f>
        <v/>
      </c>
      <c r="M1027" s="6">
        <f>HYPERLINK("https://map.naver.com/p/search/다정동 887", "지도Link")</f>
        <v/>
      </c>
      <c r="N1027" s="6">
        <f>HYPERLINK("http://www.eum.go.kr/web/ar/lu/luLandDet.jsp?pnu=3611010900108870000&amp;isNoScr=script&amp;mode=search",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374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중로각지</t>
        </is>
      </c>
    </row>
    <row r="1028">
      <c r="A1028" s="3" t="inlineStr">
        <is>
          <t>다정동 889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54000</v>
      </c>
      <c r="G1028" s="4" t="n">
        <v>374</v>
      </c>
      <c r="H1028" s="4" t="n">
        <v>113</v>
      </c>
      <c r="I1028" s="5" t="n">
        <v>477.9</v>
      </c>
      <c r="J1028" s="5" t="n">
        <v>353.7</v>
      </c>
      <c r="K1028" s="3" t="inlineStr">
        <is>
          <t>113p, 다정동 단독주택지</t>
        </is>
      </c>
      <c r="L1028" s="6">
        <f>HYPERLINK("https://fin.land.naver.com/articles/2655373366", "매물Link")</f>
        <v/>
      </c>
      <c r="M1028" s="6">
        <f>HYPERLINK("https://map.naver.com/p/search/다정동 889", "지도Link")</f>
        <v/>
      </c>
      <c r="N1028" s="6">
        <f>HYPERLINK("http://www.eum.go.kr/web/ar/lu/luLandDet.jsp?pnu=3611010900108890000&amp;isNoScr=script&amp;mode=search", "토지이음")</f>
        <v/>
      </c>
      <c r="O1028" s="3" t="inlineStr">
        <is>
          <t>the다올</t>
        </is>
      </c>
      <c r="P1028" s="4" t="n">
        <v>1</v>
      </c>
      <c r="Q1028" s="4" t="n">
        <v>374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중로각지</t>
        </is>
      </c>
    </row>
    <row r="1029">
      <c r="A1029" s="3" t="inlineStr">
        <is>
          <t>다정동 897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194000</v>
      </c>
      <c r="G1029" s="4" t="n">
        <v>641</v>
      </c>
      <c r="H1029" s="4" t="n">
        <v>194</v>
      </c>
      <c r="I1029" s="5" t="n">
        <v>1000</v>
      </c>
      <c r="J1029" s="5" t="n">
        <v>763</v>
      </c>
      <c r="K1029" s="3" t="inlineStr">
        <is>
          <t>nan</t>
        </is>
      </c>
      <c r="L1029" s="6">
        <f>HYPERLINK("https://fin.land.naver.com/articles/2654765618", "매물Link")</f>
        <v/>
      </c>
      <c r="M1029" s="6">
        <f>HYPERLINK("https://map.naver.com/p/search/다정동 897", "지도Link")</f>
        <v/>
      </c>
      <c r="N1029" s="6">
        <f>HYPERLINK("http://www.eum.go.kr/web/ar/lu/luLandDet.jsp?pnu=3611010900108970000&amp;isNoScr=script&amp;mode=search", "토지이음")</f>
        <v/>
      </c>
      <c r="O1029" s="3" t="inlineStr">
        <is>
          <t>세종나라</t>
        </is>
      </c>
      <c r="P1029" s="4" t="n">
        <v>4</v>
      </c>
      <c r="Q1029" s="4" t="n">
        <v>641</v>
      </c>
      <c r="R1029" s="3" t="inlineStr">
        <is>
          <t>지정되지않음</t>
        </is>
      </c>
      <c r="S1029" s="3" t="inlineStr">
        <is>
          <t>상업나지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897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194000</v>
      </c>
      <c r="G1030" s="4" t="n">
        <v>641</v>
      </c>
      <c r="H1030" s="4" t="n">
        <v>194</v>
      </c>
      <c r="I1030" s="5" t="n">
        <v>1000</v>
      </c>
      <c r="J1030" s="5" t="n">
        <v>763</v>
      </c>
      <c r="K1030" s="3" t="inlineStr">
        <is>
          <t>다정동 코너 위치한 근생 토지매매, 조율가능, 입지 최고</t>
        </is>
      </c>
      <c r="L1030" s="6">
        <f>HYPERLINK("https://fin.land.naver.com/articles/2655487347", "매물Link")</f>
        <v/>
      </c>
      <c r="M1030" s="6">
        <f>HYPERLINK("https://map.naver.com/p/search/다정동 897", "지도Link")</f>
        <v/>
      </c>
      <c r="N1030" s="6">
        <f>HYPERLINK("http://www.eum.go.kr/web/ar/lu/luLandDet.jsp?pnu=3611010900108970000&amp;isNoScr=script&amp;mode=search",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641</v>
      </c>
      <c r="R1030" s="3" t="inlineStr">
        <is>
          <t>지정되지않음</t>
        </is>
      </c>
      <c r="S1030" s="3" t="inlineStr">
        <is>
          <t>상업나지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중로각지</t>
        </is>
      </c>
    </row>
    <row r="1031">
      <c r="A1031" s="3" t="inlineStr">
        <is>
          <t>다정동 897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194000</v>
      </c>
      <c r="G1031" s="4" t="n">
        <v>641</v>
      </c>
      <c r="H1031" s="4" t="n">
        <v>194</v>
      </c>
      <c r="I1031" s="5" t="n">
        <v>1000</v>
      </c>
      <c r="J1031" s="5" t="n">
        <v>763</v>
      </c>
      <c r="K1031" s="3" t="inlineStr">
        <is>
          <t>총 194.2p, 코너자리, 다정동 위치좋은 근생토지</t>
        </is>
      </c>
      <c r="L1031" s="6">
        <f>HYPERLINK("https://fin.land.naver.com/articles/2653057250", "매물Link")</f>
        <v/>
      </c>
      <c r="M1031" s="6">
        <f>HYPERLINK("https://map.naver.com/p/search/다정동 897", "지도Link")</f>
        <v/>
      </c>
      <c r="N1031" s="6">
        <f>HYPERLINK("http://www.eum.go.kr/web/ar/lu/luLandDet.jsp?pnu=3611010900108970000&amp;isNoScr=script&amp;mode=search",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641</v>
      </c>
      <c r="R1031" s="3" t="inlineStr">
        <is>
          <t>지정되지않음</t>
        </is>
      </c>
      <c r="S1031" s="3" t="inlineStr">
        <is>
          <t>상업나지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900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250000</v>
      </c>
      <c r="G1032" s="4" t="n">
        <v>594</v>
      </c>
      <c r="H1032" s="4" t="n">
        <v>180</v>
      </c>
      <c r="I1032" s="5" t="n">
        <v>1388.9</v>
      </c>
      <c r="J1032" s="5" t="n">
        <v>763</v>
      </c>
      <c r="K1032" s="3" t="inlineStr">
        <is>
          <t>대단지아파트 주변 근린생활시설용지,근생단독건물건축용지</t>
        </is>
      </c>
      <c r="L1032" s="6">
        <f>HYPERLINK("https://fin.land.naver.com/articles/2652144502", "매물Link")</f>
        <v/>
      </c>
      <c r="M1032" s="6">
        <f>HYPERLINK("https://map.naver.com/p/search/다정동 900", "지도Link")</f>
        <v/>
      </c>
      <c r="N1032" s="6">
        <f>HYPERLINK("http://www.eum.go.kr/web/ar/lu/luLandDet.jsp?pnu=3611010900109000000&amp;isNoScr=script&amp;mode=search", "토지이음")</f>
        <v/>
      </c>
      <c r="O1032" s="3" t="inlineStr">
        <is>
          <t>세종지원</t>
        </is>
      </c>
      <c r="P1032" s="4" t="n">
        <v>1</v>
      </c>
      <c r="Q1032" s="4" t="n">
        <v>594</v>
      </c>
      <c r="R1032" s="3" t="inlineStr">
        <is>
          <t>지정되지않음</t>
        </is>
      </c>
      <c r="S1032" s="3" t="inlineStr">
        <is>
          <t>상업나지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중로각지</t>
        </is>
      </c>
    </row>
    <row r="1033">
      <c r="A1033" s="3" t="inlineStr">
        <is>
          <t>다정동 902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396000</v>
      </c>
      <c r="G1033" s="4" t="n">
        <v>654</v>
      </c>
      <c r="H1033" s="4" t="n">
        <v>198</v>
      </c>
      <c r="I1033" s="5" t="n">
        <v>2000</v>
      </c>
      <c r="J1033" s="5" t="n">
        <v>763</v>
      </c>
      <c r="K1033" s="3" t="inlineStr">
        <is>
          <t>근생용지,코너각지땅으로 대단지 아파트초인근임</t>
        </is>
      </c>
      <c r="L1033" s="6">
        <f>HYPERLINK("https://fin.land.naver.com/articles/2655663910", "매물Link")</f>
        <v/>
      </c>
      <c r="M1033" s="6">
        <f>HYPERLINK("https://map.naver.com/p/search/다정동 902", "지도Link")</f>
        <v/>
      </c>
      <c r="N1033" s="6">
        <f>HYPERLINK("http://www.eum.go.kr/web/ar/lu/luLandDet.jsp?pnu=3611010900109020000&amp;isNoScr=script&amp;mode=search", "토지이음")</f>
        <v/>
      </c>
      <c r="O1033" s="3" t="inlineStr">
        <is>
          <t>세종대명</t>
        </is>
      </c>
      <c r="P1033" s="4" t="n">
        <v>1</v>
      </c>
      <c r="Q1033" s="4" t="n">
        <v>654.6</v>
      </c>
      <c r="R1033" s="3" t="inlineStr">
        <is>
          <t>지정되지않음</t>
        </is>
      </c>
      <c r="S1033" s="3" t="inlineStr">
        <is>
          <t>상업나지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중로각지</t>
        </is>
      </c>
    </row>
    <row r="1034">
      <c r="A1034" s="3" t="inlineStr">
        <is>
          <t>다정동 902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396000</v>
      </c>
      <c r="G1034" s="4" t="n">
        <v>654</v>
      </c>
      <c r="H1034" s="4" t="n">
        <v>198</v>
      </c>
      <c r="I1034" s="5" t="n">
        <v>2000</v>
      </c>
      <c r="J1034" s="5" t="n">
        <v>763</v>
      </c>
      <c r="K1034" s="3" t="inlineStr">
        <is>
          <t>코너 입지한 근린생활용지 토지 매매, 위치 좋음</t>
        </is>
      </c>
      <c r="L1034" s="6">
        <f>HYPERLINK("https://fin.land.naver.com/articles/2650893996", "매물Link")</f>
        <v/>
      </c>
      <c r="M1034" s="6">
        <f>HYPERLINK("https://map.naver.com/p/search/다정동 902", "지도Link")</f>
        <v/>
      </c>
      <c r="N1034" s="6">
        <f>HYPERLINK("http://www.eum.go.kr/web/ar/lu/luLandDet.jsp?pnu=3611010900109020000&amp;isNoScr=script&amp;mode=search",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654.6</v>
      </c>
      <c r="R1034" s="3" t="inlineStr">
        <is>
          <t>지정되지않음</t>
        </is>
      </c>
      <c r="S1034" s="3" t="inlineStr">
        <is>
          <t>상업나지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중로각지</t>
        </is>
      </c>
    </row>
    <row r="1035">
      <c r="A1035" s="3" t="inlineStr">
        <is>
          <t>도담동 410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100000</v>
      </c>
      <c r="G1035" s="4" t="n">
        <v>330</v>
      </c>
      <c r="H1035" s="4" t="n">
        <v>100</v>
      </c>
      <c r="I1035" s="5" t="n">
        <v>1000</v>
      </c>
      <c r="J1035" s="5" t="n">
        <v>362</v>
      </c>
      <c r="K1035" s="3" t="inlineStr">
        <is>
          <t>조율가능 남향 코너각지 천조망가능 최상입지</t>
        </is>
      </c>
      <c r="L1035" s="6">
        <f>HYPERLINK("https://fin.land.naver.com/articles/2655021747", "매물Link")</f>
        <v/>
      </c>
      <c r="M1035" s="6">
        <f>HYPERLINK("https://map.naver.com/p/search/도담동 410", "지도Link")</f>
        <v/>
      </c>
      <c r="N1035" s="6">
        <f>HYPERLINK("http://www.eum.go.kr/web/ar/lu/luLandDet.jsp?pnu=3611011400104100000&amp;isNoScr=script&amp;mode=search",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410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100000</v>
      </c>
      <c r="G1036" s="4" t="n">
        <v>330</v>
      </c>
      <c r="H1036" s="4" t="n">
        <v>100</v>
      </c>
      <c r="I1036" s="5" t="n">
        <v>1000</v>
      </c>
      <c r="J1036" s="5" t="n">
        <v>362</v>
      </c>
      <c r="K1036" s="3" t="inlineStr">
        <is>
          <t>총 100p, 주민휴게광장옆, 위치좋은 토지</t>
        </is>
      </c>
      <c r="L1036" s="6">
        <f>HYPERLINK("https://fin.land.naver.com/articles/2654920683", "매물Link")</f>
        <v/>
      </c>
      <c r="M1036" s="6">
        <f>HYPERLINK("https://map.naver.com/p/search/도담동 410", "지도Link")</f>
        <v/>
      </c>
      <c r="N1036" s="6">
        <f>HYPERLINK("http://www.eum.go.kr/web/ar/lu/luLandDet.jsp?pnu=3611011400104100000&amp;isNoScr=script&amp;mode=search",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330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도담동 410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100000</v>
      </c>
      <c r="G1037" s="4" t="n">
        <v>330</v>
      </c>
      <c r="H1037" s="4" t="n">
        <v>100</v>
      </c>
      <c r="I1037" s="5" t="n">
        <v>1000</v>
      </c>
      <c r="J1037" s="5" t="n">
        <v>362</v>
      </c>
      <c r="K1037" s="3" t="inlineStr">
        <is>
          <t>100p, 도담동 말발굽토지, 왼쪽 사거리 코너자리</t>
        </is>
      </c>
      <c r="L1037" s="6">
        <f>HYPERLINK("https://fin.land.naver.com/articles/2653566973", "매물Link")</f>
        <v/>
      </c>
      <c r="M1037" s="6">
        <f>HYPERLINK("https://map.naver.com/p/search/도담동 410", "지도Link")</f>
        <v/>
      </c>
      <c r="N1037" s="6">
        <f>HYPERLINK("http://www.eum.go.kr/web/ar/lu/luLandDet.jsp?pnu=3611011400104100000&amp;isNoScr=script&amp;mode=search",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330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도담동 419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100000</v>
      </c>
      <c r="G1038" s="4" t="n">
        <v>327</v>
      </c>
      <c r="H1038" s="4" t="n">
        <v>99</v>
      </c>
      <c r="I1038" s="5" t="n">
        <v>1010.1</v>
      </c>
      <c r="J1038" s="5" t="n">
        <v>358.3</v>
      </c>
      <c r="K1038" s="3" t="inlineStr">
        <is>
          <t>nan</t>
        </is>
      </c>
      <c r="L1038" s="6">
        <f>HYPERLINK("https://fin.land.naver.com/articles/2652567664", "매물Link")</f>
        <v/>
      </c>
      <c r="M1038" s="6">
        <f>HYPERLINK("https://map.naver.com/p/search/도담동 419", "지도Link")</f>
        <v/>
      </c>
      <c r="N1038" s="6">
        <f>HYPERLINK("http://www.eum.go.kr/web/ar/lu/luLandDet.jsp?pnu=3611011400104190000&amp;isNoScr=script&amp;mode=search", "토지이음")</f>
        <v/>
      </c>
      <c r="O1038" s="3" t="inlineStr">
        <is>
          <t>진달래</t>
        </is>
      </c>
      <c r="P1038" s="4" t="n">
        <v>2</v>
      </c>
      <c r="Q1038" s="4" t="n">
        <v>327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419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100000</v>
      </c>
      <c r="G1039" s="4" t="n">
        <v>327</v>
      </c>
      <c r="H1039" s="4" t="n">
        <v>99</v>
      </c>
      <c r="I1039" s="5" t="n">
        <v>1010.1</v>
      </c>
      <c r="J1039" s="5" t="n">
        <v>358.3</v>
      </c>
      <c r="K1039" s="3" t="inlineStr">
        <is>
          <t>말발굽 정남향 귀한 토지, 조율가능</t>
        </is>
      </c>
      <c r="L1039" s="6">
        <f>HYPERLINK("https://fin.land.naver.com/articles/2651903895", "매물Link")</f>
        <v/>
      </c>
      <c r="M1039" s="6">
        <f>HYPERLINK("https://map.naver.com/p/search/도담동 419", "지도Link")</f>
        <v/>
      </c>
      <c r="N1039" s="6">
        <f>HYPERLINK("http://www.eum.go.kr/web/ar/lu/luLandDet.jsp?pnu=3611011400104190000&amp;isNoScr=script&amp;mode=search",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327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419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100000</v>
      </c>
      <c r="G1040" s="4" t="n">
        <v>327</v>
      </c>
      <c r="H1040" s="4" t="n">
        <v>99</v>
      </c>
      <c r="I1040" s="5" t="n">
        <v>1010.1</v>
      </c>
      <c r="J1040" s="5" t="n">
        <v>358.3</v>
      </c>
      <c r="K1040" s="3" t="inlineStr">
        <is>
          <t>99.1p, 도담동 말발굽 토지, 공원 보행로 접해 있음</t>
        </is>
      </c>
      <c r="L1040" s="6">
        <f>HYPERLINK("https://fin.land.naver.com/articles/2653565954", "매물Link")</f>
        <v/>
      </c>
      <c r="M1040" s="6">
        <f>HYPERLINK("https://map.naver.com/p/search/도담동 419", "지도Link")</f>
        <v/>
      </c>
      <c r="N1040" s="6">
        <f>HYPERLINK("http://www.eum.go.kr/web/ar/lu/luLandDet.jsp?pnu=3611011400104190000&amp;isNoScr=script&amp;mode=search",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327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424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115000</v>
      </c>
      <c r="G1041" s="4" t="n">
        <v>305</v>
      </c>
      <c r="H1041" s="4" t="n">
        <v>92</v>
      </c>
      <c r="I1041" s="5" t="n">
        <v>1250</v>
      </c>
      <c r="J1041" s="5" t="n">
        <v>358.3</v>
      </c>
      <c r="K1041" s="3" t="inlineStr">
        <is>
          <t>조율가능 공원접함 최선호 반원호내 단독주택지</t>
        </is>
      </c>
      <c r="L1041" s="6">
        <f>HYPERLINK("https://fin.land.naver.com/articles/2652136867", "매물Link")</f>
        <v/>
      </c>
      <c r="M1041" s="6">
        <f>HYPERLINK("https://map.naver.com/p/search/도담동 424", "지도Link")</f>
        <v/>
      </c>
      <c r="N1041" s="6">
        <f>HYPERLINK("http://www.eum.go.kr/web/ar/lu/luLandDet.jsp?pnu=3611011400104240000&amp;isNoScr=script&amp;mode=search",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305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425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110000</v>
      </c>
      <c r="G1042" s="4" t="n">
        <v>303</v>
      </c>
      <c r="H1042" s="4" t="n">
        <v>92</v>
      </c>
      <c r="I1042" s="5" t="n">
        <v>1195.7</v>
      </c>
      <c r="J1042" s="5" t="n">
        <v>358.3</v>
      </c>
      <c r="K1042" s="3" t="inlineStr">
        <is>
          <t>도담동 말발굽토지 매매, 공원 인근, 선호도 높은 토지</t>
        </is>
      </c>
      <c r="L1042" s="6">
        <f>HYPERLINK("https://fin.land.naver.com/articles/2650427607", "매물Link")</f>
        <v/>
      </c>
      <c r="M1042" s="6">
        <f>HYPERLINK("https://map.naver.com/p/search/도담동 425", "지도Link")</f>
        <v/>
      </c>
      <c r="N1042" s="6">
        <f>HYPERLINK("http://www.eum.go.kr/web/ar/lu/luLandDet.jsp?pnu=3611011400104250000&amp;isNoScr=script&amp;mode=search",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304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소로한면</t>
        </is>
      </c>
    </row>
    <row r="1043">
      <c r="A1043" s="3" t="inlineStr">
        <is>
          <t>도담동 425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110000</v>
      </c>
      <c r="G1043" s="4" t="n">
        <v>304</v>
      </c>
      <c r="H1043" s="4" t="n">
        <v>92</v>
      </c>
      <c r="I1043" s="5" t="n">
        <v>1195.7</v>
      </c>
      <c r="J1043" s="5" t="n">
        <v>358.3</v>
      </c>
      <c r="K1043" s="3" t="inlineStr">
        <is>
          <t>급매진행 조율최대가능  도담동 말발급주택지 원수산아래 넓은 녹지공간</t>
        </is>
      </c>
      <c r="L1043" s="6">
        <f>HYPERLINK("https://fin.land.naver.com/articles/2653792732", "매물Link")</f>
        <v/>
      </c>
      <c r="M1043" s="6">
        <f>HYPERLINK("https://map.naver.com/p/search/도담동 425", "지도Link")</f>
        <v/>
      </c>
      <c r="N1043" s="6">
        <f>HYPERLINK("http://www.eum.go.kr/web/ar/lu/luLandDet.jsp?pnu=3611011400104250000&amp;isNoScr=script&amp;mode=search", "토지이음")</f>
        <v/>
      </c>
      <c r="O1043" s="3" t="inlineStr">
        <is>
          <t>홍기표</t>
        </is>
      </c>
      <c r="P1043" s="4" t="n">
        <v>2</v>
      </c>
      <c r="Q1043" s="4" t="n">
        <v>304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소로한면</t>
        </is>
      </c>
    </row>
    <row r="1044">
      <c r="A1044" s="3" t="inlineStr">
        <is>
          <t>도담동 425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110000</v>
      </c>
      <c r="G1044" s="4" t="n">
        <v>304</v>
      </c>
      <c r="H1044" s="4" t="n">
        <v>92</v>
      </c>
      <c r="I1044" s="5" t="n">
        <v>1195.7</v>
      </c>
      <c r="J1044" s="5" t="n">
        <v>358.3</v>
      </c>
      <c r="K1044" s="3" t="inlineStr">
        <is>
          <t>총 92.1p, 말발굽 최고입지, 넓은 공원 인근</t>
        </is>
      </c>
      <c r="L1044" s="6">
        <f>HYPERLINK("https://fin.land.naver.com/articles/2653682295", "매물Link")</f>
        <v/>
      </c>
      <c r="M1044" s="6">
        <f>HYPERLINK("https://map.naver.com/p/search/도담동 425", "지도Link")</f>
        <v/>
      </c>
      <c r="N1044" s="6">
        <f>HYPERLINK("http://www.eum.go.kr/web/ar/lu/luLandDet.jsp?pnu=3611011400104250000&amp;isNoScr=script&amp;mode=search",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304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도담동 455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93000</v>
      </c>
      <c r="G1045" s="4" t="n">
        <v>335</v>
      </c>
      <c r="H1045" s="4" t="n">
        <v>101</v>
      </c>
      <c r="I1045" s="5" t="n">
        <v>920.8</v>
      </c>
      <c r="J1045" s="5" t="n">
        <v>358.3</v>
      </c>
      <c r="K1045" s="3" t="inlineStr">
        <is>
          <t>조율가능한 말발굽 위치 좋은 토지 매매, 코너각지</t>
        </is>
      </c>
      <c r="L1045" s="6">
        <f>HYPERLINK("https://fin.land.naver.com/articles/2650427728", "매물Link")</f>
        <v/>
      </c>
      <c r="M1045" s="6">
        <f>HYPERLINK("https://map.naver.com/p/search/도담동 455", "지도Link")</f>
        <v/>
      </c>
      <c r="N1045" s="6">
        <f>HYPERLINK("http://www.eum.go.kr/web/ar/lu/luLandDet.jsp?pnu=3611011400104550000&amp;isNoScr=script&amp;mode=search",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337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소로한면</t>
        </is>
      </c>
    </row>
    <row r="1046">
      <c r="A1046" s="3" t="inlineStr">
        <is>
          <t>도담동 455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93000</v>
      </c>
      <c r="G1046" s="4" t="n">
        <v>337</v>
      </c>
      <c r="H1046" s="4" t="n">
        <v>102</v>
      </c>
      <c r="I1046" s="5" t="n">
        <v>911.8</v>
      </c>
      <c r="J1046" s="5" t="n">
        <v>358.3</v>
      </c>
      <c r="K1046" s="3" t="inlineStr">
        <is>
          <t>102.1p, 코너자리, 말발굽 좋은위치, 조율가능</t>
        </is>
      </c>
      <c r="L1046" s="6">
        <f>HYPERLINK("https://fin.land.naver.com/articles/2654928079", "매물Link")</f>
        <v/>
      </c>
      <c r="M1046" s="6">
        <f>HYPERLINK("https://map.naver.com/p/search/도담동 455", "지도Link")</f>
        <v/>
      </c>
      <c r="N1046" s="6">
        <f>HYPERLINK("http://www.eum.go.kr/web/ar/lu/luLandDet.jsp?pnu=3611011400104550000&amp;isNoScr=script&amp;mode=search",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337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소로한면</t>
        </is>
      </c>
    </row>
    <row r="1047">
      <c r="A1047" s="3" t="inlineStr">
        <is>
          <t>도담동 455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93000</v>
      </c>
      <c r="G1047" s="4" t="n">
        <v>337</v>
      </c>
      <c r="H1047" s="4" t="n">
        <v>102</v>
      </c>
      <c r="I1047" s="5" t="n">
        <v>911.8</v>
      </c>
      <c r="J1047" s="5" t="n">
        <v>358.3</v>
      </c>
      <c r="K1047" s="3" t="inlineStr">
        <is>
          <t>조율가능 반원호내 좋은위치</t>
        </is>
      </c>
      <c r="L1047" s="6">
        <f>HYPERLINK("https://fin.land.naver.com/articles/2654855310", "매물Link")</f>
        <v/>
      </c>
      <c r="M1047" s="6">
        <f>HYPERLINK("https://map.naver.com/p/search/도담동 455", "지도Link")</f>
        <v/>
      </c>
      <c r="N1047" s="6">
        <f>HYPERLINK("http://www.eum.go.kr/web/ar/lu/luLandDet.jsp?pnu=3611011400104550000&amp;isNoScr=script&amp;mode=search",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337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소로한면</t>
        </is>
      </c>
    </row>
    <row r="1048">
      <c r="A1048" s="3" t="inlineStr">
        <is>
          <t>도담동 496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75000</v>
      </c>
      <c r="G1048" s="4" t="n">
        <v>319</v>
      </c>
      <c r="H1048" s="4" t="n">
        <v>96</v>
      </c>
      <c r="I1048" s="5" t="n">
        <v>781.2</v>
      </c>
      <c r="J1048" s="5" t="n">
        <v>366.9</v>
      </c>
      <c r="K1048" s="3" t="inlineStr">
        <is>
          <t>96.9p, 유.초등학교 인근, 삼거리 입지 좋은 토지</t>
        </is>
      </c>
      <c r="L1048" s="6">
        <f>HYPERLINK("https://fin.land.naver.com/articles/2654695944", "매물Link")</f>
        <v/>
      </c>
      <c r="M1048" s="6">
        <f>HYPERLINK("https://map.naver.com/p/search/도담동 496", "지도Link")</f>
        <v/>
      </c>
      <c r="N1048" s="6">
        <f>HYPERLINK("http://www.eum.go.kr/web/ar/lu/luLandDet.jsp?pnu=3611011400104960000&amp;isNoScr=script&amp;mode=search",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319.9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소로한면</t>
        </is>
      </c>
    </row>
    <row r="1049">
      <c r="A1049" s="3" t="inlineStr">
        <is>
          <t>도담동 496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75000</v>
      </c>
      <c r="G1049" s="4" t="n">
        <v>319</v>
      </c>
      <c r="H1049" s="4" t="n">
        <v>96</v>
      </c>
      <c r="I1049" s="5" t="n">
        <v>781.2</v>
      </c>
      <c r="J1049" s="5" t="n">
        <v>366.9</v>
      </c>
      <c r="K1049" s="3" t="inlineStr">
        <is>
          <t>급매 양지초인근 땅모양좋음 공원용지 접함</t>
        </is>
      </c>
      <c r="L1049" s="6">
        <f>HYPERLINK("https://fin.land.naver.com/articles/2655236450", "매물Link")</f>
        <v/>
      </c>
      <c r="M1049" s="6">
        <f>HYPERLINK("https://map.naver.com/p/search/도담동 496", "지도Link")</f>
        <v/>
      </c>
      <c r="N1049" s="6">
        <f>HYPERLINK("http://www.eum.go.kr/web/ar/lu/luLandDet.jsp?pnu=3611011400104960000&amp;isNoScr=script&amp;mode=search", "토지이음")</f>
        <v/>
      </c>
      <c r="O1049" s="3" t="inlineStr">
        <is>
          <t>세종스타</t>
        </is>
      </c>
      <c r="P1049" s="4" t="n">
        <v>2</v>
      </c>
      <c r="Q1049" s="4" t="n">
        <v>319.9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546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80000</v>
      </c>
      <c r="G1050" s="4" t="n">
        <v>329</v>
      </c>
      <c r="H1050" s="4" t="n">
        <v>100</v>
      </c>
      <c r="I1050" s="5" t="n">
        <v>800</v>
      </c>
      <c r="J1050" s="5" t="n">
        <v>366.9</v>
      </c>
      <c r="K1050" s="3" t="inlineStr">
        <is>
          <t>도담동 택지. 초등학교,충남대병원 가까운거리 위치</t>
        </is>
      </c>
      <c r="L1050" s="6">
        <f>HYPERLINK("https://fin.land.naver.com/articles/2650945757", "매물Link")</f>
        <v/>
      </c>
      <c r="M1050" s="6">
        <f>HYPERLINK("https://map.naver.com/p/search/도담동 546", "지도Link")</f>
        <v/>
      </c>
      <c r="N1050" s="6">
        <f>HYPERLINK("http://www.eum.go.kr/web/ar/lu/luLandDet.jsp?pnu=3611011400105460000&amp;isNoScr=script&amp;mode=search",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329.8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소로한면</t>
        </is>
      </c>
    </row>
    <row r="1051">
      <c r="A1051" s="3" t="inlineStr">
        <is>
          <t>도담동 546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80000</v>
      </c>
      <c r="G1051" s="4" t="n">
        <v>329</v>
      </c>
      <c r="H1051" s="4" t="n">
        <v>100</v>
      </c>
      <c r="I1051" s="5" t="n">
        <v>800</v>
      </c>
      <c r="J1051" s="5" t="n">
        <v>366.9</v>
      </c>
      <c r="K1051" s="3" t="inlineStr">
        <is>
          <t>99.9p, 도담동 말발굽택지 중 급매</t>
        </is>
      </c>
      <c r="L1051" s="6">
        <f>HYPERLINK("https://fin.land.naver.com/articles/2654923757", "매물Link")</f>
        <v/>
      </c>
      <c r="M1051" s="6">
        <f>HYPERLINK("https://map.naver.com/p/search/도담동 546", "지도Link")</f>
        <v/>
      </c>
      <c r="N1051" s="6">
        <f>HYPERLINK("http://www.eum.go.kr/web/ar/lu/luLandDet.jsp?pnu=3611011400105460000&amp;isNoScr=script&amp;mode=search",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546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80000</v>
      </c>
      <c r="G1052" s="4" t="n">
        <v>329</v>
      </c>
      <c r="H1052" s="4" t="n">
        <v>100</v>
      </c>
      <c r="I1052" s="5" t="n">
        <v>800</v>
      </c>
      <c r="J1052" s="5" t="n">
        <v>366.9</v>
      </c>
      <c r="K1052" s="3" t="inlineStr">
        <is>
          <t>99.9p, 유.초등학교 인근, 사거리 코너자리</t>
        </is>
      </c>
      <c r="L1052" s="6">
        <f>HYPERLINK("https://fin.land.naver.com/articles/2654709547", "매물Link")</f>
        <v/>
      </c>
      <c r="M1052" s="6">
        <f>HYPERLINK("https://map.naver.com/p/search/도담동 546", "지도Link")</f>
        <v/>
      </c>
      <c r="N1052" s="6">
        <f>HYPERLINK("http://www.eum.go.kr/web/ar/lu/luLandDet.jsp?pnu=3611011400105460000&amp;isNoScr=script&amp;mode=search",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329.8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소로한면</t>
        </is>
      </c>
    </row>
    <row r="1053">
      <c r="A1053" s="3" t="inlineStr">
        <is>
          <t>도담동 561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85000</v>
      </c>
      <c r="G1053" s="4" t="n">
        <v>382</v>
      </c>
      <c r="H1053" s="4" t="n">
        <v>116</v>
      </c>
      <c r="I1053" s="5" t="n">
        <v>732.8</v>
      </c>
      <c r="J1053" s="5" t="n">
        <v>363</v>
      </c>
      <c r="K1053" s="3" t="inlineStr">
        <is>
          <t>말발굽토지 급매, 사거리 코너 최고 입지, 총 116p</t>
        </is>
      </c>
      <c r="L1053" s="6">
        <f>HYPERLINK("https://fin.land.naver.com/articles/2650892606", "매물Link")</f>
        <v/>
      </c>
      <c r="M1053" s="6">
        <f>HYPERLINK("https://map.naver.com/p/search/도담동 561", "지도Link")</f>
        <v/>
      </c>
      <c r="N1053" s="6">
        <f>HYPERLINK("http://www.eum.go.kr/web/ar/lu/luLandDet.jsp?pnu=3611011400105610000&amp;isNoScr=script&amp;mode=search",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382.9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561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85000</v>
      </c>
      <c r="G1054" s="4" t="n">
        <v>382</v>
      </c>
      <c r="H1054" s="4" t="n">
        <v>116</v>
      </c>
      <c r="I1054" s="5" t="n">
        <v>732.8</v>
      </c>
      <c r="J1054" s="5" t="n">
        <v>363</v>
      </c>
      <c r="K1054" s="3" t="inlineStr">
        <is>
          <t>급매, 총 116p, 대형토지, 도담동 말발굽토지, 조율가능</t>
        </is>
      </c>
      <c r="L1054" s="6">
        <f>HYPERLINK("https://fin.land.naver.com/articles/2651944411", "매물Link")</f>
        <v/>
      </c>
      <c r="M1054" s="6">
        <f>HYPERLINK("https://map.naver.com/p/search/도담동 561", "지도Link")</f>
        <v/>
      </c>
      <c r="N1054" s="6">
        <f>HYPERLINK("http://www.eum.go.kr/web/ar/lu/luLandDet.jsp?pnu=3611011400105610000&amp;isNoScr=script&amp;mode=search",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382.9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561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120000</v>
      </c>
      <c r="G1055" s="4" t="n">
        <v>382</v>
      </c>
      <c r="H1055" s="4" t="n">
        <v>116</v>
      </c>
      <c r="I1055" s="5" t="n">
        <v>1034.5</v>
      </c>
      <c r="J1055" s="5" t="n">
        <v>363</v>
      </c>
      <c r="K1055" s="3" t="inlineStr">
        <is>
          <t>nan</t>
        </is>
      </c>
      <c r="L1055" s="6">
        <f>HYPERLINK("https://fin.land.naver.com/articles/2653535457", "매물Link")</f>
        <v/>
      </c>
      <c r="M1055" s="6">
        <f>HYPERLINK("https://map.naver.com/p/search/도담동 561", "지도Link")</f>
        <v/>
      </c>
      <c r="N1055" s="6">
        <f>HYPERLINK("http://www.eum.go.kr/web/ar/lu/luLandDet.jsp?pnu=3611011400105610000&amp;isNoScr=script&amp;mode=search", "토지이음")</f>
        <v/>
      </c>
      <c r="O1055" s="3" t="inlineStr">
        <is>
          <t>세종산울랜드마크</t>
        </is>
      </c>
      <c r="P1055" s="4" t="n">
        <v>3</v>
      </c>
      <c r="Q1055" s="4" t="n">
        <v>382.9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562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110000</v>
      </c>
      <c r="G1056" s="4" t="n">
        <v>329</v>
      </c>
      <c r="H1056" s="4" t="n">
        <v>100</v>
      </c>
      <c r="I1056" s="5" t="n">
        <v>1100</v>
      </c>
      <c r="J1056" s="5" t="n">
        <v>366.9</v>
      </c>
      <c r="K1056" s="3" t="inlineStr">
        <is>
          <t>명성공인, 도담 말발굽자리 위치 좋은 명당 추천 매물</t>
        </is>
      </c>
      <c r="L1056" s="6">
        <f>HYPERLINK("https://fin.land.naver.com/articles/2654659001", "매물Link")</f>
        <v/>
      </c>
      <c r="M1056" s="6">
        <f>HYPERLINK("https://map.naver.com/p/search/도담동 562", "지도Link")</f>
        <v/>
      </c>
      <c r="N1056" s="6">
        <f>HYPERLINK("http://www.eum.go.kr/web/ar/lu/luLandDet.jsp?pnu=3611011400105620000&amp;isNoScr=script&amp;mode=search", "토지이음")</f>
        <v/>
      </c>
      <c r="O1056" s="3" t="inlineStr">
        <is>
          <t>명성</t>
        </is>
      </c>
      <c r="P1056" s="4" t="n">
        <v>1</v>
      </c>
      <c r="Q1056" s="4" t="n">
        <v>329.8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도담동 580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263000</v>
      </c>
      <c r="G1057" s="4" t="n">
        <v>500</v>
      </c>
      <c r="H1057" s="4" t="n">
        <v>151</v>
      </c>
      <c r="I1057" s="5" t="n">
        <v>1741.7</v>
      </c>
      <c r="J1057" s="5" t="n">
        <v>735.9</v>
      </c>
      <c r="K1057" s="3" t="inlineStr">
        <is>
          <t>도담동 근린생활용지 토지매매, 사거리 코너입지</t>
        </is>
      </c>
      <c r="L1057" s="6">
        <f>HYPERLINK("https://fin.land.naver.com/articles/2655487689", "매물Link")</f>
        <v/>
      </c>
      <c r="M1057" s="6">
        <f>HYPERLINK("https://map.naver.com/p/search/도담동 580", "지도Link")</f>
        <v/>
      </c>
      <c r="N1057" s="6">
        <f>HYPERLINK("http://www.eum.go.kr/web/ar/lu/luLandDet.jsp?pnu=3611011400105800000&amp;isNoScr=script&amp;mode=search",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500.6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도담동 580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320000</v>
      </c>
      <c r="G1058" s="4" t="n">
        <v>500</v>
      </c>
      <c r="H1058" s="4" t="n">
        <v>151</v>
      </c>
      <c r="I1058" s="5" t="n">
        <v>2119.2</v>
      </c>
      <c r="J1058" s="5" t="n">
        <v>735.9</v>
      </c>
      <c r="K1058" s="3" t="inlineStr">
        <is>
          <t>명성공인, 도담동 근생용지 추천 매물</t>
        </is>
      </c>
      <c r="L1058" s="6">
        <f>HYPERLINK("https://fin.land.naver.com/articles/2654061409", "매물Link")</f>
        <v/>
      </c>
      <c r="M1058" s="6">
        <f>HYPERLINK("https://map.naver.com/p/search/도담동 580", "지도Link")</f>
        <v/>
      </c>
      <c r="N1058" s="6">
        <f>HYPERLINK("http://www.eum.go.kr/web/ar/lu/luLandDet.jsp?pnu=3611011400105800000&amp;isNoScr=script&amp;mode=search",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500.6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도담동 580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263000</v>
      </c>
      <c r="G1059" s="4" t="n">
        <v>500</v>
      </c>
      <c r="H1059" s="4" t="n">
        <v>151</v>
      </c>
      <c r="I1059" s="5" t="n">
        <v>1741.7</v>
      </c>
      <c r="J1059" s="5" t="n">
        <v>735.9</v>
      </c>
      <c r="K1059" s="3" t="inlineStr">
        <is>
          <t>nan</t>
        </is>
      </c>
      <c r="L1059" s="6">
        <f>HYPERLINK("https://fin.land.naver.com/articles/2653506334", "매물Link")</f>
        <v/>
      </c>
      <c r="M1059" s="6">
        <f>HYPERLINK("https://map.naver.com/p/search/도담동 580", "지도Link")</f>
        <v/>
      </c>
      <c r="N1059" s="6">
        <f>HYPERLINK("http://www.eum.go.kr/web/ar/lu/luLandDet.jsp?pnu=3611011400105800000&amp;isNoScr=script&amp;mode=search", "토지이음")</f>
        <v/>
      </c>
      <c r="O1059" s="3" t="inlineStr">
        <is>
          <t>해밀세종신도시</t>
        </is>
      </c>
      <c r="P1059" s="4" t="n">
        <v>1</v>
      </c>
      <c r="Q1059" s="4" t="n">
        <v>500.6</v>
      </c>
      <c r="R1059" s="3" t="inlineStr">
        <is>
          <t>지정되지않음</t>
        </is>
      </c>
      <c r="S1059" s="3" t="inlineStr">
        <is>
          <t>상업용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도담동 588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85000</v>
      </c>
      <c r="G1060" s="4" t="n">
        <v>348</v>
      </c>
      <c r="H1060" s="4" t="n">
        <v>105</v>
      </c>
      <c r="I1060" s="5" t="n">
        <v>809.5</v>
      </c>
      <c r="J1060" s="5" t="n">
        <v>433.7</v>
      </c>
      <c r="K1060" s="3" t="inlineStr">
        <is>
          <t>도로에 접해 있으며, 위치좋은 단독주택자리, 충남대병원인근</t>
        </is>
      </c>
      <c r="L1060" s="6">
        <f>HYPERLINK("https://fin.land.naver.com/articles/2653269862", "매물Link")</f>
        <v/>
      </c>
      <c r="M1060" s="6">
        <f>HYPERLINK("https://map.naver.com/p/search/도담동 588", "지도Link")</f>
        <v/>
      </c>
      <c r="N1060" s="6">
        <f>HYPERLINK("http://www.eum.go.kr/web/ar/lu/luLandDet.jsp?pnu=3611011400105880000&amp;isNoScr=script&amp;mode=search", "토지이음")</f>
        <v/>
      </c>
      <c r="O1060" s="3" t="inlineStr">
        <is>
          <t>사이다</t>
        </is>
      </c>
      <c r="P1060" s="4" t="n">
        <v>1</v>
      </c>
      <c r="Q1060" s="4" t="n">
        <v>348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620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85000</v>
      </c>
      <c r="G1061" s="4" t="n">
        <v>326</v>
      </c>
      <c r="H1061" s="4" t="n">
        <v>99</v>
      </c>
      <c r="I1061" s="5" t="n">
        <v>858.6</v>
      </c>
      <c r="J1061" s="5" t="n">
        <v>453.2</v>
      </c>
      <c r="K1061" s="3" t="inlineStr">
        <is>
          <t>총 98.9p, 도담동 아파트 단지 옆, 삼거리 코너</t>
        </is>
      </c>
      <c r="L1061" s="6">
        <f>HYPERLINK("https://fin.land.naver.com/articles/2652839523", "매물Link")</f>
        <v/>
      </c>
      <c r="M1061" s="6">
        <f>HYPERLINK("https://map.naver.com/p/search/도담동 620", "지도Link")</f>
        <v/>
      </c>
      <c r="N1061" s="6">
        <f>HYPERLINK("http://www.eum.go.kr/web/ar/lu/luLandDet.jsp?pnu=3611011400106200000&amp;isNoScr=script&amp;mode=search",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326.5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620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85000</v>
      </c>
      <c r="G1062" s="4" t="n">
        <v>326</v>
      </c>
      <c r="H1062" s="4" t="n">
        <v>99</v>
      </c>
      <c r="I1062" s="5" t="n">
        <v>858.6</v>
      </c>
      <c r="J1062" s="5" t="n">
        <v>453.2</v>
      </c>
      <c r="K1062" s="3" t="inlineStr">
        <is>
          <t>적극조율가능 충대병원인근 BRT도보가능</t>
        </is>
      </c>
      <c r="L1062" s="6">
        <f>HYPERLINK("https://fin.land.naver.com/articles/2654978749", "매물Link")</f>
        <v/>
      </c>
      <c r="M1062" s="6">
        <f>HYPERLINK("https://map.naver.com/p/search/도담동 620", "지도Link")</f>
        <v/>
      </c>
      <c r="N1062" s="6">
        <f>HYPERLINK("http://www.eum.go.kr/web/ar/lu/luLandDet.jsp?pnu=3611011400106200000&amp;isNoScr=script&amp;mode=search", "토지이음")</f>
        <v/>
      </c>
      <c r="O1062" s="3" t="inlineStr">
        <is>
          <t>세종스타</t>
        </is>
      </c>
      <c r="P1062" s="4" t="n">
        <v>2</v>
      </c>
      <c r="Q1062" s="4" t="n">
        <v>326.5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620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85000</v>
      </c>
      <c r="G1063" s="4" t="n">
        <v>326</v>
      </c>
      <c r="H1063" s="4" t="n">
        <v>99</v>
      </c>
      <c r="I1063" s="5" t="n">
        <v>858.6</v>
      </c>
      <c r="J1063" s="5" t="n">
        <v>453.2</v>
      </c>
      <c r="K1063" s="3" t="inlineStr">
        <is>
          <t>총 98.9p, 도담동 위치좋은 코너자리 토지</t>
        </is>
      </c>
      <c r="L1063" s="6">
        <f>HYPERLINK("https://fin.land.naver.com/articles/2654898842", "매물Link")</f>
        <v/>
      </c>
      <c r="M1063" s="6">
        <f>HYPERLINK("https://map.naver.com/p/search/도담동 620", "지도Link")</f>
        <v/>
      </c>
      <c r="N1063" s="6">
        <f>HYPERLINK("http://www.eum.go.kr/web/ar/lu/luLandDet.jsp?pnu=3611011400106200000&amp;isNoScr=script&amp;mode=search",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326.5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소로각지</t>
        </is>
      </c>
    </row>
    <row r="1064">
      <c r="A1064" s="3" t="inlineStr">
        <is>
          <t>도담동 693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90000</v>
      </c>
      <c r="G1064" s="4" t="n">
        <v>319</v>
      </c>
      <c r="H1064" s="4" t="n">
        <v>96</v>
      </c>
      <c r="I1064" s="5" t="n">
        <v>937.5</v>
      </c>
      <c r="J1064" s="5" t="n">
        <v>382.1</v>
      </c>
      <c r="K1064" s="3" t="inlineStr">
        <is>
          <t>위치최상 정남향 늘봄초앞 남북트인곳</t>
        </is>
      </c>
      <c r="L1064" s="6">
        <f>HYPERLINK("https://fin.land.naver.com/articles/2653670273", "매물Link")</f>
        <v/>
      </c>
      <c r="M1064" s="6">
        <f>HYPERLINK("https://map.naver.com/p/search/도담동 693", "지도Link")</f>
        <v/>
      </c>
      <c r="N1064" s="6">
        <f>HYPERLINK("http://www.eum.go.kr/web/ar/lu/luLandDet.jsp?pnu=3611011400106930000&amp;isNoScr=script&amp;mode=search",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319.6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705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84000</v>
      </c>
      <c r="G1065" s="4" t="n">
        <v>276</v>
      </c>
      <c r="H1065" s="4" t="n">
        <v>83</v>
      </c>
      <c r="I1065" s="5" t="n">
        <v>1012</v>
      </c>
      <c r="J1065" s="5" t="n">
        <v>382.1</v>
      </c>
      <c r="K1065" s="3" t="inlineStr">
        <is>
          <t>조율가능 남향 늘봄초앞 BRT도보가능</t>
        </is>
      </c>
      <c r="L1065" s="6">
        <f>HYPERLINK("https://fin.land.naver.com/articles/2652943779", "매물Link")</f>
        <v/>
      </c>
      <c r="M1065" s="6">
        <f>HYPERLINK("https://map.naver.com/p/search/도담동 705", "지도Link")</f>
        <v/>
      </c>
      <c r="N1065" s="6">
        <f>HYPERLINK("http://www.eum.go.kr/web/ar/lu/luLandDet.jsp?pnu=3611011400107050000&amp;isNoScr=script&amp;mode=search",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276.9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도담동 712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87000</v>
      </c>
      <c r="G1066" s="4" t="n">
        <v>276</v>
      </c>
      <c r="H1066" s="4" t="n">
        <v>83</v>
      </c>
      <c r="I1066" s="5" t="n">
        <v>1048.2</v>
      </c>
      <c r="J1066" s="5" t="n">
        <v>394</v>
      </c>
      <c r="K1066" s="3" t="inlineStr">
        <is>
          <t>삼거리 코너 입지, 도담동 단독주택 매매</t>
        </is>
      </c>
      <c r="L1066" s="6">
        <f>HYPERLINK("https://fin.land.naver.com/articles/2654218536", "매물Link")</f>
        <v/>
      </c>
      <c r="M1066" s="6">
        <f>HYPERLINK("https://map.naver.com/p/search/도담동 712", "지도Link")</f>
        <v/>
      </c>
      <c r="N1066" s="6">
        <f>HYPERLINK("http://www.eum.go.kr/web/ar/lu/luLandDet.jsp?pnu=3611011400107120000&amp;isNoScr=script&amp;mode=search",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276.5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712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87000</v>
      </c>
      <c r="G1067" s="4" t="n">
        <v>276</v>
      </c>
      <c r="H1067" s="4" t="n">
        <v>83</v>
      </c>
      <c r="I1067" s="5" t="n">
        <v>1048.2</v>
      </c>
      <c r="J1067" s="5" t="n">
        <v>394</v>
      </c>
      <c r="K1067" s="3" t="inlineStr">
        <is>
          <t>도담동 입지 좋은 단독주택지, 조율가능</t>
        </is>
      </c>
      <c r="L1067" s="6">
        <f>HYPERLINK("https://fin.land.naver.com/articles/2654049634", "매물Link")</f>
        <v/>
      </c>
      <c r="M1067" s="6">
        <f>HYPERLINK("https://map.naver.com/p/search/도담동 712", "지도Link")</f>
        <v/>
      </c>
      <c r="N1067" s="6">
        <f>HYPERLINK("http://www.eum.go.kr/web/ar/lu/luLandDet.jsp?pnu=3611011400107120000&amp;isNoScr=script&amp;mode=search",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276.5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 근린생활용지</t>
        </is>
      </c>
      <c r="L1068" s="6">
        <f>HYPERLINK("https://fin.land.naver.com/articles/2653002307",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OK세종 사무소</t>
        </is>
      </c>
      <c r="P1068" s="4" t="n">
        <v>2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716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175000</v>
      </c>
      <c r="G1069" s="4" t="n">
        <v>420</v>
      </c>
      <c r="H1069" s="4" t="n">
        <v>127</v>
      </c>
      <c r="I1069" s="5" t="n">
        <v>1378</v>
      </c>
      <c r="J1069" s="5" t="n">
        <v>796</v>
      </c>
      <c r="K1069" s="3" t="inlineStr">
        <is>
          <t>입지 좋은 도담동 근린생활용지 토지 매매, 대로변</t>
        </is>
      </c>
      <c r="L1069" s="6">
        <f>HYPERLINK("https://fin.land.naver.com/articles/2655487648", "매물Link")</f>
        <v/>
      </c>
      <c r="M1069" s="6">
        <f>HYPERLINK("https://map.naver.com/p/search/도담동 716", "지도Link")</f>
        <v/>
      </c>
      <c r="N1069" s="6">
        <f>HYPERLINK("http://www.eum.go.kr/web/ar/lu/luLandDet.jsp?pnu=3611011400107160000&amp;isNoScr=script&amp;mode=search",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420.4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소로각지</t>
        </is>
      </c>
    </row>
    <row r="1070">
      <c r="A1070" s="3" t="inlineStr">
        <is>
          <t>도담동 716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175000</v>
      </c>
      <c r="G1070" s="4" t="n">
        <v>420</v>
      </c>
      <c r="H1070" s="4" t="n">
        <v>127</v>
      </c>
      <c r="I1070" s="5" t="n">
        <v>1378</v>
      </c>
      <c r="J1070" s="5" t="n">
        <v>796</v>
      </c>
      <c r="K1070" s="3" t="inlineStr">
        <is>
          <t>도담동 입지우수한 근생 용지 부지, 매매의사 확실,가격조율가능</t>
        </is>
      </c>
      <c r="L1070" s="6">
        <f>HYPERLINK("https://fin.land.naver.com/articles/2653451371", "매물Link")</f>
        <v/>
      </c>
      <c r="M1070" s="6">
        <f>HYPERLINK("https://map.naver.com/p/search/도담동 716", "지도Link")</f>
        <v/>
      </c>
      <c r="N1070" s="6">
        <f>HYPERLINK("http://www.eum.go.kr/web/ar/lu/luLandDet.jsp?pnu=3611011400107160000&amp;isNoScr=script&amp;mode=search", "토지이음")</f>
        <v/>
      </c>
      <c r="O1070" s="3" t="inlineStr">
        <is>
          <t>짱</t>
        </is>
      </c>
      <c r="P1070" s="4" t="n">
        <v>1</v>
      </c>
      <c r="Q1070" s="4" t="n">
        <v>420.4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도담동 716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175000</v>
      </c>
      <c r="G1071" s="4" t="n">
        <v>420</v>
      </c>
      <c r="H1071" s="4" t="n">
        <v>127</v>
      </c>
      <c r="I1071" s="5" t="n">
        <v>1378</v>
      </c>
      <c r="J1071" s="5" t="n">
        <v>796</v>
      </c>
      <c r="K1071" s="3" t="inlineStr">
        <is>
          <t>도담동근생용지 주변입지좋아요. 가격조정가능</t>
        </is>
      </c>
      <c r="L1071" s="6">
        <f>HYPERLINK("https://fin.land.naver.com/articles/2650454199", "매물Link")</f>
        <v/>
      </c>
      <c r="M1071" s="6">
        <f>HYPERLINK("https://map.naver.com/p/search/도담동 716", "지도Link")</f>
        <v/>
      </c>
      <c r="N1071" s="6">
        <f>HYPERLINK("http://www.eum.go.kr/web/ar/lu/luLandDet.jsp?pnu=3611011400107160000&amp;isNoScr=script&amp;mode=search", "토지이음")</f>
        <v/>
      </c>
      <c r="O1071" s="3" t="inlineStr">
        <is>
          <t>고운동리치세종</t>
        </is>
      </c>
      <c r="P1071" s="4" t="n">
        <v>1</v>
      </c>
      <c r="Q1071" s="4" t="n">
        <v>420.4</v>
      </c>
      <c r="R1071" s="3" t="inlineStr">
        <is>
          <t>지정되지않음</t>
        </is>
      </c>
      <c r="S1071" s="3" t="inlineStr">
        <is>
          <t>상업용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도담동 730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77000</v>
      </c>
      <c r="G1072" s="4" t="n">
        <v>319</v>
      </c>
      <c r="H1072" s="4" t="n">
        <v>96</v>
      </c>
      <c r="I1072" s="5" t="n">
        <v>802.1</v>
      </c>
      <c r="J1072" s="5" t="n">
        <v>382.1</v>
      </c>
      <c r="K1072" s="3" t="inlineStr">
        <is>
          <t>급매 도담동 최고입지 프라이버스 완벽하고 지대높은 위치최상</t>
        </is>
      </c>
      <c r="L1072" s="6">
        <f>HYPERLINK("https://fin.land.naver.com/articles/2651087923", "매물Link")</f>
        <v/>
      </c>
      <c r="M1072" s="6">
        <f>HYPERLINK("https://map.naver.com/p/search/도담동 730", "지도Link")</f>
        <v/>
      </c>
      <c r="N1072" s="6">
        <f>HYPERLINK("http://www.eum.go.kr/web/ar/lu/luLandDet.jsp?pnu=3611011400107300000&amp;isNoScr=script&amp;mode=search", "토지이음")</f>
        <v/>
      </c>
      <c r="O1072" s="3" t="inlineStr">
        <is>
          <t>세종스타</t>
        </is>
      </c>
      <c r="P1072" s="4" t="n">
        <v>1</v>
      </c>
      <c r="Q1072" s="4" t="n">
        <v>319.5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757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92000</v>
      </c>
      <c r="G1073" s="4" t="n">
        <v>324</v>
      </c>
      <c r="H1073" s="4" t="n">
        <v>98</v>
      </c>
      <c r="I1073" s="5" t="n">
        <v>938.8</v>
      </c>
      <c r="J1073" s="5" t="n">
        <v>410.6</v>
      </c>
      <c r="K1073" s="3" t="inlineStr">
        <is>
          <t>홈플러스와 충대병원사이에 위치함 3면코너각지 청사및체육시설근거리이용</t>
        </is>
      </c>
      <c r="L1073" s="6">
        <f>HYPERLINK("https://fin.land.naver.com/articles/2653646623", "매물Link")</f>
        <v/>
      </c>
      <c r="M1073" s="6">
        <f>HYPERLINK("https://map.naver.com/p/search/도담동 757", "지도Link")</f>
        <v/>
      </c>
      <c r="N1073" s="6">
        <f>HYPERLINK("http://www.eum.go.kr/web/ar/lu/luLandDet.jsp?pnu=3611011400107570000&amp;isNoScr=script&amp;mode=search", "토지이음")</f>
        <v/>
      </c>
      <c r="O1073" s="3" t="inlineStr">
        <is>
          <t>세종마당</t>
        </is>
      </c>
      <c r="P1073" s="4" t="n">
        <v>1</v>
      </c>
      <c r="Q1073" s="4" t="n">
        <v>324.6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소로각지</t>
        </is>
      </c>
    </row>
    <row r="1074">
      <c r="A1074" s="3" t="inlineStr">
        <is>
          <t>도담동 763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80000</v>
      </c>
      <c r="G1074" s="4" t="n">
        <v>295</v>
      </c>
      <c r="H1074" s="4" t="n">
        <v>89</v>
      </c>
      <c r="I1074" s="5" t="n">
        <v>898.9</v>
      </c>
      <c r="J1074" s="5" t="n">
        <v>410.6</v>
      </c>
      <c r="K1074" s="3" t="inlineStr">
        <is>
          <t>최적의 위치,정남향으로 단독주택수있는 예쁜 토지</t>
        </is>
      </c>
      <c r="L1074" s="6">
        <f>HYPERLINK("https://fin.land.naver.com/articles/2652106915", "매물Link")</f>
        <v/>
      </c>
      <c r="M1074" s="6">
        <f>HYPERLINK("https://map.naver.com/p/search/도담동 763", "지도Link")</f>
        <v/>
      </c>
      <c r="N1074" s="6">
        <f>HYPERLINK("http://www.eum.go.kr/web/ar/lu/luLandDet.jsp?pnu=3611011400107630000&amp;isNoScr=script&amp;mode=search", "토지이음")</f>
        <v/>
      </c>
      <c r="O1074" s="3" t="inlineStr">
        <is>
          <t>대한</t>
        </is>
      </c>
      <c r="P1074" s="4" t="n">
        <v>2</v>
      </c>
      <c r="Q1074" s="4" t="n">
        <v>295.5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763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80000</v>
      </c>
      <c r="G1075" s="4" t="n">
        <v>295</v>
      </c>
      <c r="H1075" s="4" t="n">
        <v>89</v>
      </c>
      <c r="I1075" s="5" t="n">
        <v>898.9</v>
      </c>
      <c r="J1075" s="5" t="n">
        <v>410.6</v>
      </c>
      <c r="K1075" s="3" t="inlineStr">
        <is>
          <t>입지 좋은 도담동 단독주택 토지매매</t>
        </is>
      </c>
      <c r="L1075" s="6">
        <f>HYPERLINK("https://fin.land.naver.com/articles/2650427773", "매물Link")</f>
        <v/>
      </c>
      <c r="M1075" s="6">
        <f>HYPERLINK("https://map.naver.com/p/search/도담동 763", "지도Link")</f>
        <v/>
      </c>
      <c r="N1075" s="6">
        <f>HYPERLINK("http://www.eum.go.kr/web/ar/lu/luLandDet.jsp?pnu=3611011400107630000&amp;isNoScr=script&amp;mode=search",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295.5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소로각지</t>
        </is>
      </c>
    </row>
    <row r="1076">
      <c r="A1076" s="3" t="inlineStr">
        <is>
          <t>도담동 763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80000</v>
      </c>
      <c r="G1076" s="4" t="n">
        <v>295</v>
      </c>
      <c r="H1076" s="4" t="n">
        <v>89</v>
      </c>
      <c r="I1076" s="5" t="n">
        <v>898.9</v>
      </c>
      <c r="J1076" s="5" t="n">
        <v>410.6</v>
      </c>
      <c r="K1076" s="3" t="inlineStr">
        <is>
          <t>89.5p, 사거리 코너 입지, 위치 굿, 단지 바로 앞</t>
        </is>
      </c>
      <c r="L1076" s="6">
        <f>HYPERLINK("https://fin.land.naver.com/articles/2654220003", "매물Link")</f>
        <v/>
      </c>
      <c r="M1076" s="6">
        <f>HYPERLINK("https://map.naver.com/p/search/도담동 763", "지도Link")</f>
        <v/>
      </c>
      <c r="N1076" s="6">
        <f>HYPERLINK("http://www.eum.go.kr/web/ar/lu/luLandDet.jsp?pnu=3611011400107630000&amp;isNoScr=script&amp;mode=search",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295.5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소로각지</t>
        </is>
      </c>
    </row>
    <row r="1077">
      <c r="A1077" s="3" t="inlineStr">
        <is>
          <t>도담동 776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97000</v>
      </c>
      <c r="G1077" s="4" t="n">
        <v>321</v>
      </c>
      <c r="H1077" s="4" t="n">
        <v>97</v>
      </c>
      <c r="I1077" s="5" t="n">
        <v>1000</v>
      </c>
      <c r="J1077" s="5" t="n">
        <v>406.6</v>
      </c>
      <c r="K1077" s="3" t="inlineStr">
        <is>
          <t>생명나무,도담동 홈플러스 근접거리  귀한 단독주택자리</t>
        </is>
      </c>
      <c r="L1077" s="6">
        <f>HYPERLINK("https://fin.land.naver.com/articles/2651385820", "매물Link")</f>
        <v/>
      </c>
      <c r="M1077" s="6">
        <f>HYPERLINK("https://map.naver.com/p/search/도담동 776", "지도Link")</f>
        <v/>
      </c>
      <c r="N1077" s="6">
        <f>HYPERLINK("http://www.eum.go.kr/web/ar/lu/luLandDet.jsp?pnu=3611011400107760000&amp;isNoScr=script&amp;mode=search", "토지이음")</f>
        <v/>
      </c>
      <c r="O1077" s="3" t="inlineStr">
        <is>
          <t>생명나무</t>
        </is>
      </c>
      <c r="P1077" s="4" t="n">
        <v>1</v>
      </c>
      <c r="Q1077" s="4" t="n">
        <v>321.7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소로각지</t>
        </is>
      </c>
    </row>
    <row r="1078">
      <c r="A1078" s="3" t="inlineStr">
        <is>
          <t>도담동 778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95000</v>
      </c>
      <c r="G1078" s="4" t="n">
        <v>320</v>
      </c>
      <c r="H1078" s="4" t="n">
        <v>97</v>
      </c>
      <c r="I1078" s="5" t="n">
        <v>979.4</v>
      </c>
      <c r="J1078" s="5" t="n">
        <v>391.1</v>
      </c>
      <c r="K1078" s="3" t="inlineStr">
        <is>
          <t>홈플러스 가까운 도담동 위치좋은 주택지</t>
        </is>
      </c>
      <c r="L1078" s="6">
        <f>HYPERLINK("https://fin.land.naver.com/articles/2653001478", "매물Link")</f>
        <v/>
      </c>
      <c r="M1078" s="6">
        <f>HYPERLINK("https://map.naver.com/p/search/도담동 778", "지도Link")</f>
        <v/>
      </c>
      <c r="N1078" s="6">
        <f>HYPERLINK("http://www.eum.go.kr/web/ar/lu/luLandDet.jsp?pnu=3611011400107780000&amp;isNoScr=script&amp;mode=search",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320.6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779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90000</v>
      </c>
      <c r="G1079" s="4" t="n">
        <v>320</v>
      </c>
      <c r="H1079" s="4" t="n">
        <v>97</v>
      </c>
      <c r="I1079" s="5" t="n">
        <v>927.8</v>
      </c>
      <c r="J1079" s="5" t="n">
        <v>410.6</v>
      </c>
      <c r="K1079" s="3" t="inlineStr">
        <is>
          <t>BRT라인 상권,방축천 라인,청사,홈플러스,충대병원과 근접한 생활권 위치</t>
        </is>
      </c>
      <c r="L1079" s="6">
        <f>HYPERLINK("https://fin.land.naver.com/articles/2652105304", "매물Link")</f>
        <v/>
      </c>
      <c r="M1079" s="6">
        <f>HYPERLINK("https://map.naver.com/p/search/도담동 779", "지도Link")</f>
        <v/>
      </c>
      <c r="N1079" s="6">
        <f>HYPERLINK("http://www.eum.go.kr/web/ar/lu/luLandDet.jsp?pnu=3611011400107790000&amp;isNoScr=script&amp;mode=search", "토지이음")</f>
        <v/>
      </c>
      <c r="O1079" s="3" t="inlineStr">
        <is>
          <t>세종웅진</t>
        </is>
      </c>
      <c r="P1079" s="4" t="n">
        <v>1</v>
      </c>
      <c r="Q1079" s="4" t="n">
        <v>320.6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784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77000</v>
      </c>
      <c r="G1080" s="4" t="n">
        <v>341</v>
      </c>
      <c r="H1080" s="4" t="n">
        <v>103</v>
      </c>
      <c r="I1080" s="5" t="n">
        <v>747.6</v>
      </c>
      <c r="J1080" s="5" t="n">
        <v>410.6</v>
      </c>
      <c r="K1080" s="3" t="inlineStr">
        <is>
          <t>코너 유치원 홈플러스 늘봄초인근 조율가능</t>
        </is>
      </c>
      <c r="L1080" s="6">
        <f>HYPERLINK("https://fin.land.naver.com/articles/2655236017", "매물Link")</f>
        <v/>
      </c>
      <c r="M1080" s="6">
        <f>HYPERLINK("https://map.naver.com/p/search/도담동 784", "지도Link")</f>
        <v/>
      </c>
      <c r="N1080" s="6">
        <f>HYPERLINK("http://www.eum.go.kr/web/ar/lu/luLandDet.jsp?pnu=3611011400107840000&amp;isNoScr=script&amp;mode=search",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341.5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소로각지</t>
        </is>
      </c>
    </row>
    <row r="1081">
      <c r="A1081" s="3" t="inlineStr">
        <is>
          <t>도담동 784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77000</v>
      </c>
      <c r="G1081" s="4" t="n">
        <v>341</v>
      </c>
      <c r="H1081" s="4" t="n">
        <v>103</v>
      </c>
      <c r="I1081" s="5" t="n">
        <v>747.6</v>
      </c>
      <c r="J1081" s="5" t="n">
        <v>410.6</v>
      </c>
      <c r="K1081" s="3" t="inlineStr">
        <is>
          <t>도담동 생활권 입지 좋은 단독주택지 매매</t>
        </is>
      </c>
      <c r="L1081" s="6">
        <f>HYPERLINK("https://fin.land.naver.com/articles/2653567685", "매물Link")</f>
        <v/>
      </c>
      <c r="M1081" s="6">
        <f>HYPERLINK("https://map.naver.com/p/search/도담동 784", "지도Link")</f>
        <v/>
      </c>
      <c r="N1081" s="6">
        <f>HYPERLINK("http://www.eum.go.kr/web/ar/lu/luLandDet.jsp?pnu=3611011400107840000&amp;isNoScr=script&amp;mode=search",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341.5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소로각지</t>
        </is>
      </c>
    </row>
    <row r="1082">
      <c r="A1082" s="3" t="inlineStr">
        <is>
          <t>도담동 784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77000</v>
      </c>
      <c r="G1082" s="4" t="n">
        <v>341</v>
      </c>
      <c r="H1082" s="4" t="n">
        <v>103</v>
      </c>
      <c r="I1082" s="5" t="n">
        <v>747.6</v>
      </c>
      <c r="J1082" s="5" t="n">
        <v>410.6</v>
      </c>
      <c r="K1082" s="3" t="inlineStr">
        <is>
          <t>사거리 코너, 생활권 좋은 위치 단독주택지</t>
        </is>
      </c>
      <c r="L1082" s="6">
        <f>HYPERLINK("https://fin.land.naver.com/articles/2653681062", "매물Link")</f>
        <v/>
      </c>
      <c r="M1082" s="6">
        <f>HYPERLINK("https://map.naver.com/p/search/도담동 784", "지도Link")</f>
        <v/>
      </c>
      <c r="N1082" s="6">
        <f>HYPERLINK("http://www.eum.go.kr/web/ar/lu/luLandDet.jsp?pnu=3611011400107840000&amp;isNoScr=script&amp;mode=search",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341.5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소로각지</t>
        </is>
      </c>
    </row>
    <row r="1083">
      <c r="A1083" s="3" t="inlineStr">
        <is>
          <t>도담동 790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104000</v>
      </c>
      <c r="G1083" s="4" t="n">
        <v>342</v>
      </c>
      <c r="H1083" s="4" t="n">
        <v>103</v>
      </c>
      <c r="I1083" s="5" t="n">
        <v>1009.7</v>
      </c>
      <c r="J1083" s="5" t="n">
        <v>410.6</v>
      </c>
      <c r="K1083" s="3" t="inlineStr">
        <is>
          <t>103.7p, 단지 맞은편, 유치원 인근</t>
        </is>
      </c>
      <c r="L1083" s="6">
        <f>HYPERLINK("https://fin.land.naver.com/articles/2654716583", "매물Link")</f>
        <v/>
      </c>
      <c r="M1083" s="6">
        <f>HYPERLINK("https://map.naver.com/p/search/도담동 790", "지도Link")</f>
        <v/>
      </c>
      <c r="N1083" s="6">
        <f>HYPERLINK("http://www.eum.go.kr/web/ar/lu/luLandDet.jsp?pnu=3611011400107900000&amp;isNoScr=script&amp;mode=search", "토지이음")</f>
        <v/>
      </c>
      <c r="O1083" s="3" t="inlineStr">
        <is>
          <t>세종무지개</t>
        </is>
      </c>
      <c r="P1083" s="4" t="n">
        <v>1</v>
      </c>
      <c r="Q1083" s="4" t="n">
        <v>342.1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소로각지</t>
        </is>
      </c>
    </row>
    <row r="1084">
      <c r="A1084" s="3" t="inlineStr">
        <is>
          <t>도담동 790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104000</v>
      </c>
      <c r="G1084" s="4" t="n">
        <v>342</v>
      </c>
      <c r="H1084" s="4" t="n">
        <v>103</v>
      </c>
      <c r="I1084" s="5" t="n">
        <v>1009.7</v>
      </c>
      <c r="J1084" s="5" t="n">
        <v>410.6</v>
      </c>
      <c r="K1084" s="3" t="inlineStr">
        <is>
          <t>총 103.7p, 정남향, 충대병원 홈플러스 인근</t>
        </is>
      </c>
      <c r="L1084" s="6">
        <f>HYPERLINK("https://fin.land.naver.com/articles/2653683816", "매물Link")</f>
        <v/>
      </c>
      <c r="M1084" s="6">
        <f>HYPERLINK("https://map.naver.com/p/search/도담동 790", "지도Link")</f>
        <v/>
      </c>
      <c r="N1084" s="6">
        <f>HYPERLINK("http://www.eum.go.kr/web/ar/lu/luLandDet.jsp?pnu=3611011400107900000&amp;isNoScr=script&amp;mode=search",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342.1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소로각지</t>
        </is>
      </c>
    </row>
    <row r="1085">
      <c r="A1085" s="3" t="inlineStr">
        <is>
          <t>도담동 808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62500</v>
      </c>
      <c r="G1085" s="4" t="n">
        <v>318</v>
      </c>
      <c r="H1085" s="4" t="n">
        <v>96</v>
      </c>
      <c r="I1085" s="5" t="n">
        <v>651</v>
      </c>
      <c r="J1085" s="5" t="n">
        <v>391.1</v>
      </c>
      <c r="K1085" s="3" t="inlineStr">
        <is>
          <t>급매 도로접한 모양좋은 대지  홈플러스 청사인접</t>
        </is>
      </c>
      <c r="L1085" s="6">
        <f>HYPERLINK("https://fin.land.naver.com/articles/2651702853", "매물Link")</f>
        <v/>
      </c>
      <c r="M1085" s="6">
        <f>HYPERLINK("https://map.naver.com/p/search/도담동 808", "지도Link")</f>
        <v/>
      </c>
      <c r="N1085" s="6">
        <f>HYPERLINK("http://www.eum.go.kr/web/ar/lu/luLandDet.jsp?pnu=3611011400108080000&amp;isNoScr=script&amp;mode=search", "토지이음")</f>
        <v/>
      </c>
      <c r="O1085" s="3" t="inlineStr">
        <is>
          <t>예예</t>
        </is>
      </c>
      <c r="P1085" s="4" t="n">
        <v>1</v>
      </c>
      <c r="Q1085" s="4" t="n">
        <v>318.7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813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95000</v>
      </c>
      <c r="G1086" s="4" t="n">
        <v>333</v>
      </c>
      <c r="H1086" s="4" t="n">
        <v>101</v>
      </c>
      <c r="I1086" s="5" t="n">
        <v>940.6</v>
      </c>
      <c r="J1086" s="5" t="n">
        <v>391.1</v>
      </c>
      <c r="K1086" s="3" t="inlineStr">
        <is>
          <t>도담동 위치좋은 주택지</t>
        </is>
      </c>
      <c r="L1086" s="6">
        <f>HYPERLINK("https://fin.land.naver.com/articles/2653001833", "매물Link")</f>
        <v/>
      </c>
      <c r="M1086" s="6">
        <f>HYPERLINK("https://map.naver.com/p/search/도담동 813", "지도Link")</f>
        <v/>
      </c>
      <c r="N1086" s="6">
        <f>HYPERLINK("http://www.eum.go.kr/web/ar/lu/luLandDet.jsp?pnu=3611011400108130000&amp;isNoScr=script&amp;mode=search", "토지이음")</f>
        <v/>
      </c>
      <c r="O1086" s="3" t="inlineStr">
        <is>
          <t>OK세종 사무소</t>
        </is>
      </c>
      <c r="P1086" s="4" t="n">
        <v>1</v>
      </c>
      <c r="Q1086" s="4" t="n">
        <v>333.7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824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100000</v>
      </c>
      <c r="G1087" s="4" t="n">
        <v>313</v>
      </c>
      <c r="H1087" s="4" t="n">
        <v>95</v>
      </c>
      <c r="I1087" s="5" t="n">
        <v>1052.6</v>
      </c>
      <c r="J1087" s="5" t="n">
        <v>391.1</v>
      </c>
      <c r="K1087" s="3" t="inlineStr">
        <is>
          <t>남향필지 최선호지역 BRT도보가능 홈플러스인근</t>
        </is>
      </c>
      <c r="L1087" s="6">
        <f>HYPERLINK("https://fin.land.naver.com/articles/2654654235", "매물Link")</f>
        <v/>
      </c>
      <c r="M1087" s="6">
        <f>HYPERLINK("https://map.naver.com/p/search/도담동 824", "지도Link")</f>
        <v/>
      </c>
      <c r="N1087" s="6">
        <f>HYPERLINK("http://www.eum.go.kr/web/ar/lu/luLandDet.jsp?pnu=3611011400108240000&amp;isNoScr=script&amp;mode=search",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313.1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소로한면</t>
        </is>
      </c>
    </row>
    <row r="1088">
      <c r="A1088" s="3" t="inlineStr">
        <is>
          <t>도담동 837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90000</v>
      </c>
      <c r="G1088" s="4" t="n">
        <v>315</v>
      </c>
      <c r="H1088" s="4" t="n">
        <v>95</v>
      </c>
      <c r="I1088" s="5" t="n">
        <v>947.4</v>
      </c>
      <c r="J1088" s="5" t="n">
        <v>391.1</v>
      </c>
      <c r="K1088" s="3" t="inlineStr">
        <is>
          <t>95.7p, 도담동 홈플러스인근, 단독주택 토지매매</t>
        </is>
      </c>
      <c r="L1088" s="6">
        <f>HYPERLINK("https://fin.land.naver.com/articles/2654892301", "매물Link")</f>
        <v/>
      </c>
      <c r="M1088" s="6">
        <f>HYPERLINK("https://map.naver.com/p/search/도담동 837", "지도Link")</f>
        <v/>
      </c>
      <c r="N1088" s="6">
        <f>HYPERLINK("http://www.eum.go.kr/web/ar/lu/luLandDet.jsp?pnu=3611011400108370000&amp;isNoScr=script&amp;mode=search", "토지이음")</f>
        <v/>
      </c>
      <c r="O1088" s="3" t="inlineStr">
        <is>
          <t>명진</t>
        </is>
      </c>
      <c r="P1088" s="4" t="n">
        <v>1</v>
      </c>
      <c r="Q1088" s="4" t="n">
        <v>315.9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소로한면</t>
        </is>
      </c>
    </row>
    <row r="1089">
      <c r="A1089" s="3" t="inlineStr">
        <is>
          <t>도담동 837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70000</v>
      </c>
      <c r="G1089" s="4" t="n">
        <v>315</v>
      </c>
      <c r="H1089" s="4" t="n">
        <v>95</v>
      </c>
      <c r="I1089" s="5" t="n">
        <v>736.8</v>
      </c>
      <c r="J1089" s="5" t="n">
        <v>391.1</v>
      </c>
      <c r="K1089" s="3" t="inlineStr">
        <is>
          <t>강추매물, 가격좋은 토지, 홈플인접</t>
        </is>
      </c>
      <c r="L1089" s="6">
        <f>HYPERLINK("https://fin.land.naver.com/articles/2651289273", "매물Link")</f>
        <v/>
      </c>
      <c r="M1089" s="6">
        <f>HYPERLINK("https://map.naver.com/p/search/도담동 837", "지도Link")</f>
        <v/>
      </c>
      <c r="N1089" s="6">
        <f>HYPERLINK("http://www.eum.go.kr/web/ar/lu/luLandDet.jsp?pnu=3611011400108370000&amp;isNoScr=script&amp;mode=search",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315.9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837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90000</v>
      </c>
      <c r="G1090" s="4" t="n">
        <v>315</v>
      </c>
      <c r="H1090" s="4" t="n">
        <v>95</v>
      </c>
      <c r="I1090" s="5" t="n">
        <v>947.4</v>
      </c>
      <c r="J1090" s="5" t="n">
        <v>391.1</v>
      </c>
      <c r="K1090" s="3" t="inlineStr">
        <is>
          <t>도담동 위치 좋은 단독주택, 홈플러스 인근</t>
        </is>
      </c>
      <c r="L1090" s="6">
        <f>HYPERLINK("https://fin.land.naver.com/articles/2650892389", "매물Link")</f>
        <v/>
      </c>
      <c r="M1090" s="6">
        <f>HYPERLINK("https://map.naver.com/p/search/도담동 837", "지도Link")</f>
        <v/>
      </c>
      <c r="N1090" s="6">
        <f>HYPERLINK("http://www.eum.go.kr/web/ar/lu/luLandDet.jsp?pnu=3611011400108370000&amp;isNoScr=script&amp;mode=search",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315.9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897-1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140000</v>
      </c>
      <c r="G1091" s="4" t="n">
        <v>400</v>
      </c>
      <c r="H1091" s="4" t="n">
        <v>121</v>
      </c>
      <c r="I1091" s="5" t="n">
        <v>1157</v>
      </c>
      <c r="J1091" s="5" t="n">
        <v>353.1</v>
      </c>
      <c r="K1091" s="3" t="inlineStr">
        <is>
          <t>트로아힐스 건축 가능한 토지 매매</t>
        </is>
      </c>
      <c r="L1091" s="6">
        <f>HYPERLINK("https://fin.land.naver.com/articles/2655037406", "매물Link")</f>
        <v/>
      </c>
      <c r="M1091" s="6">
        <f>HYPERLINK("https://map.naver.com/p/search/도담동 897-1", "지도Link")</f>
        <v/>
      </c>
      <c r="N1091" s="6">
        <f>HYPERLINK("http://www.eum.go.kr/web/ar/lu/luLandDet.jsp?pnu=3611011400108970001&amp;isNoScr=script&amp;mode=search",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400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897-18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400</v>
      </c>
      <c r="H1092" s="4" t="n">
        <v>121</v>
      </c>
      <c r="I1092" s="5" t="n">
        <v>1157</v>
      </c>
      <c r="J1092" s="5" t="n">
        <v>356.7</v>
      </c>
      <c r="K1092" s="3" t="inlineStr">
        <is>
          <t>세종 고급 타운하우스 선호 필지 매매</t>
        </is>
      </c>
      <c r="L1092" s="6">
        <f>HYPERLINK("https://fin.land.naver.com/articles/2655037336", "매물Link")</f>
        <v/>
      </c>
      <c r="M1092" s="6">
        <f>HYPERLINK("https://map.naver.com/p/search/도담동 897-18", "지도Link")</f>
        <v/>
      </c>
      <c r="N1092" s="6">
        <f>HYPERLINK("http://www.eum.go.kr/web/ar/lu/luLandDet.jsp?pnu=3611011400108970018&amp;isNoScr=script&amp;mode=search",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400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소로한면</t>
        </is>
      </c>
    </row>
    <row r="1093">
      <c r="A1093" s="3" t="inlineStr">
        <is>
          <t>도담동 897-24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150000</v>
      </c>
      <c r="G1093" s="4" t="n">
        <v>400</v>
      </c>
      <c r="H1093" s="4" t="n">
        <v>121</v>
      </c>
      <c r="I1093" s="5" t="n">
        <v>1239.7</v>
      </c>
      <c r="J1093" s="5" t="n">
        <v>356.7</v>
      </c>
      <c r="K1093" s="3" t="inlineStr">
        <is>
          <t>nan</t>
        </is>
      </c>
      <c r="L1093" s="6">
        <f>HYPERLINK("https://fin.land.naver.com/articles/2653840859", "매물Link")</f>
        <v/>
      </c>
      <c r="M1093" s="6">
        <f>HYPERLINK("https://map.naver.com/p/search/도담동 897-24", "지도Link")</f>
        <v/>
      </c>
      <c r="N1093" s="6">
        <f>HYPERLINK("http://www.eum.go.kr/web/ar/lu/luLandDet.jsp?pnu=3611011400108970024&amp;isNoScr=script&amp;mode=search",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400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소로한면</t>
        </is>
      </c>
    </row>
    <row r="1094">
      <c r="A1094" s="3" t="inlineStr">
        <is>
          <t>반곡동 1003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45000</v>
      </c>
      <c r="G1094" s="4" t="n">
        <v>190</v>
      </c>
      <c r="H1094" s="4" t="n">
        <v>57</v>
      </c>
      <c r="I1094" s="5" t="n">
        <v>789.5</v>
      </c>
      <c r="J1094" s="5" t="n">
        <v>262.3</v>
      </c>
      <c r="K1094" s="3" t="inlineStr">
        <is>
          <t>반곡동D3 소형 건폐율50 가격조율 협의가능</t>
        </is>
      </c>
      <c r="L1094" s="6">
        <f>HYPERLINK("https://fin.land.naver.com/articles/2651086283", "매물Link")</f>
        <v/>
      </c>
      <c r="M1094" s="6">
        <f>HYPERLINK("https://map.naver.com/p/search/반곡동 1003", "지도Link")</f>
        <v/>
      </c>
      <c r="N1094" s="6">
        <f>HYPERLINK("http://www.eum.go.kr/web/ar/lu/luLandDet.jsp?pnu=3611010100110030000&amp;isNoScr=script&amp;mode=search", "토지이음")</f>
        <v/>
      </c>
      <c r="O1094" s="3" t="inlineStr">
        <is>
          <t>세종스타</t>
        </is>
      </c>
      <c r="P1094" s="4" t="n">
        <v>2</v>
      </c>
      <c r="Q1094" s="4" t="n">
        <v>190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1005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35000</v>
      </c>
      <c r="G1095" s="4" t="n">
        <v>154</v>
      </c>
      <c r="H1095" s="4" t="n">
        <v>47</v>
      </c>
      <c r="I1095" s="5" t="n">
        <v>744.7</v>
      </c>
      <c r="J1095" s="5" t="n">
        <v>262.3</v>
      </c>
      <c r="K1095" s="3" t="inlineStr">
        <is>
          <t>조율가능 코너각지 소형 건폐율50프로</t>
        </is>
      </c>
      <c r="L1095" s="6">
        <f>HYPERLINK("https://fin.land.naver.com/articles/2650653499", "매물Link")</f>
        <v/>
      </c>
      <c r="M1095" s="6">
        <f>HYPERLINK("https://map.naver.com/p/search/반곡동 1005", "지도Link")</f>
        <v/>
      </c>
      <c r="N1095" s="6">
        <f>HYPERLINK("http://www.eum.go.kr/web/ar/lu/luLandDet.jsp?pnu=3611010100110050000&amp;isNoScr=script&amp;mode=search",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154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1061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70000</v>
      </c>
      <c r="G1096" s="4" t="n">
        <v>478</v>
      </c>
      <c r="H1096" s="4" t="n">
        <v>145</v>
      </c>
      <c r="I1096" s="5" t="n">
        <v>482.8</v>
      </c>
      <c r="J1096" s="5" t="n">
        <v>302.2</v>
      </c>
      <c r="K1096" s="3" t="inlineStr">
        <is>
          <t>급매 KDI옆 반곡동D2 넓은평수 144.71p</t>
        </is>
      </c>
      <c r="L1096" s="6">
        <f>HYPERLINK("https://fin.land.naver.com/articles/2655202638", "매물Link")</f>
        <v/>
      </c>
      <c r="M1096" s="6">
        <f>HYPERLINK("https://map.naver.com/p/search/반곡동 1061", "지도Link")</f>
        <v/>
      </c>
      <c r="N1096" s="6">
        <f>HYPERLINK("http://www.eum.go.kr/web/ar/lu/luLandDet.jsp?pnu=3611010100110610000&amp;isNoScr=script&amp;mode=search",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478.4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소로한면</t>
        </is>
      </c>
    </row>
    <row r="1097">
      <c r="A1097" s="3" t="inlineStr">
        <is>
          <t>반곡동 1061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70000</v>
      </c>
      <c r="G1097" s="4" t="n">
        <v>478</v>
      </c>
      <c r="H1097" s="4" t="n">
        <v>145</v>
      </c>
      <c r="I1097" s="5" t="n">
        <v>482.8</v>
      </c>
      <c r="J1097" s="5" t="n">
        <v>302.2</v>
      </c>
      <c r="K1097" s="3" t="inlineStr">
        <is>
          <t>반곡동 토지매매, 대형평형</t>
        </is>
      </c>
      <c r="L1097" s="6">
        <f>HYPERLINK("https://fin.land.naver.com/articles/2654704541", "매물Link")</f>
        <v/>
      </c>
      <c r="M1097" s="6">
        <f>HYPERLINK("https://map.naver.com/p/search/반곡동 1061", "지도Link")</f>
        <v/>
      </c>
      <c r="N1097" s="6">
        <f>HYPERLINK("http://www.eum.go.kr/web/ar/lu/luLandDet.jsp?pnu=3611010100110610000&amp;isNoScr=script&amp;mode=search",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478.4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1061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70000</v>
      </c>
      <c r="G1098" s="4" t="n">
        <v>478</v>
      </c>
      <c r="H1098" s="4" t="n">
        <v>145</v>
      </c>
      <c r="I1098" s="5" t="n">
        <v>482.8</v>
      </c>
      <c r="J1098" s="5" t="n">
        <v>302.2</v>
      </c>
      <c r="K1098" s="3" t="inlineStr">
        <is>
          <t>nan</t>
        </is>
      </c>
      <c r="L1098" s="6">
        <f>HYPERLINK("https://fin.land.naver.com/articles/2655007875", "매물Link")</f>
        <v/>
      </c>
      <c r="M1098" s="6">
        <f>HYPERLINK("https://map.naver.com/p/search/반곡동 1061", "지도Link")</f>
        <v/>
      </c>
      <c r="N1098" s="6">
        <f>HYPERLINK("http://www.eum.go.kr/web/ar/lu/luLandDet.jsp?pnu=3611010100110610000&amp;isNoScr=script&amp;mode=search", "토지이음")</f>
        <v/>
      </c>
      <c r="O1098" s="3" t="inlineStr">
        <is>
          <t>디아트성심</t>
        </is>
      </c>
      <c r="P1098" s="4" t="n">
        <v>1</v>
      </c>
      <c r="Q1098" s="4" t="n">
        <v>478.4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소로한면</t>
        </is>
      </c>
    </row>
    <row r="1099">
      <c r="A1099" s="3" t="inlineStr">
        <is>
          <t>반곡동 1077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445</v>
      </c>
      <c r="H1099" s="4" t="n">
        <v>135</v>
      </c>
      <c r="I1099" s="5" t="n">
        <v>481.5</v>
      </c>
      <c r="J1099" s="5" t="n">
        <v>308</v>
      </c>
      <c r="K1099" s="3" t="inlineStr">
        <is>
          <t>적극조율가능 공원앞 코너각지 135p</t>
        </is>
      </c>
      <c r="L1099" s="6">
        <f>HYPERLINK("https://fin.land.naver.com/articles/2655021890", "매물Link")</f>
        <v/>
      </c>
      <c r="M1099" s="6">
        <f>HYPERLINK("https://map.naver.com/p/search/반곡동 1077", "지도Link")</f>
        <v/>
      </c>
      <c r="N1099" s="6">
        <f>HYPERLINK("http://www.eum.go.kr/web/ar/lu/luLandDet.jsp?pnu=3611010100110770000&amp;isNoScr=script&amp;mode=search", "토지이음")</f>
        <v/>
      </c>
      <c r="O1099" s="3" t="inlineStr">
        <is>
          <t>세종스타</t>
        </is>
      </c>
      <c r="P1099" s="4" t="n">
        <v>2</v>
      </c>
      <c r="Q1099" s="4" t="n">
        <v>445.5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1077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80000</v>
      </c>
      <c r="G1100" s="4" t="n">
        <v>445</v>
      </c>
      <c r="H1100" s="4" t="n">
        <v>135</v>
      </c>
      <c r="I1100" s="5" t="n">
        <v>592.6</v>
      </c>
      <c r="J1100" s="5" t="n">
        <v>308</v>
      </c>
      <c r="K1100" s="3" t="inlineStr">
        <is>
          <t>135p, 넓은 단독주택 토지매매, 공원앞, 입지 굿</t>
        </is>
      </c>
      <c r="L1100" s="6">
        <f>HYPERLINK("https://fin.land.naver.com/articles/2653687042", "매물Link")</f>
        <v/>
      </c>
      <c r="M1100" s="6">
        <f>HYPERLINK("https://map.naver.com/p/search/반곡동 1077", "지도Link")</f>
        <v/>
      </c>
      <c r="N1100" s="6">
        <f>HYPERLINK("http://www.eum.go.kr/web/ar/lu/luLandDet.jsp?pnu=3611010100110770000&amp;isNoScr=script&amp;mode=search",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445.5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반곡동 1077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445</v>
      </c>
      <c r="H1101" s="4" t="n">
        <v>135</v>
      </c>
      <c r="I1101" s="5" t="n">
        <v>481.5</v>
      </c>
      <c r="J1101" s="5" t="n">
        <v>308</v>
      </c>
      <c r="K1101" s="3" t="inlineStr">
        <is>
          <t>공원 앞, 사거리 코너 각지 위치, 입지 좋은 토지</t>
        </is>
      </c>
      <c r="L1101" s="6">
        <f>HYPERLINK("https://fin.land.naver.com/articles/2653567967", "매물Link")</f>
        <v/>
      </c>
      <c r="M1101" s="6">
        <f>HYPERLINK("https://map.naver.com/p/search/반곡동 1077", "지도Link")</f>
        <v/>
      </c>
      <c r="N1101" s="6">
        <f>HYPERLINK("http://www.eum.go.kr/web/ar/lu/luLandDet.jsp?pnu=3611010100110770000&amp;isNoScr=script&amp;mode=search",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445.5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반곡동 1090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75000</v>
      </c>
      <c r="G1102" s="4" t="n">
        <v>442</v>
      </c>
      <c r="H1102" s="4" t="n">
        <v>134</v>
      </c>
      <c r="I1102" s="5" t="n">
        <v>559.7</v>
      </c>
      <c r="J1102" s="5" t="n">
        <v>308</v>
      </c>
      <c r="K1102" s="3" t="inlineStr">
        <is>
          <t>nan</t>
        </is>
      </c>
      <c r="L1102" s="6">
        <f>HYPERLINK("https://fin.land.naver.com/articles/2655008039", "매물Link")</f>
        <v/>
      </c>
      <c r="M1102" s="6">
        <f>HYPERLINK("https://map.naver.com/p/search/반곡동 1090", "지도Link")</f>
        <v/>
      </c>
      <c r="N1102" s="6">
        <f>HYPERLINK("http://www.eum.go.kr/web/ar/lu/luLandDet.jsp?pnu=3611010100110900000&amp;isNoScr=script&amp;mode=search", "토지이음")</f>
        <v/>
      </c>
      <c r="O1102" s="3" t="inlineStr">
        <is>
          <t>디아트성심</t>
        </is>
      </c>
      <c r="P1102" s="4" t="n">
        <v>1</v>
      </c>
      <c r="Q1102" s="4" t="n">
        <v>440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반곡동 1096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74700</v>
      </c>
      <c r="G1103" s="4" t="n">
        <v>466</v>
      </c>
      <c r="H1103" s="4" t="n">
        <v>141</v>
      </c>
      <c r="I1103" s="5" t="n">
        <v>529.8</v>
      </c>
      <c r="J1103" s="5" t="n">
        <v>302.2</v>
      </c>
      <c r="K1103" s="3" t="inlineStr">
        <is>
          <t>nan</t>
        </is>
      </c>
      <c r="L1103" s="6">
        <f>HYPERLINK("https://fin.land.naver.com/articles/2655008098", "매물Link")</f>
        <v/>
      </c>
      <c r="M1103" s="6">
        <f>HYPERLINK("https://map.naver.com/p/search/반곡동 1096", "지도Link")</f>
        <v/>
      </c>
      <c r="N1103" s="6">
        <f>HYPERLINK("http://www.eum.go.kr/web/ar/lu/luLandDet.jsp?pnu=3611010100110960000&amp;isNoScr=script&amp;mode=search", "토지이음")</f>
        <v/>
      </c>
      <c r="O1103" s="3" t="inlineStr">
        <is>
          <t>디아트성심</t>
        </is>
      </c>
      <c r="P1103" s="4" t="n">
        <v>1</v>
      </c>
      <c r="Q1103" s="4" t="n">
        <v>466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소로한면</t>
        </is>
      </c>
    </row>
    <row r="1104">
      <c r="A1104" s="3" t="inlineStr">
        <is>
          <t>반곡동 1107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67000</v>
      </c>
      <c r="G1104" s="4" t="n">
        <v>436</v>
      </c>
      <c r="H1104" s="4" t="n">
        <v>132</v>
      </c>
      <c r="I1104" s="5" t="n">
        <v>507.6</v>
      </c>
      <c r="J1104" s="5" t="n">
        <v>311.3</v>
      </c>
      <c r="K1104" s="3" t="inlineStr">
        <is>
          <t>급매 코너각지 132p 추가조율가능</t>
        </is>
      </c>
      <c r="L1104" s="6">
        <f>HYPERLINK("https://fin.land.naver.com/articles/2655202403", "매물Link")</f>
        <v/>
      </c>
      <c r="M1104" s="6">
        <f>HYPERLINK("https://map.naver.com/p/search/반곡동 1107", "지도Link")</f>
        <v/>
      </c>
      <c r="N1104" s="6">
        <f>HYPERLINK("http://www.eum.go.kr/web/ar/lu/luLandDet.jsp?pnu=3611010100111070000&amp;isNoScr=script&amp;mode=search",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436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소로각지</t>
        </is>
      </c>
    </row>
    <row r="1105">
      <c r="A1105" s="3" t="inlineStr">
        <is>
          <t>반곡동 1107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67000</v>
      </c>
      <c r="G1105" s="4" t="n">
        <v>436</v>
      </c>
      <c r="H1105" s="4" t="n">
        <v>132</v>
      </c>
      <c r="I1105" s="5" t="n">
        <v>507.6</v>
      </c>
      <c r="J1105" s="5" t="n">
        <v>311.3</v>
      </c>
      <c r="K1105" s="3" t="inlineStr">
        <is>
          <t>삼거리 코너, 위치 좋은 반곡동 토지매매</t>
        </is>
      </c>
      <c r="L1105" s="6">
        <f>HYPERLINK("https://fin.land.naver.com/articles/2654691212", "매물Link")</f>
        <v/>
      </c>
      <c r="M1105" s="6">
        <f>HYPERLINK("https://map.naver.com/p/search/반곡동 1107", "지도Link")</f>
        <v/>
      </c>
      <c r="N1105" s="6">
        <f>HYPERLINK("http://www.eum.go.kr/web/ar/lu/luLandDet.jsp?pnu=3611010100111070000&amp;isNoScr=script&amp;mode=search",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436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소로각지</t>
        </is>
      </c>
    </row>
    <row r="1106">
      <c r="A1106" s="3" t="inlineStr">
        <is>
          <t>반곡동 1129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74400</v>
      </c>
      <c r="G1106" s="4" t="n">
        <v>184</v>
      </c>
      <c r="H1106" s="4" t="n">
        <v>56</v>
      </c>
      <c r="I1106" s="5" t="n">
        <v>1328.6</v>
      </c>
      <c r="J1106" s="5" t="n">
        <v>406.3</v>
      </c>
      <c r="K1106" s="3" t="inlineStr">
        <is>
          <t>상가주택용 토지,설계도면무료제공</t>
        </is>
      </c>
      <c r="L1106" s="6">
        <f>HYPERLINK("https://fin.land.naver.com/articles/2655037117", "매물Link")</f>
        <v/>
      </c>
      <c r="M1106" s="6">
        <f>HYPERLINK("https://map.naver.com/p/search/반곡동 1129", "지도Link")</f>
        <v/>
      </c>
      <c r="N1106" s="6">
        <f>HYPERLINK("http://www.eum.go.kr/web/ar/lu/luLandDet.jsp?pnu=3611010100111290000&amp;isNoScr=script&amp;mode=search", "토지이음")</f>
        <v/>
      </c>
      <c r="O1106" s="3" t="inlineStr">
        <is>
          <t>세종시티</t>
        </is>
      </c>
      <c r="P1106" s="4" t="n">
        <v>1</v>
      </c>
      <c r="Q1106" s="4" t="n">
        <v>184.4</v>
      </c>
      <c r="R1106" s="3" t="inlineStr">
        <is>
          <t>지정되지않음</t>
        </is>
      </c>
      <c r="S1106" s="3" t="inlineStr">
        <is>
          <t>주상나지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1130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76000</v>
      </c>
      <c r="G1107" s="4" t="n">
        <v>186</v>
      </c>
      <c r="H1107" s="4" t="n">
        <v>56</v>
      </c>
      <c r="I1107" s="5" t="n">
        <v>1357.1</v>
      </c>
      <c r="J1107" s="5" t="n">
        <v>406.3</v>
      </c>
      <c r="K1107" s="3" t="inlineStr">
        <is>
          <t>상가주택지매매, 협의가능, 설계도면제공원할시.
자세한건 사무실로 연락~</t>
        </is>
      </c>
      <c r="L1107" s="6">
        <f>HYPERLINK("https://fin.land.naver.com/articles/2655037188", "매물Link")</f>
        <v/>
      </c>
      <c r="M1107" s="6">
        <f>HYPERLINK("https://map.naver.com/p/search/반곡동 1130", "지도Link")</f>
        <v/>
      </c>
      <c r="N1107" s="6">
        <f>HYPERLINK("http://www.eum.go.kr/web/ar/lu/luLandDet.jsp?pnu=3611010100111300000&amp;isNoScr=script&amp;mode=search",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186.4</v>
      </c>
      <c r="R1107" s="3" t="inlineStr">
        <is>
          <t>지정되지않음</t>
        </is>
      </c>
      <c r="S1107" s="3" t="inlineStr">
        <is>
          <t>주상나지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1137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231</v>
      </c>
      <c r="H1108" s="4" t="n">
        <v>70</v>
      </c>
      <c r="I1108" s="5" t="n">
        <v>1142.9</v>
      </c>
      <c r="J1108" s="5" t="n">
        <v>450.6</v>
      </c>
      <c r="K1108" s="3" t="inlineStr">
        <is>
          <t>세종시 유일 점포 주택, 반곡동 단독주택지  괴화산 수루배마을 중심부</t>
        </is>
      </c>
      <c r="L1108" s="6">
        <f>HYPERLINK("https://fin.land.naver.com/articles/2650832993", "매물Link")</f>
        <v/>
      </c>
      <c r="M1108" s="6">
        <f>HYPERLINK("https://map.naver.com/p/search/반곡동 1137", "지도Link")</f>
        <v/>
      </c>
      <c r="N1108" s="6">
        <f>HYPERLINK("http://www.eum.go.kr/web/ar/lu/luLandDet.jsp?pnu=3611010100111370000&amp;isNoScr=script&amp;mode=search", "토지이음")</f>
        <v/>
      </c>
      <c r="O1108" s="3" t="inlineStr">
        <is>
          <t>세종디아트114</t>
        </is>
      </c>
      <c r="P1108" s="4" t="n">
        <v>1</v>
      </c>
      <c r="Q1108" s="4" t="n">
        <v>230.7</v>
      </c>
      <c r="R1108" s="3" t="inlineStr">
        <is>
          <t>지정되지않음</t>
        </is>
      </c>
      <c r="S1108" s="3" t="inlineStr">
        <is>
          <t>주상나지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중로각지</t>
        </is>
      </c>
    </row>
    <row r="1109">
      <c r="A1109" s="3" t="inlineStr">
        <is>
          <t>반곡동 1156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210000</v>
      </c>
      <c r="G1109" s="4" t="n">
        <v>617</v>
      </c>
      <c r="H1109" s="4" t="n">
        <v>187</v>
      </c>
      <c r="I1109" s="5" t="n">
        <v>1123</v>
      </c>
      <c r="J1109" s="5" t="n">
        <v>581.2</v>
      </c>
      <c r="K1109" s="3" t="inlineStr">
        <is>
          <t>nan</t>
        </is>
      </c>
      <c r="L1109" s="6">
        <f>HYPERLINK("https://fin.land.naver.com/articles/2651653557", "매물Link")</f>
        <v/>
      </c>
      <c r="M1109" s="6">
        <f>HYPERLINK("https://map.naver.com/p/search/반곡동 1156", "지도Link")</f>
        <v/>
      </c>
      <c r="N1109" s="6">
        <f>HYPERLINK("http://www.eum.go.kr/web/ar/lu/luLandDet.jsp?pnu=3611010100111560000&amp;isNoScr=script&amp;mode=search", "토지이음")</f>
        <v/>
      </c>
      <c r="O1109" s="3" t="inlineStr">
        <is>
          <t>국제</t>
        </is>
      </c>
      <c r="P1109" s="4" t="n">
        <v>2</v>
      </c>
      <c r="Q1109" s="4" t="n">
        <v>617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중로각지</t>
        </is>
      </c>
    </row>
    <row r="1110">
      <c r="A1110" s="3" t="inlineStr">
        <is>
          <t>반곡동 1156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210000</v>
      </c>
      <c r="G1110" s="4" t="n">
        <v>617</v>
      </c>
      <c r="H1110" s="4" t="n">
        <v>187</v>
      </c>
      <c r="I1110" s="5" t="n">
        <v>1123</v>
      </c>
      <c r="J1110" s="5" t="n">
        <v>581.2</v>
      </c>
      <c r="K1110" s="3" t="inlineStr">
        <is>
          <t>명성공인, 전용186.64, 근생용지 추천 매물</t>
        </is>
      </c>
      <c r="L1110" s="6">
        <f>HYPERLINK("https://fin.land.naver.com/articles/2652073710", "매물Link")</f>
        <v/>
      </c>
      <c r="M1110" s="6">
        <f>HYPERLINK("https://map.naver.com/p/search/반곡동 1156", "지도Link")</f>
        <v/>
      </c>
      <c r="N1110" s="6">
        <f>HYPERLINK("http://www.eum.go.kr/web/ar/lu/luLandDet.jsp?pnu=3611010100111560000&amp;isNoScr=script&amp;mode=search", "토지이음")</f>
        <v/>
      </c>
      <c r="O1110" s="3" t="inlineStr">
        <is>
          <t>명성</t>
        </is>
      </c>
      <c r="P1110" s="4" t="n">
        <v>1</v>
      </c>
      <c r="Q1110" s="4" t="n">
        <v>617</v>
      </c>
      <c r="R1110" s="3" t="inlineStr">
        <is>
          <t>지정되지않음</t>
        </is>
      </c>
      <c r="S1110" s="3" t="inlineStr">
        <is>
          <t>상업나지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중로각지</t>
        </is>
      </c>
    </row>
    <row r="1111">
      <c r="A1111" s="3" t="inlineStr">
        <is>
          <t>반곡동 901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88000</v>
      </c>
      <c r="G1111" s="4" t="n">
        <v>289</v>
      </c>
      <c r="H1111" s="4" t="n">
        <v>87</v>
      </c>
      <c r="I1111" s="5" t="n">
        <v>1011.5</v>
      </c>
      <c r="J1111" s="5" t="n">
        <v>262.6</v>
      </c>
      <c r="K1111" s="3" t="inlineStr">
        <is>
          <t>초등학교 인접, 반곡동 토지매매, 지대 높음</t>
        </is>
      </c>
      <c r="L1111" s="6">
        <f>HYPERLINK("https://fin.land.naver.com/articles/2654704892", "매물Link")</f>
        <v/>
      </c>
      <c r="M1111" s="6">
        <f>HYPERLINK("https://map.naver.com/p/search/반곡동 901", "지도Link")</f>
        <v/>
      </c>
      <c r="N1111" s="6">
        <f>HYPERLINK("http://www.eum.go.kr/web/ar/lu/luLandDet.jsp?pnu=3611010100109010000&amp;isNoScr=script&amp;mode=search",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289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901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88000</v>
      </c>
      <c r="G1112" s="4" t="n">
        <v>289</v>
      </c>
      <c r="H1112" s="4" t="n">
        <v>87</v>
      </c>
      <c r="I1112" s="5" t="n">
        <v>1011.5</v>
      </c>
      <c r="J1112" s="5" t="n">
        <v>262.6</v>
      </c>
      <c r="K1112" s="3" t="inlineStr">
        <is>
          <t>지대높고트여있어 조망좋음. 건폐율50,용적률80</t>
        </is>
      </c>
      <c r="L1112" s="6">
        <f>HYPERLINK("https://fin.land.naver.com/articles/2655007668", "매물Link")</f>
        <v/>
      </c>
      <c r="M1112" s="6">
        <f>HYPERLINK("https://map.naver.com/p/search/반곡동 901", "지도Link")</f>
        <v/>
      </c>
      <c r="N1112" s="6">
        <f>HYPERLINK("http://www.eum.go.kr/web/ar/lu/luLandDet.jsp?pnu=3611010100109010000&amp;isNoScr=script&amp;mode=search", "토지이음")</f>
        <v/>
      </c>
      <c r="O1112" s="3" t="inlineStr">
        <is>
          <t>디아트성심</t>
        </is>
      </c>
      <c r="P1112" s="4" t="n">
        <v>1</v>
      </c>
      <c r="Q1112" s="4" t="n">
        <v>289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901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88000</v>
      </c>
      <c r="G1113" s="4" t="n">
        <v>289</v>
      </c>
      <c r="H1113" s="4" t="n">
        <v>87</v>
      </c>
      <c r="I1113" s="5" t="n">
        <v>1011.5</v>
      </c>
      <c r="J1113" s="5" t="n">
        <v>262.6</v>
      </c>
      <c r="K1113" s="3" t="inlineStr">
        <is>
          <t>지대높고 옆조망 뒷조망 잘나오는곳 초등학교 인접 BRT 인접</t>
        </is>
      </c>
      <c r="L1113" s="6">
        <f>HYPERLINK("https://fin.land.naver.com/articles/2654654291", "매물Link")</f>
        <v/>
      </c>
      <c r="M1113" s="6">
        <f>HYPERLINK("https://map.naver.com/p/search/반곡동 901", "지도Link")</f>
        <v/>
      </c>
      <c r="N1113" s="6">
        <f>HYPERLINK("http://www.eum.go.kr/web/ar/lu/luLandDet.jsp?pnu=3611010100109010000&amp;isNoScr=script&amp;mode=search", "토지이음")</f>
        <v/>
      </c>
      <c r="O1113" s="3" t="inlineStr">
        <is>
          <t>세종스타</t>
        </is>
      </c>
      <c r="P1113" s="4" t="n">
        <v>2</v>
      </c>
      <c r="Q1113" s="4" t="n">
        <v>289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908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321</v>
      </c>
      <c r="H1114" s="4" t="n">
        <v>97</v>
      </c>
      <c r="I1114" s="5" t="n">
        <v>824.7</v>
      </c>
      <c r="J1114" s="5" t="n">
        <v>270.5</v>
      </c>
      <c r="K1114" s="3" t="inlineStr">
        <is>
          <t>사거리 코너입지, 시유지 접한 위치 좋은 토지</t>
        </is>
      </c>
      <c r="L1114" s="6">
        <f>HYPERLINK("https://fin.land.naver.com/articles/2654691085", "매물Link")</f>
        <v/>
      </c>
      <c r="M1114" s="6">
        <f>HYPERLINK("https://map.naver.com/p/search/반곡동 908", "지도Link")</f>
        <v/>
      </c>
      <c r="N1114" s="6">
        <f>HYPERLINK("http://www.eum.go.kr/web/ar/lu/luLandDet.jsp?pnu=3611010100109080000&amp;isNoScr=script&amp;mode=search",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321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반곡동 908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321</v>
      </c>
      <c r="H1115" s="4" t="n">
        <v>97</v>
      </c>
      <c r="I1115" s="5" t="n">
        <v>824.7</v>
      </c>
      <c r="J1115" s="5" t="n">
        <v>270.5</v>
      </c>
      <c r="K1115" s="3" t="inlineStr">
        <is>
          <t>3면코너 시유지접함 위치최상</t>
        </is>
      </c>
      <c r="L1115" s="6">
        <f>HYPERLINK("https://fin.land.naver.com/articles/2655192384", "매물Link")</f>
        <v/>
      </c>
      <c r="M1115" s="6">
        <f>HYPERLINK("https://map.naver.com/p/search/반곡동 908", "지도Link")</f>
        <v/>
      </c>
      <c r="N1115" s="6">
        <f>HYPERLINK("http://www.eum.go.kr/web/ar/lu/luLandDet.jsp?pnu=3611010100109080000&amp;isNoScr=script&amp;mode=search", "토지이음")</f>
        <v/>
      </c>
      <c r="O1115" s="3" t="inlineStr">
        <is>
          <t>세종스타</t>
        </is>
      </c>
      <c r="P1115" s="4" t="n">
        <v>1</v>
      </c>
      <c r="Q1115" s="4" t="n">
        <v>321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반곡동 913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64000</v>
      </c>
      <c r="G1116" s="4" t="n">
        <v>294</v>
      </c>
      <c r="H1116" s="4" t="n">
        <v>89</v>
      </c>
      <c r="I1116" s="5" t="n">
        <v>719.1</v>
      </c>
      <c r="J1116" s="5" t="n">
        <v>262.6</v>
      </c>
      <c r="K1116" s="3" t="inlineStr">
        <is>
          <t>괴화산과 공지 품은 힐링되는 귀한 반곡동 단독주택 필지</t>
        </is>
      </c>
      <c r="L1116" s="6">
        <f>HYPERLINK("https://fin.land.naver.com/articles/2650850082", "매물Link")</f>
        <v/>
      </c>
      <c r="M1116" s="6">
        <f>HYPERLINK("https://map.naver.com/p/search/반곡동 913", "지도Link")</f>
        <v/>
      </c>
      <c r="N1116" s="6">
        <f>HYPERLINK("http://www.eum.go.kr/web/ar/lu/luLandDet.jsp?pnu=3611010100109130000&amp;isNoScr=script&amp;mode=search",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294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915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65000</v>
      </c>
      <c r="G1117" s="4" t="n">
        <v>295</v>
      </c>
      <c r="H1117" s="4" t="n">
        <v>89</v>
      </c>
      <c r="I1117" s="5" t="n">
        <v>730.3</v>
      </c>
      <c r="J1117" s="5" t="n">
        <v>262.6</v>
      </c>
      <c r="K1117" s="3" t="inlineStr">
        <is>
          <t>유치원. 초등학교 인근, 조용한 입지 토지</t>
        </is>
      </c>
      <c r="L1117" s="6">
        <f>HYPERLINK("https://fin.land.naver.com/articles/2654693066", "매물Link")</f>
        <v/>
      </c>
      <c r="M1117" s="6">
        <f>HYPERLINK("https://map.naver.com/p/search/반곡동 915", "지도Link")</f>
        <v/>
      </c>
      <c r="N1117" s="6">
        <f>HYPERLINK("http://www.eum.go.kr/web/ar/lu/luLandDet.jsp?pnu=3611010100109150000&amp;isNoScr=script&amp;mode=search",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295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915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65000</v>
      </c>
      <c r="G1118" s="4" t="n">
        <v>295</v>
      </c>
      <c r="H1118" s="4" t="n">
        <v>89</v>
      </c>
      <c r="I1118" s="5" t="n">
        <v>730.3</v>
      </c>
      <c r="J1118" s="5" t="n">
        <v>262.6</v>
      </c>
      <c r="K1118" s="3" t="inlineStr">
        <is>
          <t>산접한곳 숲유치원 초등학교 인근</t>
        </is>
      </c>
      <c r="L1118" s="6">
        <f>HYPERLINK("https://fin.land.naver.com/articles/2655192759", "매물Link")</f>
        <v/>
      </c>
      <c r="M1118" s="6">
        <f>HYPERLINK("https://map.naver.com/p/search/반곡동 915", "지도Link")</f>
        <v/>
      </c>
      <c r="N1118" s="6">
        <f>HYPERLINK("http://www.eum.go.kr/web/ar/lu/luLandDet.jsp?pnu=3611010100109150000&amp;isNoScr=script&amp;mode=search",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295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932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97000</v>
      </c>
      <c r="G1119" s="4" t="n">
        <v>321</v>
      </c>
      <c r="H1119" s="4" t="n">
        <v>97</v>
      </c>
      <c r="I1119" s="5" t="n">
        <v>1000</v>
      </c>
      <c r="J1119" s="5" t="n">
        <v>262.3</v>
      </c>
      <c r="K1119" s="3" t="inlineStr">
        <is>
          <t>위치좋은 지대높은 토지, 97.2p, 시유지 40p 사용가능</t>
        </is>
      </c>
      <c r="L1119" s="6">
        <f>HYPERLINK("https://fin.land.naver.com/articles/2651189098", "매물Link")</f>
        <v/>
      </c>
      <c r="M1119" s="6">
        <f>HYPERLINK("https://map.naver.com/p/search/반곡동 932", "지도Link")</f>
        <v/>
      </c>
      <c r="N1119" s="6">
        <f>HYPERLINK("http://www.eum.go.kr/web/ar/lu/luLandDet.jsp?pnu=3611010100109320000&amp;isNoScr=script&amp;mode=search",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321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932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97000</v>
      </c>
      <c r="G1120" s="4" t="n">
        <v>321</v>
      </c>
      <c r="H1120" s="4" t="n">
        <v>97</v>
      </c>
      <c r="I1120" s="5" t="n">
        <v>1000</v>
      </c>
      <c r="J1120" s="5" t="n">
        <v>262.3</v>
      </c>
      <c r="K1120" s="3" t="inlineStr">
        <is>
          <t>시유지접한 코너각지 조용한위치 조율가능</t>
        </is>
      </c>
      <c r="L1120" s="6">
        <f>HYPERLINK("https://fin.land.naver.com/articles/2651085953", "매물Link")</f>
        <v/>
      </c>
      <c r="M1120" s="6">
        <f>HYPERLINK("https://map.naver.com/p/search/반곡동 932", "지도Link")</f>
        <v/>
      </c>
      <c r="N1120" s="6">
        <f>HYPERLINK("http://www.eum.go.kr/web/ar/lu/luLandDet.jsp?pnu=3611010100109320000&amp;isNoScr=script&amp;mode=search", "토지이음")</f>
        <v/>
      </c>
      <c r="O1120" s="3" t="inlineStr">
        <is>
          <t>세종스타</t>
        </is>
      </c>
      <c r="P1120" s="4" t="n">
        <v>1</v>
      </c>
      <c r="Q1120" s="4" t="n">
        <v>321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반곡동 943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73000</v>
      </c>
      <c r="G1121" s="4" t="n">
        <v>350</v>
      </c>
      <c r="H1121" s="4" t="n">
        <v>106</v>
      </c>
      <c r="I1121" s="5" t="n">
        <v>688.7</v>
      </c>
      <c r="J1121" s="5" t="n">
        <v>262.3</v>
      </c>
      <c r="K1121" s="3" t="inlineStr">
        <is>
          <t>실개천옆 벙커주차장 설계가능 적극조율 협의가능</t>
        </is>
      </c>
      <c r="L1121" s="6">
        <f>HYPERLINK("https://fin.land.naver.com/articles/2655235096", "매물Link")</f>
        <v/>
      </c>
      <c r="M1121" s="6">
        <f>HYPERLINK("https://map.naver.com/p/search/반곡동 943", "지도Link")</f>
        <v/>
      </c>
      <c r="N1121" s="6">
        <f>HYPERLINK("http://www.eum.go.kr/web/ar/lu/luLandDet.jsp?pnu=3611010100109430000&amp;isNoScr=script&amp;mode=search",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350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반곡동 943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73000</v>
      </c>
      <c r="G1122" s="4" t="n">
        <v>350</v>
      </c>
      <c r="H1122" s="4" t="n">
        <v>106</v>
      </c>
      <c r="I1122" s="5" t="n">
        <v>688.7</v>
      </c>
      <c r="J1122" s="5" t="n">
        <v>262.3</v>
      </c>
      <c r="K1122" s="3" t="inlineStr">
        <is>
          <t>조율가능, 벙커주차장가능, 반곡동 토지매매</t>
        </is>
      </c>
      <c r="L1122" s="6">
        <f>HYPERLINK("https://fin.land.naver.com/articles/2654690958", "매물Link")</f>
        <v/>
      </c>
      <c r="M1122" s="6">
        <f>HYPERLINK("https://map.naver.com/p/search/반곡동 943", "지도Link")</f>
        <v/>
      </c>
      <c r="N1122" s="6">
        <f>HYPERLINK("http://www.eum.go.kr/web/ar/lu/luLandDet.jsp?pnu=3611010100109430000&amp;isNoScr=script&amp;mode=search",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350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반곡동 947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83000</v>
      </c>
      <c r="G1123" s="4" t="n">
        <v>343</v>
      </c>
      <c r="H1123" s="4" t="n">
        <v>104</v>
      </c>
      <c r="I1123" s="5" t="n">
        <v>798.1</v>
      </c>
      <c r="J1123" s="5" t="n">
        <v>262.3</v>
      </c>
      <c r="K1123" s="3" t="inlineStr">
        <is>
          <t>조율가능 산조망 조용한곳 땅모양 네모반듯</t>
        </is>
      </c>
      <c r="L1123" s="6">
        <f>HYPERLINK("https://fin.land.naver.com/articles/2650653583", "매물Link")</f>
        <v/>
      </c>
      <c r="M1123" s="6">
        <f>HYPERLINK("https://map.naver.com/p/search/반곡동 947", "지도Link")</f>
        <v/>
      </c>
      <c r="N1123" s="6">
        <f>HYPERLINK("http://www.eum.go.kr/web/ar/lu/luLandDet.jsp?pnu=3611010100109470000&amp;isNoScr=script&amp;mode=search", "토지이음")</f>
        <v/>
      </c>
      <c r="O1123" s="3" t="inlineStr">
        <is>
          <t>세종스타</t>
        </is>
      </c>
      <c r="P1123" s="4" t="n">
        <v>1</v>
      </c>
      <c r="Q1123" s="4" t="n">
        <v>343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959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88000</v>
      </c>
      <c r="G1124" s="4" t="n">
        <v>361</v>
      </c>
      <c r="H1124" s="4" t="n">
        <v>109</v>
      </c>
      <c r="I1124" s="5" t="n">
        <v>807.3</v>
      </c>
      <c r="J1124" s="5" t="n">
        <v>262.3</v>
      </c>
      <c r="K1124" s="3" t="inlineStr">
        <is>
          <t>추가조율가능 벙커주차장가능 지대높고 개인사생활최상</t>
        </is>
      </c>
      <c r="L1124" s="6">
        <f>HYPERLINK("https://fin.land.naver.com/articles/2651086630", "매물Link")</f>
        <v/>
      </c>
      <c r="M1124" s="6">
        <f>HYPERLINK("https://map.naver.com/p/search/반곡동 959", "지도Link")</f>
        <v/>
      </c>
      <c r="N1124" s="6">
        <f>HYPERLINK("http://www.eum.go.kr/web/ar/lu/luLandDet.jsp?pnu=3611010100109590000&amp;isNoScr=script&amp;mode=search",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361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962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65000</v>
      </c>
      <c r="G1125" s="4" t="n">
        <v>308</v>
      </c>
      <c r="H1125" s="4" t="n">
        <v>93</v>
      </c>
      <c r="I1125" s="5" t="n">
        <v>698.9</v>
      </c>
      <c r="J1125" s="5" t="n">
        <v>262.3</v>
      </c>
      <c r="K1125" s="3" t="inlineStr">
        <is>
          <t>산접한곳 벙커주차장가능 남향보행로접 조율가능</t>
        </is>
      </c>
      <c r="L1125" s="6">
        <f>HYPERLINK("https://fin.land.naver.com/articles/2654855867", "매물Link")</f>
        <v/>
      </c>
      <c r="M1125" s="6">
        <f>HYPERLINK("https://map.naver.com/p/search/반곡동 962", "지도Link")</f>
        <v/>
      </c>
      <c r="N1125" s="6">
        <f>HYPERLINK("http://www.eum.go.kr/web/ar/lu/luLandDet.jsp?pnu=3611010100109620000&amp;isNoScr=script&amp;mode=search", "토지이음")</f>
        <v/>
      </c>
      <c r="O1125" s="3" t="inlineStr">
        <is>
          <t>세종스타</t>
        </is>
      </c>
      <c r="P1125" s="4" t="n">
        <v>2</v>
      </c>
      <c r="Q1125" s="4" t="n">
        <v>308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963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423</v>
      </c>
      <c r="H1126" s="4" t="n">
        <v>128</v>
      </c>
      <c r="I1126" s="5" t="n">
        <v>703.1</v>
      </c>
      <c r="J1126" s="5" t="n">
        <v>262.3</v>
      </c>
      <c r="K1126" s="3" t="inlineStr">
        <is>
          <t>I 신한 I  국회 집무실 인근  BRT 상권 학교 모두 품은 귀한 택지</t>
        </is>
      </c>
      <c r="L1126" s="6">
        <f>HYPERLINK("https://fin.land.naver.com/articles/2650547909", "매물Link")</f>
        <v/>
      </c>
      <c r="M1126" s="6">
        <f>HYPERLINK("https://map.naver.com/p/search/반곡동 963", "지도Link")</f>
        <v/>
      </c>
      <c r="N1126" s="6">
        <f>HYPERLINK("http://www.eum.go.kr/web/ar/lu/luLandDet.jsp?pnu=3611010100109630000&amp;isNoScr=script&amp;mode=search", "토지이음")</f>
        <v/>
      </c>
      <c r="O1126" s="3" t="inlineStr">
        <is>
          <t>세종신한</t>
        </is>
      </c>
      <c r="P1126" s="4" t="n">
        <v>1</v>
      </c>
      <c r="Q1126" s="4" t="n">
        <v>423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반곡동 963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423</v>
      </c>
      <c r="H1127" s="4" t="n">
        <v>128</v>
      </c>
      <c r="I1127" s="5" t="n">
        <v>703.1</v>
      </c>
      <c r="J1127" s="5" t="n">
        <v>262.3</v>
      </c>
      <c r="K1127" s="3" t="inlineStr">
        <is>
          <t>넓은평수,넓은지하주차장가능,고급 단독주택지,조율가</t>
        </is>
      </c>
      <c r="L1127" s="6">
        <f>HYPERLINK("https://fin.land.naver.com/articles/2655037049", "매물Link")</f>
        <v/>
      </c>
      <c r="M1127" s="6">
        <f>HYPERLINK("https://map.naver.com/p/search/반곡동 963", "지도Link")</f>
        <v/>
      </c>
      <c r="N1127" s="6">
        <f>HYPERLINK("http://www.eum.go.kr/web/ar/lu/luLandDet.jsp?pnu=3611010100109630000&amp;isNoScr=script&amp;mode=search", "토지이음")</f>
        <v/>
      </c>
      <c r="O1127" s="3" t="inlineStr">
        <is>
          <t>세종시티</t>
        </is>
      </c>
      <c r="P1127" s="4" t="n">
        <v>1</v>
      </c>
      <c r="Q1127" s="4" t="n">
        <v>423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반곡동 965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108000</v>
      </c>
      <c r="G1128" s="4" t="n">
        <v>448</v>
      </c>
      <c r="H1128" s="4" t="n">
        <v>136</v>
      </c>
      <c r="I1128" s="5" t="n">
        <v>794.1</v>
      </c>
      <c r="J1128" s="5" t="n">
        <v>262.3</v>
      </c>
      <c r="K1128" s="3" t="inlineStr">
        <is>
          <t>I 신한 I 세종 국회의사당 호재를 품은 쾌적한 숲세권 단독주택지</t>
        </is>
      </c>
      <c r="L1128" s="6">
        <f>HYPERLINK("https://fin.land.naver.com/articles/2655725763", "매물Link")</f>
        <v/>
      </c>
      <c r="M1128" s="6">
        <f>HYPERLINK("https://map.naver.com/p/search/반곡동 965", "지도Link")</f>
        <v/>
      </c>
      <c r="N1128" s="6">
        <f>HYPERLINK("http://www.eum.go.kr/web/ar/lu/luLandDet.jsp?pnu=3611010100109650000&amp;isNoScr=script&amp;mode=search", "토지이음")</f>
        <v/>
      </c>
      <c r="O1128" s="3" t="inlineStr">
        <is>
          <t>세종신한</t>
        </is>
      </c>
      <c r="P1128" s="4" t="n">
        <v>1</v>
      </c>
      <c r="Q1128" s="4" t="n">
        <v>448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반곡동 979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68000</v>
      </c>
      <c r="G1129" s="4" t="n">
        <v>324</v>
      </c>
      <c r="H1129" s="4" t="n">
        <v>98</v>
      </c>
      <c r="I1129" s="5" t="n">
        <v>693.9</v>
      </c>
      <c r="J1129" s="5" t="n">
        <v>262.3</v>
      </c>
      <c r="K1129" s="3" t="inlineStr">
        <is>
          <t>반곡동 위치 좋은 단독주택, 코너입지</t>
        </is>
      </c>
      <c r="L1129" s="6">
        <f>HYPERLINK("https://fin.land.naver.com/articles/2654693607", "매물Link")</f>
        <v/>
      </c>
      <c r="M1129" s="6">
        <f>HYPERLINK("https://map.naver.com/p/search/반곡동 979", "지도Link")</f>
        <v/>
      </c>
      <c r="N1129" s="6">
        <f>HYPERLINK("http://www.eum.go.kr/web/ar/lu/luLandDet.jsp?pnu=3611010100109790000&amp;isNoScr=script&amp;mode=search",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324.4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반곡동 994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35000</v>
      </c>
      <c r="G1130" s="4" t="n">
        <v>162</v>
      </c>
      <c r="H1130" s="4" t="n">
        <v>49</v>
      </c>
      <c r="I1130" s="5" t="n">
        <v>714.3</v>
      </c>
      <c r="J1130" s="5" t="n">
        <v>262.3</v>
      </c>
      <c r="K1130" s="3" t="inlineStr">
        <is>
          <t>급매 추가조율협의가능 네모반듯 소형택지</t>
        </is>
      </c>
      <c r="L1130" s="6">
        <f>HYPERLINK("https://fin.land.naver.com/articles/2653171946", "매물Link")</f>
        <v/>
      </c>
      <c r="M1130" s="6">
        <f>HYPERLINK("https://map.naver.com/p/search/반곡동 994", "지도Link")</f>
        <v/>
      </c>
      <c r="N1130" s="6">
        <f>HYPERLINK("http://www.eum.go.kr/web/ar/lu/luLandDet.jsp?pnu=3611010100109940000&amp;isNoScr=script&amp;mode=search", "토지이음")</f>
        <v/>
      </c>
      <c r="O1130" s="3" t="inlineStr">
        <is>
          <t>세종스타</t>
        </is>
      </c>
      <c r="P1130" s="4" t="n">
        <v>1</v>
      </c>
      <c r="Q1130" s="4" t="n">
        <v>162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반곡동 995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50000</v>
      </c>
      <c r="G1131" s="4" t="n">
        <v>168</v>
      </c>
      <c r="H1131" s="4" t="n">
        <v>51</v>
      </c>
      <c r="I1131" s="5" t="n">
        <v>980.4</v>
      </c>
      <c r="J1131" s="5" t="n">
        <v>265</v>
      </c>
      <c r="K1131" s="3" t="inlineStr">
        <is>
          <t>나대지,  전용주거지역, 조용하고 깨끗한 도시</t>
        </is>
      </c>
      <c r="L1131" s="6">
        <f>HYPERLINK("https://fin.land.naver.com/articles/2650584726", "매물Link")</f>
        <v/>
      </c>
      <c r="M1131" s="6">
        <f>HYPERLINK("https://map.naver.com/p/search/반곡동 995", "지도Link")</f>
        <v/>
      </c>
      <c r="N1131" s="6">
        <f>HYPERLINK("http://www.eum.go.kr/web/ar/lu/luLandDet.jsp?pnu=3611010100109950000&amp;isNoScr=script&amp;mode=search", "토지이음")</f>
        <v/>
      </c>
      <c r="O1131" s="3" t="inlineStr">
        <is>
          <t>상계랜드 무소</t>
        </is>
      </c>
      <c r="P1131" s="4" t="n">
        <v>1</v>
      </c>
      <c r="Q1131" s="4" t="n">
        <v>168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부강면 갈산리 162-2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208600</v>
      </c>
      <c r="G1132" s="4" t="n">
        <v>1724</v>
      </c>
      <c r="H1132" s="4" t="n">
        <v>522</v>
      </c>
      <c r="I1132" s="5" t="n">
        <v>399.6</v>
      </c>
      <c r="J1132" s="5" t="n">
        <v>56.7</v>
      </c>
      <c r="K1132" s="3" t="inlineStr">
        <is>
          <t>갈산리 대도로접한 토지 매매, 세차장,타이어판매점,음식점 추천</t>
        </is>
      </c>
      <c r="L1132" s="6">
        <f>HYPERLINK("https://fin.land.naver.com/articles/2654473677", "매물Link")</f>
        <v/>
      </c>
      <c r="M1132" s="6">
        <f>HYPERLINK("https://map.naver.com/p/search/부강면 갈산리 162-2", "지도Link")</f>
        <v/>
      </c>
      <c r="N1132" s="6">
        <f>HYPERLINK("http://www.eum.go.kr/web/ar/lu/luLandDet.jsp?pnu=3611033024101620002&amp;isNoScr=script&amp;mode=search", "토지이음")</f>
        <v/>
      </c>
      <c r="O1132" s="3" t="inlineStr">
        <is>
          <t>국제</t>
        </is>
      </c>
      <c r="P1132" s="4" t="n">
        <v>1</v>
      </c>
      <c r="Q1132" s="4" t="n">
        <v>1724</v>
      </c>
      <c r="R1132" s="3" t="inlineStr">
        <is>
          <t>지정되지않음</t>
        </is>
      </c>
      <c r="S1132" s="3" t="inlineStr">
        <is>
          <t>답기타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소로한면</t>
        </is>
      </c>
    </row>
    <row r="1133">
      <c r="A1133" s="3" t="inlineStr">
        <is>
          <t>부강면 갈산리 176-3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27000</v>
      </c>
      <c r="G1133" s="4" t="n">
        <v>494</v>
      </c>
      <c r="H1133" s="4" t="n">
        <v>149</v>
      </c>
      <c r="I1133" s="5" t="n">
        <v>181.2</v>
      </c>
      <c r="J1133" s="5" t="n">
        <v>43.4</v>
      </c>
      <c r="K1133" s="3" t="inlineStr">
        <is>
          <t>nan</t>
        </is>
      </c>
      <c r="L1133" s="6">
        <f>HYPERLINK("https://fin.land.naver.com/articles/2651704286", "매물Link")</f>
        <v/>
      </c>
      <c r="M1133" s="6">
        <f>HYPERLINK("https://map.naver.com/p/search/부강면 갈산리 176-3", "지도Link")</f>
        <v/>
      </c>
      <c r="N1133" s="6">
        <f>HYPERLINK("http://www.eum.go.kr/web/ar/lu/luLandDet.jsp?pnu=3611033024101760003&amp;isNoScr=script&amp;mode=search", "토지이음")</f>
        <v/>
      </c>
      <c r="O1133" s="3" t="inlineStr">
        <is>
          <t>장원</t>
        </is>
      </c>
      <c r="P1133" s="4" t="n">
        <v>1</v>
      </c>
      <c r="Q1133" s="4" t="n">
        <v>494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완경사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부강면 갈산리 212-1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35000</v>
      </c>
      <c r="G1134" s="4" t="n">
        <v>654</v>
      </c>
      <c r="H1134" s="4" t="n">
        <v>198</v>
      </c>
      <c r="I1134" s="5" t="n">
        <v>176.8</v>
      </c>
      <c r="J1134" s="5" t="n">
        <v>40.6</v>
      </c>
      <c r="K1134" s="3" t="inlineStr">
        <is>
          <t>수도,전기  시설물 하우스 전원주택지로 최상입니다.</t>
        </is>
      </c>
      <c r="L1134" s="6">
        <f>HYPERLINK("https://fin.land.naver.com/articles/2652967855", "매물Link")</f>
        <v/>
      </c>
      <c r="M1134" s="6">
        <f>HYPERLINK("https://map.naver.com/p/search/부강면 갈산리 212-1", "지도Link")</f>
        <v/>
      </c>
      <c r="N1134" s="6">
        <f>HYPERLINK("http://www.eum.go.kr/web/ar/lu/luLandDet.jsp?pnu=3611033024102120001&amp;isNoScr=script&amp;mode=search", "토지이음")</f>
        <v/>
      </c>
      <c r="O1134" s="3" t="inlineStr">
        <is>
          <t>강남뜰</t>
        </is>
      </c>
      <c r="P1134" s="4" t="n">
        <v>1</v>
      </c>
      <c r="Q1134" s="4" t="n">
        <v>654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세로각지(가)</t>
        </is>
      </c>
    </row>
    <row r="1135">
      <c r="A1135" s="3" t="inlineStr">
        <is>
          <t>부강면 갈산리 240-1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1900000</v>
      </c>
      <c r="G1135" s="4" t="n">
        <v>81653</v>
      </c>
      <c r="H1135" s="4" t="n">
        <v>24700</v>
      </c>
      <c r="I1135" s="5" t="n">
        <v>76.90000000000001</v>
      </c>
      <c r="J1135" s="5" t="n">
        <v>51</v>
      </c>
      <c r="K1135" s="3" t="inlineStr">
        <is>
          <t>갈산리 복합물류단지 인접</t>
        </is>
      </c>
      <c r="L1135" s="6">
        <f>HYPERLINK("https://fin.land.naver.com/articles/2653531918", "매물Link")</f>
        <v/>
      </c>
      <c r="M1135" s="6">
        <f>HYPERLINK("https://map.naver.com/p/search/부강면 갈산리 240-1", "지도Link")</f>
        <v/>
      </c>
      <c r="N1135" s="6">
        <f>HYPERLINK("http://www.eum.go.kr/web/ar/lu/luLandDet.jsp?pnu=3611033024102400001&amp;isNoScr=script&amp;mode=search", "토지이음")</f>
        <v/>
      </c>
      <c r="O1135" s="3" t="inlineStr">
        <is>
          <t>황제</t>
        </is>
      </c>
      <c r="P1135" s="4" t="n">
        <v>1</v>
      </c>
      <c r="Q1135" s="4" t="n">
        <v>398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중로한면</t>
        </is>
      </c>
    </row>
    <row r="1136">
      <c r="A1136" s="3" t="inlineStr">
        <is>
          <t>부강면 갈산리 260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57000</v>
      </c>
      <c r="G1136" s="4" t="n">
        <v>1190</v>
      </c>
      <c r="H1136" s="4" t="n">
        <v>360</v>
      </c>
      <c r="I1136" s="5" t="n">
        <v>158.3</v>
      </c>
      <c r="J1136" s="5" t="n">
        <v>32.6</v>
      </c>
      <c r="K1136" s="3" t="inlineStr">
        <is>
          <t>청주 및 남청주ic에서 세종 진입하는 도로에 접한 광고성 좋은 토지</t>
        </is>
      </c>
      <c r="L1136" s="6">
        <f>HYPERLINK("https://fin.land.naver.com/articles/2652067827", "매물Link")</f>
        <v/>
      </c>
      <c r="M1136" s="6">
        <f>HYPERLINK("https://map.naver.com/p/search/부강면 갈산리 260", "지도Link")</f>
        <v/>
      </c>
      <c r="N1136" s="6">
        <f>HYPERLINK("http://www.eum.go.kr/web/ar/lu/luLandDet.jsp?pnu=3611033024102600000&amp;isNoScr=script&amp;mode=search", "토지이음")</f>
        <v/>
      </c>
      <c r="O1136" s="3" t="inlineStr">
        <is>
          <t>연동스카이</t>
        </is>
      </c>
      <c r="P1136" s="4" t="n">
        <v>2</v>
      </c>
      <c r="Q1136" s="4" t="n">
        <v>1190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부강면 갈산리 395</t>
        </is>
      </c>
      <c r="B1137" s="3" t="inlineStr">
        <is>
          <t>계획관리지역</t>
        </is>
      </c>
      <c r="C1137" s="3" t="inlineStr">
        <is>
          <t>공장용지</t>
        </is>
      </c>
      <c r="D1137" s="3" t="inlineStr">
        <is>
          <t>공장용지</t>
        </is>
      </c>
      <c r="E1137" s="3" t="inlineStr">
        <is>
          <t>매매</t>
        </is>
      </c>
      <c r="F1137" s="4" t="n">
        <v>630000</v>
      </c>
      <c r="G1137" s="4" t="n">
        <v>13872</v>
      </c>
      <c r="H1137" s="4" t="n">
        <v>4196</v>
      </c>
      <c r="I1137" s="5" t="n">
        <v>150.1</v>
      </c>
      <c r="J1137" s="5" t="n">
        <v>79.40000000000001</v>
      </c>
      <c r="K1137" s="3" t="inlineStr">
        <is>
          <t>4200 남청주ic 5분 공장용지 물류센터 창고</t>
        </is>
      </c>
      <c r="L1137" s="6">
        <f>HYPERLINK("https://fin.land.naver.com/articles/2650949462", "매물Link")</f>
        <v/>
      </c>
      <c r="M1137" s="6">
        <f>HYPERLINK("https://map.naver.com/p/search/부강면 갈산리 395", "지도Link")</f>
        <v/>
      </c>
      <c r="N1137" s="6">
        <f>HYPERLINK("http://www.eum.go.kr/web/ar/lu/luLandDet.jsp?pnu=3611033024103950000&amp;isNoScr=script&amp;mode=search", "토지이음")</f>
        <v/>
      </c>
      <c r="O1137" s="3" t="inlineStr">
        <is>
          <t>반포더드림</t>
        </is>
      </c>
      <c r="P1137" s="4" t="n">
        <v>1</v>
      </c>
      <c r="Q1137" s="4" t="n">
        <v>1283</v>
      </c>
      <c r="R1137" s="3" t="inlineStr">
        <is>
          <t>지정되지않음</t>
        </is>
      </c>
      <c r="S1137" s="3" t="inlineStr">
        <is>
          <t>공업용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부강면 갈산리 398-4</t>
        </is>
      </c>
      <c r="B1138" s="3" t="inlineStr">
        <is>
          <t>계획관리지역</t>
        </is>
      </c>
      <c r="C1138" s="3" t="inlineStr">
        <is>
          <t>공장용지</t>
        </is>
      </c>
      <c r="D1138" s="3" t="inlineStr">
        <is>
          <t>공장용지</t>
        </is>
      </c>
      <c r="E1138" s="3" t="inlineStr">
        <is>
          <t>매매</t>
        </is>
      </c>
      <c r="F1138" s="4" t="n">
        <v>630000</v>
      </c>
      <c r="G1138" s="4" t="n">
        <v>13896</v>
      </c>
      <c r="H1138" s="4" t="n">
        <v>4204</v>
      </c>
      <c r="I1138" s="5" t="n">
        <v>149.9</v>
      </c>
      <c r="J1138" s="5" t="n">
        <v>80.3</v>
      </c>
      <c r="K1138" s="3" t="inlineStr">
        <is>
          <t>nan</t>
        </is>
      </c>
      <c r="L1138" s="6">
        <f>HYPERLINK("https://fin.land.naver.com/articles/2652010967", "매물Link")</f>
        <v/>
      </c>
      <c r="M1138" s="6">
        <f>HYPERLINK("https://map.naver.com/p/search/부강면 갈산리 398-4", "지도Link")</f>
        <v/>
      </c>
      <c r="N1138" s="6">
        <f>HYPERLINK("http://www.eum.go.kr/web/ar/lu/luLandDet.jsp?pnu=3611033024103980004&amp;isNoScr=script&amp;mode=search", "토지이음")</f>
        <v/>
      </c>
      <c r="O1138" s="3" t="inlineStr">
        <is>
          <t>오너스</t>
        </is>
      </c>
      <c r="P1138" s="4" t="n">
        <v>1</v>
      </c>
      <c r="Q1138" s="4" t="n">
        <v>7677</v>
      </c>
      <c r="R1138" s="3" t="inlineStr">
        <is>
          <t>지정되지않음</t>
        </is>
      </c>
      <c r="S1138" s="3" t="inlineStr">
        <is>
          <t>공업용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부강면 갈산리 398-4</t>
        </is>
      </c>
      <c r="B1139" s="3" t="inlineStr">
        <is>
          <t>계획관리지역</t>
        </is>
      </c>
      <c r="C1139" s="3" t="inlineStr">
        <is>
          <t>공장용지</t>
        </is>
      </c>
      <c r="D1139" s="3" t="inlineStr">
        <is>
          <t>공장용지</t>
        </is>
      </c>
      <c r="E1139" s="3" t="inlineStr">
        <is>
          <t>매매</t>
        </is>
      </c>
      <c r="F1139" s="4" t="n">
        <v>630000</v>
      </c>
      <c r="G1139" s="4" t="n">
        <v>13872</v>
      </c>
      <c r="H1139" s="4" t="n">
        <v>4196</v>
      </c>
      <c r="I1139" s="5" t="n">
        <v>150.1</v>
      </c>
      <c r="J1139" s="5" t="n">
        <v>80.3</v>
      </c>
      <c r="K1139" s="3" t="inlineStr">
        <is>
          <t>갈산리 교차로에 인접하여 교통여건이 편리함</t>
        </is>
      </c>
      <c r="L1139" s="6">
        <f>HYPERLINK("https://fin.land.naver.com/articles/2653353120", "매물Link")</f>
        <v/>
      </c>
      <c r="M1139" s="6">
        <f>HYPERLINK("https://map.naver.com/p/search/부강면 갈산리 398-4", "지도Link")</f>
        <v/>
      </c>
      <c r="N1139" s="6">
        <f>HYPERLINK("http://www.eum.go.kr/web/ar/lu/luLandDet.jsp?pnu=3611033024103980004&amp;isNoScr=script&amp;mode=search", "토지이음")</f>
        <v/>
      </c>
      <c r="O1139" s="3" t="inlineStr">
        <is>
          <t>황제</t>
        </is>
      </c>
      <c r="P1139" s="4" t="n">
        <v>1</v>
      </c>
      <c r="Q1139" s="4" t="n">
        <v>7677</v>
      </c>
      <c r="R1139" s="3" t="inlineStr">
        <is>
          <t>지정되지않음</t>
        </is>
      </c>
      <c r="S1139" s="3" t="inlineStr">
        <is>
          <t>공업용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부강면 갈산리 66-6</t>
        </is>
      </c>
      <c r="B1140" s="3" t="inlineStr">
        <is>
          <t>계획관리지역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59500</v>
      </c>
      <c r="G1140" s="4" t="n">
        <v>1964</v>
      </c>
      <c r="H1140" s="4" t="n">
        <v>594</v>
      </c>
      <c r="I1140" s="5" t="n">
        <v>100.2</v>
      </c>
      <c r="J1140" s="5" t="n">
        <v>43.6</v>
      </c>
      <c r="K1140" s="3" t="inlineStr">
        <is>
          <t>급매,투자추천,도로접,계획관리.</t>
        </is>
      </c>
      <c r="L1140" s="6">
        <f>HYPERLINK("https://fin.land.naver.com/articles/2650666463", "매물Link")</f>
        <v/>
      </c>
      <c r="M1140" s="6">
        <f>HYPERLINK("https://map.naver.com/p/search/부강면 갈산리 66-6", "지도Link")</f>
        <v/>
      </c>
      <c r="N1140" s="6">
        <f>HYPERLINK("http://www.eum.go.kr/web/ar/lu/luLandDet.jsp?pnu=3611033024100660006&amp;isNoScr=script&amp;mode=search", "토지이음")</f>
        <v/>
      </c>
      <c r="O1140" s="3" t="inlineStr">
        <is>
          <t>수루배공간</t>
        </is>
      </c>
      <c r="P1140" s="4" t="n">
        <v>1</v>
      </c>
      <c r="Q1140" s="4" t="n">
        <v>1964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세로각지(가)</t>
        </is>
      </c>
    </row>
    <row r="1141">
      <c r="A1141" s="3" t="inlineStr">
        <is>
          <t>부강면 갈산리 산51-12</t>
        </is>
      </c>
      <c r="B1141" s="3" t="inlineStr">
        <is>
          <t>계획관리지역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32000</v>
      </c>
      <c r="G1141" s="4" t="n">
        <v>833</v>
      </c>
      <c r="H1141" s="4" t="n">
        <v>252</v>
      </c>
      <c r="I1141" s="5" t="n">
        <v>127</v>
      </c>
      <c r="J1141" s="5" t="n">
        <v>11</v>
      </c>
      <c r="K1141" s="3" t="inlineStr">
        <is>
          <t>소규모 공장이나 창고, 주차장 추천</t>
        </is>
      </c>
      <c r="L1141" s="6">
        <f>HYPERLINK("https://fin.land.naver.com/articles/2652093328", "매물Link")</f>
        <v/>
      </c>
      <c r="M1141" s="6">
        <f>HYPERLINK("https://map.naver.com/p/search/부강면 갈산리 산51-12", "지도Link")</f>
        <v/>
      </c>
      <c r="N1141" s="6">
        <f>HYPERLINK("http://www.eum.go.kr/web/ar/lu/luLandDet.jsp?pnu=3611033024200510012&amp;isNoScr=script&amp;mode=search", "토지이음")</f>
        <v/>
      </c>
      <c r="O1141" s="3" t="inlineStr">
        <is>
          <t>연동스카이</t>
        </is>
      </c>
      <c r="P1141" s="4" t="n">
        <v>1</v>
      </c>
      <c r="Q1141" s="4" t="n">
        <v>832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부강면 금호리 100-5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대</t>
        </is>
      </c>
      <c r="E1142" s="3" t="inlineStr">
        <is>
          <t>매매</t>
        </is>
      </c>
      <c r="F1142" s="4" t="n">
        <v>380000</v>
      </c>
      <c r="G1142" s="4" t="n">
        <v>13605</v>
      </c>
      <c r="H1142" s="4" t="n">
        <v>4116</v>
      </c>
      <c r="I1142" s="5" t="n">
        <v>92.3</v>
      </c>
      <c r="J1142" s="5" t="n">
        <v>40.7</v>
      </c>
      <c r="K1142" s="3" t="inlineStr">
        <is>
          <t>nan</t>
        </is>
      </c>
      <c r="L1142" s="6">
        <f>HYPERLINK("https://fin.land.naver.com/articles/2651714892", "매물Link")</f>
        <v/>
      </c>
      <c r="M1142" s="6">
        <f>HYPERLINK("https://map.naver.com/p/search/부강면 금호리 100-5", "지도Link")</f>
        <v/>
      </c>
      <c r="N1142" s="6">
        <f>HYPERLINK("http://www.eum.go.kr/web/ar/lu/luLandDet.jsp?pnu=3611033028101000005&amp;isNoScr=script&amp;mode=search", "토지이음")</f>
        <v/>
      </c>
      <c r="O1142" s="3" t="inlineStr">
        <is>
          <t>이레</t>
        </is>
      </c>
      <c r="P1142" s="4" t="n">
        <v>1</v>
      </c>
      <c r="Q1142" s="4" t="n">
        <v>81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부강면 금호리 108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70000</v>
      </c>
      <c r="G1143" s="4" t="n">
        <v>1772</v>
      </c>
      <c r="H1143" s="4" t="n">
        <v>536</v>
      </c>
      <c r="I1143" s="5" t="n">
        <v>130.6</v>
      </c>
      <c r="J1143" s="5" t="n">
        <v>29.3</v>
      </c>
      <c r="K1143" s="3" t="inlineStr">
        <is>
          <t>금강 뷰 전망 최고 둘레길 주변 전원주택 조성중</t>
        </is>
      </c>
      <c r="L1143" s="6">
        <f>HYPERLINK("https://fin.land.naver.com/articles/2654742646", "매물Link")</f>
        <v/>
      </c>
      <c r="M1143" s="6">
        <f>HYPERLINK("https://map.naver.com/p/search/부강면 금호리 108", "지도Link")</f>
        <v/>
      </c>
      <c r="N1143" s="6">
        <f>HYPERLINK("http://www.eum.go.kr/web/ar/lu/luLandDet.jsp?pnu=3611033028101080000&amp;isNoScr=script&amp;mode=search", "토지이음")</f>
        <v/>
      </c>
      <c r="O1143" s="3" t="inlineStr">
        <is>
          <t>광장(프라자)</t>
        </is>
      </c>
      <c r="P1143" s="4" t="n">
        <v>1</v>
      </c>
      <c r="Q1143" s="4" t="n">
        <v>1772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부강면 금호리 110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22000</v>
      </c>
      <c r="G1144" s="4" t="n">
        <v>307</v>
      </c>
      <c r="H1144" s="4" t="n">
        <v>93</v>
      </c>
      <c r="I1144" s="5" t="n">
        <v>236.6</v>
      </c>
      <c r="J1144" s="5" t="n">
        <v>29.5</v>
      </c>
      <c r="K1144" s="3" t="inlineStr">
        <is>
          <t>주변토지 전원주택지 조성중 대도로 금강 인접함</t>
        </is>
      </c>
      <c r="L1144" s="6">
        <f>HYPERLINK("https://fin.land.naver.com/articles/2651904858", "매물Link")</f>
        <v/>
      </c>
      <c r="M1144" s="6">
        <f>HYPERLINK("https://map.naver.com/p/search/부강면 금호리 110", "지도Link")</f>
        <v/>
      </c>
      <c r="N1144" s="6">
        <f>HYPERLINK("http://www.eum.go.kr/web/ar/lu/luLandDet.jsp?pnu=3611033028101100000&amp;isNoScr=script&amp;mode=search", "토지이음")</f>
        <v/>
      </c>
      <c r="O1144" s="3" t="inlineStr">
        <is>
          <t>광장(프라자)</t>
        </is>
      </c>
      <c r="P1144" s="4" t="n">
        <v>1</v>
      </c>
      <c r="Q1144" s="4" t="n">
        <v>307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맹지</t>
        </is>
      </c>
    </row>
    <row r="1145">
      <c r="A1145" s="3" t="inlineStr">
        <is>
          <t>부강면 금호리 155-6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250000</v>
      </c>
      <c r="G1145" s="4" t="n">
        <v>4257</v>
      </c>
      <c r="H1145" s="4" t="n">
        <v>1288</v>
      </c>
      <c r="I1145" s="5" t="n">
        <v>194.1</v>
      </c>
      <c r="J1145" s="5" t="n">
        <v>42.9</v>
      </c>
      <c r="K1145" s="3" t="inlineStr">
        <is>
          <t>근생허가받은 토지. 북대전ic~ 부강 4차선 도로 예정
급매</t>
        </is>
      </c>
      <c r="L1145" s="6">
        <f>HYPERLINK("https://fin.land.naver.com/articles/2651714945", "매물Link")</f>
        <v/>
      </c>
      <c r="M1145" s="6">
        <f>HYPERLINK("https://map.naver.com/p/search/부강면 금호리 155-6", "지도Link")</f>
        <v/>
      </c>
      <c r="N1145" s="6">
        <f>HYPERLINK("http://www.eum.go.kr/web/ar/lu/luLandDet.jsp?pnu=3611033028101550006&amp;isNoScr=script&amp;mode=search", "토지이음")</f>
        <v/>
      </c>
      <c r="O1145" s="3" t="inlineStr">
        <is>
          <t>이레</t>
        </is>
      </c>
      <c r="P1145" s="4" t="n">
        <v>1</v>
      </c>
      <c r="Q1145" s="4" t="n">
        <v>874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부강면 금호리 157-4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2060</v>
      </c>
      <c r="H1146" s="4" t="n">
        <v>623</v>
      </c>
      <c r="I1146" s="5" t="n">
        <v>192.6</v>
      </c>
      <c r="J1146" s="5" t="n">
        <v>42.9</v>
      </c>
      <c r="K1146" s="3" t="inlineStr">
        <is>
          <t>근생허가 받은 계획관리 토지.  뷱대전 ic 4차선 연결 도로 인근</t>
        </is>
      </c>
      <c r="L1146" s="6">
        <f>HYPERLINK("https://fin.land.naver.com/articles/2651714913", "매물Link")</f>
        <v/>
      </c>
      <c r="M1146" s="6">
        <f>HYPERLINK("https://map.naver.com/p/search/부강면 금호리 157-4", "지도Link")</f>
        <v/>
      </c>
      <c r="N1146" s="6">
        <f>HYPERLINK("http://www.eum.go.kr/web/ar/lu/luLandDet.jsp?pnu=3611033028101570004&amp;isNoScr=script&amp;mode=search", "토지이음")</f>
        <v/>
      </c>
      <c r="O1146" s="3" t="inlineStr">
        <is>
          <t>이레</t>
        </is>
      </c>
      <c r="P1146" s="4" t="n">
        <v>1</v>
      </c>
      <c r="Q1146" s="4" t="n">
        <v>1723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165-1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55000</v>
      </c>
      <c r="G1147" s="4" t="n">
        <v>1038</v>
      </c>
      <c r="H1147" s="4" t="n">
        <v>314</v>
      </c>
      <c r="I1147" s="5" t="n">
        <v>175.2</v>
      </c>
      <c r="J1147" s="5" t="n">
        <v>78.7</v>
      </c>
      <c r="K1147" s="3" t="inlineStr">
        <is>
          <t>급매, 단독주택 포함 매매, 총 314p</t>
        </is>
      </c>
      <c r="L1147" s="6">
        <f>HYPERLINK("https://fin.land.naver.com/articles/2651773765", "매물Link")</f>
        <v/>
      </c>
      <c r="M1147" s="6">
        <f>HYPERLINK("https://map.naver.com/p/search/부강면 금호리 165-1", "지도Link")</f>
        <v/>
      </c>
      <c r="N1147" s="6">
        <f>HYPERLINK("http://www.eum.go.kr/web/ar/lu/luLandDet.jsp?pnu=3611033028101650001&amp;isNoScr=script&amp;mode=search",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359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167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31500</v>
      </c>
      <c r="G1148" s="4" t="n">
        <v>694</v>
      </c>
      <c r="H1148" s="4" t="n">
        <v>210</v>
      </c>
      <c r="I1148" s="5" t="n">
        <v>150</v>
      </c>
      <c r="J1148" s="5" t="n">
        <v>44.2</v>
      </c>
      <c r="K1148" s="3" t="inlineStr">
        <is>
          <t>추천,   양쪽으로 차량통행 가능한 도로 접한 토지</t>
        </is>
      </c>
      <c r="L1148" s="6">
        <f>HYPERLINK("https://fin.land.naver.com/articles/2653939476", "매물Link")</f>
        <v/>
      </c>
      <c r="M1148" s="6">
        <f>HYPERLINK("https://map.naver.com/p/search/부강면 금호리 167", "지도Link")</f>
        <v/>
      </c>
      <c r="N1148" s="6">
        <f>HYPERLINK("http://www.eum.go.kr/web/ar/lu/luLandDet.jsp?pnu=3611033028101670000&amp;isNoScr=script&amp;mode=search", "토지이음")</f>
        <v/>
      </c>
      <c r="O1148" s="3" t="inlineStr">
        <is>
          <t>세종땅사랑</t>
        </is>
      </c>
      <c r="P1148" s="4" t="n">
        <v>1</v>
      </c>
      <c r="Q1148" s="4" t="n">
        <v>463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부강면 금호리 172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67000</v>
      </c>
      <c r="G1149" s="4" t="n">
        <v>797</v>
      </c>
      <c r="H1149" s="4" t="n">
        <v>241</v>
      </c>
      <c r="I1149" s="5" t="n">
        <v>278</v>
      </c>
      <c r="J1149" s="5" t="n">
        <v>78.7</v>
      </c>
      <c r="K1149" s="3" t="inlineStr">
        <is>
          <t>금강 뷰가 내려 보이는 조망 최고의 전원주택 부지. 신도심 접근성 용이</t>
        </is>
      </c>
      <c r="L1149" s="6">
        <f>HYPERLINK("https://fin.land.naver.com/articles/2652917254", "매물Link")</f>
        <v/>
      </c>
      <c r="M1149" s="6">
        <f>HYPERLINK("https://map.naver.com/p/search/부강면 금호리 172", "지도Link")</f>
        <v/>
      </c>
      <c r="N1149" s="6">
        <f>HYPERLINK("http://www.eum.go.kr/web/ar/lu/luLandDet.jsp?pnu=3611033028101720000&amp;isNoScr=script&amp;mode=search", "토지이음")</f>
        <v/>
      </c>
      <c r="O1149" s="3" t="inlineStr">
        <is>
          <t>신영</t>
        </is>
      </c>
      <c r="P1149" s="4" t="n">
        <v>1</v>
      </c>
      <c r="Q1149" s="4" t="n">
        <v>797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부강면 금호리 188-2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150000</v>
      </c>
      <c r="G1150" s="4" t="n">
        <v>3368</v>
      </c>
      <c r="H1150" s="4" t="n">
        <v>1019</v>
      </c>
      <c r="I1150" s="5" t="n">
        <v>147.2</v>
      </c>
      <c r="J1150" s="5" t="n">
        <v>38</v>
      </c>
      <c r="K1150" s="3" t="inlineStr">
        <is>
          <t>nan</t>
        </is>
      </c>
      <c r="L1150" s="6">
        <f>HYPERLINK("https://fin.land.naver.com/articles/2654051627", "매물Link")</f>
        <v/>
      </c>
      <c r="M1150" s="6">
        <f>HYPERLINK("https://map.naver.com/p/search/부강면 금호리 188-2", "지도Link")</f>
        <v/>
      </c>
      <c r="N1150" s="6">
        <f>HYPERLINK("http://www.eum.go.kr/web/ar/lu/luLandDet.jsp?pnu=3611033028101880002&amp;isNoScr=script&amp;mode=search", "토지이음")</f>
        <v/>
      </c>
      <c r="O1150" s="3" t="inlineStr">
        <is>
          <t>대박</t>
        </is>
      </c>
      <c r="P1150" s="4" t="n">
        <v>1</v>
      </c>
      <c r="Q1150" s="4" t="n">
        <v>1821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부강면 금호리 207-3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82000</v>
      </c>
      <c r="G1151" s="4" t="n">
        <v>2707</v>
      </c>
      <c r="H1151" s="4" t="n">
        <v>819</v>
      </c>
      <c r="I1151" s="5" t="n">
        <v>100.1</v>
      </c>
      <c r="J1151" s="5" t="n">
        <v>42.9</v>
      </c>
      <c r="K1151" s="3" t="inlineStr">
        <is>
          <t>계획관리 답. 4미터 도로 접. 부강일반산단 옆</t>
        </is>
      </c>
      <c r="L1151" s="6">
        <f>HYPERLINK("https://fin.land.naver.com/articles/2654261924", "매물Link")</f>
        <v/>
      </c>
      <c r="M1151" s="6">
        <f>HYPERLINK("https://map.naver.com/p/search/부강면 금호리 207-3", "지도Link")</f>
        <v/>
      </c>
      <c r="N1151" s="6">
        <f>HYPERLINK("http://www.eum.go.kr/web/ar/lu/luLandDet.jsp?pnu=3611033028102070003&amp;isNoScr=script&amp;mode=search", "토지이음")</f>
        <v/>
      </c>
      <c r="O1151" s="3" t="inlineStr">
        <is>
          <t>미스터홈즈강남지사</t>
        </is>
      </c>
      <c r="P1151" s="4" t="n">
        <v>2</v>
      </c>
      <c r="Q1151" s="4" t="n">
        <v>2707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부강면 금호리 234-5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109000</v>
      </c>
      <c r="G1152" s="4" t="n">
        <v>939</v>
      </c>
      <c r="H1152" s="4" t="n">
        <v>284</v>
      </c>
      <c r="I1152" s="5" t="n">
        <v>383.8</v>
      </c>
      <c r="J1152" s="5" t="n">
        <v>89.90000000000001</v>
      </c>
      <c r="K1152" s="3" t="inlineStr">
        <is>
          <t>인테리어 걱정 없는 완벽한 카페 건물 및 조경 포함</t>
        </is>
      </c>
      <c r="L1152" s="6">
        <f>HYPERLINK("https://fin.land.naver.com/articles/2650931748", "매물Link")</f>
        <v/>
      </c>
      <c r="M1152" s="6">
        <f>HYPERLINK("https://map.naver.com/p/search/부강면 금호리 234-5", "지도Link")</f>
        <v/>
      </c>
      <c r="N1152" s="6">
        <f>HYPERLINK("http://www.eum.go.kr/web/ar/lu/luLandDet.jsp?pnu=3611033028102340005&amp;isNoScr=script&amp;mode=search", "토지이음")</f>
        <v/>
      </c>
      <c r="O1152" s="3" t="inlineStr">
        <is>
          <t>하임</t>
        </is>
      </c>
      <c r="P1152" s="4" t="n">
        <v>1</v>
      </c>
      <c r="Q1152" s="4" t="n">
        <v>939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240-10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82500</v>
      </c>
      <c r="G1153" s="4" t="n">
        <v>819</v>
      </c>
      <c r="H1153" s="4" t="n">
        <v>248</v>
      </c>
      <c r="I1153" s="5" t="n">
        <v>332.7</v>
      </c>
      <c r="J1153" s="5" t="n">
        <v>59.7</v>
      </c>
      <c r="K1153" s="3" t="inlineStr">
        <is>
          <t>계획관리지역. 성장관리계획구역. 기존산업단지와 연결되는 인접 토지 매매</t>
        </is>
      </c>
      <c r="L1153" s="6">
        <f>HYPERLINK("https://fin.land.naver.com/articles/2654068216", "매물Link")</f>
        <v/>
      </c>
      <c r="M1153" s="6">
        <f>HYPERLINK("https://map.naver.com/p/search/부강면 금호리 240-10", "지도Link")</f>
        <v/>
      </c>
      <c r="N1153" s="6">
        <f>HYPERLINK("http://www.eum.go.kr/web/ar/lu/luLandDet.jsp?pnu=3611033028102400010&amp;isNoScr=script&amp;mode=search", "토지이음")</f>
        <v/>
      </c>
      <c r="O1153" s="3" t="inlineStr">
        <is>
          <t>진행</t>
        </is>
      </c>
      <c r="P1153" s="4" t="n">
        <v>1</v>
      </c>
      <c r="Q1153" s="4" t="n">
        <v>819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부강면 금호리 30-2</t>
        </is>
      </c>
      <c r="B1154" s="3" t="inlineStr">
        <is>
          <t>계획관리지역</t>
        </is>
      </c>
      <c r="C1154" s="3" t="inlineStr">
        <is>
          <t>공장용지</t>
        </is>
      </c>
      <c r="D1154" s="3" t="inlineStr">
        <is>
          <t>공장용지</t>
        </is>
      </c>
      <c r="E1154" s="3" t="inlineStr">
        <is>
          <t>매매</t>
        </is>
      </c>
      <c r="F1154" s="4" t="n">
        <v>210000</v>
      </c>
      <c r="G1154" s="4" t="n">
        <v>4328</v>
      </c>
      <c r="H1154" s="4" t="n">
        <v>1309</v>
      </c>
      <c r="I1154" s="5" t="n">
        <v>160.4</v>
      </c>
      <c r="J1154" s="5" t="n">
        <v>80.7</v>
      </c>
      <c r="K1154" s="3" t="inlineStr">
        <is>
          <t>공장용지로 지리적위치 접근성이좋고 산업폐기물 인.허가 득하여 투자성이좋음</t>
        </is>
      </c>
      <c r="L1154" s="6">
        <f>HYPERLINK("https://fin.land.naver.com/articles/2650435382", "매물Link")</f>
        <v/>
      </c>
      <c r="M1154" s="6">
        <f>HYPERLINK("https://map.naver.com/p/search/부강면 금호리 30-2", "지도Link")</f>
        <v/>
      </c>
      <c r="N1154" s="6">
        <f>HYPERLINK("http://www.eum.go.kr/web/ar/lu/luLandDet.jsp?pnu=3611033028100300002&amp;isNoScr=script&amp;mode=search", "토지이음")</f>
        <v/>
      </c>
      <c r="O1154" s="3" t="inlineStr">
        <is>
          <t>오투그린1</t>
        </is>
      </c>
      <c r="P1154" s="4" t="n">
        <v>1</v>
      </c>
      <c r="Q1154" s="4" t="n">
        <v>4328</v>
      </c>
      <c r="R1154" s="3" t="inlineStr">
        <is>
          <t>지정되지않음</t>
        </is>
      </c>
      <c r="S1154" s="3" t="inlineStr">
        <is>
          <t>공업기타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353-2</t>
        </is>
      </c>
      <c r="B1155" s="3" t="inlineStr">
        <is>
          <t>보전관리지역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26800</v>
      </c>
      <c r="G1155" s="4" t="n">
        <v>1362</v>
      </c>
      <c r="H1155" s="4" t="n">
        <v>412</v>
      </c>
      <c r="I1155" s="5" t="n">
        <v>65</v>
      </c>
      <c r="J1155" s="5" t="n">
        <v>5.3</v>
      </c>
      <c r="K1155" s="3" t="inlineStr">
        <is>
          <t>세종시5분 금강변의 햇볕 잘 드는 토지</t>
        </is>
      </c>
      <c r="L1155" s="6">
        <f>HYPERLINK("https://fin.land.naver.com/articles/2653852269", "매물Link")</f>
        <v/>
      </c>
      <c r="M1155" s="6">
        <f>HYPERLINK("https://map.naver.com/p/search/부강면 금호리 353-2", "지도Link")</f>
        <v/>
      </c>
      <c r="N1155" s="6">
        <f>HYPERLINK("http://www.eum.go.kr/web/ar/lu/luLandDet.jsp?pnu=3611033028103530002&amp;isNoScr=script&amp;mode=search", "토지이음")</f>
        <v/>
      </c>
      <c r="O1155" s="3" t="inlineStr">
        <is>
          <t>천억사사무소</t>
        </is>
      </c>
      <c r="P1155" s="4" t="n">
        <v>1</v>
      </c>
      <c r="Q1155" s="4" t="n">
        <v>1806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금호리 358-4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25000</v>
      </c>
      <c r="G1156" s="4" t="n">
        <v>1263</v>
      </c>
      <c r="H1156" s="4" t="n">
        <v>382</v>
      </c>
      <c r="I1156" s="5" t="n">
        <v>65.40000000000001</v>
      </c>
      <c r="J1156" s="5" t="n">
        <v>5.2</v>
      </c>
      <c r="K1156" s="3" t="inlineStr">
        <is>
          <t>즉시 신축 가능 매매 급매물 상.하수도 전기 기반공사 완료돼있고 건축허가</t>
        </is>
      </c>
      <c r="L1156" s="6">
        <f>HYPERLINK("https://fin.land.naver.com/articles/2654190350", "매물Link")</f>
        <v/>
      </c>
      <c r="M1156" s="6">
        <f>HYPERLINK("https://map.naver.com/p/search/부강면 금호리 358-4", "지도Link")</f>
        <v/>
      </c>
      <c r="N1156" s="6">
        <f>HYPERLINK("http://www.eum.go.kr/web/ar/lu/luLandDet.jsp?pnu=3611033028103580004&amp;isNoScr=script&amp;mode=search", "토지이음")</f>
        <v/>
      </c>
      <c r="O1156" s="3" t="inlineStr">
        <is>
          <t>세종시삼성래미안</t>
        </is>
      </c>
      <c r="P1156" s="4" t="n">
        <v>1</v>
      </c>
      <c r="Q1156" s="4" t="n">
        <v>995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정방형</t>
        </is>
      </c>
      <c r="V1156" s="3" t="inlineStr">
        <is>
          <t>맹지</t>
        </is>
      </c>
    </row>
    <row r="1157">
      <c r="A1157" s="3" t="inlineStr">
        <is>
          <t>부강면 금호리 377-8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49000</v>
      </c>
      <c r="G1157" s="4" t="n">
        <v>648</v>
      </c>
      <c r="H1157" s="4" t="n">
        <v>196</v>
      </c>
      <c r="I1157" s="5" t="n">
        <v>250</v>
      </c>
      <c r="J1157" s="5" t="n">
        <v>79.90000000000001</v>
      </c>
      <c r="K1157" s="3" t="inlineStr">
        <is>
          <t>계획관리지역 나대지로 투자가치 양호함.</t>
        </is>
      </c>
      <c r="L1157" s="6">
        <f>HYPERLINK("https://fin.land.naver.com/articles/2652853734", "매물Link")</f>
        <v/>
      </c>
      <c r="M1157" s="6">
        <f>HYPERLINK("https://map.naver.com/p/search/부강면 금호리 377-8", "지도Link")</f>
        <v/>
      </c>
      <c r="N1157" s="6">
        <f>HYPERLINK("http://www.eum.go.kr/web/ar/lu/luLandDet.jsp?pnu=3611033028103770008&amp;isNoScr=script&amp;mode=search", "토지이음")</f>
        <v/>
      </c>
      <c r="O1157" s="3" t="inlineStr">
        <is>
          <t>다정현대</t>
        </is>
      </c>
      <c r="P1157" s="4" t="n">
        <v>1</v>
      </c>
      <c r="Q1157" s="4" t="n">
        <v>390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세로한면(가)</t>
        </is>
      </c>
    </row>
    <row r="1158">
      <c r="A1158" s="3" t="inlineStr">
        <is>
          <t>부강면 금호리 389-1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194000</v>
      </c>
      <c r="G1158" s="4" t="n">
        <v>1941</v>
      </c>
      <c r="H1158" s="4" t="n">
        <v>587</v>
      </c>
      <c r="I1158" s="5" t="n">
        <v>330.5</v>
      </c>
      <c r="J1158" s="5" t="n">
        <v>79.90000000000001</v>
      </c>
      <c r="K1158" s="3" t="inlineStr">
        <is>
          <t>도로접한 모양좋은 토지, 카페나, 식당, 주택지로도 좋음</t>
        </is>
      </c>
      <c r="L1158" s="6">
        <f>HYPERLINK("https://fin.land.naver.com/articles/2652042892", "매물Link")</f>
        <v/>
      </c>
      <c r="M1158" s="6">
        <f>HYPERLINK("https://map.naver.com/p/search/부강면 금호리 389-1", "지도Link")</f>
        <v/>
      </c>
      <c r="N1158" s="6">
        <f>HYPERLINK("http://www.eum.go.kr/web/ar/lu/luLandDet.jsp?pnu=3611033028103890001&amp;isNoScr=script&amp;mode=search", "토지이음")</f>
        <v/>
      </c>
      <c r="O1158" s="3" t="inlineStr">
        <is>
          <t>미스터홈즈강남지사</t>
        </is>
      </c>
      <c r="P1158" s="4" t="n">
        <v>1</v>
      </c>
      <c r="Q1158" s="4" t="n">
        <v>662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부강면 금호리 389-10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194000</v>
      </c>
      <c r="G1159" s="4" t="n">
        <v>1941</v>
      </c>
      <c r="H1159" s="4" t="n">
        <v>587</v>
      </c>
      <c r="I1159" s="5" t="n">
        <v>330.5</v>
      </c>
      <c r="J1159" s="5" t="n">
        <v>79.09999999999999</v>
      </c>
      <c r="K1159" s="3" t="inlineStr">
        <is>
          <t>도로접하고 부강일반사업단지근교, 남i주10분이내,사옥,공장물류창고 적합.</t>
        </is>
      </c>
      <c r="L1159" s="6">
        <f>HYPERLINK("https://fin.land.naver.com/articles/2651044965", "매물Link")</f>
        <v/>
      </c>
      <c r="M1159" s="6">
        <f>HYPERLINK("https://map.naver.com/p/search/부강면 금호리 389-10", "지도Link")</f>
        <v/>
      </c>
      <c r="N1159" s="6">
        <f>HYPERLINK("http://www.eum.go.kr/web/ar/lu/luLandDet.jsp?pnu=3611033028103890010&amp;isNoScr=script&amp;mode=search", "토지이음")</f>
        <v/>
      </c>
      <c r="O1159" s="3" t="inlineStr">
        <is>
          <t>원내</t>
        </is>
      </c>
      <c r="P1159" s="4" t="n">
        <v>1</v>
      </c>
      <c r="Q1159" s="4" t="n">
        <v>656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부강면 금호리 389-6</t>
        </is>
      </c>
      <c r="B1160" s="3" t="inlineStr">
        <is>
          <t>계획관리지역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160000</v>
      </c>
      <c r="G1160" s="4" t="n">
        <v>1058</v>
      </c>
      <c r="H1160" s="4" t="n">
        <v>320</v>
      </c>
      <c r="I1160" s="5" t="n">
        <v>500</v>
      </c>
      <c r="J1160" s="5" t="n">
        <v>53.4</v>
      </c>
      <c r="K1160" s="3" t="inlineStr">
        <is>
          <t>현재 전으로 사용중 두필지 전원주택분양 좋음, 사업용사용가능창고,사옥공장</t>
        </is>
      </c>
      <c r="L1160" s="6">
        <f>HYPERLINK("https://fin.land.naver.com/articles/2651044105", "매물Link")</f>
        <v/>
      </c>
      <c r="M1160" s="6">
        <f>HYPERLINK("https://map.naver.com/p/search/부강면 금호리 389-6", "지도Link")</f>
        <v/>
      </c>
      <c r="N1160" s="6">
        <f>HYPERLINK("http://www.eum.go.kr/web/ar/lu/luLandDet.jsp?pnu=3611033028103890006&amp;isNoScr=script&amp;mode=search", "토지이음")</f>
        <v/>
      </c>
      <c r="O1160" s="3" t="inlineStr">
        <is>
          <t>원내</t>
        </is>
      </c>
      <c r="P1160" s="4" t="n">
        <v>1</v>
      </c>
      <c r="Q1160" s="4" t="n">
        <v>529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금호리 389-6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112000</v>
      </c>
      <c r="G1161" s="4" t="n">
        <v>1058</v>
      </c>
      <c r="H1161" s="4" t="n">
        <v>320</v>
      </c>
      <c r="I1161" s="5" t="n">
        <v>350</v>
      </c>
      <c r="J1161" s="5" t="n">
        <v>53.4</v>
      </c>
      <c r="K1161" s="3" t="inlineStr">
        <is>
          <t>정남향 도로접한 계획관리.성장관리지역 알토란 토지,가격조정가능</t>
        </is>
      </c>
      <c r="L1161" s="6">
        <f>HYPERLINK("https://fin.land.naver.com/articles/2655576973", "매물Link")</f>
        <v/>
      </c>
      <c r="M1161" s="6">
        <f>HYPERLINK("https://map.naver.com/p/search/부강면 금호리 389-6", "지도Link")</f>
        <v/>
      </c>
      <c r="N1161" s="6">
        <f>HYPERLINK("http://www.eum.go.kr/web/ar/lu/luLandDet.jsp?pnu=3611033028103890006&amp;isNoScr=script&amp;mode=search", "토지이음")</f>
        <v/>
      </c>
      <c r="O1161" s="3" t="inlineStr">
        <is>
          <t>고운맘</t>
        </is>
      </c>
      <c r="P1161" s="4" t="n">
        <v>1</v>
      </c>
      <c r="Q1161" s="4" t="n">
        <v>529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389-6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55000</v>
      </c>
      <c r="G1162" s="4" t="n">
        <v>529</v>
      </c>
      <c r="H1162" s="4" t="n">
        <v>160</v>
      </c>
      <c r="I1162" s="5" t="n">
        <v>343.8</v>
      </c>
      <c r="J1162" s="5" t="n">
        <v>53.4</v>
      </c>
      <c r="K1162" s="3" t="inlineStr">
        <is>
          <t>세종 행복도시 43생활권 차로 7분10분대,연접토지동시매매가능</t>
        </is>
      </c>
      <c r="L1162" s="6">
        <f>HYPERLINK("https://fin.land.naver.com/articles/2653999798", "매물Link")</f>
        <v/>
      </c>
      <c r="M1162" s="6">
        <f>HYPERLINK("https://map.naver.com/p/search/부강면 금호리 389-6", "지도Link")</f>
        <v/>
      </c>
      <c r="N1162" s="6">
        <f>HYPERLINK("http://www.eum.go.kr/web/ar/lu/luLandDet.jsp?pnu=3611033028103890006&amp;isNoScr=script&amp;mode=search", "토지이음")</f>
        <v/>
      </c>
      <c r="O1162" s="3" t="inlineStr">
        <is>
          <t>구암양지</t>
        </is>
      </c>
      <c r="P1162" s="4" t="n">
        <v>1</v>
      </c>
      <c r="Q1162" s="4" t="n">
        <v>529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436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118000</v>
      </c>
      <c r="G1163" s="4" t="n">
        <v>1957</v>
      </c>
      <c r="H1163" s="4" t="n">
        <v>592</v>
      </c>
      <c r="I1163" s="5" t="n">
        <v>199.3</v>
      </c>
      <c r="J1163" s="5" t="n">
        <v>36</v>
      </c>
      <c r="K1163" s="3" t="inlineStr">
        <is>
          <t>도로인접, 부용농공단지인근, 생산관리지역, 답</t>
        </is>
      </c>
      <c r="L1163" s="6">
        <f>HYPERLINK("https://fin.land.naver.com/articles/2653055028", "매물Link")</f>
        <v/>
      </c>
      <c r="M1163" s="6">
        <f>HYPERLINK("https://map.naver.com/p/search/부강면 금호리 436", "지도Link")</f>
        <v/>
      </c>
      <c r="N1163" s="6">
        <f>HYPERLINK("http://www.eum.go.kr/web/ar/lu/luLandDet.jsp?pnu=3611033028104360000&amp;isNoScr=script&amp;mode=search", "토지이음")</f>
        <v/>
      </c>
      <c r="O1163" s="3" t="inlineStr">
        <is>
          <t>Home</t>
        </is>
      </c>
      <c r="P1163" s="4" t="n">
        <v>1</v>
      </c>
      <c r="Q1163" s="4" t="n">
        <v>1957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부강면 금호리 442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62000</v>
      </c>
      <c r="G1164" s="4" t="n">
        <v>1649</v>
      </c>
      <c r="H1164" s="4" t="n">
        <v>499</v>
      </c>
      <c r="I1164" s="5" t="n">
        <v>124.2</v>
      </c>
      <c r="J1164" s="5" t="n">
        <v>50.7</v>
      </c>
      <c r="K1164" s="3" t="inlineStr">
        <is>
          <t>남향의 반듯한 계획관리 토지. 투자용추천</t>
        </is>
      </c>
      <c r="L1164" s="6">
        <f>HYPERLINK("https://fin.land.naver.com/articles/2653462486", "매물Link")</f>
        <v/>
      </c>
      <c r="M1164" s="6">
        <f>HYPERLINK("https://map.naver.com/p/search/부강면 금호리 442", "지도Link")</f>
        <v/>
      </c>
      <c r="N1164" s="6">
        <f>HYPERLINK("http://www.eum.go.kr/web/ar/lu/luLandDet.jsp?pnu=3611033028104420000&amp;isNoScr=script&amp;mode=search",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1649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금호리 442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62000</v>
      </c>
      <c r="G1165" s="4" t="n">
        <v>1649</v>
      </c>
      <c r="H1165" s="4" t="n">
        <v>499</v>
      </c>
      <c r="I1165" s="5" t="n">
        <v>124.2</v>
      </c>
      <c r="J1165" s="5" t="n">
        <v>50.7</v>
      </c>
      <c r="K1165" s="3" t="inlineStr">
        <is>
          <t>금강변 부강금호로 인접, 약2km거리 철도 매포역과 부강생활체육공원 있음</t>
        </is>
      </c>
      <c r="L1165" s="6">
        <f>HYPERLINK("https://fin.land.naver.com/articles/2650433611", "매물Link")</f>
        <v/>
      </c>
      <c r="M1165" s="6">
        <f>HYPERLINK("https://map.naver.com/p/search/부강면 금호리 442", "지도Link")</f>
        <v/>
      </c>
      <c r="N1165" s="6">
        <f>HYPERLINK("http://www.eum.go.kr/web/ar/lu/luLandDet.jsp?pnu=3611033028104420000&amp;isNoScr=script&amp;mode=search", "토지이음")</f>
        <v/>
      </c>
      <c r="O1165" s="3" t="inlineStr">
        <is>
          <t>월평랜드</t>
        </is>
      </c>
      <c r="P1165" s="4" t="n">
        <v>1</v>
      </c>
      <c r="Q1165" s="4" t="n">
        <v>1649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금호리 613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50000</v>
      </c>
      <c r="G1166" s="4" t="n">
        <v>679</v>
      </c>
      <c r="H1166" s="4" t="n">
        <v>205</v>
      </c>
      <c r="I1166" s="5" t="n">
        <v>243.9</v>
      </c>
      <c r="J1166" s="5" t="n">
        <v>88</v>
      </c>
      <c r="K1166" s="3" t="inlineStr">
        <is>
          <t>주택, 텃밭, 카페 추천</t>
        </is>
      </c>
      <c r="L1166" s="6">
        <f>HYPERLINK("https://fin.land.naver.com/articles/2653353132", "매물Link")</f>
        <v/>
      </c>
      <c r="M1166" s="6">
        <f>HYPERLINK("https://map.naver.com/p/search/부강면 금호리 613", "지도Link")</f>
        <v/>
      </c>
      <c r="N1166" s="6">
        <f>HYPERLINK("http://www.eum.go.kr/web/ar/lu/luLandDet.jsp?pnu=3611033028106130000&amp;isNoScr=script&amp;mode=search", "토지이음")</f>
        <v/>
      </c>
      <c r="O1166" s="3" t="inlineStr">
        <is>
          <t>황제</t>
        </is>
      </c>
      <c r="P1166" s="4" t="n">
        <v>1</v>
      </c>
      <c r="Q1166" s="4" t="n">
        <v>679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금호리 614-1</t>
        </is>
      </c>
      <c r="B1167" s="3" t="inlineStr">
        <is>
          <t>보전관리지역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180000</v>
      </c>
      <c r="G1167" s="4" t="n">
        <v>7235</v>
      </c>
      <c r="H1167" s="4" t="n">
        <v>2189</v>
      </c>
      <c r="I1167" s="5" t="n">
        <v>82.2</v>
      </c>
      <c r="J1167" s="5" t="n">
        <v>4.9</v>
      </c>
      <c r="K1167" s="3" t="inlineStr">
        <is>
          <t>개발가능한 임야</t>
        </is>
      </c>
      <c r="L1167" s="6">
        <f>HYPERLINK("https://fin.land.naver.com/articles/2653365134", "매물Link")</f>
        <v/>
      </c>
      <c r="M1167" s="6">
        <f>HYPERLINK("https://map.naver.com/p/search/부강면 금호리 614-1", "지도Link")</f>
        <v/>
      </c>
      <c r="N1167" s="6">
        <f>HYPERLINK("http://www.eum.go.kr/web/ar/lu/luLandDet.jsp?pnu=3611033028106140001&amp;isNoScr=script&amp;mode=search", "토지이음")</f>
        <v/>
      </c>
      <c r="O1167" s="3" t="inlineStr">
        <is>
          <t>골든타임</t>
        </is>
      </c>
      <c r="P1167" s="4" t="n">
        <v>1</v>
      </c>
      <c r="Q1167" s="4" t="n">
        <v>6576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금호리 649-2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94000</v>
      </c>
      <c r="G1168" s="4" t="n">
        <v>1111</v>
      </c>
      <c r="H1168" s="4" t="n">
        <v>336</v>
      </c>
      <c r="I1168" s="5" t="n">
        <v>279.8</v>
      </c>
      <c r="J1168" s="5" t="n">
        <v>85.59999999999999</v>
      </c>
      <c r="K1168" s="3" t="inlineStr">
        <is>
          <t>부강 산단 초입 계획관리 토지</t>
        </is>
      </c>
      <c r="L1168" s="6">
        <f>HYPERLINK("https://fin.land.naver.com/articles/2653362507", "매물Link")</f>
        <v/>
      </c>
      <c r="M1168" s="6">
        <f>HYPERLINK("https://map.naver.com/p/search/부강면 금호리 649-2", "지도Link")</f>
        <v/>
      </c>
      <c r="N1168" s="6">
        <f>HYPERLINK("http://www.eum.go.kr/web/ar/lu/luLandDet.jsp?pnu=3611033028106490002&amp;isNoScr=script&amp;mode=search", "토지이음")</f>
        <v/>
      </c>
      <c r="O1168" s="3" t="inlineStr">
        <is>
          <t>이레</t>
        </is>
      </c>
      <c r="P1168" s="4" t="n">
        <v>1</v>
      </c>
      <c r="Q1168" s="4" t="n">
        <v>1111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부강면 금호리 652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40000</v>
      </c>
      <c r="G1169" s="4" t="n">
        <v>525</v>
      </c>
      <c r="H1169" s="4" t="n">
        <v>159</v>
      </c>
      <c r="I1169" s="5" t="n">
        <v>251.6</v>
      </c>
      <c r="J1169" s="5" t="n">
        <v>92.5</v>
      </c>
      <c r="K1169" s="3" t="inlineStr">
        <is>
          <t>세종시 부강면 금호리  토지 매매</t>
        </is>
      </c>
      <c r="L1169" s="6">
        <f>HYPERLINK("https://fin.land.naver.com/articles/2650695624", "매물Link")</f>
        <v/>
      </c>
      <c r="M1169" s="6">
        <f>HYPERLINK("https://map.naver.com/p/search/부강면 금호리 652", "지도Link")</f>
        <v/>
      </c>
      <c r="N1169" s="6">
        <f>HYPERLINK("http://www.eum.go.kr/web/ar/lu/luLandDet.jsp?pnu=3611033028106520000&amp;isNoScr=script&amp;mode=search", "토지이음")</f>
        <v/>
      </c>
      <c r="O1169" s="3" t="inlineStr">
        <is>
          <t>세종행복한</t>
        </is>
      </c>
      <c r="P1169" s="4" t="n">
        <v>1</v>
      </c>
      <c r="Q1169" s="4" t="n">
        <v>403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부강면 금호리 700-17</t>
        </is>
      </c>
      <c r="B1170" s="3" t="inlineStr">
        <is>
          <t>계획관리지역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80000</v>
      </c>
      <c r="G1170" s="4" t="n">
        <v>660</v>
      </c>
      <c r="H1170" s="4" t="n">
        <v>200</v>
      </c>
      <c r="I1170" s="5" t="n">
        <v>400</v>
      </c>
      <c r="J1170" s="5" t="n">
        <v>112.4</v>
      </c>
      <c r="K1170" s="3" t="inlineStr">
        <is>
          <t>2차선도로변 계획관리. 5생활권 대학부지 10분이내거리</t>
        </is>
      </c>
      <c r="L1170" s="6">
        <f>HYPERLINK("https://fin.land.naver.com/articles/2654036270", "매물Link")</f>
        <v/>
      </c>
      <c r="M1170" s="6">
        <f>HYPERLINK("https://map.naver.com/p/search/부강면 금호리 700-17", "지도Link")</f>
        <v/>
      </c>
      <c r="N1170" s="6">
        <f>HYPERLINK("http://www.eum.go.kr/web/ar/lu/luLandDet.jsp?pnu=3611033028107000017&amp;isNoScr=script&amp;mode=search", "토지이음")</f>
        <v/>
      </c>
      <c r="O1170" s="3" t="inlineStr">
        <is>
          <t>황금나무</t>
        </is>
      </c>
      <c r="P1170" s="4" t="n">
        <v>1</v>
      </c>
      <c r="Q1170" s="4" t="n">
        <v>660</v>
      </c>
      <c r="R1170" s="3" t="inlineStr">
        <is>
          <t>지정되지않음</t>
        </is>
      </c>
      <c r="S1170" s="3" t="inlineStr">
        <is>
          <t>공업용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소로한면</t>
        </is>
      </c>
    </row>
    <row r="1171">
      <c r="A1171" s="3" t="inlineStr">
        <is>
          <t>부강면 금호리 708-2</t>
        </is>
      </c>
      <c r="B1171" s="3" t="inlineStr">
        <is>
          <t>계획관리지역</t>
        </is>
      </c>
      <c r="C1171" s="3" t="inlineStr">
        <is>
          <t>임야</t>
        </is>
      </c>
      <c r="D1171" s="3" t="inlineStr">
        <is>
          <t>전</t>
        </is>
      </c>
      <c r="E1171" s="3" t="inlineStr">
        <is>
          <t>매매</t>
        </is>
      </c>
      <c r="F1171" s="4" t="n">
        <v>48000</v>
      </c>
      <c r="G1171" s="4" t="n">
        <v>867</v>
      </c>
      <c r="H1171" s="4" t="n">
        <v>262</v>
      </c>
      <c r="I1171" s="5" t="n">
        <v>183.2</v>
      </c>
      <c r="J1171" s="5" t="n">
        <v>59.7</v>
      </c>
      <c r="K1171" s="3" t="inlineStr">
        <is>
          <t>nan</t>
        </is>
      </c>
      <c r="L1171" s="6">
        <f>HYPERLINK("https://fin.land.naver.com/articles/2655496444", "매물Link")</f>
        <v/>
      </c>
      <c r="M1171" s="6">
        <f>HYPERLINK("https://map.naver.com/p/search/부강면 금호리 708-2", "지도Link")</f>
        <v/>
      </c>
      <c r="N1171" s="6">
        <f>HYPERLINK("http://www.eum.go.kr/web/ar/lu/luLandDet.jsp?pnu=3611033028107080002&amp;isNoScr=script&amp;mode=search", "토지이음")</f>
        <v/>
      </c>
      <c r="O1171" s="3" t="inlineStr">
        <is>
          <t>경남아너스빌</t>
        </is>
      </c>
      <c r="P1171" s="4" t="n">
        <v>1</v>
      </c>
      <c r="Q1171" s="4" t="n">
        <v>434</v>
      </c>
      <c r="R1171" s="3" t="inlineStr">
        <is>
          <t>지정되지않음</t>
        </is>
      </c>
      <c r="S1171" s="3" t="inlineStr">
        <is>
          <t>전기타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소로한면</t>
        </is>
      </c>
    </row>
    <row r="1172">
      <c r="A1172" s="3" t="inlineStr">
        <is>
          <t>부강면 금호리 712-16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35000</v>
      </c>
      <c r="G1172" s="4" t="n">
        <v>379</v>
      </c>
      <c r="H1172" s="4" t="n">
        <v>115</v>
      </c>
      <c r="I1172" s="5" t="n">
        <v>304.3</v>
      </c>
      <c r="J1172" s="5" t="n">
        <v>94.5</v>
      </c>
      <c r="K1172" s="3" t="inlineStr">
        <is>
          <t>계획관리자연취락 대지 및 기존주택, 산단세종오송 접근 우수</t>
        </is>
      </c>
      <c r="L1172" s="6">
        <f>HYPERLINK("https://fin.land.naver.com/articles/2650898603", "매물Link")</f>
        <v/>
      </c>
      <c r="M1172" s="6">
        <f>HYPERLINK("https://map.naver.com/p/search/부강면 금호리 712-16", "지도Link")</f>
        <v/>
      </c>
      <c r="N1172" s="6">
        <f>HYPERLINK("http://www.eum.go.kr/web/ar/lu/luLandDet.jsp?pnu=3611033028107120016&amp;isNoScr=script&amp;mode=search", "토지이음")</f>
        <v/>
      </c>
      <c r="O1172" s="3" t="inlineStr">
        <is>
          <t>세종소담황금</t>
        </is>
      </c>
      <c r="P1172" s="4" t="n">
        <v>1</v>
      </c>
      <c r="Q1172" s="4" t="n">
        <v>379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부강면 금호리 712-16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35000</v>
      </c>
      <c r="G1173" s="4" t="n">
        <v>379</v>
      </c>
      <c r="H1173" s="4" t="n">
        <v>115</v>
      </c>
      <c r="I1173" s="5" t="n">
        <v>304.3</v>
      </c>
      <c r="J1173" s="5" t="n">
        <v>94.5</v>
      </c>
      <c r="K1173" s="3" t="inlineStr">
        <is>
          <t>남청주IC 자동차로 약17분거리10km</t>
        </is>
      </c>
      <c r="L1173" s="6">
        <f>HYPERLINK("https://fin.land.naver.com/articles/2654666500", "매물Link")</f>
        <v/>
      </c>
      <c r="M1173" s="6">
        <f>HYPERLINK("https://map.naver.com/p/search/부강면 금호리 712-16", "지도Link")</f>
        <v/>
      </c>
      <c r="N1173" s="6">
        <f>HYPERLINK("http://www.eum.go.kr/web/ar/lu/luLandDet.jsp?pnu=3611033028107120016&amp;isNoScr=script&amp;mode=search", "토지이음")</f>
        <v/>
      </c>
      <c r="O1173" s="3" t="inlineStr">
        <is>
          <t>지장고</t>
        </is>
      </c>
      <c r="P1173" s="4" t="n">
        <v>1</v>
      </c>
      <c r="Q1173" s="4" t="n">
        <v>379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부강면 금호리 산10-1</t>
        </is>
      </c>
      <c r="B1174" s="3" t="inlineStr">
        <is>
          <t>생산관리지역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30000</v>
      </c>
      <c r="G1174" s="4" t="n">
        <v>992</v>
      </c>
      <c r="H1174" s="4" t="n">
        <v>300</v>
      </c>
      <c r="I1174" s="5" t="n">
        <v>100</v>
      </c>
      <c r="J1174" s="5" t="n">
        <v>5.4</v>
      </c>
      <c r="K1174" s="3" t="inlineStr">
        <is>
          <t>nan</t>
        </is>
      </c>
      <c r="L1174" s="6">
        <f>HYPERLINK("https://fin.land.naver.com/articles/2651583522", "매물Link")</f>
        <v/>
      </c>
      <c r="M1174" s="6">
        <f>HYPERLINK("https://map.naver.com/p/search/부강면 금호리 산10-1", "지도Link")</f>
        <v/>
      </c>
      <c r="N1174" s="6">
        <f>HYPERLINK("http://www.eum.go.kr/web/ar/lu/luLandDet.jsp?pnu=3611033028200100001&amp;isNoScr=script&amp;mode=search", "토지이음")</f>
        <v/>
      </c>
      <c r="O1174" s="3" t="inlineStr">
        <is>
          <t>세종몽땅</t>
        </is>
      </c>
      <c r="P1174" s="4" t="n">
        <v>1</v>
      </c>
      <c r="Q1174" s="4" t="n">
        <v>992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사다리형</t>
        </is>
      </c>
      <c r="V1174" s="3" t="inlineStr">
        <is>
          <t>맹지</t>
        </is>
      </c>
    </row>
    <row r="1175">
      <c r="A1175" s="3" t="inlineStr">
        <is>
          <t>부강면 금호리 산46-4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65000</v>
      </c>
      <c r="G1175" s="4" t="n">
        <v>4247</v>
      </c>
      <c r="H1175" s="4" t="n">
        <v>1285</v>
      </c>
      <c r="I1175" s="5" t="n">
        <v>50.6</v>
      </c>
      <c r="J1175" s="5" t="n">
        <v>6</v>
      </c>
      <c r="K1175" s="3" t="inlineStr">
        <is>
          <t>부강면 금호리는 4생활권에서 5분거리, 금호교건너면 바로앞 금강임.</t>
        </is>
      </c>
      <c r="L1175" s="6">
        <f>HYPERLINK("https://fin.land.naver.com/articles/2653348907", "매물Link")</f>
        <v/>
      </c>
      <c r="M1175" s="6">
        <f>HYPERLINK("https://map.naver.com/p/search/부강면 금호리 산46-4", "지도Link")</f>
        <v/>
      </c>
      <c r="N1175" s="6">
        <f>HYPERLINK("http://www.eum.go.kr/web/ar/lu/luLandDet.jsp?pnu=3611033028200460004&amp;isNoScr=script&amp;mode=search", "토지이음")</f>
        <v/>
      </c>
      <c r="O1175" s="3" t="inlineStr">
        <is>
          <t>꿈드림</t>
        </is>
      </c>
      <c r="P1175" s="4" t="n">
        <v>1</v>
      </c>
      <c r="Q1175" s="4" t="n">
        <v>1653</v>
      </c>
      <c r="R1175" s="3" t="inlineStr">
        <is>
          <t>계획관리지역</t>
        </is>
      </c>
      <c r="S1175" s="3" t="inlineStr">
        <is>
          <t>자연림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산5</t>
        </is>
      </c>
      <c r="B1176" s="3" t="inlineStr">
        <is>
          <t>생산관리지역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250000</v>
      </c>
      <c r="G1176" s="4" t="n">
        <v>11846</v>
      </c>
      <c r="H1176" s="4" t="n">
        <v>3583</v>
      </c>
      <c r="I1176" s="5" t="n">
        <v>69.8</v>
      </c>
      <c r="J1176" s="5" t="n">
        <v>3.6</v>
      </c>
      <c r="K1176" s="3" t="inlineStr">
        <is>
          <t>nan</t>
        </is>
      </c>
      <c r="L1176" s="6">
        <f>HYPERLINK("https://fin.land.naver.com/articles/2651714956", "매물Link")</f>
        <v/>
      </c>
      <c r="M1176" s="6">
        <f>HYPERLINK("https://map.naver.com/p/search/부강면 금호리 산5", "지도Link")</f>
        <v/>
      </c>
      <c r="N1176" s="6">
        <f>HYPERLINK("http://www.eum.go.kr/web/ar/lu/luLandDet.jsp?pnu=3611033028200050000&amp;isNoScr=script&amp;mode=search",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11603</v>
      </c>
      <c r="R1176" s="3" t="inlineStr">
        <is>
          <t>지정되지않음</t>
        </is>
      </c>
      <c r="S1176" s="3" t="inlineStr">
        <is>
          <t>자연림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부강면 노호리 24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250000</v>
      </c>
      <c r="G1177" s="4" t="n">
        <v>13113</v>
      </c>
      <c r="H1177" s="4" t="n">
        <v>3967</v>
      </c>
      <c r="I1177" s="5" t="n">
        <v>63</v>
      </c>
      <c r="J1177" s="5" t="n">
        <v>23.2</v>
      </c>
      <c r="K1177" s="3" t="inlineStr">
        <is>
          <t>공장,창고 건축 가능, 도로 접함</t>
        </is>
      </c>
      <c r="L1177" s="6">
        <f>HYPERLINK("https://fin.land.naver.com/articles/2654441939", "매물Link")</f>
        <v/>
      </c>
      <c r="M1177" s="6">
        <f>HYPERLINK("https://map.naver.com/p/search/부강면 노호리 24", "지도Link")</f>
        <v/>
      </c>
      <c r="N1177" s="6">
        <f>HYPERLINK("http://www.eum.go.kr/web/ar/lu/luLandDet.jsp?pnu=3611033027100240000&amp;isNoScr=script&amp;mode=search", "토지이음")</f>
        <v/>
      </c>
      <c r="O1177" s="3" t="inlineStr">
        <is>
          <t>나릿재슬기로운</t>
        </is>
      </c>
      <c r="P1177" s="4" t="n">
        <v>1</v>
      </c>
      <c r="Q1177" s="4" t="n">
        <v>2278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노호리 287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38400</v>
      </c>
      <c r="G1178" s="4" t="n">
        <v>2118</v>
      </c>
      <c r="H1178" s="4" t="n">
        <v>641</v>
      </c>
      <c r="I1178" s="5" t="n">
        <v>59.9</v>
      </c>
      <c r="J1178" s="5" t="n">
        <v>21.8</v>
      </c>
      <c r="K1178" s="3" t="inlineStr">
        <is>
          <t>세종특별자치시 부강면 노호리 계획관리지역 답 2118㎡ 토지매매</t>
        </is>
      </c>
      <c r="L1178" s="6">
        <f>HYPERLINK("https://fin.land.naver.com/articles/2654694533", "매물Link")</f>
        <v/>
      </c>
      <c r="M1178" s="6">
        <f>HYPERLINK("https://map.naver.com/p/search/부강면 노호리 287", "지도Link")</f>
        <v/>
      </c>
      <c r="N1178" s="6">
        <f>HYPERLINK("http://www.eum.go.kr/web/ar/lu/luLandDet.jsp?pnu=3611033027102870000&amp;isNoScr=script&amp;mode=search", "토지이음")</f>
        <v/>
      </c>
      <c r="O1178" s="3" t="inlineStr">
        <is>
          <t>진행</t>
        </is>
      </c>
      <c r="P1178" s="4" t="n">
        <v>1</v>
      </c>
      <c r="Q1178" s="4" t="n">
        <v>2118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세로한면(불)</t>
        </is>
      </c>
    </row>
    <row r="1179">
      <c r="A1179" s="3" t="inlineStr">
        <is>
          <t>부강면 노호리 297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23000</v>
      </c>
      <c r="G1179" s="4" t="n">
        <v>1302</v>
      </c>
      <c r="H1179" s="4" t="n">
        <v>394</v>
      </c>
      <c r="I1179" s="5" t="n">
        <v>58.4</v>
      </c>
      <c r="J1179" s="5" t="n">
        <v>21.4</v>
      </c>
      <c r="K1179" s="3" t="inlineStr">
        <is>
          <t>계획관리 정남향의 토지 전원주택부지로 적극추천 주말농장하면서 투자로</t>
        </is>
      </c>
      <c r="L1179" s="6">
        <f>HYPERLINK("https://fin.land.naver.com/articles/2654893808", "매물Link")</f>
        <v/>
      </c>
      <c r="M1179" s="6">
        <f>HYPERLINK("https://map.naver.com/p/search/부강면 노호리 297", "지도Link")</f>
        <v/>
      </c>
      <c r="N1179" s="6">
        <f>HYPERLINK("http://www.eum.go.kr/web/ar/lu/luLandDet.jsp?pnu=3611033027102970000&amp;isNoScr=script&amp;mode=search", "토지이음")</f>
        <v/>
      </c>
      <c r="O1179" s="3" t="inlineStr">
        <is>
          <t>대전토지로무소</t>
        </is>
      </c>
      <c r="P1179" s="4" t="n">
        <v>1</v>
      </c>
      <c r="Q1179" s="4" t="n">
        <v>1302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노호리 334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155000</v>
      </c>
      <c r="G1180" s="4" t="n">
        <v>3254</v>
      </c>
      <c r="H1180" s="4" t="n">
        <v>984</v>
      </c>
      <c r="I1180" s="5" t="n">
        <v>157.5</v>
      </c>
      <c r="J1180" s="5" t="n">
        <v>40.6</v>
      </c>
      <c r="K1180" s="3" t="inlineStr">
        <is>
          <t>세종 인근 접근성 좋은 부강면 노호리 전원주택지 매매,남향</t>
        </is>
      </c>
      <c r="L1180" s="6">
        <f>HYPERLINK("https://fin.land.naver.com/articles/2654696960", "매물Link")</f>
        <v/>
      </c>
      <c r="M1180" s="6">
        <f>HYPERLINK("https://map.naver.com/p/search/부강면 노호리 334", "지도Link")</f>
        <v/>
      </c>
      <c r="N1180" s="6">
        <f>HYPERLINK("http://www.eum.go.kr/web/ar/lu/luLandDet.jsp?pnu=3611033027103340000&amp;isNoScr=script&amp;mode=search", "토지이음")</f>
        <v/>
      </c>
      <c r="O1180" s="3" t="inlineStr">
        <is>
          <t>천재원</t>
        </is>
      </c>
      <c r="P1180" s="4" t="n">
        <v>1</v>
      </c>
      <c r="Q1180" s="4" t="n">
        <v>939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노호리 356-1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71930</v>
      </c>
      <c r="G1181" s="4" t="n">
        <v>3963</v>
      </c>
      <c r="H1181" s="4" t="n">
        <v>1199</v>
      </c>
      <c r="I1181" s="5" t="n">
        <v>60</v>
      </c>
      <c r="J1181" s="5" t="n">
        <v>25.8</v>
      </c>
      <c r="K1181" s="3" t="inlineStr">
        <is>
          <t>매포역 인근 금강 변, 국도 인접 생산관리지역, 개발호재 많은 투자 물건</t>
        </is>
      </c>
      <c r="L1181" s="6">
        <f>HYPERLINK("https://fin.land.naver.com/articles/2650180451", "매물Link")</f>
        <v/>
      </c>
      <c r="M1181" s="6">
        <f>HYPERLINK("https://map.naver.com/p/search/부강면 노호리 356-1", "지도Link")</f>
        <v/>
      </c>
      <c r="N1181" s="6">
        <f>HYPERLINK("http://www.eum.go.kr/web/ar/lu/luLandDet.jsp?pnu=3611033027103560001&amp;isNoScr=script&amp;mode=search", "토지이음")</f>
        <v/>
      </c>
      <c r="O1181" s="3" t="inlineStr">
        <is>
          <t>오송3산단  사무소</t>
        </is>
      </c>
      <c r="P1181" s="4" t="n">
        <v>1</v>
      </c>
      <c r="Q1181" s="4" t="n">
        <v>2446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노호리 356-1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71200</v>
      </c>
      <c r="G1182" s="4" t="n">
        <v>3920</v>
      </c>
      <c r="H1182" s="4" t="n">
        <v>1186</v>
      </c>
      <c r="I1182" s="5" t="n">
        <v>60</v>
      </c>
      <c r="J1182" s="5" t="n">
        <v>25.8</v>
      </c>
      <c r="K1182" s="3" t="inlineStr">
        <is>
          <t>부강 매포역에서 차량 3분 마을 인접, 전원주택, 세컨하우스 수요많음</t>
        </is>
      </c>
      <c r="L1182" s="6">
        <f>HYPERLINK("https://fin.land.naver.com/articles/2654688238", "매물Link")</f>
        <v/>
      </c>
      <c r="M1182" s="6">
        <f>HYPERLINK("https://map.naver.com/p/search/부강면 노호리 356-1", "지도Link")</f>
        <v/>
      </c>
      <c r="N1182" s="6">
        <f>HYPERLINK("http://www.eum.go.kr/web/ar/lu/luLandDet.jsp?pnu=3611033027103560001&amp;isNoScr=script&amp;mode=search", "토지이음")</f>
        <v/>
      </c>
      <c r="O1182" s="3" t="inlineStr">
        <is>
          <t>114</t>
        </is>
      </c>
      <c r="P1182" s="4" t="n">
        <v>1</v>
      </c>
      <c r="Q1182" s="4" t="n">
        <v>2446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노호리 356-1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72000</v>
      </c>
      <c r="G1183" s="4" t="n">
        <v>3963</v>
      </c>
      <c r="H1183" s="4" t="n">
        <v>1199</v>
      </c>
      <c r="I1183" s="5" t="n">
        <v>60.1</v>
      </c>
      <c r="J1183" s="5" t="n">
        <v>25.8</v>
      </c>
      <c r="K1183" s="3" t="inlineStr">
        <is>
          <t>부강면노호리 생산관리지역 마을인접 가격조정가능</t>
        </is>
      </c>
      <c r="L1183" s="6">
        <f>HYPERLINK("https://fin.land.naver.com/articles/2654709778", "매물Link")</f>
        <v/>
      </c>
      <c r="M1183" s="6">
        <f>HYPERLINK("https://map.naver.com/p/search/부강면 노호리 356-1", "지도Link")</f>
        <v/>
      </c>
      <c r="N1183" s="6">
        <f>HYPERLINK("http://www.eum.go.kr/web/ar/lu/luLandDet.jsp?pnu=3611033027103560001&amp;isNoScr=script&amp;mode=search", "토지이음")</f>
        <v/>
      </c>
      <c r="O1183" s="3" t="inlineStr">
        <is>
          <t>고운동리치세종</t>
        </is>
      </c>
      <c r="P1183" s="4" t="n">
        <v>1</v>
      </c>
      <c r="Q1183" s="4" t="n">
        <v>2446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노호리 55-3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23000</v>
      </c>
      <c r="G1184" s="4" t="n">
        <v>1336</v>
      </c>
      <c r="H1184" s="4" t="n">
        <v>404</v>
      </c>
      <c r="I1184" s="5" t="n">
        <v>56.9</v>
      </c>
      <c r="J1184" s="5" t="n">
        <v>38.5</v>
      </c>
      <c r="K1184" s="3" t="inlineStr">
        <is>
          <t>부강면 노호리에 있는 계획관리지역의 지목이 대지입니다.</t>
        </is>
      </c>
      <c r="L1184" s="6">
        <f>HYPERLINK("https://fin.land.naver.com/articles/2650952485", "매물Link")</f>
        <v/>
      </c>
      <c r="M1184" s="6">
        <f>HYPERLINK("https://map.naver.com/p/search/부강면 노호리 55-3", "지도Link")</f>
        <v/>
      </c>
      <c r="N1184" s="6">
        <f>HYPERLINK("http://www.eum.go.kr/web/ar/lu/luLandDet.jsp?pnu=3611033027100550003&amp;isNoScr=script&amp;mode=search",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1336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노호리 63-4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62000</v>
      </c>
      <c r="G1185" s="4" t="n">
        <v>1351</v>
      </c>
      <c r="H1185" s="4" t="n">
        <v>409</v>
      </c>
      <c r="I1185" s="5" t="n">
        <v>151.6</v>
      </c>
      <c r="J1185" s="5" t="n">
        <v>43.4</v>
      </c>
      <c r="K1185" s="3" t="inlineStr">
        <is>
          <t>계획관리 토지, 지목대지,답 단독주택</t>
        </is>
      </c>
      <c r="L1185" s="6">
        <f>HYPERLINK("https://fin.land.naver.com/articles/2655059927", "매물Link")</f>
        <v/>
      </c>
      <c r="M1185" s="6">
        <f>HYPERLINK("https://map.naver.com/p/search/부강면 노호리 63-4", "지도Link")</f>
        <v/>
      </c>
      <c r="N1185" s="6">
        <f>HYPERLINK("http://www.eum.go.kr/web/ar/lu/luLandDet.jsp?pnu=3611033027100630004&amp;isNoScr=script&amp;mode=search",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655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부강면 노호리 산66-16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49000</v>
      </c>
      <c r="G1186" s="4" t="n">
        <v>2813</v>
      </c>
      <c r="H1186" s="4" t="n">
        <v>851</v>
      </c>
      <c r="I1186" s="5" t="n">
        <v>57.6</v>
      </c>
      <c r="J1186" s="5" t="n">
        <v>5.1</v>
      </c>
      <c r="K1186" s="3" t="inlineStr">
        <is>
          <t>계획관리지역 최고의 전원주택부지 인접지역이 개발호재가 많아 미래가치있음</t>
        </is>
      </c>
      <c r="L1186" s="6">
        <f>HYPERLINK("https://fin.land.naver.com/articles/2653591285", "매물Link")</f>
        <v/>
      </c>
      <c r="M1186" s="6">
        <f>HYPERLINK("https://map.naver.com/p/search/부강면 노호리 산66-16", "지도Link")</f>
        <v/>
      </c>
      <c r="N1186" s="6">
        <f>HYPERLINK("http://www.eum.go.kr/web/ar/lu/luLandDet.jsp?pnu=3611033027200660016&amp;isNoScr=script&amp;mode=search", "토지이음")</f>
        <v/>
      </c>
      <c r="O1186" s="3" t="inlineStr">
        <is>
          <t>대전토지로무소</t>
        </is>
      </c>
      <c r="P1186" s="4" t="n">
        <v>1</v>
      </c>
      <c r="Q1186" s="4" t="n">
        <v>2813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급경사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등곡리 112-1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28900</v>
      </c>
      <c r="G1187" s="4" t="n">
        <v>832</v>
      </c>
      <c r="H1187" s="4" t="n">
        <v>252</v>
      </c>
      <c r="I1187" s="5" t="n">
        <v>114.7</v>
      </c>
      <c r="J1187" s="5" t="n">
        <v>24.5</v>
      </c>
      <c r="K1187" s="3" t="inlineStr">
        <is>
          <t>7m포장도로에접함,땅모양좋은토지,투자용및전원주택지추천</t>
        </is>
      </c>
      <c r="L1187" s="6">
        <f>HYPERLINK("https://fin.land.naver.com/articles/2650813413", "매물Link")</f>
        <v/>
      </c>
      <c r="M1187" s="6">
        <f>HYPERLINK("https://map.naver.com/p/search/부강면 등곡리 112-1", "지도Link")</f>
        <v/>
      </c>
      <c r="N1187" s="6">
        <f>HYPERLINK("http://www.eum.go.kr/web/ar/lu/luLandDet.jsp?pnu=3611033026101120001&amp;isNoScr=script&amp;mode=search", "토지이음")</f>
        <v/>
      </c>
      <c r="O1187" s="3" t="inlineStr">
        <is>
          <t>타이밍</t>
        </is>
      </c>
      <c r="P1187" s="4" t="n">
        <v>1</v>
      </c>
      <c r="Q1187" s="4" t="n">
        <v>833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등곡리 178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16500</v>
      </c>
      <c r="G1188" s="4" t="n">
        <v>681</v>
      </c>
      <c r="H1188" s="4" t="n">
        <v>206</v>
      </c>
      <c r="I1188" s="5" t="n">
        <v>80.09999999999999</v>
      </c>
      <c r="J1188" s="5" t="n">
        <v>36.8</v>
      </c>
      <c r="K1188" s="3" t="inlineStr">
        <is>
          <t>나대지</t>
        </is>
      </c>
      <c r="L1188" s="6">
        <f>HYPERLINK("https://fin.land.naver.com/articles/2653391600", "매물Link")</f>
        <v/>
      </c>
      <c r="M1188" s="6">
        <f>HYPERLINK("https://map.naver.com/p/search/부강면 등곡리 178", "지도Link")</f>
        <v/>
      </c>
      <c r="N1188" s="6">
        <f>HYPERLINK("http://www.eum.go.kr/web/ar/lu/luLandDet.jsp?pnu=3611033026101780000&amp;isNoScr=script&amp;mode=search", "토지이음")</f>
        <v/>
      </c>
      <c r="O1188" s="3" t="inlineStr">
        <is>
          <t>다산</t>
        </is>
      </c>
      <c r="P1188" s="4" t="n">
        <v>1</v>
      </c>
      <c r="Q1188" s="4" t="n">
        <v>681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등곡리 452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</v>
      </c>
      <c r="G1189" s="4" t="n">
        <v>2099</v>
      </c>
      <c r="H1189" s="4" t="n">
        <v>635</v>
      </c>
      <c r="I1189" s="5" t="n">
        <v>23.6</v>
      </c>
      <c r="J1189" s="5" t="n">
        <v>10.7</v>
      </c>
      <c r="K1189" s="3" t="inlineStr">
        <is>
          <t>급매도,현재밭으로 경작중,매포역가까움,밭으로 들어가는 흙길있음</t>
        </is>
      </c>
      <c r="L1189" s="6">
        <f>HYPERLINK("https://fin.land.naver.com/articles/2651836449", "매물Link")</f>
        <v/>
      </c>
      <c r="M1189" s="6">
        <f>HYPERLINK("https://map.naver.com/p/search/부강면 등곡리 452", "지도Link")</f>
        <v/>
      </c>
      <c r="N1189" s="6">
        <f>HYPERLINK("http://www.eum.go.kr/web/ar/lu/luLandDet.jsp?pnu=3611033026104520000&amp;isNoScr=script&amp;mode=search", "토지이음")</f>
        <v/>
      </c>
      <c r="O1189" s="3" t="inlineStr">
        <is>
          <t>배곧행복</t>
        </is>
      </c>
      <c r="P1189" s="4" t="n">
        <v>1</v>
      </c>
      <c r="Q1189" s="4" t="n">
        <v>2099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맹지</t>
        </is>
      </c>
    </row>
    <row r="1190">
      <c r="A1190" s="3" t="inlineStr">
        <is>
          <t>부강면 등곡리 461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135000</v>
      </c>
      <c r="G1190" s="4" t="n">
        <v>4488</v>
      </c>
      <c r="H1190" s="4" t="n">
        <v>1358</v>
      </c>
      <c r="I1190" s="5" t="n">
        <v>99.40000000000001</v>
      </c>
      <c r="J1190" s="5" t="n">
        <v>19.5</v>
      </c>
      <c r="K1190" s="3" t="inlineStr">
        <is>
          <t>2차선 부근의  금강뷰 좋은 건축허가 가능한 정남향의 토지</t>
        </is>
      </c>
      <c r="L1190" s="6">
        <f>HYPERLINK("https://fin.land.naver.com/articles/2652068759", "매물Link")</f>
        <v/>
      </c>
      <c r="M1190" s="6">
        <f>HYPERLINK("https://map.naver.com/p/search/부강면 등곡리 461", "지도Link")</f>
        <v/>
      </c>
      <c r="N1190" s="6">
        <f>HYPERLINK("http://www.eum.go.kr/web/ar/lu/luLandDet.jsp?pnu=3611033026104610000&amp;isNoScr=script&amp;mode=search",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2000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등곡리 55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19000</v>
      </c>
      <c r="G1191" s="4" t="n">
        <v>1835</v>
      </c>
      <c r="H1191" s="4" t="n">
        <v>555</v>
      </c>
      <c r="I1191" s="5" t="n">
        <v>34.2</v>
      </c>
      <c r="J1191" s="5" t="n">
        <v>18.8</v>
      </c>
      <c r="K1191" s="3" t="inlineStr">
        <is>
          <t>접근성좋고 주말농장이나 전원주택 용지로도좋음.</t>
        </is>
      </c>
      <c r="L1191" s="6">
        <f>HYPERLINK("https://fin.land.naver.com/articles/2650849101", "매물Link")</f>
        <v/>
      </c>
      <c r="M1191" s="6">
        <f>HYPERLINK("https://map.naver.com/p/search/부강면 등곡리 55", "지도Link")</f>
        <v/>
      </c>
      <c r="N1191" s="6">
        <f>HYPERLINK("http://www.eum.go.kr/web/ar/lu/luLandDet.jsp?pnu=3611033026100550000&amp;isNoScr=script&amp;mode=search", "토지이음")</f>
        <v/>
      </c>
      <c r="O1191" s="3" t="inlineStr">
        <is>
          <t>오투그린1</t>
        </is>
      </c>
      <c r="P1191" s="4" t="n">
        <v>1</v>
      </c>
      <c r="Q1191" s="4" t="n">
        <v>1835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맹지</t>
        </is>
      </c>
    </row>
    <row r="1192">
      <c r="A1192" s="3" t="inlineStr">
        <is>
          <t>부강면 문곡리 1060-3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25000</v>
      </c>
      <c r="G1192" s="4" t="n">
        <v>323</v>
      </c>
      <c r="H1192" s="4" t="n">
        <v>98</v>
      </c>
      <c r="I1192" s="5" t="n">
        <v>255.1</v>
      </c>
      <c r="J1192" s="5" t="n">
        <v>92.40000000000001</v>
      </c>
      <c r="K1192" s="3" t="inlineStr">
        <is>
          <t>대지 토지 매매</t>
        </is>
      </c>
      <c r="L1192" s="6">
        <f>HYPERLINK("https://fin.land.naver.com/articles/2653175461", "매물Link")</f>
        <v/>
      </c>
      <c r="M1192" s="6">
        <f>HYPERLINK("https://map.naver.com/p/search/부강면 문곡리 1060-3", "지도Link")</f>
        <v/>
      </c>
      <c r="N1192" s="6">
        <f>HYPERLINK("http://www.eum.go.kr/web/ar/lu/luLandDet.jsp?pnu=3611033025110600003&amp;isNoScr=script&amp;mode=search", "토지이음")</f>
        <v/>
      </c>
      <c r="O1192" s="3" t="inlineStr">
        <is>
          <t>주식회사넥서스</t>
        </is>
      </c>
      <c r="P1192" s="4" t="n">
        <v>1</v>
      </c>
      <c r="Q1192" s="4" t="n">
        <v>323</v>
      </c>
      <c r="R1192" s="3" t="inlineStr">
        <is>
          <t>지정되지않음</t>
        </is>
      </c>
      <c r="S1192" s="3" t="inlineStr">
        <is>
          <t>주거기타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문곡리 1064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410000</v>
      </c>
      <c r="G1193" s="4" t="n">
        <v>5026</v>
      </c>
      <c r="H1193" s="4" t="n">
        <v>1520</v>
      </c>
      <c r="I1193" s="5" t="n">
        <v>269.7</v>
      </c>
      <c r="J1193" s="5" t="n">
        <v>71.2</v>
      </c>
      <c r="K1193" s="3" t="inlineStr">
        <is>
          <t>남청주IC 3분거리, 2차선 접한 토지, 대형차량 진출입 용이</t>
        </is>
      </c>
      <c r="L1193" s="6">
        <f>HYPERLINK("https://fin.land.naver.com/articles/2652777976", "매물Link")</f>
        <v/>
      </c>
      <c r="M1193" s="6">
        <f>HYPERLINK("https://map.naver.com/p/search/부강면 문곡리 1064", "지도Link")</f>
        <v/>
      </c>
      <c r="N1193" s="6">
        <f>HYPERLINK("http://www.eum.go.kr/web/ar/lu/luLandDet.jsp?pnu=3611033025110640000&amp;isNoScr=script&amp;mode=search", "토지이음")</f>
        <v/>
      </c>
      <c r="O1193" s="3" t="inlineStr">
        <is>
          <t>금화랜드</t>
        </is>
      </c>
      <c r="P1193" s="4" t="n">
        <v>3</v>
      </c>
      <c r="Q1193" s="4" t="n">
        <v>4344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문곡리 1064-1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159000</v>
      </c>
      <c r="G1194" s="4" t="n">
        <v>1752</v>
      </c>
      <c r="H1194" s="4" t="n">
        <v>530</v>
      </c>
      <c r="I1194" s="5" t="n">
        <v>300</v>
      </c>
      <c r="J1194" s="5" t="n">
        <v>70.40000000000001</v>
      </c>
      <c r="K1194" s="3" t="inlineStr">
        <is>
          <t>세종과 남청주IC 도로 인근에 위치하여 진출입이 용이한 곳</t>
        </is>
      </c>
      <c r="L1194" s="6">
        <f>HYPERLINK("https://fin.land.naver.com/articles/2651115525", "매물Link")</f>
        <v/>
      </c>
      <c r="M1194" s="6">
        <f>HYPERLINK("https://map.naver.com/p/search/부강면 문곡리 1064-1", "지도Link")</f>
        <v/>
      </c>
      <c r="N1194" s="6">
        <f>HYPERLINK("http://www.eum.go.kr/web/ar/lu/luLandDet.jsp?pnu=3611033025110640001&amp;isNoScr=script&amp;mode=search", "토지이음")</f>
        <v/>
      </c>
      <c r="O1194" s="3" t="inlineStr">
        <is>
          <t>(주)미르</t>
        </is>
      </c>
      <c r="P1194" s="4" t="n">
        <v>1</v>
      </c>
      <c r="Q1194" s="4" t="n">
        <v>200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문곡리 1066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159000</v>
      </c>
      <c r="G1195" s="4" t="n">
        <v>1752</v>
      </c>
      <c r="H1195" s="4" t="n">
        <v>530</v>
      </c>
      <c r="I1195" s="5" t="n">
        <v>300</v>
      </c>
      <c r="J1195" s="5" t="n">
        <v>95.2</v>
      </c>
      <c r="K1195" s="3" t="inlineStr">
        <is>
          <t>공장,창고로 추천,남청주IC 5분거리,대형차량 진출입 편리</t>
        </is>
      </c>
      <c r="L1195" s="6">
        <f>HYPERLINK("https://fin.land.naver.com/articles/2653177971", "매물Link")</f>
        <v/>
      </c>
      <c r="M1195" s="6">
        <f>HYPERLINK("https://map.naver.com/p/search/부강면 문곡리 1066", "지도Link")</f>
        <v/>
      </c>
      <c r="N1195" s="6">
        <f>HYPERLINK("http://www.eum.go.kr/web/ar/lu/luLandDet.jsp?pnu=3611033025110660000&amp;isNoScr=script&amp;mode=search", "토지이음")</f>
        <v/>
      </c>
      <c r="O1195" s="3" t="inlineStr">
        <is>
          <t>금화랜드</t>
        </is>
      </c>
      <c r="P1195" s="4" t="n">
        <v>1</v>
      </c>
      <c r="Q1195" s="4" t="n">
        <v>1616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부강면 문곡리 114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500000</v>
      </c>
      <c r="G1196" s="4" t="n">
        <v>8992</v>
      </c>
      <c r="H1196" s="4" t="n">
        <v>2720</v>
      </c>
      <c r="I1196" s="5" t="n">
        <v>183.8</v>
      </c>
      <c r="J1196" s="5" t="n">
        <v>55.3</v>
      </c>
      <c r="K1196" s="3" t="inlineStr">
        <is>
          <t>2차선 도로와 연결로 대형차 진출입이 편리, 남청주IC인근에 위치</t>
        </is>
      </c>
      <c r="L1196" s="6">
        <f>HYPERLINK("https://fin.land.naver.com/articles/2651013918", "매물Link")</f>
        <v/>
      </c>
      <c r="M1196" s="6">
        <f>HYPERLINK("https://map.naver.com/p/search/부강면 문곡리 114", "지도Link")</f>
        <v/>
      </c>
      <c r="N1196" s="6">
        <f>HYPERLINK("http://www.eum.go.kr/web/ar/lu/luLandDet.jsp?pnu=3611033025101140000&amp;isNoScr=script&amp;mode=search", "토지이음")</f>
        <v/>
      </c>
      <c r="O1196" s="3" t="inlineStr">
        <is>
          <t>(주)미르</t>
        </is>
      </c>
      <c r="P1196" s="4" t="n">
        <v>1</v>
      </c>
      <c r="Q1196" s="4" t="n">
        <v>2435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205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27000</v>
      </c>
      <c r="G1197" s="4" t="n">
        <v>849</v>
      </c>
      <c r="H1197" s="4" t="n">
        <v>257</v>
      </c>
      <c r="I1197" s="5" t="n">
        <v>105.1</v>
      </c>
      <c r="J1197" s="5" t="n">
        <v>63.7</v>
      </c>
      <c r="K1197" s="3" t="inlineStr">
        <is>
          <t>정남향의 지대높고 예쁜마을에 있는 단독주택</t>
        </is>
      </c>
      <c r="L1197" s="6">
        <f>HYPERLINK("https://fin.land.naver.com/articles/2652071617", "매물Link")</f>
        <v/>
      </c>
      <c r="M1197" s="6">
        <f>HYPERLINK("https://map.naver.com/p/search/부강면 문곡리 205", "지도Link")</f>
        <v/>
      </c>
      <c r="N1197" s="6">
        <f>HYPERLINK("http://www.eum.go.kr/web/ar/lu/luLandDet.jsp?pnu=3611033025102050000&amp;isNoScr=script&amp;mode=search", "토지이음")</f>
        <v/>
      </c>
      <c r="O1197" s="3" t="inlineStr">
        <is>
          <t>연동스카이</t>
        </is>
      </c>
      <c r="P1197" s="4" t="n">
        <v>1</v>
      </c>
      <c r="Q1197" s="4" t="n">
        <v>848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부강면 문곡리 240-1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130000</v>
      </c>
      <c r="G1198" s="4" t="n">
        <v>1470</v>
      </c>
      <c r="H1198" s="4" t="n">
        <v>445</v>
      </c>
      <c r="I1198" s="5" t="n">
        <v>292.1</v>
      </c>
      <c r="J1198" s="5" t="n">
        <v>46.1</v>
      </c>
      <c r="K1198" s="3" t="inlineStr">
        <is>
          <t>1층단독한옥주택 준공완료,일괄매매,친환경 힐링하실분,뻥뷰</t>
        </is>
      </c>
      <c r="L1198" s="6">
        <f>HYPERLINK("https://fin.land.naver.com/articles/2650882939", "매물Link")</f>
        <v/>
      </c>
      <c r="M1198" s="6">
        <f>HYPERLINK("https://map.naver.com/p/search/부강면 문곡리 240-1", "지도Link")</f>
        <v/>
      </c>
      <c r="N1198" s="6">
        <f>HYPERLINK("http://www.eum.go.kr/web/ar/lu/luLandDet.jsp?pnu=3611033025102400001&amp;isNoScr=script&amp;mode=search", "토지이음")</f>
        <v/>
      </c>
      <c r="O1198" s="3" t="inlineStr">
        <is>
          <t>힐스테이트행복</t>
        </is>
      </c>
      <c r="P1198" s="4" t="n">
        <v>1</v>
      </c>
      <c r="Q1198" s="4" t="n">
        <v>1470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문곡리 364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30000</v>
      </c>
      <c r="G1199" s="4" t="n">
        <v>966</v>
      </c>
      <c r="H1199" s="4" t="n">
        <v>292</v>
      </c>
      <c r="I1199" s="5" t="n">
        <v>102.7</v>
      </c>
      <c r="J1199" s="5" t="n">
        <v>36.1</v>
      </c>
      <c r="K1199" s="3" t="inlineStr">
        <is>
          <t>계획관리지역 주목</t>
        </is>
      </c>
      <c r="L1199" s="6">
        <f>HYPERLINK("https://fin.land.naver.com/articles/2655613453", "매물Link")</f>
        <v/>
      </c>
      <c r="M1199" s="6">
        <f>HYPERLINK("https://map.naver.com/p/search/부강면 문곡리 364", "지도Link")</f>
        <v/>
      </c>
      <c r="N1199" s="6">
        <f>HYPERLINK("http://www.eum.go.kr/web/ar/lu/luLandDet.jsp?pnu=3611033025103640000&amp;isNoScr=script&amp;mode=search",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966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문곡리 370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14000</v>
      </c>
      <c r="G1200" s="4" t="n">
        <v>592</v>
      </c>
      <c r="H1200" s="4" t="n">
        <v>179</v>
      </c>
      <c r="I1200" s="5" t="n">
        <v>78.2</v>
      </c>
      <c r="J1200" s="5" t="n">
        <v>28.1</v>
      </c>
      <c r="K1200" s="3" t="inlineStr">
        <is>
          <t>문곡리 대국터, 계획관리지역, 성장관리계획구역, 매매가 협의 가능</t>
        </is>
      </c>
      <c r="L1200" s="6">
        <f>HYPERLINK("https://fin.land.naver.com/articles/2650784515", "매물Link")</f>
        <v/>
      </c>
      <c r="M1200" s="6">
        <f>HYPERLINK("https://map.naver.com/p/search/부강면 문곡리 370", "지도Link")</f>
        <v/>
      </c>
      <c r="N1200" s="6">
        <f>HYPERLINK("http://www.eum.go.kr/web/ar/lu/luLandDet.jsp?pnu=3611033025103700000&amp;isNoScr=script&amp;mode=search", "토지이음")</f>
        <v/>
      </c>
      <c r="O1200" s="3" t="inlineStr">
        <is>
          <t>탑</t>
        </is>
      </c>
      <c r="P1200" s="4" t="n">
        <v>1</v>
      </c>
      <c r="Q1200" s="4" t="n">
        <v>592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가로장방</t>
        </is>
      </c>
      <c r="V1200" s="3" t="inlineStr">
        <is>
          <t>맹지</t>
        </is>
      </c>
    </row>
    <row r="1201">
      <c r="A1201" s="3" t="inlineStr">
        <is>
          <t>부강면 문곡리 384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대</t>
        </is>
      </c>
      <c r="E1201" s="3" t="inlineStr">
        <is>
          <t>매매</t>
        </is>
      </c>
      <c r="F1201" s="4" t="n">
        <v>130000</v>
      </c>
      <c r="G1201" s="4" t="n">
        <v>1656</v>
      </c>
      <c r="H1201" s="4" t="n">
        <v>501</v>
      </c>
      <c r="I1201" s="5" t="n">
        <v>259.5</v>
      </c>
      <c r="J1201" s="5" t="n">
        <v>55.6</v>
      </c>
      <c r="K1201" s="3" t="inlineStr">
        <is>
          <t>남청주IC 2분거리,대로변 접한 토지로 광고효과,대형차량 진출입 편리</t>
        </is>
      </c>
      <c r="L1201" s="6">
        <f>HYPERLINK("https://fin.land.naver.com/articles/2654719242", "매물Link")</f>
        <v/>
      </c>
      <c r="M1201" s="6">
        <f>HYPERLINK("https://map.naver.com/p/search/부강면 문곡리 384", "지도Link")</f>
        <v/>
      </c>
      <c r="N1201" s="6">
        <f>HYPERLINK("http://www.eum.go.kr/web/ar/lu/luLandDet.jsp?pnu=3611033025103840000&amp;isNoScr=script&amp;mode=search", "토지이음")</f>
        <v/>
      </c>
      <c r="O1201" s="3" t="inlineStr">
        <is>
          <t>금화랜드</t>
        </is>
      </c>
      <c r="P1201" s="4" t="n">
        <v>1</v>
      </c>
      <c r="Q1201" s="4" t="n">
        <v>1406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가로장방</t>
        </is>
      </c>
      <c r="V1201" s="3" t="inlineStr">
        <is>
          <t>세로한면(가)</t>
        </is>
      </c>
    </row>
    <row r="1202">
      <c r="A1202" s="3" t="inlineStr">
        <is>
          <t>부강면 문곡리 437</t>
        </is>
      </c>
      <c r="B1202" s="3" t="inlineStr">
        <is>
          <t>계획관리지역</t>
        </is>
      </c>
      <c r="C1202" s="3" t="inlineStr">
        <is>
          <t>공장용지</t>
        </is>
      </c>
      <c r="D1202" s="3" t="inlineStr">
        <is>
          <t>공장용지</t>
        </is>
      </c>
      <c r="E1202" s="3" t="inlineStr">
        <is>
          <t>매매</t>
        </is>
      </c>
      <c r="F1202" s="4" t="n">
        <v>95000</v>
      </c>
      <c r="G1202" s="4" t="n">
        <v>1652</v>
      </c>
      <c r="H1202" s="4" t="n">
        <v>500</v>
      </c>
      <c r="I1202" s="5" t="n">
        <v>190</v>
      </c>
      <c r="J1202" s="5" t="n">
        <v>82</v>
      </c>
      <c r="K1202" s="3" t="inlineStr">
        <is>
          <t>공장등록 가능한 공장 용지, 남청주 IC 5분 거리, 대형차 진출입 용이</t>
        </is>
      </c>
      <c r="L1202" s="6">
        <f>HYPERLINK("https://fin.land.naver.com/articles/2654711226", "매물Link")</f>
        <v/>
      </c>
      <c r="M1202" s="6">
        <f>HYPERLINK("https://map.naver.com/p/search/부강면 문곡리 437", "지도Link")</f>
        <v/>
      </c>
      <c r="N1202" s="6">
        <f>HYPERLINK("http://www.eum.go.kr/web/ar/lu/luLandDet.jsp?pnu=3611033025104370000&amp;isNoScr=script&amp;mode=search", "토지이음")</f>
        <v/>
      </c>
      <c r="O1202" s="3" t="inlineStr">
        <is>
          <t>에이스</t>
        </is>
      </c>
      <c r="P1202" s="4" t="n">
        <v>1</v>
      </c>
      <c r="Q1202" s="4" t="n">
        <v>3358</v>
      </c>
      <c r="R1202" s="3" t="inlineStr">
        <is>
          <t>지정되지않음</t>
        </is>
      </c>
      <c r="S1202" s="3" t="inlineStr">
        <is>
          <t>공업용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문곡리 446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28700</v>
      </c>
      <c r="G1203" s="4" t="n">
        <v>1355</v>
      </c>
      <c r="H1203" s="4" t="n">
        <v>410</v>
      </c>
      <c r="I1203" s="5" t="n">
        <v>70</v>
      </c>
      <c r="J1203" s="5" t="n">
        <v>27.7</v>
      </c>
      <c r="K1203" s="3" t="inlineStr">
        <is>
          <t>계획관리지역 토지 매매</t>
        </is>
      </c>
      <c r="L1203" s="6">
        <f>HYPERLINK("https://fin.land.naver.com/articles/2651646118", "매물Link")</f>
        <v/>
      </c>
      <c r="M1203" s="6">
        <f>HYPERLINK("https://map.naver.com/p/search/부강면 문곡리 446", "지도Link")</f>
        <v/>
      </c>
      <c r="N1203" s="6">
        <f>HYPERLINK("http://www.eum.go.kr/web/ar/lu/luLandDet.jsp?pnu=3611033025104460000&amp;isNoScr=script&amp;mode=search", "토지이음")</f>
        <v/>
      </c>
      <c r="O1203" s="3" t="inlineStr">
        <is>
          <t>THE행복</t>
        </is>
      </c>
      <c r="P1203" s="4" t="n">
        <v>2</v>
      </c>
      <c r="Q1203" s="4" t="n">
        <v>226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문곡리 456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56000</v>
      </c>
      <c r="G1204" s="4" t="n">
        <v>1544</v>
      </c>
      <c r="H1204" s="4" t="n">
        <v>467</v>
      </c>
      <c r="I1204" s="5" t="n">
        <v>119.9</v>
      </c>
      <c r="J1204" s="5" t="n">
        <v>24.3</v>
      </c>
      <c r="K1204" s="3" t="inlineStr">
        <is>
          <t>2차선 도로에 접하고, 관정 비닐하우스도 있음, 지하고속철도 진동없음</t>
        </is>
      </c>
      <c r="L1204" s="6">
        <f>HYPERLINK("https://fin.land.naver.com/articles/2652070167", "매물Link")</f>
        <v/>
      </c>
      <c r="M1204" s="6">
        <f>HYPERLINK("https://map.naver.com/p/search/부강면 문곡리 456", "지도Link")</f>
        <v/>
      </c>
      <c r="N1204" s="6">
        <f>HYPERLINK("http://www.eum.go.kr/web/ar/lu/luLandDet.jsp?pnu=3611033025104560000&amp;isNoScr=script&amp;mode=search", "토지이음")</f>
        <v/>
      </c>
      <c r="O1204" s="3" t="inlineStr">
        <is>
          <t>연동스카이</t>
        </is>
      </c>
      <c r="P1204" s="4" t="n">
        <v>1</v>
      </c>
      <c r="Q1204" s="4" t="n">
        <v>1544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부강면 문곡리 756-4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50000</v>
      </c>
      <c r="G1205" s="4" t="n">
        <v>663</v>
      </c>
      <c r="H1205" s="4" t="n">
        <v>201</v>
      </c>
      <c r="I1205" s="5" t="n">
        <v>248.8</v>
      </c>
      <c r="J1205" s="5" t="n">
        <v>81.90000000000001</v>
      </c>
      <c r="K1205" s="3" t="inlineStr">
        <is>
          <t>남청주IC 근처, 접근성 좋은 작은 토지 매매</t>
        </is>
      </c>
      <c r="L1205" s="6">
        <f>HYPERLINK("https://fin.land.naver.com/articles/2651713801", "매물Link")</f>
        <v/>
      </c>
      <c r="M1205" s="6">
        <f>HYPERLINK("https://map.naver.com/p/search/부강면 문곡리 756-4", "지도Link")</f>
        <v/>
      </c>
      <c r="N1205" s="6">
        <f>HYPERLINK("http://www.eum.go.kr/web/ar/lu/luLandDet.jsp?pnu=3611033025107560004&amp;isNoScr=script&amp;mode=search", "토지이음")</f>
        <v/>
      </c>
      <c r="O1205" s="3" t="inlineStr">
        <is>
          <t>금화랜드</t>
        </is>
      </c>
      <c r="P1205" s="4" t="n">
        <v>1</v>
      </c>
      <c r="Q1205" s="4" t="n">
        <v>663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문곡리 802</t>
        </is>
      </c>
      <c r="B1206" s="3" t="inlineStr">
        <is>
          <t>생산관리지역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30000</v>
      </c>
      <c r="G1206" s="4" t="n">
        <v>2079</v>
      </c>
      <c r="H1206" s="4" t="n">
        <v>629</v>
      </c>
      <c r="I1206" s="5" t="n">
        <v>47.7</v>
      </c>
      <c r="J1206" s="5" t="n">
        <v>44.2</v>
      </c>
      <c r="K1206" s="3" t="inlineStr">
        <is>
          <t>nan</t>
        </is>
      </c>
      <c r="L1206" s="6">
        <f>HYPERLINK("https://fin.land.naver.com/articles/2654967426", "매물Link")</f>
        <v/>
      </c>
      <c r="M1206" s="6">
        <f>HYPERLINK("https://map.naver.com/p/search/부강면 문곡리 802", "지도Link")</f>
        <v/>
      </c>
      <c r="N1206" s="6">
        <f>HYPERLINK("http://www.eum.go.kr/web/ar/lu/luLandDet.jsp?pnu=3611033025108020000&amp;isNoScr=script&amp;mode=search", "토지이음")</f>
        <v/>
      </c>
      <c r="O1206" s="3" t="inlineStr">
        <is>
          <t>갤러리</t>
        </is>
      </c>
      <c r="P1206" s="4" t="n">
        <v>1</v>
      </c>
      <c r="Q1206" s="4" t="n">
        <v>1061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문곡리 802</t>
        </is>
      </c>
      <c r="B1207" s="3" t="inlineStr">
        <is>
          <t>생산관리지역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40000</v>
      </c>
      <c r="G1207" s="4" t="n">
        <v>2079</v>
      </c>
      <c r="H1207" s="4" t="n">
        <v>629</v>
      </c>
      <c r="I1207" s="5" t="n">
        <v>63.6</v>
      </c>
      <c r="J1207" s="5" t="n">
        <v>44.2</v>
      </c>
      <c r="K1207" s="3" t="inlineStr">
        <is>
          <t>nan</t>
        </is>
      </c>
      <c r="L1207" s="6">
        <f>HYPERLINK("https://fin.land.naver.com/articles/2651247437", "매물Link")</f>
        <v/>
      </c>
      <c r="M1207" s="6">
        <f>HYPERLINK("https://map.naver.com/p/search/부강면 문곡리 802", "지도Link")</f>
        <v/>
      </c>
      <c r="N1207" s="6">
        <f>HYPERLINK("http://www.eum.go.kr/web/ar/lu/luLandDet.jsp?pnu=3611033025108020000&amp;isNoScr=script&amp;mode=search", "토지이음")</f>
        <v/>
      </c>
      <c r="O1207" s="3" t="inlineStr">
        <is>
          <t>대웅</t>
        </is>
      </c>
      <c r="P1207" s="4" t="n">
        <v>1</v>
      </c>
      <c r="Q1207" s="4" t="n">
        <v>1061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부강면 문곡리 81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전</t>
        </is>
      </c>
      <c r="E1208" s="3" t="inlineStr">
        <is>
          <t>매매</t>
        </is>
      </c>
      <c r="F1208" s="4" t="n">
        <v>41000</v>
      </c>
      <c r="G1208" s="4" t="n">
        <v>1038</v>
      </c>
      <c r="H1208" s="4" t="n">
        <v>314</v>
      </c>
      <c r="I1208" s="5" t="n">
        <v>130.6</v>
      </c>
      <c r="J1208" s="5" t="n">
        <v>29.9</v>
      </c>
      <c r="K1208" s="3" t="inlineStr">
        <is>
          <t>2차선 도로옆으로 남청주 IC 3km</t>
        </is>
      </c>
      <c r="L1208" s="6">
        <f>HYPERLINK("https://fin.land.naver.com/articles/2651423441", "매물Link")</f>
        <v/>
      </c>
      <c r="M1208" s="6">
        <f>HYPERLINK("https://map.naver.com/p/search/부강면 문곡리 81", "지도Link")</f>
        <v/>
      </c>
      <c r="N1208" s="6">
        <f>HYPERLINK("http://www.eum.go.kr/web/ar/lu/luLandDet.jsp?pnu=3611033025100810000&amp;isNoScr=script&amp;mode=search", "토지이음")</f>
        <v/>
      </c>
      <c r="O1208" s="3" t="inlineStr">
        <is>
          <t>대웅</t>
        </is>
      </c>
      <c r="P1208" s="4" t="n">
        <v>1</v>
      </c>
      <c r="Q1208" s="4" t="n">
        <v>635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부강면 문곡리 836-2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대</t>
        </is>
      </c>
      <c r="E1209" s="3" t="inlineStr">
        <is>
          <t>매매</t>
        </is>
      </c>
      <c r="F1209" s="4" t="n">
        <v>50000</v>
      </c>
      <c r="G1209" s="4" t="n">
        <v>1815</v>
      </c>
      <c r="H1209" s="4" t="n">
        <v>549</v>
      </c>
      <c r="I1209" s="5" t="n">
        <v>91.09999999999999</v>
      </c>
      <c r="J1209" s="5" t="n">
        <v>25.9</v>
      </c>
      <c r="K1209" s="3" t="inlineStr">
        <is>
          <t>계획관리지역,  세종에서 10분이내거리</t>
        </is>
      </c>
      <c r="L1209" s="6">
        <f>HYPERLINK("https://fin.land.naver.com/articles/2654450920", "매물Link")</f>
        <v/>
      </c>
      <c r="M1209" s="6">
        <f>HYPERLINK("https://map.naver.com/p/search/부강면 문곡리 836-2", "지도Link")</f>
        <v/>
      </c>
      <c r="N1209" s="6">
        <f>HYPERLINK("http://www.eum.go.kr/web/ar/lu/luLandDet.jsp?pnu=3611033025108360002&amp;isNoScr=script&amp;mode=search", "토지이음")</f>
        <v/>
      </c>
      <c r="O1209" s="3" t="inlineStr">
        <is>
          <t>이담</t>
        </is>
      </c>
      <c r="P1209" s="4" t="n">
        <v>2</v>
      </c>
      <c r="Q1209" s="4" t="n">
        <v>1815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문곡리 901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123000</v>
      </c>
      <c r="G1210" s="4" t="n">
        <v>2710</v>
      </c>
      <c r="H1210" s="4" t="n">
        <v>820</v>
      </c>
      <c r="I1210" s="5" t="n">
        <v>150</v>
      </c>
      <c r="J1210" s="5" t="n">
        <v>22.5</v>
      </c>
      <c r="K1210" s="3" t="inlineStr">
        <is>
          <t>도로에 접한 계획관리 토지공장허가득함</t>
        </is>
      </c>
      <c r="L1210" s="6">
        <f>HYPERLINK("https://fin.land.naver.com/articles/2650858523", "매물Link")</f>
        <v/>
      </c>
      <c r="M1210" s="6">
        <f>HYPERLINK("https://map.naver.com/p/search/부강면 문곡리 901", "지도Link")</f>
        <v/>
      </c>
      <c r="N1210" s="6">
        <f>HYPERLINK("http://www.eum.go.kr/web/ar/lu/luLandDet.jsp?pnu=3611033025109010000&amp;isNoScr=script&amp;mode=search",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2147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문곡리 902-1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98800</v>
      </c>
      <c r="G1211" s="4" t="n">
        <v>2334</v>
      </c>
      <c r="H1211" s="4" t="n">
        <v>706</v>
      </c>
      <c r="I1211" s="5" t="n">
        <v>139.9</v>
      </c>
      <c r="J1211" s="5" t="n">
        <v>24.7</v>
      </c>
      <c r="K1211" s="3" t="inlineStr">
        <is>
          <t>투자,공장,창고,주택용지 계획관리토지분할매매가능</t>
        </is>
      </c>
      <c r="L1211" s="6">
        <f>HYPERLINK("https://fin.land.naver.com/articles/2655032760", "매물Link")</f>
        <v/>
      </c>
      <c r="M1211" s="6">
        <f>HYPERLINK("https://map.naver.com/p/search/부강면 문곡리 902-1", "지도Link")</f>
        <v/>
      </c>
      <c r="N1211" s="6">
        <f>HYPERLINK("http://www.eum.go.kr/web/ar/lu/luLandDet.jsp?pnu=3611033025109020001&amp;isNoScr=script&amp;mode=search", "토지이음")</f>
        <v/>
      </c>
      <c r="O1211" s="3" t="inlineStr">
        <is>
          <t>세종대박</t>
        </is>
      </c>
      <c r="P1211" s="4" t="n">
        <v>4</v>
      </c>
      <c r="Q1211" s="4" t="n">
        <v>2334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문곡리 903-3</t>
        </is>
      </c>
      <c r="B1212" s="3" t="inlineStr">
        <is>
          <t>계획관리지역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136000</v>
      </c>
      <c r="G1212" s="4" t="n">
        <v>3505</v>
      </c>
      <c r="H1212" s="4" t="n">
        <v>1060</v>
      </c>
      <c r="I1212" s="5" t="n">
        <v>128.3</v>
      </c>
      <c r="J1212" s="5" t="n">
        <v>22.5</v>
      </c>
      <c r="K1212" s="3" t="inlineStr">
        <is>
          <t>남청주IC와 가까워 물류센터,공장 추천,계획관리지역의 토지</t>
        </is>
      </c>
      <c r="L1212" s="6">
        <f>HYPERLINK("https://fin.land.naver.com/articles/2654295080", "매물Link")</f>
        <v/>
      </c>
      <c r="M1212" s="6">
        <f>HYPERLINK("https://map.naver.com/p/search/부강면 문곡리 903-3", "지도Link")</f>
        <v/>
      </c>
      <c r="N1212" s="6">
        <f>HYPERLINK("http://www.eum.go.kr/web/ar/lu/luLandDet.jsp?pnu=3611033025109030003&amp;isNoScr=script&amp;mode=search", "토지이음")</f>
        <v/>
      </c>
      <c r="O1212" s="3" t="inlineStr">
        <is>
          <t>(주)미르</t>
        </is>
      </c>
      <c r="P1212" s="4" t="n">
        <v>1</v>
      </c>
      <c r="Q1212" s="4" t="n">
        <v>3505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부강면 문곡리 903-3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136000</v>
      </c>
      <c r="G1213" s="4" t="n">
        <v>3505</v>
      </c>
      <c r="H1213" s="4" t="n">
        <v>1060</v>
      </c>
      <c r="I1213" s="5" t="n">
        <v>128.3</v>
      </c>
      <c r="J1213" s="5" t="n">
        <v>22.5</v>
      </c>
      <c r="K1213" s="3" t="inlineStr">
        <is>
          <t>즉시 건축 가능한 공장 및 창고부지 계획관리지역 남청주 IC인근</t>
        </is>
      </c>
      <c r="L1213" s="6">
        <f>HYPERLINK("https://fin.land.naver.com/articles/2651924940", "매물Link")</f>
        <v/>
      </c>
      <c r="M1213" s="6">
        <f>HYPERLINK("https://map.naver.com/p/search/부강면 문곡리 903-3", "지도Link")</f>
        <v/>
      </c>
      <c r="N1213" s="6">
        <f>HYPERLINK("http://www.eum.go.kr/web/ar/lu/luLandDet.jsp?pnu=3611033025109030003&amp;isNoScr=script&amp;mode=search", "토지이음")</f>
        <v/>
      </c>
      <c r="O1213" s="3" t="inlineStr">
        <is>
          <t>대전토지로무소</t>
        </is>
      </c>
      <c r="P1213" s="4" t="n">
        <v>1</v>
      </c>
      <c r="Q1213" s="4" t="n">
        <v>3505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문곡리 918-1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250000</v>
      </c>
      <c r="G1214" s="4" t="n">
        <v>2991</v>
      </c>
      <c r="H1214" s="4" t="n">
        <v>905</v>
      </c>
      <c r="I1214" s="5" t="n">
        <v>276.2</v>
      </c>
      <c r="J1214" s="5" t="n">
        <v>96.2</v>
      </c>
      <c r="K1214" s="3" t="inlineStr">
        <is>
          <t>조율가능 2차선변 진입로넓음 토지모양 평탄화 컨디션최상</t>
        </is>
      </c>
      <c r="L1214" s="6">
        <f>HYPERLINK("https://fin.land.naver.com/articles/2652943481", "매물Link")</f>
        <v/>
      </c>
      <c r="M1214" s="6">
        <f>HYPERLINK("https://map.naver.com/p/search/부강면 문곡리 918-1", "지도Link")</f>
        <v/>
      </c>
      <c r="N1214" s="6">
        <f>HYPERLINK("http://www.eum.go.kr/web/ar/lu/luLandDet.jsp?pnu=3611033025109180001&amp;isNoScr=script&amp;mode=search",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2063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부강면 문곡리 산79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630000</v>
      </c>
      <c r="G1215" s="4" t="n">
        <v>25033</v>
      </c>
      <c r="H1215" s="4" t="n">
        <v>7572</v>
      </c>
      <c r="I1215" s="5" t="n">
        <v>83.2</v>
      </c>
      <c r="J1215" s="5" t="n">
        <v>7.7</v>
      </c>
      <c r="K1215" s="3" t="inlineStr">
        <is>
          <t>5생활권과 남청주IC 중간에 위치한 보전관리 토지</t>
        </is>
      </c>
      <c r="L1215" s="6">
        <f>HYPERLINK("https://fin.land.naver.com/articles/2653532400", "매물Link")</f>
        <v/>
      </c>
      <c r="M1215" s="6">
        <f>HYPERLINK("https://map.naver.com/p/search/부강면 문곡리 산79", "지도Link")</f>
        <v/>
      </c>
      <c r="N1215" s="6">
        <f>HYPERLINK("http://www.eum.go.kr/web/ar/lu/luLandDet.jsp?pnu=3611033025200790000&amp;isNoScr=script&amp;mode=search", "토지이음")</f>
        <v/>
      </c>
      <c r="O1215" s="3" t="inlineStr">
        <is>
          <t>황제</t>
        </is>
      </c>
      <c r="P1215" s="4" t="n">
        <v>1</v>
      </c>
      <c r="Q1215" s="4" t="n">
        <v>25033</v>
      </c>
      <c r="R1215" s="3" t="inlineStr">
        <is>
          <t>지정되지않음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부강면 부강리 1003-3</t>
        </is>
      </c>
      <c r="B1216" s="3" t="inlineStr">
        <is>
          <t>제1종일반주거지역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월세</t>
        </is>
      </c>
      <c r="F1216" s="4" t="n">
        <v>3000</v>
      </c>
      <c r="G1216" s="4" t="n">
        <v>2345</v>
      </c>
      <c r="H1216" s="4" t="n">
        <v>709</v>
      </c>
      <c r="I1216" s="5" t="n">
        <v>0.4</v>
      </c>
      <c r="J1216" s="5" t="n">
        <v>291.4</v>
      </c>
      <c r="K1216" s="3" t="inlineStr">
        <is>
          <t>2차선도로에서 진입 대형화물차도 진입가능합니다.</t>
        </is>
      </c>
      <c r="L1216" s="6">
        <f>HYPERLINK("https://fin.land.naver.com/articles/2651013568", "매물Link")</f>
        <v/>
      </c>
      <c r="M1216" s="6">
        <f>HYPERLINK("https://map.naver.com/p/search/부강면 부강리 1003-3", "지도Link")</f>
        <v/>
      </c>
      <c r="N1216" s="6">
        <f>HYPERLINK("http://www.eum.go.kr/web/ar/lu/luLandDet.jsp?pnu=3611033021110030003&amp;isNoScr=script&amp;mode=search", "토지이음")</f>
        <v/>
      </c>
      <c r="O1216" s="3" t="inlineStr">
        <is>
          <t>연동스카이</t>
        </is>
      </c>
      <c r="P1216" s="4" t="n">
        <v>1</v>
      </c>
      <c r="Q1216" s="4" t="n">
        <v>1494</v>
      </c>
      <c r="R1216" s="3" t="inlineStr">
        <is>
          <t>지정되지않음</t>
        </is>
      </c>
      <c r="S1216" s="3" t="inlineStr">
        <is>
          <t>상업용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부강면 부강리 1046-1</t>
        </is>
      </c>
      <c r="B1217" s="3" t="inlineStr">
        <is>
          <t>자연녹지지역</t>
        </is>
      </c>
      <c r="C1217" s="3" t="inlineStr">
        <is>
          <t>대</t>
        </is>
      </c>
      <c r="D1217" s="3" t="inlineStr">
        <is>
          <t>전</t>
        </is>
      </c>
      <c r="E1217" s="3" t="inlineStr">
        <is>
          <t>매매</t>
        </is>
      </c>
      <c r="F1217" s="4" t="n">
        <v>70000</v>
      </c>
      <c r="G1217" s="4" t="n">
        <v>1521</v>
      </c>
      <c r="H1217" s="4" t="n">
        <v>460</v>
      </c>
      <c r="I1217" s="5" t="n">
        <v>152.2</v>
      </c>
      <c r="J1217" s="5" t="n">
        <v>90.59999999999999</v>
      </c>
      <c r="K1217" s="3" t="inlineStr">
        <is>
          <t>nan</t>
        </is>
      </c>
      <c r="L1217" s="6">
        <f>HYPERLINK("https://fin.land.naver.com/articles/2651729349", "매물Link")</f>
        <v/>
      </c>
      <c r="M1217" s="6">
        <f>HYPERLINK("https://map.naver.com/p/search/부강면 부강리 1046-1", "지도Link")</f>
        <v/>
      </c>
      <c r="N1217" s="6">
        <f>HYPERLINK("http://www.eum.go.kr/web/ar/lu/luLandDet.jsp?pnu=3611033021110460001&amp;isNoScr=script&amp;mode=search", "토지이음")</f>
        <v/>
      </c>
      <c r="O1217" s="3" t="inlineStr">
        <is>
          <t>세종땅전문</t>
        </is>
      </c>
      <c r="P1217" s="4" t="n">
        <v>1</v>
      </c>
      <c r="Q1217" s="4" t="n">
        <v>125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부강리 1060-4</t>
        </is>
      </c>
      <c r="B1218" s="3" t="inlineStr">
        <is>
          <t>자연녹지지역</t>
        </is>
      </c>
      <c r="C1218" s="3" t="inlineStr">
        <is>
          <t>주차장</t>
        </is>
      </c>
      <c r="D1218" s="3" t="inlineStr">
        <is>
          <t>주차장</t>
        </is>
      </c>
      <c r="E1218" s="3" t="inlineStr">
        <is>
          <t>월세</t>
        </is>
      </c>
      <c r="F1218" s="4" t="n">
        <v>1000</v>
      </c>
      <c r="G1218" s="4" t="n">
        <v>1024</v>
      </c>
      <c r="H1218" s="4" t="n">
        <v>310</v>
      </c>
      <c r="I1218" s="5" t="n">
        <v>0.4</v>
      </c>
      <c r="J1218" s="5" t="n">
        <v>62.8</v>
      </c>
      <c r="K1218" s="3" t="inlineStr">
        <is>
          <t>버스 .대형차 차고지 사용하실분 환영 (사무실용도 27㎡)포함임</t>
        </is>
      </c>
      <c r="L1218" s="6">
        <f>HYPERLINK("https://fin.land.naver.com/articles/2653206582", "매물Link")</f>
        <v/>
      </c>
      <c r="M1218" s="6">
        <f>HYPERLINK("https://map.naver.com/p/search/부강면 부강리 1060-4", "지도Link")</f>
        <v/>
      </c>
      <c r="N1218" s="6">
        <f>HYPERLINK("http://www.eum.go.kr/web/ar/lu/luLandDet.jsp?pnu=3611033021110600004&amp;isNoScr=script&amp;mode=search", "토지이음")</f>
        <v/>
      </c>
      <c r="O1218" s="3" t="inlineStr">
        <is>
          <t>대박</t>
        </is>
      </c>
      <c r="P1218" s="4" t="n">
        <v>1</v>
      </c>
      <c r="Q1218" s="4" t="n">
        <v>1024</v>
      </c>
      <c r="R1218" s="3" t="inlineStr">
        <is>
          <t>지정되지않음</t>
        </is>
      </c>
      <c r="S1218" s="3" t="inlineStr">
        <is>
          <t>전기타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부강면 부강리 1078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75200</v>
      </c>
      <c r="G1219" s="4" t="n">
        <v>3110</v>
      </c>
      <c r="H1219" s="4" t="n">
        <v>941</v>
      </c>
      <c r="I1219" s="5" t="n">
        <v>79.90000000000001</v>
      </c>
      <c r="J1219" s="5" t="n">
        <v>34.5</v>
      </c>
      <c r="K1219" s="3" t="inlineStr">
        <is>
          <t>투자용 토지</t>
        </is>
      </c>
      <c r="L1219" s="6">
        <f>HYPERLINK("https://fin.land.naver.com/articles/2653769241", "매물Link")</f>
        <v/>
      </c>
      <c r="M1219" s="6">
        <f>HYPERLINK("https://map.naver.com/p/search/부강면 부강리 1078", "지도Link")</f>
        <v/>
      </c>
      <c r="N1219" s="6">
        <f>HYPERLINK("http://www.eum.go.kr/web/ar/lu/luLandDet.jsp?pnu=3611033021110780000&amp;isNoScr=script&amp;mode=search", "토지이음")</f>
        <v/>
      </c>
      <c r="O1219" s="3" t="inlineStr">
        <is>
          <t>일오삼</t>
        </is>
      </c>
      <c r="P1219" s="4" t="n">
        <v>1</v>
      </c>
      <c r="Q1219" s="4" t="n">
        <v>902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부강면 부강리 1094-1</t>
        </is>
      </c>
      <c r="B1220" s="3" t="inlineStr">
        <is>
          <t>생산녹지지역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63500</v>
      </c>
      <c r="G1220" s="4" t="n">
        <v>565</v>
      </c>
      <c r="H1220" s="4" t="n">
        <v>171</v>
      </c>
      <c r="I1220" s="5" t="n">
        <v>371.3</v>
      </c>
      <c r="J1220" s="5" t="n">
        <v>45</v>
      </c>
      <c r="K1220" s="3" t="inlineStr">
        <is>
          <t>투자추천. 세종시 귀한 소형평수. 남세종IC. 부강역인근. 5생활권 근접</t>
        </is>
      </c>
      <c r="L1220" s="6">
        <f>HYPERLINK("https://fin.land.naver.com/articles/2655407742", "매물Link")</f>
        <v/>
      </c>
      <c r="M1220" s="6">
        <f>HYPERLINK("https://map.naver.com/p/search/부강면 부강리 1094-1", "지도Link")</f>
        <v/>
      </c>
      <c r="N1220" s="6">
        <f>HYPERLINK("http://www.eum.go.kr/web/ar/lu/luLandDet.jsp?pnu=3611033021110940001&amp;isNoScr=script&amp;mode=search", "토지이음")</f>
        <v/>
      </c>
      <c r="O1220" s="3" t="inlineStr">
        <is>
          <t>세종금밭</t>
        </is>
      </c>
      <c r="P1220" s="4" t="n">
        <v>1</v>
      </c>
      <c r="Q1220" s="4" t="n">
        <v>565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1215-2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58000</v>
      </c>
      <c r="G1221" s="4" t="n">
        <v>766</v>
      </c>
      <c r="H1221" s="4" t="n">
        <v>232</v>
      </c>
      <c r="I1221" s="5" t="n">
        <v>250</v>
      </c>
      <c r="J1221" s="5" t="n">
        <v>40</v>
      </c>
      <c r="K1221" s="3" t="inlineStr">
        <is>
          <t>대토추천, 세로한면불토지</t>
        </is>
      </c>
      <c r="L1221" s="6">
        <f>HYPERLINK("https://fin.land.naver.com/articles/2650179837", "매물Link")</f>
        <v/>
      </c>
      <c r="M1221" s="6">
        <f>HYPERLINK("https://map.naver.com/p/search/부강면 부강리 1215-2", "지도Link")</f>
        <v/>
      </c>
      <c r="N1221" s="6">
        <f>HYPERLINK("http://www.eum.go.kr/web/ar/lu/luLandDet.jsp?pnu=3611033021112150002&amp;isNoScr=script&amp;mode=search", "토지이음")</f>
        <v/>
      </c>
      <c r="O1221" s="3" t="inlineStr">
        <is>
          <t>연동스카이</t>
        </is>
      </c>
      <c r="P1221" s="4" t="n">
        <v>1</v>
      </c>
      <c r="Q1221" s="4" t="n">
        <v>766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부강면 부강리 1230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170000</v>
      </c>
      <c r="G1222" s="4" t="n">
        <v>2365</v>
      </c>
      <c r="H1222" s="4" t="n">
        <v>715</v>
      </c>
      <c r="I1222" s="5" t="n">
        <v>237.8</v>
      </c>
      <c r="J1222" s="5" t="n">
        <v>37.7</v>
      </c>
      <c r="K1222" s="3" t="inlineStr">
        <is>
          <t>계획관리지역, 농막, 비닐하우스, 성토완료, 지하수있음</t>
        </is>
      </c>
      <c r="L1222" s="6">
        <f>HYPERLINK("https://fin.land.naver.com/articles/2654450912", "매물Link")</f>
        <v/>
      </c>
      <c r="M1222" s="6">
        <f>HYPERLINK("https://map.naver.com/p/search/부강면 부강리 1230", "지도Link")</f>
        <v/>
      </c>
      <c r="N1222" s="6">
        <f>HYPERLINK("http://www.eum.go.kr/web/ar/lu/luLandDet.jsp?pnu=3611033021112300000&amp;isNoScr=script&amp;mode=search", "토지이음")</f>
        <v/>
      </c>
      <c r="O1222" s="3" t="inlineStr">
        <is>
          <t>이담</t>
        </is>
      </c>
      <c r="P1222" s="4" t="n">
        <v>1</v>
      </c>
      <c r="Q1222" s="4" t="n">
        <v>2365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부강리 1252</t>
        </is>
      </c>
      <c r="B1223" s="3" t="inlineStr">
        <is>
          <t>계획관리지역</t>
        </is>
      </c>
      <c r="C1223" s="3" t="inlineStr">
        <is>
          <t>잡종지</t>
        </is>
      </c>
      <c r="D1223" s="3" t="inlineStr">
        <is>
          <t>잡종지</t>
        </is>
      </c>
      <c r="E1223" s="3" t="inlineStr">
        <is>
          <t>매매</t>
        </is>
      </c>
      <c r="F1223" s="4" t="n">
        <v>1000000</v>
      </c>
      <c r="G1223" s="4" t="n">
        <v>8347</v>
      </c>
      <c r="H1223" s="4" t="n">
        <v>2525</v>
      </c>
      <c r="I1223" s="5" t="n">
        <v>396</v>
      </c>
      <c r="J1223" s="5" t="n">
        <v>97.40000000000001</v>
      </c>
      <c r="K1223" s="3" t="inlineStr">
        <is>
          <t>세종 부강면 부강리 소재 토지 잡종지라 활용 방향 검토 폭이 넓은 편 계</t>
        </is>
      </c>
      <c r="L1223" s="6">
        <f>HYPERLINK("https://fin.land.naver.com/articles/2651604812", "매물Link")</f>
        <v/>
      </c>
      <c r="M1223" s="6">
        <f>HYPERLINK("https://map.naver.com/p/search/부강면 부강리 1252", "지도Link")</f>
        <v/>
      </c>
      <c r="N1223" s="6">
        <f>HYPERLINK("http://www.eum.go.kr/web/ar/lu/luLandDet.jsp?pnu=3611033021112520000&amp;isNoScr=script&amp;mode=search",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4832</v>
      </c>
      <c r="R1223" s="3" t="inlineStr">
        <is>
          <t>지정되지않음</t>
        </is>
      </c>
      <c r="S1223" s="3" t="inlineStr">
        <is>
          <t>공업나지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부강리 343-1</t>
        </is>
      </c>
      <c r="B1224" s="3" t="inlineStr">
        <is>
          <t>제2종일반주거지역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29500</v>
      </c>
      <c r="G1224" s="4" t="n">
        <v>420</v>
      </c>
      <c r="H1224" s="4" t="n">
        <v>127</v>
      </c>
      <c r="I1224" s="5" t="n">
        <v>232.3</v>
      </c>
      <c r="J1224" s="5" t="n">
        <v>94.90000000000001</v>
      </c>
      <c r="K1224" s="3" t="inlineStr">
        <is>
          <t>코너각지땅모양예쁜땅,지대가높아확트인조망,행복도시10분이내</t>
        </is>
      </c>
      <c r="L1224" s="6">
        <f>HYPERLINK("https://fin.land.naver.com/articles/2651590776", "매물Link")</f>
        <v/>
      </c>
      <c r="M1224" s="6">
        <f>HYPERLINK("https://map.naver.com/p/search/부강면 부강리 343-1", "지도Link")</f>
        <v/>
      </c>
      <c r="N1224" s="6">
        <f>HYPERLINK("http://www.eum.go.kr/web/ar/lu/luLandDet.jsp?pnu=3611033021103430001&amp;isNoScr=script&amp;mode=search", "토지이음")</f>
        <v/>
      </c>
      <c r="O1224" s="3" t="inlineStr">
        <is>
          <t>타이밍</t>
        </is>
      </c>
      <c r="P1224" s="4" t="n">
        <v>1</v>
      </c>
      <c r="Q1224" s="4" t="n">
        <v>420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부강면 부강리 386</t>
        </is>
      </c>
      <c r="B1225" s="3" t="inlineStr">
        <is>
          <t>제2종일반주거지역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50000</v>
      </c>
      <c r="G1225" s="4" t="n">
        <v>664</v>
      </c>
      <c r="H1225" s="4" t="n">
        <v>201</v>
      </c>
      <c r="I1225" s="5" t="n">
        <v>248.8</v>
      </c>
      <c r="J1225" s="5" t="n">
        <v>110</v>
      </c>
      <c r="K1225" s="3" t="inlineStr">
        <is>
          <t>부강면 나대지 매매, 부강역, 부강면사무소 인근, 근생 및 단독주택 건축</t>
        </is>
      </c>
      <c r="L1225" s="6">
        <f>HYPERLINK("https://fin.land.naver.com/articles/2654026451", "매물Link")</f>
        <v/>
      </c>
      <c r="M1225" s="6">
        <f>HYPERLINK("https://map.naver.com/p/search/부강면 부강리 386", "지도Link")</f>
        <v/>
      </c>
      <c r="N1225" s="6">
        <f>HYPERLINK("http://www.eum.go.kr/web/ar/lu/luLandDet.jsp?pnu=3611033021103860000&amp;isNoScr=script&amp;mode=search", "토지이음")</f>
        <v/>
      </c>
      <c r="O1225" s="3" t="inlineStr">
        <is>
          <t>스카이</t>
        </is>
      </c>
      <c r="P1225" s="4" t="n">
        <v>1</v>
      </c>
      <c r="Q1225" s="4" t="n">
        <v>664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부강면 부강리 446-13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140000</v>
      </c>
      <c r="G1226" s="4" t="n">
        <v>522</v>
      </c>
      <c r="H1226" s="4" t="n">
        <v>158</v>
      </c>
      <c r="I1226" s="5" t="n">
        <v>886.1</v>
      </c>
      <c r="J1226" s="5" t="n">
        <v>502.5</v>
      </c>
      <c r="K1226" s="3" t="inlineStr">
        <is>
          <t>추천.  현재 식당 운영 입지좋은 위치 상업시설 짓기 좋은 곳</t>
        </is>
      </c>
      <c r="L1226" s="6">
        <f>HYPERLINK("https://fin.land.naver.com/articles/2652475989", "매물Link")</f>
        <v/>
      </c>
      <c r="M1226" s="6">
        <f>HYPERLINK("https://map.naver.com/p/search/부강면 부강리 446-13", "지도Link")</f>
        <v/>
      </c>
      <c r="N1226" s="6">
        <f>HYPERLINK("http://www.eum.go.kr/web/ar/lu/luLandDet.jsp?pnu=3611033021104460013&amp;isNoScr=script&amp;mode=search", "토지이음")</f>
        <v/>
      </c>
      <c r="O1226" s="3" t="inlineStr">
        <is>
          <t>한강롯데(단지내)</t>
        </is>
      </c>
      <c r="P1226" s="4" t="n">
        <v>1</v>
      </c>
      <c r="Q1226" s="4" t="n">
        <v>522</v>
      </c>
      <c r="R1226" s="3" t="inlineStr">
        <is>
          <t>지정되지않음</t>
        </is>
      </c>
      <c r="S1226" s="3" t="inlineStr">
        <is>
          <t>상업용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소로각지</t>
        </is>
      </c>
    </row>
    <row r="1227">
      <c r="A1227" s="3" t="inlineStr">
        <is>
          <t>부강면 부강리 457-3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95000</v>
      </c>
      <c r="G1227" s="4" t="n">
        <v>767</v>
      </c>
      <c r="H1227" s="4" t="n">
        <v>232</v>
      </c>
      <c r="I1227" s="5" t="n">
        <v>409.5</v>
      </c>
      <c r="J1227" s="5" t="n">
        <v>311.3</v>
      </c>
      <c r="K1227" s="3" t="inlineStr">
        <is>
          <t>세종시의 주거 상업용지로  개발가치및 인프라좋은 저렴한 매물</t>
        </is>
      </c>
      <c r="L1227" s="6">
        <f>HYPERLINK("https://fin.land.naver.com/articles/2651952349", "매물Link")</f>
        <v/>
      </c>
      <c r="M1227" s="6">
        <f>HYPERLINK("https://map.naver.com/p/search/부강면 부강리 457-3", "지도Link")</f>
        <v/>
      </c>
      <c r="N1227" s="6">
        <f>HYPERLINK("http://www.eum.go.kr/web/ar/lu/luLandDet.jsp?pnu=3611033021104570003&amp;isNoScr=script&amp;mode=search", "토지이음")</f>
        <v/>
      </c>
      <c r="O1227" s="3" t="inlineStr">
        <is>
          <t>매그놀리아</t>
        </is>
      </c>
      <c r="P1227" s="4" t="n">
        <v>2</v>
      </c>
      <c r="Q1227" s="4" t="n">
        <v>767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부강리 486-3</t>
        </is>
      </c>
      <c r="B1228" s="3" t="inlineStr">
        <is>
          <t>제2종일반주거지역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68000</v>
      </c>
      <c r="G1228" s="4" t="n">
        <v>545</v>
      </c>
      <c r="H1228" s="4" t="n">
        <v>165</v>
      </c>
      <c r="I1228" s="5" t="n">
        <v>412.1</v>
      </c>
      <c r="J1228" s="5" t="n">
        <v>204.5</v>
      </c>
      <c r="K1228" s="3" t="inlineStr">
        <is>
          <t>부강초등학교 인근에 있는 일반주거지역으로 다가구주택 부지로 좋은 대지</t>
        </is>
      </c>
      <c r="L1228" s="6">
        <f>HYPERLINK("https://fin.land.naver.com/articles/2651241494", "매물Link")</f>
        <v/>
      </c>
      <c r="M1228" s="6">
        <f>HYPERLINK("https://map.naver.com/p/search/부강면 부강리 486-3", "지도Link")</f>
        <v/>
      </c>
      <c r="N1228" s="6">
        <f>HYPERLINK("http://www.eum.go.kr/web/ar/lu/luLandDet.jsp?pnu=3611033021104860003&amp;isNoScr=script&amp;mode=search",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545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부강리 580-1</t>
        </is>
      </c>
      <c r="B1229" s="3" t="inlineStr">
        <is>
          <t>일반공업지역</t>
        </is>
      </c>
      <c r="C1229" s="3" t="inlineStr">
        <is>
          <t>답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346000</v>
      </c>
      <c r="G1229" s="4" t="n">
        <v>3808</v>
      </c>
      <c r="H1229" s="4" t="n">
        <v>1152</v>
      </c>
      <c r="I1229" s="5" t="n">
        <v>300.3</v>
      </c>
      <c r="J1229" s="5" t="n">
        <v>40.9</v>
      </c>
      <c r="K1229" s="3" t="inlineStr">
        <is>
          <t>입지 좋은 접근성 최상의 토지, 대로 2류 착공 예정, 가격 상승 기대</t>
        </is>
      </c>
      <c r="L1229" s="6">
        <f>HYPERLINK("https://fin.land.naver.com/articles/2651106962", "매물Link")</f>
        <v/>
      </c>
      <c r="M1229" s="6">
        <f>HYPERLINK("https://map.naver.com/p/search/부강면 부강리 580-1", "지도Link")</f>
        <v/>
      </c>
      <c r="N1229" s="6">
        <f>HYPERLINK("http://www.eum.go.kr/web/ar/lu/luLandDet.jsp?pnu=3611033021105800001&amp;isNoScr=script&amp;mode=search", "토지이음")</f>
        <v/>
      </c>
      <c r="O1229" s="3" t="inlineStr">
        <is>
          <t>행복한무소</t>
        </is>
      </c>
      <c r="P1229" s="4" t="n">
        <v>1</v>
      </c>
      <c r="Q1229" s="4" t="n">
        <v>3127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세로한면(불)</t>
        </is>
      </c>
    </row>
    <row r="1230">
      <c r="A1230" s="3" t="inlineStr">
        <is>
          <t>부강면 부강리 717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66000</v>
      </c>
      <c r="G1230" s="4" t="n">
        <v>545</v>
      </c>
      <c r="H1230" s="4" t="n">
        <v>165</v>
      </c>
      <c r="I1230" s="5" t="n">
        <v>400</v>
      </c>
      <c r="J1230" s="5" t="n">
        <v>80.90000000000001</v>
      </c>
      <c r="K1230" s="3" t="inlineStr">
        <is>
          <t>다용도로사용가능.현재사무실및창고용건물존재116.64제곱.금강변인접</t>
        </is>
      </c>
      <c r="L1230" s="6">
        <f>HYPERLINK("https://fin.land.naver.com/articles/2653859208", "매물Link")</f>
        <v/>
      </c>
      <c r="M1230" s="6">
        <f>HYPERLINK("https://map.naver.com/p/search/부강면 부강리 717", "지도Link")</f>
        <v/>
      </c>
      <c r="N1230" s="6">
        <f>HYPERLINK("http://www.eum.go.kr/web/ar/lu/luLandDet.jsp?pnu=3611033021107170000&amp;isNoScr=script&amp;mode=search", "토지이음")</f>
        <v/>
      </c>
      <c r="O1230" s="3" t="inlineStr">
        <is>
          <t>돈방석</t>
        </is>
      </c>
      <c r="P1230" s="4" t="n">
        <v>1</v>
      </c>
      <c r="Q1230" s="4" t="n">
        <v>545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부강리 729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34000</v>
      </c>
      <c r="G1231" s="4" t="n">
        <v>894</v>
      </c>
      <c r="H1231" s="4" t="n">
        <v>270</v>
      </c>
      <c r="I1231" s="5" t="n">
        <v>125.9</v>
      </c>
      <c r="J1231" s="5" t="n">
        <v>77.59999999999999</v>
      </c>
      <c r="K1231" s="3" t="inlineStr">
        <is>
          <t>부강면과 북대전IC간 광역도로 개통 호재 있는 부강면 계획관리 대지 급매</t>
        </is>
      </c>
      <c r="L1231" s="6">
        <f>HYPERLINK("https://fin.land.naver.com/articles/2651693416", "매물Link")</f>
        <v/>
      </c>
      <c r="M1231" s="6">
        <f>HYPERLINK("https://map.naver.com/p/search/부강면 부강리 729", "지도Link")</f>
        <v/>
      </c>
      <c r="N1231" s="6">
        <f>HYPERLINK("http://www.eum.go.kr/web/ar/lu/luLandDet.jsp?pnu=3611033021107290000&amp;isNoScr=script&amp;mode=search", "토지이음")</f>
        <v/>
      </c>
      <c r="O1231" s="3" t="inlineStr">
        <is>
          <t>청담</t>
        </is>
      </c>
      <c r="P1231" s="4" t="n">
        <v>1</v>
      </c>
      <c r="Q1231" s="4" t="n">
        <v>600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부강리 745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50000</v>
      </c>
      <c r="G1232" s="4" t="n">
        <v>1421</v>
      </c>
      <c r="H1232" s="4" t="n">
        <v>430</v>
      </c>
      <c r="I1232" s="5" t="n">
        <v>116.3</v>
      </c>
      <c r="J1232" s="5" t="n">
        <v>36.3</v>
      </c>
      <c r="K1232" s="3" t="inlineStr">
        <is>
          <t>세종 부강면 진입로 있는 토지,전기 인입등 투자용 토지</t>
        </is>
      </c>
      <c r="L1232" s="6">
        <f>HYPERLINK("https://fin.land.naver.com/articles/2653416921", "매물Link")</f>
        <v/>
      </c>
      <c r="M1232" s="6">
        <f>HYPERLINK("https://map.naver.com/p/search/부강면 부강리 745", "지도Link")</f>
        <v/>
      </c>
      <c r="N1232" s="6">
        <f>HYPERLINK("http://www.eum.go.kr/web/ar/lu/luLandDet.jsp?pnu=3611033021107450000&amp;isNoScr=script&amp;mode=search", "토지이음")</f>
        <v/>
      </c>
      <c r="O1232" s="3" t="inlineStr">
        <is>
          <t>민트</t>
        </is>
      </c>
      <c r="P1232" s="4" t="n">
        <v>1</v>
      </c>
      <c r="Q1232" s="4" t="n">
        <v>1421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부강리 758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28000</v>
      </c>
      <c r="G1233" s="4" t="n">
        <v>634</v>
      </c>
      <c r="H1233" s="4" t="n">
        <v>192</v>
      </c>
      <c r="I1233" s="5" t="n">
        <v>145.8</v>
      </c>
      <c r="J1233" s="5" t="n">
        <v>40.8</v>
      </c>
      <c r="K1233" s="3" t="inlineStr">
        <is>
          <t>도로 인접</t>
        </is>
      </c>
      <c r="L1233" s="6">
        <f>HYPERLINK("https://fin.land.naver.com/articles/2654420621", "매물Link")</f>
        <v/>
      </c>
      <c r="M1233" s="6">
        <f>HYPERLINK("https://map.naver.com/p/search/부강면 부강리 758", "지도Link")</f>
        <v/>
      </c>
      <c r="N1233" s="6">
        <f>HYPERLINK("http://www.eum.go.kr/web/ar/lu/luLandDet.jsp?pnu=3611033021107580000&amp;isNoScr=script&amp;mode=search", "토지이음")</f>
        <v/>
      </c>
      <c r="O1233" s="3" t="inlineStr">
        <is>
          <t>세종제일1</t>
        </is>
      </c>
      <c r="P1233" s="4" t="n">
        <v>3</v>
      </c>
      <c r="Q1233" s="4" t="n">
        <v>631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부강리 825-4</t>
        </is>
      </c>
      <c r="B1234" s="3" t="inlineStr">
        <is>
          <t>생산녹지지역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45000</v>
      </c>
      <c r="G1234" s="4" t="n">
        <v>1337</v>
      </c>
      <c r="H1234" s="4" t="n">
        <v>404</v>
      </c>
      <c r="I1234" s="5" t="n">
        <v>111.4</v>
      </c>
      <c r="J1234" s="5" t="n">
        <v>30.9</v>
      </c>
      <c r="K1234" s="3" t="inlineStr">
        <is>
          <t>급매,가격협의가능, 대토 또는 투자로 추천</t>
        </is>
      </c>
      <c r="L1234" s="6">
        <f>HYPERLINK("https://fin.land.naver.com/articles/2652281535", "매물Link")</f>
        <v/>
      </c>
      <c r="M1234" s="6">
        <f>HYPERLINK("https://map.naver.com/p/search/부강면 부강리 825-4", "지도Link")</f>
        <v/>
      </c>
      <c r="N1234" s="6">
        <f>HYPERLINK("http://www.eum.go.kr/web/ar/lu/luLandDet.jsp?pnu=3611033021108250004&amp;isNoScr=script&amp;mode=search", "토지이음")</f>
        <v/>
      </c>
      <c r="O1234" s="3" t="inlineStr">
        <is>
          <t>담뜰</t>
        </is>
      </c>
      <c r="P1234" s="4" t="n">
        <v>1</v>
      </c>
      <c r="Q1234" s="4" t="n">
        <v>1337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부강리 885</t>
        </is>
      </c>
      <c r="B1235" s="3" t="inlineStr">
        <is>
          <t>생산녹지지역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279000</v>
      </c>
      <c r="G1235" s="4" t="n">
        <v>3075</v>
      </c>
      <c r="H1235" s="4" t="n">
        <v>930</v>
      </c>
      <c r="I1235" s="5" t="n">
        <v>300</v>
      </c>
      <c r="J1235" s="5" t="n">
        <v>34.4</v>
      </c>
      <c r="K1235" s="3" t="inlineStr">
        <is>
          <t>도시지역,2차선접,땅모양좋아요</t>
        </is>
      </c>
      <c r="L1235" s="6">
        <f>HYPERLINK("https://fin.land.naver.com/articles/2650425544", "매물Link")</f>
        <v/>
      </c>
      <c r="M1235" s="6">
        <f>HYPERLINK("https://map.naver.com/p/search/부강면 부강리 885", "지도Link")</f>
        <v/>
      </c>
      <c r="N1235" s="6">
        <f>HYPERLINK("http://www.eum.go.kr/web/ar/lu/luLandDet.jsp?pnu=3611033021108850000&amp;isNoScr=script&amp;mode=search", "토지이음")</f>
        <v/>
      </c>
      <c r="O1235" s="3" t="inlineStr">
        <is>
          <t>힐스테이트행복</t>
        </is>
      </c>
      <c r="P1235" s="4" t="n">
        <v>1</v>
      </c>
      <c r="Q1235" s="4" t="n">
        <v>833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부강리 888-1</t>
        </is>
      </c>
      <c r="B1236" s="3" t="inlineStr">
        <is>
          <t>생산녹지지역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58000</v>
      </c>
      <c r="G1236" s="4" t="n">
        <v>1758</v>
      </c>
      <c r="H1236" s="4" t="n">
        <v>532</v>
      </c>
      <c r="I1236" s="5" t="n">
        <v>109</v>
      </c>
      <c r="J1236" s="5" t="n">
        <v>38.9</v>
      </c>
      <c r="K1236" s="3" t="inlineStr">
        <is>
          <t>행복도시완성시  큰그림을 그릴수있는 위치의 토지로 주택이나 장기투자</t>
        </is>
      </c>
      <c r="L1236" s="6">
        <f>HYPERLINK("https://fin.land.naver.com/articles/2652072270", "매물Link")</f>
        <v/>
      </c>
      <c r="M1236" s="6">
        <f>HYPERLINK("https://map.naver.com/p/search/부강면 부강리 888-1", "지도Link")</f>
        <v/>
      </c>
      <c r="N1236" s="6">
        <f>HYPERLINK("http://www.eum.go.kr/web/ar/lu/luLandDet.jsp?pnu=3611033021108880001&amp;isNoScr=script&amp;mode=search", "토지이음")</f>
        <v/>
      </c>
      <c r="O1236" s="3" t="inlineStr">
        <is>
          <t>연동스카이</t>
        </is>
      </c>
      <c r="P1236" s="4" t="n">
        <v>1</v>
      </c>
      <c r="Q1236" s="4" t="n">
        <v>1759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부강리 894</t>
        </is>
      </c>
      <c r="B1237" s="3" t="inlineStr">
        <is>
          <t>생산녹지지역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28000</v>
      </c>
      <c r="G1237" s="4" t="n">
        <v>733</v>
      </c>
      <c r="H1237" s="4" t="n">
        <v>222</v>
      </c>
      <c r="I1237" s="5" t="n">
        <v>126.1</v>
      </c>
      <c r="J1237" s="5" t="n">
        <v>40.9</v>
      </c>
      <c r="K1237" s="3" t="inlineStr">
        <is>
          <t>소액으로 투자할수있는 가격저렴한 작은토지로 최상</t>
        </is>
      </c>
      <c r="L1237" s="6">
        <f>HYPERLINK("https://fin.land.naver.com/articles/2650178056", "매물Link")</f>
        <v/>
      </c>
      <c r="M1237" s="6">
        <f>HYPERLINK("https://map.naver.com/p/search/부강면 부강리 894", "지도Link")</f>
        <v/>
      </c>
      <c r="N1237" s="6">
        <f>HYPERLINK("http://www.eum.go.kr/web/ar/lu/luLandDet.jsp?pnu=3611033021108940000&amp;isNoScr=script&amp;mode=search",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735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세로한면(불)</t>
        </is>
      </c>
    </row>
    <row r="1238">
      <c r="A1238" s="3" t="inlineStr">
        <is>
          <t>부강면 부강리 951</t>
        </is>
      </c>
      <c r="B1238" s="3" t="inlineStr">
        <is>
          <t>제2종일반주거지역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35000</v>
      </c>
      <c r="G1238" s="4" t="n">
        <v>288</v>
      </c>
      <c r="H1238" s="4" t="n">
        <v>87</v>
      </c>
      <c r="I1238" s="5" t="n">
        <v>402.3</v>
      </c>
      <c r="J1238" s="5" t="n">
        <v>172.3</v>
      </c>
      <c r="K1238" s="3" t="inlineStr">
        <is>
          <t>급매, 절충가능한 다가구 주택 부지로 적합한 제2종일반주거지역의 토지</t>
        </is>
      </c>
      <c r="L1238" s="6">
        <f>HYPERLINK("https://fin.land.naver.com/articles/2653441628", "매물Link")</f>
        <v/>
      </c>
      <c r="M1238" s="6">
        <f>HYPERLINK("https://map.naver.com/p/search/부강면 부강리 951", "지도Link")</f>
        <v/>
      </c>
      <c r="N1238" s="6">
        <f>HYPERLINK("http://www.eum.go.kr/web/ar/lu/luLandDet.jsp?pnu=3611033021109510000&amp;isNoScr=script&amp;mode=search",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288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부강리 955-1</t>
        </is>
      </c>
      <c r="B1239" s="3" t="inlineStr">
        <is>
          <t>생산녹지지역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85000</v>
      </c>
      <c r="G1239" s="4" t="n">
        <v>1002</v>
      </c>
      <c r="H1239" s="4" t="n">
        <v>303</v>
      </c>
      <c r="I1239" s="5" t="n">
        <v>280.5</v>
      </c>
      <c r="J1239" s="5" t="n">
        <v>50.6</v>
      </c>
      <c r="K1239" s="3" t="inlineStr">
        <is>
          <t>nan</t>
        </is>
      </c>
      <c r="L1239" s="6">
        <f>HYPERLINK("https://fin.land.naver.com/articles/2650177835", "매물Link")</f>
        <v/>
      </c>
      <c r="M1239" s="6">
        <f>HYPERLINK("https://map.naver.com/p/search/부강면 부강리 955-1", "지도Link")</f>
        <v/>
      </c>
      <c r="N1239" s="6">
        <f>HYPERLINK("http://www.eum.go.kr/web/ar/lu/luLandDet.jsp?pnu=3611033021109550001&amp;isNoScr=script&amp;mode=search", "토지이음")</f>
        <v/>
      </c>
      <c r="O1239" s="3" t="inlineStr">
        <is>
          <t>연동스카이</t>
        </is>
      </c>
      <c r="P1239" s="4" t="n">
        <v>1</v>
      </c>
      <c r="Q1239" s="4" t="n">
        <v>1002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중로한면</t>
        </is>
      </c>
    </row>
    <row r="1240">
      <c r="A1240" s="3" t="inlineStr">
        <is>
          <t>부강면 부강리 961-1</t>
        </is>
      </c>
      <c r="B1240" s="3" t="inlineStr">
        <is>
          <t>제2종일반주거지역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200000</v>
      </c>
      <c r="G1240" s="4" t="n">
        <v>1220</v>
      </c>
      <c r="H1240" s="4" t="n">
        <v>369</v>
      </c>
      <c r="I1240" s="5" t="n">
        <v>542</v>
      </c>
      <c r="J1240" s="5" t="n">
        <v>172.3</v>
      </c>
      <c r="K1240" s="3" t="inlineStr">
        <is>
          <t>부강리 제2종일반주거지역으로 다가구 주택을 지으면 수익율 좋은 토지입니다</t>
        </is>
      </c>
      <c r="L1240" s="6">
        <f>HYPERLINK("https://fin.land.naver.com/articles/2651928780", "매물Link")</f>
        <v/>
      </c>
      <c r="M1240" s="6">
        <f>HYPERLINK("https://map.naver.com/p/search/부강면 부강리 961-1", "지도Link")</f>
        <v/>
      </c>
      <c r="N1240" s="6">
        <f>HYPERLINK("http://www.eum.go.kr/web/ar/lu/luLandDet.jsp?pnu=3611033021109610001&amp;isNoScr=script&amp;mode=search",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1049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부강리 967-4</t>
        </is>
      </c>
      <c r="B1241" s="3" t="inlineStr">
        <is>
          <t>제2종일반주거지역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120000</v>
      </c>
      <c r="G1241" s="4" t="n">
        <v>990</v>
      </c>
      <c r="H1241" s="4" t="n">
        <v>299</v>
      </c>
      <c r="I1241" s="5" t="n">
        <v>401.3</v>
      </c>
      <c r="J1241" s="5" t="n">
        <v>179.6</v>
      </c>
      <c r="K1241" s="3" t="inlineStr">
        <is>
          <t>nan</t>
        </is>
      </c>
      <c r="L1241" s="6">
        <f>HYPERLINK("https://fin.land.naver.com/articles/2653453130", "매물Link")</f>
        <v/>
      </c>
      <c r="M1241" s="6">
        <f>HYPERLINK("https://map.naver.com/p/search/부강면 부강리 967-4", "지도Link")</f>
        <v/>
      </c>
      <c r="N1241" s="6">
        <f>HYPERLINK("http://www.eum.go.kr/web/ar/lu/luLandDet.jsp?pnu=3611033021109670004&amp;isNoScr=script&amp;mode=search", "토지이음")</f>
        <v/>
      </c>
      <c r="O1241" s="3" t="inlineStr">
        <is>
          <t>안성대로</t>
        </is>
      </c>
      <c r="P1241" s="4" t="n">
        <v>1</v>
      </c>
      <c r="Q1241" s="4" t="n">
        <v>990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부강면 부강리 973-26</t>
        </is>
      </c>
      <c r="B1242" s="3" t="inlineStr">
        <is>
          <t>제2종일반주거지역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40000</v>
      </c>
      <c r="G1242" s="4" t="n">
        <v>331</v>
      </c>
      <c r="H1242" s="4" t="n">
        <v>100</v>
      </c>
      <c r="I1242" s="5" t="n">
        <v>400</v>
      </c>
      <c r="J1242" s="5" t="n">
        <v>179.6</v>
      </c>
      <c r="K1242" s="3" t="inlineStr">
        <is>
          <t>8미터 계획도로접한 2종일반주거 다가구,상가 건축가능 오배수연결완료됨</t>
        </is>
      </c>
      <c r="L1242" s="6">
        <f>HYPERLINK("https://fin.land.naver.com/articles/2652983558", "매물Link")</f>
        <v/>
      </c>
      <c r="M1242" s="6">
        <f>HYPERLINK("https://map.naver.com/p/search/부강면 부강리 973-26", "지도Link")</f>
        <v/>
      </c>
      <c r="N1242" s="6">
        <f>HYPERLINK("http://www.eum.go.kr/web/ar/lu/luLandDet.jsp?pnu=3611033021109730026&amp;isNoScr=script&amp;mode=search", "토지이음")</f>
        <v/>
      </c>
      <c r="O1242" s="3" t="inlineStr">
        <is>
          <t>향기나는방</t>
        </is>
      </c>
      <c r="P1242" s="4" t="n">
        <v>1</v>
      </c>
      <c r="Q1242" s="4" t="n">
        <v>311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부강면 부강리 973-3</t>
        </is>
      </c>
      <c r="B1243" s="3" t="inlineStr">
        <is>
          <t>제2종일반주거지역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35000</v>
      </c>
      <c r="G1243" s="4" t="n">
        <v>263</v>
      </c>
      <c r="H1243" s="4" t="n">
        <v>80</v>
      </c>
      <c r="I1243" s="5" t="n">
        <v>437.5</v>
      </c>
      <c r="J1243" s="5" t="n">
        <v>179.6</v>
      </c>
      <c r="K1243" s="3" t="inlineStr">
        <is>
          <t>8미터 계획도로접한 2종일반주거 다가구,상가 건축가능 오배수연결완료됨</t>
        </is>
      </c>
      <c r="L1243" s="6">
        <f>HYPERLINK("https://fin.land.naver.com/articles/2652983187", "매물Link")</f>
        <v/>
      </c>
      <c r="M1243" s="6">
        <f>HYPERLINK("https://map.naver.com/p/search/부강면 부강리 973-3", "지도Link")</f>
        <v/>
      </c>
      <c r="N1243" s="6">
        <f>HYPERLINK("http://www.eum.go.kr/web/ar/lu/luLandDet.jsp?pnu=3611033021109730003&amp;isNoScr=script&amp;mode=search", "토지이음")</f>
        <v/>
      </c>
      <c r="O1243" s="3" t="inlineStr">
        <is>
          <t>향기나는방</t>
        </is>
      </c>
      <c r="P1243" s="4" t="n">
        <v>1</v>
      </c>
      <c r="Q1243" s="4" t="n">
        <v>263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산수리 128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42500</v>
      </c>
      <c r="G1244" s="4" t="n">
        <v>934</v>
      </c>
      <c r="H1244" s="4" t="n">
        <v>283</v>
      </c>
      <c r="I1244" s="5" t="n">
        <v>150.2</v>
      </c>
      <c r="J1244" s="5" t="n">
        <v>53.5</v>
      </c>
      <c r="K1244" s="3" t="inlineStr">
        <is>
          <t>계획관리 대지 전원주택용 투자처로 추천</t>
        </is>
      </c>
      <c r="L1244" s="6">
        <f>HYPERLINK("https://fin.land.naver.com/articles/2652998399", "매물Link")</f>
        <v/>
      </c>
      <c r="M1244" s="6">
        <f>HYPERLINK("https://map.naver.com/p/search/부강면 산수리 128", "지도Link")</f>
        <v/>
      </c>
      <c r="N1244" s="6">
        <f>HYPERLINK("http://www.eum.go.kr/web/ar/lu/luLandDet.jsp?pnu=3611033023101280000&amp;isNoScr=script&amp;mode=search", "토지이음")</f>
        <v/>
      </c>
      <c r="O1244" s="3" t="inlineStr">
        <is>
          <t>뉴엘리트탑</t>
        </is>
      </c>
      <c r="P1244" s="4" t="n">
        <v>1</v>
      </c>
      <c r="Q1244" s="4" t="n">
        <v>934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산수리 162-1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42000</v>
      </c>
      <c r="G1245" s="4" t="n">
        <v>1712</v>
      </c>
      <c r="H1245" s="4" t="n">
        <v>518</v>
      </c>
      <c r="I1245" s="5" t="n">
        <v>81.09999999999999</v>
      </c>
      <c r="J1245" s="5" t="n">
        <v>35.2</v>
      </c>
      <c r="K1245" s="3" t="inlineStr">
        <is>
          <t>식재된 나무 포함한 가격이며, 정남향의 아늑한토지</t>
        </is>
      </c>
      <c r="L1245" s="6">
        <f>HYPERLINK("https://fin.land.naver.com/articles/2652065200", "매물Link")</f>
        <v/>
      </c>
      <c r="M1245" s="6">
        <f>HYPERLINK("https://map.naver.com/p/search/부강면 산수리 162-1", "지도Link")</f>
        <v/>
      </c>
      <c r="N1245" s="6">
        <f>HYPERLINK("http://www.eum.go.kr/web/ar/lu/luLandDet.jsp?pnu=3611033023101620001&amp;isNoScr=script&amp;mode=search", "토지이음")</f>
        <v/>
      </c>
      <c r="O1245" s="3" t="inlineStr">
        <is>
          <t>연동스카이</t>
        </is>
      </c>
      <c r="P1245" s="4" t="n">
        <v>1</v>
      </c>
      <c r="Q1245" s="4" t="n">
        <v>1228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산수리 207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38000</v>
      </c>
      <c r="G1246" s="4" t="n">
        <v>943</v>
      </c>
      <c r="H1246" s="4" t="n">
        <v>285</v>
      </c>
      <c r="I1246" s="5" t="n">
        <v>133.3</v>
      </c>
      <c r="J1246" s="5" t="n">
        <v>32.8</v>
      </c>
      <c r="K1246" s="3" t="inlineStr">
        <is>
          <t>계획관리 투자 또는 전원생활 최적지로 강력 추천</t>
        </is>
      </c>
      <c r="L1246" s="6">
        <f>HYPERLINK("https://fin.land.naver.com/articles/2655119321", "매물Link")</f>
        <v/>
      </c>
      <c r="M1246" s="6">
        <f>HYPERLINK("https://map.naver.com/p/search/부강면 산수리 207", "지도Link")</f>
        <v/>
      </c>
      <c r="N1246" s="6">
        <f>HYPERLINK("http://www.eum.go.kr/web/ar/lu/luLandDet.jsp?pnu=3611033023102070000&amp;isNoScr=script&amp;mode=search", "토지이음")</f>
        <v/>
      </c>
      <c r="O1246" s="3" t="inlineStr">
        <is>
          <t>뉴엘리트탑</t>
        </is>
      </c>
      <c r="P1246" s="4" t="n">
        <v>1</v>
      </c>
      <c r="Q1246" s="4" t="n">
        <v>943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세로각지(불)</t>
        </is>
      </c>
    </row>
    <row r="1247">
      <c r="A1247" s="3" t="inlineStr">
        <is>
          <t>부강면 산수리 243-2</t>
        </is>
      </c>
      <c r="B1247" s="3" t="inlineStr">
        <is>
          <t>계획관리지역</t>
        </is>
      </c>
      <c r="C1247" s="3" t="inlineStr">
        <is>
          <t>목장용지</t>
        </is>
      </c>
      <c r="D1247" s="3" t="inlineStr">
        <is>
          <t>목장용지</t>
        </is>
      </c>
      <c r="E1247" s="3" t="inlineStr">
        <is>
          <t>매매</t>
        </is>
      </c>
      <c r="F1247" s="4" t="n">
        <v>100000</v>
      </c>
      <c r="G1247" s="4" t="n">
        <v>5429</v>
      </c>
      <c r="H1247" s="4" t="n">
        <v>1642</v>
      </c>
      <c r="I1247" s="5" t="n">
        <v>60.9</v>
      </c>
      <c r="J1247" s="5" t="n">
        <v>33.6</v>
      </c>
      <c r="K1247" s="3" t="inlineStr">
        <is>
          <t>세종시 부강면 목장용지, 단독주택, 전으로 구성된 4필지 통매매가 10억</t>
        </is>
      </c>
      <c r="L1247" s="6">
        <f>HYPERLINK("https://fin.land.naver.com/articles/2650228512", "매물Link")</f>
        <v/>
      </c>
      <c r="M1247" s="6">
        <f>HYPERLINK("https://map.naver.com/p/search/부강면 산수리 243-2", "지도Link")</f>
        <v/>
      </c>
      <c r="N1247" s="6">
        <f>HYPERLINK("http://www.eum.go.kr/web/ar/lu/luLandDet.jsp?pnu=3611033023102430002&amp;isNoScr=script&amp;mode=search", "토지이음")</f>
        <v/>
      </c>
      <c r="O1247" s="3" t="inlineStr">
        <is>
          <t>5프로</t>
        </is>
      </c>
      <c r="P1247" s="4" t="n">
        <v>1</v>
      </c>
      <c r="Q1247" s="4" t="n">
        <v>2503</v>
      </c>
      <c r="R1247" s="3" t="inlineStr">
        <is>
          <t>지정되지않음</t>
        </is>
      </c>
      <c r="S1247" s="3" t="inlineStr">
        <is>
          <t>전축사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산수리 35-7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56000</v>
      </c>
      <c r="G1248" s="4" t="n">
        <v>1237</v>
      </c>
      <c r="H1248" s="4" t="n">
        <v>374</v>
      </c>
      <c r="I1248" s="5" t="n">
        <v>149.7</v>
      </c>
      <c r="J1248" s="5" t="n">
        <v>24.3</v>
      </c>
      <c r="K1248" s="3" t="inlineStr">
        <is>
          <t>농림지역, 현 창고 ,산수삼거리 인접, 창고, 편의점, 소매, 고물상추천</t>
        </is>
      </c>
      <c r="L1248" s="6">
        <f>HYPERLINK("https://fin.land.naver.com/articles/2650412987", "매물Link")</f>
        <v/>
      </c>
      <c r="M1248" s="6">
        <f>HYPERLINK("https://map.naver.com/p/search/부강면 산수리 35-7", "지도Link")</f>
        <v/>
      </c>
      <c r="N1248" s="6">
        <f>HYPERLINK("http://www.eum.go.kr/web/ar/lu/luLandDet.jsp?pnu=3611033023100350007&amp;isNoScr=script&amp;mode=search", "토지이음")</f>
        <v/>
      </c>
      <c r="O1248" s="3" t="inlineStr">
        <is>
          <t>청주모충사모1/2LH트릴로채명성</t>
        </is>
      </c>
      <c r="P1248" s="4" t="n">
        <v>1</v>
      </c>
      <c r="Q1248" s="4" t="n">
        <v>1237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부강면 산수리 366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40000</v>
      </c>
      <c r="G1249" s="4" t="n">
        <v>3719</v>
      </c>
      <c r="H1249" s="4" t="n">
        <v>1125</v>
      </c>
      <c r="I1249" s="5" t="n">
        <v>35.6</v>
      </c>
      <c r="J1249" s="5" t="n">
        <v>17.6</v>
      </c>
      <c r="K1249" s="3" t="inlineStr">
        <is>
          <t>nan</t>
        </is>
      </c>
      <c r="L1249" s="6">
        <f>HYPERLINK("https://fin.land.naver.com/articles/2655501246", "매물Link")</f>
        <v/>
      </c>
      <c r="M1249" s="6">
        <f>HYPERLINK("https://map.naver.com/p/search/부강면 산수리 366", "지도Link")</f>
        <v/>
      </c>
      <c r="N1249" s="6">
        <f>HYPERLINK("http://www.eum.go.kr/web/ar/lu/luLandDet.jsp?pnu=3611033023103660000&amp;isNoScr=script&amp;mode=search", "토지이음")</f>
        <v/>
      </c>
      <c r="O1249" s="3" t="inlineStr">
        <is>
          <t>행복가득한</t>
        </is>
      </c>
      <c r="P1249" s="4" t="n">
        <v>1</v>
      </c>
      <c r="Q1249" s="4" t="n">
        <v>3719.7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부강면 산수리 539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40000</v>
      </c>
      <c r="G1250" s="4" t="n">
        <v>2201</v>
      </c>
      <c r="H1250" s="4" t="n">
        <v>666</v>
      </c>
      <c r="I1250" s="5" t="n">
        <v>60.1</v>
      </c>
      <c r="J1250" s="5" t="n">
        <v>17.9</v>
      </c>
      <c r="K1250" s="3" t="inlineStr">
        <is>
          <t>세종시 부강면에 위치한 토지 매매</t>
        </is>
      </c>
      <c r="L1250" s="6">
        <f>HYPERLINK("https://fin.land.naver.com/articles/2653396017", "매물Link")</f>
        <v/>
      </c>
      <c r="M1250" s="6">
        <f>HYPERLINK("https://map.naver.com/p/search/부강면 산수리 539", "지도Link")</f>
        <v/>
      </c>
      <c r="N1250" s="6">
        <f>HYPERLINK("http://www.eum.go.kr/web/ar/lu/luLandDet.jsp?pnu=3611033023105390000&amp;isNoScr=script&amp;mode=search", "토지이음")</f>
        <v/>
      </c>
      <c r="O1250" s="3" t="inlineStr">
        <is>
          <t>대지</t>
        </is>
      </c>
      <c r="P1250" s="4" t="n">
        <v>1</v>
      </c>
      <c r="Q1250" s="4" t="n">
        <v>2201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산수리 92-2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대</t>
        </is>
      </c>
      <c r="E1251" s="3" t="inlineStr">
        <is>
          <t>매매</t>
        </is>
      </c>
      <c r="F1251" s="4" t="n">
        <v>35000</v>
      </c>
      <c r="G1251" s="4" t="n">
        <v>1352</v>
      </c>
      <c r="H1251" s="4" t="n">
        <v>409</v>
      </c>
      <c r="I1251" s="5" t="n">
        <v>85.59999999999999</v>
      </c>
      <c r="J1251" s="5" t="n">
        <v>37.2</v>
      </c>
      <c r="K1251" s="3" t="inlineStr">
        <is>
          <t>산수리 계획관리지역 대지 전 매매</t>
        </is>
      </c>
      <c r="L1251" s="6">
        <f>HYPERLINK("https://fin.land.naver.com/articles/2652837621", "매물Link")</f>
        <v/>
      </c>
      <c r="M1251" s="6">
        <f>HYPERLINK("https://map.naver.com/p/search/부강면 산수리 92-2", "지도Link")</f>
        <v/>
      </c>
      <c r="N1251" s="6">
        <f>HYPERLINK("http://www.eum.go.kr/web/ar/lu/luLandDet.jsp?pnu=3611033023100920002&amp;isNoScr=script&amp;mode=search", "토지이음")</f>
        <v/>
      </c>
      <c r="O1251" s="3" t="inlineStr">
        <is>
          <t>진성</t>
        </is>
      </c>
      <c r="P1251" s="4" t="n">
        <v>1</v>
      </c>
      <c r="Q1251" s="4" t="n">
        <v>939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산수리 92-2</t>
        </is>
      </c>
      <c r="B1252" s="3" t="inlineStr">
        <is>
          <t>계획관리지역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35000</v>
      </c>
      <c r="G1252" s="4" t="n">
        <v>1352</v>
      </c>
      <c r="H1252" s="4" t="n">
        <v>409</v>
      </c>
      <c r="I1252" s="5" t="n">
        <v>85.59999999999999</v>
      </c>
      <c r="J1252" s="5" t="n">
        <v>37.2</v>
      </c>
      <c r="K1252" s="3" t="inlineStr">
        <is>
          <t>산수리 계획관리지역으로 전과 대로 이뤄진 2필지 급매</t>
        </is>
      </c>
      <c r="L1252" s="6">
        <f>HYPERLINK("https://fin.land.naver.com/articles/2652535526", "매물Link")</f>
        <v/>
      </c>
      <c r="M1252" s="6">
        <f>HYPERLINK("https://map.naver.com/p/search/부강면 산수리 92-2", "지도Link")</f>
        <v/>
      </c>
      <c r="N1252" s="6">
        <f>HYPERLINK("http://www.eum.go.kr/web/ar/lu/luLandDet.jsp?pnu=3611033023100920002&amp;isNoScr=script&amp;mode=search",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939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부강면 산수리 산 47-10</t>
        </is>
      </c>
      <c r="B1253" s="3" t="inlineStr">
        <is>
          <t>보전관리지역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23000</v>
      </c>
      <c r="G1253" s="4" t="n">
        <v>606</v>
      </c>
      <c r="H1253" s="4" t="n">
        <v>183</v>
      </c>
      <c r="I1253" s="5" t="n">
        <v>125.7</v>
      </c>
      <c r="J1253" s="5" t="n">
        <v>7.6</v>
      </c>
      <c r="K1253" s="3" t="inlineStr">
        <is>
          <t>nan</t>
        </is>
      </c>
      <c r="L1253" s="6">
        <f>HYPERLINK("https://fin.land.naver.com/articles/2654002362", "매물Link")</f>
        <v/>
      </c>
      <c r="M1253" s="6">
        <f>HYPERLINK("https://map.naver.com/p/search/부강면 산수리 산 47-10", "지도Link")</f>
        <v/>
      </c>
      <c r="N1253" s="6">
        <f>HYPERLINK("http://www.eum.go.kr/web/ar/lu/luLandDet.jsp?pnu=3611033023200470010&amp;isNoScr=script&amp;mode=search", "토지이음")</f>
        <v/>
      </c>
      <c r="O1253" s="3" t="inlineStr">
        <is>
          <t>세종운좋은</t>
        </is>
      </c>
      <c r="P1253" s="4" t="n">
        <v>1</v>
      </c>
      <c r="Q1253" s="4" t="n">
        <v>376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맹지</t>
        </is>
      </c>
    </row>
    <row r="1254">
      <c r="A1254" s="3" t="inlineStr">
        <is>
          <t>부강면 행산리 118-11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16000</v>
      </c>
      <c r="G1254" s="4" t="n">
        <v>155</v>
      </c>
      <c r="H1254" s="4" t="n">
        <v>47</v>
      </c>
      <c r="I1254" s="5" t="n">
        <v>340.4</v>
      </c>
      <c r="J1254" s="5" t="n">
        <v>53.8</v>
      </c>
      <c r="K1254" s="3" t="inlineStr">
        <is>
          <t>nan</t>
        </is>
      </c>
      <c r="L1254" s="6">
        <f>HYPERLINK("https://fin.land.naver.com/articles/2653076920", "매물Link")</f>
        <v/>
      </c>
      <c r="M1254" s="6">
        <f>HYPERLINK("https://map.naver.com/p/search/부강면 행산리 118-11", "지도Link")</f>
        <v/>
      </c>
      <c r="N1254" s="6">
        <f>HYPERLINK("http://www.eum.go.kr/web/ar/lu/luLandDet.jsp?pnu=3611033022101180011&amp;isNoScr=script&amp;mode=search", "토지이음")</f>
        <v/>
      </c>
      <c r="O1254" s="3" t="inlineStr">
        <is>
          <t>세종제일1</t>
        </is>
      </c>
      <c r="P1254" s="4" t="n">
        <v>1</v>
      </c>
      <c r="Q1254" s="4" t="n">
        <v>155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부강면 행산리 141-11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33900</v>
      </c>
      <c r="G1255" s="4" t="n">
        <v>1130</v>
      </c>
      <c r="H1255" s="4" t="n">
        <v>342</v>
      </c>
      <c r="I1255" s="5" t="n">
        <v>99.09999999999999</v>
      </c>
      <c r="J1255" s="5" t="n">
        <v>25</v>
      </c>
      <c r="K1255" s="3" t="inlineStr">
        <is>
          <t>농사짓는 도로 인접</t>
        </is>
      </c>
      <c r="L1255" s="6">
        <f>HYPERLINK("https://fin.land.naver.com/articles/2653077327", "매물Link")</f>
        <v/>
      </c>
      <c r="M1255" s="6">
        <f>HYPERLINK("https://map.naver.com/p/search/부강면 행산리 141-11", "지도Link")</f>
        <v/>
      </c>
      <c r="N1255" s="6">
        <f>HYPERLINK("http://www.eum.go.kr/web/ar/lu/luLandDet.jsp?pnu=3611033022101410011&amp;isNoScr=script&amp;mode=search", "토지이음")</f>
        <v/>
      </c>
      <c r="O1255" s="3" t="inlineStr">
        <is>
          <t>세종제일1</t>
        </is>
      </c>
      <c r="P1255" s="4" t="n">
        <v>1</v>
      </c>
      <c r="Q1255" s="4" t="n">
        <v>1130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부강면 행산리 141-11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18800</v>
      </c>
      <c r="G1256" s="4" t="n">
        <v>1130</v>
      </c>
      <c r="H1256" s="4" t="n">
        <v>342</v>
      </c>
      <c r="I1256" s="5" t="n">
        <v>55</v>
      </c>
      <c r="J1256" s="5" t="n">
        <v>25</v>
      </c>
      <c r="K1256" s="3" t="inlineStr">
        <is>
          <t>nan</t>
        </is>
      </c>
      <c r="L1256" s="6">
        <f>HYPERLINK("https://fin.land.naver.com/articles/2653999588", "매물Link")</f>
        <v/>
      </c>
      <c r="M1256" s="6">
        <f>HYPERLINK("https://map.naver.com/p/search/부강면 행산리 141-11", "지도Link")</f>
        <v/>
      </c>
      <c r="N1256" s="6">
        <f>HYPERLINK("http://www.eum.go.kr/web/ar/lu/luLandDet.jsp?pnu=3611033022101410011&amp;isNoScr=script&amp;mode=search", "토지이음")</f>
        <v/>
      </c>
      <c r="O1256" s="3" t="inlineStr">
        <is>
          <t>세종운좋은</t>
        </is>
      </c>
      <c r="P1256" s="4" t="n">
        <v>1</v>
      </c>
      <c r="Q1256" s="4" t="n">
        <v>1130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부강면 행산리 162-3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504000</v>
      </c>
      <c r="G1257" s="4" t="n">
        <v>11751</v>
      </c>
      <c r="H1257" s="4" t="n">
        <v>3555</v>
      </c>
      <c r="I1257" s="5" t="n">
        <v>141.8</v>
      </c>
      <c r="J1257" s="5" t="n">
        <v>41.2</v>
      </c>
      <c r="K1257" s="3" t="inlineStr">
        <is>
          <t>세종시 부근에서 공장부지로 최상</t>
        </is>
      </c>
      <c r="L1257" s="6">
        <f>HYPERLINK("https://fin.land.naver.com/articles/2653810262", "매물Link")</f>
        <v/>
      </c>
      <c r="M1257" s="6">
        <f>HYPERLINK("https://map.naver.com/p/search/부강면 행산리 162-3", "지도Link")</f>
        <v/>
      </c>
      <c r="N1257" s="6">
        <f>HYPERLINK("http://www.eum.go.kr/web/ar/lu/luLandDet.jsp?pnu=3611033022101620003&amp;isNoScr=script&amp;mode=search", "토지이음")</f>
        <v/>
      </c>
      <c r="O1257" s="3" t="inlineStr">
        <is>
          <t>금화</t>
        </is>
      </c>
      <c r="P1257" s="4" t="n">
        <v>1</v>
      </c>
      <c r="Q1257" s="4" t="n">
        <v>8024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부강면 행산리 162-3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390000</v>
      </c>
      <c r="G1258" s="4" t="n">
        <v>8024</v>
      </c>
      <c r="H1258" s="4" t="n">
        <v>2427</v>
      </c>
      <c r="I1258" s="5" t="n">
        <v>160.7</v>
      </c>
      <c r="J1258" s="5" t="n">
        <v>41.2</v>
      </c>
      <c r="K1258" s="3" t="inlineStr">
        <is>
          <t>공장 및 창고용지로 추천합니다</t>
        </is>
      </c>
      <c r="L1258" s="6">
        <f>HYPERLINK("https://fin.land.naver.com/articles/2653810140", "매물Link")</f>
        <v/>
      </c>
      <c r="M1258" s="6">
        <f>HYPERLINK("https://map.naver.com/p/search/부강면 행산리 162-3", "지도Link")</f>
        <v/>
      </c>
      <c r="N1258" s="6">
        <f>HYPERLINK("http://www.eum.go.kr/web/ar/lu/luLandDet.jsp?pnu=3611033022101620003&amp;isNoScr=script&amp;mode=search", "토지이음")</f>
        <v/>
      </c>
      <c r="O1258" s="3" t="inlineStr">
        <is>
          <t>금화</t>
        </is>
      </c>
      <c r="P1258" s="4" t="n">
        <v>1</v>
      </c>
      <c r="Q1258" s="4" t="n">
        <v>8024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부강면 행산리 163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33000</v>
      </c>
      <c r="G1259" s="4" t="n">
        <v>1359</v>
      </c>
      <c r="H1259" s="4" t="n">
        <v>411</v>
      </c>
      <c r="I1259" s="5" t="n">
        <v>80.3</v>
      </c>
      <c r="J1259" s="5" t="n">
        <v>38</v>
      </c>
      <c r="K1259" s="3" t="inlineStr">
        <is>
          <t>청주전용도로 부근의 작고 아담한 계획관리 토지</t>
        </is>
      </c>
      <c r="L1259" s="6">
        <f>HYPERLINK("https://fin.land.naver.com/articles/2650177374", "매물Link")</f>
        <v/>
      </c>
      <c r="M1259" s="6">
        <f>HYPERLINK("https://map.naver.com/p/search/부강면 행산리 163", "지도Link")</f>
        <v/>
      </c>
      <c r="N1259" s="6">
        <f>HYPERLINK("http://www.eum.go.kr/web/ar/lu/luLandDet.jsp?pnu=3611033022101630000&amp;isNoScr=script&amp;mode=search", "토지이음")</f>
        <v/>
      </c>
      <c r="O1259" s="3" t="inlineStr">
        <is>
          <t>연동스카이</t>
        </is>
      </c>
      <c r="P1259" s="4" t="n">
        <v>2</v>
      </c>
      <c r="Q1259" s="4" t="n">
        <v>1359</v>
      </c>
      <c r="R1259" s="3" t="inlineStr">
        <is>
          <t>농림지역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행산리 224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1660</v>
      </c>
      <c r="H1260" s="4" t="n">
        <v>502</v>
      </c>
      <c r="I1260" s="5" t="n">
        <v>169.3</v>
      </c>
      <c r="J1260" s="5" t="n">
        <v>34.1</v>
      </c>
      <c r="K1260" s="3" t="inlineStr">
        <is>
          <t>세종시 부강면 행산리 2차선 도로변  토지 매매</t>
        </is>
      </c>
      <c r="L1260" s="6">
        <f>HYPERLINK("https://fin.land.naver.com/articles/2650697330", "매물Link")</f>
        <v/>
      </c>
      <c r="M1260" s="6">
        <f>HYPERLINK("https://map.naver.com/p/search/부강면 행산리 224", "지도Link")</f>
        <v/>
      </c>
      <c r="N1260" s="6">
        <f>HYPERLINK("http://www.eum.go.kr/web/ar/lu/luLandDet.jsp?pnu=3611033022102240000&amp;isNoScr=script&amp;mode=search", "토지이음")</f>
        <v/>
      </c>
      <c r="O1260" s="3" t="inlineStr">
        <is>
          <t>세종행복한</t>
        </is>
      </c>
      <c r="P1260" s="4" t="n">
        <v>1</v>
      </c>
      <c r="Q1260" s="4" t="n">
        <v>1660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행산리 296</t>
        </is>
      </c>
      <c r="B1261" s="3" t="inlineStr">
        <is>
          <t>계획관리지역</t>
        </is>
      </c>
      <c r="C1261" s="3" t="inlineStr">
        <is>
          <t>목장용지</t>
        </is>
      </c>
      <c r="D1261" s="3" t="inlineStr">
        <is>
          <t>목장용지</t>
        </is>
      </c>
      <c r="E1261" s="3" t="inlineStr">
        <is>
          <t>매매</t>
        </is>
      </c>
      <c r="F1261" s="4" t="n">
        <v>196500</v>
      </c>
      <c r="G1261" s="4" t="n">
        <v>2713</v>
      </c>
      <c r="H1261" s="4" t="n">
        <v>821</v>
      </c>
      <c r="I1261" s="5" t="n">
        <v>239.3</v>
      </c>
      <c r="J1261" s="5" t="n">
        <v>71.5</v>
      </c>
      <c r="K1261" s="3" t="inlineStr">
        <is>
          <t>부강면 계획관리지역 목장용지, 토지 5,143.4제곱미터 매매</t>
        </is>
      </c>
      <c r="L1261" s="6">
        <f>HYPERLINK("https://fin.land.naver.com/articles/2654690988", "매물Link")</f>
        <v/>
      </c>
      <c r="M1261" s="6">
        <f>HYPERLINK("https://map.naver.com/p/search/부강면 행산리 296", "지도Link")</f>
        <v/>
      </c>
      <c r="N1261" s="6">
        <f>HYPERLINK("http://www.eum.go.kr/web/ar/lu/luLandDet.jsp?pnu=3611033022102960000&amp;isNoScr=script&amp;mode=search", "토지이음")</f>
        <v/>
      </c>
      <c r="O1261" s="3" t="inlineStr">
        <is>
          <t>진행</t>
        </is>
      </c>
      <c r="P1261" s="4" t="n">
        <v>2</v>
      </c>
      <c r="Q1261" s="4" t="n">
        <v>2713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소로한면</t>
        </is>
      </c>
    </row>
    <row r="1262">
      <c r="A1262" s="3" t="inlineStr">
        <is>
          <t>부강면 행산리 347-3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124000</v>
      </c>
      <c r="G1262" s="4" t="n">
        <v>4099</v>
      </c>
      <c r="H1262" s="4" t="n">
        <v>1240</v>
      </c>
      <c r="I1262" s="5" t="n">
        <v>100</v>
      </c>
      <c r="J1262" s="5" t="n">
        <v>24.8</v>
      </c>
      <c r="K1262" s="3" t="inlineStr">
        <is>
          <t>적극조율가능 도로접함 계획관리 골프장인접</t>
        </is>
      </c>
      <c r="L1262" s="6">
        <f>HYPERLINK("https://fin.land.naver.com/articles/2654854859", "매물Link")</f>
        <v/>
      </c>
      <c r="M1262" s="6">
        <f>HYPERLINK("https://map.naver.com/p/search/부강면 행산리 347-3", "지도Link")</f>
        <v/>
      </c>
      <c r="N1262" s="6">
        <f>HYPERLINK("http://www.eum.go.kr/web/ar/lu/luLandDet.jsp?pnu=3611033022103470003&amp;isNoScr=script&amp;mode=search", "토지이음")</f>
        <v/>
      </c>
      <c r="O1262" s="3" t="inlineStr">
        <is>
          <t>세종스타</t>
        </is>
      </c>
      <c r="P1262" s="4" t="n">
        <v>1</v>
      </c>
      <c r="Q1262" s="4" t="n">
        <v>4099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행산리 389</t>
        </is>
      </c>
      <c r="B1263" s="3" t="inlineStr">
        <is>
          <t>계획관리지역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52000</v>
      </c>
      <c r="G1263" s="4" t="n">
        <v>1725</v>
      </c>
      <c r="H1263" s="4" t="n">
        <v>522</v>
      </c>
      <c r="I1263" s="5" t="n">
        <v>99.59999999999999</v>
      </c>
      <c r="J1263" s="5" t="n">
        <v>24.8</v>
      </c>
      <c r="K1263" s="3" t="inlineStr">
        <is>
          <t>급매,도로접한 계획관리지역,다용도 사용목적 가능,투자용 추천</t>
        </is>
      </c>
      <c r="L1263" s="6">
        <f>HYPERLINK("https://fin.land.naver.com/articles/2655301464", "매물Link")</f>
        <v/>
      </c>
      <c r="M1263" s="6">
        <f>HYPERLINK("https://map.naver.com/p/search/부강면 행산리 389", "지도Link")</f>
        <v/>
      </c>
      <c r="N1263" s="6">
        <f>HYPERLINK("http://www.eum.go.kr/web/ar/lu/luLandDet.jsp?pnu=3611033022103890000&amp;isNoScr=script&amp;mode=search", "토지이음")</f>
        <v/>
      </c>
      <c r="O1263" s="3" t="inlineStr">
        <is>
          <t>고운맘</t>
        </is>
      </c>
      <c r="P1263" s="4" t="n">
        <v>1</v>
      </c>
      <c r="Q1263" s="4" t="n">
        <v>1725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행산리 389</t>
        </is>
      </c>
      <c r="B1264" s="3" t="inlineStr">
        <is>
          <t>계획관리지역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52000</v>
      </c>
      <c r="G1264" s="4" t="n">
        <v>1725</v>
      </c>
      <c r="H1264" s="4" t="n">
        <v>522</v>
      </c>
      <c r="I1264" s="5" t="n">
        <v>99.59999999999999</v>
      </c>
      <c r="J1264" s="5" t="n">
        <v>24.8</v>
      </c>
      <c r="K1264" s="3" t="inlineStr">
        <is>
          <t>nan</t>
        </is>
      </c>
      <c r="L1264" s="6">
        <f>HYPERLINK("https://fin.land.naver.com/articles/2650179667", "매물Link")</f>
        <v/>
      </c>
      <c r="M1264" s="6">
        <f>HYPERLINK("https://map.naver.com/p/search/부강면 행산리 389", "지도Link")</f>
        <v/>
      </c>
      <c r="N1264" s="6">
        <f>HYPERLINK("http://www.eum.go.kr/web/ar/lu/luLandDet.jsp?pnu=3611033022103890000&amp;isNoScr=script&amp;mode=search", "토지이음")</f>
        <v/>
      </c>
      <c r="O1264" s="3" t="inlineStr">
        <is>
          <t>연동스카이</t>
        </is>
      </c>
      <c r="P1264" s="4" t="n">
        <v>1</v>
      </c>
      <c r="Q1264" s="4" t="n">
        <v>1725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행산리 389-3</t>
        </is>
      </c>
      <c r="B1265" s="3" t="inlineStr">
        <is>
          <t>계획관리지역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23600</v>
      </c>
      <c r="G1265" s="4" t="n">
        <v>779</v>
      </c>
      <c r="H1265" s="4" t="n">
        <v>236</v>
      </c>
      <c r="I1265" s="5" t="n">
        <v>100</v>
      </c>
      <c r="J1265" s="5" t="n">
        <v>24.8</v>
      </c>
      <c r="K1265" s="3" t="inlineStr">
        <is>
          <t>계획관리지역의 과수원으로 농촌 체류형 쉼터나 공방 및 전원주택지로 좋은</t>
        </is>
      </c>
      <c r="L1265" s="6">
        <f>HYPERLINK("https://fin.land.naver.com/articles/2650242112", "매물Link")</f>
        <v/>
      </c>
      <c r="M1265" s="6">
        <f>HYPERLINK("https://map.naver.com/p/search/부강면 행산리 389-3", "지도Link")</f>
        <v/>
      </c>
      <c r="N1265" s="6">
        <f>HYPERLINK("http://www.eum.go.kr/web/ar/lu/luLandDet.jsp?pnu=3611033022103890003&amp;isNoScr=script&amp;mode=search", "토지이음")</f>
        <v/>
      </c>
      <c r="O1265" s="3" t="inlineStr">
        <is>
          <t>스마일세종</t>
        </is>
      </c>
      <c r="P1265" s="4" t="n">
        <v>1</v>
      </c>
      <c r="Q1265" s="4" t="n">
        <v>779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행산리 389-3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1273</v>
      </c>
      <c r="H1266" s="4" t="n">
        <v>385</v>
      </c>
      <c r="I1266" s="5" t="n">
        <v>100</v>
      </c>
      <c r="J1266" s="5" t="n">
        <v>24.8</v>
      </c>
      <c r="K1266" s="3" t="inlineStr">
        <is>
          <t>감나무 블루베리 등이 식재되어 5생활권 5분거리 과수원</t>
        </is>
      </c>
      <c r="L1266" s="6">
        <f>HYPERLINK("https://fin.land.naver.com/articles/2653686533", "매물Link")</f>
        <v/>
      </c>
      <c r="M1266" s="6">
        <f>HYPERLINK("https://map.naver.com/p/search/부강면 행산리 389-3", "지도Link")</f>
        <v/>
      </c>
      <c r="N1266" s="6">
        <f>HYPERLINK("http://www.eum.go.kr/web/ar/lu/luLandDet.jsp?pnu=3611033022103890003&amp;isNoScr=script&amp;mode=search", "토지이음")</f>
        <v/>
      </c>
      <c r="O1266" s="3" t="inlineStr">
        <is>
          <t>지성</t>
        </is>
      </c>
      <c r="P1266" s="4" t="n">
        <v>1</v>
      </c>
      <c r="Q1266" s="4" t="n">
        <v>779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행산리 389-3</t>
        </is>
      </c>
      <c r="B1267" s="3" t="inlineStr">
        <is>
          <t>계획관리지역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23600</v>
      </c>
      <c r="G1267" s="4" t="n">
        <v>779</v>
      </c>
      <c r="H1267" s="4" t="n">
        <v>236</v>
      </c>
      <c r="I1267" s="5" t="n">
        <v>100</v>
      </c>
      <c r="J1267" s="5" t="n">
        <v>24.8</v>
      </c>
      <c r="K1267" s="3" t="inlineStr">
        <is>
          <t>급매,도로접한 계획관리지역,다용도 사용목적 가능,투자용 추천</t>
        </is>
      </c>
      <c r="L1267" s="6">
        <f>HYPERLINK("https://fin.land.naver.com/articles/2654726224", "매물Link")</f>
        <v/>
      </c>
      <c r="M1267" s="6">
        <f>HYPERLINK("https://map.naver.com/p/search/부강면 행산리 389-3", "지도Link")</f>
        <v/>
      </c>
      <c r="N1267" s="6">
        <f>HYPERLINK("http://www.eum.go.kr/web/ar/lu/luLandDet.jsp?pnu=3611033022103890003&amp;isNoScr=script&amp;mode=search", "토지이음")</f>
        <v/>
      </c>
      <c r="O1267" s="3" t="inlineStr">
        <is>
          <t>고운맘</t>
        </is>
      </c>
      <c r="P1267" s="4" t="n">
        <v>1</v>
      </c>
      <c r="Q1267" s="4" t="n">
        <v>779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부강면 행산리 389-4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15000</v>
      </c>
      <c r="G1268" s="4" t="n">
        <v>494</v>
      </c>
      <c r="H1268" s="4" t="n">
        <v>149</v>
      </c>
      <c r="I1268" s="5" t="n">
        <v>100.7</v>
      </c>
      <c r="J1268" s="5" t="n">
        <v>24.8</v>
      </c>
      <c r="K1268" s="3" t="inlineStr">
        <is>
          <t>급매,도로접한 계획관리지역,다용도 사용목적 가능,투자용 추천</t>
        </is>
      </c>
      <c r="L1268" s="6">
        <f>HYPERLINK("https://fin.land.naver.com/articles/2654725590", "매물Link")</f>
        <v/>
      </c>
      <c r="M1268" s="6">
        <f>HYPERLINK("https://map.naver.com/p/search/부강면 행산리 389-4", "지도Link")</f>
        <v/>
      </c>
      <c r="N1268" s="6">
        <f>HYPERLINK("http://www.eum.go.kr/web/ar/lu/luLandDet.jsp?pnu=3611033022103890004&amp;isNoScr=script&amp;mode=search", "토지이음")</f>
        <v/>
      </c>
      <c r="O1268" s="3" t="inlineStr">
        <is>
          <t>고운맘</t>
        </is>
      </c>
      <c r="P1268" s="4" t="n">
        <v>1</v>
      </c>
      <c r="Q1268" s="4" t="n">
        <v>494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행산리 389-4</t>
        </is>
      </c>
      <c r="B1269" s="3" t="inlineStr">
        <is>
          <t>계획관리지역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15000</v>
      </c>
      <c r="G1269" s="4" t="n">
        <v>494</v>
      </c>
      <c r="H1269" s="4" t="n">
        <v>149</v>
      </c>
      <c r="I1269" s="5" t="n">
        <v>100.7</v>
      </c>
      <c r="J1269" s="5" t="n">
        <v>24.8</v>
      </c>
      <c r="K1269" s="3" t="inlineStr">
        <is>
          <t>행산리 황금필지, 세종5생활권의 최대의 수익지 , 건축바로가능</t>
        </is>
      </c>
      <c r="L1269" s="6">
        <f>HYPERLINK("https://fin.land.naver.com/articles/2652566007", "매물Link")</f>
        <v/>
      </c>
      <c r="M1269" s="6">
        <f>HYPERLINK("https://map.naver.com/p/search/부강면 행산리 389-4", "지도Link")</f>
        <v/>
      </c>
      <c r="N1269" s="6">
        <f>HYPERLINK("http://www.eum.go.kr/web/ar/lu/luLandDet.jsp?pnu=3611033022103890004&amp;isNoScr=script&amp;mode=search", "토지이음")</f>
        <v/>
      </c>
      <c r="O1269" s="3" t="inlineStr">
        <is>
          <t>이담</t>
        </is>
      </c>
      <c r="P1269" s="4" t="n">
        <v>4</v>
      </c>
      <c r="Q1269" s="4" t="n">
        <v>494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행산리 393</t>
        </is>
      </c>
      <c r="B1270" s="3" t="inlineStr">
        <is>
          <t>계획관리지역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82000</v>
      </c>
      <c r="G1270" s="4" t="n">
        <v>8984</v>
      </c>
      <c r="H1270" s="4" t="n">
        <v>2718</v>
      </c>
      <c r="I1270" s="5" t="n">
        <v>30.2</v>
      </c>
      <c r="J1270" s="5" t="n">
        <v>19.6</v>
      </c>
      <c r="K1270" s="3" t="inlineStr">
        <is>
          <t>nan</t>
        </is>
      </c>
      <c r="L1270" s="6">
        <f>HYPERLINK("https://fin.land.naver.com/articles/2650179359", "매물Link")</f>
        <v/>
      </c>
      <c r="M1270" s="6">
        <f>HYPERLINK("https://map.naver.com/p/search/부강면 행산리 393", "지도Link")</f>
        <v/>
      </c>
      <c r="N1270" s="6">
        <f>HYPERLINK("http://www.eum.go.kr/web/ar/lu/luLandDet.jsp?pnu=3611033022103930000&amp;isNoScr=script&amp;mode=search", "토지이음")</f>
        <v/>
      </c>
      <c r="O1270" s="3" t="inlineStr">
        <is>
          <t>연동스카이</t>
        </is>
      </c>
      <c r="P1270" s="4" t="n">
        <v>1</v>
      </c>
      <c r="Q1270" s="4" t="n">
        <v>3269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행산리 447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24800</v>
      </c>
      <c r="G1271" s="4" t="n">
        <v>1490</v>
      </c>
      <c r="H1271" s="4" t="n">
        <v>451</v>
      </c>
      <c r="I1271" s="5" t="n">
        <v>55</v>
      </c>
      <c r="J1271" s="5" t="n">
        <v>18.3</v>
      </c>
      <c r="K1271" s="3" t="inlineStr">
        <is>
          <t>대토농지로 추천</t>
        </is>
      </c>
      <c r="L1271" s="6">
        <f>HYPERLINK("https://fin.land.naver.com/articles/2651993752", "매물Link")</f>
        <v/>
      </c>
      <c r="M1271" s="6">
        <f>HYPERLINK("https://map.naver.com/p/search/부강면 행산리 447", "지도Link")</f>
        <v/>
      </c>
      <c r="N1271" s="6">
        <f>HYPERLINK("http://www.eum.go.kr/web/ar/lu/luLandDet.jsp?pnu=3611033022104470000&amp;isNoScr=script&amp;mode=search", "토지이음")</f>
        <v/>
      </c>
      <c r="O1271" s="3" t="inlineStr">
        <is>
          <t>담뜰</t>
        </is>
      </c>
      <c r="P1271" s="4" t="n">
        <v>2</v>
      </c>
      <c r="Q1271" s="4" t="n">
        <v>1490.7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부강면 행산리 447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24800</v>
      </c>
      <c r="G1272" s="4" t="n">
        <v>1491</v>
      </c>
      <c r="H1272" s="4" t="n">
        <v>451</v>
      </c>
      <c r="I1272" s="5" t="n">
        <v>55</v>
      </c>
      <c r="J1272" s="5" t="n">
        <v>18.3</v>
      </c>
      <c r="K1272" s="3" t="inlineStr">
        <is>
          <t>매매가 할인2,200만원 대토농지</t>
        </is>
      </c>
      <c r="L1272" s="6">
        <f>HYPERLINK("https://fin.land.naver.com/articles/2651396371", "매물Link")</f>
        <v/>
      </c>
      <c r="M1272" s="6">
        <f>HYPERLINK("https://map.naver.com/p/search/부강면 행산리 447", "지도Link")</f>
        <v/>
      </c>
      <c r="N1272" s="6">
        <f>HYPERLINK("http://www.eum.go.kr/web/ar/lu/luLandDet.jsp?pnu=3611033022104470000&amp;isNoScr=script&amp;mode=search",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1490.7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세로한면(가)</t>
        </is>
      </c>
    </row>
    <row r="1273">
      <c r="A1273" s="3" t="inlineStr">
        <is>
          <t>부강면 행산리 448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129600</v>
      </c>
      <c r="G1273" s="4" t="n">
        <v>7791</v>
      </c>
      <c r="H1273" s="4" t="n">
        <v>2357</v>
      </c>
      <c r="I1273" s="5" t="n">
        <v>55</v>
      </c>
      <c r="J1273" s="5" t="n">
        <v>18.3</v>
      </c>
      <c r="K1273" s="3" t="inlineStr">
        <is>
          <t>행산리 농림지역 대토 농지 논 답</t>
        </is>
      </c>
      <c r="L1273" s="6">
        <f>HYPERLINK("https://fin.land.naver.com/articles/2651396542", "매물Link")</f>
        <v/>
      </c>
      <c r="M1273" s="6">
        <f>HYPERLINK("https://map.naver.com/p/search/부강면 행산리 448", "지도Link")</f>
        <v/>
      </c>
      <c r="N1273" s="6">
        <f>HYPERLINK("http://www.eum.go.kr/web/ar/lu/luLandDet.jsp?pnu=3611033022104480000&amp;isNoScr=script&amp;mode=search", "토지이음")</f>
        <v/>
      </c>
      <c r="O1273" s="3" t="inlineStr">
        <is>
          <t>로데오상가</t>
        </is>
      </c>
      <c r="P1273" s="4" t="n">
        <v>2</v>
      </c>
      <c r="Q1273" s="4" t="n">
        <v>7790.7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부강면 행산리 448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130000</v>
      </c>
      <c r="G1274" s="4" t="n">
        <v>7791</v>
      </c>
      <c r="H1274" s="4" t="n">
        <v>2357</v>
      </c>
      <c r="I1274" s="5" t="n">
        <v>55.2</v>
      </c>
      <c r="J1274" s="5" t="n">
        <v>18.3</v>
      </c>
      <c r="K1274" s="3" t="inlineStr">
        <is>
          <t>세종시5생활권입접.대규모농지.인접447번지와동시매매가능.장기투자목적</t>
        </is>
      </c>
      <c r="L1274" s="6">
        <f>HYPERLINK("https://fin.land.naver.com/articles/2654871112", "매물Link")</f>
        <v/>
      </c>
      <c r="M1274" s="6">
        <f>HYPERLINK("https://map.naver.com/p/search/부강면 행산리 448", "지도Link")</f>
        <v/>
      </c>
      <c r="N1274" s="6">
        <f>HYPERLINK("http://www.eum.go.kr/web/ar/lu/luLandDet.jsp?pnu=3611033022104480000&amp;isNoScr=script&amp;mode=search", "토지이음")</f>
        <v/>
      </c>
      <c r="O1274" s="3" t="inlineStr">
        <is>
          <t>돈방석</t>
        </is>
      </c>
      <c r="P1274" s="4" t="n">
        <v>4</v>
      </c>
      <c r="Q1274" s="4" t="n">
        <v>7790.7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행산리 448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141000</v>
      </c>
      <c r="G1275" s="4" t="n">
        <v>7790</v>
      </c>
      <c r="H1275" s="4" t="n">
        <v>2356</v>
      </c>
      <c r="I1275" s="5" t="n">
        <v>59.8</v>
      </c>
      <c r="J1275" s="5" t="n">
        <v>18.3</v>
      </c>
      <c r="K1275" s="3" t="inlineStr">
        <is>
          <t>2차선 도로 인접 토지 매매</t>
        </is>
      </c>
      <c r="L1275" s="6">
        <f>HYPERLINK("https://fin.land.naver.com/articles/2653135877", "매물Link")</f>
        <v/>
      </c>
      <c r="M1275" s="6">
        <f>HYPERLINK("https://map.naver.com/p/search/부강면 행산리 448", "지도Link")</f>
        <v/>
      </c>
      <c r="N1275" s="6">
        <f>HYPERLINK("http://www.eum.go.kr/web/ar/lu/luLandDet.jsp?pnu=3611033022104480000&amp;isNoScr=script&amp;mode=search", "토지이음")</f>
        <v/>
      </c>
      <c r="O1275" s="3" t="inlineStr">
        <is>
          <t>주식회사넥서스</t>
        </is>
      </c>
      <c r="P1275" s="4" t="n">
        <v>3</v>
      </c>
      <c r="Q1275" s="4" t="n">
        <v>7790.7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행산리 552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35000</v>
      </c>
      <c r="G1276" s="4" t="n">
        <v>2853</v>
      </c>
      <c r="H1276" s="4" t="n">
        <v>863</v>
      </c>
      <c r="I1276" s="5" t="n">
        <v>40.6</v>
      </c>
      <c r="J1276" s="5" t="n">
        <v>16.9</v>
      </c>
      <c r="K1276" s="3" t="inlineStr">
        <is>
          <t>청주에서 세종간 도로중 저산척북로 인근 행산교차로 인근의 경지정리된 논</t>
        </is>
      </c>
      <c r="L1276" s="6">
        <f>HYPERLINK("https://fin.land.naver.com/articles/2654763564", "매물Link")</f>
        <v/>
      </c>
      <c r="M1276" s="6">
        <f>HYPERLINK("https://map.naver.com/p/search/부강면 행산리 552", "지도Link")</f>
        <v/>
      </c>
      <c r="N1276" s="6">
        <f>HYPERLINK("http://www.eum.go.kr/web/ar/lu/luLandDet.jsp?pnu=3611033022105520000&amp;isNoScr=script&amp;mode=search", "토지이음")</f>
        <v/>
      </c>
      <c r="O1276" s="3" t="inlineStr">
        <is>
          <t>주식회사정원</t>
        </is>
      </c>
      <c r="P1276" s="4" t="n">
        <v>1</v>
      </c>
      <c r="Q1276" s="4" t="n">
        <v>2853.3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부강면 행산리 615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57000</v>
      </c>
      <c r="G1277" s="4" t="n">
        <v>1871</v>
      </c>
      <c r="H1277" s="4" t="n">
        <v>566</v>
      </c>
      <c r="I1277" s="5" t="n">
        <v>100.7</v>
      </c>
      <c r="J1277" s="5" t="n">
        <v>18.1</v>
      </c>
      <c r="K1277" s="3" t="inlineStr">
        <is>
          <t>2차선변 위치,마을인접,토지바로앞에 버스정류장 있어요</t>
        </is>
      </c>
      <c r="L1277" s="6">
        <f>HYPERLINK("https://fin.land.naver.com/articles/2654217846", "매물Link")</f>
        <v/>
      </c>
      <c r="M1277" s="6">
        <f>HYPERLINK("https://map.naver.com/p/search/부강면 행산리 615", "지도Link")</f>
        <v/>
      </c>
      <c r="N1277" s="6">
        <f>HYPERLINK("http://www.eum.go.kr/web/ar/lu/luLandDet.jsp?pnu=3611033022106150000&amp;isNoScr=script&amp;mode=search", "토지이음")</f>
        <v/>
      </c>
      <c r="O1277" s="3" t="inlineStr">
        <is>
          <t>가치잇는</t>
        </is>
      </c>
      <c r="P1277" s="4" t="n">
        <v>6</v>
      </c>
      <c r="Q1277" s="4" t="n">
        <v>1871.1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고등리 230-1</t>
        </is>
      </c>
      <c r="B1278" s="3" t="inlineStr">
        <is>
          <t>계획관리지역</t>
        </is>
      </c>
      <c r="C1278" s="3" t="inlineStr">
        <is>
          <t>목장용지</t>
        </is>
      </c>
      <c r="D1278" s="3" t="inlineStr">
        <is>
          <t>목장용지</t>
        </is>
      </c>
      <c r="E1278" s="3" t="inlineStr">
        <is>
          <t>매매</t>
        </is>
      </c>
      <c r="F1278" s="4" t="n">
        <v>2080000</v>
      </c>
      <c r="G1278" s="4" t="n">
        <v>27530</v>
      </c>
      <c r="H1278" s="4" t="n">
        <v>8328</v>
      </c>
      <c r="I1278" s="5" t="n">
        <v>249.8</v>
      </c>
      <c r="J1278" s="5" t="n">
        <v>26.1</v>
      </c>
      <c r="K1278" s="3" t="inlineStr">
        <is>
          <t>게획관리지역  대형평수 공장부지</t>
        </is>
      </c>
      <c r="L1278" s="6">
        <f>HYPERLINK("https://fin.land.naver.com/articles/2652136758", "매물Link")</f>
        <v/>
      </c>
      <c r="M1278" s="6">
        <f>HYPERLINK("https://map.naver.com/p/search/소정면 고등리 230-1", "지도Link")</f>
        <v/>
      </c>
      <c r="N1278" s="6">
        <f>HYPERLINK("http://www.eum.go.kr/web/ar/lu/luLandDet.jsp?pnu=3611039024102300001&amp;isNoScr=script&amp;mode=search", "토지이음")</f>
        <v/>
      </c>
      <c r="O1278" s="3" t="inlineStr">
        <is>
          <t>글로벌</t>
        </is>
      </c>
      <c r="P1278" s="4" t="n">
        <v>1</v>
      </c>
      <c r="Q1278" s="4" t="n">
        <v>19819</v>
      </c>
      <c r="R1278" s="3" t="inlineStr">
        <is>
          <t>지정되지않음</t>
        </is>
      </c>
      <c r="S1278" s="3" t="inlineStr">
        <is>
          <t>전축사</t>
        </is>
      </c>
      <c r="T1278" s="3" t="inlineStr">
        <is>
          <t>급경사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소정면 고등리 408-1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600000</v>
      </c>
      <c r="G1279" s="4" t="n">
        <v>9268</v>
      </c>
      <c r="H1279" s="4" t="n">
        <v>2804</v>
      </c>
      <c r="I1279" s="5" t="n">
        <v>214</v>
      </c>
      <c r="J1279" s="5" t="n">
        <v>40.1</v>
      </c>
      <c r="K1279" s="3" t="inlineStr">
        <is>
          <t>산단 초근접 4차선대로접 계획관리지역(성장관리계획구역)</t>
        </is>
      </c>
      <c r="L1279" s="6">
        <f>HYPERLINK("https://fin.land.naver.com/articles/2652020241", "매물Link")</f>
        <v/>
      </c>
      <c r="M1279" s="6">
        <f>HYPERLINK("https://map.naver.com/p/search/소정면 고등리 408-1", "지도Link")</f>
        <v/>
      </c>
      <c r="N1279" s="6">
        <f>HYPERLINK("http://www.eum.go.kr/web/ar/lu/luLandDet.jsp?pnu=3611039024104080001&amp;isNoScr=script&amp;mode=search", "토지이음")</f>
        <v/>
      </c>
      <c r="O1279" s="3" t="inlineStr">
        <is>
          <t>드림</t>
        </is>
      </c>
      <c r="P1279" s="4" t="n">
        <v>1</v>
      </c>
      <c r="Q1279" s="4" t="n">
        <v>3412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소로각지</t>
        </is>
      </c>
    </row>
    <row r="1280">
      <c r="A1280" s="3" t="inlineStr">
        <is>
          <t>소정면 고등리 410-10</t>
        </is>
      </c>
      <c r="B1280" s="3" t="inlineStr">
        <is>
          <t>농림지역</t>
        </is>
      </c>
      <c r="C1280" s="3" t="inlineStr">
        <is>
          <t>공장용지</t>
        </is>
      </c>
      <c r="D1280" s="3" t="inlineStr">
        <is>
          <t>공장용지</t>
        </is>
      </c>
      <c r="E1280" s="3" t="inlineStr">
        <is>
          <t>매매</t>
        </is>
      </c>
      <c r="F1280" s="4" t="n">
        <v>25000</v>
      </c>
      <c r="G1280" s="4" t="n">
        <v>378</v>
      </c>
      <c r="H1280" s="4" t="n">
        <v>114</v>
      </c>
      <c r="I1280" s="5" t="n">
        <v>219.3</v>
      </c>
      <c r="J1280" s="5" t="n">
        <v>24.6</v>
      </c>
      <c r="K1280" s="3" t="inlineStr">
        <is>
          <t>대로에 접한 공장용지</t>
        </is>
      </c>
      <c r="L1280" s="6">
        <f>HYPERLINK("https://fin.land.naver.com/articles/2654950132", "매물Link")</f>
        <v/>
      </c>
      <c r="M1280" s="6">
        <f>HYPERLINK("https://map.naver.com/p/search/소정면 고등리 410-10", "지도Link")</f>
        <v/>
      </c>
      <c r="N1280" s="6">
        <f>HYPERLINK("http://www.eum.go.kr/web/ar/lu/luLandDet.jsp?pnu=3611039024104100010&amp;isNoScr=script&amp;mode=search", "토지이음")</f>
        <v/>
      </c>
      <c r="O1280" s="3" t="inlineStr">
        <is>
          <t>한화포레나단지내</t>
        </is>
      </c>
      <c r="P1280" s="4" t="n">
        <v>1</v>
      </c>
      <c r="Q1280" s="4" t="n">
        <v>378</v>
      </c>
      <c r="R1280" s="3" t="inlineStr">
        <is>
          <t>지정되지않음</t>
        </is>
      </c>
      <c r="S1280" s="3" t="inlineStr">
        <is>
          <t>공업용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소정면 고등리 453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124550</v>
      </c>
      <c r="G1281" s="4" t="n">
        <v>3580</v>
      </c>
      <c r="H1281" s="4" t="n">
        <v>1083</v>
      </c>
      <c r="I1281" s="5" t="n">
        <v>115</v>
      </c>
      <c r="J1281" s="5" t="n">
        <v>25</v>
      </c>
      <c r="K1281" s="3" t="inlineStr">
        <is>
          <t>세종스마트그린일반산업단지 권역 다용도 토지</t>
        </is>
      </c>
      <c r="L1281" s="6">
        <f>HYPERLINK("https://fin.land.naver.com/articles/2651112294", "매물Link")</f>
        <v/>
      </c>
      <c r="M1281" s="6">
        <f>HYPERLINK("https://map.naver.com/p/search/소정면 고등리 453", "지도Link")</f>
        <v/>
      </c>
      <c r="N1281" s="6">
        <f>HYPERLINK("http://www.eum.go.kr/web/ar/lu/luLandDet.jsp?pnu=3611039024104530000&amp;isNoScr=script&amp;mode=search", "토지이음")</f>
        <v/>
      </c>
      <c r="O1281" s="3" t="inlineStr">
        <is>
          <t>단촌</t>
        </is>
      </c>
      <c r="P1281" s="4" t="n">
        <v>1</v>
      </c>
      <c r="Q1281" s="4" t="n">
        <v>1193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소정면 고등리 536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148800</v>
      </c>
      <c r="G1282" s="4" t="n">
        <v>5785</v>
      </c>
      <c r="H1282" s="4" t="n">
        <v>1750</v>
      </c>
      <c r="I1282" s="5" t="n">
        <v>85</v>
      </c>
      <c r="J1282" s="5" t="n">
        <v>23.3</v>
      </c>
      <c r="K1282" s="3" t="inlineStr">
        <is>
          <t>세종스마트그린일반산업단지 권역 다용도 토지</t>
        </is>
      </c>
      <c r="L1282" s="6">
        <f>HYPERLINK("https://fin.land.naver.com/articles/2651112092", "매물Link")</f>
        <v/>
      </c>
      <c r="M1282" s="6">
        <f>HYPERLINK("https://map.naver.com/p/search/소정면 고등리 536", "지도Link")</f>
        <v/>
      </c>
      <c r="N1282" s="6">
        <f>HYPERLINK("http://www.eum.go.kr/web/ar/lu/luLandDet.jsp?pnu=3611039024105360000&amp;isNoScr=script&amp;mode=search", "토지이음")</f>
        <v/>
      </c>
      <c r="O1282" s="3" t="inlineStr">
        <is>
          <t>단촌</t>
        </is>
      </c>
      <c r="P1282" s="4" t="n">
        <v>1</v>
      </c>
      <c r="Q1282" s="4" t="n">
        <v>4768.7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소정면 고등리 579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58000</v>
      </c>
      <c r="G1283" s="4" t="n">
        <v>1818</v>
      </c>
      <c r="H1283" s="4" t="n">
        <v>550</v>
      </c>
      <c r="I1283" s="5" t="n">
        <v>105.5</v>
      </c>
      <c r="J1283" s="5" t="n">
        <v>23.3</v>
      </c>
      <c r="K1283" s="3" t="inlineStr">
        <is>
          <t>소정면 고등리 계획관리 도로접 토지매매</t>
        </is>
      </c>
      <c r="L1283" s="6">
        <f>HYPERLINK("https://fin.land.naver.com/articles/2651990946", "매물Link")</f>
        <v/>
      </c>
      <c r="M1283" s="6">
        <f>HYPERLINK("https://map.naver.com/p/search/소정면 고등리 579", "지도Link")</f>
        <v/>
      </c>
      <c r="N1283" s="6">
        <f>HYPERLINK("http://www.eum.go.kr/web/ar/lu/luLandDet.jsp?pnu=3611039024105790000&amp;isNoScr=script&amp;mode=search",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1818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소정면 고등리 612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250000</v>
      </c>
      <c r="G1284" s="4" t="n">
        <v>7995</v>
      </c>
      <c r="H1284" s="4" t="n">
        <v>2418</v>
      </c>
      <c r="I1284" s="5" t="n">
        <v>103.4</v>
      </c>
      <c r="J1284" s="5" t="n">
        <v>26.1</v>
      </c>
      <c r="K1284" s="3" t="inlineStr">
        <is>
          <t>nan</t>
        </is>
      </c>
      <c r="L1284" s="6">
        <f>HYPERLINK("https://fin.land.naver.com/articles/2652025273", "매물Link")</f>
        <v/>
      </c>
      <c r="M1284" s="6">
        <f>HYPERLINK("https://map.naver.com/p/search/소정면 고등리 612", "지도Link")</f>
        <v/>
      </c>
      <c r="N1284" s="6">
        <f>HYPERLINK("http://www.eum.go.kr/web/ar/lu/luLandDet.jsp?pnu=3611039024106120000&amp;isNoScr=script&amp;mode=search", "토지이음")</f>
        <v/>
      </c>
      <c r="O1284" s="3" t="inlineStr">
        <is>
          <t>드림</t>
        </is>
      </c>
      <c r="P1284" s="4" t="n">
        <v>1</v>
      </c>
      <c r="Q1284" s="4" t="n">
        <v>4101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소정면 고등리 622-6</t>
        </is>
      </c>
      <c r="B1285" s="3" t="inlineStr">
        <is>
          <t>계획관리지역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35000</v>
      </c>
      <c r="G1285" s="4" t="n">
        <v>1444</v>
      </c>
      <c r="H1285" s="4" t="n">
        <v>437</v>
      </c>
      <c r="I1285" s="5" t="n">
        <v>80.09999999999999</v>
      </c>
      <c r="J1285" s="5" t="n">
        <v>21.4</v>
      </c>
      <c r="K1285" s="3" t="inlineStr">
        <is>
          <t>nan</t>
        </is>
      </c>
      <c r="L1285" s="6">
        <f>HYPERLINK("https://fin.land.naver.com/articles/2652702076", "매물Link")</f>
        <v/>
      </c>
      <c r="M1285" s="6">
        <f>HYPERLINK("https://map.naver.com/p/search/소정면 고등리 622-6", "지도Link")</f>
        <v/>
      </c>
      <c r="N1285" s="6">
        <f>HYPERLINK("http://www.eum.go.kr/web/ar/lu/luLandDet.jsp?pnu=3611039024106220006&amp;isNoScr=script&amp;mode=search", "토지이음")</f>
        <v/>
      </c>
      <c r="O1285" s="3" t="inlineStr">
        <is>
          <t>올라</t>
        </is>
      </c>
      <c r="P1285" s="4" t="n">
        <v>1</v>
      </c>
      <c r="Q1285" s="4" t="n">
        <v>1444.4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소정면 고등리 698-1</t>
        </is>
      </c>
      <c r="B1286" s="3" t="inlineStr">
        <is>
          <t>일반공업지역</t>
        </is>
      </c>
      <c r="C1286" s="3" t="inlineStr">
        <is>
          <t>공장용지</t>
        </is>
      </c>
      <c r="D1286" s="3" t="inlineStr">
        <is>
          <t>공장용지</t>
        </is>
      </c>
      <c r="E1286" s="3" t="inlineStr">
        <is>
          <t>매매</t>
        </is>
      </c>
      <c r="F1286" s="4" t="n">
        <v>230000</v>
      </c>
      <c r="G1286" s="4" t="n">
        <v>5438</v>
      </c>
      <c r="H1286" s="4" t="n">
        <v>1645</v>
      </c>
      <c r="I1286" s="5" t="n">
        <v>139.8</v>
      </c>
      <c r="J1286" s="5" t="n">
        <v>104.9</v>
      </c>
      <c r="K1286" s="3" t="inlineStr">
        <is>
          <t>세종첨단 일반 산업단지, 식품,화학, 의료,플라스틱 등 제조가능</t>
        </is>
      </c>
      <c r="L1286" s="6">
        <f>HYPERLINK("https://fin.land.naver.com/articles/2651061645", "매물Link")</f>
        <v/>
      </c>
      <c r="M1286" s="6">
        <f>HYPERLINK("https://map.naver.com/p/search/소정면 고등리 698-1", "지도Link")</f>
        <v/>
      </c>
      <c r="N1286" s="6">
        <f>HYPERLINK("http://www.eum.go.kr/web/ar/lu/luLandDet.jsp?pnu=3611039024106980001&amp;isNoScr=script&amp;mode=search", "토지이음")</f>
        <v/>
      </c>
      <c r="O1286" s="3" t="inlineStr">
        <is>
          <t>플러스자이합동</t>
        </is>
      </c>
      <c r="P1286" s="4" t="n">
        <v>1</v>
      </c>
      <c r="Q1286" s="4" t="n">
        <v>5438.5</v>
      </c>
      <c r="R1286" s="3" t="inlineStr">
        <is>
          <t>지정되지않음</t>
        </is>
      </c>
      <c r="S1286" s="3" t="inlineStr">
        <is>
          <t>공업용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중로한면</t>
        </is>
      </c>
    </row>
    <row r="1287">
      <c r="A1287" s="3" t="inlineStr">
        <is>
          <t>소정면 고등리 796</t>
        </is>
      </c>
      <c r="B1287" s="3" t="inlineStr">
        <is>
          <t>준공업지역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360000</v>
      </c>
      <c r="G1287" s="4" t="n">
        <v>1643</v>
      </c>
      <c r="H1287" s="4" t="n">
        <v>497</v>
      </c>
      <c r="I1287" s="5" t="n">
        <v>724.3</v>
      </c>
      <c r="J1287" s="5" t="n">
        <v>122</v>
      </c>
      <c r="K1287" s="3" t="inlineStr">
        <is>
          <t>희소성높은 전의 스마트그린 일반산업단지 내 지원시설용지 매매입니다</t>
        </is>
      </c>
      <c r="L1287" s="6">
        <f>HYPERLINK("https://fin.land.naver.com/articles/2655137010", "매물Link")</f>
        <v/>
      </c>
      <c r="M1287" s="6">
        <f>HYPERLINK("https://map.naver.com/p/search/소정면 고등리 796", "지도Link")</f>
        <v/>
      </c>
      <c r="N1287" s="6">
        <f>HYPERLINK("http://www.eum.go.kr/web/ar/lu/luLandDet.jsp?pnu=3611039024107960000&amp;isNoScr=script&amp;mode=search", "토지이음")</f>
        <v/>
      </c>
      <c r="O1287" s="3" t="inlineStr">
        <is>
          <t>복댕이</t>
        </is>
      </c>
      <c r="P1287" s="4" t="n">
        <v>1</v>
      </c>
      <c r="Q1287" s="4" t="n">
        <v>839.3</v>
      </c>
      <c r="R1287" s="3" t="inlineStr">
        <is>
          <t>지정되지않음</t>
        </is>
      </c>
      <c r="S1287" s="3" t="inlineStr">
        <is>
          <t>상업나지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중로한면</t>
        </is>
      </c>
    </row>
    <row r="1288">
      <c r="A1288" s="3" t="inlineStr">
        <is>
          <t>소정면 대곡리 10-21</t>
        </is>
      </c>
      <c r="B1288" s="3" t="inlineStr">
        <is>
          <t>농림지역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26000</v>
      </c>
      <c r="G1288" s="4" t="n">
        <v>5732</v>
      </c>
      <c r="H1288" s="4" t="n">
        <v>1734</v>
      </c>
      <c r="I1288" s="5" t="n">
        <v>15</v>
      </c>
      <c r="J1288" s="5" t="n">
        <v>1.4</v>
      </c>
      <c r="K1288" s="3" t="inlineStr">
        <is>
          <t>추천소정대곡리 임야 농림지역 투자용5732㎡ 2차선접 세종첨단산업단지</t>
        </is>
      </c>
      <c r="L1288" s="6">
        <f>HYPERLINK("https://fin.land.naver.com/articles/2650919761", "매물Link")</f>
        <v/>
      </c>
      <c r="M1288" s="6">
        <f>HYPERLINK("https://map.naver.com/p/search/소정면 대곡리 10-21", "지도Link")</f>
        <v/>
      </c>
      <c r="N1288" s="6">
        <f>HYPERLINK("http://www.eum.go.kr/web/ar/lu/luLandDet.jsp?pnu=3611039023100100021&amp;isNoScr=script&amp;mode=search", "토지이음")</f>
        <v/>
      </c>
      <c r="O1288" s="3" t="inlineStr">
        <is>
          <t>천안삼거리</t>
        </is>
      </c>
      <c r="P1288" s="4" t="n">
        <v>1</v>
      </c>
      <c r="Q1288" s="4" t="n">
        <v>5732</v>
      </c>
      <c r="R1288" s="3" t="inlineStr">
        <is>
          <t>지정되지않음</t>
        </is>
      </c>
      <c r="S1288" s="3" t="inlineStr">
        <is>
          <t>자연림</t>
        </is>
      </c>
      <c r="T1288" s="3" t="inlineStr">
        <is>
          <t>급경사</t>
        </is>
      </c>
      <c r="U1288" s="3" t="inlineStr">
        <is>
          <t>사다리형</t>
        </is>
      </c>
      <c r="V1288" s="3" t="inlineStr">
        <is>
          <t>맹지</t>
        </is>
      </c>
    </row>
    <row r="1289">
      <c r="A1289" s="3" t="inlineStr">
        <is>
          <t>소정면 대곡리 116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55000</v>
      </c>
      <c r="G1289" s="4" t="n">
        <v>3306</v>
      </c>
      <c r="H1289" s="4" t="n">
        <v>1000</v>
      </c>
      <c r="I1289" s="5" t="n">
        <v>55</v>
      </c>
      <c r="J1289" s="5" t="n">
        <v>20.7</v>
      </c>
      <c r="K1289" s="3" t="inlineStr">
        <is>
          <t>3m농로 접한 계획관리 토지</t>
        </is>
      </c>
      <c r="L1289" s="6">
        <f>HYPERLINK("https://fin.land.naver.com/articles/2652043398", "매물Link")</f>
        <v/>
      </c>
      <c r="M1289" s="6">
        <f>HYPERLINK("https://map.naver.com/p/search/소정면 대곡리 116", "지도Link")</f>
        <v/>
      </c>
      <c r="N1289" s="6">
        <f>HYPERLINK("http://www.eum.go.kr/web/ar/lu/luLandDet.jsp?pnu=3611039023101160000&amp;isNoScr=script&amp;mode=search",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3306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소정면 대곡리 184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30000</v>
      </c>
      <c r="G1290" s="4" t="n">
        <v>1696</v>
      </c>
      <c r="H1290" s="4" t="n">
        <v>513</v>
      </c>
      <c r="I1290" s="5" t="n">
        <v>58.5</v>
      </c>
      <c r="J1290" s="5" t="n">
        <v>25.3</v>
      </c>
      <c r="K1290" s="3" t="inlineStr">
        <is>
          <t>도로접한 토지,마을 안쪽 토지로 전원주택지로 좋음,조용하고 전망좋음</t>
        </is>
      </c>
      <c r="L1290" s="6">
        <f>HYPERLINK("https://fin.land.naver.com/articles/2650392334", "매물Link")</f>
        <v/>
      </c>
      <c r="M1290" s="6">
        <f>HYPERLINK("https://map.naver.com/p/search/소정면 대곡리 184", "지도Link")</f>
        <v/>
      </c>
      <c r="N1290" s="6">
        <f>HYPERLINK("http://www.eum.go.kr/web/ar/lu/luLandDet.jsp?pnu=3611039023101840000&amp;isNoScr=script&amp;mode=search", "토지이음")</f>
        <v/>
      </c>
      <c r="O1290" s="3" t="inlineStr">
        <is>
          <t>담뜰</t>
        </is>
      </c>
      <c r="P1290" s="4" t="n">
        <v>1</v>
      </c>
      <c r="Q1290" s="4" t="n">
        <v>1696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소정면 대곡리 188-1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42000</v>
      </c>
      <c r="G1291" s="4" t="n">
        <v>871</v>
      </c>
      <c r="H1291" s="4" t="n">
        <v>263</v>
      </c>
      <c r="I1291" s="5" t="n">
        <v>159.7</v>
      </c>
      <c r="J1291" s="5" t="n">
        <v>37</v>
      </c>
      <c r="K1291" s="3" t="inlineStr">
        <is>
          <t>nan</t>
        </is>
      </c>
      <c r="L1291" s="6">
        <f>HYPERLINK("https://fin.land.naver.com/articles/2651316426", "매물Link")</f>
        <v/>
      </c>
      <c r="M1291" s="6">
        <f>HYPERLINK("https://map.naver.com/p/search/소정면 대곡리 188-1", "지도Link")</f>
        <v/>
      </c>
      <c r="N1291" s="6">
        <f>HYPERLINK("http://www.eum.go.kr/web/ar/lu/luLandDet.jsp?pnu=3611039023101880001&amp;isNoScr=script&amp;mode=search", "토지이음")</f>
        <v/>
      </c>
      <c r="O1291" s="3" t="inlineStr">
        <is>
          <t>코아루</t>
        </is>
      </c>
      <c r="P1291" s="4" t="n">
        <v>1</v>
      </c>
      <c r="Q1291" s="4" t="n">
        <v>871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대곡리 212</t>
        </is>
      </c>
      <c r="B1292" s="3" t="inlineStr">
        <is>
          <t>계획관리지역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32000</v>
      </c>
      <c r="G1292" s="4" t="n">
        <v>1455</v>
      </c>
      <c r="H1292" s="4" t="n">
        <v>440</v>
      </c>
      <c r="I1292" s="5" t="n">
        <v>72.7</v>
      </c>
      <c r="J1292" s="5" t="n">
        <v>30.4</v>
      </c>
      <c r="K1292" s="3" t="inlineStr">
        <is>
          <t>세종,천안 더블 생활권 산업단지 인근 소정리역 인근 관리잘된 예쁜토지</t>
        </is>
      </c>
      <c r="L1292" s="6">
        <f>HYPERLINK("https://fin.land.naver.com/articles/2651642795", "매물Link")</f>
        <v/>
      </c>
      <c r="M1292" s="6">
        <f>HYPERLINK("https://map.naver.com/p/search/소정면 대곡리 212", "지도Link")</f>
        <v/>
      </c>
      <c r="N1292" s="6">
        <f>HYPERLINK("http://www.eum.go.kr/web/ar/lu/luLandDet.jsp?pnu=3611039023102120000&amp;isNoScr=script&amp;mode=search", "토지이음")</f>
        <v/>
      </c>
      <c r="O1292" s="3" t="inlineStr">
        <is>
          <t>아임</t>
        </is>
      </c>
      <c r="P1292" s="4" t="n">
        <v>1</v>
      </c>
      <c r="Q1292" s="4" t="n">
        <v>1455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소정면 대곡리 223-1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대</t>
        </is>
      </c>
      <c r="E1293" s="3" t="inlineStr">
        <is>
          <t>매매</t>
        </is>
      </c>
      <c r="F1293" s="4" t="n">
        <v>14800</v>
      </c>
      <c r="G1293" s="4" t="n">
        <v>912</v>
      </c>
      <c r="H1293" s="4" t="n">
        <v>276</v>
      </c>
      <c r="I1293" s="5" t="n">
        <v>53.6</v>
      </c>
      <c r="J1293" s="5" t="n">
        <v>30.2</v>
      </c>
      <c r="K1293" s="3" t="inlineStr">
        <is>
          <t>IC·산단 접근 좋은 계획관리 소규모 실사용 토지</t>
        </is>
      </c>
      <c r="L1293" s="6">
        <f>HYPERLINK("https://fin.land.naver.com/articles/2655058252", "매물Link")</f>
        <v/>
      </c>
      <c r="M1293" s="6">
        <f>HYPERLINK("https://map.naver.com/p/search/소정면 대곡리 223-1", "지도Link")</f>
        <v/>
      </c>
      <c r="N1293" s="6">
        <f>HYPERLINK("http://www.eum.go.kr/web/ar/lu/luLandDet.jsp?pnu=3611039023102230001&amp;isNoScr=script&amp;mode=search",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576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소정면 대곡리 280-14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105000</v>
      </c>
      <c r="G1294" s="4" t="n">
        <v>9986</v>
      </c>
      <c r="H1294" s="4" t="n">
        <v>3021</v>
      </c>
      <c r="I1294" s="5" t="n">
        <v>34.8</v>
      </c>
      <c r="J1294" s="5" t="n">
        <v>21.8</v>
      </c>
      <c r="K1294" s="3" t="inlineStr">
        <is>
          <t>2차선 대로변 접  녋은토지</t>
        </is>
      </c>
      <c r="L1294" s="6">
        <f>HYPERLINK("https://fin.land.naver.com/articles/2652104957", "매물Link")</f>
        <v/>
      </c>
      <c r="M1294" s="6">
        <f>HYPERLINK("https://map.naver.com/p/search/소정면 대곡리 280-14", "지도Link")</f>
        <v/>
      </c>
      <c r="N1294" s="6">
        <f>HYPERLINK("http://www.eum.go.kr/web/ar/lu/luLandDet.jsp?pnu=3611039023102800014&amp;isNoScr=script&amp;mode=search", "토지이음")</f>
        <v/>
      </c>
      <c r="O1294" s="3" t="inlineStr">
        <is>
          <t>글로벌</t>
        </is>
      </c>
      <c r="P1294" s="4" t="n">
        <v>1</v>
      </c>
      <c r="Q1294" s="4" t="n">
        <v>4204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급경사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소정면 대곡리 31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40000</v>
      </c>
      <c r="G1295" s="4" t="n">
        <v>1563</v>
      </c>
      <c r="H1295" s="4" t="n">
        <v>473</v>
      </c>
      <c r="I1295" s="5" t="n">
        <v>84.59999999999999</v>
      </c>
      <c r="J1295" s="5" t="n">
        <v>26.1</v>
      </c>
      <c r="K1295" s="3" t="inlineStr">
        <is>
          <t>계획관리 토지매매개발가능</t>
        </is>
      </c>
      <c r="L1295" s="6">
        <f>HYPERLINK("https://fin.land.naver.com/articles/2655059964", "매물Link")</f>
        <v/>
      </c>
      <c r="M1295" s="6">
        <f>HYPERLINK("https://map.naver.com/p/search/소정면 대곡리 31", "지도Link")</f>
        <v/>
      </c>
      <c r="N1295" s="6">
        <f>HYPERLINK("http://www.eum.go.kr/web/ar/lu/luLandDet.jsp?pnu=3611039023100310000&amp;isNoScr=script&amp;mode=search", "토지이음")</f>
        <v/>
      </c>
      <c r="O1295" s="3" t="inlineStr">
        <is>
          <t>세종대박</t>
        </is>
      </c>
      <c r="P1295" s="4" t="n">
        <v>1</v>
      </c>
      <c r="Q1295" s="4" t="n">
        <v>1563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소정면 대곡리 327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45000</v>
      </c>
      <c r="G1296" s="4" t="n">
        <v>1533</v>
      </c>
      <c r="H1296" s="4" t="n">
        <v>464</v>
      </c>
      <c r="I1296" s="5" t="n">
        <v>97</v>
      </c>
      <c r="J1296" s="5" t="n">
        <v>26.8</v>
      </c>
      <c r="K1296" s="3" t="inlineStr">
        <is>
          <t>1번국도인근  창고,제조시설,카페등</t>
        </is>
      </c>
      <c r="L1296" s="6">
        <f>HYPERLINK("https://fin.land.naver.com/articles/2653333065", "매물Link")</f>
        <v/>
      </c>
      <c r="M1296" s="6">
        <f>HYPERLINK("https://map.naver.com/p/search/소정면 대곡리 327", "지도Link")</f>
        <v/>
      </c>
      <c r="N1296" s="6">
        <f>HYPERLINK("http://www.eum.go.kr/web/ar/lu/luLandDet.jsp?pnu=3611039023103270000&amp;isNoScr=script&amp;mode=search",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1533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소정면 대곡리 349-2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550000</v>
      </c>
      <c r="G1297" s="4" t="n">
        <v>16618</v>
      </c>
      <c r="H1297" s="4" t="n">
        <v>5027</v>
      </c>
      <c r="I1297" s="5" t="n">
        <v>109.4</v>
      </c>
      <c r="J1297" s="5" t="n">
        <v>27.6</v>
      </c>
      <c r="K1297" s="3" t="inlineStr">
        <is>
          <t>세종시 소정면 대도로변에 위치한 계획관리 토지 매매</t>
        </is>
      </c>
      <c r="L1297" s="6">
        <f>HYPERLINK("https://fin.land.naver.com/articles/2653813149", "매물Link")</f>
        <v/>
      </c>
      <c r="M1297" s="6">
        <f>HYPERLINK("https://map.naver.com/p/search/소정면 대곡리 349-2", "지도Link")</f>
        <v/>
      </c>
      <c r="N1297" s="6">
        <f>HYPERLINK("http://www.eum.go.kr/web/ar/lu/luLandDet.jsp?pnu=3611039023103490002&amp;isNoScr=script&amp;mode=search", "토지이음")</f>
        <v/>
      </c>
      <c r="O1297" s="3" t="inlineStr">
        <is>
          <t>뉴스카이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소정면 대곡리 414-2</t>
        </is>
      </c>
      <c r="B1298" s="3" t="inlineStr">
        <is>
          <t>계획관리지역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150000</v>
      </c>
      <c r="G1298" s="4" t="n">
        <v>3831</v>
      </c>
      <c r="H1298" s="4" t="n">
        <v>1159</v>
      </c>
      <c r="I1298" s="5" t="n">
        <v>129.4</v>
      </c>
      <c r="J1298" s="5" t="n">
        <v>27.1</v>
      </c>
      <c r="K1298" s="3" t="inlineStr">
        <is>
          <t>세종상용차물류단지 예정지인근 계획관리지역4필지 2,500P 27.5억</t>
        </is>
      </c>
      <c r="L1298" s="6">
        <f>HYPERLINK("https://fin.land.naver.com/articles/2650443181", "매물Link")</f>
        <v/>
      </c>
      <c r="M1298" s="6">
        <f>HYPERLINK("https://map.naver.com/p/search/소정면 대곡리 414-2", "지도Link")</f>
        <v/>
      </c>
      <c r="N1298" s="6">
        <f>HYPERLINK("http://www.eum.go.kr/web/ar/lu/luLandDet.jsp?pnu=3611039023104140002&amp;isNoScr=script&amp;mode=search", "토지이음")</f>
        <v/>
      </c>
      <c r="O1298" s="3" t="inlineStr">
        <is>
          <t>이화</t>
        </is>
      </c>
      <c r="P1298" s="4" t="n">
        <v>1</v>
      </c>
      <c r="Q1298" s="4" t="n">
        <v>3831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소정면 대곡리 43-1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19900</v>
      </c>
      <c r="G1299" s="4" t="n">
        <v>2350</v>
      </c>
      <c r="H1299" s="4" t="n">
        <v>711</v>
      </c>
      <c r="I1299" s="5" t="n">
        <v>28</v>
      </c>
      <c r="J1299" s="5" t="n">
        <v>29.2</v>
      </c>
      <c r="K1299" s="3" t="inlineStr">
        <is>
          <t>nan</t>
        </is>
      </c>
      <c r="L1299" s="6">
        <f>HYPERLINK("https://fin.land.naver.com/articles/2652664142", "매물Link")</f>
        <v/>
      </c>
      <c r="M1299" s="6">
        <f>HYPERLINK("https://map.naver.com/p/search/소정면 대곡리 43-1", "지도Link")</f>
        <v/>
      </c>
      <c r="N1299" s="6">
        <f>HYPERLINK("http://www.eum.go.kr/web/ar/lu/luLandDet.jsp?pnu=3611039023100430001&amp;isNoScr=script&amp;mode=search", "토지이음")</f>
        <v/>
      </c>
      <c r="O1299" s="3" t="inlineStr">
        <is>
          <t>진</t>
        </is>
      </c>
      <c r="P1299" s="4" t="n">
        <v>1</v>
      </c>
      <c r="Q1299" s="4" t="n">
        <v>2350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소정면 대곡리 43-1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20000</v>
      </c>
      <c r="G1300" s="4" t="n">
        <v>2350</v>
      </c>
      <c r="H1300" s="4" t="n">
        <v>711</v>
      </c>
      <c r="I1300" s="5" t="n">
        <v>28.1</v>
      </c>
      <c r="J1300" s="5" t="n">
        <v>29.2</v>
      </c>
      <c r="K1300" s="3" t="inlineStr">
        <is>
          <t>세종시 소재 토지를  저렴한 가격으로 확보 기회</t>
        </is>
      </c>
      <c r="L1300" s="6">
        <f>HYPERLINK("https://fin.land.naver.com/articles/2653482819", "매물Link")</f>
        <v/>
      </c>
      <c r="M1300" s="6">
        <f>HYPERLINK("https://map.naver.com/p/search/소정면 대곡리 43-1", "지도Link")</f>
        <v/>
      </c>
      <c r="N1300" s="6">
        <f>HYPERLINK("http://www.eum.go.kr/web/ar/lu/luLandDet.jsp?pnu=3611039023100430001&amp;isNoScr=script&amp;mode=search", "토지이음")</f>
        <v/>
      </c>
      <c r="O1300" s="3" t="inlineStr">
        <is>
          <t>봄날</t>
        </is>
      </c>
      <c r="P1300" s="4" t="n">
        <v>1</v>
      </c>
      <c r="Q1300" s="4" t="n">
        <v>2350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소정면 대곡리 471-4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7000</v>
      </c>
      <c r="G1301" s="4" t="n">
        <v>268</v>
      </c>
      <c r="H1301" s="4" t="n">
        <v>81</v>
      </c>
      <c r="I1301" s="5" t="n">
        <v>86.40000000000001</v>
      </c>
      <c r="J1301" s="5" t="n">
        <v>55.7</v>
      </c>
      <c r="K1301" s="3" t="inlineStr">
        <is>
          <t>소정면 대곡리 도로접 나대지 매매</t>
        </is>
      </c>
      <c r="L1301" s="6">
        <f>HYPERLINK("https://fin.land.naver.com/articles/2651993571", "매물Link")</f>
        <v/>
      </c>
      <c r="M1301" s="6">
        <f>HYPERLINK("https://map.naver.com/p/search/소정면 대곡리 471-4", "지도Link")</f>
        <v/>
      </c>
      <c r="N1301" s="6">
        <f>HYPERLINK("http://www.eum.go.kr/web/ar/lu/luLandDet.jsp?pnu=3611039023104710004&amp;isNoScr=script&amp;mode=search", "토지이음")</f>
        <v/>
      </c>
      <c r="O1301" s="3" t="inlineStr">
        <is>
          <t>재화</t>
        </is>
      </c>
      <c r="P1301" s="4" t="n">
        <v>1</v>
      </c>
      <c r="Q1301" s="4" t="n">
        <v>268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소정면 대곡리 471-4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7000</v>
      </c>
      <c r="G1302" s="4" t="n">
        <v>268</v>
      </c>
      <c r="H1302" s="4" t="n">
        <v>81</v>
      </c>
      <c r="I1302" s="5" t="n">
        <v>86.40000000000001</v>
      </c>
      <c r="J1302" s="5" t="n">
        <v>55.7</v>
      </c>
      <c r="K1302" s="3" t="inlineStr">
        <is>
          <t>소정면 대곡리 가격절충가능</t>
        </is>
      </c>
      <c r="L1302" s="6">
        <f>HYPERLINK("https://fin.land.naver.com/articles/2652933750", "매물Link")</f>
        <v/>
      </c>
      <c r="M1302" s="6">
        <f>HYPERLINK("https://map.naver.com/p/search/소정면 대곡리 471-4", "지도Link")</f>
        <v/>
      </c>
      <c r="N1302" s="6">
        <f>HYPERLINK("http://www.eum.go.kr/web/ar/lu/luLandDet.jsp?pnu=3611039023104710004&amp;isNoScr=script&amp;mode=search", "토지이음")</f>
        <v/>
      </c>
      <c r="O1302" s="3" t="inlineStr">
        <is>
          <t>88</t>
        </is>
      </c>
      <c r="P1302" s="4" t="n">
        <v>1</v>
      </c>
      <c r="Q1302" s="4" t="n">
        <v>268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소정면 대곡리 539-4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8900</v>
      </c>
      <c r="G1303" s="4" t="n">
        <v>1176</v>
      </c>
      <c r="H1303" s="4" t="n">
        <v>356</v>
      </c>
      <c r="I1303" s="5" t="n">
        <v>25</v>
      </c>
      <c r="J1303" s="5" t="n">
        <v>11.8</v>
      </c>
      <c r="K1303" s="3" t="inlineStr">
        <is>
          <t>nan</t>
        </is>
      </c>
      <c r="L1303" s="6">
        <f>HYPERLINK("https://fin.land.naver.com/articles/2655061325", "매물Link")</f>
        <v/>
      </c>
      <c r="M1303" s="6">
        <f>HYPERLINK("https://map.naver.com/p/search/소정면 대곡리 539-4", "지도Link")</f>
        <v/>
      </c>
      <c r="N1303" s="6">
        <f>HYPERLINK("http://www.eum.go.kr/web/ar/lu/luLandDet.jsp?pnu=3611039023105390004&amp;isNoScr=script&amp;mode=search", "토지이음")</f>
        <v/>
      </c>
      <c r="O1303" s="3" t="inlineStr">
        <is>
          <t>세종소담황금</t>
        </is>
      </c>
      <c r="P1303" s="4" t="n">
        <v>1</v>
      </c>
      <c r="Q1303" s="4" t="n">
        <v>850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소정면 대곡리 545-14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18000</v>
      </c>
      <c r="G1304" s="4" t="n">
        <v>2648</v>
      </c>
      <c r="H1304" s="4" t="n">
        <v>801</v>
      </c>
      <c r="I1304" s="5" t="n">
        <v>22.5</v>
      </c>
      <c r="J1304" s="5" t="n">
        <v>11</v>
      </c>
      <c r="K1304" s="3" t="inlineStr">
        <is>
          <t>소정면 대곡리 농림지역 토지매매</t>
        </is>
      </c>
      <c r="L1304" s="6">
        <f>HYPERLINK("https://fin.land.naver.com/articles/2650554152", "매물Link")</f>
        <v/>
      </c>
      <c r="M1304" s="6">
        <f>HYPERLINK("https://map.naver.com/p/search/소정면 대곡리 545-14", "지도Link")</f>
        <v/>
      </c>
      <c r="N1304" s="6">
        <f>HYPERLINK("http://www.eum.go.kr/web/ar/lu/luLandDet.jsp?pnu=3611039023105450014&amp;isNoScr=script&amp;mode=search", "토지이음")</f>
        <v/>
      </c>
      <c r="O1304" s="3" t="inlineStr">
        <is>
          <t>재화</t>
        </is>
      </c>
      <c r="P1304" s="4" t="n">
        <v>1</v>
      </c>
      <c r="Q1304" s="4" t="n">
        <v>1858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대곡리 545-14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</v>
      </c>
      <c r="G1305" s="4" t="n">
        <v>2648</v>
      </c>
      <c r="H1305" s="4" t="n">
        <v>801</v>
      </c>
      <c r="I1305" s="5" t="n">
        <v>22.5</v>
      </c>
      <c r="J1305" s="5" t="n">
        <v>11</v>
      </c>
      <c r="K1305" s="3" t="inlineStr">
        <is>
          <t>농지 초급매  세종시 농지 매도합니다. 대토추천</t>
        </is>
      </c>
      <c r="L1305" s="6">
        <f>HYPERLINK("https://fin.land.naver.com/articles/2652142064", "매물Link")</f>
        <v/>
      </c>
      <c r="M1305" s="6">
        <f>HYPERLINK("https://map.naver.com/p/search/소정면 대곡리 545-14", "지도Link")</f>
        <v/>
      </c>
      <c r="N1305" s="6">
        <f>HYPERLINK("http://www.eum.go.kr/web/ar/lu/luLandDet.jsp?pnu=3611039023105450014&amp;isNoScr=script&amp;mode=search",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1858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대곡리 산 38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40000</v>
      </c>
      <c r="G1306" s="4" t="n">
        <v>6545</v>
      </c>
      <c r="H1306" s="4" t="n">
        <v>1980</v>
      </c>
      <c r="I1306" s="5" t="n">
        <v>20.2</v>
      </c>
      <c r="J1306" s="5" t="n">
        <v>3.4</v>
      </c>
      <c r="K1306" s="3" t="inlineStr">
        <is>
          <t>2차선 도로변 인접한 임야</t>
        </is>
      </c>
      <c r="L1306" s="6">
        <f>HYPERLINK("https://fin.land.naver.com/articles/2651403499", "매물Link")</f>
        <v/>
      </c>
      <c r="M1306" s="6">
        <f>HYPERLINK("https://map.naver.com/p/search/소정면 대곡리 산 38", "지도Link")</f>
        <v/>
      </c>
      <c r="N1306" s="6">
        <f>HYPERLINK("http://www.eum.go.kr/web/ar/lu/luLandDet.jsp?pnu=3611039023200380000&amp;isNoScr=script&amp;mode=search", "토지이음")</f>
        <v/>
      </c>
      <c r="O1306" s="3" t="inlineStr">
        <is>
          <t>세종대박</t>
        </is>
      </c>
      <c r="P1306" s="4" t="n">
        <v>1</v>
      </c>
      <c r="Q1306" s="4" t="n">
        <v>6545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소정면 대곡리 산 5-1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150000</v>
      </c>
      <c r="G1307" s="4" t="n">
        <v>63570</v>
      </c>
      <c r="H1307" s="4" t="n">
        <v>19230</v>
      </c>
      <c r="I1307" s="5" t="n">
        <v>7.8</v>
      </c>
      <c r="J1307" s="5" t="n">
        <v>5.2</v>
      </c>
      <c r="K1307" s="3" t="inlineStr">
        <is>
          <t>소정면 대곡리 계획관리 임야, 저렴한가격, 개발용, 남천안IC 인근</t>
        </is>
      </c>
      <c r="L1307" s="6">
        <f>HYPERLINK("https://fin.land.naver.com/articles/2654025437", "매물Link")</f>
        <v/>
      </c>
      <c r="M1307" s="6">
        <f>HYPERLINK("https://map.naver.com/p/search/소정면 대곡리 산 5-1", "지도Link")</f>
        <v/>
      </c>
      <c r="N1307" s="6">
        <f>HYPERLINK("http://www.eum.go.kr/web/ar/lu/luLandDet.jsp?pnu=3611039023200050001&amp;isNoScr=script&amp;mode=search", "토지이음")</f>
        <v/>
      </c>
      <c r="O1307" s="3" t="inlineStr">
        <is>
          <t>스카이</t>
        </is>
      </c>
      <c r="P1307" s="4" t="n">
        <v>3</v>
      </c>
      <c r="Q1307" s="4" t="n">
        <v>63570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소정면 대곡리 산 5-1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150000</v>
      </c>
      <c r="G1308" s="4" t="n">
        <v>63570</v>
      </c>
      <c r="H1308" s="4" t="n">
        <v>19230</v>
      </c>
      <c r="I1308" s="5" t="n">
        <v>7.8</v>
      </c>
      <c r="J1308" s="5" t="n">
        <v>5.2</v>
      </c>
      <c r="K1308" s="3" t="inlineStr">
        <is>
          <t>올 계획관리지역</t>
        </is>
      </c>
      <c r="L1308" s="6">
        <f>HYPERLINK("https://fin.land.naver.com/articles/2652931285", "매물Link")</f>
        <v/>
      </c>
      <c r="M1308" s="6">
        <f>HYPERLINK("https://map.naver.com/p/search/소정면 대곡리 산 5-1", "지도Link")</f>
        <v/>
      </c>
      <c r="N1308" s="6">
        <f>HYPERLINK("http://www.eum.go.kr/web/ar/lu/luLandDet.jsp?pnu=3611039023200050001&amp;isNoScr=script&amp;mode=search", "토지이음")</f>
        <v/>
      </c>
      <c r="O1308" s="3" t="inlineStr">
        <is>
          <t>으뜸</t>
        </is>
      </c>
      <c r="P1308" s="4" t="n">
        <v>1</v>
      </c>
      <c r="Q1308" s="4" t="n">
        <v>63570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소정면 대곡리 산 5-1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150000</v>
      </c>
      <c r="G1309" s="4" t="n">
        <v>63570</v>
      </c>
      <c r="H1309" s="4" t="n">
        <v>19230</v>
      </c>
      <c r="I1309" s="5" t="n">
        <v>7.8</v>
      </c>
      <c r="J1309" s="5" t="n">
        <v>5.2</v>
      </c>
      <c r="K1309" s="3" t="inlineStr">
        <is>
          <t>소정면 대곡리 계획관리 도로접 임야 매매</t>
        </is>
      </c>
      <c r="L1309" s="6">
        <f>HYPERLINK("https://fin.land.naver.com/articles/2650758928", "매물Link")</f>
        <v/>
      </c>
      <c r="M1309" s="6">
        <f>HYPERLINK("https://map.naver.com/p/search/소정면 대곡리 산 5-1", "지도Link")</f>
        <v/>
      </c>
      <c r="N1309" s="6">
        <f>HYPERLINK("http://www.eum.go.kr/web/ar/lu/luLandDet.jsp?pnu=3611039023200050001&amp;isNoScr=script&amp;mode=search", "토지이음")</f>
        <v/>
      </c>
      <c r="O1309" s="3" t="inlineStr">
        <is>
          <t>재화</t>
        </is>
      </c>
      <c r="P1309" s="4" t="n">
        <v>1</v>
      </c>
      <c r="Q1309" s="4" t="n">
        <v>63570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소정면 대곡리 산51-12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300000</v>
      </c>
      <c r="G1310" s="4" t="n">
        <v>53456</v>
      </c>
      <c r="H1310" s="4" t="n">
        <v>16170</v>
      </c>
      <c r="I1310" s="5" t="n">
        <v>18.6</v>
      </c>
      <c r="J1310" s="5" t="n">
        <v>3.2</v>
      </c>
      <c r="K1310" s="3" t="inlineStr">
        <is>
          <t>소정면 대곡리 4차선 도로 옆 계획관리 토지, 남풍세 및 남천안IC</t>
        </is>
      </c>
      <c r="L1310" s="6">
        <f>HYPERLINK("https://fin.land.naver.com/articles/2654025524", "매물Link")</f>
        <v/>
      </c>
      <c r="M1310" s="6">
        <f>HYPERLINK("https://map.naver.com/p/search/소정면 대곡리 산51-12", "지도Link")</f>
        <v/>
      </c>
      <c r="N1310" s="6">
        <f>HYPERLINK("http://www.eum.go.kr/web/ar/lu/luLandDet.jsp?pnu=3611039023200510012&amp;isNoScr=script&amp;mode=search", "토지이음")</f>
        <v/>
      </c>
      <c r="O1310" s="3" t="inlineStr">
        <is>
          <t>스카이</t>
        </is>
      </c>
      <c r="P1310" s="4" t="n">
        <v>1</v>
      </c>
      <c r="Q1310" s="4" t="n">
        <v>3464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소정면 소정리 16-1</t>
        </is>
      </c>
      <c r="B1311" s="3" t="inlineStr">
        <is>
          <t>생산관리지역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26700</v>
      </c>
      <c r="G1311" s="4" t="n">
        <v>1762</v>
      </c>
      <c r="H1311" s="4" t="n">
        <v>533</v>
      </c>
      <c r="I1311" s="5" t="n">
        <v>50.1</v>
      </c>
      <c r="J1311" s="5" t="n">
        <v>24.6</v>
      </c>
      <c r="K1311" s="3" t="inlineStr">
        <is>
          <t>소정역 인근 모양좋은 생산관리 토지</t>
        </is>
      </c>
      <c r="L1311" s="6">
        <f>HYPERLINK("https://fin.land.naver.com/articles/2655065333", "매물Link")</f>
        <v/>
      </c>
      <c r="M1311" s="6">
        <f>HYPERLINK("https://map.naver.com/p/search/소정면 소정리 16-1", "지도Link")</f>
        <v/>
      </c>
      <c r="N1311" s="6">
        <f>HYPERLINK("http://www.eum.go.kr/web/ar/lu/luLandDet.jsp?pnu=3611039021100160001&amp;isNoScr=script&amp;mode=search", "토지이음")</f>
        <v/>
      </c>
      <c r="O1311" s="3" t="inlineStr">
        <is>
          <t>불당대동</t>
        </is>
      </c>
      <c r="P1311" s="4" t="n">
        <v>1</v>
      </c>
      <c r="Q1311" s="4" t="n">
        <v>1762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소정리 193-1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9000</v>
      </c>
      <c r="G1312" s="4" t="n">
        <v>172</v>
      </c>
      <c r="H1312" s="4" t="n">
        <v>52</v>
      </c>
      <c r="I1312" s="5" t="n">
        <v>173.1</v>
      </c>
      <c r="J1312" s="5" t="n">
        <v>98.40000000000001</v>
      </c>
      <c r="K1312" s="3" t="inlineStr">
        <is>
          <t>2차선 대로 접한 대지 매매, 주택,상가주택 부지.</t>
        </is>
      </c>
      <c r="L1312" s="6">
        <f>HYPERLINK("https://fin.land.naver.com/articles/2651318348", "매물Link")</f>
        <v/>
      </c>
      <c r="M1312" s="6">
        <f>HYPERLINK("https://map.naver.com/p/search/소정면 소정리 193-1", "지도Link")</f>
        <v/>
      </c>
      <c r="N1312" s="6">
        <f>HYPERLINK("http://www.eum.go.kr/web/ar/lu/luLandDet.jsp?pnu=3611039021101930001&amp;isNoScr=script&amp;mode=search", "토지이음")</f>
        <v/>
      </c>
      <c r="O1312" s="3" t="inlineStr">
        <is>
          <t>좋은</t>
        </is>
      </c>
      <c r="P1312" s="4" t="n">
        <v>1</v>
      </c>
      <c r="Q1312" s="4" t="n">
        <v>172.2</v>
      </c>
      <c r="R1312" s="3" t="inlineStr">
        <is>
          <t>지정되지않음</t>
        </is>
      </c>
      <c r="S1312" s="3" t="inlineStr">
        <is>
          <t>주상기타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중로한면</t>
        </is>
      </c>
    </row>
    <row r="1313">
      <c r="A1313" s="3" t="inlineStr">
        <is>
          <t>소정면 소정리 286-1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53400</v>
      </c>
      <c r="G1313" s="4" t="n">
        <v>1177</v>
      </c>
      <c r="H1313" s="4" t="n">
        <v>356</v>
      </c>
      <c r="I1313" s="5" t="n">
        <v>150</v>
      </c>
      <c r="J1313" s="5" t="n">
        <v>54.5</v>
      </c>
      <c r="K1313" s="3" t="inlineStr">
        <is>
          <t>소정면 소정리 2차선변 계획관리 토지, 남풍세IC, 근생 및 창고 건축</t>
        </is>
      </c>
      <c r="L1313" s="6">
        <f>HYPERLINK("https://fin.land.naver.com/articles/2654027408", "매물Link")</f>
        <v/>
      </c>
      <c r="M1313" s="6">
        <f>HYPERLINK("https://map.naver.com/p/search/소정면 소정리 286-1", "지도Link")</f>
        <v/>
      </c>
      <c r="N1313" s="6">
        <f>HYPERLINK("http://www.eum.go.kr/web/ar/lu/luLandDet.jsp?pnu=3611039021102860001&amp;isNoScr=script&amp;mode=search",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1177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중로한면</t>
        </is>
      </c>
    </row>
    <row r="1314">
      <c r="A1314" s="3" t="inlineStr">
        <is>
          <t>소정면 소정리 33-3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59000</v>
      </c>
      <c r="G1314" s="4" t="n">
        <v>1650</v>
      </c>
      <c r="H1314" s="4" t="n">
        <v>499</v>
      </c>
      <c r="I1314" s="5" t="n">
        <v>118.2</v>
      </c>
      <c r="J1314" s="5" t="n">
        <v>43.6</v>
      </c>
      <c r="K1314" s="3" t="inlineStr">
        <is>
          <t>초급매,도로접 계획관리,융복합미래도시 소정지구 도시개발구역,가격조정가능</t>
        </is>
      </c>
      <c r="L1314" s="6">
        <f>HYPERLINK("https://fin.land.naver.com/articles/2652437429", "매물Link")</f>
        <v/>
      </c>
      <c r="M1314" s="6">
        <f>HYPERLINK("https://map.naver.com/p/search/소정면 소정리 33-3", "지도Link")</f>
        <v/>
      </c>
      <c r="N1314" s="6">
        <f>HYPERLINK("http://www.eum.go.kr/web/ar/lu/luLandDet.jsp?pnu=3611039021100330003&amp;isNoScr=script&amp;mode=search", "토지이음")</f>
        <v/>
      </c>
      <c r="O1314" s="3" t="inlineStr">
        <is>
          <t>고운맘</t>
        </is>
      </c>
      <c r="P1314" s="4" t="n">
        <v>1</v>
      </c>
      <c r="Q1314" s="4" t="n">
        <v>660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소정면 소정리 371-2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100905</v>
      </c>
      <c r="G1315" s="4" t="n">
        <v>9527</v>
      </c>
      <c r="H1315" s="4" t="n">
        <v>2882</v>
      </c>
      <c r="I1315" s="5" t="n">
        <v>35</v>
      </c>
      <c r="J1315" s="5" t="n">
        <v>12.7</v>
      </c>
      <c r="K1315" s="3" t="inlineStr">
        <is>
          <t>1번국도 소정2리 교차로 접한토지</t>
        </is>
      </c>
      <c r="L1315" s="6">
        <f>HYPERLINK("https://fin.land.naver.com/articles/2652375202", "매물Link")</f>
        <v/>
      </c>
      <c r="M1315" s="6">
        <f>HYPERLINK("https://map.naver.com/p/search/소정면 소정리 371-2", "지도Link")</f>
        <v/>
      </c>
      <c r="N1315" s="6">
        <f>HYPERLINK("http://www.eum.go.kr/web/ar/lu/luLandDet.jsp?pnu=3611039021103710002&amp;isNoScr=script&amp;mode=search", "토지이음")</f>
        <v/>
      </c>
      <c r="O1315" s="3" t="inlineStr">
        <is>
          <t>가람</t>
        </is>
      </c>
      <c r="P1315" s="4" t="n">
        <v>1</v>
      </c>
      <c r="Q1315" s="4" t="n">
        <v>3515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소정면 소정리 409-3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</v>
      </c>
      <c r="G1316" s="4" t="n">
        <v>364</v>
      </c>
      <c r="H1316" s="4" t="n">
        <v>110</v>
      </c>
      <c r="I1316" s="5" t="n">
        <v>100</v>
      </c>
      <c r="J1316" s="5" t="n">
        <v>54.8</v>
      </c>
      <c r="K1316" s="3" t="inlineStr">
        <is>
          <t>주택신축 하는데 딱 이정도면 되지않을까요</t>
        </is>
      </c>
      <c r="L1316" s="6">
        <f>HYPERLINK("https://fin.land.naver.com/articles/2654842253", "매물Link")</f>
        <v/>
      </c>
      <c r="M1316" s="6">
        <f>HYPERLINK("https://map.naver.com/p/search/소정면 소정리 409-3", "지도Link")</f>
        <v/>
      </c>
      <c r="N1316" s="6">
        <f>HYPERLINK("http://www.eum.go.kr/web/ar/lu/luLandDet.jsp?pnu=3611039021104090003&amp;isNoScr=script&amp;mode=search",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331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소정리 451-1</t>
        </is>
      </c>
      <c r="B1317" s="3" t="inlineStr">
        <is>
          <t>계획관리지역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85000</v>
      </c>
      <c r="G1317" s="4" t="n">
        <v>2734</v>
      </c>
      <c r="H1317" s="4" t="n">
        <v>827</v>
      </c>
      <c r="I1317" s="5" t="n">
        <v>102.8</v>
      </c>
      <c r="J1317" s="5" t="n">
        <v>28.6</v>
      </c>
      <c r="K1317" s="3" t="inlineStr">
        <is>
          <t>(명당추천)천안아산역 15km 15분 분할 가능한 전원주택 매매</t>
        </is>
      </c>
      <c r="L1317" s="6">
        <f>HYPERLINK("https://fin.land.naver.com/articles/2652708398", "매물Link")</f>
        <v/>
      </c>
      <c r="M1317" s="6">
        <f>HYPERLINK("https://map.naver.com/p/search/소정면 소정리 451-1", "지도Link")</f>
        <v/>
      </c>
      <c r="N1317" s="6">
        <f>HYPERLINK("http://www.eum.go.kr/web/ar/lu/luLandDet.jsp?pnu=3611039021104510001&amp;isNoScr=script&amp;mode=search", "토지이음")</f>
        <v/>
      </c>
      <c r="O1317" s="3" t="inlineStr">
        <is>
          <t>올라</t>
        </is>
      </c>
      <c r="P1317" s="4" t="n">
        <v>1</v>
      </c>
      <c r="Q1317" s="4" t="n">
        <v>2734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소정면 소정리 49-12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66000</v>
      </c>
      <c r="G1318" s="4" t="n">
        <v>992</v>
      </c>
      <c r="H1318" s="4" t="n">
        <v>300</v>
      </c>
      <c r="I1318" s="5" t="n">
        <v>220</v>
      </c>
      <c r="J1318" s="5" t="n">
        <v>96</v>
      </c>
      <c r="K1318" s="3" t="inlineStr">
        <is>
          <t>2차선 도로에 붙은 정사각형  토지 매매</t>
        </is>
      </c>
      <c r="L1318" s="6">
        <f>HYPERLINK("https://fin.land.naver.com/articles/2653287756", "매물Link")</f>
        <v/>
      </c>
      <c r="M1318" s="6">
        <f>HYPERLINK("https://map.naver.com/p/search/소정면 소정리 49-12", "지도Link")</f>
        <v/>
      </c>
      <c r="N1318" s="6">
        <f>HYPERLINK("http://www.eum.go.kr/web/ar/lu/luLandDet.jsp?pnu=3611039021100490012&amp;isNoScr=script&amp;mode=search", "토지이음")</f>
        <v/>
      </c>
      <c r="O1318" s="3" t="inlineStr">
        <is>
          <t>주식회사넥서스</t>
        </is>
      </c>
      <c r="P1318" s="4" t="n">
        <v>2</v>
      </c>
      <c r="Q1318" s="4" t="n">
        <v>992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중로한면</t>
        </is>
      </c>
    </row>
    <row r="1319">
      <c r="A1319" s="3" t="inlineStr">
        <is>
          <t>소정면 소정리 492-7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22900</v>
      </c>
      <c r="G1319" s="4" t="n">
        <v>637</v>
      </c>
      <c r="H1319" s="4" t="n">
        <v>193</v>
      </c>
      <c r="I1319" s="5" t="n">
        <v>118.7</v>
      </c>
      <c r="J1319" s="5" t="n">
        <v>60.2</v>
      </c>
      <c r="K1319" s="3" t="inlineStr">
        <is>
          <t>급매 세종소정리 계획관리 도로접 대지 전원주택 주말농장 농촌체류형쉼터</t>
        </is>
      </c>
      <c r="L1319" s="6">
        <f>HYPERLINK("https://fin.land.naver.com/articles/2652667055", "매물Link")</f>
        <v/>
      </c>
      <c r="M1319" s="6">
        <f>HYPERLINK("https://map.naver.com/p/search/소정면 소정리 492-7", "지도Link")</f>
        <v/>
      </c>
      <c r="N1319" s="6">
        <f>HYPERLINK("http://www.eum.go.kr/web/ar/lu/luLandDet.jsp?pnu=3611039021104920007&amp;isNoScr=script&amp;mode=search", "토지이음")</f>
        <v/>
      </c>
      <c r="O1319" s="3" t="inlineStr">
        <is>
          <t>천안삼거리</t>
        </is>
      </c>
      <c r="P1319" s="4" t="n">
        <v>1</v>
      </c>
      <c r="Q1319" s="4" t="n">
        <v>637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소정리 492-7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22900</v>
      </c>
      <c r="G1320" s="4" t="n">
        <v>638</v>
      </c>
      <c r="H1320" s="4" t="n">
        <v>193</v>
      </c>
      <c r="I1320" s="5" t="n">
        <v>118.7</v>
      </c>
      <c r="J1320" s="5" t="n">
        <v>60.2</v>
      </c>
      <c r="K1320" s="3" t="inlineStr">
        <is>
          <t>모양좋은 저렴한 나대지 매매</t>
        </is>
      </c>
      <c r="L1320" s="6">
        <f>HYPERLINK("https://fin.land.naver.com/articles/2653195383", "매물Link")</f>
        <v/>
      </c>
      <c r="M1320" s="6">
        <f>HYPERLINK("https://map.naver.com/p/search/소정면 소정리 492-7", "지도Link")</f>
        <v/>
      </c>
      <c r="N1320" s="6">
        <f>HYPERLINK("http://www.eum.go.kr/web/ar/lu/luLandDet.jsp?pnu=3611039021104920007&amp;isNoScr=script&amp;mode=search", "토지이음")</f>
        <v/>
      </c>
      <c r="O1320" s="3" t="inlineStr">
        <is>
          <t>THE행복</t>
        </is>
      </c>
      <c r="P1320" s="4" t="n">
        <v>2</v>
      </c>
      <c r="Q1320" s="4" t="n">
        <v>637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소정리 511-10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59000</v>
      </c>
      <c r="G1321" s="4" t="n">
        <v>6301</v>
      </c>
      <c r="H1321" s="4" t="n">
        <v>1906</v>
      </c>
      <c r="I1321" s="5" t="n">
        <v>31</v>
      </c>
      <c r="J1321" s="5" t="n">
        <v>4.8</v>
      </c>
      <c r="K1321" s="3" t="inlineStr">
        <is>
          <t>남풍세ic 차량1분거리 도로접 토지매매</t>
        </is>
      </c>
      <c r="L1321" s="6">
        <f>HYPERLINK("https://fin.land.naver.com/articles/2653671381", "매물Link")</f>
        <v/>
      </c>
      <c r="M1321" s="6">
        <f>HYPERLINK("https://map.naver.com/p/search/소정면 소정리 511-10", "지도Link")</f>
        <v/>
      </c>
      <c r="N1321" s="6">
        <f>HYPERLINK("http://www.eum.go.kr/web/ar/lu/luLandDet.jsp?pnu=3611039021105110010&amp;isNoScr=script&amp;mode=search", "토지이음")</f>
        <v/>
      </c>
      <c r="O1321" s="3" t="inlineStr">
        <is>
          <t>다모아</t>
        </is>
      </c>
      <c r="P1321" s="4" t="n">
        <v>2</v>
      </c>
      <c r="Q1321" s="4" t="n">
        <v>6301</v>
      </c>
      <c r="R1321" s="3" t="inlineStr">
        <is>
          <t>지정되지않음</t>
        </is>
      </c>
      <c r="S1321" s="3" t="inlineStr">
        <is>
          <t>자연림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소정리 512-2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29000</v>
      </c>
      <c r="G1322" s="4" t="n">
        <v>946</v>
      </c>
      <c r="H1322" s="4" t="n">
        <v>286</v>
      </c>
      <c r="I1322" s="5" t="n">
        <v>101.4</v>
      </c>
      <c r="J1322" s="5" t="n">
        <v>23.8</v>
      </c>
      <c r="K1322" s="3" t="inlineStr">
        <is>
          <t>도로접한 관리지역 토지 매매</t>
        </is>
      </c>
      <c r="L1322" s="6">
        <f>HYPERLINK("https://fin.land.naver.com/articles/2650856657", "매물Link")</f>
        <v/>
      </c>
      <c r="M1322" s="6">
        <f>HYPERLINK("https://map.naver.com/p/search/소정면 소정리 512-2", "지도Link")</f>
        <v/>
      </c>
      <c r="N1322" s="6">
        <f>HYPERLINK("http://www.eum.go.kr/web/ar/lu/luLandDet.jsp?pnu=3611039021105120002&amp;isNoScr=script&amp;mode=search", "토지이음")</f>
        <v/>
      </c>
      <c r="O1322" s="3" t="inlineStr">
        <is>
          <t>세종대박</t>
        </is>
      </c>
      <c r="P1322" s="4" t="n">
        <v>1</v>
      </c>
      <c r="Q1322" s="4" t="n">
        <v>946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소정리 77-1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40000</v>
      </c>
      <c r="G1323" s="4" t="n">
        <v>3202</v>
      </c>
      <c r="H1323" s="4" t="n">
        <v>969</v>
      </c>
      <c r="I1323" s="5" t="n">
        <v>41.3</v>
      </c>
      <c r="J1323" s="5" t="n">
        <v>11.5</v>
      </c>
      <c r="K1323" s="3" t="inlineStr">
        <is>
          <t>스마트팜 농장 매매. 시설비 금액별도</t>
        </is>
      </c>
      <c r="L1323" s="6">
        <f>HYPERLINK("https://fin.land.naver.com/articles/2653248680", "매물Link")</f>
        <v/>
      </c>
      <c r="M1323" s="6">
        <f>HYPERLINK("https://map.naver.com/p/search/소정면 소정리 77-1", "지도Link")</f>
        <v/>
      </c>
      <c r="N1323" s="6">
        <f>HYPERLINK("http://www.eum.go.kr/web/ar/lu/luLandDet.jsp?pnu=3611039021100770001&amp;isNoScr=script&amp;mode=search", "토지이음")</f>
        <v/>
      </c>
      <c r="O1323" s="3" t="inlineStr">
        <is>
          <t>주식회사넥서스</t>
        </is>
      </c>
      <c r="P1323" s="4" t="n">
        <v>1</v>
      </c>
      <c r="Q1323" s="4" t="n">
        <v>1738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소정면 소정리 86-2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4200</v>
      </c>
      <c r="G1324" s="4" t="n">
        <v>690</v>
      </c>
      <c r="H1324" s="4" t="n">
        <v>209</v>
      </c>
      <c r="I1324" s="5" t="n">
        <v>20.1</v>
      </c>
      <c r="J1324" s="5" t="n">
        <v>11.7</v>
      </c>
      <c r="K1324" s="3" t="inlineStr">
        <is>
          <t>남풍세IC 접근 좋은 포장농로 접한 평탄 농지</t>
        </is>
      </c>
      <c r="L1324" s="6">
        <f>HYPERLINK("https://fin.land.naver.com/articles/2655066462", "매물Link")</f>
        <v/>
      </c>
      <c r="M1324" s="6">
        <f>HYPERLINK("https://map.naver.com/p/search/소정면 소정리 86-2", "지도Link")</f>
        <v/>
      </c>
      <c r="N1324" s="6">
        <f>HYPERLINK("http://www.eum.go.kr/web/ar/lu/luLandDet.jsp?pnu=3611039021100860002&amp;isNoScr=script&amp;mode=search",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691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세로한면(가)</t>
        </is>
      </c>
    </row>
    <row r="1325">
      <c r="A1325" s="3" t="inlineStr">
        <is>
          <t>소정면 소정리 91-2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21000</v>
      </c>
      <c r="G1325" s="4" t="n">
        <v>1983</v>
      </c>
      <c r="H1325" s="4" t="n">
        <v>600</v>
      </c>
      <c r="I1325" s="5" t="n">
        <v>35</v>
      </c>
      <c r="J1325" s="5" t="n">
        <v>12.5</v>
      </c>
      <c r="K1325" s="3" t="inlineStr">
        <is>
          <t>소정리 저렴한 농지 대토 추천 복토해서 밭으로 사용중입니다</t>
        </is>
      </c>
      <c r="L1325" s="6">
        <f>HYPERLINK("https://fin.land.naver.com/articles/2654338920", "매물Link")</f>
        <v/>
      </c>
      <c r="M1325" s="6">
        <f>HYPERLINK("https://map.naver.com/p/search/소정면 소정리 91-2", "지도Link")</f>
        <v/>
      </c>
      <c r="N1325" s="6">
        <f>HYPERLINK("http://www.eum.go.kr/web/ar/lu/luLandDet.jsp?pnu=3611039021100910002&amp;isNoScr=script&amp;mode=search", "토지이음")</f>
        <v/>
      </c>
      <c r="O1325" s="3" t="inlineStr">
        <is>
          <t>OK수</t>
        </is>
      </c>
      <c r="P1325" s="4" t="n">
        <v>1</v>
      </c>
      <c r="Q1325" s="4" t="n">
        <v>1983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소정면 운당리 142-3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47850</v>
      </c>
      <c r="G1326" s="4" t="n">
        <v>1438</v>
      </c>
      <c r="H1326" s="4" t="n">
        <v>435</v>
      </c>
      <c r="I1326" s="5" t="n">
        <v>110</v>
      </c>
      <c r="J1326" s="5" t="n">
        <v>42.6</v>
      </c>
      <c r="K1326" s="3" t="inlineStr">
        <is>
          <t>행정 수도 이전 완료 시 개발 이익 및 지가 상승 선취매 강력 추천 매물</t>
        </is>
      </c>
      <c r="L1326" s="6">
        <f>HYPERLINK("https://fin.land.naver.com/articles/2654901033", "매물Link")</f>
        <v/>
      </c>
      <c r="M1326" s="6">
        <f>HYPERLINK("https://map.naver.com/p/search/소정면 운당리 142-3", "지도Link")</f>
        <v/>
      </c>
      <c r="N1326" s="6">
        <f>HYPERLINK("http://www.eum.go.kr/web/ar/lu/luLandDet.jsp?pnu=3611039022101420003&amp;isNoScr=script&amp;mode=search", "토지이음")</f>
        <v/>
      </c>
      <c r="O1326" s="3" t="inlineStr">
        <is>
          <t>자이</t>
        </is>
      </c>
      <c r="P1326" s="4" t="n">
        <v>1</v>
      </c>
      <c r="Q1326" s="4" t="n">
        <v>1438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세로각지(가)</t>
        </is>
      </c>
    </row>
    <row r="1327">
      <c r="A1327" s="3" t="inlineStr">
        <is>
          <t>소정면 운당리 200-2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5000</v>
      </c>
      <c r="G1327" s="4" t="n">
        <v>552</v>
      </c>
      <c r="H1327" s="4" t="n">
        <v>167</v>
      </c>
      <c r="I1327" s="5" t="n">
        <v>29.9</v>
      </c>
      <c r="J1327" s="5" t="n">
        <v>13.7</v>
      </c>
      <c r="K1327" s="3" t="inlineStr">
        <is>
          <t>대토용으로 추천합니다.</t>
        </is>
      </c>
      <c r="L1327" s="6">
        <f>HYPERLINK("https://fin.land.naver.com/articles/2652931409", "매물Link")</f>
        <v/>
      </c>
      <c r="M1327" s="6">
        <f>HYPERLINK("https://map.naver.com/p/search/소정면 운당리 200-2", "지도Link")</f>
        <v/>
      </c>
      <c r="N1327" s="6">
        <f>HYPERLINK("http://www.eum.go.kr/web/ar/lu/luLandDet.jsp?pnu=3611039022102000002&amp;isNoScr=script&amp;mode=search", "토지이음")</f>
        <v/>
      </c>
      <c r="O1327" s="3" t="inlineStr">
        <is>
          <t>으뜸</t>
        </is>
      </c>
      <c r="P1327" s="4" t="n">
        <v>1</v>
      </c>
      <c r="Q1327" s="4" t="n">
        <v>552</v>
      </c>
      <c r="R1327" s="3" t="inlineStr">
        <is>
          <t>지정되지않음</t>
        </is>
      </c>
      <c r="S1327" s="3" t="inlineStr">
        <is>
          <t>답기타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세로한면(가)</t>
        </is>
      </c>
    </row>
    <row r="1328">
      <c r="A1328" s="3" t="inlineStr">
        <is>
          <t>소정면 운당리 206-8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24000</v>
      </c>
      <c r="G1328" s="4" t="n">
        <v>662</v>
      </c>
      <c r="H1328" s="4" t="n">
        <v>200</v>
      </c>
      <c r="I1328" s="5" t="n">
        <v>120</v>
      </c>
      <c r="J1328" s="5" t="n">
        <v>38.1</v>
      </c>
      <c r="K1328" s="3" t="inlineStr">
        <is>
          <t>건축가능한 토지, 계획관리지역</t>
        </is>
      </c>
      <c r="L1328" s="6">
        <f>HYPERLINK("https://fin.land.naver.com/articles/2650856645", "매물Link")</f>
        <v/>
      </c>
      <c r="M1328" s="6">
        <f>HYPERLINK("https://map.naver.com/p/search/소정면 운당리 206-8", "지도Link")</f>
        <v/>
      </c>
      <c r="N1328" s="6">
        <f>HYPERLINK("http://www.eum.go.kr/web/ar/lu/luLandDet.jsp?pnu=3611039022102060008&amp;isNoScr=script&amp;mode=search", "토지이음")</f>
        <v/>
      </c>
      <c r="O1328" s="3" t="inlineStr">
        <is>
          <t>세종대박</t>
        </is>
      </c>
      <c r="P1328" s="4" t="n">
        <v>1</v>
      </c>
      <c r="Q1328" s="4" t="n">
        <v>662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소정면 운당리 227-2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24920</v>
      </c>
      <c r="G1329" s="4" t="n">
        <v>1030</v>
      </c>
      <c r="H1329" s="4" t="n">
        <v>312</v>
      </c>
      <c r="I1329" s="5" t="n">
        <v>79.90000000000001</v>
      </c>
      <c r="J1329" s="5" t="n">
        <v>40.5</v>
      </c>
      <c r="K1329" s="3" t="inlineStr">
        <is>
          <t>nan</t>
        </is>
      </c>
      <c r="L1329" s="6">
        <f>HYPERLINK("https://fin.land.naver.com/articles/2652198696", "매물Link")</f>
        <v/>
      </c>
      <c r="M1329" s="6">
        <f>HYPERLINK("https://map.naver.com/p/search/소정면 운당리 227-2", "지도Link")</f>
        <v/>
      </c>
      <c r="N1329" s="6">
        <f>HYPERLINK("http://www.eum.go.kr/web/ar/lu/luLandDet.jsp?pnu=3611039022102270002&amp;isNoScr=script&amp;mode=search", "토지이음")</f>
        <v/>
      </c>
      <c r="O1329" s="3" t="inlineStr">
        <is>
          <t>잘살아보세</t>
        </is>
      </c>
      <c r="P1329" s="4" t="n">
        <v>1</v>
      </c>
      <c r="Q1329" s="4" t="n">
        <v>1030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세로한면(가)</t>
        </is>
      </c>
    </row>
    <row r="1330">
      <c r="A1330" s="3" t="inlineStr">
        <is>
          <t>소정면 운당리 278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40000</v>
      </c>
      <c r="G1330" s="4" t="n">
        <v>8552</v>
      </c>
      <c r="H1330" s="4" t="n">
        <v>2587</v>
      </c>
      <c r="I1330" s="5" t="n">
        <v>15.5</v>
      </c>
      <c r="J1330" s="5" t="n">
        <v>25.4</v>
      </c>
      <c r="K1330" s="3" t="inlineStr">
        <is>
          <t>공시지가 이하 소정면 운당리 계획관리 토지매매</t>
        </is>
      </c>
      <c r="L1330" s="6">
        <f>HYPERLINK("https://fin.land.naver.com/articles/2653341272", "매물Link")</f>
        <v/>
      </c>
      <c r="M1330" s="6">
        <f>HYPERLINK("https://map.naver.com/p/search/소정면 운당리 278", "지도Link")</f>
        <v/>
      </c>
      <c r="N1330" s="6">
        <f>HYPERLINK("http://www.eum.go.kr/web/ar/lu/luLandDet.jsp?pnu=3611039022102780000&amp;isNoScr=script&amp;mode=search", "토지이음")</f>
        <v/>
      </c>
      <c r="O1330" s="3" t="inlineStr">
        <is>
          <t>재화</t>
        </is>
      </c>
      <c r="P1330" s="4" t="n">
        <v>1</v>
      </c>
      <c r="Q1330" s="4" t="n">
        <v>1610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소정면 운당리 81-4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전</t>
        </is>
      </c>
      <c r="E1331" s="3" t="inlineStr">
        <is>
          <t>매매</t>
        </is>
      </c>
      <c r="F1331" s="4" t="n">
        <v>986000</v>
      </c>
      <c r="G1331" s="4" t="n">
        <v>19173</v>
      </c>
      <c r="H1331" s="4" t="n">
        <v>5800</v>
      </c>
      <c r="I1331" s="5" t="n">
        <v>170</v>
      </c>
      <c r="J1331" s="5" t="n">
        <v>4.9</v>
      </c>
      <c r="K1331" s="3" t="inlineStr">
        <is>
          <t>공장허가 완료 금속제조 창고 적합 대면적 부지</t>
        </is>
      </c>
      <c r="L1331" s="6">
        <f>HYPERLINK("https://fin.land.naver.com/articles/2655046472", "매물Link")</f>
        <v/>
      </c>
      <c r="M1331" s="6">
        <f>HYPERLINK("https://map.naver.com/p/search/소정면 운당리 81-4", "지도Link")</f>
        <v/>
      </c>
      <c r="N1331" s="6">
        <f>HYPERLINK("http://www.eum.go.kr/web/ar/lu/luLandDet.jsp?pnu=3611039022100810004&amp;isNoScr=script&amp;mode=search", "토지이음")</f>
        <v/>
      </c>
      <c r="O1331" s="3" t="inlineStr">
        <is>
          <t>세종소담황금</t>
        </is>
      </c>
      <c r="P1331" s="4" t="n">
        <v>1</v>
      </c>
      <c r="Q1331" s="4" t="n">
        <v>18457</v>
      </c>
      <c r="R1331" s="3" t="inlineStr">
        <is>
          <t>농림지역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운당리 96-1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36000</v>
      </c>
      <c r="G1332" s="4" t="n">
        <v>2297</v>
      </c>
      <c r="H1332" s="4" t="n">
        <v>695</v>
      </c>
      <c r="I1332" s="5" t="n">
        <v>51.8</v>
      </c>
      <c r="J1332" s="5" t="n">
        <v>23.2</v>
      </c>
      <c r="K1332" s="3" t="inlineStr">
        <is>
          <t>농가주택, 농업시설추천, 톨게이트인근</t>
        </is>
      </c>
      <c r="L1332" s="6">
        <f>HYPERLINK("https://fin.land.naver.com/articles/2653333039", "매물Link")</f>
        <v/>
      </c>
      <c r="M1332" s="6">
        <f>HYPERLINK("https://map.naver.com/p/search/소정면 운당리 96-1", "지도Link")</f>
        <v/>
      </c>
      <c r="N1332" s="6">
        <f>HYPERLINK("http://www.eum.go.kr/web/ar/lu/luLandDet.jsp?pnu=3611039022100960001&amp;isNoScr=script&amp;mode=search", "토지이음")</f>
        <v/>
      </c>
      <c r="O1332" s="3" t="inlineStr">
        <is>
          <t>도시</t>
        </is>
      </c>
      <c r="P1332" s="4" t="n">
        <v>1</v>
      </c>
      <c r="Q1332" s="4" t="n">
        <v>1149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아름동 1016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51000</v>
      </c>
      <c r="G1333" s="4" t="n">
        <v>291</v>
      </c>
      <c r="H1333" s="4" t="n">
        <v>88</v>
      </c>
      <c r="I1333" s="5" t="n">
        <v>579.5</v>
      </c>
      <c r="J1333" s="5" t="n">
        <v>331.9</v>
      </c>
      <c r="K1333" s="3" t="inlineStr">
        <is>
          <t>동문에 남향 집 지을 수 있는 땅</t>
        </is>
      </c>
      <c r="L1333" s="6">
        <f>HYPERLINK("https://fin.land.naver.com/articles/2652409741", "매물Link")</f>
        <v/>
      </c>
      <c r="M1333" s="6">
        <f>HYPERLINK("https://map.naver.com/p/search/아름동 1016", "지도Link")</f>
        <v/>
      </c>
      <c r="N1333" s="6">
        <f>HYPERLINK("http://www.eum.go.kr/web/ar/lu/luLandDet.jsp?pnu=3611011300110160000&amp;isNoScr=script&amp;mode=search", "토지이음")</f>
        <v/>
      </c>
      <c r="O1333" s="3" t="inlineStr">
        <is>
          <t>세종다정랜드</t>
        </is>
      </c>
      <c r="P1333" s="4" t="n">
        <v>1</v>
      </c>
      <c r="Q1333" s="4" t="n">
        <v>291.5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소로한면</t>
        </is>
      </c>
    </row>
    <row r="1334">
      <c r="A1334" s="3" t="inlineStr">
        <is>
          <t>아름동 1037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331</v>
      </c>
      <c r="H1334" s="4" t="n">
        <v>100</v>
      </c>
      <c r="I1334" s="5" t="n">
        <v>650</v>
      </c>
      <c r="J1334" s="5" t="n">
        <v>335.5</v>
      </c>
      <c r="K1334" s="3" t="inlineStr">
        <is>
          <t>총 100.5p, 위치좋은 아름동 단독주택지 토지</t>
        </is>
      </c>
      <c r="L1334" s="6">
        <f>HYPERLINK("https://fin.land.naver.com/articles/2654923828", "매물Link")</f>
        <v/>
      </c>
      <c r="M1334" s="6">
        <f>HYPERLINK("https://map.naver.com/p/search/아름동 1037", "지도Link")</f>
        <v/>
      </c>
      <c r="N1334" s="6">
        <f>HYPERLINK("http://www.eum.go.kr/web/ar/lu/luLandDet.jsp?pnu=3611011300110370000&amp;isNoScr=script&amp;mode=search", "토지이음")</f>
        <v/>
      </c>
      <c r="O1334" s="3" t="inlineStr">
        <is>
          <t>명진</t>
        </is>
      </c>
      <c r="P1334" s="4" t="n">
        <v>1</v>
      </c>
      <c r="Q1334" s="4" t="n">
        <v>331.9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1037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65000</v>
      </c>
      <c r="G1335" s="4" t="n">
        <v>331</v>
      </c>
      <c r="H1335" s="4" t="n">
        <v>100</v>
      </c>
      <c r="I1335" s="5" t="n">
        <v>650</v>
      </c>
      <c r="J1335" s="5" t="n">
        <v>335.5</v>
      </c>
      <c r="K1335" s="3" t="inlineStr">
        <is>
          <t>전용100.5p, 국제고인근, 아름동 단독주택지</t>
        </is>
      </c>
      <c r="L1335" s="6">
        <f>HYPERLINK("https://fin.land.naver.com/articles/2652837740", "매물Link")</f>
        <v/>
      </c>
      <c r="M1335" s="6">
        <f>HYPERLINK("https://map.naver.com/p/search/아름동 1037", "지도Link")</f>
        <v/>
      </c>
      <c r="N1335" s="6">
        <f>HYPERLINK("http://www.eum.go.kr/web/ar/lu/luLandDet.jsp?pnu=3611011300110370000&amp;isNoScr=script&amp;mode=search", "토지이음")</f>
        <v/>
      </c>
      <c r="O1335" s="3" t="inlineStr">
        <is>
          <t>세종무지개</t>
        </is>
      </c>
      <c r="P1335" s="4" t="n">
        <v>1</v>
      </c>
      <c r="Q1335" s="4" t="n">
        <v>331.9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1049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83000</v>
      </c>
      <c r="G1336" s="4" t="n">
        <v>363</v>
      </c>
      <c r="H1336" s="4" t="n">
        <v>110</v>
      </c>
      <c r="I1336" s="5" t="n">
        <v>754.5</v>
      </c>
      <c r="J1336" s="5" t="n">
        <v>366.6</v>
      </c>
      <c r="K1336" s="3" t="inlineStr">
        <is>
          <t>nan</t>
        </is>
      </c>
      <c r="L1336" s="6">
        <f>HYPERLINK("https://fin.land.naver.com/articles/2652410495", "매물Link")</f>
        <v/>
      </c>
      <c r="M1336" s="6">
        <f>HYPERLINK("https://map.naver.com/p/search/아름동 1049", "지도Link")</f>
        <v/>
      </c>
      <c r="N1336" s="6">
        <f>HYPERLINK("http://www.eum.go.kr/web/ar/lu/luLandDet.jsp?pnu=3611011300110490000&amp;isNoScr=script&amp;mode=search", "토지이음")</f>
        <v/>
      </c>
      <c r="O1336" s="3" t="inlineStr">
        <is>
          <t>생명나무</t>
        </is>
      </c>
      <c r="P1336" s="4" t="n">
        <v>1</v>
      </c>
      <c r="Q1336" s="4" t="n">
        <v>363.6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아름동 1079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65000</v>
      </c>
      <c r="G1337" s="4" t="n">
        <v>357</v>
      </c>
      <c r="H1337" s="4" t="n">
        <v>108</v>
      </c>
      <c r="I1337" s="5" t="n">
        <v>601.9</v>
      </c>
      <c r="J1337" s="5" t="n">
        <v>353.1</v>
      </c>
      <c r="K1337" s="3" t="inlineStr">
        <is>
          <t>위치최상 벙커주차장가능 언덕 탁트인시야</t>
        </is>
      </c>
      <c r="L1337" s="6">
        <f>HYPERLINK("https://fin.land.naver.com/articles/2653670515", "매물Link")</f>
        <v/>
      </c>
      <c r="M1337" s="6">
        <f>HYPERLINK("https://map.naver.com/p/search/아름동 1079", "지도Link")</f>
        <v/>
      </c>
      <c r="N1337" s="6">
        <f>HYPERLINK("http://www.eum.go.kr/web/ar/lu/luLandDet.jsp?pnu=3611011300110790000&amp;isNoScr=script&amp;mode=search", "토지이음")</f>
        <v/>
      </c>
      <c r="O1337" s="3" t="inlineStr">
        <is>
          <t>세종스타</t>
        </is>
      </c>
      <c r="P1337" s="4" t="n">
        <v>1</v>
      </c>
      <c r="Q1337" s="4" t="n">
        <v>357.1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1116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83000</v>
      </c>
      <c r="G1338" s="4" t="n">
        <v>359</v>
      </c>
      <c r="H1338" s="4" t="n">
        <v>109</v>
      </c>
      <c r="I1338" s="5" t="n">
        <v>761.5</v>
      </c>
      <c r="J1338" s="5" t="n">
        <v>373.9</v>
      </c>
      <c r="K1338" s="3" t="inlineStr">
        <is>
          <t>총 108.9p, 사거리코너 위치좋은 입지</t>
        </is>
      </c>
      <c r="L1338" s="6">
        <f>HYPERLINK("https://fin.land.naver.com/articles/2653682969", "매물Link")</f>
        <v/>
      </c>
      <c r="M1338" s="6">
        <f>HYPERLINK("https://map.naver.com/p/search/아름동 1116", "지도Link")</f>
        <v/>
      </c>
      <c r="N1338" s="6">
        <f>HYPERLINK("http://www.eum.go.kr/web/ar/lu/luLandDet.jsp?pnu=3611011300111160000&amp;isNoScr=script&amp;mode=search", "토지이음")</f>
        <v/>
      </c>
      <c r="O1338" s="3" t="inlineStr">
        <is>
          <t>명진</t>
        </is>
      </c>
      <c r="P1338" s="4" t="n">
        <v>1</v>
      </c>
      <c r="Q1338" s="4" t="n">
        <v>359.5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1116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83000</v>
      </c>
      <c r="G1339" s="4" t="n">
        <v>359</v>
      </c>
      <c r="H1339" s="4" t="n">
        <v>109</v>
      </c>
      <c r="I1339" s="5" t="n">
        <v>761.5</v>
      </c>
      <c r="J1339" s="5" t="n">
        <v>373.9</v>
      </c>
      <c r="K1339" s="3" t="inlineStr">
        <is>
          <t>108.9p, 사거리 코너자리, 아름동 최고입지</t>
        </is>
      </c>
      <c r="L1339" s="6">
        <f>HYPERLINK("https://fin.land.naver.com/articles/2654694877", "매물Link")</f>
        <v/>
      </c>
      <c r="M1339" s="6">
        <f>HYPERLINK("https://map.naver.com/p/search/아름동 1116", "지도Link")</f>
        <v/>
      </c>
      <c r="N1339" s="6">
        <f>HYPERLINK("http://www.eum.go.kr/web/ar/lu/luLandDet.jsp?pnu=3611011300111160000&amp;isNoScr=script&amp;mode=search", "토지이음")</f>
        <v/>
      </c>
      <c r="O1339" s="3" t="inlineStr">
        <is>
          <t>세종무지개</t>
        </is>
      </c>
      <c r="P1339" s="4" t="n">
        <v>1</v>
      </c>
      <c r="Q1339" s="4" t="n">
        <v>359.5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1118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57000</v>
      </c>
      <c r="G1340" s="4" t="n">
        <v>327</v>
      </c>
      <c r="H1340" s="4" t="n">
        <v>99</v>
      </c>
      <c r="I1340" s="5" t="n">
        <v>575.8</v>
      </c>
      <c r="J1340" s="5" t="n">
        <v>373.9</v>
      </c>
      <c r="K1340" s="3" t="inlineStr">
        <is>
          <t>코너 정남향 위치최상 조율가능</t>
        </is>
      </c>
      <c r="L1340" s="6">
        <f>HYPERLINK("https://fin.land.naver.com/articles/2652418851", "매물Link")</f>
        <v/>
      </c>
      <c r="M1340" s="6">
        <f>HYPERLINK("https://map.naver.com/p/search/아름동 1118", "지도Link")</f>
        <v/>
      </c>
      <c r="N1340" s="6">
        <f>HYPERLINK("http://www.eum.go.kr/web/ar/lu/luLandDet.jsp?pnu=3611011300111180000&amp;isNoScr=script&amp;mode=search", "토지이음")</f>
        <v/>
      </c>
      <c r="O1340" s="3" t="inlineStr">
        <is>
          <t>세종스타</t>
        </is>
      </c>
      <c r="P1340" s="4" t="n">
        <v>2</v>
      </c>
      <c r="Q1340" s="4" t="n">
        <v>327.4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소로각지</t>
        </is>
      </c>
    </row>
    <row r="1341">
      <c r="A1341" s="3" t="inlineStr">
        <is>
          <t>아름동 1121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355</v>
      </c>
      <c r="H1341" s="4" t="n">
        <v>107</v>
      </c>
      <c r="I1341" s="5" t="n">
        <v>560.7</v>
      </c>
      <c r="J1341" s="5" t="n">
        <v>373.9</v>
      </c>
      <c r="K1341" s="3" t="inlineStr">
        <is>
          <t>공원옆 큰평수 추가조율가능</t>
        </is>
      </c>
      <c r="L1341" s="6">
        <f>HYPERLINK("https://fin.land.naver.com/articles/2652289224", "매물Link")</f>
        <v/>
      </c>
      <c r="M1341" s="6">
        <f>HYPERLINK("https://map.naver.com/p/search/아름동 1121", "지도Link")</f>
        <v/>
      </c>
      <c r="N1341" s="6">
        <f>HYPERLINK("http://www.eum.go.kr/web/ar/lu/luLandDet.jsp?pnu=3611011300111210000&amp;isNoScr=script&amp;mode=search", "토지이음")</f>
        <v/>
      </c>
      <c r="O1341" s="3" t="inlineStr">
        <is>
          <t>세종스타</t>
        </is>
      </c>
      <c r="P1341" s="4" t="n">
        <v>1</v>
      </c>
      <c r="Q1341" s="4" t="n">
        <v>355.4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소로각지</t>
        </is>
      </c>
    </row>
    <row r="1342">
      <c r="A1342" s="3" t="inlineStr">
        <is>
          <t>아름동 1130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85000</v>
      </c>
      <c r="G1342" s="4" t="n">
        <v>348</v>
      </c>
      <c r="H1342" s="4" t="n">
        <v>105</v>
      </c>
      <c r="I1342" s="5" t="n">
        <v>809.5</v>
      </c>
      <c r="J1342" s="5" t="n">
        <v>356.4</v>
      </c>
      <c r="K1342" s="3" t="inlineStr">
        <is>
          <t>어린이공원 접한 주택지, 위치 좋아요, 가격 잘 맞춰보겠습니다</t>
        </is>
      </c>
      <c r="L1342" s="6">
        <f>HYPERLINK("https://fin.land.naver.com/articles/2653004367", "매물Link")</f>
        <v/>
      </c>
      <c r="M1342" s="6">
        <f>HYPERLINK("https://map.naver.com/p/search/아름동 1130", "지도Link")</f>
        <v/>
      </c>
      <c r="N1342" s="6">
        <f>HYPERLINK("http://www.eum.go.kr/web/ar/lu/luLandDet.jsp?pnu=3611011300111300000&amp;isNoScr=script&amp;mode=search", "토지이음")</f>
        <v/>
      </c>
      <c r="O1342" s="3" t="inlineStr">
        <is>
          <t>OK세종 사무소</t>
        </is>
      </c>
      <c r="P1342" s="4" t="n">
        <v>1</v>
      </c>
      <c r="Q1342" s="4" t="n">
        <v>348.3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1135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83000</v>
      </c>
      <c r="G1343" s="4" t="n">
        <v>343</v>
      </c>
      <c r="H1343" s="4" t="n">
        <v>104</v>
      </c>
      <c r="I1343" s="5" t="n">
        <v>798.1</v>
      </c>
      <c r="J1343" s="5" t="n">
        <v>356.4</v>
      </c>
      <c r="K1343" s="3" t="inlineStr">
        <is>
          <t>아름동 위치좋은 주택지 급매</t>
        </is>
      </c>
      <c r="L1343" s="6">
        <f>HYPERLINK("https://fin.land.naver.com/articles/2653003944", "매물Link")</f>
        <v/>
      </c>
      <c r="M1343" s="6">
        <f>HYPERLINK("https://map.naver.com/p/search/아름동 1135", "지도Link")</f>
        <v/>
      </c>
      <c r="N1343" s="6">
        <f>HYPERLINK("http://www.eum.go.kr/web/ar/lu/luLandDet.jsp?pnu=3611011300111350000&amp;isNoScr=script&amp;mode=search", "토지이음")</f>
        <v/>
      </c>
      <c r="O1343" s="3" t="inlineStr">
        <is>
          <t>OK세종 사무소</t>
        </is>
      </c>
      <c r="P1343" s="4" t="n">
        <v>1</v>
      </c>
      <c r="Q1343" s="4" t="n">
        <v>343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1142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52000</v>
      </c>
      <c r="G1344" s="4" t="n">
        <v>321</v>
      </c>
      <c r="H1344" s="4" t="n">
        <v>97</v>
      </c>
      <c r="I1344" s="5" t="n">
        <v>536.1</v>
      </c>
      <c r="J1344" s="5" t="n">
        <v>356.4</v>
      </c>
      <c r="K1344" s="3" t="inlineStr">
        <is>
          <t>급매 추가조율가능 입지좋은 충대병원인근</t>
        </is>
      </c>
      <c r="L1344" s="6">
        <f>HYPERLINK("https://fin.land.naver.com/articles/2651133638", "매물Link")</f>
        <v/>
      </c>
      <c r="M1344" s="6">
        <f>HYPERLINK("https://map.naver.com/p/search/아름동 1142", "지도Link")</f>
        <v/>
      </c>
      <c r="N1344" s="6">
        <f>HYPERLINK("http://www.eum.go.kr/web/ar/lu/luLandDet.jsp?pnu=3611011300111420000&amp;isNoScr=script&amp;mode=search", "토지이음")</f>
        <v/>
      </c>
      <c r="O1344" s="3" t="inlineStr">
        <is>
          <t>세종스타</t>
        </is>
      </c>
      <c r="P1344" s="4" t="n">
        <v>1</v>
      </c>
      <c r="Q1344" s="4" t="n">
        <v>321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1142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52000</v>
      </c>
      <c r="G1345" s="4" t="n">
        <v>321</v>
      </c>
      <c r="H1345" s="4" t="n">
        <v>97</v>
      </c>
      <c r="I1345" s="5" t="n">
        <v>536.1</v>
      </c>
      <c r="J1345" s="5" t="n">
        <v>356.4</v>
      </c>
      <c r="K1345" s="3" t="inlineStr">
        <is>
          <t>97.6p, 충대병원 인근 토지 급매, 조율도가능</t>
        </is>
      </c>
      <c r="L1345" s="6">
        <f>HYPERLINK("https://fin.land.naver.com/articles/2653682221", "매물Link")</f>
        <v/>
      </c>
      <c r="M1345" s="6">
        <f>HYPERLINK("https://map.naver.com/p/search/아름동 1142", "지도Link")</f>
        <v/>
      </c>
      <c r="N1345" s="6">
        <f>HYPERLINK("http://www.eum.go.kr/web/ar/lu/luLandDet.jsp?pnu=3611011300111420000&amp;isNoScr=script&amp;mode=search", "토지이음")</f>
        <v/>
      </c>
      <c r="O1345" s="3" t="inlineStr">
        <is>
          <t>명진</t>
        </is>
      </c>
      <c r="P1345" s="4" t="n">
        <v>1</v>
      </c>
      <c r="Q1345" s="4" t="n">
        <v>321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1142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52000</v>
      </c>
      <c r="G1346" s="4" t="n">
        <v>321</v>
      </c>
      <c r="H1346" s="4" t="n">
        <v>97</v>
      </c>
      <c r="I1346" s="5" t="n">
        <v>536.1</v>
      </c>
      <c r="J1346" s="5" t="n">
        <v>356.4</v>
      </c>
      <c r="K1346" s="3" t="inlineStr">
        <is>
          <t>충대병원 인근 가격 좋은 토지, 조율도 가능</t>
        </is>
      </c>
      <c r="L1346" s="6">
        <f>HYPERLINK("https://fin.land.naver.com/articles/2650429475", "매물Link")</f>
        <v/>
      </c>
      <c r="M1346" s="6">
        <f>HYPERLINK("https://map.naver.com/p/search/아름동 1142", "지도Link")</f>
        <v/>
      </c>
      <c r="N1346" s="6">
        <f>HYPERLINK("http://www.eum.go.kr/web/ar/lu/luLandDet.jsp?pnu=3611011300111420000&amp;isNoScr=script&amp;mode=search", "토지이음")</f>
        <v/>
      </c>
      <c r="O1346" s="3" t="inlineStr">
        <is>
          <t>세종무지개</t>
        </is>
      </c>
      <c r="P1346" s="4" t="n">
        <v>1</v>
      </c>
      <c r="Q1346" s="4" t="n">
        <v>321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1144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348</v>
      </c>
      <c r="H1347" s="4" t="n">
        <v>105</v>
      </c>
      <c r="I1347" s="5" t="n">
        <v>571.4</v>
      </c>
      <c r="J1347" s="5" t="n">
        <v>373.9</v>
      </c>
      <c r="K1347" s="3" t="inlineStr">
        <is>
          <t>입지채광접근성을 갖춘 아름동 최상급 단독주택 용지</t>
        </is>
      </c>
      <c r="L1347" s="6">
        <f>HYPERLINK("https://fin.land.naver.com/articles/2655067927", "매물Link")</f>
        <v/>
      </c>
      <c r="M1347" s="6">
        <f>HYPERLINK("https://map.naver.com/p/search/아름동 1144", "지도Link")</f>
        <v/>
      </c>
      <c r="N1347" s="6">
        <f>HYPERLINK("http://www.eum.go.kr/web/ar/lu/luLandDet.jsp?pnu=3611011300111440000&amp;isNoScr=script&amp;mode=search", "토지이음")</f>
        <v/>
      </c>
      <c r="O1347" s="3" t="inlineStr">
        <is>
          <t>백년행정사</t>
        </is>
      </c>
      <c r="P1347" s="4" t="n">
        <v>2</v>
      </c>
      <c r="Q1347" s="4" t="n">
        <v>348.5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1154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70000</v>
      </c>
      <c r="G1348" s="4" t="n">
        <v>342</v>
      </c>
      <c r="H1348" s="4" t="n">
        <v>103</v>
      </c>
      <c r="I1348" s="5" t="n">
        <v>679.6</v>
      </c>
      <c r="J1348" s="5" t="n">
        <v>356.4</v>
      </c>
      <c r="K1348" s="3" t="inlineStr">
        <is>
          <t>야산을 품은 아름동 단독주택지</t>
        </is>
      </c>
      <c r="L1348" s="6">
        <f>HYPERLINK("https://fin.land.naver.com/articles/2654124683", "매물Link")</f>
        <v/>
      </c>
      <c r="M1348" s="6">
        <f>HYPERLINK("https://map.naver.com/p/search/아름동 1154", "지도Link")</f>
        <v/>
      </c>
      <c r="N1348" s="6">
        <f>HYPERLINK("http://www.eum.go.kr/web/ar/lu/luLandDet.jsp?pnu=3611011300111540000&amp;isNoScr=script&amp;mode=search", "토지이음")</f>
        <v/>
      </c>
      <c r="O1348" s="3" t="inlineStr">
        <is>
          <t>킹세종</t>
        </is>
      </c>
      <c r="P1348" s="4" t="n">
        <v>2</v>
      </c>
      <c r="Q1348" s="4" t="n">
        <v>342.4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정방형</t>
        </is>
      </c>
      <c r="V1348" s="3" t="inlineStr">
        <is>
          <t>소로한면</t>
        </is>
      </c>
    </row>
    <row r="1349">
      <c r="A1349" s="3" t="inlineStr">
        <is>
          <t>아름동 1154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70000</v>
      </c>
      <c r="G1349" s="4" t="n">
        <v>342</v>
      </c>
      <c r="H1349" s="4" t="n">
        <v>103</v>
      </c>
      <c r="I1349" s="5" t="n">
        <v>679.6</v>
      </c>
      <c r="J1349" s="5" t="n">
        <v>356.4</v>
      </c>
      <c r="K1349" s="3" t="inlineStr">
        <is>
          <t>공원인근, 조용한 단독주택 토지</t>
        </is>
      </c>
      <c r="L1349" s="6">
        <f>HYPERLINK("https://fin.land.naver.com/articles/2652115592", "매물Link")</f>
        <v/>
      </c>
      <c r="M1349" s="6">
        <f>HYPERLINK("https://map.naver.com/p/search/아름동 1154", "지도Link")</f>
        <v/>
      </c>
      <c r="N1349" s="6">
        <f>HYPERLINK("http://www.eum.go.kr/web/ar/lu/luLandDet.jsp?pnu=3611011300111540000&amp;isNoScr=script&amp;mode=search",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342.4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정방형</t>
        </is>
      </c>
      <c r="V1349" s="3" t="inlineStr">
        <is>
          <t>소로한면</t>
        </is>
      </c>
    </row>
    <row r="1350">
      <c r="A1350" s="3" t="inlineStr">
        <is>
          <t>아름동 1163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180000</v>
      </c>
      <c r="G1350" s="4" t="n">
        <v>293</v>
      </c>
      <c r="H1350" s="4" t="n">
        <v>89</v>
      </c>
      <c r="I1350" s="5" t="n">
        <v>2022.5</v>
      </c>
      <c r="J1350" s="5" t="n">
        <v>734.2</v>
      </c>
      <c r="K1350" s="3" t="inlineStr">
        <is>
          <t>충대병원, 약국추천자리, 근생토지, 대로변 노출 좋은 자리</t>
        </is>
      </c>
      <c r="L1350" s="6">
        <f>HYPERLINK("https://fin.land.naver.com/articles/2651770352", "매물Link")</f>
        <v/>
      </c>
      <c r="M1350" s="6">
        <f>HYPERLINK("https://map.naver.com/p/search/아름동 1163", "지도Link")</f>
        <v/>
      </c>
      <c r="N1350" s="6">
        <f>HYPERLINK("http://www.eum.go.kr/web/ar/lu/luLandDet.jsp?pnu=3611011300111630000&amp;isNoScr=script&amp;mode=search", "토지이음")</f>
        <v/>
      </c>
      <c r="O1350" s="3" t="inlineStr">
        <is>
          <t>세종무지개</t>
        </is>
      </c>
      <c r="P1350" s="4" t="n">
        <v>1</v>
      </c>
      <c r="Q1350" s="4" t="n">
        <v>293.7</v>
      </c>
      <c r="R1350" s="3" t="inlineStr">
        <is>
          <t>지정되지않음</t>
        </is>
      </c>
      <c r="S1350" s="3" t="inlineStr">
        <is>
          <t>상업용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1163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293</v>
      </c>
      <c r="H1351" s="4" t="n">
        <v>89</v>
      </c>
      <c r="I1351" s="5" t="n">
        <v>2022.5</v>
      </c>
      <c r="J1351" s="5" t="n">
        <v>734.2</v>
      </c>
      <c r="K1351" s="3" t="inlineStr">
        <is>
          <t>대로변 코너 노출 좋은 입지좋은 근생 토지 매매</t>
        </is>
      </c>
      <c r="L1351" s="6">
        <f>HYPERLINK("https://fin.land.naver.com/articles/2651943193", "매물Link")</f>
        <v/>
      </c>
      <c r="M1351" s="6">
        <f>HYPERLINK("https://map.naver.com/p/search/아름동 1163", "지도Link")</f>
        <v/>
      </c>
      <c r="N1351" s="6">
        <f>HYPERLINK("http://www.eum.go.kr/web/ar/lu/luLandDet.jsp?pnu=3611011300111630000&amp;isNoScr=script&amp;mode=search", "토지이음")</f>
        <v/>
      </c>
      <c r="O1351" s="3" t="inlineStr">
        <is>
          <t>명진</t>
        </is>
      </c>
      <c r="P1351" s="4" t="n">
        <v>1</v>
      </c>
      <c r="Q1351" s="4" t="n">
        <v>293.7</v>
      </c>
      <c r="R1351" s="3" t="inlineStr">
        <is>
          <t>지정되지않음</t>
        </is>
      </c>
      <c r="S1351" s="3" t="inlineStr">
        <is>
          <t>상업용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1163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293</v>
      </c>
      <c r="H1352" s="4" t="n">
        <v>89</v>
      </c>
      <c r="I1352" s="5" t="n">
        <v>2022.5</v>
      </c>
      <c r="J1352" s="5" t="n">
        <v>734.2</v>
      </c>
      <c r="K1352" s="3" t="inlineStr">
        <is>
          <t>충대병원 인접한 아름동 근생용지, 약국위치로 좋아요</t>
        </is>
      </c>
      <c r="L1352" s="6">
        <f>HYPERLINK("https://fin.land.naver.com/articles/2650939008", "매물Link")</f>
        <v/>
      </c>
      <c r="M1352" s="6">
        <f>HYPERLINK("https://map.naver.com/p/search/아름동 1163", "지도Link")</f>
        <v/>
      </c>
      <c r="N1352" s="6">
        <f>HYPERLINK("http://www.eum.go.kr/web/ar/lu/luLandDet.jsp?pnu=3611011300111630000&amp;isNoScr=script&amp;mode=search", "토지이음")</f>
        <v/>
      </c>
      <c r="O1352" s="3" t="inlineStr">
        <is>
          <t>OK세종 사무소</t>
        </is>
      </c>
      <c r="P1352" s="4" t="n">
        <v>1</v>
      </c>
      <c r="Q1352" s="4" t="n">
        <v>293.7</v>
      </c>
      <c r="R1352" s="3" t="inlineStr">
        <is>
          <t>지정되지않음</t>
        </is>
      </c>
      <c r="S1352" s="3" t="inlineStr">
        <is>
          <t>상업용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1182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150000</v>
      </c>
      <c r="G1353" s="4" t="n">
        <v>317</v>
      </c>
      <c r="H1353" s="4" t="n">
        <v>96</v>
      </c>
      <c r="I1353" s="5" t="n">
        <v>1562.5</v>
      </c>
      <c r="J1353" s="5" t="n">
        <v>756.7</v>
      </c>
      <c r="K1353" s="3" t="inlineStr">
        <is>
          <t>근생용지, 도로변 광고효과 및 상권우수, 조율가능</t>
        </is>
      </c>
      <c r="L1353" s="6">
        <f>HYPERLINK("https://fin.land.naver.com/articles/2651035239", "매물Link")</f>
        <v/>
      </c>
      <c r="M1353" s="6">
        <f>HYPERLINK("https://map.naver.com/p/search/아름동 1182", "지도Link")</f>
        <v/>
      </c>
      <c r="N1353" s="6">
        <f>HYPERLINK("http://www.eum.go.kr/web/ar/lu/luLandDet.jsp?pnu=3611011300111820000&amp;isNoScr=script&amp;mode=search", "토지이음")</f>
        <v/>
      </c>
      <c r="O1353" s="3" t="inlineStr">
        <is>
          <t>한방</t>
        </is>
      </c>
      <c r="P1353" s="4" t="n">
        <v>1</v>
      </c>
      <c r="Q1353" s="4" t="n">
        <v>317.1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소로각지</t>
        </is>
      </c>
    </row>
    <row r="1354">
      <c r="A1354" s="3" t="inlineStr">
        <is>
          <t>아름동 1183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317</v>
      </c>
      <c r="H1354" s="4" t="n">
        <v>96</v>
      </c>
      <c r="I1354" s="5" t="n">
        <v>1562.5</v>
      </c>
      <c r="J1354" s="5" t="n">
        <v>724</v>
      </c>
      <c r="K1354" s="3" t="inlineStr">
        <is>
          <t>96.1p, 근생용지, 도로변 위치 굿, 건축허가완료</t>
        </is>
      </c>
      <c r="L1354" s="6">
        <f>HYPERLINK("https://fin.land.naver.com/articles/2653681862", "매물Link")</f>
        <v/>
      </c>
      <c r="M1354" s="6">
        <f>HYPERLINK("https://map.naver.com/p/search/아름동 1183", "지도Link")</f>
        <v/>
      </c>
      <c r="N1354" s="6">
        <f>HYPERLINK("http://www.eum.go.kr/web/ar/lu/luLandDet.jsp?pnu=3611011300111830000&amp;isNoScr=script&amp;mode=search", "토지이음")</f>
        <v/>
      </c>
      <c r="O1354" s="3" t="inlineStr">
        <is>
          <t>명진</t>
        </is>
      </c>
      <c r="P1354" s="4" t="n">
        <v>1</v>
      </c>
      <c r="Q1354" s="4" t="n">
        <v>317.2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아름동 1183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145000</v>
      </c>
      <c r="G1355" s="4" t="n">
        <v>317</v>
      </c>
      <c r="H1355" s="4" t="n">
        <v>96</v>
      </c>
      <c r="I1355" s="5" t="n">
        <v>1510.4</v>
      </c>
      <c r="J1355" s="5" t="n">
        <v>724</v>
      </c>
      <c r="K1355" s="3" t="inlineStr">
        <is>
          <t>근린생활시설 용지로서 대단위 아파트 전면에 위치하여 최고의 상권</t>
        </is>
      </c>
      <c r="L1355" s="6">
        <f>HYPERLINK("https://fin.land.naver.com/articles/2651956271", "매물Link")</f>
        <v/>
      </c>
      <c r="M1355" s="6">
        <f>HYPERLINK("https://map.naver.com/p/search/아름동 1183", "지도Link")</f>
        <v/>
      </c>
      <c r="N1355" s="6">
        <f>HYPERLINK("http://www.eum.go.kr/web/ar/lu/luLandDet.jsp?pnu=3611011300111830000&amp;isNoScr=script&amp;mode=search", "토지이음")</f>
        <v/>
      </c>
      <c r="O1355" s="3" t="inlineStr">
        <is>
          <t>대우마을</t>
        </is>
      </c>
      <c r="P1355" s="4" t="n">
        <v>1</v>
      </c>
      <c r="Q1355" s="4" t="n">
        <v>317.2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소로한면</t>
        </is>
      </c>
    </row>
    <row r="1356">
      <c r="A1356" s="3" t="inlineStr">
        <is>
          <t>아름동 1183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150000</v>
      </c>
      <c r="G1356" s="4" t="n">
        <v>317</v>
      </c>
      <c r="H1356" s="4" t="n">
        <v>96</v>
      </c>
      <c r="I1356" s="5" t="n">
        <v>1562.5</v>
      </c>
      <c r="J1356" s="5" t="n">
        <v>724</v>
      </c>
      <c r="K1356" s="3" t="inlineStr">
        <is>
          <t>아름동 대로변 근생용지, 96.1p</t>
        </is>
      </c>
      <c r="L1356" s="6">
        <f>HYPERLINK("https://fin.land.naver.com/articles/2652839304", "매물Link")</f>
        <v/>
      </c>
      <c r="M1356" s="6">
        <f>HYPERLINK("https://map.naver.com/p/search/아름동 1183", "지도Link")</f>
        <v/>
      </c>
      <c r="N1356" s="6">
        <f>HYPERLINK("http://www.eum.go.kr/web/ar/lu/luLandDet.jsp?pnu=3611011300111830000&amp;isNoScr=script&amp;mode=search",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317.2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아름동 1191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75000</v>
      </c>
      <c r="G1357" s="4" t="n">
        <v>360</v>
      </c>
      <c r="H1357" s="4" t="n">
        <v>109</v>
      </c>
      <c r="I1357" s="5" t="n">
        <v>688.1</v>
      </c>
      <c r="J1357" s="5" t="n">
        <v>349.4</v>
      </c>
      <c r="K1357" s="3" t="inlineStr">
        <is>
          <t>총 109.3p, 사거리코너자리, 충대병원 인접 토지</t>
        </is>
      </c>
      <c r="L1357" s="6">
        <f>HYPERLINK("https://fin.land.naver.com/articles/2654224772", "매물Link")</f>
        <v/>
      </c>
      <c r="M1357" s="6">
        <f>HYPERLINK("https://map.naver.com/p/search/아름동 1191", "지도Link")</f>
        <v/>
      </c>
      <c r="N1357" s="6">
        <f>HYPERLINK("http://www.eum.go.kr/web/ar/lu/luLandDet.jsp?pnu=3611011300111910000&amp;isNoScr=script&amp;mode=search",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360.6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1191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75000</v>
      </c>
      <c r="G1358" s="4" t="n">
        <v>360</v>
      </c>
      <c r="H1358" s="4" t="n">
        <v>109</v>
      </c>
      <c r="I1358" s="5" t="n">
        <v>688.1</v>
      </c>
      <c r="J1358" s="5" t="n">
        <v>349.4</v>
      </c>
      <c r="K1358" s="3" t="inlineStr">
        <is>
          <t>사거리 코너입지 최고, 조율도 가능</t>
        </is>
      </c>
      <c r="L1358" s="6">
        <f>HYPERLINK("https://fin.land.naver.com/articles/2654692792", "매물Link")</f>
        <v/>
      </c>
      <c r="M1358" s="6">
        <f>HYPERLINK("https://map.naver.com/p/search/아름동 1191", "지도Link")</f>
        <v/>
      </c>
      <c r="N1358" s="6">
        <f>HYPERLINK("http://www.eum.go.kr/web/ar/lu/luLandDet.jsp?pnu=3611011300111910000&amp;isNoScr=script&amp;mode=search", "토지이음")</f>
        <v/>
      </c>
      <c r="O1358" s="3" t="inlineStr">
        <is>
          <t>세종무지개</t>
        </is>
      </c>
      <c r="P1358" s="4" t="n">
        <v>1</v>
      </c>
      <c r="Q1358" s="4" t="n">
        <v>360.6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소로각지</t>
        </is>
      </c>
    </row>
    <row r="1359">
      <c r="A1359" s="3" t="inlineStr">
        <is>
          <t>아름동 1191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75000</v>
      </c>
      <c r="G1359" s="4" t="n">
        <v>360</v>
      </c>
      <c r="H1359" s="4" t="n">
        <v>109</v>
      </c>
      <c r="I1359" s="5" t="n">
        <v>688.1</v>
      </c>
      <c r="J1359" s="5" t="n">
        <v>349.4</v>
      </c>
      <c r="K1359" s="3" t="inlineStr">
        <is>
          <t>급매 남향 코너각지 조율가능 옆필지 연접매매가능</t>
        </is>
      </c>
      <c r="L1359" s="6">
        <f>HYPERLINK("https://fin.land.naver.com/articles/2655177213", "매물Link")</f>
        <v/>
      </c>
      <c r="M1359" s="6">
        <f>HYPERLINK("https://map.naver.com/p/search/아름동 1191", "지도Link")</f>
        <v/>
      </c>
      <c r="N1359" s="6">
        <f>HYPERLINK("http://www.eum.go.kr/web/ar/lu/luLandDet.jsp?pnu=3611011300111910000&amp;isNoScr=script&amp;mode=search",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360.6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소로각지</t>
        </is>
      </c>
    </row>
    <row r="1360">
      <c r="A1360" s="3" t="inlineStr">
        <is>
          <t>아름동 1192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70000</v>
      </c>
      <c r="G1360" s="4" t="n">
        <v>374</v>
      </c>
      <c r="H1360" s="4" t="n">
        <v>113</v>
      </c>
      <c r="I1360" s="5" t="n">
        <v>619.5</v>
      </c>
      <c r="J1360" s="5" t="n">
        <v>349.4</v>
      </c>
      <c r="K1360" s="3" t="inlineStr">
        <is>
          <t>4거리 코너땅,야산 인접 쾌적함</t>
        </is>
      </c>
      <c r="L1360" s="6">
        <f>HYPERLINK("https://fin.land.naver.com/articles/2654118594", "매물Link")</f>
        <v/>
      </c>
      <c r="M1360" s="6">
        <f>HYPERLINK("https://map.naver.com/p/search/아름동 1192", "지도Link")</f>
        <v/>
      </c>
      <c r="N1360" s="6">
        <f>HYPERLINK("http://www.eum.go.kr/web/ar/lu/luLandDet.jsp?pnu=3611011300111920000&amp;isNoScr=script&amp;mode=search", "토지이음")</f>
        <v/>
      </c>
      <c r="O1360" s="3" t="inlineStr">
        <is>
          <t>킹세종</t>
        </is>
      </c>
      <c r="P1360" s="4" t="n">
        <v>2</v>
      </c>
      <c r="Q1360" s="4" t="n">
        <v>374.8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소로각지</t>
        </is>
      </c>
    </row>
    <row r="1361">
      <c r="A1361" s="3" t="inlineStr">
        <is>
          <t>아름동 1193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68000</v>
      </c>
      <c r="G1361" s="4" t="n">
        <v>374</v>
      </c>
      <c r="H1361" s="4" t="n">
        <v>113</v>
      </c>
      <c r="I1361" s="5" t="n">
        <v>601.8</v>
      </c>
      <c r="J1361" s="5" t="n">
        <v>335.2</v>
      </c>
      <c r="K1361" s="3" t="inlineStr">
        <is>
          <t>충남대학병원 근접,양방향도로 접,아파트단지 주변 택지</t>
        </is>
      </c>
      <c r="L1361" s="6">
        <f>HYPERLINK("https://fin.land.naver.com/articles/2655637527", "매물Link")</f>
        <v/>
      </c>
      <c r="M1361" s="6">
        <f>HYPERLINK("https://map.naver.com/p/search/아름동 1193", "지도Link")</f>
        <v/>
      </c>
      <c r="N1361" s="6">
        <f>HYPERLINK("http://www.eum.go.kr/web/ar/lu/luLandDet.jsp?pnu=3611011300111930000&amp;isNoScr=script&amp;mode=search", "토지이음")</f>
        <v/>
      </c>
      <c r="O1361" s="3" t="inlineStr">
        <is>
          <t>해밀마을공간</t>
        </is>
      </c>
      <c r="P1361" s="4" t="n">
        <v>2</v>
      </c>
      <c r="Q1361" s="4" t="n">
        <v>374.7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아름동 1204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308</v>
      </c>
      <c r="H1362" s="4" t="n">
        <v>93</v>
      </c>
      <c r="I1362" s="5" t="n">
        <v>645.2</v>
      </c>
      <c r="J1362" s="5" t="n">
        <v>349.4</v>
      </c>
      <c r="K1362" s="3" t="inlineStr">
        <is>
          <t>코너,대단지인접,충남대병원도보5분,조율가능</t>
        </is>
      </c>
      <c r="L1362" s="6">
        <f>HYPERLINK("https://fin.land.naver.com/articles/2650482125", "매물Link")</f>
        <v/>
      </c>
      <c r="M1362" s="6">
        <f>HYPERLINK("https://map.naver.com/p/search/아름동 1204", "지도Link")</f>
        <v/>
      </c>
      <c r="N1362" s="6">
        <f>HYPERLINK("http://www.eum.go.kr/web/ar/lu/luLandDet.jsp?pnu=3611011300112040000&amp;isNoScr=script&amp;mode=search", "토지이음")</f>
        <v/>
      </c>
      <c r="O1362" s="3" t="inlineStr">
        <is>
          <t>똑똑</t>
        </is>
      </c>
      <c r="P1362" s="4" t="n">
        <v>2</v>
      </c>
      <c r="Q1362" s="4" t="n">
        <v>308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1219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68200</v>
      </c>
      <c r="G1363" s="4" t="n">
        <v>364</v>
      </c>
      <c r="H1363" s="4" t="n">
        <v>110</v>
      </c>
      <c r="I1363" s="5" t="n">
        <v>620</v>
      </c>
      <c r="J1363" s="5" t="n">
        <v>349.4</v>
      </c>
      <c r="K1363" s="3" t="inlineStr">
        <is>
          <t>뒤에는 산 앞에는 멋진 도시뷰,즉시 건축가능함</t>
        </is>
      </c>
      <c r="L1363" s="6">
        <f>HYPERLINK("https://fin.land.naver.com/articles/2653891417", "매물Link")</f>
        <v/>
      </c>
      <c r="M1363" s="6">
        <f>HYPERLINK("https://map.naver.com/p/search/아름동 1219", "지도Link")</f>
        <v/>
      </c>
      <c r="N1363" s="6">
        <f>HYPERLINK("http://www.eum.go.kr/web/ar/lu/luLandDet.jsp?pnu=3611011300112190000&amp;isNoScr=script&amp;mode=search", "토지이음")</f>
        <v/>
      </c>
      <c r="O1363" s="3" t="inlineStr">
        <is>
          <t>세종공주제일</t>
        </is>
      </c>
      <c r="P1363" s="4" t="n">
        <v>1</v>
      </c>
      <c r="Q1363" s="4" t="n">
        <v>364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1219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67100</v>
      </c>
      <c r="G1364" s="4" t="n">
        <v>364</v>
      </c>
      <c r="H1364" s="4" t="n">
        <v>110</v>
      </c>
      <c r="I1364" s="5" t="n">
        <v>610</v>
      </c>
      <c r="J1364" s="5" t="n">
        <v>349.4</v>
      </c>
      <c r="K1364" s="3" t="inlineStr">
        <is>
          <t>조망이 아주 뛰어납니다.확 트인 시야</t>
        </is>
      </c>
      <c r="L1364" s="6">
        <f>HYPERLINK("https://fin.land.naver.com/articles/2652406933", "매물Link")</f>
        <v/>
      </c>
      <c r="M1364" s="6">
        <f>HYPERLINK("https://map.naver.com/p/search/아름동 1219", "지도Link")</f>
        <v/>
      </c>
      <c r="N1364" s="6">
        <f>HYPERLINK("http://www.eum.go.kr/web/ar/lu/luLandDet.jsp?pnu=3611011300112190000&amp;isNoScr=script&amp;mode=search", "토지이음")</f>
        <v/>
      </c>
      <c r="O1364" s="3" t="inlineStr">
        <is>
          <t>세종공주제일</t>
        </is>
      </c>
      <c r="P1364" s="4" t="n">
        <v>1</v>
      </c>
      <c r="Q1364" s="4" t="n">
        <v>364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1221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65000</v>
      </c>
      <c r="G1365" s="4" t="n">
        <v>364</v>
      </c>
      <c r="H1365" s="4" t="n">
        <v>110</v>
      </c>
      <c r="I1365" s="5" t="n">
        <v>590.9</v>
      </c>
      <c r="J1365" s="5" t="n">
        <v>335.2</v>
      </c>
      <c r="K1365" s="3" t="inlineStr">
        <is>
          <t>nan</t>
        </is>
      </c>
      <c r="L1365" s="6">
        <f>HYPERLINK("https://fin.land.naver.com/articles/2651708627", "매물Link")</f>
        <v/>
      </c>
      <c r="M1365" s="6">
        <f>HYPERLINK("https://map.naver.com/p/search/아름동 1221", "지도Link")</f>
        <v/>
      </c>
      <c r="N1365" s="6">
        <f>HYPERLINK("http://www.eum.go.kr/web/ar/lu/luLandDet.jsp?pnu=3611011300112210000&amp;isNoScr=script&amp;mode=search", "토지이음")</f>
        <v/>
      </c>
      <c r="O1365" s="3" t="inlineStr">
        <is>
          <t>세종시삼성래미안</t>
        </is>
      </c>
      <c r="P1365" s="4" t="n">
        <v>1</v>
      </c>
      <c r="Q1365" s="4" t="n">
        <v>364.4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1231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365</v>
      </c>
      <c r="H1366" s="4" t="n">
        <v>110</v>
      </c>
      <c r="I1366" s="5" t="n">
        <v>545.5</v>
      </c>
      <c r="J1366" s="5" t="n">
        <v>343.1</v>
      </c>
      <c r="K1366" s="3" t="inlineStr">
        <is>
          <t>급매 아름동학원가, 상권이용편리로얄택지, 금액조율가능, 추천매매</t>
        </is>
      </c>
      <c r="L1366" s="6">
        <f>HYPERLINK("https://fin.land.naver.com/articles/2653093272", "매물Link")</f>
        <v/>
      </c>
      <c r="M1366" s="6">
        <f>HYPERLINK("https://map.naver.com/p/search/아름동 1231", "지도Link")</f>
        <v/>
      </c>
      <c r="N1366" s="6">
        <f>HYPERLINK("http://www.eum.go.kr/web/ar/lu/luLandDet.jsp?pnu=3611011300112310000&amp;isNoScr=script&amp;mode=search", "토지이음")</f>
        <v/>
      </c>
      <c r="O1366" s="3" t="inlineStr">
        <is>
          <t>한방</t>
        </is>
      </c>
      <c r="P1366" s="4" t="n">
        <v>1</v>
      </c>
      <c r="Q1366" s="4" t="n">
        <v>365.4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1231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60000</v>
      </c>
      <c r="G1367" s="4" t="n">
        <v>365</v>
      </c>
      <c r="H1367" s="4" t="n">
        <v>110</v>
      </c>
      <c r="I1367" s="5" t="n">
        <v>545.5</v>
      </c>
      <c r="J1367" s="5" t="n">
        <v>343.1</v>
      </c>
      <c r="K1367" s="3" t="inlineStr">
        <is>
          <t>총 110.7p, 아파트 단지 옆, 아름초 인근, 위치좋고 가격좋은 토지</t>
        </is>
      </c>
      <c r="L1367" s="6">
        <f>HYPERLINK("https://fin.land.naver.com/articles/2652842649", "매물Link")</f>
        <v/>
      </c>
      <c r="M1367" s="6">
        <f>HYPERLINK("https://map.naver.com/p/search/아름동 1231", "지도Link")</f>
        <v/>
      </c>
      <c r="N1367" s="6">
        <f>HYPERLINK("http://www.eum.go.kr/web/ar/lu/luLandDet.jsp?pnu=3611011300112310000&amp;isNoScr=script&amp;mode=search", "토지이음")</f>
        <v/>
      </c>
      <c r="O1367" s="3" t="inlineStr">
        <is>
          <t>세종무지개</t>
        </is>
      </c>
      <c r="P1367" s="4" t="n">
        <v>1</v>
      </c>
      <c r="Q1367" s="4" t="n">
        <v>365.4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1231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60000</v>
      </c>
      <c r="G1368" s="4" t="n">
        <v>365</v>
      </c>
      <c r="H1368" s="4" t="n">
        <v>110</v>
      </c>
      <c r="I1368" s="5" t="n">
        <v>545.5</v>
      </c>
      <c r="J1368" s="5" t="n">
        <v>343.1</v>
      </c>
      <c r="K1368" s="3" t="inlineStr">
        <is>
          <t>급매 추가조율가능 귀한큰평형 아름초도보3분 학원가도보5분 충대병원10분</t>
        </is>
      </c>
      <c r="L1368" s="6">
        <f>HYPERLINK("https://fin.land.naver.com/articles/2655176796", "매물Link")</f>
        <v/>
      </c>
      <c r="M1368" s="6">
        <f>HYPERLINK("https://map.naver.com/p/search/아름동 1231", "지도Link")</f>
        <v/>
      </c>
      <c r="N1368" s="6">
        <f>HYPERLINK("http://www.eum.go.kr/web/ar/lu/luLandDet.jsp?pnu=3611011300112310000&amp;isNoScr=script&amp;mode=search", "토지이음")</f>
        <v/>
      </c>
      <c r="O1368" s="3" t="inlineStr">
        <is>
          <t>세종스타</t>
        </is>
      </c>
      <c r="P1368" s="4" t="n">
        <v>2</v>
      </c>
      <c r="Q1368" s="4" t="n">
        <v>365.4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1231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365</v>
      </c>
      <c r="H1369" s="4" t="n">
        <v>110</v>
      </c>
      <c r="I1369" s="5" t="n">
        <v>545.5</v>
      </c>
      <c r="J1369" s="5" t="n">
        <v>343.1</v>
      </c>
      <c r="K1369" s="3" t="inlineStr">
        <is>
          <t>급매, 110.7p, 아름초인접, 범지기10단지인근</t>
        </is>
      </c>
      <c r="L1369" s="6">
        <f>HYPERLINK("https://fin.land.naver.com/articles/2654927262", "매물Link")</f>
        <v/>
      </c>
      <c r="M1369" s="6">
        <f>HYPERLINK("https://map.naver.com/p/search/아름동 1231", "지도Link")</f>
        <v/>
      </c>
      <c r="N1369" s="6">
        <f>HYPERLINK("http://www.eum.go.kr/web/ar/lu/luLandDet.jsp?pnu=3611011300112310000&amp;isNoScr=script&amp;mode=search",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365.4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1231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365</v>
      </c>
      <c r="H1370" s="4" t="n">
        <v>110</v>
      </c>
      <c r="I1370" s="5" t="n">
        <v>545.5</v>
      </c>
      <c r="J1370" s="5" t="n">
        <v>343.1</v>
      </c>
      <c r="K1370" s="3" t="inlineStr">
        <is>
          <t>아름동 학교 가까운 주택지</t>
        </is>
      </c>
      <c r="L1370" s="6">
        <f>HYPERLINK("https://fin.land.naver.com/articles/2653003576", "매물Link")</f>
        <v/>
      </c>
      <c r="M1370" s="6">
        <f>HYPERLINK("https://map.naver.com/p/search/아름동 1231", "지도Link")</f>
        <v/>
      </c>
      <c r="N1370" s="6">
        <f>HYPERLINK("http://www.eum.go.kr/web/ar/lu/luLandDet.jsp?pnu=3611011300112310000&amp;isNoScr=script&amp;mode=search", "토지이음")</f>
        <v/>
      </c>
      <c r="O1370" s="3" t="inlineStr">
        <is>
          <t>OK세종 사무소</t>
        </is>
      </c>
      <c r="P1370" s="4" t="n">
        <v>1</v>
      </c>
      <c r="Q1370" s="4" t="n">
        <v>365.4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1256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353</v>
      </c>
      <c r="H1371" s="4" t="n">
        <v>107</v>
      </c>
      <c r="I1371" s="5" t="n">
        <v>654.2</v>
      </c>
      <c r="J1371" s="5" t="n">
        <v>343.1</v>
      </c>
      <c r="K1371" s="3" t="inlineStr">
        <is>
          <t>초등학교인접, 대단지 맞은편 아름동 단독주택</t>
        </is>
      </c>
      <c r="L1371" s="6">
        <f>HYPERLINK("https://fin.land.naver.com/articles/2650427506", "매물Link")</f>
        <v/>
      </c>
      <c r="M1371" s="6">
        <f>HYPERLINK("https://map.naver.com/p/search/아름동 1256", "지도Link")</f>
        <v/>
      </c>
      <c r="N1371" s="6">
        <f>HYPERLINK("http://www.eum.go.kr/web/ar/lu/luLandDet.jsp?pnu=3611011300112560000&amp;isNoScr=script&amp;mode=search",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354.3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1256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70000</v>
      </c>
      <c r="G1372" s="4" t="n">
        <v>354</v>
      </c>
      <c r="H1372" s="4" t="n">
        <v>107</v>
      </c>
      <c r="I1372" s="5" t="n">
        <v>654.2</v>
      </c>
      <c r="J1372" s="5" t="n">
        <v>343.1</v>
      </c>
      <c r="K1372" s="3" t="inlineStr">
        <is>
          <t>총 107.4p, 아름초인근, 위치좋은 단독주택지 추천</t>
        </is>
      </c>
      <c r="L1372" s="6">
        <f>HYPERLINK("https://fin.land.naver.com/articles/2651902228", "매물Link")</f>
        <v/>
      </c>
      <c r="M1372" s="6">
        <f>HYPERLINK("https://map.naver.com/p/search/아름동 1256", "지도Link")</f>
        <v/>
      </c>
      <c r="N1372" s="6">
        <f>HYPERLINK("http://www.eum.go.kr/web/ar/lu/luLandDet.jsp?pnu=3611011300112560000&amp;isNoScr=script&amp;mode=search",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354.3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1365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52000</v>
      </c>
      <c r="G1373" s="4" t="n">
        <v>342</v>
      </c>
      <c r="H1373" s="4" t="n">
        <v>103</v>
      </c>
      <c r="I1373" s="5" t="n">
        <v>504.9</v>
      </c>
      <c r="J1373" s="5" t="n">
        <v>380.5</v>
      </c>
      <c r="K1373" s="3" t="inlineStr">
        <is>
          <t>조율가능 학원가최인접 땅모양 건축하기 좋음</t>
        </is>
      </c>
      <c r="L1373" s="6">
        <f>HYPERLINK("https://fin.land.naver.com/articles/2655004786", "매물Link")</f>
        <v/>
      </c>
      <c r="M1373" s="6">
        <f>HYPERLINK("https://map.naver.com/p/search/아름동 1365", "지도Link")</f>
        <v/>
      </c>
      <c r="N1373" s="6">
        <f>HYPERLINK("http://www.eum.go.kr/web/ar/lu/luLandDet.jsp?pnu=3611011300113650000&amp;isNoScr=script&amp;mode=search", "토지이음")</f>
        <v/>
      </c>
      <c r="O1373" s="3" t="inlineStr">
        <is>
          <t>세종스타</t>
        </is>
      </c>
      <c r="P1373" s="4" t="n">
        <v>4</v>
      </c>
      <c r="Q1373" s="4" t="n">
        <v>342.1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중로각지</t>
        </is>
      </c>
    </row>
    <row r="1374">
      <c r="A1374" s="3" t="inlineStr">
        <is>
          <t>아름동 1365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52000</v>
      </c>
      <c r="G1374" s="4" t="n">
        <v>342</v>
      </c>
      <c r="H1374" s="4" t="n">
        <v>103</v>
      </c>
      <c r="I1374" s="5" t="n">
        <v>504.9</v>
      </c>
      <c r="J1374" s="5" t="n">
        <v>380.5</v>
      </c>
      <c r="K1374" s="3" t="inlineStr">
        <is>
          <t>총 103.7p, 아름동 삼거리 코너, 아파트 단지 근처</t>
        </is>
      </c>
      <c r="L1374" s="6">
        <f>HYPERLINK("https://fin.land.naver.com/articles/2652842249", "매물Link")</f>
        <v/>
      </c>
      <c r="M1374" s="6">
        <f>HYPERLINK("https://map.naver.com/p/search/아름동 1365", "지도Link")</f>
        <v/>
      </c>
      <c r="N1374" s="6">
        <f>HYPERLINK("http://www.eum.go.kr/web/ar/lu/luLandDet.jsp?pnu=3611011300113650000&amp;isNoScr=script&amp;mode=search", "토지이음")</f>
        <v/>
      </c>
      <c r="O1374" s="3" t="inlineStr">
        <is>
          <t>세종무지개</t>
        </is>
      </c>
      <c r="P1374" s="4" t="n">
        <v>1</v>
      </c>
      <c r="Q1374" s="4" t="n">
        <v>342.1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중로각지</t>
        </is>
      </c>
    </row>
    <row r="1375">
      <c r="A1375" s="3" t="inlineStr">
        <is>
          <t>아름동 1365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342</v>
      </c>
      <c r="H1375" s="4" t="n">
        <v>103</v>
      </c>
      <c r="I1375" s="5" t="n">
        <v>504.9</v>
      </c>
      <c r="J1375" s="5" t="n">
        <v>380.5</v>
      </c>
      <c r="K1375" s="3" t="inlineStr">
        <is>
          <t>103.7p, 삼거리 코너자리, 왼쪽 토지 활용도 높은 좋은 위치</t>
        </is>
      </c>
      <c r="L1375" s="6">
        <f>HYPERLINK("https://fin.land.naver.com/articles/2654920262", "매물Link")</f>
        <v/>
      </c>
      <c r="M1375" s="6">
        <f>HYPERLINK("https://map.naver.com/p/search/아름동 1365", "지도Link")</f>
        <v/>
      </c>
      <c r="N1375" s="6">
        <f>HYPERLINK("http://www.eum.go.kr/web/ar/lu/luLandDet.jsp?pnu=3611011300113650000&amp;isNoScr=script&amp;mode=search", "토지이음")</f>
        <v/>
      </c>
      <c r="O1375" s="3" t="inlineStr">
        <is>
          <t>명진</t>
        </is>
      </c>
      <c r="P1375" s="4" t="n">
        <v>1</v>
      </c>
      <c r="Q1375" s="4" t="n">
        <v>342.1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아름동 1370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66000</v>
      </c>
      <c r="G1376" s="4" t="n">
        <v>365</v>
      </c>
      <c r="H1376" s="4" t="n">
        <v>110</v>
      </c>
      <c r="I1376" s="5" t="n">
        <v>600</v>
      </c>
      <c r="J1376" s="5" t="n">
        <v>338.2</v>
      </c>
      <c r="K1376" s="3" t="inlineStr">
        <is>
          <t>(급매) 단독주택 건축을 고려하시면 추천합니다.</t>
        </is>
      </c>
      <c r="L1376" s="6">
        <f>HYPERLINK("https://fin.land.naver.com/articles/2650054888", "매물Link")</f>
        <v/>
      </c>
      <c r="M1376" s="6">
        <f>HYPERLINK("https://map.naver.com/p/search/아름동 1370", "지도Link")</f>
        <v/>
      </c>
      <c r="N1376" s="6">
        <f>HYPERLINK("http://www.eum.go.kr/web/ar/lu/luLandDet.jsp?pnu=3611011300113700000&amp;isNoScr=script&amp;mode=search", "토지이음")</f>
        <v/>
      </c>
      <c r="O1376" s="3" t="inlineStr">
        <is>
          <t>리치빌아주</t>
        </is>
      </c>
      <c r="P1376" s="4" t="n">
        <v>1</v>
      </c>
      <c r="Q1376" s="4" t="n">
        <v>365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1370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363</v>
      </c>
      <c r="H1377" s="4" t="n">
        <v>110</v>
      </c>
      <c r="I1377" s="5" t="n">
        <v>545.5</v>
      </c>
      <c r="J1377" s="5" t="n">
        <v>338.2</v>
      </c>
      <c r="K1377" s="3" t="inlineStr">
        <is>
          <t>아름동 단독주택 토지매매, 위치 좋은 자리</t>
        </is>
      </c>
      <c r="L1377" s="6">
        <f>HYPERLINK("https://fin.land.naver.com/articles/2655487443", "매물Link")</f>
        <v/>
      </c>
      <c r="M1377" s="6">
        <f>HYPERLINK("https://map.naver.com/p/search/아름동 1370", "지도Link")</f>
        <v/>
      </c>
      <c r="N1377" s="6">
        <f>HYPERLINK("http://www.eum.go.kr/web/ar/lu/luLandDet.jsp?pnu=3611011300113700000&amp;isNoScr=script&amp;mode=search", "토지이음")</f>
        <v/>
      </c>
      <c r="O1377" s="3" t="inlineStr">
        <is>
          <t>세종무지개</t>
        </is>
      </c>
      <c r="P1377" s="4" t="n">
        <v>1</v>
      </c>
      <c r="Q1377" s="4" t="n">
        <v>365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1380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45000</v>
      </c>
      <c r="G1378" s="4" t="n">
        <v>300</v>
      </c>
      <c r="H1378" s="4" t="n">
        <v>91</v>
      </c>
      <c r="I1378" s="5" t="n">
        <v>494.5</v>
      </c>
      <c r="J1378" s="5" t="n">
        <v>352.4</v>
      </c>
      <c r="K1378" s="3" t="inlineStr">
        <is>
          <t>급매 아름동학원가, 상권이용편리로얄택지, 금액조율가능, 추천매매</t>
        </is>
      </c>
      <c r="L1378" s="6">
        <f>HYPERLINK("https://fin.land.naver.com/articles/2650559948", "매물Link")</f>
        <v/>
      </c>
      <c r="M1378" s="6">
        <f>HYPERLINK("https://map.naver.com/p/search/아름동 1380", "지도Link")</f>
        <v/>
      </c>
      <c r="N1378" s="6">
        <f>HYPERLINK("http://www.eum.go.kr/web/ar/lu/luLandDet.jsp?pnu=3611011300113800000&amp;isNoScr=script&amp;mode=search", "토지이음")</f>
        <v/>
      </c>
      <c r="O1378" s="3" t="inlineStr">
        <is>
          <t>한방</t>
        </is>
      </c>
      <c r="P1378" s="4" t="n">
        <v>1</v>
      </c>
      <c r="Q1378" s="4" t="n">
        <v>300.2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1380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45000</v>
      </c>
      <c r="G1379" s="4" t="n">
        <v>300</v>
      </c>
      <c r="H1379" s="4" t="n">
        <v>91</v>
      </c>
      <c r="I1379" s="5" t="n">
        <v>494.5</v>
      </c>
      <c r="J1379" s="5" t="n">
        <v>352.4</v>
      </c>
      <c r="K1379" s="3" t="inlineStr">
        <is>
          <t>급매, 총 91p, 삼거리코너, 아파트 단지 밑</t>
        </is>
      </c>
      <c r="L1379" s="6">
        <f>HYPERLINK("https://fin.land.naver.com/articles/2652838634", "매물Link")</f>
        <v/>
      </c>
      <c r="M1379" s="6">
        <f>HYPERLINK("https://map.naver.com/p/search/아름동 1380", "지도Link")</f>
        <v/>
      </c>
      <c r="N1379" s="6">
        <f>HYPERLINK("http://www.eum.go.kr/web/ar/lu/luLandDet.jsp?pnu=3611011300113800000&amp;isNoScr=script&amp;mode=search",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300.2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1380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300</v>
      </c>
      <c r="H1380" s="4" t="n">
        <v>91</v>
      </c>
      <c r="I1380" s="5" t="n">
        <v>494.5</v>
      </c>
      <c r="J1380" s="5" t="n">
        <v>352.4</v>
      </c>
      <c r="K1380" s="3" t="inlineStr">
        <is>
          <t>아름동 주택지 저렴한 가격 급매, 코너각지, 위치좋음</t>
        </is>
      </c>
      <c r="L1380" s="6">
        <f>HYPERLINK("https://fin.land.naver.com/articles/2653003304", "매물Link")</f>
        <v/>
      </c>
      <c r="M1380" s="6">
        <f>HYPERLINK("https://map.naver.com/p/search/아름동 1380", "지도Link")</f>
        <v/>
      </c>
      <c r="N1380" s="6">
        <f>HYPERLINK("http://www.eum.go.kr/web/ar/lu/luLandDet.jsp?pnu=3611011300113800000&amp;isNoScr=script&amp;mode=search", "토지이음")</f>
        <v/>
      </c>
      <c r="O1380" s="3" t="inlineStr">
        <is>
          <t>OK세종 사무소</t>
        </is>
      </c>
      <c r="P1380" s="4" t="n">
        <v>2</v>
      </c>
      <c r="Q1380" s="4" t="n">
        <v>300.2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1380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300</v>
      </c>
      <c r="H1381" s="4" t="n">
        <v>91</v>
      </c>
      <c r="I1381" s="5" t="n">
        <v>494.5</v>
      </c>
      <c r="J1381" s="5" t="n">
        <v>352.4</v>
      </c>
      <c r="K1381" s="3" t="inlineStr">
        <is>
          <t>D8중 최저가.네고 가능.초,중,고 가깝고,마트.교통까지 편리</t>
        </is>
      </c>
      <c r="L1381" s="6">
        <f>HYPERLINK("https://fin.land.naver.com/articles/2650707273", "매물Link")</f>
        <v/>
      </c>
      <c r="M1381" s="6">
        <f>HYPERLINK("https://map.naver.com/p/search/아름동 1380", "지도Link")</f>
        <v/>
      </c>
      <c r="N1381" s="6">
        <f>HYPERLINK("http://www.eum.go.kr/web/ar/lu/luLandDet.jsp?pnu=3611011300113800000&amp;isNoScr=script&amp;mode=search", "토지이음")</f>
        <v/>
      </c>
      <c r="O1381" s="3" t="inlineStr">
        <is>
          <t>수자인</t>
        </is>
      </c>
      <c r="P1381" s="4" t="n">
        <v>1</v>
      </c>
      <c r="Q1381" s="4" t="n">
        <v>300.2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1380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45000</v>
      </c>
      <c r="G1382" s="4" t="n">
        <v>300</v>
      </c>
      <c r="H1382" s="4" t="n">
        <v>91</v>
      </c>
      <c r="I1382" s="5" t="n">
        <v>494.5</v>
      </c>
      <c r="J1382" s="5" t="n">
        <v>352.4</v>
      </c>
      <c r="K1382" s="3" t="inlineStr">
        <is>
          <t>위치좋고 상권가까운 조율가능 학교 학원 상가 도보로 5분거리</t>
        </is>
      </c>
      <c r="L1382" s="6">
        <f>HYPERLINK("https://fin.land.naver.com/articles/2655578514", "매물Link")</f>
        <v/>
      </c>
      <c r="M1382" s="6">
        <f>HYPERLINK("https://map.naver.com/p/search/아름동 1380", "지도Link")</f>
        <v/>
      </c>
      <c r="N1382" s="6">
        <f>HYPERLINK("http://www.eum.go.kr/web/ar/lu/luLandDet.jsp?pnu=3611011300113800000&amp;isNoScr=script&amp;mode=search", "토지이음")</f>
        <v/>
      </c>
      <c r="O1382" s="3" t="inlineStr">
        <is>
          <t>은성</t>
        </is>
      </c>
      <c r="P1382" s="4" t="n">
        <v>12</v>
      </c>
      <c r="Q1382" s="4" t="n">
        <v>300.2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1380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45000</v>
      </c>
      <c r="G1383" s="4" t="n">
        <v>300</v>
      </c>
      <c r="H1383" s="4" t="n">
        <v>91</v>
      </c>
      <c r="I1383" s="5" t="n">
        <v>494.5</v>
      </c>
      <c r="J1383" s="5" t="n">
        <v>352.4</v>
      </c>
      <c r="K1383" s="3" t="inlineStr">
        <is>
          <t>총 91p, 삼거리 코너, 단지 인접, 급매</t>
        </is>
      </c>
      <c r="L1383" s="6">
        <f>HYPERLINK("https://fin.land.naver.com/articles/2654223009", "매물Link")</f>
        <v/>
      </c>
      <c r="M1383" s="6">
        <f>HYPERLINK("https://map.naver.com/p/search/아름동 1380", "지도Link")</f>
        <v/>
      </c>
      <c r="N1383" s="6">
        <f>HYPERLINK("http://www.eum.go.kr/web/ar/lu/luLandDet.jsp?pnu=3611011300113800000&amp;isNoScr=script&amp;mode=search",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300.2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소로각지</t>
        </is>
      </c>
    </row>
    <row r="1384">
      <c r="A1384" s="3" t="inlineStr">
        <is>
          <t>아름동 1380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45000</v>
      </c>
      <c r="G1384" s="4" t="n">
        <v>300</v>
      </c>
      <c r="H1384" s="4" t="n">
        <v>91</v>
      </c>
      <c r="I1384" s="5" t="n">
        <v>494.5</v>
      </c>
      <c r="J1384" s="5" t="n">
        <v>352.4</v>
      </c>
      <c r="K1384" s="3" t="inlineStr">
        <is>
          <t>급매, 학교, 편의시설, 정부청사 가까워 생활편리, 보행도로접 코너각지</t>
        </is>
      </c>
      <c r="L1384" s="6">
        <f>HYPERLINK("https://fin.land.naver.com/articles/2655652433", "매물Link")</f>
        <v/>
      </c>
      <c r="M1384" s="6">
        <f>HYPERLINK("https://map.naver.com/p/search/아름동 1380", "지도Link")</f>
        <v/>
      </c>
      <c r="N1384" s="6">
        <f>HYPERLINK("http://www.eum.go.kr/web/ar/lu/luLandDet.jsp?pnu=3611011300113800000&amp;isNoScr=script&amp;mode=search",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300.2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소로각지</t>
        </is>
      </c>
    </row>
    <row r="1385">
      <c r="A1385" s="3" t="inlineStr">
        <is>
          <t>아름동 1390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65000</v>
      </c>
      <c r="G1385" s="4" t="n">
        <v>304</v>
      </c>
      <c r="H1385" s="4" t="n">
        <v>92</v>
      </c>
      <c r="I1385" s="5" t="n">
        <v>706.5</v>
      </c>
      <c r="J1385" s="5" t="n">
        <v>338.2</v>
      </c>
      <c r="K1385" s="3" t="inlineStr">
        <is>
          <t>nan</t>
        </is>
      </c>
      <c r="L1385" s="6">
        <f>HYPERLINK("https://fin.land.naver.com/articles/2655009804", "매물Link")</f>
        <v/>
      </c>
      <c r="M1385" s="6">
        <f>HYPERLINK("https://map.naver.com/p/search/아름동 1390", "지도Link")</f>
        <v/>
      </c>
      <c r="N1385" s="6">
        <f>HYPERLINK("http://www.eum.go.kr/web/ar/lu/luLandDet.jsp?pnu=3611011300113900000&amp;isNoScr=script&amp;mode=search", "토지이음")</f>
        <v/>
      </c>
      <c r="O1385" s="3" t="inlineStr">
        <is>
          <t>디아트성심</t>
        </is>
      </c>
      <c r="P1385" s="4" t="n">
        <v>1</v>
      </c>
      <c r="Q1385" s="4" t="n">
        <v>304.2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1392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304</v>
      </c>
      <c r="H1386" s="4" t="n">
        <v>92</v>
      </c>
      <c r="I1386" s="5" t="n">
        <v>652.2</v>
      </c>
      <c r="J1386" s="5" t="n">
        <v>352.4</v>
      </c>
      <c r="K1386" s="3" t="inlineStr">
        <is>
          <t>학원가와 가까운 입지의 코너 토지 급매매</t>
        </is>
      </c>
      <c r="L1386" s="6">
        <f>HYPERLINK("https://fin.land.naver.com/articles/2651281497", "매물Link")</f>
        <v/>
      </c>
      <c r="M1386" s="6">
        <f>HYPERLINK("https://map.naver.com/p/search/아름동 1392", "지도Link")</f>
        <v/>
      </c>
      <c r="N1386" s="6">
        <f>HYPERLINK("http://www.eum.go.kr/web/ar/lu/luLandDet.jsp?pnu=3611011300113920000&amp;isNoScr=script&amp;mode=search", "토지이음")</f>
        <v/>
      </c>
      <c r="O1386" s="3" t="inlineStr">
        <is>
          <t>킹세종</t>
        </is>
      </c>
      <c r="P1386" s="4" t="n">
        <v>1</v>
      </c>
      <c r="Q1386" s="4" t="n">
        <v>304.3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1418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303</v>
      </c>
      <c r="H1387" s="4" t="n">
        <v>92</v>
      </c>
      <c r="I1387" s="5" t="n">
        <v>597.8</v>
      </c>
      <c r="J1387" s="5" t="n">
        <v>352.4</v>
      </c>
      <c r="K1387" s="3" t="inlineStr">
        <is>
          <t>92.1p, 초급매, 가격조율가능, 코너최고자리</t>
        </is>
      </c>
      <c r="L1387" s="6">
        <f>HYPERLINK("https://fin.land.naver.com/articles/2654924787", "매물Link")</f>
        <v/>
      </c>
      <c r="M1387" s="6">
        <f>HYPERLINK("https://map.naver.com/p/search/아름동 1418", "지도Link")</f>
        <v/>
      </c>
      <c r="N1387" s="6">
        <f>HYPERLINK("http://www.eum.go.kr/web/ar/lu/luLandDet.jsp?pnu=3611011300114180000&amp;isNoScr=script&amp;mode=search",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303.9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1418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303</v>
      </c>
      <c r="H1388" s="4" t="n">
        <v>92</v>
      </c>
      <c r="I1388" s="5" t="n">
        <v>597.8</v>
      </c>
      <c r="J1388" s="5" t="n">
        <v>352.4</v>
      </c>
      <c r="K1388" s="3" t="inlineStr">
        <is>
          <t>코너각지 홈플러스인근 아름동학원가 인접 조율가능</t>
        </is>
      </c>
      <c r="L1388" s="6">
        <f>HYPERLINK("https://fin.land.naver.com/articles/2655177594", "매물Link")</f>
        <v/>
      </c>
      <c r="M1388" s="6">
        <f>HYPERLINK("https://map.naver.com/p/search/아름동 1418", "지도Link")</f>
        <v/>
      </c>
      <c r="N1388" s="6">
        <f>HYPERLINK("http://www.eum.go.kr/web/ar/lu/luLandDet.jsp?pnu=3611011300114180000&amp;isNoScr=script&amp;mode=search", "토지이음")</f>
        <v/>
      </c>
      <c r="O1388" s="3" t="inlineStr">
        <is>
          <t>세종스타</t>
        </is>
      </c>
      <c r="P1388" s="4" t="n">
        <v>1</v>
      </c>
      <c r="Q1388" s="4" t="n">
        <v>303.9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소로각지</t>
        </is>
      </c>
    </row>
    <row r="1389">
      <c r="A1389" s="3" t="inlineStr">
        <is>
          <t>아름동 1420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70000</v>
      </c>
      <c r="G1389" s="4" t="n">
        <v>303</v>
      </c>
      <c r="H1389" s="4" t="n">
        <v>92</v>
      </c>
      <c r="I1389" s="5" t="n">
        <v>760.9</v>
      </c>
      <c r="J1389" s="5" t="n">
        <v>338.2</v>
      </c>
      <c r="K1389" s="3" t="inlineStr">
        <is>
          <t>92.1p, 단지 바로 옆, 아름동 단독주택지</t>
        </is>
      </c>
      <c r="L1389" s="6">
        <f>HYPERLINK("https://fin.land.naver.com/articles/2654703335", "매물Link")</f>
        <v/>
      </c>
      <c r="M1389" s="6">
        <f>HYPERLINK("https://map.naver.com/p/search/아름동 1420", "지도Link")</f>
        <v/>
      </c>
      <c r="N1389" s="6">
        <f>HYPERLINK("http://www.eum.go.kr/web/ar/lu/luLandDet.jsp?pnu=3611011300114200000&amp;isNoScr=script&amp;mode=search",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303.9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1443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344</v>
      </c>
      <c r="H1390" s="4" t="n">
        <v>104</v>
      </c>
      <c r="I1390" s="5" t="n">
        <v>625</v>
      </c>
      <c r="J1390" s="5" t="n">
        <v>338.2</v>
      </c>
      <c r="K1390" s="3" t="inlineStr">
        <is>
          <t>접근성 좋은 아름동 택지</t>
        </is>
      </c>
      <c r="L1390" s="6">
        <f>HYPERLINK("https://fin.land.naver.com/articles/2652794578", "매물Link")</f>
        <v/>
      </c>
      <c r="M1390" s="6">
        <f>HYPERLINK("https://map.naver.com/p/search/아름동 1443", "지도Link")</f>
        <v/>
      </c>
      <c r="N1390" s="6">
        <f>HYPERLINK("http://www.eum.go.kr/web/ar/lu/luLandDet.jsp?pnu=3611011300114430000&amp;isNoScr=script&amp;mode=search", "토지이음")</f>
        <v/>
      </c>
      <c r="O1390" s="3" t="inlineStr">
        <is>
          <t>강아지풀</t>
        </is>
      </c>
      <c r="P1390" s="4" t="n">
        <v>1</v>
      </c>
      <c r="Q1390" s="4" t="n">
        <v>344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아름동 1443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344</v>
      </c>
      <c r="H1391" s="4" t="n">
        <v>104</v>
      </c>
      <c r="I1391" s="5" t="n">
        <v>625</v>
      </c>
      <c r="J1391" s="5" t="n">
        <v>338.2</v>
      </c>
      <c r="K1391" s="3" t="inlineStr">
        <is>
          <t>단독주택지.대지</t>
        </is>
      </c>
      <c r="L1391" s="6">
        <f>HYPERLINK("https://fin.land.naver.com/articles/2651582608", "매물Link")</f>
        <v/>
      </c>
      <c r="M1391" s="6">
        <f>HYPERLINK("https://map.naver.com/p/search/아름동 1443", "지도Link")</f>
        <v/>
      </c>
      <c r="N1391" s="6">
        <f>HYPERLINK("http://www.eum.go.kr/web/ar/lu/luLandDet.jsp?pnu=3611011300114430000&amp;isNoScr=script&amp;mode=search", "토지이음")</f>
        <v/>
      </c>
      <c r="O1391" s="3" t="inlineStr">
        <is>
          <t>세종몽땅</t>
        </is>
      </c>
      <c r="P1391" s="4" t="n">
        <v>1</v>
      </c>
      <c r="Q1391" s="4" t="n">
        <v>344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아름동 1452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319</v>
      </c>
      <c r="H1392" s="4" t="n">
        <v>96</v>
      </c>
      <c r="I1392" s="5" t="n">
        <v>572.9</v>
      </c>
      <c r="J1392" s="5" t="n">
        <v>334.5</v>
      </c>
      <c r="K1392" s="3" t="inlineStr">
        <is>
          <t>96.7p, 단지 맞은편, 사거리 코너자리</t>
        </is>
      </c>
      <c r="L1392" s="6">
        <f>HYPERLINK("https://fin.land.naver.com/articles/2653565169", "매물Link")</f>
        <v/>
      </c>
      <c r="M1392" s="6">
        <f>HYPERLINK("https://map.naver.com/p/search/아름동 1452", "지도Link")</f>
        <v/>
      </c>
      <c r="N1392" s="6">
        <f>HYPERLINK("http://www.eum.go.kr/web/ar/lu/luLandDet.jsp?pnu=3611011300114520000&amp;isNoScr=script&amp;mode=search", "토지이음")</f>
        <v/>
      </c>
      <c r="O1392" s="3" t="inlineStr">
        <is>
          <t>세종무지개</t>
        </is>
      </c>
      <c r="P1392" s="4" t="n">
        <v>1</v>
      </c>
      <c r="Q1392" s="4" t="n">
        <v>319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아름동 1452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55000</v>
      </c>
      <c r="G1393" s="4" t="n">
        <v>319</v>
      </c>
      <c r="H1393" s="4" t="n">
        <v>96</v>
      </c>
      <c r="I1393" s="5" t="n">
        <v>572.9</v>
      </c>
      <c r="J1393" s="5" t="n">
        <v>334.5</v>
      </c>
      <c r="K1393" s="3" t="inlineStr">
        <is>
          <t>총 96.7p, 12단지 맞은편 위치좋은 단독주택지</t>
        </is>
      </c>
      <c r="L1393" s="6">
        <f>HYPERLINK("https://fin.land.naver.com/articles/2651908937", "매물Link")</f>
        <v/>
      </c>
      <c r="M1393" s="6">
        <f>HYPERLINK("https://map.naver.com/p/search/아름동 1452", "지도Link")</f>
        <v/>
      </c>
      <c r="N1393" s="6">
        <f>HYPERLINK("http://www.eum.go.kr/web/ar/lu/luLandDet.jsp?pnu=3611011300114520000&amp;isNoScr=script&amp;mode=search",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319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아름동 815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120000</v>
      </c>
      <c r="G1394" s="4" t="n">
        <v>500</v>
      </c>
      <c r="H1394" s="4" t="n">
        <v>151</v>
      </c>
      <c r="I1394" s="5" t="n">
        <v>794.7</v>
      </c>
      <c r="J1394" s="5" t="n">
        <v>172.1</v>
      </c>
      <c r="K1394" s="3" t="inlineStr">
        <is>
          <t>데이터센터, 방송국 사옥부지, 조율가능, 정보통신업 추천</t>
        </is>
      </c>
      <c r="L1394" s="6">
        <f>HYPERLINK("https://fin.land.naver.com/articles/2653569005", "매물Link")</f>
        <v/>
      </c>
      <c r="M1394" s="6">
        <f>HYPERLINK("https://map.naver.com/p/search/아름동 815", "지도Link")</f>
        <v/>
      </c>
      <c r="N1394" s="6">
        <f>HYPERLINK("http://www.eum.go.kr/web/ar/lu/luLandDet.jsp?pnu=3611011300108150000&amp;isNoScr=script&amp;mode=search",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도로등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지정되지않음</t>
        </is>
      </c>
    </row>
    <row r="1395">
      <c r="A1395" s="3" t="inlineStr">
        <is>
          <t>아름동 815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120000</v>
      </c>
      <c r="G1395" s="4" t="n">
        <v>500</v>
      </c>
      <c r="H1395" s="4" t="n">
        <v>151</v>
      </c>
      <c r="I1395" s="5" t="n">
        <v>794.7</v>
      </c>
      <c r="J1395" s="5" t="n">
        <v>172.1</v>
      </c>
      <c r="K1395" s="3" t="inlineStr">
        <is>
          <t>151.5p, 데이터센터, 방송관련 사옥 추천, 조율가능, 입지좋은 토지</t>
        </is>
      </c>
      <c r="L1395" s="6">
        <f>HYPERLINK("https://fin.land.naver.com/articles/2654888844", "매물Link")</f>
        <v/>
      </c>
      <c r="M1395" s="6">
        <f>HYPERLINK("https://map.naver.com/p/search/아름동 815", "지도Link")</f>
        <v/>
      </c>
      <c r="N1395" s="6">
        <f>HYPERLINK("http://www.eum.go.kr/web/ar/lu/luLandDet.jsp?pnu=3611011300108150000&amp;isNoScr=script&amp;mode=search",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500</v>
      </c>
      <c r="R1395" s="3" t="inlineStr">
        <is>
          <t>지정되지않음</t>
        </is>
      </c>
      <c r="S1395" s="3" t="inlineStr">
        <is>
          <t>도로등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지정되지않음</t>
        </is>
      </c>
    </row>
    <row r="1396">
      <c r="A1396" s="3" t="inlineStr">
        <is>
          <t>아름동 815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120000</v>
      </c>
      <c r="G1396" s="4" t="n">
        <v>500</v>
      </c>
      <c r="H1396" s="4" t="n">
        <v>151</v>
      </c>
      <c r="I1396" s="5" t="n">
        <v>794.7</v>
      </c>
      <c r="J1396" s="5" t="n">
        <v>172.1</v>
      </c>
      <c r="K1396" s="3" t="inlineStr">
        <is>
          <t>조율가능 도심 데이터센터 사옥 방송국 통신사 데이터센터 출판사 프로그래밍</t>
        </is>
      </c>
      <c r="L1396" s="6">
        <f>HYPERLINK("https://fin.land.naver.com/articles/2655253827", "매물Link")</f>
        <v/>
      </c>
      <c r="M1396" s="6">
        <f>HYPERLINK("https://map.naver.com/p/search/아름동 815", "지도Link")</f>
        <v/>
      </c>
      <c r="N1396" s="6">
        <f>HYPERLINK("http://www.eum.go.kr/web/ar/lu/luLandDet.jsp?pnu=3611011300108150000&amp;isNoScr=script&amp;mode=search", "토지이음")</f>
        <v/>
      </c>
      <c r="O1396" s="3" t="inlineStr">
        <is>
          <t>세종스타</t>
        </is>
      </c>
      <c r="P1396" s="4" t="n">
        <v>2</v>
      </c>
      <c r="Q1396" s="4" t="n">
        <v>500</v>
      </c>
      <c r="R1396" s="3" t="inlineStr">
        <is>
          <t>지정되지않음</t>
        </is>
      </c>
      <c r="S1396" s="3" t="inlineStr">
        <is>
          <t>도로등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지정되지않음</t>
        </is>
      </c>
    </row>
    <row r="1397">
      <c r="A1397" s="3" t="inlineStr">
        <is>
          <t>아름동 826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65000</v>
      </c>
      <c r="G1397" s="4" t="n">
        <v>305</v>
      </c>
      <c r="H1397" s="4" t="n">
        <v>92</v>
      </c>
      <c r="I1397" s="5" t="n">
        <v>706.5</v>
      </c>
      <c r="J1397" s="5" t="n">
        <v>339.5</v>
      </c>
      <c r="K1397" s="3" t="inlineStr">
        <is>
          <t>국제고 인근, 충대병원 가까운 아름동 단독주택 토지매매</t>
        </is>
      </c>
      <c r="L1397" s="6">
        <f>HYPERLINK("https://fin.land.naver.com/articles/2652839214", "매물Link")</f>
        <v/>
      </c>
      <c r="M1397" s="6">
        <f>HYPERLINK("https://map.naver.com/p/search/아름동 826", "지도Link")</f>
        <v/>
      </c>
      <c r="N1397" s="6">
        <f>HYPERLINK("http://www.eum.go.kr/web/ar/lu/luLandDet.jsp?pnu=3611011300108260000&amp;isNoScr=script&amp;mode=search", "토지이음")</f>
        <v/>
      </c>
      <c r="O1397" s="3" t="inlineStr">
        <is>
          <t>세종무지개</t>
        </is>
      </c>
      <c r="P1397" s="4" t="n">
        <v>1</v>
      </c>
      <c r="Q1397" s="4" t="n">
        <v>305.5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아름동 826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65000</v>
      </c>
      <c r="G1398" s="4" t="n">
        <v>305</v>
      </c>
      <c r="H1398" s="4" t="n">
        <v>92</v>
      </c>
      <c r="I1398" s="5" t="n">
        <v>706.5</v>
      </c>
      <c r="J1398" s="5" t="n">
        <v>339.5</v>
      </c>
      <c r="K1398" s="3" t="inlineStr">
        <is>
          <t>조율가능 국제고인근 시유지접함 언덕택지</t>
        </is>
      </c>
      <c r="L1398" s="6">
        <f>HYPERLINK("https://fin.land.naver.com/articles/2655021697", "매물Link")</f>
        <v/>
      </c>
      <c r="M1398" s="6">
        <f>HYPERLINK("https://map.naver.com/p/search/아름동 826", "지도Link")</f>
        <v/>
      </c>
      <c r="N1398" s="6">
        <f>HYPERLINK("http://www.eum.go.kr/web/ar/lu/luLandDet.jsp?pnu=3611011300108260000&amp;isNoScr=script&amp;mode=search", "토지이음")</f>
        <v/>
      </c>
      <c r="O1398" s="3" t="inlineStr">
        <is>
          <t>세종스타</t>
        </is>
      </c>
      <c r="P1398" s="4" t="n">
        <v>1</v>
      </c>
      <c r="Q1398" s="4" t="n">
        <v>305.5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정방형</t>
        </is>
      </c>
      <c r="V1398" s="3" t="inlineStr">
        <is>
          <t>소로한면</t>
        </is>
      </c>
    </row>
    <row r="1399">
      <c r="A1399" s="3" t="inlineStr">
        <is>
          <t>아름동 826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65000</v>
      </c>
      <c r="G1399" s="4" t="n">
        <v>305</v>
      </c>
      <c r="H1399" s="4" t="n">
        <v>92</v>
      </c>
      <c r="I1399" s="5" t="n">
        <v>706.5</v>
      </c>
      <c r="J1399" s="5" t="n">
        <v>339.5</v>
      </c>
      <c r="K1399" s="3" t="inlineStr">
        <is>
          <t>아름동 국제고 인근, 입지좋은 단독주택 토지매매</t>
        </is>
      </c>
      <c r="L1399" s="6">
        <f>HYPERLINK("https://fin.land.naver.com/articles/2654227049", "매물Link")</f>
        <v/>
      </c>
      <c r="M1399" s="6">
        <f>HYPERLINK("https://map.naver.com/p/search/아름동 826", "지도Link")</f>
        <v/>
      </c>
      <c r="N1399" s="6">
        <f>HYPERLINK("http://www.eum.go.kr/web/ar/lu/luLandDet.jsp?pnu=3611011300108260000&amp;isNoScr=script&amp;mode=search",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305.5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정방형</t>
        </is>
      </c>
      <c r="V1399" s="3" t="inlineStr">
        <is>
          <t>소로한면</t>
        </is>
      </c>
    </row>
    <row r="1400">
      <c r="A1400" s="3" t="inlineStr">
        <is>
          <t>아름동 863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80000</v>
      </c>
      <c r="G1400" s="4" t="n">
        <v>316</v>
      </c>
      <c r="H1400" s="4" t="n">
        <v>96</v>
      </c>
      <c r="I1400" s="5" t="n">
        <v>833.3</v>
      </c>
      <c r="J1400" s="5" t="n">
        <v>339.8</v>
      </c>
      <c r="K1400" s="3" t="inlineStr">
        <is>
          <t>세종 국제고, 영재고, 충대병원, 공원인접한 살기 좋은 동네 택지</t>
        </is>
      </c>
      <c r="L1400" s="6">
        <f>HYPERLINK("https://fin.land.naver.com/articles/2650958863", "매물Link")</f>
        <v/>
      </c>
      <c r="M1400" s="6">
        <f>HYPERLINK("https://map.naver.com/p/search/아름동 863", "지도Link")</f>
        <v/>
      </c>
      <c r="N1400" s="6">
        <f>HYPERLINK("http://www.eum.go.kr/web/ar/lu/luLandDet.jsp?pnu=3611011300108630000&amp;isNoScr=script&amp;mode=search", "토지이음")</f>
        <v/>
      </c>
      <c r="O1400" s="3" t="inlineStr">
        <is>
          <t>새롬삼둥이</t>
        </is>
      </c>
      <c r="P1400" s="4" t="n">
        <v>2</v>
      </c>
      <c r="Q1400" s="4" t="n">
        <v>316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874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70000</v>
      </c>
      <c r="G1401" s="4" t="n">
        <v>340</v>
      </c>
      <c r="H1401" s="4" t="n">
        <v>103</v>
      </c>
      <c r="I1401" s="5" t="n">
        <v>679.6</v>
      </c>
      <c r="J1401" s="5" t="n">
        <v>339.5</v>
      </c>
      <c r="K1401" s="3" t="inlineStr">
        <is>
          <t>103p, 충대병원인근, 아름동 입지좋은 토지</t>
        </is>
      </c>
      <c r="L1401" s="6">
        <f>HYPERLINK("https://fin.land.naver.com/articles/2654694214", "매물Link")</f>
        <v/>
      </c>
      <c r="M1401" s="6">
        <f>HYPERLINK("https://map.naver.com/p/search/아름동 874", "지도Link")</f>
        <v/>
      </c>
      <c r="N1401" s="6">
        <f>HYPERLINK("http://www.eum.go.kr/web/ar/lu/luLandDet.jsp?pnu=3611011300108740000&amp;isNoScr=script&amp;mode=search",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340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소로한면</t>
        </is>
      </c>
    </row>
    <row r="1402">
      <c r="A1402" s="3" t="inlineStr">
        <is>
          <t>아름동 879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59000</v>
      </c>
      <c r="G1402" s="4" t="n">
        <v>321</v>
      </c>
      <c r="H1402" s="4" t="n">
        <v>97</v>
      </c>
      <c r="I1402" s="5" t="n">
        <v>608.2</v>
      </c>
      <c r="J1402" s="5" t="n">
        <v>339.8</v>
      </c>
      <c r="K1402" s="3" t="inlineStr">
        <is>
          <t>급매 ,아름동 최상 택지,충남대병원 인접 생활권 편리,어린이공원접</t>
        </is>
      </c>
      <c r="L1402" s="6">
        <f>HYPERLINK("https://fin.land.naver.com/articles/2650851626", "매물Link")</f>
        <v/>
      </c>
      <c r="M1402" s="6">
        <f>HYPERLINK("https://map.naver.com/p/search/아름동 879", "지도Link")</f>
        <v/>
      </c>
      <c r="N1402" s="6">
        <f>HYPERLINK("http://www.eum.go.kr/web/ar/lu/luLandDet.jsp?pnu=3611011300108790000&amp;isNoScr=script&amp;mode=search", "토지이음")</f>
        <v/>
      </c>
      <c r="O1402" s="3" t="inlineStr">
        <is>
          <t>고운맘</t>
        </is>
      </c>
      <c r="P1402" s="4" t="n">
        <v>1</v>
      </c>
      <c r="Q1402" s="4" t="n">
        <v>321.9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879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59000</v>
      </c>
      <c r="G1403" s="4" t="n">
        <v>321</v>
      </c>
      <c r="H1403" s="4" t="n">
        <v>97</v>
      </c>
      <c r="I1403" s="5" t="n">
        <v>608.2</v>
      </c>
      <c r="J1403" s="5" t="n">
        <v>339.8</v>
      </c>
      <c r="K1403" s="3" t="inlineStr">
        <is>
          <t>급매 뒤로 넓은 공원낀위치 우측 연결녹지 넓어 쾌적한곳</t>
        </is>
      </c>
      <c r="L1403" s="6">
        <f>HYPERLINK("https://fin.land.naver.com/articles/2652418910", "매물Link")</f>
        <v/>
      </c>
      <c r="M1403" s="6">
        <f>HYPERLINK("https://map.naver.com/p/search/아름동 879", "지도Link")</f>
        <v/>
      </c>
      <c r="N1403" s="6">
        <f>HYPERLINK("http://www.eum.go.kr/web/ar/lu/luLandDet.jsp?pnu=3611011300108790000&amp;isNoScr=script&amp;mode=search",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321.9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881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74000</v>
      </c>
      <c r="G1404" s="4" t="n">
        <v>326</v>
      </c>
      <c r="H1404" s="4" t="n">
        <v>99</v>
      </c>
      <c r="I1404" s="5" t="n">
        <v>747.5</v>
      </c>
      <c r="J1404" s="5" t="n">
        <v>339.8</v>
      </c>
      <c r="K1404" s="3" t="inlineStr">
        <is>
          <t>입출입이 편리한 단독주택지입니다.</t>
        </is>
      </c>
      <c r="L1404" s="6">
        <f>HYPERLINK("https://fin.land.naver.com/articles/2652479836", "매물Link")</f>
        <v/>
      </c>
      <c r="M1404" s="6">
        <f>HYPERLINK("https://map.naver.com/p/search/아름동 881", "지도Link")</f>
        <v/>
      </c>
      <c r="N1404" s="6">
        <f>HYPERLINK("http://www.eum.go.kr/web/ar/lu/luLandDet.jsp?pnu=3611011300108810000&amp;isNoScr=script&amp;mode=search", "토지이음")</f>
        <v/>
      </c>
      <c r="O1404" s="3" t="inlineStr">
        <is>
          <t>아름</t>
        </is>
      </c>
      <c r="P1404" s="4" t="n">
        <v>1</v>
      </c>
      <c r="Q1404" s="4" t="n">
        <v>326.2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900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70000</v>
      </c>
      <c r="G1405" s="4" t="n">
        <v>338</v>
      </c>
      <c r="H1405" s="4" t="n">
        <v>102</v>
      </c>
      <c r="I1405" s="5" t="n">
        <v>686.3</v>
      </c>
      <c r="J1405" s="5" t="n">
        <v>344.5</v>
      </c>
      <c r="K1405" s="3" t="inlineStr">
        <is>
          <t>nan</t>
        </is>
      </c>
      <c r="L1405" s="6">
        <f>HYPERLINK("https://fin.land.naver.com/articles/2655009959", "매물Link")</f>
        <v/>
      </c>
      <c r="M1405" s="6">
        <f>HYPERLINK("https://map.naver.com/p/search/아름동 900", "지도Link")</f>
        <v/>
      </c>
      <c r="N1405" s="6">
        <f>HYPERLINK("http://www.eum.go.kr/web/ar/lu/luLandDet.jsp?pnu=3611011300109000000&amp;isNoScr=script&amp;mode=search", "토지이음")</f>
        <v/>
      </c>
      <c r="O1405" s="3" t="inlineStr">
        <is>
          <t>디아트성심</t>
        </is>
      </c>
      <c r="P1405" s="4" t="n">
        <v>1</v>
      </c>
      <c r="Q1405" s="4" t="n">
        <v>338.4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914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80000</v>
      </c>
      <c r="G1406" s="4" t="n">
        <v>318</v>
      </c>
      <c r="H1406" s="4" t="n">
        <v>96</v>
      </c>
      <c r="I1406" s="5" t="n">
        <v>833.3</v>
      </c>
      <c r="J1406" s="5" t="n">
        <v>330.6</v>
      </c>
      <c r="K1406" s="3" t="inlineStr">
        <is>
          <t>네모 반듯한 예쁜 토지.국제고,영재고 인근.햇볕 잘 드는 최고의 토지.</t>
        </is>
      </c>
      <c r="L1406" s="6">
        <f>HYPERLINK("https://fin.land.naver.com/articles/2650707732", "매물Link")</f>
        <v/>
      </c>
      <c r="M1406" s="6">
        <f>HYPERLINK("https://map.naver.com/p/search/아름동 914", "지도Link")</f>
        <v/>
      </c>
      <c r="N1406" s="6">
        <f>HYPERLINK("http://www.eum.go.kr/web/ar/lu/luLandDet.jsp?pnu=3611011300109140000&amp;isNoScr=script&amp;mode=search", "토지이음")</f>
        <v/>
      </c>
      <c r="O1406" s="3" t="inlineStr">
        <is>
          <t>수자인</t>
        </is>
      </c>
      <c r="P1406" s="4" t="n">
        <v>1</v>
      </c>
      <c r="Q1406" s="4" t="n">
        <v>318.7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소로한면</t>
        </is>
      </c>
    </row>
    <row r="1407">
      <c r="A1407" s="3" t="inlineStr">
        <is>
          <t>아름동 925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82000</v>
      </c>
      <c r="G1407" s="4" t="n">
        <v>298</v>
      </c>
      <c r="H1407" s="4" t="n">
        <v>90</v>
      </c>
      <c r="I1407" s="5" t="n">
        <v>911.1</v>
      </c>
      <c r="J1407" s="5" t="n">
        <v>339.8</v>
      </c>
      <c r="K1407" s="3" t="inlineStr">
        <is>
          <t>90.6p, 국제고 인근, 공원인접, 조율가능</t>
        </is>
      </c>
      <c r="L1407" s="6">
        <f>HYPERLINK("https://fin.land.naver.com/articles/2650427336", "매물Link")</f>
        <v/>
      </c>
      <c r="M1407" s="6">
        <f>HYPERLINK("https://map.naver.com/p/search/아름동 925", "지도Link")</f>
        <v/>
      </c>
      <c r="N1407" s="6">
        <f>HYPERLINK("http://www.eum.go.kr/web/ar/lu/luLandDet.jsp?pnu=3611011300109250000&amp;isNoScr=script&amp;mode=search",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298.9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아름동 925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82000</v>
      </c>
      <c r="G1408" s="4" t="n">
        <v>298</v>
      </c>
      <c r="H1408" s="4" t="n">
        <v>90</v>
      </c>
      <c r="I1408" s="5" t="n">
        <v>911.1</v>
      </c>
      <c r="J1408" s="5" t="n">
        <v>339.8</v>
      </c>
      <c r="K1408" s="3" t="inlineStr">
        <is>
          <t>국제고인근 위치좋은 코너각지, 공원인접,보행로연결</t>
        </is>
      </c>
      <c r="L1408" s="6">
        <f>HYPERLINK("https://fin.land.naver.com/articles/2650825128", "매물Link")</f>
        <v/>
      </c>
      <c r="M1408" s="6">
        <f>HYPERLINK("https://map.naver.com/p/search/아름동 925", "지도Link")</f>
        <v/>
      </c>
      <c r="N1408" s="6">
        <f>HYPERLINK("http://www.eum.go.kr/web/ar/lu/luLandDet.jsp?pnu=3611011300109250000&amp;isNoScr=script&amp;mode=search", "토지이음")</f>
        <v/>
      </c>
      <c r="O1408" s="3" t="inlineStr">
        <is>
          <t>똑똑</t>
        </is>
      </c>
      <c r="P1408" s="4" t="n">
        <v>1</v>
      </c>
      <c r="Q1408" s="4" t="n">
        <v>298.9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아름동 925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82000</v>
      </c>
      <c r="G1409" s="4" t="n">
        <v>298</v>
      </c>
      <c r="H1409" s="4" t="n">
        <v>90</v>
      </c>
      <c r="I1409" s="5" t="n">
        <v>911.1</v>
      </c>
      <c r="J1409" s="5" t="n">
        <v>339.8</v>
      </c>
      <c r="K1409" s="3" t="inlineStr">
        <is>
          <t>90.6p, 아름동 국제고 인근 위치 좋은 토지 매매</t>
        </is>
      </c>
      <c r="L1409" s="6">
        <f>HYPERLINK("https://fin.land.naver.com/articles/2651940283", "매물Link")</f>
        <v/>
      </c>
      <c r="M1409" s="6">
        <f>HYPERLINK("https://map.naver.com/p/search/아름동 925", "지도Link")</f>
        <v/>
      </c>
      <c r="N1409" s="6">
        <f>HYPERLINK("http://www.eum.go.kr/web/ar/lu/luLandDet.jsp?pnu=3611011300109250000&amp;isNoScr=script&amp;mode=search", "토지이음")</f>
        <v/>
      </c>
      <c r="O1409" s="3" t="inlineStr">
        <is>
          <t>명진</t>
        </is>
      </c>
      <c r="P1409" s="4" t="n">
        <v>1</v>
      </c>
      <c r="Q1409" s="4" t="n">
        <v>298.9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아름동 929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63000</v>
      </c>
      <c r="G1410" s="4" t="n">
        <v>299</v>
      </c>
      <c r="H1410" s="4" t="n">
        <v>90</v>
      </c>
      <c r="I1410" s="5" t="n">
        <v>700</v>
      </c>
      <c r="J1410" s="5" t="n">
        <v>339.8</v>
      </c>
      <c r="K1410" s="3" t="inlineStr">
        <is>
          <t>총 90.6p, 국제고인근 단독주택 토지매매</t>
        </is>
      </c>
      <c r="L1410" s="6">
        <f>HYPERLINK("https://fin.land.naver.com/articles/2652842317", "매물Link")</f>
        <v/>
      </c>
      <c r="M1410" s="6">
        <f>HYPERLINK("https://map.naver.com/p/search/아름동 929", "지도Link")</f>
        <v/>
      </c>
      <c r="N1410" s="6">
        <f>HYPERLINK("http://www.eum.go.kr/web/ar/lu/luLandDet.jsp?pnu=3611011300109290000&amp;isNoScr=script&amp;mode=search",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299.1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아름동 929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63000</v>
      </c>
      <c r="G1411" s="4" t="n">
        <v>299</v>
      </c>
      <c r="H1411" s="4" t="n">
        <v>90</v>
      </c>
      <c r="I1411" s="5" t="n">
        <v>700</v>
      </c>
      <c r="J1411" s="5" t="n">
        <v>339.8</v>
      </c>
      <c r="K1411" s="3" t="inlineStr">
        <is>
          <t>조율가능 공공조경접함 건축하기 좋은 땅모양</t>
        </is>
      </c>
      <c r="L1411" s="6">
        <f>HYPERLINK("https://fin.land.naver.com/articles/2652418932", "매물Link")</f>
        <v/>
      </c>
      <c r="M1411" s="6">
        <f>HYPERLINK("https://map.naver.com/p/search/아름동 929", "지도Link")</f>
        <v/>
      </c>
      <c r="N1411" s="6">
        <f>HYPERLINK("http://www.eum.go.kr/web/ar/lu/luLandDet.jsp?pnu=3611011300109290000&amp;isNoScr=script&amp;mode=search", "토지이음")</f>
        <v/>
      </c>
      <c r="O1411" s="3" t="inlineStr">
        <is>
          <t>세종스타</t>
        </is>
      </c>
      <c r="P1411" s="4" t="n">
        <v>1</v>
      </c>
      <c r="Q1411" s="4" t="n">
        <v>299.1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아름동 929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63000</v>
      </c>
      <c r="G1412" s="4" t="n">
        <v>299</v>
      </c>
      <c r="H1412" s="4" t="n">
        <v>90</v>
      </c>
      <c r="I1412" s="5" t="n">
        <v>700</v>
      </c>
      <c r="J1412" s="5" t="n">
        <v>339.8</v>
      </c>
      <c r="K1412" s="3" t="inlineStr">
        <is>
          <t>90.6p, 국제고, 충남대병원 인근 아름동 단독주택지</t>
        </is>
      </c>
      <c r="L1412" s="6">
        <f>HYPERLINK("https://fin.land.naver.com/articles/2654893286", "매물Link")</f>
        <v/>
      </c>
      <c r="M1412" s="6">
        <f>HYPERLINK("https://map.naver.com/p/search/아름동 929", "지도Link")</f>
        <v/>
      </c>
      <c r="N1412" s="6">
        <f>HYPERLINK("http://www.eum.go.kr/web/ar/lu/luLandDet.jsp?pnu=3611011300109290000&amp;isNoScr=script&amp;mode=search",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299.1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아름동 961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299</v>
      </c>
      <c r="H1413" s="4" t="n">
        <v>90</v>
      </c>
      <c r="I1413" s="5" t="n">
        <v>722.2</v>
      </c>
      <c r="J1413" s="5" t="n">
        <v>344.5</v>
      </c>
      <c r="K1413" s="3" t="inlineStr">
        <is>
          <t>좋은매물 단독주택등추천 협의</t>
        </is>
      </c>
      <c r="L1413" s="6">
        <f>HYPERLINK("https://fin.land.naver.com/articles/2652055256", "매물Link")</f>
        <v/>
      </c>
      <c r="M1413" s="6">
        <f>HYPERLINK("https://map.naver.com/p/search/아름동 961", "지도Link")</f>
        <v/>
      </c>
      <c r="N1413" s="6">
        <f>HYPERLINK("http://www.eum.go.kr/web/ar/lu/luLandDet.jsp?pnu=3611011300109610000&amp;isNoScr=script&amp;mode=search", "토지이음")</f>
        <v/>
      </c>
      <c r="O1413" s="3" t="inlineStr">
        <is>
          <t>세석</t>
        </is>
      </c>
      <c r="P1413" s="4" t="n">
        <v>1</v>
      </c>
      <c r="Q1413" s="4" t="n">
        <v>299.1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소로각지</t>
        </is>
      </c>
    </row>
    <row r="1414">
      <c r="A1414" s="3" t="inlineStr">
        <is>
          <t>아름동 961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65000</v>
      </c>
      <c r="G1414" s="4" t="n">
        <v>299</v>
      </c>
      <c r="H1414" s="4" t="n">
        <v>90</v>
      </c>
      <c r="I1414" s="5" t="n">
        <v>722.2</v>
      </c>
      <c r="J1414" s="5" t="n">
        <v>344.5</v>
      </c>
      <c r="K1414" s="3" t="inlineStr">
        <is>
          <t>삼거리 코너, 아름동 입지 좋은 단독주택지</t>
        </is>
      </c>
      <c r="L1414" s="6">
        <f>HYPERLINK("https://fin.land.naver.com/articles/2653682488", "매물Link")</f>
        <v/>
      </c>
      <c r="M1414" s="6">
        <f>HYPERLINK("https://map.naver.com/p/search/아름동 961", "지도Link")</f>
        <v/>
      </c>
      <c r="N1414" s="6">
        <f>HYPERLINK("http://www.eum.go.kr/web/ar/lu/luLandDet.jsp?pnu=3611011300109610000&amp;isNoScr=script&amp;mode=search",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299.1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아름동 962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51000</v>
      </c>
      <c r="G1415" s="4" t="n">
        <v>300</v>
      </c>
      <c r="H1415" s="4" t="n">
        <v>91</v>
      </c>
      <c r="I1415" s="5" t="n">
        <v>560.4</v>
      </c>
      <c r="J1415" s="5" t="n">
        <v>330.6</v>
      </c>
      <c r="K1415" s="3" t="inlineStr">
        <is>
          <t>급매토지입니다. 도심속 전원주택지</t>
        </is>
      </c>
      <c r="L1415" s="6">
        <f>HYPERLINK("https://fin.land.naver.com/articles/2653985243", "매물Link")</f>
        <v/>
      </c>
      <c r="M1415" s="6">
        <f>HYPERLINK("https://map.naver.com/p/search/아름동 962", "지도Link")</f>
        <v/>
      </c>
      <c r="N1415" s="6">
        <f>HYPERLINK("http://www.eum.go.kr/web/ar/lu/luLandDet.jsp?pnu=3611011300109620000&amp;isNoScr=script&amp;mode=search", "토지이음")</f>
        <v/>
      </c>
      <c r="O1415" s="3" t="inlineStr">
        <is>
          <t>장원</t>
        </is>
      </c>
      <c r="P1415" s="4" t="n">
        <v>1</v>
      </c>
      <c r="Q1415" s="4" t="n">
        <v>300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963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298</v>
      </c>
      <c r="H1416" s="4" t="n">
        <v>90</v>
      </c>
      <c r="I1416" s="5" t="n">
        <v>666.7</v>
      </c>
      <c r="J1416" s="5" t="n">
        <v>330.6</v>
      </c>
      <c r="K1416" s="3" t="inlineStr">
        <is>
          <t>급매,전원주택지로 충대병원 인접, 교통 및 학군 편리한 생활권</t>
        </is>
      </c>
      <c r="L1416" s="6">
        <f>HYPERLINK("https://fin.land.naver.com/articles/2650851379", "매물Link")</f>
        <v/>
      </c>
      <c r="M1416" s="6">
        <f>HYPERLINK("https://map.naver.com/p/search/아름동 963", "지도Link")</f>
        <v/>
      </c>
      <c r="N1416" s="6">
        <f>HYPERLINK("http://www.eum.go.kr/web/ar/lu/luLandDet.jsp?pnu=3611011300109630000&amp;isNoScr=script&amp;mode=search", "토지이음")</f>
        <v/>
      </c>
      <c r="O1416" s="3" t="inlineStr">
        <is>
          <t>고운맘</t>
        </is>
      </c>
      <c r="P1416" s="4" t="n">
        <v>1</v>
      </c>
      <c r="Q1416" s="4" t="n">
        <v>298.9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963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298</v>
      </c>
      <c r="H1417" s="4" t="n">
        <v>90</v>
      </c>
      <c r="I1417" s="5" t="n">
        <v>666.7</v>
      </c>
      <c r="J1417" s="5" t="n">
        <v>330.6</v>
      </c>
      <c r="K1417" s="3" t="inlineStr">
        <is>
          <t>언덕형 지대높음 채광 개방감 좋음 조율가능</t>
        </is>
      </c>
      <c r="L1417" s="6">
        <f>HYPERLINK("https://fin.land.naver.com/articles/2651114707", "매물Link")</f>
        <v/>
      </c>
      <c r="M1417" s="6">
        <f>HYPERLINK("https://map.naver.com/p/search/아름동 963", "지도Link")</f>
        <v/>
      </c>
      <c r="N1417" s="6">
        <f>HYPERLINK("http://www.eum.go.kr/web/ar/lu/luLandDet.jsp?pnu=3611011300109630000&amp;isNoScr=script&amp;mode=search",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298.9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964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77000</v>
      </c>
      <c r="G1418" s="4" t="n">
        <v>298</v>
      </c>
      <c r="H1418" s="4" t="n">
        <v>90</v>
      </c>
      <c r="I1418" s="5" t="n">
        <v>855.6</v>
      </c>
      <c r="J1418" s="5" t="n">
        <v>344.5</v>
      </c>
      <c r="K1418" s="3" t="inlineStr">
        <is>
          <t>국제고인근.코너각지. 충대병원인접. 위치,교통 편리한 지역.조정가능</t>
        </is>
      </c>
      <c r="L1418" s="6">
        <f>HYPERLINK("https://fin.land.naver.com/articles/2651892393", "매물Link")</f>
        <v/>
      </c>
      <c r="M1418" s="6">
        <f>HYPERLINK("https://map.naver.com/p/search/아름동 964", "지도Link")</f>
        <v/>
      </c>
      <c r="N1418" s="6">
        <f>HYPERLINK("http://www.eum.go.kr/web/ar/lu/luLandDet.jsp?pnu=3611011300109640000&amp;isNoScr=script&amp;mode=search", "토지이음")</f>
        <v/>
      </c>
      <c r="O1418" s="3" t="inlineStr">
        <is>
          <t>새롬삼둥이</t>
        </is>
      </c>
      <c r="P1418" s="4" t="n">
        <v>1</v>
      </c>
      <c r="Q1418" s="4" t="n">
        <v>298.9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아름동 964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77000</v>
      </c>
      <c r="G1419" s="4" t="n">
        <v>298</v>
      </c>
      <c r="H1419" s="4" t="n">
        <v>90</v>
      </c>
      <c r="I1419" s="5" t="n">
        <v>855.6</v>
      </c>
      <c r="J1419" s="5" t="n">
        <v>344.5</v>
      </c>
      <c r="K1419" s="3" t="inlineStr">
        <is>
          <t>총 90.6p, 사거리 코너 입지, 가격 최대 조율가능</t>
        </is>
      </c>
      <c r="L1419" s="6">
        <f>HYPERLINK("https://fin.land.naver.com/articles/2655278747", "매물Link")</f>
        <v/>
      </c>
      <c r="M1419" s="6">
        <f>HYPERLINK("https://map.naver.com/p/search/아름동 964", "지도Link")</f>
        <v/>
      </c>
      <c r="N1419" s="6">
        <f>HYPERLINK("http://www.eum.go.kr/web/ar/lu/luLandDet.jsp?pnu=3611011300109640000&amp;isNoScr=script&amp;mode=search",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298.9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아름동 964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77000</v>
      </c>
      <c r="G1420" s="4" t="n">
        <v>298</v>
      </c>
      <c r="H1420" s="4" t="n">
        <v>90</v>
      </c>
      <c r="I1420" s="5" t="n">
        <v>855.6</v>
      </c>
      <c r="J1420" s="5" t="n">
        <v>344.5</v>
      </c>
      <c r="K1420" s="3" t="inlineStr">
        <is>
          <t>총 90.6p, 조율가능, 아름동 단독주택지, 국제고 인근</t>
        </is>
      </c>
      <c r="L1420" s="6">
        <f>HYPERLINK("https://fin.land.naver.com/articles/2652837454", "매물Link")</f>
        <v/>
      </c>
      <c r="M1420" s="6">
        <f>HYPERLINK("https://map.naver.com/p/search/아름동 964", "지도Link")</f>
        <v/>
      </c>
      <c r="N1420" s="6">
        <f>HYPERLINK("http://www.eum.go.kr/web/ar/lu/luLandDet.jsp?pnu=3611011300109640000&amp;isNoScr=script&amp;mode=search",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298.9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아름동 966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85000</v>
      </c>
      <c r="G1421" s="4" t="n">
        <v>353</v>
      </c>
      <c r="H1421" s="4" t="n">
        <v>107</v>
      </c>
      <c r="I1421" s="5" t="n">
        <v>794.4</v>
      </c>
      <c r="J1421" s="5" t="n">
        <v>330.6</v>
      </c>
      <c r="K1421" s="3" t="inlineStr">
        <is>
          <t>국제고, 영재고, 충대병원인근, IC인접 107.2p</t>
        </is>
      </c>
      <c r="L1421" s="6">
        <f>HYPERLINK("https://fin.land.naver.com/articles/2652841023", "매물Link")</f>
        <v/>
      </c>
      <c r="M1421" s="6">
        <f>HYPERLINK("https://map.naver.com/p/search/아름동 966", "지도Link")</f>
        <v/>
      </c>
      <c r="N1421" s="6">
        <f>HYPERLINK("http://www.eum.go.kr/web/ar/lu/luLandDet.jsp?pnu=3611011300109660000&amp;isNoScr=script&amp;mode=search",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353.6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966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85000</v>
      </c>
      <c r="G1422" s="4" t="n">
        <v>353</v>
      </c>
      <c r="H1422" s="4" t="n">
        <v>107</v>
      </c>
      <c r="I1422" s="5" t="n">
        <v>794.4</v>
      </c>
      <c r="J1422" s="5" t="n">
        <v>330.6</v>
      </c>
      <c r="K1422" s="3" t="inlineStr">
        <is>
          <t>총 107.2p, 국제고, 충남대병원인근</t>
        </is>
      </c>
      <c r="L1422" s="6">
        <f>HYPERLINK("https://fin.land.naver.com/articles/2654231996", "매물Link")</f>
        <v/>
      </c>
      <c r="M1422" s="6">
        <f>HYPERLINK("https://map.naver.com/p/search/아름동 966", "지도Link")</f>
        <v/>
      </c>
      <c r="N1422" s="6">
        <f>HYPERLINK("http://www.eum.go.kr/web/ar/lu/luLandDet.jsp?pnu=3611011300109660000&amp;isNoScr=script&amp;mode=search",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353.6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971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79560</v>
      </c>
      <c r="G1423" s="4" t="n">
        <v>308</v>
      </c>
      <c r="H1423" s="4" t="n">
        <v>93</v>
      </c>
      <c r="I1423" s="5" t="n">
        <v>855.5</v>
      </c>
      <c r="J1423" s="5" t="n">
        <v>330.6</v>
      </c>
      <c r="K1423" s="3" t="inlineStr">
        <is>
          <t>공원앞, 충대병원, 국제고 인근, 아름동 단독주택지</t>
        </is>
      </c>
      <c r="L1423" s="6">
        <f>HYPERLINK("https://fin.land.naver.com/articles/2650427802", "매물Link")</f>
        <v/>
      </c>
      <c r="M1423" s="6">
        <f>HYPERLINK("https://map.naver.com/p/search/아름동 971", "지도Link")</f>
        <v/>
      </c>
      <c r="N1423" s="6">
        <f>HYPERLINK("http://www.eum.go.kr/web/ar/lu/luLandDet.jsp?pnu=3611011300109710000&amp;isNoScr=script&amp;mode=search",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308.9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994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75000</v>
      </c>
      <c r="G1424" s="4" t="n">
        <v>324</v>
      </c>
      <c r="H1424" s="4" t="n">
        <v>98</v>
      </c>
      <c r="I1424" s="5" t="n">
        <v>765.3</v>
      </c>
      <c r="J1424" s="5" t="n">
        <v>335.5</v>
      </c>
      <c r="K1424" s="3" t="inlineStr">
        <is>
          <t>급매 최상단 뻥조망 위치최상 벙커주차장가능</t>
        </is>
      </c>
      <c r="L1424" s="6">
        <f>HYPERLINK("https://fin.land.naver.com/articles/2651086404", "매물Link")</f>
        <v/>
      </c>
      <c r="M1424" s="6">
        <f>HYPERLINK("https://map.naver.com/p/search/아름동 994", "지도Link")</f>
        <v/>
      </c>
      <c r="N1424" s="6">
        <f>HYPERLINK("http://www.eum.go.kr/web/ar/lu/luLandDet.jsp?pnu=3611011300109940000&amp;isNoScr=script&amp;mode=search", "토지이음")</f>
        <v/>
      </c>
      <c r="O1424" s="3" t="inlineStr">
        <is>
          <t>세종스타</t>
        </is>
      </c>
      <c r="P1424" s="4" t="n">
        <v>1</v>
      </c>
      <c r="Q1424" s="4" t="n">
        <v>324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소로한면</t>
        </is>
      </c>
    </row>
    <row r="1425">
      <c r="A1425" s="3" t="inlineStr">
        <is>
          <t>어진동 499-40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128000</v>
      </c>
      <c r="G1425" s="4" t="n">
        <v>418</v>
      </c>
      <c r="H1425" s="4" t="n">
        <v>126</v>
      </c>
      <c r="I1425" s="5" t="n">
        <v>1015.9</v>
      </c>
      <c r="J1425" s="5" t="n">
        <v>358</v>
      </c>
      <c r="K1425" s="3" t="inlineStr">
        <is>
          <t>고급 타운하우스 전원주택지 매매, 가격 좋고 입지 좋은 곳</t>
        </is>
      </c>
      <c r="L1425" s="6">
        <f>HYPERLINK("https://fin.land.naver.com/articles/2651948190", "매물Link")</f>
        <v/>
      </c>
      <c r="M1425" s="6">
        <f>HYPERLINK("https://map.naver.com/p/search/어진동 499-40", "지도Link")</f>
        <v/>
      </c>
      <c r="N1425" s="6">
        <f>HYPERLINK("http://www.eum.go.kr/web/ar/lu/luLandDet.jsp?pnu=3611011000104990040&amp;isNoScr=script&amp;mode=search",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420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세로한면(가)</t>
        </is>
      </c>
    </row>
    <row r="1426">
      <c r="A1426" s="3" t="inlineStr">
        <is>
          <t>어진동 499-40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128000</v>
      </c>
      <c r="G1426" s="4" t="n">
        <v>420</v>
      </c>
      <c r="H1426" s="4" t="n">
        <v>127</v>
      </c>
      <c r="I1426" s="5" t="n">
        <v>1007.9</v>
      </c>
      <c r="J1426" s="5" t="n">
        <v>358</v>
      </c>
      <c r="K1426" s="3" t="inlineStr">
        <is>
          <t>급매 세종시 최고택지 더빌리지 조율가능</t>
        </is>
      </c>
      <c r="L1426" s="6">
        <f>HYPERLINK("https://fin.land.naver.com/articles/2652945092", "매물Link")</f>
        <v/>
      </c>
      <c r="M1426" s="6">
        <f>HYPERLINK("https://map.naver.com/p/search/어진동 499-40", "지도Link")</f>
        <v/>
      </c>
      <c r="N1426" s="6">
        <f>HYPERLINK("http://www.eum.go.kr/web/ar/lu/luLandDet.jsp?pnu=3611011000104990040&amp;isNoScr=script&amp;mode=search",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420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세로한면(가)</t>
        </is>
      </c>
    </row>
    <row r="1427">
      <c r="A1427" s="3" t="inlineStr">
        <is>
          <t>어진동 499-40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128000</v>
      </c>
      <c r="G1427" s="4" t="n">
        <v>420</v>
      </c>
      <c r="H1427" s="4" t="n">
        <v>127</v>
      </c>
      <c r="I1427" s="5" t="n">
        <v>1007.9</v>
      </c>
      <c r="J1427" s="5" t="n">
        <v>358</v>
      </c>
      <c r="K1427" s="3" t="inlineStr">
        <is>
          <t>더빌리지 급매, BRT, 학교인근, 블럭형 단독주택지</t>
        </is>
      </c>
      <c r="L1427" s="6">
        <f>HYPERLINK("https://fin.land.naver.com/articles/2651188818", "매물Link")</f>
        <v/>
      </c>
      <c r="M1427" s="6">
        <f>HYPERLINK("https://map.naver.com/p/search/어진동 499-40", "지도Link")</f>
        <v/>
      </c>
      <c r="N1427" s="6">
        <f>HYPERLINK("http://www.eum.go.kr/web/ar/lu/luLandDet.jsp?pnu=3611011000104990040&amp;isNoScr=script&amp;mode=search", "토지이음")</f>
        <v/>
      </c>
      <c r="O1427" s="3" t="inlineStr">
        <is>
          <t>세종무지개</t>
        </is>
      </c>
      <c r="P1427" s="4" t="n">
        <v>1</v>
      </c>
      <c r="Q1427" s="4" t="n">
        <v>420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연기면 눌왕리 103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300000</v>
      </c>
      <c r="G1428" s="4" t="n">
        <v>4526</v>
      </c>
      <c r="H1428" s="4" t="n">
        <v>1369</v>
      </c>
      <c r="I1428" s="5" t="n">
        <v>219.1</v>
      </c>
      <c r="J1428" s="5" t="n">
        <v>67.90000000000001</v>
      </c>
      <c r="K1428" s="3" t="inlineStr">
        <is>
          <t>투자최고물건 진입도로 인근아파트단지개발</t>
        </is>
      </c>
      <c r="L1428" s="6">
        <f>HYPERLINK("https://fin.land.naver.com/articles/2653378347", "매물Link")</f>
        <v/>
      </c>
      <c r="M1428" s="6">
        <f>HYPERLINK("https://map.naver.com/p/search/연기면 눌왕리 103", "지도Link")</f>
        <v/>
      </c>
      <c r="N1428" s="6">
        <f>HYPERLINK("http://www.eum.go.kr/web/ar/lu/luLandDet.jsp?pnu=3611031023101030000&amp;isNoScr=script&amp;mode=search", "토지이음")</f>
        <v/>
      </c>
      <c r="O1428" s="3" t="inlineStr">
        <is>
          <t>세종대왕</t>
        </is>
      </c>
      <c r="P1428" s="4" t="n">
        <v>1</v>
      </c>
      <c r="Q1428" s="4" t="n">
        <v>4526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눌왕리 121-1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189500</v>
      </c>
      <c r="G1429" s="4" t="n">
        <v>2505</v>
      </c>
      <c r="H1429" s="4" t="n">
        <v>758</v>
      </c>
      <c r="I1429" s="5" t="n">
        <v>250</v>
      </c>
      <c r="J1429" s="5" t="n">
        <v>65.59999999999999</v>
      </c>
      <c r="K1429" s="3" t="inlineStr">
        <is>
          <t>2차선 도로변,주변 호재로 투자가치 상승 예상지역</t>
        </is>
      </c>
      <c r="L1429" s="6">
        <f>HYPERLINK("https://fin.land.naver.com/articles/2655600881", "매물Link")</f>
        <v/>
      </c>
      <c r="M1429" s="6">
        <f>HYPERLINK("https://map.naver.com/p/search/연기면 눌왕리 121-1", "지도Link")</f>
        <v/>
      </c>
      <c r="N1429" s="6">
        <f>HYPERLINK("http://www.eum.go.kr/web/ar/lu/luLandDet.jsp?pnu=3611031023101210001&amp;isNoScr=script&amp;mode=search", "토지이음")</f>
        <v/>
      </c>
      <c r="O1429" s="3" t="inlineStr">
        <is>
          <t>가치잇는</t>
        </is>
      </c>
      <c r="P1429" s="4" t="n">
        <v>1</v>
      </c>
      <c r="Q1429" s="4" t="n">
        <v>2505</v>
      </c>
      <c r="R1429" s="3" t="inlineStr">
        <is>
          <t>지정되지않음</t>
        </is>
      </c>
      <c r="S1429" s="3" t="inlineStr">
        <is>
          <t>답기타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연기면 눌왕리 149-1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73000</v>
      </c>
      <c r="G1430" s="4" t="n">
        <v>1205</v>
      </c>
      <c r="H1430" s="4" t="n">
        <v>365</v>
      </c>
      <c r="I1430" s="5" t="n">
        <v>200</v>
      </c>
      <c r="J1430" s="5" t="n">
        <v>59.8</v>
      </c>
      <c r="K1430" s="3" t="inlineStr">
        <is>
          <t>도로접,주변 개발 기대감으로 가치상승 유망</t>
        </is>
      </c>
      <c r="L1430" s="6">
        <f>HYPERLINK("https://fin.land.naver.com/articles/2653271575", "매물Link")</f>
        <v/>
      </c>
      <c r="M1430" s="6">
        <f>HYPERLINK("https://map.naver.com/p/search/연기면 눌왕리 149-1", "지도Link")</f>
        <v/>
      </c>
      <c r="N1430" s="6">
        <f>HYPERLINK("http://www.eum.go.kr/web/ar/lu/luLandDet.jsp?pnu=3611031023101490001&amp;isNoScr=script&amp;mode=search", "토지이음")</f>
        <v/>
      </c>
      <c r="O1430" s="3" t="inlineStr">
        <is>
          <t>가치잇는</t>
        </is>
      </c>
      <c r="P1430" s="4" t="n">
        <v>1</v>
      </c>
      <c r="Q1430" s="4" t="n">
        <v>1205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세로한면(가)</t>
        </is>
      </c>
    </row>
    <row r="1431">
      <c r="A1431" s="3" t="inlineStr">
        <is>
          <t>연기면 눌왕리 151-1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133760</v>
      </c>
      <c r="G1431" s="4" t="n">
        <v>2330</v>
      </c>
      <c r="H1431" s="4" t="n">
        <v>705</v>
      </c>
      <c r="I1431" s="5" t="n">
        <v>189.7</v>
      </c>
      <c r="J1431" s="5" t="n">
        <v>55.9</v>
      </c>
      <c r="K1431" s="3" t="inlineStr">
        <is>
          <t>지주작업 진행중 아파트 개발 기대감 최고 눌왕리 도로접 알짜 과수원</t>
        </is>
      </c>
      <c r="L1431" s="6">
        <f>HYPERLINK("https://fin.land.naver.com/articles/2651528682", "매물Link")</f>
        <v/>
      </c>
      <c r="M1431" s="6">
        <f>HYPERLINK("https://map.naver.com/p/search/연기면 눌왕리 151-1", "지도Link")</f>
        <v/>
      </c>
      <c r="N1431" s="6">
        <f>HYPERLINK("http://www.eum.go.kr/web/ar/lu/luLandDet.jsp?pnu=3611031023101510001&amp;isNoScr=script&amp;mode=search", "토지이음")</f>
        <v/>
      </c>
      <c r="O1431" s="3" t="inlineStr">
        <is>
          <t>한아름</t>
        </is>
      </c>
      <c r="P1431" s="4" t="n">
        <v>1</v>
      </c>
      <c r="Q1431" s="4" t="n">
        <v>4660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눌왕리 152-1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161100</v>
      </c>
      <c r="G1432" s="4" t="n">
        <v>2960</v>
      </c>
      <c r="H1432" s="4" t="n">
        <v>895</v>
      </c>
      <c r="I1432" s="5" t="n">
        <v>180</v>
      </c>
      <c r="J1432" s="5" t="n">
        <v>55.9</v>
      </c>
      <c r="K1432" s="3" t="inlineStr">
        <is>
          <t>세종 신도시조치원 핵심축 개발권 초인접 눌왕리 귀한 필지</t>
        </is>
      </c>
      <c r="L1432" s="6">
        <f>HYPERLINK("https://fin.land.naver.com/articles/2651530595", "매물Link")</f>
        <v/>
      </c>
      <c r="M1432" s="6">
        <f>HYPERLINK("https://map.naver.com/p/search/연기면 눌왕리 152-1", "지도Link")</f>
        <v/>
      </c>
      <c r="N1432" s="6">
        <f>HYPERLINK("http://www.eum.go.kr/web/ar/lu/luLandDet.jsp?pnu=3611031023101520001&amp;isNoScr=script&amp;mode=search", "토지이음")</f>
        <v/>
      </c>
      <c r="O1432" s="3" t="inlineStr">
        <is>
          <t>한아름</t>
        </is>
      </c>
      <c r="P1432" s="4" t="n">
        <v>1</v>
      </c>
      <c r="Q1432" s="4" t="n">
        <v>2960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연기면 눌왕리 152-5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2570</v>
      </c>
      <c r="H1433" s="4" t="n">
        <v>777</v>
      </c>
      <c r="I1433" s="5" t="n">
        <v>128.7</v>
      </c>
      <c r="J1433" s="5" t="n">
        <v>57</v>
      </c>
      <c r="K1433" s="3" t="inlineStr">
        <is>
          <t>융자무.장기투자가치.한국GM물류센터인접.세종농협농축산유통센터건너편</t>
        </is>
      </c>
      <c r="L1433" s="6">
        <f>HYPERLINK("https://fin.land.naver.com/articles/2651985752", "매물Link")</f>
        <v/>
      </c>
      <c r="M1433" s="6">
        <f>HYPERLINK("https://map.naver.com/p/search/연기면 눌왕리 152-5", "지도Link")</f>
        <v/>
      </c>
      <c r="N1433" s="6">
        <f>HYPERLINK("http://www.eum.go.kr/web/ar/lu/luLandDet.jsp?pnu=3611031023101520005&amp;isNoScr=script&amp;mode=search", "토지이음")</f>
        <v/>
      </c>
      <c r="O1433" s="3" t="inlineStr">
        <is>
          <t>돈방석</t>
        </is>
      </c>
      <c r="P1433" s="4" t="n">
        <v>1</v>
      </c>
      <c r="Q1433" s="4" t="n">
        <v>2570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세로한면(가)</t>
        </is>
      </c>
    </row>
    <row r="1434">
      <c r="A1434" s="3" t="inlineStr">
        <is>
          <t>연기면 눌왕리 157-21</t>
        </is>
      </c>
      <c r="B1434" s="3" t="inlineStr">
        <is>
          <t>계획관리지역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57800</v>
      </c>
      <c r="G1434" s="4" t="n">
        <v>957</v>
      </c>
      <c r="H1434" s="4" t="n">
        <v>289</v>
      </c>
      <c r="I1434" s="5" t="n">
        <v>200</v>
      </c>
      <c r="J1434" s="5" t="n">
        <v>80.59999999999999</v>
      </c>
      <c r="K1434" s="3" t="inlineStr">
        <is>
          <t>도로에 접한 계획관리 토지</t>
        </is>
      </c>
      <c r="L1434" s="6">
        <f>HYPERLINK("https://fin.land.naver.com/articles/2655169434", "매물Link")</f>
        <v/>
      </c>
      <c r="M1434" s="6">
        <f>HYPERLINK("https://map.naver.com/p/search/연기면 눌왕리 157-21", "지도Link")</f>
        <v/>
      </c>
      <c r="N1434" s="6">
        <f>HYPERLINK("http://www.eum.go.kr/web/ar/lu/luLandDet.jsp?pnu=3611031023101570021&amp;isNoScr=script&amp;mode=search", "토지이음")</f>
        <v/>
      </c>
      <c r="O1434" s="3" t="inlineStr">
        <is>
          <t>세종대박</t>
        </is>
      </c>
      <c r="P1434" s="4" t="n">
        <v>1</v>
      </c>
      <c r="Q1434" s="4" t="n">
        <v>957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정방형</t>
        </is>
      </c>
      <c r="V1434" s="3" t="inlineStr">
        <is>
          <t>세로한면(가)</t>
        </is>
      </c>
    </row>
    <row r="1435">
      <c r="A1435" s="3" t="inlineStr">
        <is>
          <t>연기면 눌왕리 157-8</t>
        </is>
      </c>
      <c r="B1435" s="3" t="inlineStr">
        <is>
          <t>계획관리지역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78000</v>
      </c>
      <c r="G1435" s="4" t="n">
        <v>957</v>
      </c>
      <c r="H1435" s="4" t="n">
        <v>289</v>
      </c>
      <c r="I1435" s="5" t="n">
        <v>269.9</v>
      </c>
      <c r="J1435" s="5" t="n">
        <v>76.8</v>
      </c>
      <c r="K1435" s="3" t="inlineStr">
        <is>
          <t>현재 과수원으로 이용되고 있는 토지</t>
        </is>
      </c>
      <c r="L1435" s="6">
        <f>HYPERLINK("https://fin.land.naver.com/articles/2655257695", "매물Link")</f>
        <v/>
      </c>
      <c r="M1435" s="6">
        <f>HYPERLINK("https://map.naver.com/p/search/연기면 눌왕리 157-8", "지도Link")</f>
        <v/>
      </c>
      <c r="N1435" s="6">
        <f>HYPERLINK("http://www.eum.go.kr/web/ar/lu/luLandDet.jsp?pnu=3611031023101570008&amp;isNoScr=script&amp;mode=search",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957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연기면 눌왕리 157-9</t>
        </is>
      </c>
      <c r="B1436" s="3" t="inlineStr">
        <is>
          <t>계획관리지역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78000</v>
      </c>
      <c r="G1436" s="4" t="n">
        <v>957</v>
      </c>
      <c r="H1436" s="4" t="n">
        <v>289</v>
      </c>
      <c r="I1436" s="5" t="n">
        <v>269.9</v>
      </c>
      <c r="J1436" s="5" t="n">
        <v>76.8</v>
      </c>
      <c r="K1436" s="3" t="inlineStr">
        <is>
          <t>조율가능 카페 음식점 창고 최적 지대약간높아 전망좋음</t>
        </is>
      </c>
      <c r="L1436" s="6">
        <f>HYPERLINK("https://fin.land.naver.com/articles/2651114061", "매물Link")</f>
        <v/>
      </c>
      <c r="M1436" s="6">
        <f>HYPERLINK("https://map.naver.com/p/search/연기면 눌왕리 157-9", "지도Link")</f>
        <v/>
      </c>
      <c r="N1436" s="6">
        <f>HYPERLINK("http://www.eum.go.kr/web/ar/lu/luLandDet.jsp?pnu=3611031023101570009&amp;isNoScr=script&amp;mode=search",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957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눌왕리 159-1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192500</v>
      </c>
      <c r="G1437" s="4" t="n">
        <v>2446</v>
      </c>
      <c r="H1437" s="4" t="n">
        <v>740</v>
      </c>
      <c r="I1437" s="5" t="n">
        <v>260.1</v>
      </c>
      <c r="J1437" s="5" t="n">
        <v>81.5</v>
      </c>
      <c r="K1437" s="3" t="inlineStr">
        <is>
          <t>연기면 눌왕리 도로접한 계획관리지역</t>
        </is>
      </c>
      <c r="L1437" s="6">
        <f>HYPERLINK("https://fin.land.naver.com/articles/2650233636", "매물Link")</f>
        <v/>
      </c>
      <c r="M1437" s="6">
        <f>HYPERLINK("https://map.naver.com/p/search/연기면 눌왕리 159-1", "지도Link")</f>
        <v/>
      </c>
      <c r="N1437" s="6">
        <f>HYPERLINK("http://www.eum.go.kr/web/ar/lu/luLandDet.jsp?pnu=3611031023101590001&amp;isNoScr=script&amp;mode=search", "토지이음")</f>
        <v/>
      </c>
      <c r="O1437" s="3" t="inlineStr">
        <is>
          <t>세종천지</t>
        </is>
      </c>
      <c r="P1437" s="4" t="n">
        <v>1</v>
      </c>
      <c r="Q1437" s="4" t="n">
        <v>2446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눌왕리 180-2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58000</v>
      </c>
      <c r="G1438" s="4" t="n">
        <v>616</v>
      </c>
      <c r="H1438" s="4" t="n">
        <v>186</v>
      </c>
      <c r="I1438" s="5" t="n">
        <v>311.8</v>
      </c>
      <c r="J1438" s="5" t="n">
        <v>81.7</v>
      </c>
      <c r="K1438" s="3" t="inlineStr">
        <is>
          <t>세종시 연기면 눌왕리 전망좋은 전원주택지 매매</t>
        </is>
      </c>
      <c r="L1438" s="6">
        <f>HYPERLINK("https://fin.land.naver.com/articles/2650993187", "매물Link")</f>
        <v/>
      </c>
      <c r="M1438" s="6">
        <f>HYPERLINK("https://map.naver.com/p/search/연기면 눌왕리 180-2", "지도Link")</f>
        <v/>
      </c>
      <c r="N1438" s="6">
        <f>HYPERLINK("http://www.eum.go.kr/web/ar/lu/luLandDet.jsp?pnu=3611031023101800002&amp;isNoScr=script&amp;mode=search",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616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눌왕리 213-3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588000</v>
      </c>
      <c r="G1439" s="4" t="n">
        <v>6942</v>
      </c>
      <c r="H1439" s="4" t="n">
        <v>2100</v>
      </c>
      <c r="I1439" s="5" t="n">
        <v>280</v>
      </c>
      <c r="J1439" s="5" t="n">
        <v>65.59999999999999</v>
      </c>
      <c r="K1439" s="3" t="inlineStr">
        <is>
          <t>세종시 연기면 눌왕리 조치원일반산업단지 인근 계획관리지역 전과 임야</t>
        </is>
      </c>
      <c r="L1439" s="6">
        <f>HYPERLINK("https://fin.land.naver.com/articles/2650048327", "매물Link")</f>
        <v/>
      </c>
      <c r="M1439" s="6">
        <f>HYPERLINK("https://map.naver.com/p/search/연기면 눌왕리 213-3", "지도Link")</f>
        <v/>
      </c>
      <c r="N1439" s="6">
        <f>HYPERLINK("http://www.eum.go.kr/web/ar/lu/luLandDet.jsp?pnu=3611031023102130003&amp;isNoScr=script&amp;mode=search", "토지이음")</f>
        <v/>
      </c>
      <c r="O1439" s="3" t="inlineStr">
        <is>
          <t>하이엔드</t>
        </is>
      </c>
      <c r="P1439" s="4" t="n">
        <v>1</v>
      </c>
      <c r="Q1439" s="4" t="n">
        <v>1388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연기면 눌왕리 217-3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31000</v>
      </c>
      <c r="G1440" s="4" t="n">
        <v>329</v>
      </c>
      <c r="H1440" s="4" t="n">
        <v>100</v>
      </c>
      <c r="I1440" s="5" t="n">
        <v>310</v>
      </c>
      <c r="J1440" s="5" t="n">
        <v>117.2</v>
      </c>
      <c r="K1440" s="3" t="inlineStr">
        <is>
          <t>국가산업단지 인접한 대지 매매</t>
        </is>
      </c>
      <c r="L1440" s="6">
        <f>HYPERLINK("https://fin.land.naver.com/articles/2655085930", "매물Link")</f>
        <v/>
      </c>
      <c r="M1440" s="6">
        <f>HYPERLINK("https://map.naver.com/p/search/연기면 눌왕리 217-3", "지도Link")</f>
        <v/>
      </c>
      <c r="N1440" s="6">
        <f>HYPERLINK("http://www.eum.go.kr/web/ar/lu/luLandDet.jsp?pnu=3611031023102170003&amp;isNoScr=script&amp;mode=search", "토지이음")</f>
        <v/>
      </c>
      <c r="O1440" s="3" t="inlineStr">
        <is>
          <t>세종대박</t>
        </is>
      </c>
      <c r="P1440" s="4" t="n">
        <v>1</v>
      </c>
      <c r="Q1440" s="4" t="n">
        <v>329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눌왕리 280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94500</v>
      </c>
      <c r="G1441" s="4" t="n">
        <v>1250</v>
      </c>
      <c r="H1441" s="4" t="n">
        <v>378</v>
      </c>
      <c r="I1441" s="5" t="n">
        <v>250</v>
      </c>
      <c r="J1441" s="5" t="n">
        <v>62.3</v>
      </c>
      <c r="K1441" s="3" t="inlineStr">
        <is>
          <t>2차선 도로변으로 접근성 양호</t>
        </is>
      </c>
      <c r="L1441" s="6">
        <f>HYPERLINK("https://fin.land.naver.com/articles/2655600711", "매물Link")</f>
        <v/>
      </c>
      <c r="M1441" s="6">
        <f>HYPERLINK("https://map.naver.com/p/search/연기면 눌왕리 280", "지도Link")</f>
        <v/>
      </c>
      <c r="N1441" s="6">
        <f>HYPERLINK("http://www.eum.go.kr/web/ar/lu/luLandDet.jsp?pnu=3611031023102800000&amp;isNoScr=script&amp;mode=search", "토지이음")</f>
        <v/>
      </c>
      <c r="O1441" s="3" t="inlineStr">
        <is>
          <t>가치잇는</t>
        </is>
      </c>
      <c r="P1441" s="4" t="n">
        <v>1</v>
      </c>
      <c r="Q1441" s="4" t="n">
        <v>1250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연기면 눌왕리 282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154000</v>
      </c>
      <c r="G1442" s="4" t="n">
        <v>2037</v>
      </c>
      <c r="H1442" s="4" t="n">
        <v>616</v>
      </c>
      <c r="I1442" s="5" t="n">
        <v>250</v>
      </c>
      <c r="J1442" s="5" t="n">
        <v>62.3</v>
      </c>
      <c r="K1442" s="3" t="inlineStr">
        <is>
          <t>2차선 도로변으로 접근성 양호</t>
        </is>
      </c>
      <c r="L1442" s="6">
        <f>HYPERLINK("https://fin.land.naver.com/articles/2655601055", "매물Link")</f>
        <v/>
      </c>
      <c r="M1442" s="6">
        <f>HYPERLINK("https://map.naver.com/p/search/연기면 눌왕리 282", "지도Link")</f>
        <v/>
      </c>
      <c r="N1442" s="6">
        <f>HYPERLINK("http://www.eum.go.kr/web/ar/lu/luLandDet.jsp?pnu=3611031023102820000&amp;isNoScr=script&amp;mode=search", "토지이음")</f>
        <v/>
      </c>
      <c r="O1442" s="3" t="inlineStr">
        <is>
          <t>가치잇는</t>
        </is>
      </c>
      <c r="P1442" s="4" t="n">
        <v>1</v>
      </c>
      <c r="Q1442" s="4" t="n">
        <v>2037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소로한면</t>
        </is>
      </c>
    </row>
    <row r="1443">
      <c r="A1443" s="3" t="inlineStr">
        <is>
          <t>연기면 눌왕리 307-1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370000</v>
      </c>
      <c r="G1443" s="4" t="n">
        <v>4063</v>
      </c>
      <c r="H1443" s="4" t="n">
        <v>1229</v>
      </c>
      <c r="I1443" s="5" t="n">
        <v>301.1</v>
      </c>
      <c r="J1443" s="5" t="n">
        <v>65.09999999999999</v>
      </c>
      <c r="K1443" s="3" t="inlineStr">
        <is>
          <t>국가산단 인근,가치상승 개발기대감 높은 토지</t>
        </is>
      </c>
      <c r="L1443" s="6">
        <f>HYPERLINK("https://fin.land.naver.com/articles/2653271343", "매물Link")</f>
        <v/>
      </c>
      <c r="M1443" s="6">
        <f>HYPERLINK("https://map.naver.com/p/search/연기면 눌왕리 307-1", "지도Link")</f>
        <v/>
      </c>
      <c r="N1443" s="6">
        <f>HYPERLINK("http://www.eum.go.kr/web/ar/lu/luLandDet.jsp?pnu=3611031023103070001&amp;isNoScr=script&amp;mode=search", "토지이음")</f>
        <v/>
      </c>
      <c r="O1443" s="3" t="inlineStr">
        <is>
          <t>가치잇는</t>
        </is>
      </c>
      <c r="P1443" s="4" t="n">
        <v>1</v>
      </c>
      <c r="Q1443" s="4" t="n">
        <v>4063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눌왕리 380-1</t>
        </is>
      </c>
      <c r="B1444" s="3" t="inlineStr">
        <is>
          <t>보전관리지역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33000</v>
      </c>
      <c r="G1444" s="4" t="n">
        <v>1085</v>
      </c>
      <c r="H1444" s="4" t="n">
        <v>328</v>
      </c>
      <c r="I1444" s="5" t="n">
        <v>100.6</v>
      </c>
      <c r="J1444" s="5" t="n">
        <v>16.7</v>
      </c>
      <c r="K1444" s="3" t="inlineStr">
        <is>
          <t>연기면 눌왕리 전원주택지</t>
        </is>
      </c>
      <c r="L1444" s="6">
        <f>HYPERLINK("https://fin.land.naver.com/articles/2651322482", "매물Link")</f>
        <v/>
      </c>
      <c r="M1444" s="6">
        <f>HYPERLINK("https://map.naver.com/p/search/연기면 눌왕리 380-1", "지도Link")</f>
        <v/>
      </c>
      <c r="N1444" s="6">
        <f>HYPERLINK("http://www.eum.go.kr/web/ar/lu/luLandDet.jsp?pnu=3611031023103800001&amp;isNoScr=script&amp;mode=search", "토지이음")</f>
        <v/>
      </c>
      <c r="O1444" s="3" t="inlineStr">
        <is>
          <t>금강</t>
        </is>
      </c>
      <c r="P1444" s="4" t="n">
        <v>1</v>
      </c>
      <c r="Q1444" s="4" t="n">
        <v>1085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고지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눌왕리 388</t>
        </is>
      </c>
      <c r="B1445" s="3" t="inlineStr">
        <is>
          <t>계획관리지역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51240</v>
      </c>
      <c r="G1445" s="4" t="n">
        <v>605</v>
      </c>
      <c r="H1445" s="4" t="n">
        <v>183</v>
      </c>
      <c r="I1445" s="5" t="n">
        <v>280</v>
      </c>
      <c r="J1445" s="5" t="n">
        <v>63.9</v>
      </c>
      <c r="K1445" s="3" t="inlineStr">
        <is>
          <t>자연취락지구, 계획관리지역, 성장관리계획구역 내 토지</t>
        </is>
      </c>
      <c r="L1445" s="6">
        <f>HYPERLINK("https://fin.land.naver.com/articles/2655033467", "매물Link")</f>
        <v/>
      </c>
      <c r="M1445" s="6">
        <f>HYPERLINK("https://map.naver.com/p/search/연기면 눌왕리 388", "지도Link")</f>
        <v/>
      </c>
      <c r="N1445" s="6">
        <f>HYPERLINK("http://www.eum.go.kr/web/ar/lu/luLandDet.jsp?pnu=3611031023103880000&amp;isNoScr=script&amp;mode=search", "토지이음")</f>
        <v/>
      </c>
      <c r="O1445" s="3" t="inlineStr">
        <is>
          <t>네거리</t>
        </is>
      </c>
      <c r="P1445" s="4" t="n">
        <v>1</v>
      </c>
      <c r="Q1445" s="4" t="n">
        <v>605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눌왕리 414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78000</v>
      </c>
      <c r="G1446" s="4" t="n">
        <v>1716</v>
      </c>
      <c r="H1446" s="4" t="n">
        <v>519</v>
      </c>
      <c r="I1446" s="5" t="n">
        <v>150.3</v>
      </c>
      <c r="J1446" s="5" t="n">
        <v>55.2</v>
      </c>
      <c r="K1446" s="3" t="inlineStr">
        <is>
          <t>장기보유권장</t>
        </is>
      </c>
      <c r="L1446" s="6">
        <f>HYPERLINK("https://fin.land.naver.com/articles/2653703548", "매물Link")</f>
        <v/>
      </c>
      <c r="M1446" s="6">
        <f>HYPERLINK("https://map.naver.com/p/search/연기면 눌왕리 414", "지도Link")</f>
        <v/>
      </c>
      <c r="N1446" s="6">
        <f>HYPERLINK("http://www.eum.go.kr/web/ar/lu/luLandDet.jsp?pnu=3611031023104140000&amp;isNoScr=script&amp;mode=search", "토지이음")</f>
        <v/>
      </c>
      <c r="O1446" s="3" t="inlineStr">
        <is>
          <t>지원</t>
        </is>
      </c>
      <c r="P1446" s="4" t="n">
        <v>1</v>
      </c>
      <c r="Q1446" s="4" t="n">
        <v>278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연기면 눌왕리 425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163460</v>
      </c>
      <c r="G1447" s="4" t="n">
        <v>2455</v>
      </c>
      <c r="H1447" s="4" t="n">
        <v>743</v>
      </c>
      <c r="I1447" s="5" t="n">
        <v>220</v>
      </c>
      <c r="J1447" s="5" t="n">
        <v>71.7</v>
      </c>
      <c r="K1447" s="3" t="inlineStr">
        <is>
          <t>위치좋은 토지로 투자용으로 적극추천함.</t>
        </is>
      </c>
      <c r="L1447" s="6">
        <f>HYPERLINK("https://fin.land.naver.com/articles/2654852368", "매물Link")</f>
        <v/>
      </c>
      <c r="M1447" s="6">
        <f>HYPERLINK("https://map.naver.com/p/search/연기면 눌왕리 425", "지도Link")</f>
        <v/>
      </c>
      <c r="N1447" s="6">
        <f>HYPERLINK("http://www.eum.go.kr/web/ar/lu/luLandDet.jsp?pnu=3611031023104250000&amp;isNoScr=script&amp;mode=search", "토지이음")</f>
        <v/>
      </c>
      <c r="O1447" s="3" t="inlineStr">
        <is>
          <t>세종리츠</t>
        </is>
      </c>
      <c r="P1447" s="4" t="n">
        <v>2</v>
      </c>
      <c r="Q1447" s="4" t="n">
        <v>1545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눌왕리 557-1</t>
        </is>
      </c>
      <c r="B1448" s="3" t="inlineStr">
        <is>
          <t>계획관리지역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86200</v>
      </c>
      <c r="G1448" s="4" t="n">
        <v>1424</v>
      </c>
      <c r="H1448" s="4" t="n">
        <v>431</v>
      </c>
      <c r="I1448" s="5" t="n">
        <v>200</v>
      </c>
      <c r="J1448" s="5" t="n">
        <v>55.2</v>
      </c>
      <c r="K1448" s="3" t="inlineStr">
        <is>
          <t>미래가치를 품은 세종시 최적의 투자처 연기면 눌왕리 토지 매매</t>
        </is>
      </c>
      <c r="L1448" s="6">
        <f>HYPERLINK("https://fin.land.naver.com/articles/2651270748", "매물Link")</f>
        <v/>
      </c>
      <c r="M1448" s="6">
        <f>HYPERLINK("https://map.naver.com/p/search/연기면 눌왕리 557-1", "지도Link")</f>
        <v/>
      </c>
      <c r="N1448" s="6">
        <f>HYPERLINK("http://www.eum.go.kr/web/ar/lu/luLandDet.jsp?pnu=3611031023105570001&amp;isNoScr=script&amp;mode=search", "토지이음")</f>
        <v/>
      </c>
      <c r="O1448" s="3" t="inlineStr">
        <is>
          <t>지성</t>
        </is>
      </c>
      <c r="P1448" s="4" t="n">
        <v>1</v>
      </c>
      <c r="Q1448" s="4" t="n">
        <v>1424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세로한면(불)</t>
        </is>
      </c>
    </row>
    <row r="1449">
      <c r="A1449" s="3" t="inlineStr">
        <is>
          <t>연기면 눌왕리 566-1</t>
        </is>
      </c>
      <c r="B1449" s="3" t="inlineStr">
        <is>
          <t>보전관리지역</t>
        </is>
      </c>
      <c r="C1449" s="3" t="inlineStr">
        <is>
          <t>임야</t>
        </is>
      </c>
      <c r="D1449" s="3" t="inlineStr">
        <is>
          <t>임야</t>
        </is>
      </c>
      <c r="E1449" s="3" t="inlineStr">
        <is>
          <t>매매</t>
        </is>
      </c>
      <c r="F1449" s="4" t="n">
        <v>54000</v>
      </c>
      <c r="G1449" s="4" t="n">
        <v>1388</v>
      </c>
      <c r="H1449" s="4" t="n">
        <v>420</v>
      </c>
      <c r="I1449" s="5" t="n">
        <v>128.6</v>
      </c>
      <c r="J1449" s="5" t="n">
        <v>10.7</v>
      </c>
      <c r="K1449" s="3" t="inlineStr">
        <is>
          <t>토지임야  세종스마트국가산업단지 인근</t>
        </is>
      </c>
      <c r="L1449" s="6">
        <f>HYPERLINK("https://fin.land.naver.com/articles/2652586975", "매물Link")</f>
        <v/>
      </c>
      <c r="M1449" s="6">
        <f>HYPERLINK("https://map.naver.com/p/search/연기면 눌왕리 566-1", "지도Link")</f>
        <v/>
      </c>
      <c r="N1449" s="6">
        <f>HYPERLINK("http://www.eum.go.kr/web/ar/lu/luLandDet.jsp?pnu=3611031023105660001&amp;isNoScr=script&amp;mode=search", "토지이음")</f>
        <v/>
      </c>
      <c r="O1449" s="3" t="inlineStr">
        <is>
          <t>킹</t>
        </is>
      </c>
      <c r="P1449" s="4" t="n">
        <v>1</v>
      </c>
      <c r="Q1449" s="4" t="n">
        <v>601</v>
      </c>
      <c r="R1449" s="3" t="inlineStr">
        <is>
          <t>지정되지않음</t>
        </is>
      </c>
      <c r="S1449" s="3" t="inlineStr">
        <is>
          <t>자연림</t>
        </is>
      </c>
      <c r="T1449" s="3" t="inlineStr">
        <is>
          <t>급경사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눌왕리 569-3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115000</v>
      </c>
      <c r="G1450" s="4" t="n">
        <v>1654</v>
      </c>
      <c r="H1450" s="4" t="n">
        <v>500</v>
      </c>
      <c r="I1450" s="5" t="n">
        <v>230</v>
      </c>
      <c r="J1450" s="5" t="n">
        <v>63.1</v>
      </c>
      <c r="K1450" s="3" t="inlineStr">
        <is>
          <t>연기면 눌왕리 마을 포장도로에 접한 계획관리지역 성장관리계획구역 농지</t>
        </is>
      </c>
      <c r="L1450" s="6">
        <f>HYPERLINK("https://fin.land.naver.com/articles/2653861055", "매물Link")</f>
        <v/>
      </c>
      <c r="M1450" s="6">
        <f>HYPERLINK("https://map.naver.com/p/search/연기면 눌왕리 569-3", "지도Link")</f>
        <v/>
      </c>
      <c r="N1450" s="6">
        <f>HYPERLINK("http://www.eum.go.kr/web/ar/lu/luLandDet.jsp?pnu=3611031023105690003&amp;isNoScr=script&amp;mode=search", "토지이음")</f>
        <v/>
      </c>
      <c r="O1450" s="3" t="inlineStr">
        <is>
          <t>스마일세종</t>
        </is>
      </c>
      <c r="P1450" s="4" t="n">
        <v>1</v>
      </c>
      <c r="Q1450" s="4" t="n">
        <v>1738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622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114000</v>
      </c>
      <c r="G1451" s="4" t="n">
        <v>2516</v>
      </c>
      <c r="H1451" s="4" t="n">
        <v>761</v>
      </c>
      <c r="I1451" s="5" t="n">
        <v>149.8</v>
      </c>
      <c r="J1451" s="5" t="n">
        <v>42.8</v>
      </c>
      <c r="K1451" s="3" t="inlineStr">
        <is>
          <t>관리지역 토지,도로접해 개발가능</t>
        </is>
      </c>
      <c r="L1451" s="6">
        <f>HYPERLINK("https://fin.land.naver.com/articles/2655259175", "매물Link")</f>
        <v/>
      </c>
      <c r="M1451" s="6">
        <f>HYPERLINK("https://map.naver.com/p/search/연기면 눌왕리 622", "지도Link")</f>
        <v/>
      </c>
      <c r="N1451" s="6">
        <f>HYPERLINK("http://www.eum.go.kr/web/ar/lu/luLandDet.jsp?pnu=3611031023106220000&amp;isNoScr=script&amp;mode=search", "토지이음")</f>
        <v/>
      </c>
      <c r="O1451" s="3" t="inlineStr">
        <is>
          <t>세종대박</t>
        </is>
      </c>
      <c r="P1451" s="4" t="n">
        <v>2</v>
      </c>
      <c r="Q1451" s="4" t="n">
        <v>2516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눌왕리 635-2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58000</v>
      </c>
      <c r="G1452" s="4" t="n">
        <v>638</v>
      </c>
      <c r="H1452" s="4" t="n">
        <v>193</v>
      </c>
      <c r="I1452" s="5" t="n">
        <v>300.5</v>
      </c>
      <c r="J1452" s="5" t="n">
        <v>62.5</v>
      </c>
      <c r="K1452" s="3" t="inlineStr">
        <is>
          <t>절충가능한 연기면 눌왕리 마을 포장도로에 접한 계획관리지역 전입니다</t>
        </is>
      </c>
      <c r="L1452" s="6">
        <f>HYPERLINK("https://fin.land.naver.com/articles/2651245980", "매물Link")</f>
        <v/>
      </c>
      <c r="M1452" s="6">
        <f>HYPERLINK("https://map.naver.com/p/search/연기면 눌왕리 635-2", "지도Link")</f>
        <v/>
      </c>
      <c r="N1452" s="6">
        <f>HYPERLINK("http://www.eum.go.kr/web/ar/lu/luLandDet.jsp?pnu=3611031023106350002&amp;isNoScr=script&amp;mode=search",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638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눌왕리 679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100000</v>
      </c>
      <c r="G1453" s="4" t="n">
        <v>1306</v>
      </c>
      <c r="H1453" s="4" t="n">
        <v>395</v>
      </c>
      <c r="I1453" s="5" t="n">
        <v>253.2</v>
      </c>
      <c r="J1453" s="5" t="n">
        <v>91.8</v>
      </c>
      <c r="K1453" s="3" t="inlineStr">
        <is>
          <t>구옥 2채있고 도로접해있고 버스승강장 가깝고 투자가치 좋아요</t>
        </is>
      </c>
      <c r="L1453" s="6">
        <f>HYPERLINK("https://fin.land.naver.com/articles/2652981530", "매물Link")</f>
        <v/>
      </c>
      <c r="M1453" s="6">
        <f>HYPERLINK("https://map.naver.com/p/search/연기면 눌왕리 679", "지도Link")</f>
        <v/>
      </c>
      <c r="N1453" s="6">
        <f>HYPERLINK("http://www.eum.go.kr/web/ar/lu/luLandDet.jsp?pnu=3611031023106790000&amp;isNoScr=script&amp;mode=search", "토지이음")</f>
        <v/>
      </c>
      <c r="O1453" s="3" t="inlineStr">
        <is>
          <t>도안우미린올레</t>
        </is>
      </c>
      <c r="P1453" s="4" t="n">
        <v>1</v>
      </c>
      <c r="Q1453" s="4" t="n">
        <v>1306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눌왕리 680-7</t>
        </is>
      </c>
      <c r="B1454" s="3" t="inlineStr">
        <is>
          <t>계획관리지역</t>
        </is>
      </c>
      <c r="C1454" s="3" t="inlineStr">
        <is>
          <t>목장용지</t>
        </is>
      </c>
      <c r="D1454" s="3" t="inlineStr">
        <is>
          <t>목장용지</t>
        </is>
      </c>
      <c r="E1454" s="3" t="inlineStr">
        <is>
          <t>매매</t>
        </is>
      </c>
      <c r="F1454" s="4" t="n">
        <v>220000</v>
      </c>
      <c r="G1454" s="4" t="n">
        <v>4833</v>
      </c>
      <c r="H1454" s="4" t="n">
        <v>1462</v>
      </c>
      <c r="I1454" s="5" t="n">
        <v>150.5</v>
      </c>
      <c r="J1454" s="5" t="n">
        <v>70.40000000000001</v>
      </c>
      <c r="K1454" s="3" t="inlineStr">
        <is>
          <t>자연 속에서 미래 가치를 담아낼 수 있는 특별한 토지 매물</t>
        </is>
      </c>
      <c r="L1454" s="6">
        <f>HYPERLINK("https://fin.land.naver.com/articles/2654557035", "매물Link")</f>
        <v/>
      </c>
      <c r="M1454" s="6">
        <f>HYPERLINK("https://map.naver.com/p/search/연기면 눌왕리 680-7", "지도Link")</f>
        <v/>
      </c>
      <c r="N1454" s="6">
        <f>HYPERLINK("http://www.eum.go.kr/web/ar/lu/luLandDet.jsp?pnu=3611031023106800007&amp;isNoScr=script&amp;mode=search", "토지이음")</f>
        <v/>
      </c>
      <c r="O1454" s="3" t="inlineStr">
        <is>
          <t>번암주공</t>
        </is>
      </c>
      <c r="P1454" s="4" t="n">
        <v>1</v>
      </c>
      <c r="Q1454" s="4" t="n">
        <v>3171</v>
      </c>
      <c r="R1454" s="3" t="inlineStr">
        <is>
          <t>지정되지않음</t>
        </is>
      </c>
      <c r="S1454" s="3" t="inlineStr">
        <is>
          <t>전기타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연기면 눌왕리 산18-1</t>
        </is>
      </c>
      <c r="B1455" s="3" t="inlineStr">
        <is>
          <t>계획관리지역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500000</v>
      </c>
      <c r="G1455" s="4" t="n">
        <v>6942</v>
      </c>
      <c r="H1455" s="4" t="n">
        <v>2100</v>
      </c>
      <c r="I1455" s="5" t="n">
        <v>238.1</v>
      </c>
      <c r="J1455" s="5" t="n">
        <v>20.7</v>
      </c>
      <c r="K1455" s="3" t="inlineStr">
        <is>
          <t>세종시 계획관리지역, 산단 주변 개발호재 가능성</t>
        </is>
      </c>
      <c r="L1455" s="6">
        <f>HYPERLINK("https://fin.land.naver.com/articles/2652527612", "매물Link")</f>
        <v/>
      </c>
      <c r="M1455" s="6">
        <f>HYPERLINK("https://map.naver.com/p/search/연기면 눌왕리 산18-1", "지도Link")</f>
        <v/>
      </c>
      <c r="N1455" s="6">
        <f>HYPERLINK("http://www.eum.go.kr/web/ar/lu/luLandDet.jsp?pnu=3611031023200180001&amp;isNoScr=script&amp;mode=search", "토지이음")</f>
        <v/>
      </c>
      <c r="O1455" s="3" t="inlineStr">
        <is>
          <t>미래</t>
        </is>
      </c>
      <c r="P1455" s="4" t="n">
        <v>1</v>
      </c>
      <c r="Q1455" s="4" t="n">
        <v>5554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눌왕리 산20-1</t>
        </is>
      </c>
      <c r="B1456" s="3" t="inlineStr">
        <is>
          <t>계획관리지역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92000</v>
      </c>
      <c r="G1456" s="4" t="n">
        <v>1515</v>
      </c>
      <c r="H1456" s="4" t="n">
        <v>458</v>
      </c>
      <c r="I1456" s="5" t="n">
        <v>200.9</v>
      </c>
      <c r="J1456" s="5" t="n">
        <v>17.8</v>
      </c>
      <c r="K1456" s="3" t="inlineStr">
        <is>
          <t>투자목적,
국가 산업단지 인근
가격조정 최대한 해 보겠습니다.</t>
        </is>
      </c>
      <c r="L1456" s="6">
        <f>HYPERLINK("https://fin.land.naver.com/articles/2652147047", "매물Link")</f>
        <v/>
      </c>
      <c r="M1456" s="6">
        <f>HYPERLINK("https://map.naver.com/p/search/연기면 눌왕리 산20-1", "지도Link")</f>
        <v/>
      </c>
      <c r="N1456" s="6">
        <f>HYPERLINK("http://www.eum.go.kr/web/ar/lu/luLandDet.jsp?pnu=3611031023200200001&amp;isNoScr=script&amp;mode=search", "토지이음")</f>
        <v/>
      </c>
      <c r="O1456" s="3" t="inlineStr">
        <is>
          <t>해들일번지</t>
        </is>
      </c>
      <c r="P1456" s="4" t="n">
        <v>1</v>
      </c>
      <c r="Q1456" s="4" t="n">
        <v>1515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연기면 눌왕리 산71-1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33000</v>
      </c>
      <c r="G1457" s="4" t="n">
        <v>843</v>
      </c>
      <c r="H1457" s="4" t="n">
        <v>255</v>
      </c>
      <c r="I1457" s="5" t="n">
        <v>129.4</v>
      </c>
      <c r="J1457" s="5" t="n">
        <v>12.3</v>
      </c>
      <c r="K1457" s="3" t="inlineStr">
        <is>
          <t>관리지역 토지매매주택건축,투자 등</t>
        </is>
      </c>
      <c r="L1457" s="6">
        <f>HYPERLINK("https://fin.land.naver.com/articles/2655032784", "매물Link")</f>
        <v/>
      </c>
      <c r="M1457" s="6">
        <f>HYPERLINK("https://map.naver.com/p/search/연기면 눌왕리 산71-1", "지도Link")</f>
        <v/>
      </c>
      <c r="N1457" s="6">
        <f>HYPERLINK("http://www.eum.go.kr/web/ar/lu/luLandDet.jsp?pnu=3611031023200710001&amp;isNoScr=script&amp;mode=search", "토지이음")</f>
        <v/>
      </c>
      <c r="O1457" s="3" t="inlineStr">
        <is>
          <t>세종대박</t>
        </is>
      </c>
      <c r="P1457" s="4" t="n">
        <v>1</v>
      </c>
      <c r="Q1457" s="4" t="n">
        <v>843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연기면 눌왕리 산78-20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167360</v>
      </c>
      <c r="G1458" s="4" t="n">
        <v>7685</v>
      </c>
      <c r="H1458" s="4" t="n">
        <v>2325</v>
      </c>
      <c r="I1458" s="5" t="n">
        <v>72</v>
      </c>
      <c r="J1458" s="5" t="n">
        <v>9.800000000000001</v>
      </c>
      <c r="K1458" s="3" t="inlineStr">
        <is>
          <t>행복도시 10분거리로 도로에 접한 청정 야산 급매</t>
        </is>
      </c>
      <c r="L1458" s="6">
        <f>HYPERLINK("https://fin.land.naver.com/articles/2655486533", "매물Link")</f>
        <v/>
      </c>
      <c r="M1458" s="6">
        <f>HYPERLINK("https://map.naver.com/p/search/연기면 눌왕리 산78-20", "지도Link")</f>
        <v/>
      </c>
      <c r="N1458" s="6">
        <f>HYPERLINK("http://www.eum.go.kr/web/ar/lu/luLandDet.jsp?pnu=3611031023200780020&amp;isNoScr=script&amp;mode=search", "토지이음")</f>
        <v/>
      </c>
      <c r="O1458" s="3" t="inlineStr">
        <is>
          <t>강문구</t>
        </is>
      </c>
      <c r="P1458" s="4" t="n">
        <v>2</v>
      </c>
      <c r="Q1458" s="4" t="n">
        <v>7160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보통리 12-3</t>
        </is>
      </c>
      <c r="B1459" s="3" t="inlineStr">
        <is>
          <t>계획관리지역</t>
        </is>
      </c>
      <c r="C1459" s="3" t="inlineStr">
        <is>
          <t>목장용지</t>
        </is>
      </c>
      <c r="D1459" s="3" t="inlineStr">
        <is>
          <t>목장용지</t>
        </is>
      </c>
      <c r="E1459" s="3" t="inlineStr">
        <is>
          <t>매매</t>
        </is>
      </c>
      <c r="F1459" s="4" t="n">
        <v>27000</v>
      </c>
      <c r="G1459" s="4" t="n">
        <v>293</v>
      </c>
      <c r="H1459" s="4" t="n">
        <v>89</v>
      </c>
      <c r="I1459" s="5" t="n">
        <v>303.4</v>
      </c>
      <c r="J1459" s="5" t="n">
        <v>73</v>
      </c>
      <c r="K1459" s="3" t="inlineStr">
        <is>
          <t>도로접한 계획관리 토지 매매</t>
        </is>
      </c>
      <c r="L1459" s="6">
        <f>HYPERLINK("https://fin.land.naver.com/articles/2655169341", "매물Link")</f>
        <v/>
      </c>
      <c r="M1459" s="6">
        <f>HYPERLINK("https://map.naver.com/p/search/연기면 보통리 12-3", "지도Link")</f>
        <v/>
      </c>
      <c r="N1459" s="6">
        <f>HYPERLINK("http://www.eum.go.kr/web/ar/lu/luLandDet.jsp?pnu=3611031022100120003&amp;isNoScr=script&amp;mode=search", "토지이음")</f>
        <v/>
      </c>
      <c r="O1459" s="3" t="inlineStr">
        <is>
          <t>세종대박</t>
        </is>
      </c>
      <c r="P1459" s="4" t="n">
        <v>1</v>
      </c>
      <c r="Q1459" s="4" t="n">
        <v>293</v>
      </c>
      <c r="R1459" s="3" t="inlineStr">
        <is>
          <t>지정되지않음</t>
        </is>
      </c>
      <c r="S1459" s="3" t="inlineStr">
        <is>
          <t>전기타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보통리 385-10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350000</v>
      </c>
      <c r="G1460" s="4" t="n">
        <v>975</v>
      </c>
      <c r="H1460" s="4" t="n">
        <v>295</v>
      </c>
      <c r="I1460" s="5" t="n">
        <v>1186.4</v>
      </c>
      <c r="J1460" s="5" t="n">
        <v>330</v>
      </c>
      <c r="K1460" s="3" t="inlineStr">
        <is>
          <t>nan</t>
        </is>
      </c>
      <c r="L1460" s="6">
        <f>HYPERLINK("https://fin.land.naver.com/articles/2650867711", "매물Link")</f>
        <v/>
      </c>
      <c r="M1460" s="6">
        <f>HYPERLINK("https://map.naver.com/p/search/연기면 보통리 385-10", "지도Link")</f>
        <v/>
      </c>
      <c r="N1460" s="6">
        <f>HYPERLINK("http://www.eum.go.kr/web/ar/lu/luLandDet.jsp?pnu=3611031022103850010&amp;isNoScr=script&amp;mode=search", "토지이음")</f>
        <v/>
      </c>
      <c r="O1460" s="3" t="inlineStr">
        <is>
          <t>신하나로</t>
        </is>
      </c>
      <c r="P1460" s="4" t="n">
        <v>1</v>
      </c>
      <c r="Q1460" s="4" t="n">
        <v>586.6</v>
      </c>
      <c r="R1460" s="3" t="inlineStr">
        <is>
          <t>지정되지않음</t>
        </is>
      </c>
      <c r="S1460" s="3" t="inlineStr">
        <is>
          <t>상업용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연기면 보통리 388-26</t>
        </is>
      </c>
      <c r="B1461" s="3" t="inlineStr">
        <is>
          <t>계획관리지역</t>
        </is>
      </c>
      <c r="C1461" s="3" t="inlineStr">
        <is>
          <t>주차장</t>
        </is>
      </c>
      <c r="D1461" s="3" t="inlineStr">
        <is>
          <t>주차장</t>
        </is>
      </c>
      <c r="E1461" s="3" t="inlineStr">
        <is>
          <t>매매</t>
        </is>
      </c>
      <c r="F1461" s="4" t="n">
        <v>118000</v>
      </c>
      <c r="G1461" s="4" t="n">
        <v>640</v>
      </c>
      <c r="H1461" s="4" t="n">
        <v>194</v>
      </c>
      <c r="I1461" s="5" t="n">
        <v>608.2</v>
      </c>
      <c r="J1461" s="5" t="n">
        <v>137.6</v>
      </c>
      <c r="K1461" s="3" t="inlineStr">
        <is>
          <t>국가산업단지 인근 계획관리토지현주차장</t>
        </is>
      </c>
      <c r="L1461" s="6">
        <f>HYPERLINK("https://fin.land.naver.com/articles/2650856640", "매물Link")</f>
        <v/>
      </c>
      <c r="M1461" s="6">
        <f>HYPERLINK("https://map.naver.com/p/search/연기면 보통리 388-26", "지도Link")</f>
        <v/>
      </c>
      <c r="N1461" s="6">
        <f>HYPERLINK("http://www.eum.go.kr/web/ar/lu/luLandDet.jsp?pnu=3611031022103880026&amp;isNoScr=script&amp;mode=search", "토지이음")</f>
        <v/>
      </c>
      <c r="O1461" s="3" t="inlineStr">
        <is>
          <t>세종대박</t>
        </is>
      </c>
      <c r="P1461" s="4" t="n">
        <v>1</v>
      </c>
      <c r="Q1461" s="4" t="n">
        <v>640.3</v>
      </c>
      <c r="R1461" s="3" t="inlineStr">
        <is>
          <t>지정되지않음</t>
        </is>
      </c>
      <c r="S1461" s="3" t="inlineStr">
        <is>
          <t>주차장등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연기면 보통리 405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129400</v>
      </c>
      <c r="G1462" s="4" t="n">
        <v>2139</v>
      </c>
      <c r="H1462" s="4" t="n">
        <v>647</v>
      </c>
      <c r="I1462" s="5" t="n">
        <v>200</v>
      </c>
      <c r="J1462" s="5" t="n">
        <v>53.5</v>
      </c>
      <c r="K1462" s="3" t="inlineStr">
        <is>
          <t>6생활권 인근 보통리 도로접한 농지 매매. 농림지역.</t>
        </is>
      </c>
      <c r="L1462" s="6">
        <f>HYPERLINK("https://fin.land.naver.com/articles/2653905240", "매물Link")</f>
        <v/>
      </c>
      <c r="M1462" s="6">
        <f>HYPERLINK("https://map.naver.com/p/search/연기면 보통리 405", "지도Link")</f>
        <v/>
      </c>
      <c r="N1462" s="6">
        <f>HYPERLINK("http://www.eum.go.kr/web/ar/lu/luLandDet.jsp?pnu=3611031022104050000&amp;isNoScr=script&amp;mode=search", "토지이음")</f>
        <v/>
      </c>
      <c r="O1462" s="3" t="inlineStr">
        <is>
          <t>세종대장</t>
        </is>
      </c>
      <c r="P1462" s="4" t="n">
        <v>1</v>
      </c>
      <c r="Q1462" s="4" t="n">
        <v>2139.9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보통리 406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270000</v>
      </c>
      <c r="G1463" s="4" t="n">
        <v>3568</v>
      </c>
      <c r="H1463" s="4" t="n">
        <v>1079</v>
      </c>
      <c r="I1463" s="5" t="n">
        <v>250.2</v>
      </c>
      <c r="J1463" s="5" t="n">
        <v>53.5</v>
      </c>
      <c r="K1463" s="3" t="inlineStr">
        <is>
          <t>도로접한 농지 매매</t>
        </is>
      </c>
      <c r="L1463" s="6">
        <f>HYPERLINK("https://fin.land.naver.com/articles/2651403831", "매물Link")</f>
        <v/>
      </c>
      <c r="M1463" s="6">
        <f>HYPERLINK("https://map.naver.com/p/search/연기면 보통리 406", "지도Link")</f>
        <v/>
      </c>
      <c r="N1463" s="6">
        <f>HYPERLINK("http://www.eum.go.kr/web/ar/lu/luLandDet.jsp?pnu=3611031022104060000&amp;isNoScr=script&amp;mode=search",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3568.4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세로한면(불)</t>
        </is>
      </c>
    </row>
    <row r="1464">
      <c r="A1464" s="3" t="inlineStr">
        <is>
          <t>연기면 보통리 412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142000</v>
      </c>
      <c r="G1464" s="4" t="n">
        <v>2618</v>
      </c>
      <c r="H1464" s="4" t="n">
        <v>792</v>
      </c>
      <c r="I1464" s="5" t="n">
        <v>179.3</v>
      </c>
      <c r="J1464" s="5" t="n">
        <v>56.9</v>
      </c>
      <c r="K1464" s="3" t="inlineStr">
        <is>
          <t>세종행복도시 6생활권 접한 토지</t>
        </is>
      </c>
      <c r="L1464" s="6">
        <f>HYPERLINK("https://fin.land.naver.com/articles/2650859604", "매물Link")</f>
        <v/>
      </c>
      <c r="M1464" s="6">
        <f>HYPERLINK("https://map.naver.com/p/search/연기면 보통리 412", "지도Link")</f>
        <v/>
      </c>
      <c r="N1464" s="6">
        <f>HYPERLINK("http://www.eum.go.kr/web/ar/lu/luLandDet.jsp?pnu=3611031022104120000&amp;isNoScr=script&amp;mode=search", "토지이음")</f>
        <v/>
      </c>
      <c r="O1464" s="3" t="inlineStr">
        <is>
          <t>세종대박</t>
        </is>
      </c>
      <c r="P1464" s="4" t="n">
        <v>1</v>
      </c>
      <c r="Q1464" s="4" t="n">
        <v>2618.1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세로한면(가)</t>
        </is>
      </c>
    </row>
    <row r="1465">
      <c r="A1465" s="3" t="inlineStr">
        <is>
          <t>연기면 수산리 103-3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200000</v>
      </c>
      <c r="G1465" s="4" t="n">
        <v>1339</v>
      </c>
      <c r="H1465" s="4" t="n">
        <v>405</v>
      </c>
      <c r="I1465" s="5" t="n">
        <v>493.8</v>
      </c>
      <c r="J1465" s="5" t="n">
        <v>56.4</v>
      </c>
      <c r="K1465" s="3" t="inlineStr">
        <is>
          <t>추천. 세종인근 대형식당자리</t>
        </is>
      </c>
      <c r="L1465" s="6">
        <f>HYPERLINK("https://fin.land.naver.com/articles/2651924335", "매물Link")</f>
        <v/>
      </c>
      <c r="M1465" s="6">
        <f>HYPERLINK("https://map.naver.com/p/search/연기면 수산리 103-3", "지도Link")</f>
        <v/>
      </c>
      <c r="N1465" s="6">
        <f>HYPERLINK("http://www.eum.go.kr/web/ar/lu/luLandDet.jsp?pnu=3611031024101030003&amp;isNoScr=script&amp;mode=search", "토지이음")</f>
        <v/>
      </c>
      <c r="O1465" s="3" t="inlineStr">
        <is>
          <t>강아지풀</t>
        </is>
      </c>
      <c r="P1465" s="4" t="n">
        <v>1</v>
      </c>
      <c r="Q1465" s="4" t="n">
        <v>1339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11</t>
        </is>
      </c>
      <c r="B1466" s="3" t="inlineStr">
        <is>
          <t>보전관리지역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59000</v>
      </c>
      <c r="G1466" s="4" t="n">
        <v>2228</v>
      </c>
      <c r="H1466" s="4" t="n">
        <v>674</v>
      </c>
      <c r="I1466" s="5" t="n">
        <v>87.5</v>
      </c>
      <c r="J1466" s="5" t="n">
        <v>32.6</v>
      </c>
      <c r="K1466" s="3" t="inlineStr">
        <is>
          <t>볕이 따스한 터를 찾으세요</t>
        </is>
      </c>
      <c r="L1466" s="6">
        <f>HYPERLINK("https://fin.land.naver.com/articles/2651968107", "매물Link")</f>
        <v/>
      </c>
      <c r="M1466" s="6">
        <f>HYPERLINK("https://map.naver.com/p/search/연기면 수산리 11", "지도Link")</f>
        <v/>
      </c>
      <c r="N1466" s="6">
        <f>HYPERLINK("http://www.eum.go.kr/web/ar/lu/luLandDet.jsp?pnu=3611031024100110000&amp;isNoScr=script&amp;mode=search", "토지이음")</f>
        <v/>
      </c>
      <c r="O1466" s="3" t="inlineStr">
        <is>
          <t>용궁</t>
        </is>
      </c>
      <c r="P1466" s="4" t="n">
        <v>1</v>
      </c>
      <c r="Q1466" s="4" t="n">
        <v>2228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연기면 수산리 11</t>
        </is>
      </c>
      <c r="B1467" s="3" t="inlineStr">
        <is>
          <t>보전관리지역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59000</v>
      </c>
      <c r="G1467" s="4" t="n">
        <v>2228</v>
      </c>
      <c r="H1467" s="4" t="n">
        <v>674</v>
      </c>
      <c r="I1467" s="5" t="n">
        <v>87.5</v>
      </c>
      <c r="J1467" s="5" t="n">
        <v>32.6</v>
      </c>
      <c r="K1467" s="3" t="inlineStr">
        <is>
          <t>행복도시에서 가까운 토지 대토 투자적합 연서산단에서도 가까움</t>
        </is>
      </c>
      <c r="L1467" s="6">
        <f>HYPERLINK("https://fin.land.naver.com/articles/2652664106", "매물Link")</f>
        <v/>
      </c>
      <c r="M1467" s="6">
        <f>HYPERLINK("https://map.naver.com/p/search/연기면 수산리 11", "지도Link")</f>
        <v/>
      </c>
      <c r="N1467" s="6">
        <f>HYPERLINK("http://www.eum.go.kr/web/ar/lu/luLandDet.jsp?pnu=3611031024100110000&amp;isNoScr=script&amp;mode=search", "토지이음")</f>
        <v/>
      </c>
      <c r="O1467" s="3" t="inlineStr">
        <is>
          <t>고운동리치세종</t>
        </is>
      </c>
      <c r="P1467" s="4" t="n">
        <v>3</v>
      </c>
      <c r="Q1467" s="4" t="n">
        <v>2228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연기면 수산리 119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179800</v>
      </c>
      <c r="G1468" s="4" t="n">
        <v>1918</v>
      </c>
      <c r="H1468" s="4" t="n">
        <v>580</v>
      </c>
      <c r="I1468" s="5" t="n">
        <v>310</v>
      </c>
      <c r="J1468" s="5" t="n">
        <v>58.2</v>
      </c>
      <c r="K1468" s="3" t="inlineStr">
        <is>
          <t>수산3거리,2차선변 입지좋은 토지 매매.</t>
        </is>
      </c>
      <c r="L1468" s="6">
        <f>HYPERLINK("https://fin.land.naver.com/articles/2651374838", "매물Link")</f>
        <v/>
      </c>
      <c r="M1468" s="6">
        <f>HYPERLINK("https://map.naver.com/p/search/연기면 수산리 119", "지도Link")</f>
        <v/>
      </c>
      <c r="N1468" s="6">
        <f>HYPERLINK("http://www.eum.go.kr/web/ar/lu/luLandDet.jsp?pnu=3611031024101190000&amp;isNoScr=script&amp;mode=search", "토지이음")</f>
        <v/>
      </c>
      <c r="O1468" s="3" t="inlineStr">
        <is>
          <t>세종강산</t>
        </is>
      </c>
      <c r="P1468" s="4" t="n">
        <v>1</v>
      </c>
      <c r="Q1468" s="4" t="n">
        <v>1010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연기면 수산리 123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182000</v>
      </c>
      <c r="G1469" s="4" t="n">
        <v>1716</v>
      </c>
      <c r="H1469" s="4" t="n">
        <v>519</v>
      </c>
      <c r="I1469" s="5" t="n">
        <v>350.7</v>
      </c>
      <c r="J1469" s="5" t="n">
        <v>66</v>
      </c>
      <c r="K1469" s="3" t="inlineStr">
        <is>
          <t>수산 IC 근접 계획관리 지역 매매</t>
        </is>
      </c>
      <c r="L1469" s="6">
        <f>HYPERLINK("https://fin.land.naver.com/articles/2652621764", "매물Link")</f>
        <v/>
      </c>
      <c r="M1469" s="6">
        <f>HYPERLINK("https://map.naver.com/p/search/연기면 수산리 123", "지도Link")</f>
        <v/>
      </c>
      <c r="N1469" s="6">
        <f>HYPERLINK("http://www.eum.go.kr/web/ar/lu/luLandDet.jsp?pnu=3611031024101230000&amp;isNoScr=script&amp;mode=search", "토지이음")</f>
        <v/>
      </c>
      <c r="O1469" s="3" t="inlineStr">
        <is>
          <t>강나루</t>
        </is>
      </c>
      <c r="P1469" s="4" t="n">
        <v>1</v>
      </c>
      <c r="Q1469" s="4" t="n">
        <v>1716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130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65000</v>
      </c>
      <c r="G1470" s="4" t="n">
        <v>534</v>
      </c>
      <c r="H1470" s="4" t="n">
        <v>162</v>
      </c>
      <c r="I1470" s="5" t="n">
        <v>401.2</v>
      </c>
      <c r="J1470" s="5" t="n">
        <v>68</v>
      </c>
      <c r="K1470" s="3" t="inlineStr">
        <is>
          <t>수산교차로 지가상승 기대되는 토지</t>
        </is>
      </c>
      <c r="L1470" s="6">
        <f>HYPERLINK("https://fin.land.naver.com/articles/2655032822", "매물Link")</f>
        <v/>
      </c>
      <c r="M1470" s="6">
        <f>HYPERLINK("https://map.naver.com/p/search/연기면 수산리 130", "지도Link")</f>
        <v/>
      </c>
      <c r="N1470" s="6">
        <f>HYPERLINK("http://www.eum.go.kr/web/ar/lu/luLandDet.jsp?pnu=3611031024101300000&amp;isNoScr=script&amp;mode=search",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287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137-2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58200</v>
      </c>
      <c r="G1471" s="4" t="n">
        <v>1283</v>
      </c>
      <c r="H1471" s="4" t="n">
        <v>388</v>
      </c>
      <c r="I1471" s="5" t="n">
        <v>150</v>
      </c>
      <c r="J1471" s="5" t="n">
        <v>55.1</v>
      </c>
      <c r="K1471" s="3" t="inlineStr">
        <is>
          <t>세종 행복도시 인접 연기면 수산리 계획관리 토지 매매 수산교차로</t>
        </is>
      </c>
      <c r="L1471" s="6">
        <f>HYPERLINK("https://fin.land.naver.com/articles/2653008031", "매물Link")</f>
        <v/>
      </c>
      <c r="M1471" s="6">
        <f>HYPERLINK("https://map.naver.com/p/search/연기면 수산리 137-2", "지도Link")</f>
        <v/>
      </c>
      <c r="N1471" s="6">
        <f>HYPERLINK("http://www.eum.go.kr/web/ar/lu/luLandDet.jsp?pnu=3611031024101370002&amp;isNoScr=script&amp;mode=search", "토지이음")</f>
        <v/>
      </c>
      <c r="O1471" s="3" t="inlineStr">
        <is>
          <t>엄지척</t>
        </is>
      </c>
      <c r="P1471" s="4" t="n">
        <v>1</v>
      </c>
      <c r="Q1471" s="4" t="n">
        <v>1283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17</t>
        </is>
      </c>
      <c r="B1472" s="3" t="inlineStr">
        <is>
          <t>보전관리지역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14000</v>
      </c>
      <c r="G1472" s="4" t="n">
        <v>777</v>
      </c>
      <c r="H1472" s="4" t="n">
        <v>235</v>
      </c>
      <c r="I1472" s="5" t="n">
        <v>59.6</v>
      </c>
      <c r="J1472" s="5" t="n">
        <v>27.7</v>
      </c>
      <c r="K1472" s="3" t="inlineStr">
        <is>
          <t>수산리 소액 투자용</t>
        </is>
      </c>
      <c r="L1472" s="6">
        <f>HYPERLINK("https://fin.land.naver.com/articles/2653157494", "매물Link")</f>
        <v/>
      </c>
      <c r="M1472" s="6">
        <f>HYPERLINK("https://map.naver.com/p/search/연기면 수산리 17", "지도Link")</f>
        <v/>
      </c>
      <c r="N1472" s="6">
        <f>HYPERLINK("http://www.eum.go.kr/web/ar/lu/luLandDet.jsp?pnu=3611031024100170000&amp;isNoScr=script&amp;mode=search", "토지이음")</f>
        <v/>
      </c>
      <c r="O1472" s="3" t="inlineStr">
        <is>
          <t>KB세종</t>
        </is>
      </c>
      <c r="P1472" s="4" t="n">
        <v>1</v>
      </c>
      <c r="Q1472" s="4" t="n">
        <v>777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193-4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35000</v>
      </c>
      <c r="G1473" s="4" t="n">
        <v>793</v>
      </c>
      <c r="H1473" s="4" t="n">
        <v>240</v>
      </c>
      <c r="I1473" s="5" t="n">
        <v>145.8</v>
      </c>
      <c r="J1473" s="5" t="n">
        <v>36.6</v>
      </c>
      <c r="K1473" s="3" t="inlineStr">
        <is>
          <t>세종신도시 인근 소액 투자용 토지</t>
        </is>
      </c>
      <c r="L1473" s="6">
        <f>HYPERLINK("https://fin.land.naver.com/articles/2653284115", "매물Link")</f>
        <v/>
      </c>
      <c r="M1473" s="6">
        <f>HYPERLINK("https://map.naver.com/p/search/연기면 수산리 193-4", "지도Link")</f>
        <v/>
      </c>
      <c r="N1473" s="6">
        <f>HYPERLINK("http://www.eum.go.kr/web/ar/lu/luLandDet.jsp?pnu=3611031024101930004&amp;isNoScr=script&amp;mode=search", "토지이음")</f>
        <v/>
      </c>
      <c r="O1473" s="3" t="inlineStr">
        <is>
          <t>세종공감</t>
        </is>
      </c>
      <c r="P1473" s="4" t="n">
        <v>1</v>
      </c>
      <c r="Q1473" s="4" t="n">
        <v>793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세로한면(불)</t>
        </is>
      </c>
    </row>
    <row r="1474">
      <c r="A1474" s="3" t="inlineStr">
        <is>
          <t>연기면 수산리 194-1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85000</v>
      </c>
      <c r="G1474" s="4" t="n">
        <v>2026</v>
      </c>
      <c r="H1474" s="4" t="n">
        <v>613</v>
      </c>
      <c r="I1474" s="5" t="n">
        <v>138.7</v>
      </c>
      <c r="J1474" s="5" t="n">
        <v>36.6</v>
      </c>
      <c r="K1474" s="3" t="inlineStr">
        <is>
          <t>농림지역의 답으로 지목이 되어있지만 한달간의 복토작업으로 현재 전으로사용</t>
        </is>
      </c>
      <c r="L1474" s="6">
        <f>HYPERLINK("https://fin.land.naver.com/articles/2651925441", "매물Link")</f>
        <v/>
      </c>
      <c r="M1474" s="6">
        <f>HYPERLINK("https://map.naver.com/p/search/연기면 수산리 194-1", "지도Link")</f>
        <v/>
      </c>
      <c r="N1474" s="6">
        <f>HYPERLINK("http://www.eum.go.kr/web/ar/lu/luLandDet.jsp?pnu=3611031024101940001&amp;isNoScr=script&amp;mode=search",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2026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세로한면(불)</t>
        </is>
      </c>
    </row>
    <row r="1475">
      <c r="A1475" s="3" t="inlineStr">
        <is>
          <t>연기면 수산리 203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180000</v>
      </c>
      <c r="G1475" s="4" t="n">
        <v>3838</v>
      </c>
      <c r="H1475" s="4" t="n">
        <v>1161</v>
      </c>
      <c r="I1475" s="5" t="n">
        <v>155</v>
      </c>
      <c r="J1475" s="5" t="n">
        <v>43.3</v>
      </c>
      <c r="K1475" s="3" t="inlineStr">
        <is>
          <t>원주민 장기보유. 도로 잘 접한 투자 유망. 청사5K,국가산단2.5K</t>
        </is>
      </c>
      <c r="L1475" s="6">
        <f>HYPERLINK("https://fin.land.naver.com/articles/2652538136", "매물Link")</f>
        <v/>
      </c>
      <c r="M1475" s="6">
        <f>HYPERLINK("https://map.naver.com/p/search/연기면 수산리 203", "지도Link")</f>
        <v/>
      </c>
      <c r="N1475" s="6">
        <f>HYPERLINK("http://www.eum.go.kr/web/ar/lu/luLandDet.jsp?pnu=3611031024102030000&amp;isNoScr=script&amp;mode=search", "토지이음")</f>
        <v/>
      </c>
      <c r="O1475" s="3" t="inlineStr">
        <is>
          <t>세종소담114</t>
        </is>
      </c>
      <c r="P1475" s="4" t="n">
        <v>2</v>
      </c>
      <c r="Q1475" s="4" t="n">
        <v>3838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203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180000</v>
      </c>
      <c r="G1476" s="4" t="n">
        <v>3838</v>
      </c>
      <c r="H1476" s="4" t="n">
        <v>1161</v>
      </c>
      <c r="I1476" s="5" t="n">
        <v>155</v>
      </c>
      <c r="J1476" s="5" t="n">
        <v>43.3</v>
      </c>
      <c r="K1476" s="3" t="inlineStr">
        <is>
          <t>수산리 마을 포장도로에 접해 있는 평탄하고 면적이 큰 원형지형태 전입니다</t>
        </is>
      </c>
      <c r="L1476" s="6">
        <f>HYPERLINK("https://fin.land.naver.com/articles/2653856530", "매물Link")</f>
        <v/>
      </c>
      <c r="M1476" s="6">
        <f>HYPERLINK("https://map.naver.com/p/search/연기면 수산리 203", "지도Link")</f>
        <v/>
      </c>
      <c r="N1476" s="6">
        <f>HYPERLINK("http://www.eum.go.kr/web/ar/lu/luLandDet.jsp?pnu=3611031024102030000&amp;isNoScr=script&amp;mode=search", "토지이음")</f>
        <v/>
      </c>
      <c r="O1476" s="3" t="inlineStr">
        <is>
          <t>스마일세종</t>
        </is>
      </c>
      <c r="P1476" s="4" t="n">
        <v>3</v>
      </c>
      <c r="Q1476" s="4" t="n">
        <v>3838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241-10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44000</v>
      </c>
      <c r="G1477" s="4" t="n">
        <v>582</v>
      </c>
      <c r="H1477" s="4" t="n">
        <v>176</v>
      </c>
      <c r="I1477" s="5" t="n">
        <v>250</v>
      </c>
      <c r="J1477" s="5" t="n">
        <v>82.2</v>
      </c>
      <c r="K1477" s="3" t="inlineStr">
        <is>
          <t>연기면 수산리에 있는 전원주택을 지을수 있는 택지개발한 임야입니다</t>
        </is>
      </c>
      <c r="L1477" s="6">
        <f>HYPERLINK("https://fin.land.naver.com/articles/2650021993", "매물Link")</f>
        <v/>
      </c>
      <c r="M1477" s="6">
        <f>HYPERLINK("https://map.naver.com/p/search/연기면 수산리 241-10", "지도Link")</f>
        <v/>
      </c>
      <c r="N1477" s="6">
        <f>HYPERLINK("http://www.eum.go.kr/web/ar/lu/luLandDet.jsp?pnu=3611031024102410010&amp;isNoScr=script&amp;mode=search",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512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수산리 293-2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105000</v>
      </c>
      <c r="G1478" s="4" t="n">
        <v>4043</v>
      </c>
      <c r="H1478" s="4" t="n">
        <v>1223</v>
      </c>
      <c r="I1478" s="5" t="n">
        <v>85.90000000000001</v>
      </c>
      <c r="J1478" s="5" t="n">
        <v>30.6</v>
      </c>
      <c r="K1478" s="3" t="inlineStr">
        <is>
          <t>연기면 수산리 급매, 차량진입도로 유</t>
        </is>
      </c>
      <c r="L1478" s="6">
        <f>HYPERLINK("https://fin.land.naver.com/articles/2653542458", "매물Link")</f>
        <v/>
      </c>
      <c r="M1478" s="6">
        <f>HYPERLINK("https://map.naver.com/p/search/연기면 수산리 293-2", "지도Link")</f>
        <v/>
      </c>
      <c r="N1478" s="6">
        <f>HYPERLINK("http://www.eum.go.kr/web/ar/lu/luLandDet.jsp?pnu=3611031024102930002&amp;isNoScr=script&amp;mode=search", "토지이음")</f>
        <v/>
      </c>
      <c r="O1478" s="3" t="inlineStr">
        <is>
          <t>올바른</t>
        </is>
      </c>
      <c r="P1478" s="4" t="n">
        <v>1</v>
      </c>
      <c r="Q1478" s="4" t="n">
        <v>3147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연기면 수산리 30-1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56000</v>
      </c>
      <c r="G1479" s="4" t="n">
        <v>913</v>
      </c>
      <c r="H1479" s="4" t="n">
        <v>276</v>
      </c>
      <c r="I1479" s="5" t="n">
        <v>202.9</v>
      </c>
      <c r="J1479" s="5" t="n">
        <v>62.9</v>
      </c>
      <c r="K1479" s="3" t="inlineStr">
        <is>
          <t>계획관리지역</t>
        </is>
      </c>
      <c r="L1479" s="6">
        <f>HYPERLINK("https://fin.land.naver.com/articles/2653939899", "매물Link")</f>
        <v/>
      </c>
      <c r="M1479" s="6">
        <f>HYPERLINK("https://map.naver.com/p/search/연기면 수산리 30-1", "지도Link")</f>
        <v/>
      </c>
      <c r="N1479" s="6">
        <f>HYPERLINK("http://www.eum.go.kr/web/ar/lu/luLandDet.jsp?pnu=3611031024100300001&amp;isNoScr=script&amp;mode=search", "토지이음")</f>
        <v/>
      </c>
      <c r="O1479" s="3" t="inlineStr">
        <is>
          <t>로데오상가</t>
        </is>
      </c>
      <c r="P1479" s="4" t="n">
        <v>1</v>
      </c>
      <c r="Q1479" s="4" t="n">
        <v>913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수산리 404-1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54000</v>
      </c>
      <c r="G1480" s="4" t="n">
        <v>2231</v>
      </c>
      <c r="H1480" s="4" t="n">
        <v>675</v>
      </c>
      <c r="I1480" s="5" t="n">
        <v>80</v>
      </c>
      <c r="J1480" s="5" t="n">
        <v>60.5</v>
      </c>
      <c r="K1480" s="3" t="inlineStr">
        <is>
          <t>투자용추천,국가산단주변지역,6생활권과인접지역</t>
        </is>
      </c>
      <c r="L1480" s="6">
        <f>HYPERLINK("https://fin.land.naver.com/articles/2652354263", "매물Link")</f>
        <v/>
      </c>
      <c r="M1480" s="6">
        <f>HYPERLINK("https://map.naver.com/p/search/연기면 수산리 404-1", "지도Link")</f>
        <v/>
      </c>
      <c r="N1480" s="6">
        <f>HYPERLINK("http://www.eum.go.kr/web/ar/lu/luLandDet.jsp?pnu=3611031024104040001&amp;isNoScr=script&amp;mode=search", "토지이음")</f>
        <v/>
      </c>
      <c r="O1480" s="3" t="inlineStr">
        <is>
          <t>따뜻한</t>
        </is>
      </c>
      <c r="P1480" s="4" t="n">
        <v>1</v>
      </c>
      <c r="Q1480" s="4" t="n">
        <v>2231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연기면 수산리 442-2</t>
        </is>
      </c>
      <c r="B1481" s="3" t="inlineStr">
        <is>
          <t>생산관리지역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52500</v>
      </c>
      <c r="G1481" s="4" t="n">
        <v>1158</v>
      </c>
      <c r="H1481" s="4" t="n">
        <v>350</v>
      </c>
      <c r="I1481" s="5" t="n">
        <v>150</v>
      </c>
      <c r="J1481" s="5" t="n">
        <v>48.3</v>
      </c>
      <c r="K1481" s="3" t="inlineStr">
        <is>
          <t>nan</t>
        </is>
      </c>
      <c r="L1481" s="6">
        <f>HYPERLINK("https://fin.land.naver.com/articles/2651744333", "매물Link")</f>
        <v/>
      </c>
      <c r="M1481" s="6">
        <f>HYPERLINK("https://map.naver.com/p/search/연기면 수산리 442-2", "지도Link")</f>
        <v/>
      </c>
      <c r="N1481" s="6">
        <f>HYPERLINK("http://www.eum.go.kr/web/ar/lu/luLandDet.jsp?pnu=3611031024104420002&amp;isNoScr=script&amp;mode=search", "토지이음")</f>
        <v/>
      </c>
      <c r="O1481" s="3" t="inlineStr">
        <is>
          <t>세종</t>
        </is>
      </c>
      <c r="P1481" s="4" t="n">
        <v>1</v>
      </c>
      <c r="Q1481" s="4" t="n">
        <v>1158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수산리 464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47000</v>
      </c>
      <c r="G1482" s="4" t="n">
        <v>706</v>
      </c>
      <c r="H1482" s="4" t="n">
        <v>214</v>
      </c>
      <c r="I1482" s="5" t="n">
        <v>219.6</v>
      </c>
      <c r="J1482" s="5" t="n">
        <v>60.6</v>
      </c>
      <c r="K1482" s="3" t="inlineStr">
        <is>
          <t>세종시 수산교차로 인근지역</t>
        </is>
      </c>
      <c r="L1482" s="6">
        <f>HYPERLINK("https://fin.land.naver.com/articles/2652502211", "매물Link")</f>
        <v/>
      </c>
      <c r="M1482" s="6">
        <f>HYPERLINK("https://map.naver.com/p/search/연기면 수산리 464", "지도Link")</f>
        <v/>
      </c>
      <c r="N1482" s="6">
        <f>HYPERLINK("http://www.eum.go.kr/web/ar/lu/luLandDet.jsp?pnu=3611031024104640000&amp;isNoScr=script&amp;mode=search",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706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수산리 503-1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161000</v>
      </c>
      <c r="G1483" s="4" t="n">
        <v>1517</v>
      </c>
      <c r="H1483" s="4" t="n">
        <v>459</v>
      </c>
      <c r="I1483" s="5" t="n">
        <v>350.8</v>
      </c>
      <c r="J1483" s="5" t="n">
        <v>54.8</v>
      </c>
      <c r="K1483" s="3" t="inlineStr">
        <is>
          <t>수산리 도로접한 계획관리 토지 급매</t>
        </is>
      </c>
      <c r="L1483" s="6">
        <f>HYPERLINK("https://fin.land.naver.com/articles/2653598291", "매물Link")</f>
        <v/>
      </c>
      <c r="M1483" s="6">
        <f>HYPERLINK("https://map.naver.com/p/search/연기면 수산리 503-1", "지도Link")</f>
        <v/>
      </c>
      <c r="N1483" s="6">
        <f>HYPERLINK("http://www.eum.go.kr/web/ar/lu/luLandDet.jsp?pnu=3611031024105030001&amp;isNoScr=script&amp;mode=search", "토지이음")</f>
        <v/>
      </c>
      <c r="O1483" s="3" t="inlineStr">
        <is>
          <t>한화타운</t>
        </is>
      </c>
      <c r="P1483" s="4" t="n">
        <v>1</v>
      </c>
      <c r="Q1483" s="4" t="n">
        <v>750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연기면 수산리 503-1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56700</v>
      </c>
      <c r="G1484" s="4" t="n">
        <v>750</v>
      </c>
      <c r="H1484" s="4" t="n">
        <v>227</v>
      </c>
      <c r="I1484" s="5" t="n">
        <v>249.8</v>
      </c>
      <c r="J1484" s="5" t="n">
        <v>54.8</v>
      </c>
      <c r="K1484" s="3" t="inlineStr">
        <is>
          <t>계획관리지역, 세종 해밀동에서 5분거리, 서울 세종 고속도로 최대수혜지</t>
        </is>
      </c>
      <c r="L1484" s="6">
        <f>HYPERLINK("https://fin.land.naver.com/articles/2652330643", "매물Link")</f>
        <v/>
      </c>
      <c r="M1484" s="6">
        <f>HYPERLINK("https://map.naver.com/p/search/연기면 수산리 503-1", "지도Link")</f>
        <v/>
      </c>
      <c r="N1484" s="6">
        <f>HYPERLINK("http://www.eum.go.kr/web/ar/lu/luLandDet.jsp?pnu=3611031024105030001&amp;isNoScr=script&amp;mode=search", "토지이음")</f>
        <v/>
      </c>
      <c r="O1484" s="3" t="inlineStr">
        <is>
          <t>다정센텀</t>
        </is>
      </c>
      <c r="P1484" s="4" t="n">
        <v>1</v>
      </c>
      <c r="Q1484" s="4" t="n">
        <v>750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연기면 수산리 503-2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58000</v>
      </c>
      <c r="G1485" s="4" t="n">
        <v>767</v>
      </c>
      <c r="H1485" s="4" t="n">
        <v>232</v>
      </c>
      <c r="I1485" s="5" t="n">
        <v>250</v>
      </c>
      <c r="J1485" s="5" t="n">
        <v>52.2</v>
      </c>
      <c r="K1485" s="3" t="inlineStr">
        <is>
          <t>세종 해밀동과 5분거리, 계획관리지역, 서울세종 고속도로 최대수혜지</t>
        </is>
      </c>
      <c r="L1485" s="6">
        <f>HYPERLINK("https://fin.land.naver.com/articles/2652331275", "매물Link")</f>
        <v/>
      </c>
      <c r="M1485" s="6">
        <f>HYPERLINK("https://map.naver.com/p/search/연기면 수산리 503-2", "지도Link")</f>
        <v/>
      </c>
      <c r="N1485" s="6">
        <f>HYPERLINK("http://www.eum.go.kr/web/ar/lu/luLandDet.jsp?pnu=3611031024105030002&amp;isNoScr=script&amp;mode=search", "토지이음")</f>
        <v/>
      </c>
      <c r="O1485" s="3" t="inlineStr">
        <is>
          <t>다정센텀</t>
        </is>
      </c>
      <c r="P1485" s="4" t="n">
        <v>1</v>
      </c>
      <c r="Q1485" s="4" t="n">
        <v>767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수산리 503-2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82000</v>
      </c>
      <c r="G1486" s="4" t="n">
        <v>767</v>
      </c>
      <c r="H1486" s="4" t="n">
        <v>232</v>
      </c>
      <c r="I1486" s="5" t="n">
        <v>353.4</v>
      </c>
      <c r="J1486" s="5" t="n">
        <v>52.2</v>
      </c>
      <c r="K1486" s="3" t="inlineStr">
        <is>
          <t>Click 수산교차로 인근 계획관리지역 Click</t>
        </is>
      </c>
      <c r="L1486" s="6">
        <f>HYPERLINK("https://fin.land.naver.com/articles/2651434324", "매물Link")</f>
        <v/>
      </c>
      <c r="M1486" s="6">
        <f>HYPERLINK("https://map.naver.com/p/search/연기면 수산리 503-2", "지도Link")</f>
        <v/>
      </c>
      <c r="N1486" s="6">
        <f>HYPERLINK("http://www.eum.go.kr/web/ar/lu/luLandDet.jsp?pnu=3611031024105030002&amp;isNoScr=script&amp;mode=search", "토지이음")</f>
        <v/>
      </c>
      <c r="O1486" s="3" t="inlineStr">
        <is>
          <t>해뜰</t>
        </is>
      </c>
      <c r="P1486" s="4" t="n">
        <v>1</v>
      </c>
      <c r="Q1486" s="4" t="n">
        <v>767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503-2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162000</v>
      </c>
      <c r="G1487" s="4" t="n">
        <v>1517</v>
      </c>
      <c r="H1487" s="4" t="n">
        <v>459</v>
      </c>
      <c r="I1487" s="5" t="n">
        <v>352.9</v>
      </c>
      <c r="J1487" s="5" t="n">
        <v>52.2</v>
      </c>
      <c r="K1487" s="3" t="inlineStr">
        <is>
          <t>Click 수산교차로 인근 계획관리지역 2필지 도로접 Click</t>
        </is>
      </c>
      <c r="L1487" s="6">
        <f>HYPERLINK("https://fin.land.naver.com/articles/2651434188", "매물Link")</f>
        <v/>
      </c>
      <c r="M1487" s="6">
        <f>HYPERLINK("https://map.naver.com/p/search/연기면 수산리 503-2", "지도Link")</f>
        <v/>
      </c>
      <c r="N1487" s="6">
        <f>HYPERLINK("http://www.eum.go.kr/web/ar/lu/luLandDet.jsp?pnu=3611031024105030002&amp;isNoScr=script&amp;mode=search", "토지이음")</f>
        <v/>
      </c>
      <c r="O1487" s="3" t="inlineStr">
        <is>
          <t>해뜰</t>
        </is>
      </c>
      <c r="P1487" s="4" t="n">
        <v>1</v>
      </c>
      <c r="Q1487" s="4" t="n">
        <v>767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534-15</t>
        </is>
      </c>
      <c r="B1488" s="3" t="inlineStr">
        <is>
          <t>보전관리지역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32340</v>
      </c>
      <c r="G1488" s="4" t="n">
        <v>485</v>
      </c>
      <c r="H1488" s="4" t="n">
        <v>147</v>
      </c>
      <c r="I1488" s="5" t="n">
        <v>220</v>
      </c>
      <c r="J1488" s="5" t="n">
        <v>55</v>
      </c>
      <c r="K1488" s="3" t="inlineStr">
        <is>
          <t>nan</t>
        </is>
      </c>
      <c r="L1488" s="6">
        <f>HYPERLINK("https://fin.land.naver.com/articles/2652503631", "매물Link")</f>
        <v/>
      </c>
      <c r="M1488" s="6">
        <f>HYPERLINK("https://map.naver.com/p/search/연기면 수산리 534-15", "지도Link")</f>
        <v/>
      </c>
      <c r="N1488" s="6">
        <f>HYPERLINK("http://www.eum.go.kr/web/ar/lu/luLandDet.jsp?pnu=3611031024105340015&amp;isNoScr=script&amp;mode=search", "토지이음")</f>
        <v/>
      </c>
      <c r="O1488" s="3" t="inlineStr">
        <is>
          <t>동원</t>
        </is>
      </c>
      <c r="P1488" s="4" t="n">
        <v>1</v>
      </c>
      <c r="Q1488" s="4" t="n">
        <v>446</v>
      </c>
      <c r="R1488" s="3" t="inlineStr">
        <is>
          <t>지정되지않음</t>
        </is>
      </c>
      <c r="S1488" s="3" t="inlineStr">
        <is>
          <t>전기타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연기면 수산리 534-17</t>
        </is>
      </c>
      <c r="B1489" s="3" t="inlineStr">
        <is>
          <t>보전관리지역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43240</v>
      </c>
      <c r="G1489" s="4" t="n">
        <v>622</v>
      </c>
      <c r="H1489" s="4" t="n">
        <v>188</v>
      </c>
      <c r="I1489" s="5" t="n">
        <v>230</v>
      </c>
      <c r="J1489" s="5" t="n">
        <v>52.3</v>
      </c>
      <c r="K1489" s="3" t="inlineStr">
        <is>
          <t>nan</t>
        </is>
      </c>
      <c r="L1489" s="6">
        <f>HYPERLINK("https://fin.land.naver.com/articles/2650436921", "매물Link")</f>
        <v/>
      </c>
      <c r="M1489" s="6">
        <f>HYPERLINK("https://map.naver.com/p/search/연기면 수산리 534-17", "지도Link")</f>
        <v/>
      </c>
      <c r="N1489" s="6">
        <f>HYPERLINK("http://www.eum.go.kr/web/ar/lu/luLandDet.jsp?pnu=3611031024105340017&amp;isNoScr=script&amp;mode=search", "토지이음")</f>
        <v/>
      </c>
      <c r="O1489" s="3" t="inlineStr">
        <is>
          <t>세종소담114</t>
        </is>
      </c>
      <c r="P1489" s="4" t="n">
        <v>1</v>
      </c>
      <c r="Q1489" s="4" t="n">
        <v>507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완경사</t>
        </is>
      </c>
      <c r="U1489" s="3" t="inlineStr">
        <is>
          <t>자루형</t>
        </is>
      </c>
      <c r="V1489" s="3" t="inlineStr">
        <is>
          <t>세로한면(가)</t>
        </is>
      </c>
    </row>
    <row r="1490">
      <c r="A1490" s="3" t="inlineStr">
        <is>
          <t>연기면 수산리 534-17</t>
        </is>
      </c>
      <c r="B1490" s="3" t="inlineStr">
        <is>
          <t>보전관리지역</t>
        </is>
      </c>
      <c r="C1490" s="3" t="inlineStr">
        <is>
          <t>임야</t>
        </is>
      </c>
      <c r="D1490" s="3" t="inlineStr">
        <is>
          <t>임야</t>
        </is>
      </c>
      <c r="E1490" s="3" t="inlineStr">
        <is>
          <t>매매</t>
        </is>
      </c>
      <c r="F1490" s="4" t="n">
        <v>43300</v>
      </c>
      <c r="G1490" s="4" t="n">
        <v>622</v>
      </c>
      <c r="H1490" s="4" t="n">
        <v>188</v>
      </c>
      <c r="I1490" s="5" t="n">
        <v>230.3</v>
      </c>
      <c r="J1490" s="5" t="n">
        <v>52.3</v>
      </c>
      <c r="K1490" s="3" t="inlineStr">
        <is>
          <t>뷰 좋은 건축허가 득한 토지, IC 인접,세종시 6생활권인접</t>
        </is>
      </c>
      <c r="L1490" s="6">
        <f>HYPERLINK("https://fin.land.naver.com/articles/2655249652", "매물Link")</f>
        <v/>
      </c>
      <c r="M1490" s="6">
        <f>HYPERLINK("https://map.naver.com/p/search/연기면 수산리 534-17", "지도Link")</f>
        <v/>
      </c>
      <c r="N1490" s="6">
        <f>HYPERLINK("http://www.eum.go.kr/web/ar/lu/luLandDet.jsp?pnu=3611031024105340017&amp;isNoScr=script&amp;mode=search", "토지이음")</f>
        <v/>
      </c>
      <c r="O1490" s="3" t="inlineStr">
        <is>
          <t>담뜰</t>
        </is>
      </c>
      <c r="P1490" s="4" t="n">
        <v>3</v>
      </c>
      <c r="Q1490" s="4" t="n">
        <v>507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완경사</t>
        </is>
      </c>
      <c r="U1490" s="3" t="inlineStr">
        <is>
          <t>자루형</t>
        </is>
      </c>
      <c r="V1490" s="3" t="inlineStr">
        <is>
          <t>세로한면(가)</t>
        </is>
      </c>
    </row>
    <row r="1491">
      <c r="A1491" s="3" t="inlineStr">
        <is>
          <t>연기면 수산리 534-7</t>
        </is>
      </c>
      <c r="B1491" s="3" t="inlineStr">
        <is>
          <t>보전관리지역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35500</v>
      </c>
      <c r="G1491" s="4" t="n">
        <v>470</v>
      </c>
      <c r="H1491" s="4" t="n">
        <v>142</v>
      </c>
      <c r="I1491" s="5" t="n">
        <v>250</v>
      </c>
      <c r="J1491" s="5" t="n">
        <v>76.40000000000001</v>
      </c>
      <c r="K1491" s="3" t="inlineStr">
        <is>
          <t>토목공사 완료된 독일마을 전원주택부지</t>
        </is>
      </c>
      <c r="L1491" s="6">
        <f>HYPERLINK("https://fin.land.naver.com/articles/2650856643", "매물Link")</f>
        <v/>
      </c>
      <c r="M1491" s="6">
        <f>HYPERLINK("https://map.naver.com/p/search/연기면 수산리 534-7", "지도Link")</f>
        <v/>
      </c>
      <c r="N1491" s="6">
        <f>HYPERLINK("http://www.eum.go.kr/web/ar/lu/luLandDet.jsp?pnu=3611031024105340007&amp;isNoScr=script&amp;mode=search",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470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완경사</t>
        </is>
      </c>
      <c r="U1491" s="3" t="inlineStr">
        <is>
          <t>자루형</t>
        </is>
      </c>
      <c r="V1491" s="3" t="inlineStr">
        <is>
          <t>세로한면(가)</t>
        </is>
      </c>
    </row>
    <row r="1492">
      <c r="A1492" s="3" t="inlineStr">
        <is>
          <t>연기면 수산리 536-2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37700</v>
      </c>
      <c r="G1492" s="4" t="n">
        <v>1246</v>
      </c>
      <c r="H1492" s="4" t="n">
        <v>377</v>
      </c>
      <c r="I1492" s="5" t="n">
        <v>100</v>
      </c>
      <c r="J1492" s="5" t="n">
        <v>38.2</v>
      </c>
      <c r="K1492" s="3" t="inlineStr">
        <is>
          <t>세종시 초인접 계획관리 답</t>
        </is>
      </c>
      <c r="L1492" s="6">
        <f>HYPERLINK("https://fin.land.naver.com/articles/2652621671", "매물Link")</f>
        <v/>
      </c>
      <c r="M1492" s="6">
        <f>HYPERLINK("https://map.naver.com/p/search/연기면 수산리 536-2", "지도Link")</f>
        <v/>
      </c>
      <c r="N1492" s="6">
        <f>HYPERLINK("http://www.eum.go.kr/web/ar/lu/luLandDet.jsp?pnu=3611031024105360002&amp;isNoScr=script&amp;mode=search", "토지이음")</f>
        <v/>
      </c>
      <c r="O1492" s="3" t="inlineStr">
        <is>
          <t>강나루</t>
        </is>
      </c>
      <c r="P1492" s="4" t="n">
        <v>1</v>
      </c>
      <c r="Q1492" s="4" t="n">
        <v>1246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수산리 536-2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37700</v>
      </c>
      <c r="G1493" s="4" t="n">
        <v>1246</v>
      </c>
      <c r="H1493" s="4" t="n">
        <v>377</v>
      </c>
      <c r="I1493" s="5" t="n">
        <v>100</v>
      </c>
      <c r="J1493" s="5" t="n">
        <v>38.2</v>
      </c>
      <c r="K1493" s="3" t="inlineStr">
        <is>
          <t>서울세종간고속도로 진입램프와 가까운 수산리지역 토지</t>
        </is>
      </c>
      <c r="L1493" s="6">
        <f>HYPERLINK("https://fin.land.naver.com/articles/2652030443", "매물Link")</f>
        <v/>
      </c>
      <c r="M1493" s="6">
        <f>HYPERLINK("https://map.naver.com/p/search/연기면 수산리 536-2", "지도Link")</f>
        <v/>
      </c>
      <c r="N1493" s="6">
        <f>HYPERLINK("http://www.eum.go.kr/web/ar/lu/luLandDet.jsp?pnu=3611031024105360002&amp;isNoScr=script&amp;mode=search", "토지이음")</f>
        <v/>
      </c>
      <c r="O1493" s="3" t="inlineStr">
        <is>
          <t>미스터홈즈강남지사</t>
        </is>
      </c>
      <c r="P1493" s="4" t="n">
        <v>1</v>
      </c>
      <c r="Q1493" s="4" t="n">
        <v>1246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수산리 539-1</t>
        </is>
      </c>
      <c r="B1494" s="3" t="inlineStr">
        <is>
          <t>보전관리지역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58000</v>
      </c>
      <c r="G1494" s="4" t="n">
        <v>767</v>
      </c>
      <c r="H1494" s="4" t="n">
        <v>232</v>
      </c>
      <c r="I1494" s="5" t="n">
        <v>250</v>
      </c>
      <c r="J1494" s="5" t="n">
        <v>55</v>
      </c>
      <c r="K1494" s="3" t="inlineStr">
        <is>
          <t>nan</t>
        </is>
      </c>
      <c r="L1494" s="6">
        <f>HYPERLINK("https://fin.land.naver.com/articles/2653631626", "매물Link")</f>
        <v/>
      </c>
      <c r="M1494" s="6">
        <f>HYPERLINK("https://map.naver.com/p/search/연기면 수산리 539-1", "지도Link")</f>
        <v/>
      </c>
      <c r="N1494" s="6">
        <f>HYPERLINK("http://www.eum.go.kr/web/ar/lu/luLandDet.jsp?pnu=3611031024105390001&amp;isNoScr=script&amp;mode=search", "토지이음")</f>
        <v/>
      </c>
      <c r="O1494" s="3" t="inlineStr">
        <is>
          <t>에바다</t>
        </is>
      </c>
      <c r="P1494" s="4" t="n">
        <v>1</v>
      </c>
      <c r="Q1494" s="4" t="n">
        <v>767</v>
      </c>
      <c r="R1494" s="3" t="inlineStr">
        <is>
          <t>지정되지않음</t>
        </is>
      </c>
      <c r="S1494" s="3" t="inlineStr">
        <is>
          <t>전기타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수산리 542-7</t>
        </is>
      </c>
      <c r="B1495" s="3" t="inlineStr">
        <is>
          <t>보전관리지역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25000</v>
      </c>
      <c r="G1495" s="4" t="n">
        <v>444</v>
      </c>
      <c r="H1495" s="4" t="n">
        <v>134</v>
      </c>
      <c r="I1495" s="5" t="n">
        <v>186.6</v>
      </c>
      <c r="J1495" s="5" t="n">
        <v>82.2</v>
      </c>
      <c r="K1495" s="3" t="inlineStr">
        <is>
          <t>독일마을, 주택지, 투자</t>
        </is>
      </c>
      <c r="L1495" s="6">
        <f>HYPERLINK("https://fin.land.naver.com/articles/2652533972", "매물Link")</f>
        <v/>
      </c>
      <c r="M1495" s="6">
        <f>HYPERLINK("https://map.naver.com/p/search/연기면 수산리 542-7", "지도Link")</f>
        <v/>
      </c>
      <c r="N1495" s="6">
        <f>HYPERLINK("http://www.eum.go.kr/web/ar/lu/luLandDet.jsp?pnu=3611031024105420007&amp;isNoScr=script&amp;mode=search", "토지이음")</f>
        <v/>
      </c>
      <c r="O1495" s="3" t="inlineStr">
        <is>
          <t>한뜰금빛</t>
        </is>
      </c>
      <c r="P1495" s="4" t="n">
        <v>1</v>
      </c>
      <c r="Q1495" s="4" t="n">
        <v>444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완경사</t>
        </is>
      </c>
      <c r="U1495" s="3" t="inlineStr">
        <is>
          <t>가로장방</t>
        </is>
      </c>
      <c r="V1495" s="3" t="inlineStr">
        <is>
          <t>세로한면(가)</t>
        </is>
      </c>
    </row>
    <row r="1496">
      <c r="A1496" s="3" t="inlineStr">
        <is>
          <t>연기면 수산리 553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87400</v>
      </c>
      <c r="G1496" s="4" t="n">
        <v>2889</v>
      </c>
      <c r="H1496" s="4" t="n">
        <v>874</v>
      </c>
      <c r="I1496" s="5" t="n">
        <v>100</v>
      </c>
      <c r="J1496" s="5" t="n">
        <v>34.6</v>
      </c>
      <c r="K1496" s="3" t="inlineStr">
        <is>
          <t>세종시내와 가까운 저렴한 계획관리</t>
        </is>
      </c>
      <c r="L1496" s="6">
        <f>HYPERLINK("https://fin.land.naver.com/articles/2653353123", "매물Link")</f>
        <v/>
      </c>
      <c r="M1496" s="6">
        <f>HYPERLINK("https://map.naver.com/p/search/연기면 수산리 553", "지도Link")</f>
        <v/>
      </c>
      <c r="N1496" s="6">
        <f>HYPERLINK("http://www.eum.go.kr/web/ar/lu/luLandDet.jsp?pnu=3611031024105530000&amp;isNoScr=script&amp;mode=search", "토지이음")</f>
        <v/>
      </c>
      <c r="O1496" s="3" t="inlineStr">
        <is>
          <t>황제</t>
        </is>
      </c>
      <c r="P1496" s="4" t="n">
        <v>2</v>
      </c>
      <c r="Q1496" s="4" t="n">
        <v>2889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세로한면(불)</t>
        </is>
      </c>
    </row>
    <row r="1497">
      <c r="A1497" s="3" t="inlineStr">
        <is>
          <t>연기면 수산리 564-1</t>
        </is>
      </c>
      <c r="B1497" s="3" t="inlineStr">
        <is>
          <t>보전관리지역</t>
        </is>
      </c>
      <c r="C1497" s="3" t="inlineStr">
        <is>
          <t>임야</t>
        </is>
      </c>
      <c r="D1497" s="3" t="inlineStr">
        <is>
          <t>대</t>
        </is>
      </c>
      <c r="E1497" s="3" t="inlineStr">
        <is>
          <t>매매</t>
        </is>
      </c>
      <c r="F1497" s="4" t="n">
        <v>33800</v>
      </c>
      <c r="G1497" s="4" t="n">
        <v>545</v>
      </c>
      <c r="H1497" s="4" t="n">
        <v>165</v>
      </c>
      <c r="I1497" s="5" t="n">
        <v>204.8</v>
      </c>
      <c r="J1497" s="5" t="n">
        <v>84.59999999999999</v>
      </c>
      <c r="K1497" s="3" t="inlineStr">
        <is>
          <t>수산리 제2종근린생활시설 건축물 있어요.
주택수에 포함 안됩니다.</t>
        </is>
      </c>
      <c r="L1497" s="6">
        <f>HYPERLINK("https://fin.land.naver.com/articles/2651235768", "매물Link")</f>
        <v/>
      </c>
      <c r="M1497" s="6">
        <f>HYPERLINK("https://map.naver.com/p/search/연기면 수산리 564-1", "지도Link")</f>
        <v/>
      </c>
      <c r="N1497" s="6">
        <f>HYPERLINK("http://www.eum.go.kr/web/ar/lu/luLandDet.jsp?pnu=3611031024105640001&amp;isNoScr=script&amp;mode=search", "토지이음")</f>
        <v/>
      </c>
      <c r="O1497" s="3" t="inlineStr">
        <is>
          <t>세종토박이</t>
        </is>
      </c>
      <c r="P1497" s="4" t="n">
        <v>1</v>
      </c>
      <c r="Q1497" s="4" t="n">
        <v>404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완경사</t>
        </is>
      </c>
      <c r="U1497" s="3" t="inlineStr">
        <is>
          <t>정방형</t>
        </is>
      </c>
      <c r="V1497" s="3" t="inlineStr">
        <is>
          <t>세로한면(가)</t>
        </is>
      </c>
    </row>
    <row r="1498">
      <c r="A1498" s="3" t="inlineStr">
        <is>
          <t>연기면 수산리 564-5</t>
        </is>
      </c>
      <c r="B1498" s="3" t="inlineStr">
        <is>
          <t>보전관리지역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39000</v>
      </c>
      <c r="G1498" s="4" t="n">
        <v>552</v>
      </c>
      <c r="H1498" s="4" t="n">
        <v>167</v>
      </c>
      <c r="I1498" s="5" t="n">
        <v>233.5</v>
      </c>
      <c r="J1498" s="5" t="n">
        <v>84.59999999999999</v>
      </c>
      <c r="K1498" s="3" t="inlineStr">
        <is>
          <t>nan</t>
        </is>
      </c>
      <c r="L1498" s="6">
        <f>HYPERLINK("https://fin.land.naver.com/articles/2652065174", "매물Link")</f>
        <v/>
      </c>
      <c r="M1498" s="6">
        <f>HYPERLINK("https://map.naver.com/p/search/연기면 수산리 564-5", "지도Link")</f>
        <v/>
      </c>
      <c r="N1498" s="6">
        <f>HYPERLINK("http://www.eum.go.kr/web/ar/lu/luLandDet.jsp?pnu=3611031024105640005&amp;isNoScr=script&amp;mode=search", "토지이음")</f>
        <v/>
      </c>
      <c r="O1498" s="3" t="inlineStr">
        <is>
          <t>신와촌</t>
        </is>
      </c>
      <c r="P1498" s="4" t="n">
        <v>1</v>
      </c>
      <c r="Q1498" s="4" t="n">
        <v>404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완경사</t>
        </is>
      </c>
      <c r="U1498" s="3" t="inlineStr">
        <is>
          <t>정방형</t>
        </is>
      </c>
      <c r="V1498" s="3" t="inlineStr">
        <is>
          <t>세로한면(가)</t>
        </is>
      </c>
    </row>
    <row r="1499">
      <c r="A1499" s="3" t="inlineStr">
        <is>
          <t>연기면 수산리 566-1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65000</v>
      </c>
      <c r="G1499" s="4" t="n">
        <v>827</v>
      </c>
      <c r="H1499" s="4" t="n">
        <v>250</v>
      </c>
      <c r="I1499" s="5" t="n">
        <v>260</v>
      </c>
      <c r="J1499" s="5" t="n">
        <v>38.2</v>
      </c>
      <c r="K1499" s="3" t="inlineStr">
        <is>
          <t>계획관리구역내 전원주택 부지, 토목공사완료</t>
        </is>
      </c>
      <c r="L1499" s="6">
        <f>HYPERLINK("https://fin.land.naver.com/articles/2655185932", "매물Link")</f>
        <v/>
      </c>
      <c r="M1499" s="6">
        <f>HYPERLINK("https://map.naver.com/p/search/연기면 수산리 566-1", "지도Link")</f>
        <v/>
      </c>
      <c r="N1499" s="6">
        <f>HYPERLINK("http://www.eum.go.kr/web/ar/lu/luLandDet.jsp?pnu=3611031024105660001&amp;isNoScr=script&amp;mode=search", "토지이음")</f>
        <v/>
      </c>
      <c r="O1499" s="3" t="inlineStr">
        <is>
          <t>한화최고</t>
        </is>
      </c>
      <c r="P1499" s="4" t="n">
        <v>1</v>
      </c>
      <c r="Q1499" s="4" t="n">
        <v>827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수산리 575-2</t>
        </is>
      </c>
      <c r="B1500" s="3" t="inlineStr">
        <is>
          <t>보전관리지역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135000</v>
      </c>
      <c r="G1500" s="4" t="n">
        <v>9917</v>
      </c>
      <c r="H1500" s="4" t="n">
        <v>3000</v>
      </c>
      <c r="I1500" s="5" t="n">
        <v>45</v>
      </c>
      <c r="J1500" s="5" t="n">
        <v>5.1</v>
      </c>
      <c r="K1500" s="3" t="inlineStr">
        <is>
          <t>nan</t>
        </is>
      </c>
      <c r="L1500" s="6">
        <f>HYPERLINK("https://fin.land.naver.com/articles/2653146264", "매물Link")</f>
        <v/>
      </c>
      <c r="M1500" s="6">
        <f>HYPERLINK("https://map.naver.com/p/search/연기면 수산리 575-2", "지도Link")</f>
        <v/>
      </c>
      <c r="N1500" s="6">
        <f>HYPERLINK("http://www.eum.go.kr/web/ar/lu/luLandDet.jsp?pnu=3611031024105750002&amp;isNoScr=script&amp;mode=search", "토지이음")</f>
        <v/>
      </c>
      <c r="O1500" s="3" t="inlineStr">
        <is>
          <t>공단119</t>
        </is>
      </c>
      <c r="P1500" s="4" t="n">
        <v>1</v>
      </c>
      <c r="Q1500" s="4" t="n">
        <v>30129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고지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575-2</t>
        </is>
      </c>
      <c r="B1501" s="3" t="inlineStr">
        <is>
          <t>보전관리지역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365200</v>
      </c>
      <c r="G1501" s="4" t="n">
        <v>30129</v>
      </c>
      <c r="H1501" s="4" t="n">
        <v>9114</v>
      </c>
      <c r="I1501" s="5" t="n">
        <v>40.1</v>
      </c>
      <c r="J1501" s="5" t="n">
        <v>5.1</v>
      </c>
      <c r="K1501" s="3" t="inlineStr">
        <is>
          <t>세종시 인접지역, 임야</t>
        </is>
      </c>
      <c r="L1501" s="6">
        <f>HYPERLINK("https://fin.land.naver.com/articles/2652241436", "매물Link")</f>
        <v/>
      </c>
      <c r="M1501" s="6">
        <f>HYPERLINK("https://map.naver.com/p/search/연기면 수산리 575-2", "지도Link")</f>
        <v/>
      </c>
      <c r="N1501" s="6">
        <f>HYPERLINK("http://www.eum.go.kr/web/ar/lu/luLandDet.jsp?pnu=3611031024105750002&amp;isNoScr=script&amp;mode=search", "토지이음")</f>
        <v/>
      </c>
      <c r="O1501" s="3" t="inlineStr">
        <is>
          <t>금손</t>
        </is>
      </c>
      <c r="P1501" s="4" t="n">
        <v>1</v>
      </c>
      <c r="Q1501" s="4" t="n">
        <v>30129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고지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연기면 수산리 575-2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420000</v>
      </c>
      <c r="G1502" s="4" t="n">
        <v>30129</v>
      </c>
      <c r="H1502" s="4" t="n">
        <v>9114</v>
      </c>
      <c r="I1502" s="5" t="n">
        <v>46.1</v>
      </c>
      <c r="J1502" s="5" t="n">
        <v>5.1</v>
      </c>
      <c r="K1502" s="3" t="inlineStr">
        <is>
          <t>세종 연기면  대형 임야｜보전관리지역준보전산지 매매</t>
        </is>
      </c>
      <c r="L1502" s="6">
        <f>HYPERLINK("https://fin.land.naver.com/articles/2651526829", "매물Link")</f>
        <v/>
      </c>
      <c r="M1502" s="6">
        <f>HYPERLINK("https://map.naver.com/p/search/연기면 수산리 575-2", "지도Link")</f>
        <v/>
      </c>
      <c r="N1502" s="6">
        <f>HYPERLINK("http://www.eum.go.kr/web/ar/lu/luLandDet.jsp?pnu=3611031024105750002&amp;isNoScr=script&amp;mode=search", "토지이음")</f>
        <v/>
      </c>
      <c r="O1502" s="3" t="inlineStr">
        <is>
          <t>세종몽땅</t>
        </is>
      </c>
      <c r="P1502" s="4" t="n">
        <v>1</v>
      </c>
      <c r="Q1502" s="4" t="n">
        <v>30129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고지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수산리 58-1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186000</v>
      </c>
      <c r="G1503" s="4" t="n">
        <v>3626</v>
      </c>
      <c r="H1503" s="4" t="n">
        <v>1097</v>
      </c>
      <c r="I1503" s="5" t="n">
        <v>169.6</v>
      </c>
      <c r="J1503" s="5" t="n">
        <v>64.5</v>
      </c>
      <c r="K1503" s="3" t="inlineStr">
        <is>
          <t>계획관리,도로접함</t>
        </is>
      </c>
      <c r="L1503" s="6">
        <f>HYPERLINK("https://fin.land.naver.com/articles/2655257700", "매물Link")</f>
        <v/>
      </c>
      <c r="M1503" s="6">
        <f>HYPERLINK("https://map.naver.com/p/search/연기면 수산리 58-1", "지도Link")</f>
        <v/>
      </c>
      <c r="N1503" s="6">
        <f>HYPERLINK("http://www.eum.go.kr/web/ar/lu/luLandDet.jsp?pnu=3611031024100580001&amp;isNoScr=script&amp;mode=search", "토지이음")</f>
        <v/>
      </c>
      <c r="O1503" s="3" t="inlineStr">
        <is>
          <t>세종대박</t>
        </is>
      </c>
      <c r="P1503" s="4" t="n">
        <v>1</v>
      </c>
      <c r="Q1503" s="4" t="n">
        <v>3626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68-4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108500</v>
      </c>
      <c r="G1504" s="4" t="n">
        <v>652</v>
      </c>
      <c r="H1504" s="4" t="n">
        <v>197</v>
      </c>
      <c r="I1504" s="5" t="n">
        <v>550.8</v>
      </c>
      <c r="J1504" s="5" t="n">
        <v>58.8</v>
      </c>
      <c r="K1504" s="3" t="inlineStr">
        <is>
          <t>가시성 좋은 위치의 계획관리토지</t>
        </is>
      </c>
      <c r="L1504" s="6">
        <f>HYPERLINK("https://fin.land.naver.com/articles/2652105743", "매물Link")</f>
        <v/>
      </c>
      <c r="M1504" s="6">
        <f>HYPERLINK("https://map.naver.com/p/search/연기면 수산리 68-4", "지도Link")</f>
        <v/>
      </c>
      <c r="N1504" s="6">
        <f>HYPERLINK("http://www.eum.go.kr/web/ar/lu/luLandDet.jsp?pnu=3611031024100680004&amp;isNoScr=script&amp;mode=search", "토지이음")</f>
        <v/>
      </c>
      <c r="O1504" s="3" t="inlineStr">
        <is>
          <t>미스터홈즈강남지사</t>
        </is>
      </c>
      <c r="P1504" s="4" t="n">
        <v>1</v>
      </c>
      <c r="Q1504" s="4" t="n">
        <v>652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72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167000</v>
      </c>
      <c r="G1505" s="4" t="n">
        <v>1369</v>
      </c>
      <c r="H1505" s="4" t="n">
        <v>414</v>
      </c>
      <c r="I1505" s="5" t="n">
        <v>403.4</v>
      </c>
      <c r="J1505" s="5" t="n">
        <v>50</v>
      </c>
      <c r="K1505" s="3" t="inlineStr">
        <is>
          <t>수산리 음식점 까페적지 계획관리지역</t>
        </is>
      </c>
      <c r="L1505" s="6">
        <f>HYPERLINK("https://fin.land.naver.com/articles/2654063288", "매물Link")</f>
        <v/>
      </c>
      <c r="M1505" s="6">
        <f>HYPERLINK("https://map.naver.com/p/search/연기면 수산리 72", "지도Link")</f>
        <v/>
      </c>
      <c r="N1505" s="6">
        <f>HYPERLINK("http://www.eum.go.kr/web/ar/lu/luLandDet.jsp?pnu=3611031024100720000&amp;isNoScr=script&amp;mode=search", "토지이음")</f>
        <v/>
      </c>
      <c r="O1505" s="3" t="inlineStr">
        <is>
          <t>세종천지</t>
        </is>
      </c>
      <c r="P1505" s="4" t="n">
        <v>1</v>
      </c>
      <c r="Q1505" s="4" t="n">
        <v>768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연기면 수산리 75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46800</v>
      </c>
      <c r="G1506" s="4" t="n">
        <v>774</v>
      </c>
      <c r="H1506" s="4" t="n">
        <v>234</v>
      </c>
      <c r="I1506" s="5" t="n">
        <v>200</v>
      </c>
      <c r="J1506" s="5" t="n">
        <v>52.2</v>
      </c>
      <c r="K1506" s="3" t="inlineStr">
        <is>
          <t>수산교차로 인근에 위치한 토지 매매</t>
        </is>
      </c>
      <c r="L1506" s="6">
        <f>HYPERLINK("https://fin.land.naver.com/articles/2650903285", "매물Link")</f>
        <v/>
      </c>
      <c r="M1506" s="6">
        <f>HYPERLINK("https://map.naver.com/p/search/연기면 수산리 75", "지도Link")</f>
        <v/>
      </c>
      <c r="N1506" s="6">
        <f>HYPERLINK("http://www.eum.go.kr/web/ar/lu/luLandDet.jsp?pnu=3611031024100750000&amp;isNoScr=script&amp;mode=search", "토지이음")</f>
        <v/>
      </c>
      <c r="O1506" s="3" t="inlineStr">
        <is>
          <t>현대엠코</t>
        </is>
      </c>
      <c r="P1506" s="4" t="n">
        <v>1</v>
      </c>
      <c r="Q1506" s="4" t="n">
        <v>774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90-2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310500</v>
      </c>
      <c r="G1507" s="4" t="n">
        <v>2000</v>
      </c>
      <c r="H1507" s="4" t="n">
        <v>605</v>
      </c>
      <c r="I1507" s="5" t="n">
        <v>513.2</v>
      </c>
      <c r="J1507" s="5" t="n">
        <v>109.9</v>
      </c>
      <c r="K1507" s="3" t="inlineStr">
        <is>
          <t>nan</t>
        </is>
      </c>
      <c r="L1507" s="6">
        <f>HYPERLINK("https://fin.land.naver.com/articles/2654178171", "매물Link")</f>
        <v/>
      </c>
      <c r="M1507" s="6">
        <f>HYPERLINK("https://map.naver.com/p/search/연기면 수산리 90-2", "지도Link")</f>
        <v/>
      </c>
      <c r="N1507" s="6">
        <f>HYPERLINK("http://www.eum.go.kr/web/ar/lu/luLandDet.jsp?pnu=3611031024100900002&amp;isNoScr=script&amp;mode=search", "토지이음")</f>
        <v/>
      </c>
      <c r="O1507" s="3" t="inlineStr">
        <is>
          <t>둔곡타워</t>
        </is>
      </c>
      <c r="P1507" s="4" t="n">
        <v>1</v>
      </c>
      <c r="Q1507" s="4" t="n">
        <v>1791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산 90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266000</v>
      </c>
      <c r="G1508" s="4" t="n">
        <v>23107</v>
      </c>
      <c r="H1508" s="4" t="n">
        <v>6990</v>
      </c>
      <c r="I1508" s="5" t="n">
        <v>38.1</v>
      </c>
      <c r="J1508" s="5" t="n">
        <v>5.8</v>
      </c>
      <c r="K1508" s="3" t="inlineStr">
        <is>
          <t>저렴한 토지입니다.</t>
        </is>
      </c>
      <c r="L1508" s="6">
        <f>HYPERLINK("https://fin.land.naver.com/articles/2651254022", "매물Link")</f>
        <v/>
      </c>
      <c r="M1508" s="6">
        <f>HYPERLINK("https://map.naver.com/p/search/연기면 수산리 산 90", "지도Link")</f>
        <v/>
      </c>
      <c r="N1508" s="6">
        <f>HYPERLINK("http://www.eum.go.kr/web/ar/lu/luLandDet.jsp?pnu=3611031024200900000&amp;isNoScr=script&amp;mode=search", "토지이음")</f>
        <v/>
      </c>
      <c r="O1508" s="3" t="inlineStr">
        <is>
          <t>세종토박이</t>
        </is>
      </c>
      <c r="P1508" s="4" t="n">
        <v>1</v>
      </c>
      <c r="Q1508" s="4" t="n">
        <v>8727</v>
      </c>
      <c r="R1508" s="3" t="inlineStr">
        <is>
          <t>지정되지않음</t>
        </is>
      </c>
      <c r="S1508" s="3" t="inlineStr">
        <is>
          <t>자연림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산121</t>
        </is>
      </c>
      <c r="B1509" s="3" t="inlineStr">
        <is>
          <t>계획관리지역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80000</v>
      </c>
      <c r="G1509" s="4" t="n">
        <v>2182</v>
      </c>
      <c r="H1509" s="4" t="n">
        <v>660</v>
      </c>
      <c r="I1509" s="5" t="n">
        <v>121.2</v>
      </c>
      <c r="J1509" s="5" t="n">
        <v>19.9</v>
      </c>
      <c r="K1509" s="3" t="inlineStr">
        <is>
          <t>수산리 위치 조망 좋은 토지매매</t>
        </is>
      </c>
      <c r="L1509" s="6">
        <f>HYPERLINK("https://fin.land.naver.com/articles/2652044093", "매물Link")</f>
        <v/>
      </c>
      <c r="M1509" s="6">
        <f>HYPERLINK("https://map.naver.com/p/search/연기면 수산리 산121", "지도Link")</f>
        <v/>
      </c>
      <c r="N1509" s="6">
        <f>HYPERLINK("http://www.eum.go.kr/web/ar/lu/luLandDet.jsp?pnu=3611031024201210000&amp;isNoScr=script&amp;mode=search", "토지이음")</f>
        <v/>
      </c>
      <c r="O1509" s="3" t="inlineStr">
        <is>
          <t>에이스</t>
        </is>
      </c>
      <c r="P1509" s="4" t="n">
        <v>1</v>
      </c>
      <c r="Q1509" s="4" t="n">
        <v>2182</v>
      </c>
      <c r="R1509" s="3" t="inlineStr">
        <is>
          <t>지정되지않음</t>
        </is>
      </c>
      <c r="S1509" s="3" t="inlineStr">
        <is>
          <t>자연림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산25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432000</v>
      </c>
      <c r="G1510" s="4" t="n">
        <v>4760</v>
      </c>
      <c r="H1510" s="4" t="n">
        <v>1440</v>
      </c>
      <c r="I1510" s="5" t="n">
        <v>300</v>
      </c>
      <c r="J1510" s="5" t="n">
        <v>10.9</v>
      </c>
      <c r="K1510" s="3" t="inlineStr">
        <is>
          <t>수산리 전원주택지 안에 있는 개발하지 않은 원형지 형태의 야산입니다</t>
        </is>
      </c>
      <c r="L1510" s="6">
        <f>HYPERLINK("https://fin.land.naver.com/articles/2652194845", "매물Link")</f>
        <v/>
      </c>
      <c r="M1510" s="6">
        <f>HYPERLINK("https://map.naver.com/p/search/연기면 수산리 산25", "지도Link")</f>
        <v/>
      </c>
      <c r="N1510" s="6">
        <f>HYPERLINK("http://www.eum.go.kr/web/ar/lu/luLandDet.jsp?pnu=3611031024200250000&amp;isNoScr=script&amp;mode=search",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4760</v>
      </c>
      <c r="R1510" s="3" t="inlineStr">
        <is>
          <t>지정되지않음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연기리 1-19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32000</v>
      </c>
      <c r="G1511" s="4" t="n">
        <v>302</v>
      </c>
      <c r="H1511" s="4" t="n">
        <v>91</v>
      </c>
      <c r="I1511" s="5" t="n">
        <v>351.6</v>
      </c>
      <c r="J1511" s="5" t="n">
        <v>175.7</v>
      </c>
      <c r="K1511" s="3" t="inlineStr">
        <is>
          <t>명성공인, 전용91.35, 연기리 계획관리 추천 매물</t>
        </is>
      </c>
      <c r="L1511" s="6">
        <f>HYPERLINK("https://fin.land.naver.com/articles/2650561135", "매물Link")</f>
        <v/>
      </c>
      <c r="M1511" s="6">
        <f>HYPERLINK("https://map.naver.com/p/search/연기면 연기리 1-19", "지도Link")</f>
        <v/>
      </c>
      <c r="N1511" s="6">
        <f>HYPERLINK("http://www.eum.go.kr/web/ar/lu/luLandDet.jsp?pnu=3611031021100010019&amp;isNoScr=script&amp;mode=search", "토지이음")</f>
        <v/>
      </c>
      <c r="O1511" s="3" t="inlineStr">
        <is>
          <t>명성</t>
        </is>
      </c>
      <c r="P1511" s="4" t="n">
        <v>2</v>
      </c>
      <c r="Q1511" s="4" t="n">
        <v>302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연기리 1-20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36000</v>
      </c>
      <c r="G1512" s="4" t="n">
        <v>360</v>
      </c>
      <c r="H1512" s="4" t="n">
        <v>109</v>
      </c>
      <c r="I1512" s="5" t="n">
        <v>330.3</v>
      </c>
      <c r="J1512" s="5" t="n">
        <v>175.7</v>
      </c>
      <c r="K1512" s="3" t="inlineStr">
        <is>
          <t>전원주택,다가구 위치로 좋은 토지</t>
        </is>
      </c>
      <c r="L1512" s="6">
        <f>HYPERLINK("https://fin.land.naver.com/articles/2655169442", "매물Link")</f>
        <v/>
      </c>
      <c r="M1512" s="6">
        <f>HYPERLINK("https://map.naver.com/p/search/연기면 연기리 1-20", "지도Link")</f>
        <v/>
      </c>
      <c r="N1512" s="6">
        <f>HYPERLINK("http://www.eum.go.kr/web/ar/lu/luLandDet.jsp?pnu=3611031021100010020&amp;isNoScr=script&amp;mode=search", "토지이음")</f>
        <v/>
      </c>
      <c r="O1512" s="3" t="inlineStr">
        <is>
          <t>세종대박</t>
        </is>
      </c>
      <c r="P1512" s="4" t="n">
        <v>1</v>
      </c>
      <c r="Q1512" s="4" t="n">
        <v>319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연기면 연기리 1-51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27000</v>
      </c>
      <c r="G1513" s="4" t="n">
        <v>289</v>
      </c>
      <c r="H1513" s="4" t="n">
        <v>87</v>
      </c>
      <c r="I1513" s="5" t="n">
        <v>310.3</v>
      </c>
      <c r="J1513" s="5" t="n">
        <v>122.2</v>
      </c>
      <c r="K1513" s="3" t="inlineStr">
        <is>
          <t>개발가능한 토지,다가구 등</t>
        </is>
      </c>
      <c r="L1513" s="6">
        <f>HYPERLINK("https://fin.land.naver.com/articles/2650858541", "매물Link")</f>
        <v/>
      </c>
      <c r="M1513" s="6">
        <f>HYPERLINK("https://map.naver.com/p/search/연기면 연기리 1-51", "지도Link")</f>
        <v/>
      </c>
      <c r="N1513" s="6">
        <f>HYPERLINK("http://www.eum.go.kr/web/ar/lu/luLandDet.jsp?pnu=3611031021100010051&amp;isNoScr=script&amp;mode=search", "토지이음")</f>
        <v/>
      </c>
      <c r="O1513" s="3" t="inlineStr">
        <is>
          <t>세종대박</t>
        </is>
      </c>
      <c r="P1513" s="4" t="n">
        <v>2</v>
      </c>
      <c r="Q1513" s="4" t="n">
        <v>288.9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사다리형</t>
        </is>
      </c>
      <c r="V1513" s="3" t="inlineStr">
        <is>
          <t>세로한면(불)</t>
        </is>
      </c>
    </row>
    <row r="1514">
      <c r="A1514" s="3" t="inlineStr">
        <is>
          <t>연기면 연기리 1-56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568</v>
      </c>
      <c r="H1514" s="4" t="n">
        <v>172</v>
      </c>
      <c r="I1514" s="5" t="n">
        <v>232.6</v>
      </c>
      <c r="J1514" s="5" t="n">
        <v>175.7</v>
      </c>
      <c r="K1514" s="3" t="inlineStr">
        <is>
          <t>주거개발진흥지구이며 지구단위계획구역임</t>
        </is>
      </c>
      <c r="L1514" s="6">
        <f>HYPERLINK("https://fin.land.naver.com/articles/2654856110", "매물Link")</f>
        <v/>
      </c>
      <c r="M1514" s="6">
        <f>HYPERLINK("https://map.naver.com/p/search/연기면 연기리 1-56", "지도Link")</f>
        <v/>
      </c>
      <c r="N1514" s="6">
        <f>HYPERLINK("http://www.eum.go.kr/web/ar/lu/luLandDet.jsp?pnu=3611031021100010056&amp;isNoScr=script&amp;mode=search", "토지이음")</f>
        <v/>
      </c>
      <c r="O1514" s="3" t="inlineStr">
        <is>
          <t>세종리츠</t>
        </is>
      </c>
      <c r="P1514" s="4" t="n">
        <v>2</v>
      </c>
      <c r="Q1514" s="4" t="n">
        <v>99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연기면 연기리 1-56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568</v>
      </c>
      <c r="H1515" s="4" t="n">
        <v>172</v>
      </c>
      <c r="I1515" s="5" t="n">
        <v>232.6</v>
      </c>
      <c r="J1515" s="5" t="n">
        <v>175.7</v>
      </c>
      <c r="K1515" s="3" t="inlineStr">
        <is>
          <t>계획관리 토지매매시세대비 저렴하게 나온 매물</t>
        </is>
      </c>
      <c r="L1515" s="6">
        <f>HYPERLINK("https://fin.land.naver.com/articles/2655258992", "매물Link")</f>
        <v/>
      </c>
      <c r="M1515" s="6">
        <f>HYPERLINK("https://map.naver.com/p/search/연기면 연기리 1-56", "지도Link")</f>
        <v/>
      </c>
      <c r="N1515" s="6">
        <f>HYPERLINK("http://www.eum.go.kr/web/ar/lu/luLandDet.jsp?pnu=3611031021100010056&amp;isNoScr=script&amp;mode=search",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99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연기리 1-8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20000</v>
      </c>
      <c r="G1516" s="4" t="n">
        <v>202</v>
      </c>
      <c r="H1516" s="4" t="n">
        <v>61</v>
      </c>
      <c r="I1516" s="5" t="n">
        <v>327.9</v>
      </c>
      <c r="J1516" s="5" t="n">
        <v>175.7</v>
      </c>
      <c r="K1516" s="3" t="inlineStr">
        <is>
          <t>계획관리지역 내 네모반듯한 토지</t>
        </is>
      </c>
      <c r="L1516" s="6">
        <f>HYPERLINK("https://fin.land.naver.com/articles/2653884325", "매물Link")</f>
        <v/>
      </c>
      <c r="M1516" s="6">
        <f>HYPERLINK("https://map.naver.com/p/search/연기면 연기리 1-8", "지도Link")</f>
        <v/>
      </c>
      <c r="N1516" s="6">
        <f>HYPERLINK("http://www.eum.go.kr/web/ar/lu/luLandDet.jsp?pnu=3611031021100010008&amp;isNoScr=script&amp;mode=search", "토지이음")</f>
        <v/>
      </c>
      <c r="O1516" s="3" t="inlineStr">
        <is>
          <t>KS</t>
        </is>
      </c>
      <c r="P1516" s="4" t="n">
        <v>1</v>
      </c>
      <c r="Q1516" s="4" t="n">
        <v>202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연기면 연기리 1-8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19000</v>
      </c>
      <c r="G1517" s="4" t="n">
        <v>202</v>
      </c>
      <c r="H1517" s="4" t="n">
        <v>61</v>
      </c>
      <c r="I1517" s="5" t="n">
        <v>311.5</v>
      </c>
      <c r="J1517" s="5" t="n">
        <v>175.7</v>
      </c>
      <c r="K1517" s="3" t="inlineStr">
        <is>
          <t>계획관리 토지건축,투자</t>
        </is>
      </c>
      <c r="L1517" s="6">
        <f>HYPERLINK("https://fin.land.naver.com/articles/2650858549", "매물Link")</f>
        <v/>
      </c>
      <c r="M1517" s="6">
        <f>HYPERLINK("https://map.naver.com/p/search/연기면 연기리 1-8", "지도Link")</f>
        <v/>
      </c>
      <c r="N1517" s="6">
        <f>HYPERLINK("http://www.eum.go.kr/web/ar/lu/luLandDet.jsp?pnu=3611031021100010008&amp;isNoScr=script&amp;mode=search",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202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완경사</t>
        </is>
      </c>
      <c r="U1517" s="3" t="inlineStr">
        <is>
          <t>정방형</t>
        </is>
      </c>
      <c r="V1517" s="3" t="inlineStr">
        <is>
          <t>세로한면(가)</t>
        </is>
      </c>
    </row>
    <row r="1518">
      <c r="A1518" s="3" t="inlineStr">
        <is>
          <t>연기면 연기리 1-94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568</v>
      </c>
      <c r="H1518" s="4" t="n">
        <v>172</v>
      </c>
      <c r="I1518" s="5" t="n">
        <v>261.6</v>
      </c>
      <c r="J1518" s="5" t="n">
        <v>175.7</v>
      </c>
      <c r="K1518" s="3" t="inlineStr">
        <is>
          <t>nan</t>
        </is>
      </c>
      <c r="L1518" s="6">
        <f>HYPERLINK("https://fin.land.naver.com/articles/2654794957", "매물Link")</f>
        <v/>
      </c>
      <c r="M1518" s="6">
        <f>HYPERLINK("https://map.naver.com/p/search/연기면 연기리 1-94", "지도Link")</f>
        <v/>
      </c>
      <c r="N1518" s="6">
        <f>HYPERLINK("http://www.eum.go.kr/web/ar/lu/luLandDet.jsp?pnu=3611031021100010094&amp;isNoScr=script&amp;mode=search", "토지이음")</f>
        <v/>
      </c>
      <c r="O1518" s="3" t="inlineStr">
        <is>
          <t>다옴</t>
        </is>
      </c>
      <c r="P1518" s="4" t="n">
        <v>1</v>
      </c>
      <c r="Q1518" s="4" t="n">
        <v>186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연기면 연기리 1-95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568</v>
      </c>
      <c r="H1519" s="4" t="n">
        <v>172</v>
      </c>
      <c r="I1519" s="5" t="n">
        <v>348.8</v>
      </c>
      <c r="J1519" s="5" t="n">
        <v>175.7</v>
      </c>
      <c r="K1519" s="3" t="inlineStr">
        <is>
          <t>연기리 토지 매매</t>
        </is>
      </c>
      <c r="L1519" s="6">
        <f>HYPERLINK("https://fin.land.naver.com/articles/2654532407", "매물Link")</f>
        <v/>
      </c>
      <c r="M1519" s="6">
        <f>HYPERLINK("https://map.naver.com/p/search/연기면 연기리 1-95", "지도Link")</f>
        <v/>
      </c>
      <c r="N1519" s="6">
        <f>HYPERLINK("http://www.eum.go.kr/web/ar/lu/luLandDet.jsp?pnu=3611031021100010095&amp;isNoScr=script&amp;mode=search", "토지이음")</f>
        <v/>
      </c>
      <c r="O1519" s="3" t="inlineStr">
        <is>
          <t>김준희</t>
        </is>
      </c>
      <c r="P1519" s="4" t="n">
        <v>1</v>
      </c>
      <c r="Q1519" s="4" t="n">
        <v>151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완경사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연기면 연기리 10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70000</v>
      </c>
      <c r="G1520" s="4" t="n">
        <v>529</v>
      </c>
      <c r="H1520" s="4" t="n">
        <v>160</v>
      </c>
      <c r="I1520" s="5" t="n">
        <v>437.5</v>
      </c>
      <c r="J1520" s="5" t="n">
        <v>78.3</v>
      </c>
      <c r="K1520" s="3" t="inlineStr">
        <is>
          <t>세종시 연기리 수용되는 지구단위계획과 인접한 토지로 투자가치가 높습니다.</t>
        </is>
      </c>
      <c r="L1520" s="6">
        <f>HYPERLINK("https://fin.land.naver.com/articles/2651396896", "매물Link")</f>
        <v/>
      </c>
      <c r="M1520" s="6">
        <f>HYPERLINK("https://map.naver.com/p/search/연기면 연기리 10", "지도Link")</f>
        <v/>
      </c>
      <c r="N1520" s="6">
        <f>HYPERLINK("http://www.eum.go.kr/web/ar/lu/luLandDet.jsp?pnu=3611031021100100000&amp;isNoScr=script&amp;mode=search", "토지이음")</f>
        <v/>
      </c>
      <c r="O1520" s="3" t="inlineStr">
        <is>
          <t>리더스</t>
        </is>
      </c>
      <c r="P1520" s="4" t="n">
        <v>1</v>
      </c>
      <c r="Q1520" s="4" t="n">
        <v>529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맹지</t>
        </is>
      </c>
    </row>
    <row r="1521">
      <c r="A1521" s="3" t="inlineStr">
        <is>
          <t>연기면 연기리 11-3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68000</v>
      </c>
      <c r="G1521" s="4" t="n">
        <v>543</v>
      </c>
      <c r="H1521" s="4" t="n">
        <v>164</v>
      </c>
      <c r="I1521" s="5" t="n">
        <v>414.6</v>
      </c>
      <c r="J1521" s="5" t="n">
        <v>83</v>
      </c>
      <c r="K1521" s="3" t="inlineStr">
        <is>
          <t>계획관리지역, 추천매매</t>
        </is>
      </c>
      <c r="L1521" s="6">
        <f>HYPERLINK("https://fin.land.naver.com/articles/2651520095", "매물Link")</f>
        <v/>
      </c>
      <c r="M1521" s="6">
        <f>HYPERLINK("https://map.naver.com/p/search/연기면 연기리 11-3", "지도Link")</f>
        <v/>
      </c>
      <c r="N1521" s="6">
        <f>HYPERLINK("http://www.eum.go.kr/web/ar/lu/luLandDet.jsp?pnu=3611031021100110003&amp;isNoScr=script&amp;mode=search", "토지이음")</f>
        <v/>
      </c>
      <c r="O1521" s="3" t="inlineStr">
        <is>
          <t>Home</t>
        </is>
      </c>
      <c r="P1521" s="4" t="n">
        <v>2</v>
      </c>
      <c r="Q1521" s="4" t="n">
        <v>543</v>
      </c>
      <c r="R1521" s="3" t="inlineStr">
        <is>
          <t>지정되지않음</t>
        </is>
      </c>
      <c r="S1521" s="3" t="inlineStr">
        <is>
          <t>과수원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연기리 11-3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68000</v>
      </c>
      <c r="G1522" s="4" t="n">
        <v>639</v>
      </c>
      <c r="H1522" s="4" t="n">
        <v>193</v>
      </c>
      <c r="I1522" s="5" t="n">
        <v>352.3</v>
      </c>
      <c r="J1522" s="5" t="n">
        <v>83</v>
      </c>
      <c r="K1522" s="3" t="inlineStr">
        <is>
          <t>접근성 좋은 계획관리 지역 토지매매, 도로지분 포함</t>
        </is>
      </c>
      <c r="L1522" s="6">
        <f>HYPERLINK("https://fin.land.naver.com/articles/2650940285", "매물Link")</f>
        <v/>
      </c>
      <c r="M1522" s="6">
        <f>HYPERLINK("https://map.naver.com/p/search/연기면 연기리 11-3", "지도Link")</f>
        <v/>
      </c>
      <c r="N1522" s="6">
        <f>HYPERLINK("http://www.eum.go.kr/web/ar/lu/luLandDet.jsp?pnu=3611031021100110003&amp;isNoScr=script&amp;mode=search", "토지이음")</f>
        <v/>
      </c>
      <c r="O1522" s="3" t="inlineStr">
        <is>
          <t>OK세종 사무소</t>
        </is>
      </c>
      <c r="P1522" s="4" t="n">
        <v>1</v>
      </c>
      <c r="Q1522" s="4" t="n">
        <v>543</v>
      </c>
      <c r="R1522" s="3" t="inlineStr">
        <is>
          <t>지정되지않음</t>
        </is>
      </c>
      <c r="S1522" s="3" t="inlineStr">
        <is>
          <t>과수원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세로한면(불)</t>
        </is>
      </c>
    </row>
    <row r="1523">
      <c r="A1523" s="3" t="inlineStr">
        <is>
          <t>연기면 연기리 148-4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122000</v>
      </c>
      <c r="G1523" s="4" t="n">
        <v>1605</v>
      </c>
      <c r="H1523" s="4" t="n">
        <v>486</v>
      </c>
      <c r="I1523" s="5" t="n">
        <v>251</v>
      </c>
      <c r="J1523" s="5" t="n">
        <v>89.90000000000001</v>
      </c>
      <c r="K1523" s="3" t="inlineStr">
        <is>
          <t>도로접한 토지</t>
        </is>
      </c>
      <c r="L1523" s="6">
        <f>HYPERLINK("https://fin.land.naver.com/articles/2655032735", "매물Link")</f>
        <v/>
      </c>
      <c r="M1523" s="6">
        <f>HYPERLINK("https://map.naver.com/p/search/연기면 연기리 148-4", "지도Link")</f>
        <v/>
      </c>
      <c r="N1523" s="6">
        <f>HYPERLINK("http://www.eum.go.kr/web/ar/lu/luLandDet.jsp?pnu=3611031021101480004&amp;isNoScr=script&amp;mode=search", "토지이음")</f>
        <v/>
      </c>
      <c r="O1523" s="3" t="inlineStr">
        <is>
          <t>세종대박</t>
        </is>
      </c>
      <c r="P1523" s="4" t="n">
        <v>1</v>
      </c>
      <c r="Q1523" s="4" t="n">
        <v>1605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세로한면(불)</t>
        </is>
      </c>
    </row>
    <row r="1524">
      <c r="A1524" s="3" t="inlineStr">
        <is>
          <t>연기면 연기리 21-1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61200</v>
      </c>
      <c r="G1524" s="4" t="n">
        <v>673</v>
      </c>
      <c r="H1524" s="4" t="n">
        <v>204</v>
      </c>
      <c r="I1524" s="5" t="n">
        <v>300</v>
      </c>
      <c r="J1524" s="5" t="n">
        <v>143.2</v>
      </c>
      <c r="K1524" s="3" t="inlineStr">
        <is>
          <t>저렴한 가격의 계획관리 토지 매매</t>
        </is>
      </c>
      <c r="L1524" s="6">
        <f>HYPERLINK("https://fin.land.naver.com/articles/2655086002", "매물Link")</f>
        <v/>
      </c>
      <c r="M1524" s="6">
        <f>HYPERLINK("https://map.naver.com/p/search/연기면 연기리 21-1", "지도Link")</f>
        <v/>
      </c>
      <c r="N1524" s="6">
        <f>HYPERLINK("http://www.eum.go.kr/web/ar/lu/luLandDet.jsp?pnu=3611031021100210001&amp;isNoScr=script&amp;mode=search",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642.5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연기리 333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136000</v>
      </c>
      <c r="G1525" s="4" t="n">
        <v>1404</v>
      </c>
      <c r="H1525" s="4" t="n">
        <v>425</v>
      </c>
      <c r="I1525" s="5" t="n">
        <v>320</v>
      </c>
      <c r="J1525" s="5" t="n">
        <v>141.3</v>
      </c>
      <c r="K1525" s="3" t="inlineStr">
        <is>
          <t>2개필지 대지와 전이 포함됨</t>
        </is>
      </c>
      <c r="L1525" s="6">
        <f>HYPERLINK("https://fin.land.naver.com/articles/2653807390", "매물Link")</f>
        <v/>
      </c>
      <c r="M1525" s="6">
        <f>HYPERLINK("https://map.naver.com/p/search/연기면 연기리 333", "지도Link")</f>
        <v/>
      </c>
      <c r="N1525" s="6">
        <f>HYPERLINK("http://www.eum.go.kr/web/ar/lu/luLandDet.jsp?pnu=3611031021103330000&amp;isNoScr=script&amp;mode=search", "토지이음")</f>
        <v/>
      </c>
      <c r="O1525" s="3" t="inlineStr">
        <is>
          <t>초가집</t>
        </is>
      </c>
      <c r="P1525" s="4" t="n">
        <v>1</v>
      </c>
      <c r="Q1525" s="4" t="n">
        <v>461</v>
      </c>
      <c r="R1525" s="3" t="inlineStr">
        <is>
          <t>지정되지않음</t>
        </is>
      </c>
      <c r="S1525" s="3" t="inlineStr">
        <is>
          <t>단독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연기리 333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136000</v>
      </c>
      <c r="G1526" s="4" t="n">
        <v>1406</v>
      </c>
      <c r="H1526" s="4" t="n">
        <v>425</v>
      </c>
      <c r="I1526" s="5" t="n">
        <v>320</v>
      </c>
      <c r="J1526" s="5" t="n">
        <v>141.3</v>
      </c>
      <c r="K1526" s="3" t="inlineStr">
        <is>
          <t>단독주택있는 대지,전 토지계획관리지역</t>
        </is>
      </c>
      <c r="L1526" s="6">
        <f>HYPERLINK("https://fin.land.naver.com/articles/2655169402", "매물Link")</f>
        <v/>
      </c>
      <c r="M1526" s="6">
        <f>HYPERLINK("https://map.naver.com/p/search/연기면 연기리 333", "지도Link")</f>
        <v/>
      </c>
      <c r="N1526" s="6">
        <f>HYPERLINK("http://www.eum.go.kr/web/ar/lu/luLandDet.jsp?pnu=3611031021103330000&amp;isNoScr=script&amp;mode=search",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461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연기면 연기리 38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800000</v>
      </c>
      <c r="G1527" s="4" t="n">
        <v>3526</v>
      </c>
      <c r="H1527" s="4" t="n">
        <v>1067</v>
      </c>
      <c r="I1527" s="5" t="n">
        <v>749.8</v>
      </c>
      <c r="J1527" s="5" t="n">
        <v>87.59999999999999</v>
      </c>
      <c r="K1527" s="3" t="inlineStr">
        <is>
          <t>대형마트.세종시 생활권 연계.계획관리지역.근린시설검토가능.차량접근용이</t>
        </is>
      </c>
      <c r="L1527" s="6">
        <f>HYPERLINK("https://fin.land.naver.com/articles/2651880236", "매물Link")</f>
        <v/>
      </c>
      <c r="M1527" s="6">
        <f>HYPERLINK("https://map.naver.com/p/search/연기면 연기리 38", "지도Link")</f>
        <v/>
      </c>
      <c r="N1527" s="6">
        <f>HYPERLINK("http://www.eum.go.kr/web/ar/lu/luLandDet.jsp?pnu=3611031021100380000&amp;isNoScr=script&amp;mode=search", "토지이음")</f>
        <v/>
      </c>
      <c r="O1527" s="3" t="inlineStr">
        <is>
          <t>씨티</t>
        </is>
      </c>
      <c r="P1527" s="4" t="n">
        <v>1</v>
      </c>
      <c r="Q1527" s="4" t="n">
        <v>2440.4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연기리 392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160000</v>
      </c>
      <c r="G1528" s="4" t="n">
        <v>1053</v>
      </c>
      <c r="H1528" s="4" t="n">
        <v>319</v>
      </c>
      <c r="I1528" s="5" t="n">
        <v>501.6</v>
      </c>
      <c r="J1528" s="5" t="n">
        <v>200.8</v>
      </c>
      <c r="K1528" s="3" t="inlineStr">
        <is>
          <t>계획관리  주택1동 있는 나대지</t>
        </is>
      </c>
      <c r="L1528" s="6">
        <f>HYPERLINK("https://fin.land.naver.com/articles/2655032751", "매물Link")</f>
        <v/>
      </c>
      <c r="M1528" s="6">
        <f>HYPERLINK("https://map.naver.com/p/search/연기면 연기리 392", "지도Link")</f>
        <v/>
      </c>
      <c r="N1528" s="6">
        <f>HYPERLINK("http://www.eum.go.kr/web/ar/lu/luLandDet.jsp?pnu=3611031021103920000&amp;isNoScr=script&amp;mode=search",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502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연기리 412-4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53000</v>
      </c>
      <c r="G1529" s="4" t="n">
        <v>317</v>
      </c>
      <c r="H1529" s="4" t="n">
        <v>96</v>
      </c>
      <c r="I1529" s="5" t="n">
        <v>552.1</v>
      </c>
      <c r="J1529" s="5" t="n">
        <v>118.6</v>
      </c>
      <c r="K1529" s="3" t="inlineStr">
        <is>
          <t>계획관리지역 토지매매</t>
        </is>
      </c>
      <c r="L1529" s="6">
        <f>HYPERLINK("https://fin.land.naver.com/articles/2651403829", "매물Link")</f>
        <v/>
      </c>
      <c r="M1529" s="6">
        <f>HYPERLINK("https://map.naver.com/p/search/연기면 연기리 412-4", "지도Link")</f>
        <v/>
      </c>
      <c r="N1529" s="6">
        <f>HYPERLINK("http://www.eum.go.kr/web/ar/lu/luLandDet.jsp?pnu=3611031021104120004&amp;isNoScr=script&amp;mode=search", "토지이음")</f>
        <v/>
      </c>
      <c r="O1529" s="3" t="inlineStr">
        <is>
          <t>세종대박</t>
        </is>
      </c>
      <c r="P1529" s="4" t="n">
        <v>1</v>
      </c>
      <c r="Q1529" s="4" t="n">
        <v>317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연기면 연기리 420-16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144000</v>
      </c>
      <c r="G1530" s="4" t="n">
        <v>1541</v>
      </c>
      <c r="H1530" s="4" t="n">
        <v>466</v>
      </c>
      <c r="I1530" s="5" t="n">
        <v>309</v>
      </c>
      <c r="J1530" s="5" t="n">
        <v>98.5</v>
      </c>
      <c r="K1530" s="3" t="inlineStr">
        <is>
          <t>도로에 접한 계획관리토지</t>
        </is>
      </c>
      <c r="L1530" s="6">
        <f>HYPERLINK("https://fin.land.naver.com/articles/2655032736", "매물Link")</f>
        <v/>
      </c>
      <c r="M1530" s="6">
        <f>HYPERLINK("https://map.naver.com/p/search/연기면 연기리 420-16", "지도Link")</f>
        <v/>
      </c>
      <c r="N1530" s="6">
        <f>HYPERLINK("http://www.eum.go.kr/web/ar/lu/luLandDet.jsp?pnu=3611031021104200016&amp;isNoScr=script&amp;mode=search", "토지이음")</f>
        <v/>
      </c>
      <c r="O1530" s="3" t="inlineStr">
        <is>
          <t>세종대박</t>
        </is>
      </c>
      <c r="P1530" s="4" t="n">
        <v>1</v>
      </c>
      <c r="Q1530" s="4" t="n">
        <v>277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연기면 연기리 426-1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290000</v>
      </c>
      <c r="G1531" s="4" t="n">
        <v>1603</v>
      </c>
      <c r="H1531" s="4" t="n">
        <v>485</v>
      </c>
      <c r="I1531" s="5" t="n">
        <v>597.9</v>
      </c>
      <c r="J1531" s="5" t="n">
        <v>188.3</v>
      </c>
      <c r="K1531" s="3" t="inlineStr">
        <is>
          <t>투자하기 좋은 계획관리 대지</t>
        </is>
      </c>
      <c r="L1531" s="6">
        <f>HYPERLINK("https://fin.land.naver.com/articles/2655169427", "매물Link")</f>
        <v/>
      </c>
      <c r="M1531" s="6">
        <f>HYPERLINK("https://map.naver.com/p/search/연기면 연기리 426-1", "지도Link")</f>
        <v/>
      </c>
      <c r="N1531" s="6">
        <f>HYPERLINK("http://www.eum.go.kr/web/ar/lu/luLandDet.jsp?pnu=3611031021104260001&amp;isNoScr=script&amp;mode=search", "토지이음")</f>
        <v/>
      </c>
      <c r="O1531" s="3" t="inlineStr">
        <is>
          <t>세종대박</t>
        </is>
      </c>
      <c r="P1531" s="4" t="n">
        <v>2</v>
      </c>
      <c r="Q1531" s="4" t="n">
        <v>894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세로각지(가)</t>
        </is>
      </c>
    </row>
    <row r="1532">
      <c r="A1532" s="3" t="inlineStr">
        <is>
          <t>연기면 연기리 431-1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372000</v>
      </c>
      <c r="G1532" s="4" t="n">
        <v>1229</v>
      </c>
      <c r="H1532" s="4" t="n">
        <v>372</v>
      </c>
      <c r="I1532" s="5" t="n">
        <v>1000</v>
      </c>
      <c r="J1532" s="5" t="n">
        <v>258</v>
      </c>
      <c r="K1532" s="3" t="inlineStr">
        <is>
          <t>2차선도로변 토지매매</t>
        </is>
      </c>
      <c r="L1532" s="6">
        <f>HYPERLINK("https://fin.land.naver.com/articles/2650858540", "매물Link")</f>
        <v/>
      </c>
      <c r="M1532" s="6">
        <f>HYPERLINK("https://map.naver.com/p/search/연기면 연기리 431-1", "지도Link")</f>
        <v/>
      </c>
      <c r="N1532" s="6">
        <f>HYPERLINK("http://www.eum.go.kr/web/ar/lu/luLandDet.jsp?pnu=3611031021104310001&amp;isNoScr=script&amp;mode=search", "토지이음")</f>
        <v/>
      </c>
      <c r="O1532" s="3" t="inlineStr">
        <is>
          <t>세종대박</t>
        </is>
      </c>
      <c r="P1532" s="4" t="n">
        <v>1</v>
      </c>
      <c r="Q1532" s="4" t="n">
        <v>936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연기면 연기리 466-2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110000</v>
      </c>
      <c r="G1533" s="4" t="n">
        <v>1309</v>
      </c>
      <c r="H1533" s="4" t="n">
        <v>396</v>
      </c>
      <c r="I1533" s="5" t="n">
        <v>277.8</v>
      </c>
      <c r="J1533" s="5" t="n">
        <v>66</v>
      </c>
      <c r="K1533" s="3" t="inlineStr">
        <is>
          <t>계획관리지역,세종도심5분거리 도로예정지역으로개통시지가상승 투자용추천</t>
        </is>
      </c>
      <c r="L1533" s="6">
        <f>HYPERLINK("https://fin.land.naver.com/articles/2652731969", "매물Link")</f>
        <v/>
      </c>
      <c r="M1533" s="6">
        <f>HYPERLINK("https://map.naver.com/p/search/연기면 연기리 466-2", "지도Link")</f>
        <v/>
      </c>
      <c r="N1533" s="6">
        <f>HYPERLINK("http://www.eum.go.kr/web/ar/lu/luLandDet.jsp?pnu=3611031021104660002&amp;isNoScr=script&amp;mode=search", "토지이음")</f>
        <v/>
      </c>
      <c r="O1533" s="3" t="inlineStr">
        <is>
          <t>하트리움</t>
        </is>
      </c>
      <c r="P1533" s="4" t="n">
        <v>1</v>
      </c>
      <c r="Q1533" s="4" t="n">
        <v>892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연기면 연기리 466-2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110000</v>
      </c>
      <c r="G1534" s="4" t="n">
        <v>1309</v>
      </c>
      <c r="H1534" s="4" t="n">
        <v>396</v>
      </c>
      <c r="I1534" s="5" t="n">
        <v>277.8</v>
      </c>
      <c r="J1534" s="5" t="n">
        <v>66</v>
      </c>
      <c r="K1534" s="3" t="inlineStr">
        <is>
          <t>계획관리지역 토지소방도로 계획됨</t>
        </is>
      </c>
      <c r="L1534" s="6">
        <f>HYPERLINK("https://fin.land.naver.com/articles/2650858539", "매물Link")</f>
        <v/>
      </c>
      <c r="M1534" s="6">
        <f>HYPERLINK("https://map.naver.com/p/search/연기면 연기리 466-2", "지도Link")</f>
        <v/>
      </c>
      <c r="N1534" s="6">
        <f>HYPERLINK("http://www.eum.go.kr/web/ar/lu/luLandDet.jsp?pnu=3611031021104660002&amp;isNoScr=script&amp;mode=search", "토지이음")</f>
        <v/>
      </c>
      <c r="O1534" s="3" t="inlineStr">
        <is>
          <t>세종대박</t>
        </is>
      </c>
      <c r="P1534" s="4" t="n">
        <v>1</v>
      </c>
      <c r="Q1534" s="4" t="n">
        <v>892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맹지</t>
        </is>
      </c>
    </row>
    <row r="1535">
      <c r="A1535" s="3" t="inlineStr">
        <is>
          <t>연기면 연기리 466-6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150000</v>
      </c>
      <c r="G1535" s="4" t="n">
        <v>1667</v>
      </c>
      <c r="H1535" s="4" t="n">
        <v>504</v>
      </c>
      <c r="I1535" s="5" t="n">
        <v>297.6</v>
      </c>
      <c r="J1535" s="5" t="n">
        <v>66</v>
      </c>
      <c r="K1535" s="3" t="inlineStr">
        <is>
          <t>계획관리토지 매매</t>
        </is>
      </c>
      <c r="L1535" s="6">
        <f>HYPERLINK("https://fin.land.naver.com/articles/2650859605", "매물Link")</f>
        <v/>
      </c>
      <c r="M1535" s="6">
        <f>HYPERLINK("https://map.naver.com/p/search/연기면 연기리 466-6", "지도Link")</f>
        <v/>
      </c>
      <c r="N1535" s="6">
        <f>HYPERLINK("http://www.eum.go.kr/web/ar/lu/luLandDet.jsp?pnu=3611031021104660006&amp;isNoScr=script&amp;mode=search", "토지이음")</f>
        <v/>
      </c>
      <c r="O1535" s="3" t="inlineStr">
        <is>
          <t>세종대박</t>
        </is>
      </c>
      <c r="P1535" s="4" t="n">
        <v>1</v>
      </c>
      <c r="Q1535" s="4" t="n">
        <v>1214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맹지</t>
        </is>
      </c>
    </row>
    <row r="1536">
      <c r="A1536" s="3" t="inlineStr">
        <is>
          <t>연기면 연기리 483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430000</v>
      </c>
      <c r="G1536" s="4" t="n">
        <v>1413</v>
      </c>
      <c r="H1536" s="4" t="n">
        <v>427</v>
      </c>
      <c r="I1536" s="5" t="n">
        <v>1007</v>
      </c>
      <c r="J1536" s="5" t="n">
        <v>293.7</v>
      </c>
      <c r="K1536" s="3" t="inlineStr">
        <is>
          <t>대도로변 땅  전문유통매장</t>
        </is>
      </c>
      <c r="L1536" s="6">
        <f>HYPERLINK("https://fin.land.naver.com/articles/2652946920", "매물Link")</f>
        <v/>
      </c>
      <c r="M1536" s="6">
        <f>HYPERLINK("https://map.naver.com/p/search/연기면 연기리 483", "지도Link")</f>
        <v/>
      </c>
      <c r="N1536" s="6">
        <f>HYPERLINK("http://www.eum.go.kr/web/ar/lu/luLandDet.jsp?pnu=3611031021104830000&amp;isNoScr=script&amp;mode=search", "토지이음")</f>
        <v/>
      </c>
      <c r="O1536" s="3" t="inlineStr">
        <is>
          <t>세종천지</t>
        </is>
      </c>
      <c r="P1536" s="4" t="n">
        <v>1</v>
      </c>
      <c r="Q1536" s="4" t="n">
        <v>706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중로한면</t>
        </is>
      </c>
    </row>
    <row r="1537">
      <c r="A1537" s="3" t="inlineStr">
        <is>
          <t>연기면 연기리 484-1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320000</v>
      </c>
      <c r="G1537" s="4" t="n">
        <v>1176</v>
      </c>
      <c r="H1537" s="4" t="n">
        <v>356</v>
      </c>
      <c r="I1537" s="5" t="n">
        <v>898.9</v>
      </c>
      <c r="J1537" s="5" t="n">
        <v>216.7</v>
      </c>
      <c r="K1537" s="3" t="inlineStr">
        <is>
          <t>nan</t>
        </is>
      </c>
      <c r="L1537" s="6">
        <f>HYPERLINK("https://fin.land.naver.com/articles/2650201370", "매물Link")</f>
        <v/>
      </c>
      <c r="M1537" s="6">
        <f>HYPERLINK("https://map.naver.com/p/search/연기면 연기리 484-1", "지도Link")</f>
        <v/>
      </c>
      <c r="N1537" s="6">
        <f>HYPERLINK("http://www.eum.go.kr/web/ar/lu/luLandDet.jsp?pnu=3611031021104840001&amp;isNoScr=script&amp;mode=search", "토지이음")</f>
        <v/>
      </c>
      <c r="O1537" s="3" t="inlineStr">
        <is>
          <t>(주)아이알엔</t>
        </is>
      </c>
      <c r="P1537" s="4" t="n">
        <v>1</v>
      </c>
      <c r="Q1537" s="4" t="n">
        <v>1176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중로한면</t>
        </is>
      </c>
    </row>
    <row r="1538">
      <c r="A1538" s="3" t="inlineStr">
        <is>
          <t>연기면 연기리 484-2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320000</v>
      </c>
      <c r="G1538" s="4" t="n">
        <v>1000</v>
      </c>
      <c r="H1538" s="4" t="n">
        <v>302</v>
      </c>
      <c r="I1538" s="5" t="n">
        <v>1059.6</v>
      </c>
      <c r="J1538" s="5" t="n">
        <v>237.7</v>
      </c>
      <c r="K1538" s="3" t="inlineStr">
        <is>
          <t>명성공인, 1번국도 대로변 광고효과 좋은 추천 매물</t>
        </is>
      </c>
      <c r="L1538" s="6">
        <f>HYPERLINK("https://fin.land.naver.com/articles/2652072495", "매물Link")</f>
        <v/>
      </c>
      <c r="M1538" s="6">
        <f>HYPERLINK("https://map.naver.com/p/search/연기면 연기리 484-2", "지도Link")</f>
        <v/>
      </c>
      <c r="N1538" s="6">
        <f>HYPERLINK("http://www.eum.go.kr/web/ar/lu/luLandDet.jsp?pnu=3611031021104840002&amp;isNoScr=script&amp;mode=search", "토지이음")</f>
        <v/>
      </c>
      <c r="O1538" s="3" t="inlineStr">
        <is>
          <t>명성</t>
        </is>
      </c>
      <c r="P1538" s="4" t="n">
        <v>1</v>
      </c>
      <c r="Q1538" s="4" t="n">
        <v>500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완경사</t>
        </is>
      </c>
      <c r="U1538" s="3" t="inlineStr">
        <is>
          <t>자루형</t>
        </is>
      </c>
      <c r="V1538" s="3" t="inlineStr">
        <is>
          <t>중로한면</t>
        </is>
      </c>
    </row>
    <row r="1539">
      <c r="A1539" s="3" t="inlineStr">
        <is>
          <t>연기면 연기리 485</t>
        </is>
      </c>
      <c r="B1539" s="3" t="inlineStr">
        <is>
          <t>계획관리지역</t>
        </is>
      </c>
      <c r="C1539" s="3" t="inlineStr">
        <is>
          <t>공장용지</t>
        </is>
      </c>
      <c r="D1539" s="3" t="inlineStr">
        <is>
          <t>공장용지</t>
        </is>
      </c>
      <c r="E1539" s="3" t="inlineStr">
        <is>
          <t>매매</t>
        </is>
      </c>
      <c r="F1539" s="4" t="n">
        <v>400000</v>
      </c>
      <c r="G1539" s="4" t="n">
        <v>1892</v>
      </c>
      <c r="H1539" s="4" t="n">
        <v>572</v>
      </c>
      <c r="I1539" s="5" t="n">
        <v>699.3</v>
      </c>
      <c r="J1539" s="5" t="n">
        <v>255</v>
      </c>
      <c r="K1539" s="3" t="inlineStr">
        <is>
          <t>1번국도에 접함.</t>
        </is>
      </c>
      <c r="L1539" s="6">
        <f>HYPERLINK("https://fin.land.naver.com/articles/2654851946", "매물Link")</f>
        <v/>
      </c>
      <c r="M1539" s="6">
        <f>HYPERLINK("https://map.naver.com/p/search/연기면 연기리 485", "지도Link")</f>
        <v/>
      </c>
      <c r="N1539" s="6">
        <f>HYPERLINK("http://www.eum.go.kr/web/ar/lu/luLandDet.jsp?pnu=3611031021104850000&amp;isNoScr=script&amp;mode=search", "토지이음")</f>
        <v/>
      </c>
      <c r="O1539" s="3" t="inlineStr">
        <is>
          <t>세종리츠</t>
        </is>
      </c>
      <c r="P1539" s="4" t="n">
        <v>1</v>
      </c>
      <c r="Q1539" s="4" t="n">
        <v>1295</v>
      </c>
      <c r="R1539" s="3" t="inlineStr">
        <is>
          <t>지정되지않음</t>
        </is>
      </c>
      <c r="S1539" s="3" t="inlineStr">
        <is>
          <t>공업용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중로한면</t>
        </is>
      </c>
    </row>
    <row r="1540">
      <c r="A1540" s="3" t="inlineStr">
        <is>
          <t>연기면 연기리 495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550000</v>
      </c>
      <c r="G1540" s="4" t="n">
        <v>2740</v>
      </c>
      <c r="H1540" s="4" t="n">
        <v>829</v>
      </c>
      <c r="I1540" s="5" t="n">
        <v>663.4</v>
      </c>
      <c r="J1540" s="5" t="n">
        <v>297.7</v>
      </c>
      <c r="K1540" s="3" t="inlineStr">
        <is>
          <t>2차선도로접 평당가 저렴, 분필하여 매도 가능합니다.</t>
        </is>
      </c>
      <c r="L1540" s="6">
        <f>HYPERLINK("https://fin.land.naver.com/articles/2652193414", "매물Link")</f>
        <v/>
      </c>
      <c r="M1540" s="6">
        <f>HYPERLINK("https://map.naver.com/p/search/연기면 연기리 495", "지도Link")</f>
        <v/>
      </c>
      <c r="N1540" s="6">
        <f>HYPERLINK("http://www.eum.go.kr/web/ar/lu/luLandDet.jsp?pnu=3611031021104950000&amp;isNoScr=script&amp;mode=search", "토지이음")</f>
        <v/>
      </c>
      <c r="O1540" s="3" t="inlineStr">
        <is>
          <t>대실반석</t>
        </is>
      </c>
      <c r="P1540" s="4" t="n">
        <v>1</v>
      </c>
      <c r="Q1540" s="4" t="n">
        <v>2740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중로한면</t>
        </is>
      </c>
    </row>
    <row r="1541">
      <c r="A1541" s="3" t="inlineStr">
        <is>
          <t>연기면 연기리 495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580000</v>
      </c>
      <c r="G1541" s="4" t="n">
        <v>2740</v>
      </c>
      <c r="H1541" s="4" t="n">
        <v>829</v>
      </c>
      <c r="I1541" s="5" t="n">
        <v>699.6</v>
      </c>
      <c r="J1541" s="5" t="n">
        <v>297.7</v>
      </c>
      <c r="K1541" s="3" t="inlineStr">
        <is>
          <t>연기리 계획관리구역 접근성좋은  2차선도로접한 토지매매</t>
        </is>
      </c>
      <c r="L1541" s="6">
        <f>HYPERLINK("https://fin.land.naver.com/articles/2653882347", "매물Link")</f>
        <v/>
      </c>
      <c r="M1541" s="6">
        <f>HYPERLINK("https://map.naver.com/p/search/연기면 연기리 495", "지도Link")</f>
        <v/>
      </c>
      <c r="N1541" s="6">
        <f>HYPERLINK("http://www.eum.go.kr/web/ar/lu/luLandDet.jsp?pnu=3611031021104950000&amp;isNoScr=script&amp;mode=search", "토지이음")</f>
        <v/>
      </c>
      <c r="O1541" s="3" t="inlineStr">
        <is>
          <t>새롬삼둥이</t>
        </is>
      </c>
      <c r="P1541" s="4" t="n">
        <v>1</v>
      </c>
      <c r="Q1541" s="4" t="n">
        <v>2740</v>
      </c>
      <c r="R1541" s="3" t="inlineStr">
        <is>
          <t>지정되지않음</t>
        </is>
      </c>
      <c r="S1541" s="3" t="inlineStr">
        <is>
          <t>전기타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중로한면</t>
        </is>
      </c>
    </row>
    <row r="1542">
      <c r="A1542" s="3" t="inlineStr">
        <is>
          <t>연기면 연기리 498-6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275000</v>
      </c>
      <c r="G1542" s="4" t="n">
        <v>1467</v>
      </c>
      <c r="H1542" s="4" t="n">
        <v>444</v>
      </c>
      <c r="I1542" s="5" t="n">
        <v>619.4</v>
      </c>
      <c r="J1542" s="5" t="n">
        <v>283.5</v>
      </c>
      <c r="K1542" s="3" t="inlineStr">
        <is>
          <t>2차선 도로변에 있는 계획관리 토지</t>
        </is>
      </c>
      <c r="L1542" s="6">
        <f>HYPERLINK("https://fin.land.naver.com/articles/2655059996", "매물Link")</f>
        <v/>
      </c>
      <c r="M1542" s="6">
        <f>HYPERLINK("https://map.naver.com/p/search/연기면 연기리 498-6", "지도Link")</f>
        <v/>
      </c>
      <c r="N1542" s="6">
        <f>HYPERLINK("http://www.eum.go.kr/web/ar/lu/luLandDet.jsp?pnu=3611031021104980006&amp;isNoScr=script&amp;mode=search",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1467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중로한면</t>
        </is>
      </c>
    </row>
    <row r="1543">
      <c r="A1543" s="3" t="inlineStr">
        <is>
          <t>연기면 연기리 5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120000</v>
      </c>
      <c r="G1543" s="4" t="n">
        <v>995</v>
      </c>
      <c r="H1543" s="4" t="n">
        <v>301</v>
      </c>
      <c r="I1543" s="5" t="n">
        <v>398.7</v>
      </c>
      <c r="J1543" s="5" t="n">
        <v>175.7</v>
      </c>
      <c r="K1543" s="3" t="inlineStr">
        <is>
          <t>6생 접한 가치상승중인 연기리 토지. 6생활권 트인뷰</t>
        </is>
      </c>
      <c r="L1543" s="6">
        <f>HYPERLINK("https://fin.land.naver.com/articles/2653885026", "매물Link")</f>
        <v/>
      </c>
      <c r="M1543" s="6">
        <f>HYPERLINK("https://map.naver.com/p/search/연기면 연기리 5", "지도Link")</f>
        <v/>
      </c>
      <c r="N1543" s="6">
        <f>HYPERLINK("http://www.eum.go.kr/web/ar/lu/luLandDet.jsp?pnu=3611031021100050000&amp;isNoScr=script&amp;mode=search", "토지이음")</f>
        <v/>
      </c>
      <c r="O1543" s="3" t="inlineStr">
        <is>
          <t>새롬삼둥이</t>
        </is>
      </c>
      <c r="P1543" s="4" t="n">
        <v>1</v>
      </c>
      <c r="Q1543" s="4" t="n">
        <v>995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완경사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연기면 연기리 500-11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130000</v>
      </c>
      <c r="G1544" s="4" t="n">
        <v>553</v>
      </c>
      <c r="H1544" s="4" t="n">
        <v>167</v>
      </c>
      <c r="I1544" s="5" t="n">
        <v>778.4</v>
      </c>
      <c r="J1544" s="5" t="n">
        <v>312.4</v>
      </c>
      <c r="K1544" s="3" t="inlineStr">
        <is>
          <t>도로 옆,평당 800만원,형질 변경 가능</t>
        </is>
      </c>
      <c r="L1544" s="6">
        <f>HYPERLINK("https://fin.land.naver.com/articles/2652496728", "매물Link")</f>
        <v/>
      </c>
      <c r="M1544" s="6">
        <f>HYPERLINK("https://map.naver.com/p/search/연기면 연기리 500-11", "지도Link")</f>
        <v/>
      </c>
      <c r="N1544" s="6">
        <f>HYPERLINK("http://www.eum.go.kr/web/ar/lu/luLandDet.jsp?pnu=3611031021105000011&amp;isNoScr=script&amp;mode=search", "토지이음")</f>
        <v/>
      </c>
      <c r="O1544" s="3" t="inlineStr">
        <is>
          <t>다산</t>
        </is>
      </c>
      <c r="P1544" s="4" t="n">
        <v>2</v>
      </c>
      <c r="Q1544" s="4" t="n">
        <v>553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중로한면</t>
        </is>
      </c>
    </row>
    <row r="1545">
      <c r="A1545" s="3" t="inlineStr">
        <is>
          <t>연기면 연기리 506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500000</v>
      </c>
      <c r="G1545" s="4" t="n">
        <v>1205</v>
      </c>
      <c r="H1545" s="4" t="n">
        <v>365</v>
      </c>
      <c r="I1545" s="5" t="n">
        <v>1369.9</v>
      </c>
      <c r="J1545" s="5" t="n">
        <v>237.7</v>
      </c>
      <c r="K1545" s="3" t="inlineStr">
        <is>
          <t>1번국도변 상가건물</t>
        </is>
      </c>
      <c r="L1545" s="6">
        <f>HYPERLINK("https://fin.land.naver.com/articles/2655032781", "매물Link")</f>
        <v/>
      </c>
      <c r="M1545" s="6">
        <f>HYPERLINK("https://map.naver.com/p/search/연기면 연기리 506", "지도Link")</f>
        <v/>
      </c>
      <c r="N1545" s="6">
        <f>HYPERLINK("http://www.eum.go.kr/web/ar/lu/luLandDet.jsp?pnu=3611031021105060000&amp;isNoScr=script&amp;mode=search",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1205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중로한면</t>
        </is>
      </c>
    </row>
    <row r="1546">
      <c r="A1546" s="3" t="inlineStr">
        <is>
          <t>연기면 연기리 506-3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500000</v>
      </c>
      <c r="G1546" s="4" t="n">
        <v>1379</v>
      </c>
      <c r="H1546" s="4" t="n">
        <v>417</v>
      </c>
      <c r="I1546" s="5" t="n">
        <v>1199</v>
      </c>
      <c r="J1546" s="5" t="n">
        <v>297.7</v>
      </c>
      <c r="K1546" s="3" t="inlineStr">
        <is>
          <t>국도 진입 가능한 대로변에 위치한 광고효과 좋은 곳</t>
        </is>
      </c>
      <c r="L1546" s="6">
        <f>HYPERLINK("https://fin.land.naver.com/articles/2653882991", "매물Link")</f>
        <v/>
      </c>
      <c r="M1546" s="6">
        <f>HYPERLINK("https://map.naver.com/p/search/연기면 연기리 506-3", "지도Link")</f>
        <v/>
      </c>
      <c r="N1546" s="6">
        <f>HYPERLINK("http://www.eum.go.kr/web/ar/lu/luLandDet.jsp?pnu=3611031021105060003&amp;isNoScr=script&amp;mode=search", "토지이음")</f>
        <v/>
      </c>
      <c r="O1546" s="3" t="inlineStr">
        <is>
          <t>KS</t>
        </is>
      </c>
      <c r="P1546" s="4" t="n">
        <v>1</v>
      </c>
      <c r="Q1546" s="4" t="n">
        <v>1379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연기면 연기리 507-4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220000</v>
      </c>
      <c r="G1547" s="4" t="n">
        <v>629</v>
      </c>
      <c r="H1547" s="4" t="n">
        <v>190</v>
      </c>
      <c r="I1547" s="5" t="n">
        <v>1157.9</v>
      </c>
      <c r="J1547" s="5" t="n">
        <v>297.7</v>
      </c>
      <c r="K1547" s="3" t="inlineStr">
        <is>
          <t>8차선 국도접 가시성접근성 최상 계획관리지역 토지</t>
        </is>
      </c>
      <c r="L1547" s="6">
        <f>HYPERLINK("https://fin.land.naver.com/articles/2655697014", "매물Link")</f>
        <v/>
      </c>
      <c r="M1547" s="6">
        <f>HYPERLINK("https://map.naver.com/p/search/연기면 연기리 507-4", "지도Link")</f>
        <v/>
      </c>
      <c r="N1547" s="6">
        <f>HYPERLINK("http://www.eum.go.kr/web/ar/lu/luLandDet.jsp?pnu=3611031021105070004&amp;isNoScr=script&amp;mode=search", "토지이음")</f>
        <v/>
      </c>
      <c r="O1547" s="3" t="inlineStr">
        <is>
          <t>스마트옥션</t>
        </is>
      </c>
      <c r="P1547" s="4" t="n">
        <v>1</v>
      </c>
      <c r="Q1547" s="4" t="n">
        <v>629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연기면 연기리 507-4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220000</v>
      </c>
      <c r="G1548" s="4" t="n">
        <v>629</v>
      </c>
      <c r="H1548" s="4" t="n">
        <v>190</v>
      </c>
      <c r="I1548" s="5" t="n">
        <v>1157.9</v>
      </c>
      <c r="J1548" s="5" t="n">
        <v>297.7</v>
      </c>
      <c r="K1548" s="3" t="inlineStr">
        <is>
          <t>대 도로접 투자 적정지</t>
        </is>
      </c>
      <c r="L1548" s="6">
        <f>HYPERLINK("https://fin.land.naver.com/articles/2651896465", "매물Link")</f>
        <v/>
      </c>
      <c r="M1548" s="6">
        <f>HYPERLINK("https://map.naver.com/p/search/연기면 연기리 507-4", "지도Link")</f>
        <v/>
      </c>
      <c r="N1548" s="6">
        <f>HYPERLINK("http://www.eum.go.kr/web/ar/lu/luLandDet.jsp?pnu=3611031021105070004&amp;isNoScr=script&amp;mode=search", "토지이음")</f>
        <v/>
      </c>
      <c r="O1548" s="3" t="inlineStr">
        <is>
          <t>광장(프라자)</t>
        </is>
      </c>
      <c r="P1548" s="4" t="n">
        <v>1</v>
      </c>
      <c r="Q1548" s="4" t="n">
        <v>629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중로한면</t>
        </is>
      </c>
    </row>
    <row r="1549">
      <c r="A1549" s="3" t="inlineStr">
        <is>
          <t>연기면 연기리 599-8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18000</v>
      </c>
      <c r="G1549" s="4" t="n">
        <v>156</v>
      </c>
      <c r="H1549" s="4" t="n">
        <v>47</v>
      </c>
      <c r="I1549" s="5" t="n">
        <v>383</v>
      </c>
      <c r="J1549" s="5" t="n">
        <v>179</v>
      </c>
      <c r="K1549" s="3" t="inlineStr">
        <is>
          <t>구옥있는 대지 매매</t>
        </is>
      </c>
      <c r="L1549" s="6">
        <f>HYPERLINK("https://fin.land.naver.com/articles/2650859607", "매물Link")</f>
        <v/>
      </c>
      <c r="M1549" s="6">
        <f>HYPERLINK("https://map.naver.com/p/search/연기면 연기리 599-8", "지도Link")</f>
        <v/>
      </c>
      <c r="N1549" s="6">
        <f>HYPERLINK("http://www.eum.go.kr/web/ar/lu/luLandDet.jsp?pnu=3611031021105990008&amp;isNoScr=script&amp;mode=search",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156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연기리 62-2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69000</v>
      </c>
      <c r="G1550" s="4" t="n">
        <v>455</v>
      </c>
      <c r="H1550" s="4" t="n">
        <v>138</v>
      </c>
      <c r="I1550" s="5" t="n">
        <v>500</v>
      </c>
      <c r="J1550" s="5" t="n">
        <v>100.2</v>
      </c>
      <c r="K1550" s="3" t="inlineStr">
        <is>
          <t>nan</t>
        </is>
      </c>
      <c r="L1550" s="6">
        <f>HYPERLINK("https://fin.land.naver.com/articles/2653607930", "매물Link")</f>
        <v/>
      </c>
      <c r="M1550" s="6">
        <f>HYPERLINK("https://map.naver.com/p/search/연기면 연기리 62-2", "지도Link")</f>
        <v/>
      </c>
      <c r="N1550" s="6">
        <f>HYPERLINK("http://www.eum.go.kr/web/ar/lu/luLandDet.jsp?pnu=3611031021100620002&amp;isNoScr=script&amp;mode=search", "토지이음")</f>
        <v/>
      </c>
      <c r="O1550" s="3" t="inlineStr">
        <is>
          <t>마마</t>
        </is>
      </c>
      <c r="P1550" s="4" t="n">
        <v>1</v>
      </c>
      <c r="Q1550" s="4" t="n">
        <v>455.2</v>
      </c>
      <c r="R1550" s="3" t="inlineStr">
        <is>
          <t>지정되지않음</t>
        </is>
      </c>
      <c r="S1550" s="3" t="inlineStr">
        <is>
          <t>전창고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세로한면(불)</t>
        </is>
      </c>
    </row>
    <row r="1551">
      <c r="A1551" s="3" t="inlineStr">
        <is>
          <t>연기면 연기리 9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598</v>
      </c>
      <c r="H1551" s="4" t="n">
        <v>181</v>
      </c>
      <c r="I1551" s="5" t="n">
        <v>359.1</v>
      </c>
      <c r="J1551" s="5" t="n">
        <v>78.3</v>
      </c>
      <c r="K1551" s="3" t="inlineStr">
        <is>
          <t>6생활권 초인접 지대 높은 남서향 계획관리 토지</t>
        </is>
      </c>
      <c r="L1551" s="6">
        <f>HYPERLINK("https://fin.land.naver.com/articles/2652065478", "매물Link")</f>
        <v/>
      </c>
      <c r="M1551" s="6">
        <f>HYPERLINK("https://map.naver.com/p/search/연기면 연기리 9", "지도Link")</f>
        <v/>
      </c>
      <c r="N1551" s="6">
        <f>HYPERLINK("http://www.eum.go.kr/web/ar/lu/luLandDet.jsp?pnu=3611031021100090000&amp;isNoScr=script&amp;mode=search", "토지이음")</f>
        <v/>
      </c>
      <c r="O1551" s="3" t="inlineStr">
        <is>
          <t>신와촌</t>
        </is>
      </c>
      <c r="P1551" s="4" t="n">
        <v>1</v>
      </c>
      <c r="Q1551" s="4" t="n">
        <v>509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맹지</t>
        </is>
      </c>
    </row>
    <row r="1552">
      <c r="A1552" s="3" t="inlineStr">
        <is>
          <t>연동면 내판리 10-1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36000</v>
      </c>
      <c r="G1552" s="4" t="n">
        <v>330</v>
      </c>
      <c r="H1552" s="4" t="n">
        <v>100</v>
      </c>
      <c r="I1552" s="5" t="n">
        <v>360</v>
      </c>
      <c r="J1552" s="5" t="n">
        <v>106.7</v>
      </c>
      <c r="K1552" s="3" t="inlineStr">
        <is>
          <t>세종 내판리 토지 매매.지목 대지구단위계획구역</t>
        </is>
      </c>
      <c r="L1552" s="6">
        <f>HYPERLINK("https://fin.land.naver.com/articles/2655139659", "매물Link")</f>
        <v/>
      </c>
      <c r="M1552" s="6">
        <f>HYPERLINK("https://map.naver.com/p/search/연동면 내판리 10-1", "지도Link")</f>
        <v/>
      </c>
      <c r="N1552" s="6">
        <f>HYPERLINK("http://www.eum.go.kr/web/ar/lu/luLandDet.jsp?pnu=3611032021100100001&amp;isNoScr=script&amp;mode=search", "토지이음")</f>
        <v/>
      </c>
      <c r="O1552" s="3" t="inlineStr">
        <is>
          <t>세종몽땅</t>
        </is>
      </c>
      <c r="P1552" s="4" t="n">
        <v>1</v>
      </c>
      <c r="Q1552" s="4" t="n">
        <v>330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내판리 10-8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24500</v>
      </c>
      <c r="G1553" s="4" t="n">
        <v>230</v>
      </c>
      <c r="H1553" s="4" t="n">
        <v>70</v>
      </c>
      <c r="I1553" s="5" t="n">
        <v>350</v>
      </c>
      <c r="J1553" s="5" t="n">
        <v>94.90000000000001</v>
      </c>
      <c r="K1553" s="3" t="inlineStr">
        <is>
          <t>계획관리지역,대지</t>
        </is>
      </c>
      <c r="L1553" s="6">
        <f>HYPERLINK("https://fin.land.naver.com/articles/2655086108", "매물Link")</f>
        <v/>
      </c>
      <c r="M1553" s="6">
        <f>HYPERLINK("https://map.naver.com/p/search/연동면 내판리 10-8", "지도Link")</f>
        <v/>
      </c>
      <c r="N1553" s="6">
        <f>HYPERLINK("http://www.eum.go.kr/web/ar/lu/luLandDet.jsp?pnu=3611032021100100008&amp;isNoScr=script&amp;mode=search",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191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연동면 내판리 104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67000</v>
      </c>
      <c r="G1554" s="4" t="n">
        <v>2767</v>
      </c>
      <c r="H1554" s="4" t="n">
        <v>837</v>
      </c>
      <c r="I1554" s="5" t="n">
        <v>80</v>
      </c>
      <c r="J1554" s="5" t="n">
        <v>36.2</v>
      </c>
      <c r="K1554" s="3" t="inlineStr">
        <is>
          <t>계확관리 아파트건설 호재가 있는  토지 중학교 옆위치 조율가능</t>
        </is>
      </c>
      <c r="L1554" s="6">
        <f>HYPERLINK("https://fin.land.naver.com/articles/2653589993", "매물Link")</f>
        <v/>
      </c>
      <c r="M1554" s="6">
        <f>HYPERLINK("https://map.naver.com/p/search/연동면 내판리 104", "지도Link")</f>
        <v/>
      </c>
      <c r="N1554" s="6">
        <f>HYPERLINK("http://www.eum.go.kr/web/ar/lu/luLandDet.jsp?pnu=3611032021101040000&amp;isNoScr=script&amp;mode=search", "토지이음")</f>
        <v/>
      </c>
      <c r="O1554" s="3" t="inlineStr">
        <is>
          <t>도안부자</t>
        </is>
      </c>
      <c r="P1554" s="4" t="n">
        <v>1</v>
      </c>
      <c r="Q1554" s="4" t="n">
        <v>2767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맹지</t>
        </is>
      </c>
    </row>
    <row r="1555">
      <c r="A1555" s="3" t="inlineStr">
        <is>
          <t>연동면 내판리 114-1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월세</t>
        </is>
      </c>
      <c r="F1555" s="4" t="n">
        <v>2000</v>
      </c>
      <c r="G1555" s="4" t="n">
        <v>660</v>
      </c>
      <c r="H1555" s="4" t="n">
        <v>200</v>
      </c>
      <c r="I1555" s="5" t="n">
        <v>0.3</v>
      </c>
      <c r="J1555" s="5" t="n">
        <v>62</v>
      </c>
      <c r="K1555" s="3" t="inlineStr">
        <is>
          <t>건축완료, 사무실용도, 인근산단많아서 직원들 숙소도 가능가격조율가능</t>
        </is>
      </c>
      <c r="L1555" s="6">
        <f>HYPERLINK("https://fin.land.naver.com/articles/2654882942", "매물Link")</f>
        <v/>
      </c>
      <c r="M1555" s="6">
        <f>HYPERLINK("https://map.naver.com/p/search/연동면 내판리 114-1", "지도Link")</f>
        <v/>
      </c>
      <c r="N1555" s="6">
        <f>HYPERLINK("http://www.eum.go.kr/web/ar/lu/luLandDet.jsp?pnu=3611032021101140001&amp;isNoScr=script&amp;mode=search", "토지이음")</f>
        <v/>
      </c>
      <c r="O1555" s="3" t="inlineStr">
        <is>
          <t>세종복댕이</t>
        </is>
      </c>
      <c r="P1555" s="4" t="n">
        <v>1</v>
      </c>
      <c r="Q1555" s="4" t="n">
        <v>660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가로장방</t>
        </is>
      </c>
      <c r="V1555" s="3" t="inlineStr">
        <is>
          <t>세로한면(가)</t>
        </is>
      </c>
    </row>
    <row r="1556">
      <c r="A1556" s="3" t="inlineStr">
        <is>
          <t>연동면 내판리 175-1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190000</v>
      </c>
      <c r="G1556" s="4" t="n">
        <v>2710</v>
      </c>
      <c r="H1556" s="4" t="n">
        <v>820</v>
      </c>
      <c r="I1556" s="5" t="n">
        <v>231.7</v>
      </c>
      <c r="J1556" s="5" t="n">
        <v>71.90000000000001</v>
      </c>
      <c r="K1556" s="3" t="inlineStr">
        <is>
          <t>세종시 연동면내판리 2차선 토지매매</t>
        </is>
      </c>
      <c r="L1556" s="6">
        <f>HYPERLINK("https://fin.land.naver.com/articles/2652504504", "매물Link")</f>
        <v/>
      </c>
      <c r="M1556" s="6">
        <f>HYPERLINK("https://map.naver.com/p/search/연동면 내판리 175-1", "지도Link")</f>
        <v/>
      </c>
      <c r="N1556" s="6">
        <f>HYPERLINK("http://www.eum.go.kr/web/ar/lu/luLandDet.jsp?pnu=3611032021101750001&amp;isNoScr=script&amp;mode=search", "토지이음")</f>
        <v/>
      </c>
      <c r="O1556" s="3" t="inlineStr">
        <is>
          <t>동원</t>
        </is>
      </c>
      <c r="P1556" s="4" t="n">
        <v>1</v>
      </c>
      <c r="Q1556" s="4" t="n">
        <v>2340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내판리 175-12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96000</v>
      </c>
      <c r="G1557" s="4" t="n">
        <v>1095</v>
      </c>
      <c r="H1557" s="4" t="n">
        <v>331</v>
      </c>
      <c r="I1557" s="5" t="n">
        <v>290</v>
      </c>
      <c r="J1557" s="5" t="n">
        <v>61.4</v>
      </c>
      <c r="K1557" s="3" t="inlineStr">
        <is>
          <t>내판리 계획관리지역  5생활권 인접한 명학산업단지 부근</t>
        </is>
      </c>
      <c r="L1557" s="6">
        <f>HYPERLINK("https://fin.land.naver.com/articles/2653639529", "매물Link")</f>
        <v/>
      </c>
      <c r="M1557" s="6">
        <f>HYPERLINK("https://map.naver.com/p/search/연동면 내판리 175-12", "지도Link")</f>
        <v/>
      </c>
      <c r="N1557" s="6">
        <f>HYPERLINK("http://www.eum.go.kr/web/ar/lu/luLandDet.jsp?pnu=3611032021101750012&amp;isNoScr=script&amp;mode=search", "토지이음")</f>
        <v/>
      </c>
      <c r="O1557" s="3" t="inlineStr">
        <is>
          <t>레몬</t>
        </is>
      </c>
      <c r="P1557" s="4" t="n">
        <v>1</v>
      </c>
      <c r="Q1557" s="4" t="n">
        <v>475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내판리 254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65000</v>
      </c>
      <c r="G1558" s="4" t="n">
        <v>1884</v>
      </c>
      <c r="H1558" s="4" t="n">
        <v>570</v>
      </c>
      <c r="I1558" s="5" t="n">
        <v>114</v>
      </c>
      <c r="J1558" s="5" t="n">
        <v>65.8</v>
      </c>
      <c r="K1558" s="3" t="inlineStr">
        <is>
          <t>실 570. 행정중심복합도시 수혜지역 매매. 대통령집무실 이전유력지 호재</t>
        </is>
      </c>
      <c r="L1558" s="6">
        <f>HYPERLINK("https://fin.land.naver.com/articles/2651758585", "매물Link")</f>
        <v/>
      </c>
      <c r="M1558" s="6">
        <f>HYPERLINK("https://map.naver.com/p/search/연동면 내판리 254", "지도Link")</f>
        <v/>
      </c>
      <c r="N1558" s="6">
        <f>HYPERLINK("http://www.eum.go.kr/web/ar/lu/luLandDet.jsp?pnu=3611032021102540000&amp;isNoScr=script&amp;mode=search", "토지이음")</f>
        <v/>
      </c>
      <c r="O1558" s="3" t="inlineStr">
        <is>
          <t>길</t>
        </is>
      </c>
      <c r="P1558" s="4" t="n">
        <v>1</v>
      </c>
      <c r="Q1558" s="4" t="n">
        <v>1884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맹지</t>
        </is>
      </c>
    </row>
    <row r="1559">
      <c r="A1559" s="3" t="inlineStr">
        <is>
          <t>연동면 내판리 337-1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191664</v>
      </c>
      <c r="G1559" s="4" t="n">
        <v>1152</v>
      </c>
      <c r="H1559" s="4" t="n">
        <v>348</v>
      </c>
      <c r="I1559" s="5" t="n">
        <v>550.8</v>
      </c>
      <c r="J1559" s="5" t="n">
        <v>112.8</v>
      </c>
      <c r="K1559" s="3" t="inlineStr">
        <is>
          <t>명학산업단지 근처 6미터 도로접 투자용</t>
        </is>
      </c>
      <c r="L1559" s="6">
        <f>HYPERLINK("https://fin.land.naver.com/articles/2652376217", "매물Link")</f>
        <v/>
      </c>
      <c r="M1559" s="6">
        <f>HYPERLINK("https://map.naver.com/p/search/연동면 내판리 337-1", "지도Link")</f>
        <v/>
      </c>
      <c r="N1559" s="6">
        <f>HYPERLINK("http://www.eum.go.kr/web/ar/lu/luLandDet.jsp?pnu=3611032021103370001&amp;isNoScr=script&amp;mode=search", "토지이음")</f>
        <v/>
      </c>
      <c r="O1559" s="3" t="inlineStr">
        <is>
          <t>도안재벌</t>
        </is>
      </c>
      <c r="P1559" s="4" t="n">
        <v>1</v>
      </c>
      <c r="Q1559" s="4" t="n">
        <v>1152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내판리 337-8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133100</v>
      </c>
      <c r="G1560" s="4" t="n">
        <v>800</v>
      </c>
      <c r="H1560" s="4" t="n">
        <v>242</v>
      </c>
      <c r="I1560" s="5" t="n">
        <v>550</v>
      </c>
      <c r="J1560" s="5" t="n">
        <v>183.9</v>
      </c>
      <c r="K1560" s="3" t="inlineStr">
        <is>
          <t>명학산업단지 근처 6미터 도로접 투자용</t>
        </is>
      </c>
      <c r="L1560" s="6">
        <f>HYPERLINK("https://fin.land.naver.com/articles/2652376203", "매물Link")</f>
        <v/>
      </c>
      <c r="M1560" s="6">
        <f>HYPERLINK("https://map.naver.com/p/search/연동면 내판리 337-8", "지도Link")</f>
        <v/>
      </c>
      <c r="N1560" s="6">
        <f>HYPERLINK("http://www.eum.go.kr/web/ar/lu/luLandDet.jsp?pnu=3611032021103370008&amp;isNoScr=script&amp;mode=search", "토지이음")</f>
        <v/>
      </c>
      <c r="O1560" s="3" t="inlineStr">
        <is>
          <t>도안재벌</t>
        </is>
      </c>
      <c r="P1560" s="4" t="n">
        <v>1</v>
      </c>
      <c r="Q1560" s="4" t="n">
        <v>800</v>
      </c>
      <c r="R1560" s="3" t="inlineStr">
        <is>
          <t>지정되지않음</t>
        </is>
      </c>
      <c r="S1560" s="3" t="inlineStr">
        <is>
          <t>상업용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내판리 337-9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140000</v>
      </c>
      <c r="G1561" s="4" t="n">
        <v>737</v>
      </c>
      <c r="H1561" s="4" t="n">
        <v>223</v>
      </c>
      <c r="I1561" s="5" t="n">
        <v>627.8</v>
      </c>
      <c r="J1561" s="5" t="n">
        <v>183.9</v>
      </c>
      <c r="K1561" s="3" t="inlineStr">
        <is>
          <t>nan</t>
        </is>
      </c>
      <c r="L1561" s="6">
        <f>HYPERLINK("https://fin.land.naver.com/articles/2652045510", "매물Link")</f>
        <v/>
      </c>
      <c r="M1561" s="6">
        <f>HYPERLINK("https://map.naver.com/p/search/연동면 내판리 337-9", "지도Link")</f>
        <v/>
      </c>
      <c r="N1561" s="6">
        <f>HYPERLINK("http://www.eum.go.kr/web/ar/lu/luLandDet.jsp?pnu=3611032021103370009&amp;isNoScr=script&amp;mode=search", "토지이음")</f>
        <v/>
      </c>
      <c r="O1561" s="3" t="inlineStr">
        <is>
          <t>미스터홈즈강남지사</t>
        </is>
      </c>
      <c r="P1561" s="4" t="n">
        <v>1</v>
      </c>
      <c r="Q1561" s="4" t="n">
        <v>737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내판리 35-5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210000</v>
      </c>
      <c r="G1562" s="4" t="n">
        <v>5683</v>
      </c>
      <c r="H1562" s="4" t="n">
        <v>1719</v>
      </c>
      <c r="I1562" s="5" t="n">
        <v>122.2</v>
      </c>
      <c r="J1562" s="5" t="n">
        <v>41.8</v>
      </c>
      <c r="K1562" s="3" t="inlineStr">
        <is>
          <t>시세보다 저렴한  최상의 위치로  계획관리 토지로 용도다양</t>
        </is>
      </c>
      <c r="L1562" s="6">
        <f>HYPERLINK("https://fin.land.naver.com/articles/2651026655", "매물Link")</f>
        <v/>
      </c>
      <c r="M1562" s="6">
        <f>HYPERLINK("https://map.naver.com/p/search/연동면 내판리 35-5", "지도Link")</f>
        <v/>
      </c>
      <c r="N1562" s="6">
        <f>HYPERLINK("http://www.eum.go.kr/web/ar/lu/luLandDet.jsp?pnu=3611032021100350005&amp;isNoScr=script&amp;mode=search", "토지이음")</f>
        <v/>
      </c>
      <c r="O1562" s="3" t="inlineStr">
        <is>
          <t>연동스카이</t>
        </is>
      </c>
      <c r="P1562" s="4" t="n">
        <v>1</v>
      </c>
      <c r="Q1562" s="4" t="n">
        <v>5683</v>
      </c>
      <c r="R1562" s="3" t="inlineStr">
        <is>
          <t>지정되지않음</t>
        </is>
      </c>
      <c r="S1562" s="3" t="inlineStr">
        <is>
          <t>자연림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내판리 35-5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203000</v>
      </c>
      <c r="G1563" s="4" t="n">
        <v>5683</v>
      </c>
      <c r="H1563" s="4" t="n">
        <v>1719</v>
      </c>
      <c r="I1563" s="5" t="n">
        <v>118.1</v>
      </c>
      <c r="J1563" s="5" t="n">
        <v>41.8</v>
      </c>
      <c r="K1563" s="3" t="inlineStr">
        <is>
          <t>계획관리지역 건축부지 시세이하가격</t>
        </is>
      </c>
      <c r="L1563" s="6">
        <f>HYPERLINK("https://fin.land.naver.com/articles/2650899167", "매물Link")</f>
        <v/>
      </c>
      <c r="M1563" s="6">
        <f>HYPERLINK("https://map.naver.com/p/search/연동면 내판리 35-5", "지도Link")</f>
        <v/>
      </c>
      <c r="N1563" s="6">
        <f>HYPERLINK("http://www.eum.go.kr/web/ar/lu/luLandDet.jsp?pnu=3611032021100350005&amp;isNoScr=script&amp;mode=search", "토지이음")</f>
        <v/>
      </c>
      <c r="O1563" s="3" t="inlineStr">
        <is>
          <t>(주)경진컨설팅</t>
        </is>
      </c>
      <c r="P1563" s="4" t="n">
        <v>1</v>
      </c>
      <c r="Q1563" s="4" t="n">
        <v>5683</v>
      </c>
      <c r="R1563" s="3" t="inlineStr">
        <is>
          <t>지정되지않음</t>
        </is>
      </c>
      <c r="S1563" s="3" t="inlineStr">
        <is>
          <t>자연림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내판리 35-5</t>
        </is>
      </c>
      <c r="B1564" s="3" t="inlineStr">
        <is>
          <t>계획관리지역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205000</v>
      </c>
      <c r="G1564" s="4" t="n">
        <v>5683</v>
      </c>
      <c r="H1564" s="4" t="n">
        <v>1719</v>
      </c>
      <c r="I1564" s="5" t="n">
        <v>119.3</v>
      </c>
      <c r="J1564" s="5" t="n">
        <v>41.8</v>
      </c>
      <c r="K1564" s="3" t="inlineStr">
        <is>
          <t>급매  저렴한 매물    추천매물</t>
        </is>
      </c>
      <c r="L1564" s="6">
        <f>HYPERLINK("https://fin.land.naver.com/articles/2653315073", "매물Link")</f>
        <v/>
      </c>
      <c r="M1564" s="6">
        <f>HYPERLINK("https://map.naver.com/p/search/연동면 내판리 35-5", "지도Link")</f>
        <v/>
      </c>
      <c r="N1564" s="6">
        <f>HYPERLINK("http://www.eum.go.kr/web/ar/lu/luLandDet.jsp?pnu=3611032021100350005&amp;isNoScr=script&amp;mode=search", "토지이음")</f>
        <v/>
      </c>
      <c r="O1564" s="3" t="inlineStr">
        <is>
          <t>세종푸르지오</t>
        </is>
      </c>
      <c r="P1564" s="4" t="n">
        <v>2</v>
      </c>
      <c r="Q1564" s="4" t="n">
        <v>5683</v>
      </c>
      <c r="R1564" s="3" t="inlineStr">
        <is>
          <t>지정되지않음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연동면 내판리 363-6</t>
        </is>
      </c>
      <c r="B1565" s="3" t="inlineStr">
        <is>
          <t>계획관리지역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80000</v>
      </c>
      <c r="G1565" s="4" t="n">
        <v>663</v>
      </c>
      <c r="H1565" s="4" t="n">
        <v>201</v>
      </c>
      <c r="I1565" s="5" t="n">
        <v>398</v>
      </c>
      <c r="J1565" s="5" t="n">
        <v>95</v>
      </c>
      <c r="K1565" s="3" t="inlineStr">
        <is>
          <t>계획관리포장도로전기 인접, 오송산단 접근 좋은 전원형 토지</t>
        </is>
      </c>
      <c r="L1565" s="6">
        <f>HYPERLINK("https://fin.land.naver.com/articles/2651802843", "매물Link")</f>
        <v/>
      </c>
      <c r="M1565" s="6">
        <f>HYPERLINK("https://map.naver.com/p/search/연동면 내판리 363-6", "지도Link")</f>
        <v/>
      </c>
      <c r="N1565" s="6">
        <f>HYPERLINK("http://www.eum.go.kr/web/ar/lu/luLandDet.jsp?pnu=3611032021103630006&amp;isNoScr=script&amp;mode=search",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82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내판리 365-5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80000</v>
      </c>
      <c r="G1566" s="4" t="n">
        <v>664</v>
      </c>
      <c r="H1566" s="4" t="n">
        <v>201</v>
      </c>
      <c r="I1566" s="5" t="n">
        <v>398</v>
      </c>
      <c r="J1566" s="5" t="n">
        <v>95</v>
      </c>
      <c r="K1566" s="3" t="inlineStr">
        <is>
          <t>세종시 5생활권 스마트시티 300m 7,500세대 아파트 호재 중심</t>
        </is>
      </c>
      <c r="L1566" s="6">
        <f>HYPERLINK("https://fin.land.naver.com/articles/2654053900", "매물Link")</f>
        <v/>
      </c>
      <c r="M1566" s="6">
        <f>HYPERLINK("https://map.naver.com/p/search/연동면 내판리 365-5", "지도Link")</f>
        <v/>
      </c>
      <c r="N1566" s="6">
        <f>HYPERLINK("http://www.eum.go.kr/web/ar/lu/luLandDet.jsp?pnu=3611032021103650005&amp;isNoScr=script&amp;mode=search", "토지이음")</f>
        <v/>
      </c>
      <c r="O1566" s="3" t="inlineStr">
        <is>
          <t>찬스</t>
        </is>
      </c>
      <c r="P1566" s="4" t="n">
        <v>1</v>
      </c>
      <c r="Q1566" s="4" t="n">
        <v>473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내판리 418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234600</v>
      </c>
      <c r="G1567" s="4" t="n">
        <v>2585</v>
      </c>
      <c r="H1567" s="4" t="n">
        <v>782</v>
      </c>
      <c r="I1567" s="5" t="n">
        <v>300</v>
      </c>
      <c r="J1567" s="5" t="n">
        <v>74.09999999999999</v>
      </c>
      <c r="K1567" s="3" t="inlineStr">
        <is>
          <t>투자와 실사용 모두 적합,인프라 근접</t>
        </is>
      </c>
      <c r="L1567" s="6">
        <f>HYPERLINK("https://fin.land.naver.com/articles/2650476322", "매물Link")</f>
        <v/>
      </c>
      <c r="M1567" s="6">
        <f>HYPERLINK("https://map.naver.com/p/search/연동면 내판리 418", "지도Link")</f>
        <v/>
      </c>
      <c r="N1567" s="6">
        <f>HYPERLINK("http://www.eum.go.kr/web/ar/lu/luLandDet.jsp?pnu=3611032021104180000&amp;isNoScr=script&amp;mode=search", "토지이음")</f>
        <v/>
      </c>
      <c r="O1567" s="3" t="inlineStr">
        <is>
          <t>가치잇는</t>
        </is>
      </c>
      <c r="P1567" s="4" t="n">
        <v>1</v>
      </c>
      <c r="Q1567" s="4" t="n">
        <v>2585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세로각지(가)</t>
        </is>
      </c>
    </row>
    <row r="1568">
      <c r="A1568" s="3" t="inlineStr">
        <is>
          <t>연동면 내판리 419</t>
        </is>
      </c>
      <c r="B1568" s="3" t="inlineStr">
        <is>
          <t>계획관리지역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115500</v>
      </c>
      <c r="G1568" s="4" t="n">
        <v>1273</v>
      </c>
      <c r="H1568" s="4" t="n">
        <v>385</v>
      </c>
      <c r="I1568" s="5" t="n">
        <v>300</v>
      </c>
      <c r="J1568" s="5" t="n">
        <v>63.7</v>
      </c>
      <c r="K1568" s="3" t="inlineStr">
        <is>
          <t>세종 생활권 가까워 투자가치와 활용도 높은 토지</t>
        </is>
      </c>
      <c r="L1568" s="6">
        <f>HYPERLINK("https://fin.land.naver.com/articles/2650478669", "매물Link")</f>
        <v/>
      </c>
      <c r="M1568" s="6">
        <f>HYPERLINK("https://map.naver.com/p/search/연동면 내판리 419", "지도Link")</f>
        <v/>
      </c>
      <c r="N1568" s="6">
        <f>HYPERLINK("http://www.eum.go.kr/web/ar/lu/luLandDet.jsp?pnu=3611032021104190000&amp;isNoScr=script&amp;mode=search", "토지이음")</f>
        <v/>
      </c>
      <c r="O1568" s="3" t="inlineStr">
        <is>
          <t>가치잇는</t>
        </is>
      </c>
      <c r="P1568" s="4" t="n">
        <v>1</v>
      </c>
      <c r="Q1568" s="4" t="n">
        <v>1273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세로한면(불)</t>
        </is>
      </c>
    </row>
    <row r="1569">
      <c r="A1569" s="3" t="inlineStr">
        <is>
          <t>연동면 내판리 422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169000</v>
      </c>
      <c r="G1569" s="4" t="n">
        <v>1603</v>
      </c>
      <c r="H1569" s="4" t="n">
        <v>485</v>
      </c>
      <c r="I1569" s="5" t="n">
        <v>348.5</v>
      </c>
      <c r="J1569" s="5" t="n">
        <v>60.3</v>
      </c>
      <c r="K1569" s="3" t="inlineStr">
        <is>
          <t>내판리 도로변 계획관리지역 답</t>
        </is>
      </c>
      <c r="L1569" s="6">
        <f>HYPERLINK("https://fin.land.naver.com/articles/2650438078", "매물Link")</f>
        <v/>
      </c>
      <c r="M1569" s="6">
        <f>HYPERLINK("https://map.naver.com/p/search/연동면 내판리 422", "지도Link")</f>
        <v/>
      </c>
      <c r="N1569" s="6">
        <f>HYPERLINK("http://www.eum.go.kr/web/ar/lu/luLandDet.jsp?pnu=3611032021104220000&amp;isNoScr=script&amp;mode=search", "토지이음")</f>
        <v/>
      </c>
      <c r="O1569" s="3" t="inlineStr">
        <is>
          <t>세종천지</t>
        </is>
      </c>
      <c r="P1569" s="4" t="n">
        <v>1</v>
      </c>
      <c r="Q1569" s="4" t="n">
        <v>1603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50-3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180000</v>
      </c>
      <c r="G1570" s="4" t="n">
        <v>2406</v>
      </c>
      <c r="H1570" s="4" t="n">
        <v>728</v>
      </c>
      <c r="I1570" s="5" t="n">
        <v>247.3</v>
      </c>
      <c r="J1570" s="5" t="n">
        <v>76.5</v>
      </c>
      <c r="K1570" s="3" t="inlineStr">
        <is>
          <t>2차선 도로에 접해있는 계획관리 농지</t>
        </is>
      </c>
      <c r="L1570" s="6">
        <f>HYPERLINK("https://fin.land.naver.com/articles/2655147951", "매물Link")</f>
        <v/>
      </c>
      <c r="M1570" s="6">
        <f>HYPERLINK("https://map.naver.com/p/search/연동면 내판리 50-3", "지도Link")</f>
        <v/>
      </c>
      <c r="N1570" s="6">
        <f>HYPERLINK("http://www.eum.go.kr/web/ar/lu/luLandDet.jsp?pnu=3611032021100500003&amp;isNoScr=script&amp;mode=search", "토지이음")</f>
        <v/>
      </c>
      <c r="O1570" s="3" t="inlineStr">
        <is>
          <t>오송랜드</t>
        </is>
      </c>
      <c r="P1570" s="4" t="n">
        <v>1</v>
      </c>
      <c r="Q1570" s="4" t="n">
        <v>1188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내판리 556</t>
        </is>
      </c>
      <c r="B1571" s="3" t="inlineStr">
        <is>
          <t>생산관리지역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80000</v>
      </c>
      <c r="G1571" s="4" t="n">
        <v>2733</v>
      </c>
      <c r="H1571" s="4" t="n">
        <v>827</v>
      </c>
      <c r="I1571" s="5" t="n">
        <v>96.7</v>
      </c>
      <c r="J1571" s="5" t="n">
        <v>71.2</v>
      </c>
      <c r="K1571" s="3" t="inlineStr">
        <is>
          <t>nan</t>
        </is>
      </c>
      <c r="L1571" s="6">
        <f>HYPERLINK("https://fin.land.naver.com/articles/2651729266", "매물Link")</f>
        <v/>
      </c>
      <c r="M1571" s="6">
        <f>HYPERLINK("https://map.naver.com/p/search/연동면 내판리 556", "지도Link")</f>
        <v/>
      </c>
      <c r="N1571" s="6">
        <f>HYPERLINK("http://www.eum.go.kr/web/ar/lu/luLandDet.jsp?pnu=3611032021105560000&amp;isNoScr=script&amp;mode=search", "토지이음")</f>
        <v/>
      </c>
      <c r="O1571" s="3" t="inlineStr">
        <is>
          <t>세종땅전문</t>
        </is>
      </c>
      <c r="P1571" s="4" t="n">
        <v>1</v>
      </c>
      <c r="Q1571" s="4" t="n">
        <v>2169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내판리 572-1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12000</v>
      </c>
      <c r="G1572" s="4" t="n">
        <v>97</v>
      </c>
      <c r="H1572" s="4" t="n">
        <v>29</v>
      </c>
      <c r="I1572" s="5" t="n">
        <v>413.8</v>
      </c>
      <c r="J1572" s="5" t="n">
        <v>63.2</v>
      </c>
      <c r="K1572" s="3" t="inlineStr">
        <is>
          <t>세종시5생활권주변지역 위치좋은 매물</t>
        </is>
      </c>
      <c r="L1572" s="6">
        <f>HYPERLINK("https://fin.land.naver.com/articles/2654051858", "매물Link")</f>
        <v/>
      </c>
      <c r="M1572" s="6">
        <f>HYPERLINK("https://map.naver.com/p/search/연동면 내판리 572-1", "지도Link")</f>
        <v/>
      </c>
      <c r="N1572" s="6">
        <f>HYPERLINK("http://www.eum.go.kr/web/ar/lu/luLandDet.jsp?pnu=3611032021105720001&amp;isNoScr=script&amp;mode=search", "토지이음")</f>
        <v/>
      </c>
      <c r="O1572" s="3" t="inlineStr">
        <is>
          <t>대박</t>
        </is>
      </c>
      <c r="P1572" s="4" t="n">
        <v>1</v>
      </c>
      <c r="Q1572" s="4" t="n">
        <v>97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내판리 63-1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60000</v>
      </c>
      <c r="G1573" s="4" t="n">
        <v>640</v>
      </c>
      <c r="H1573" s="4" t="n">
        <v>194</v>
      </c>
      <c r="I1573" s="5" t="n">
        <v>309.3</v>
      </c>
      <c r="J1573" s="5" t="n">
        <v>71.5</v>
      </c>
      <c r="K1573" s="3" t="inlineStr">
        <is>
          <t>농업용창고있음.도로에 접해있는 땅으로 접근성 좋습니다.</t>
        </is>
      </c>
      <c r="L1573" s="6">
        <f>HYPERLINK("https://fin.land.naver.com/articles/2650744703", "매물Link")</f>
        <v/>
      </c>
      <c r="M1573" s="6">
        <f>HYPERLINK("https://map.naver.com/p/search/연동면 내판리 63-1", "지도Link")</f>
        <v/>
      </c>
      <c r="N1573" s="6">
        <f>HYPERLINK("http://www.eum.go.kr/web/ar/lu/luLandDet.jsp?pnu=3611032021100630001&amp;isNoScr=script&amp;mode=search", "토지이음")</f>
        <v/>
      </c>
      <c r="O1573" s="3" t="inlineStr">
        <is>
          <t>복수자이</t>
        </is>
      </c>
      <c r="P1573" s="4" t="n">
        <v>1</v>
      </c>
      <c r="Q1573" s="4" t="n">
        <v>640</v>
      </c>
      <c r="R1573" s="3" t="inlineStr">
        <is>
          <t>지정되지않음</t>
        </is>
      </c>
      <c r="S1573" s="3" t="inlineStr">
        <is>
          <t>답기타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64-1</t>
        </is>
      </c>
      <c r="B1574" s="3" t="inlineStr">
        <is>
          <t>계획관리지역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88000</v>
      </c>
      <c r="G1574" s="4" t="n">
        <v>1167</v>
      </c>
      <c r="H1574" s="4" t="n">
        <v>353</v>
      </c>
      <c r="I1574" s="5" t="n">
        <v>249.3</v>
      </c>
      <c r="J1574" s="5" t="n">
        <v>83.3</v>
      </c>
      <c r="K1574" s="3" t="inlineStr">
        <is>
          <t>급매, 계획관리지역,성장관리계획구역 도로접</t>
        </is>
      </c>
      <c r="L1574" s="6">
        <f>HYPERLINK("https://fin.land.naver.com/articles/2652592592", "매물Link")</f>
        <v/>
      </c>
      <c r="M1574" s="6">
        <f>HYPERLINK("https://map.naver.com/p/search/연동면 내판리 64-1", "지도Link")</f>
        <v/>
      </c>
      <c r="N1574" s="6">
        <f>HYPERLINK("http://www.eum.go.kr/web/ar/lu/luLandDet.jsp?pnu=3611032021100640001&amp;isNoScr=script&amp;mode=search", "토지이음")</f>
        <v/>
      </c>
      <c r="O1574" s="3" t="inlineStr">
        <is>
          <t>굿모닝한라</t>
        </is>
      </c>
      <c r="P1574" s="4" t="n">
        <v>1</v>
      </c>
      <c r="Q1574" s="4" t="n">
        <v>1167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내판리 65-1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145000</v>
      </c>
      <c r="G1575" s="4" t="n">
        <v>2635</v>
      </c>
      <c r="H1575" s="4" t="n">
        <v>797</v>
      </c>
      <c r="I1575" s="5" t="n">
        <v>181.9</v>
      </c>
      <c r="J1575" s="5" t="n">
        <v>83.3</v>
      </c>
      <c r="K1575" s="3" t="inlineStr">
        <is>
          <t>급매,계획관리구역,성장관리계획구역</t>
        </is>
      </c>
      <c r="L1575" s="6">
        <f>HYPERLINK("https://fin.land.naver.com/articles/2652592516", "매물Link")</f>
        <v/>
      </c>
      <c r="M1575" s="6">
        <f>HYPERLINK("https://map.naver.com/p/search/연동면 내판리 65-1", "지도Link")</f>
        <v/>
      </c>
      <c r="N1575" s="6">
        <f>HYPERLINK("http://www.eum.go.kr/web/ar/lu/luLandDet.jsp?pnu=3611032021100650001&amp;isNoScr=script&amp;mode=search", "토지이음")</f>
        <v/>
      </c>
      <c r="O1575" s="3" t="inlineStr">
        <is>
          <t>굿모닝한라</t>
        </is>
      </c>
      <c r="P1575" s="4" t="n">
        <v>1</v>
      </c>
      <c r="Q1575" s="4" t="n">
        <v>1468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연동면 내판리 산2</t>
        </is>
      </c>
      <c r="B1576" s="3" t="inlineStr">
        <is>
          <t>계획관리지역</t>
        </is>
      </c>
      <c r="C1576" s="3" t="inlineStr">
        <is>
          <t>임야</t>
        </is>
      </c>
      <c r="D1576" s="3" t="inlineStr">
        <is>
          <t>임야</t>
        </is>
      </c>
      <c r="E1576" s="3" t="inlineStr">
        <is>
          <t>매매</t>
        </is>
      </c>
      <c r="F1576" s="4" t="n">
        <v>100000</v>
      </c>
      <c r="G1576" s="4" t="n">
        <v>1587</v>
      </c>
      <c r="H1576" s="4" t="n">
        <v>480</v>
      </c>
      <c r="I1576" s="5" t="n">
        <v>208.3</v>
      </c>
      <c r="J1576" s="5" t="n">
        <v>36.2</v>
      </c>
      <c r="K1576" s="3" t="inlineStr">
        <is>
          <t>계획관리,도시계획도로접,지구단위계획구역,땅모양좋음,조정가</t>
        </is>
      </c>
      <c r="L1576" s="6">
        <f>HYPERLINK("https://fin.land.naver.com/articles/2650882718", "매물Link")</f>
        <v/>
      </c>
      <c r="M1576" s="6">
        <f>HYPERLINK("https://map.naver.com/p/search/연동면 내판리 산2", "지도Link")</f>
        <v/>
      </c>
      <c r="N1576" s="6">
        <f>HYPERLINK("http://www.eum.go.kr/web/ar/lu/luLandDet.jsp?pnu=3611032021200020000&amp;isNoScr=script&amp;mode=search", "토지이음")</f>
        <v/>
      </c>
      <c r="O1576" s="3" t="inlineStr">
        <is>
          <t>힐스테이트행복</t>
        </is>
      </c>
      <c r="P1576" s="4" t="n">
        <v>1</v>
      </c>
      <c r="Q1576" s="4" t="n">
        <v>1587</v>
      </c>
      <c r="R1576" s="3" t="inlineStr">
        <is>
          <t>지정되지않음</t>
        </is>
      </c>
      <c r="S1576" s="3" t="inlineStr">
        <is>
          <t>자연림</t>
        </is>
      </c>
      <c r="T1576" s="3" t="inlineStr">
        <is>
          <t>완경사</t>
        </is>
      </c>
      <c r="U1576" s="3" t="inlineStr">
        <is>
          <t>가로장방</t>
        </is>
      </c>
      <c r="V1576" s="3" t="inlineStr">
        <is>
          <t>세로각지(가)</t>
        </is>
      </c>
    </row>
    <row r="1577">
      <c r="A1577" s="3" t="inlineStr">
        <is>
          <t>연동면 노송리 221</t>
        </is>
      </c>
      <c r="B1577" s="3" t="inlineStr">
        <is>
          <t>계획관리지역</t>
        </is>
      </c>
      <c r="C1577" s="3" t="inlineStr"/>
      <c r="D1577" s="3" t="inlineStr">
        <is>
          <t>과수원</t>
        </is>
      </c>
      <c r="E1577" s="3" t="inlineStr">
        <is>
          <t>매매</t>
        </is>
      </c>
      <c r="F1577" s="4" t="n">
        <v>86000</v>
      </c>
      <c r="G1577" s="4" t="n">
        <v>2364</v>
      </c>
      <c r="H1577" s="4" t="n">
        <v>715</v>
      </c>
      <c r="I1577" s="5" t="n">
        <v>120.3</v>
      </c>
      <c r="J1577" s="5" t="n">
        <v>39.5</v>
      </c>
      <c r="K1577" s="3" t="inlineStr">
        <is>
          <t>연동면 노송리 저렴한 계획관리 토지, 도로접, 투자 추천</t>
        </is>
      </c>
      <c r="L1577" s="6">
        <f>HYPERLINK("https://fin.land.naver.com/articles/2654025020", "매물Link")</f>
        <v/>
      </c>
      <c r="M1577" s="6">
        <f>HYPERLINK("https://map.naver.com/p/search/연동면 노송리 221", "지도Link")</f>
        <v/>
      </c>
      <c r="N1577" s="6">
        <f>HYPERLINK("http://www.eum.go.kr/web/ar/lu/luLandDet.jsp?pnu=3611032025102210000&amp;isNoScr=script&amp;mode=search", "토지이음")</f>
        <v/>
      </c>
      <c r="O1577" s="3" t="inlineStr">
        <is>
          <t>스카이</t>
        </is>
      </c>
      <c r="P1577" s="4" t="n">
        <v>1</v>
      </c>
      <c r="Q1577" s="4" t="n">
        <v>0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연동면 노송리 234-1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17800</v>
      </c>
      <c r="G1578" s="4" t="n">
        <v>283</v>
      </c>
      <c r="H1578" s="4" t="n">
        <v>86</v>
      </c>
      <c r="I1578" s="5" t="n">
        <v>207</v>
      </c>
      <c r="J1578" s="5" t="n">
        <v>73.40000000000001</v>
      </c>
      <c r="K1578" s="3" t="inlineStr">
        <is>
          <t>nan</t>
        </is>
      </c>
      <c r="L1578" s="6">
        <f>HYPERLINK("https://fin.land.naver.com/articles/2653388757", "매물Link")</f>
        <v/>
      </c>
      <c r="M1578" s="6">
        <f>HYPERLINK("https://map.naver.com/p/search/연동면 노송리 234-1", "지도Link")</f>
        <v/>
      </c>
      <c r="N1578" s="6">
        <f>HYPERLINK("http://www.eum.go.kr/web/ar/lu/luLandDet.jsp?pnu=3611032025102340001&amp;isNoScr=script&amp;mode=search", "토지이음")</f>
        <v/>
      </c>
      <c r="O1578" s="3" t="inlineStr">
        <is>
          <t>다산</t>
        </is>
      </c>
      <c r="P1578" s="4" t="n">
        <v>2</v>
      </c>
      <c r="Q1578" s="4" t="n">
        <v>283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노송리 24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12600</v>
      </c>
      <c r="G1579" s="4" t="n">
        <v>417</v>
      </c>
      <c r="H1579" s="4" t="n">
        <v>126</v>
      </c>
      <c r="I1579" s="5" t="n">
        <v>100</v>
      </c>
      <c r="J1579" s="5" t="n">
        <v>65</v>
      </c>
      <c r="K1579" s="3" t="inlineStr">
        <is>
          <t>지대가 높아 남향으로 집을 지으면 조망이 좋은 계획관리지역의 대지입니다</t>
        </is>
      </c>
      <c r="L1579" s="6">
        <f>HYPERLINK("https://fin.land.naver.com/articles/2652192028", "매물Link")</f>
        <v/>
      </c>
      <c r="M1579" s="6">
        <f>HYPERLINK("https://map.naver.com/p/search/연동면 노송리 24", "지도Link")</f>
        <v/>
      </c>
      <c r="N1579" s="6">
        <f>HYPERLINK("http://www.eum.go.kr/web/ar/lu/luLandDet.jsp?pnu=3611032025100240000&amp;isNoScr=script&amp;mode=search", "토지이음")</f>
        <v/>
      </c>
      <c r="O1579" s="3" t="inlineStr">
        <is>
          <t>스마일세종</t>
        </is>
      </c>
      <c r="P1579" s="4" t="n">
        <v>1</v>
      </c>
      <c r="Q1579" s="4" t="n">
        <v>179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노송리 246-2</t>
        </is>
      </c>
      <c r="B1580" s="3" t="inlineStr">
        <is>
          <t>계획관리지역</t>
        </is>
      </c>
      <c r="C1580" s="3" t="inlineStr">
        <is>
          <t>과수원</t>
        </is>
      </c>
      <c r="D1580" s="3" t="inlineStr">
        <is>
          <t>전</t>
        </is>
      </c>
      <c r="E1580" s="3" t="inlineStr">
        <is>
          <t>매매</t>
        </is>
      </c>
      <c r="F1580" s="4" t="n">
        <v>92000</v>
      </c>
      <c r="G1580" s="4" t="n">
        <v>2034</v>
      </c>
      <c r="H1580" s="4" t="n">
        <v>615</v>
      </c>
      <c r="I1580" s="5" t="n">
        <v>149.6</v>
      </c>
      <c r="J1580" s="5" t="n">
        <v>46.3</v>
      </c>
      <c r="K1580" s="3" t="inlineStr">
        <is>
          <t>연접된 2필지 토지로 지목은 전, 과수원으로 구성됨</t>
        </is>
      </c>
      <c r="L1580" s="6">
        <f>HYPERLINK("https://fin.land.naver.com/articles/2650782555", "매물Link")</f>
        <v/>
      </c>
      <c r="M1580" s="6">
        <f>HYPERLINK("https://map.naver.com/p/search/연동면 노송리 246-2", "지도Link")</f>
        <v/>
      </c>
      <c r="N1580" s="6">
        <f>HYPERLINK("http://www.eum.go.kr/web/ar/lu/luLandDet.jsp?pnu=3611032025102460002&amp;isNoScr=script&amp;mode=search", "토지이음")</f>
        <v/>
      </c>
      <c r="O1580" s="3" t="inlineStr">
        <is>
          <t>탑</t>
        </is>
      </c>
      <c r="P1580" s="4" t="n">
        <v>1</v>
      </c>
      <c r="Q1580" s="4" t="n">
        <v>1090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노송리 275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39500</v>
      </c>
      <c r="G1581" s="4" t="n">
        <v>724</v>
      </c>
      <c r="H1581" s="4" t="n">
        <v>219</v>
      </c>
      <c r="I1581" s="5" t="n">
        <v>180.4</v>
      </c>
      <c r="J1581" s="5" t="n">
        <v>67.7</v>
      </c>
      <c r="K1581" s="3" t="inlineStr">
        <is>
          <t>매매가 조절가능,집 짓고 텃밭하기 좋은 땅</t>
        </is>
      </c>
      <c r="L1581" s="6">
        <f>HYPERLINK("https://fin.land.naver.com/articles/2651247824", "매물Link")</f>
        <v/>
      </c>
      <c r="M1581" s="6">
        <f>HYPERLINK("https://map.naver.com/p/search/연동면 노송리 275", "지도Link")</f>
        <v/>
      </c>
      <c r="N1581" s="6">
        <f>HYPERLINK("http://www.eum.go.kr/web/ar/lu/luLandDet.jsp?pnu=3611032025102750000&amp;isNoScr=script&amp;mode=search", "토지이음")</f>
        <v/>
      </c>
      <c r="O1581" s="3" t="inlineStr">
        <is>
          <t>엘리프단지내대표</t>
        </is>
      </c>
      <c r="P1581" s="4" t="n">
        <v>1</v>
      </c>
      <c r="Q1581" s="4" t="n">
        <v>724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세로한면(가)</t>
        </is>
      </c>
    </row>
    <row r="1582">
      <c r="A1582" s="3" t="inlineStr">
        <is>
          <t>연동면 노송리 28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180000</v>
      </c>
      <c r="G1582" s="4" t="n">
        <v>1001</v>
      </c>
      <c r="H1582" s="4" t="n">
        <v>303</v>
      </c>
      <c r="I1582" s="5" t="n">
        <v>594.1</v>
      </c>
      <c r="J1582" s="5" t="n">
        <v>68.90000000000001</v>
      </c>
      <c r="K1582" s="3" t="inlineStr">
        <is>
          <t>계획관리 자연취락지구 3필지일괄매각 분할매각도가능 가격절충가능</t>
        </is>
      </c>
      <c r="L1582" s="6">
        <f>HYPERLINK("https://fin.land.naver.com/articles/2651719062", "매물Link")</f>
        <v/>
      </c>
      <c r="M1582" s="6">
        <f>HYPERLINK("https://map.naver.com/p/search/연동면 노송리 28", "지도Link")</f>
        <v/>
      </c>
      <c r="N1582" s="6">
        <f>HYPERLINK("http://www.eum.go.kr/web/ar/lu/luLandDet.jsp?pnu=3611032025100280000&amp;isNoScr=script&amp;mode=search", "토지이음")</f>
        <v/>
      </c>
      <c r="O1582" s="3" t="inlineStr">
        <is>
          <t>레몬</t>
        </is>
      </c>
      <c r="P1582" s="4" t="n">
        <v>1</v>
      </c>
      <c r="Q1582" s="4" t="n">
        <v>1001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세로각지(가)</t>
        </is>
      </c>
    </row>
    <row r="1583">
      <c r="A1583" s="3" t="inlineStr">
        <is>
          <t>연동면 노송리 28-6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35000</v>
      </c>
      <c r="G1583" s="4" t="n">
        <v>465</v>
      </c>
      <c r="H1583" s="4" t="n">
        <v>141</v>
      </c>
      <c r="I1583" s="5" t="n">
        <v>248.2</v>
      </c>
      <c r="J1583" s="5" t="n">
        <v>68.40000000000001</v>
      </c>
      <c r="K1583" s="3" t="inlineStr">
        <is>
          <t>지목 대 계획관리 자연취락지구 진입도로있음</t>
        </is>
      </c>
      <c r="L1583" s="6">
        <f>HYPERLINK("https://fin.land.naver.com/articles/2651719061", "매물Link")</f>
        <v/>
      </c>
      <c r="M1583" s="6">
        <f>HYPERLINK("https://map.naver.com/p/search/연동면 노송리 28-6", "지도Link")</f>
        <v/>
      </c>
      <c r="N1583" s="6">
        <f>HYPERLINK("http://www.eum.go.kr/web/ar/lu/luLandDet.jsp?pnu=3611032025100280006&amp;isNoScr=script&amp;mode=search", "토지이음")</f>
        <v/>
      </c>
      <c r="O1583" s="3" t="inlineStr">
        <is>
          <t>레몬</t>
        </is>
      </c>
      <c r="P1583" s="4" t="n">
        <v>1</v>
      </c>
      <c r="Q1583" s="4" t="n">
        <v>465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노송리 28-6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35000</v>
      </c>
      <c r="G1584" s="4" t="n">
        <v>465</v>
      </c>
      <c r="H1584" s="4" t="n">
        <v>141</v>
      </c>
      <c r="I1584" s="5" t="n">
        <v>248.2</v>
      </c>
      <c r="J1584" s="5" t="n">
        <v>68.40000000000001</v>
      </c>
      <c r="K1584" s="3" t="inlineStr">
        <is>
          <t>바로 건축할수 있는 나대지,3미터 포장도로 진입가능</t>
        </is>
      </c>
      <c r="L1584" s="6">
        <f>HYPERLINK("https://fin.land.naver.com/articles/2653850563", "매물Link")</f>
        <v/>
      </c>
      <c r="M1584" s="6">
        <f>HYPERLINK("https://map.naver.com/p/search/연동면 노송리 28-6", "지도Link")</f>
        <v/>
      </c>
      <c r="N1584" s="6">
        <f>HYPERLINK("http://www.eum.go.kr/web/ar/lu/luLandDet.jsp?pnu=3611032025100280006&amp;isNoScr=script&amp;mode=search", "토지이음")</f>
        <v/>
      </c>
      <c r="O1584" s="3" t="inlineStr">
        <is>
          <t>보람최고</t>
        </is>
      </c>
      <c r="P1584" s="4" t="n">
        <v>2</v>
      </c>
      <c r="Q1584" s="4" t="n">
        <v>465</v>
      </c>
      <c r="R1584" s="3" t="inlineStr">
        <is>
          <t>지정되지않음</t>
        </is>
      </c>
      <c r="S1584" s="3" t="inlineStr">
        <is>
          <t>단독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연동면 노송리 302-1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162000</v>
      </c>
      <c r="G1585" s="4" t="n">
        <v>1983</v>
      </c>
      <c r="H1585" s="4" t="n">
        <v>600</v>
      </c>
      <c r="I1585" s="5" t="n">
        <v>270</v>
      </c>
      <c r="J1585" s="5" t="n">
        <v>13.9</v>
      </c>
      <c r="K1585" s="3" t="inlineStr">
        <is>
          <t>계획관리 투자용으로도 좋아요</t>
        </is>
      </c>
      <c r="L1585" s="6">
        <f>HYPERLINK("https://fin.land.naver.com/articles/2654181421", "매물Link")</f>
        <v/>
      </c>
      <c r="M1585" s="6">
        <f>HYPERLINK("https://map.naver.com/p/search/연동면 노송리 302-1", "지도Link")</f>
        <v/>
      </c>
      <c r="N1585" s="6">
        <f>HYPERLINK("http://www.eum.go.kr/web/ar/lu/luLandDet.jsp?pnu=3611032025103020001&amp;isNoScr=script&amp;mode=search",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30</v>
      </c>
      <c r="R1585" s="3" t="inlineStr">
        <is>
          <t>지정되지않음</t>
        </is>
      </c>
      <c r="S1585" s="3" t="inlineStr">
        <is>
          <t>도로등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지정되지않음</t>
        </is>
      </c>
    </row>
    <row r="1586">
      <c r="A1586" s="3" t="inlineStr">
        <is>
          <t>연동면 노송리 310-10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45000</v>
      </c>
      <c r="G1586" s="4" t="n">
        <v>616</v>
      </c>
      <c r="H1586" s="4" t="n">
        <v>186</v>
      </c>
      <c r="I1586" s="5" t="n">
        <v>241.9</v>
      </c>
      <c r="J1586" s="5" t="n">
        <v>18.9</v>
      </c>
      <c r="K1586" s="3" t="inlineStr">
        <is>
          <t>투자용으로 좋아요.</t>
        </is>
      </c>
      <c r="L1586" s="6">
        <f>HYPERLINK("https://fin.land.naver.com/articles/2650453793", "매물Link")</f>
        <v/>
      </c>
      <c r="M1586" s="6">
        <f>HYPERLINK("https://map.naver.com/p/search/연동면 노송리 310-10", "지도Link")</f>
        <v/>
      </c>
      <c r="N1586" s="6">
        <f>HYPERLINK("http://www.eum.go.kr/web/ar/lu/luLandDet.jsp?pnu=3611032025103100010&amp;isNoScr=script&amp;mode=search", "토지이음")</f>
        <v/>
      </c>
      <c r="O1586" s="3" t="inlineStr">
        <is>
          <t>고운동리치세종</t>
        </is>
      </c>
      <c r="P1586" s="4" t="n">
        <v>1</v>
      </c>
      <c r="Q1586" s="4" t="n">
        <v>616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연동면 노송리 327-2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133750</v>
      </c>
      <c r="G1587" s="4" t="n">
        <v>1507</v>
      </c>
      <c r="H1587" s="4" t="n">
        <v>456</v>
      </c>
      <c r="I1587" s="5" t="n">
        <v>293.3</v>
      </c>
      <c r="J1587" s="5" t="n">
        <v>45</v>
      </c>
      <c r="K1587" s="3" t="inlineStr">
        <is>
          <t>추천. 연동면 도로낀 계획관리</t>
        </is>
      </c>
      <c r="L1587" s="6">
        <f>HYPERLINK("https://fin.land.naver.com/articles/2651935386", "매물Link")</f>
        <v/>
      </c>
      <c r="M1587" s="6">
        <f>HYPERLINK("https://map.naver.com/p/search/연동면 노송리 327-2", "지도Link")</f>
        <v/>
      </c>
      <c r="N1587" s="6">
        <f>HYPERLINK("http://www.eum.go.kr/web/ar/lu/luLandDet.jsp?pnu=3611032025103270002&amp;isNoScr=script&amp;mode=search",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1507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연동면 노송리 329-5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23000</v>
      </c>
      <c r="G1588" s="4" t="n">
        <v>254</v>
      </c>
      <c r="H1588" s="4" t="n">
        <v>77</v>
      </c>
      <c r="I1588" s="5" t="n">
        <v>298.7</v>
      </c>
      <c r="J1588" s="5" t="n">
        <v>47.2</v>
      </c>
      <c r="K1588" s="3" t="inlineStr">
        <is>
          <t>2차선 도로에 접함, 건축허가 득함</t>
        </is>
      </c>
      <c r="L1588" s="6">
        <f>HYPERLINK("https://fin.land.naver.com/articles/2655523541", "매물Link")</f>
        <v/>
      </c>
      <c r="M1588" s="6">
        <f>HYPERLINK("https://map.naver.com/p/search/연동면 노송리 329-5", "지도Link")</f>
        <v/>
      </c>
      <c r="N1588" s="6">
        <f>HYPERLINK("http://www.eum.go.kr/web/ar/lu/luLandDet.jsp?pnu=3611032025103290005&amp;isNoScr=script&amp;mode=search", "토지이음")</f>
        <v/>
      </c>
      <c r="O1588" s="3" t="inlineStr">
        <is>
          <t>제이</t>
        </is>
      </c>
      <c r="P1588" s="4" t="n">
        <v>1</v>
      </c>
      <c r="Q1588" s="4" t="n">
        <v>254</v>
      </c>
      <c r="R1588" s="3" t="inlineStr">
        <is>
          <t>지정되지않음</t>
        </is>
      </c>
      <c r="S1588" s="3" t="inlineStr">
        <is>
          <t>과수원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소로한면</t>
        </is>
      </c>
    </row>
    <row r="1589">
      <c r="A1589" s="3" t="inlineStr">
        <is>
          <t>연동면 노송리 384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104400</v>
      </c>
      <c r="G1589" s="4" t="n">
        <v>2876</v>
      </c>
      <c r="H1589" s="4" t="n">
        <v>870</v>
      </c>
      <c r="I1589" s="5" t="n">
        <v>120</v>
      </c>
      <c r="J1589" s="5" t="n">
        <v>32.8</v>
      </c>
      <c r="K1589" s="3" t="inlineStr">
        <is>
          <t>연동면 노송리 계획관리 토지, 연동면 소재지 인근</t>
        </is>
      </c>
      <c r="L1589" s="6">
        <f>HYPERLINK("https://fin.land.naver.com/articles/2654025316", "매물Link")</f>
        <v/>
      </c>
      <c r="M1589" s="6">
        <f>HYPERLINK("https://map.naver.com/p/search/연동면 노송리 384", "지도Link")</f>
        <v/>
      </c>
      <c r="N1589" s="6">
        <f>HYPERLINK("http://www.eum.go.kr/web/ar/lu/luLandDet.jsp?pnu=3611032025103840000&amp;isNoScr=script&amp;mode=search",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2876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완경사</t>
        </is>
      </c>
      <c r="U1589" s="3" t="inlineStr">
        <is>
          <t>세로장방</t>
        </is>
      </c>
      <c r="V1589" s="3" t="inlineStr">
        <is>
          <t>맹지</t>
        </is>
      </c>
    </row>
    <row r="1590">
      <c r="A1590" s="3" t="inlineStr">
        <is>
          <t>연동면 노송리 449-1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85000</v>
      </c>
      <c r="G1590" s="4" t="n">
        <v>2320</v>
      </c>
      <c r="H1590" s="4" t="n">
        <v>702</v>
      </c>
      <c r="I1590" s="5" t="n">
        <v>121.1</v>
      </c>
      <c r="J1590" s="5" t="n">
        <v>34.4</v>
      </c>
      <c r="K1590" s="3" t="inlineStr">
        <is>
          <t>세종시 복합물류터미널 인근 2차선 국도변 계획관리 토지</t>
        </is>
      </c>
      <c r="L1590" s="6">
        <f>HYPERLINK("https://fin.land.naver.com/articles/2651339680", "매물Link")</f>
        <v/>
      </c>
      <c r="M1590" s="6">
        <f>HYPERLINK("https://map.naver.com/p/search/연동면 노송리 449-1", "지도Link")</f>
        <v/>
      </c>
      <c r="N1590" s="6">
        <f>HYPERLINK("http://www.eum.go.kr/web/ar/lu/luLandDet.jsp?pnu=3611032025104490001&amp;isNoScr=script&amp;mode=search", "토지이음")</f>
        <v/>
      </c>
      <c r="O1590" s="3" t="inlineStr">
        <is>
          <t>오송3산단  사무소</t>
        </is>
      </c>
      <c r="P1590" s="4" t="n">
        <v>1</v>
      </c>
      <c r="Q1590" s="4" t="n">
        <v>2320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노송리 50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150000</v>
      </c>
      <c r="G1591" s="4" t="n">
        <v>1982</v>
      </c>
      <c r="H1591" s="4" t="n">
        <v>600</v>
      </c>
      <c r="I1591" s="5" t="n">
        <v>250</v>
      </c>
      <c r="J1591" s="5" t="n">
        <v>53.2</v>
      </c>
      <c r="K1591" s="3" t="inlineStr">
        <is>
          <t>2차선도로접, 계획관리, 4거리변위치, 산단인근 매매가조절가능</t>
        </is>
      </c>
      <c r="L1591" s="6">
        <f>HYPERLINK("https://fin.land.naver.com/articles/2650857996", "매물Link")</f>
        <v/>
      </c>
      <c r="M1591" s="6">
        <f>HYPERLINK("https://map.naver.com/p/search/연동면 노송리 50", "지도Link")</f>
        <v/>
      </c>
      <c r="N1591" s="6">
        <f>HYPERLINK("http://www.eum.go.kr/web/ar/lu/luLandDet.jsp?pnu=3611032025100500000&amp;isNoScr=script&amp;mode=search", "토지이음")</f>
        <v/>
      </c>
      <c r="O1591" s="3" t="inlineStr">
        <is>
          <t>힐스테이트정문</t>
        </is>
      </c>
      <c r="P1591" s="4" t="n">
        <v>1</v>
      </c>
      <c r="Q1591" s="4" t="n">
        <v>1982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노송리 50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155000</v>
      </c>
      <c r="G1592" s="4" t="n">
        <v>1982</v>
      </c>
      <c r="H1592" s="4" t="n">
        <v>600</v>
      </c>
      <c r="I1592" s="5" t="n">
        <v>258.3</v>
      </c>
      <c r="J1592" s="5" t="n">
        <v>53.2</v>
      </c>
      <c r="K1592" s="3" t="inlineStr">
        <is>
          <t>nan</t>
        </is>
      </c>
      <c r="L1592" s="6">
        <f>HYPERLINK("https://fin.land.naver.com/articles/2653971157", "매물Link")</f>
        <v/>
      </c>
      <c r="M1592" s="6">
        <f>HYPERLINK("https://map.naver.com/p/search/연동면 노송리 50", "지도Link")</f>
        <v/>
      </c>
      <c r="N1592" s="6">
        <f>HYPERLINK("http://www.eum.go.kr/web/ar/lu/luLandDet.jsp?pnu=3611032025100500000&amp;isNoScr=script&amp;mode=search", "토지이음")</f>
        <v/>
      </c>
      <c r="O1592" s="3" t="inlineStr">
        <is>
          <t>노은역</t>
        </is>
      </c>
      <c r="P1592" s="4" t="n">
        <v>2</v>
      </c>
      <c r="Q1592" s="4" t="n">
        <v>1982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명학리 101-7</t>
        </is>
      </c>
      <c r="B1593" s="3" t="inlineStr">
        <is>
          <t>농림지역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500000</v>
      </c>
      <c r="G1593" s="4" t="n">
        <v>3700</v>
      </c>
      <c r="H1593" s="4" t="n">
        <v>1119</v>
      </c>
      <c r="I1593" s="5" t="n">
        <v>446.8</v>
      </c>
      <c r="J1593" s="5" t="n">
        <v>25.1</v>
      </c>
      <c r="K1593" s="3" t="inlineStr">
        <is>
          <t>nan</t>
        </is>
      </c>
      <c r="L1593" s="6">
        <f>HYPERLINK("https://fin.land.naver.com/articles/2652334541", "매물Link")</f>
        <v/>
      </c>
      <c r="M1593" s="6">
        <f>HYPERLINK("https://map.naver.com/p/search/연동면 명학리 101-7", "지도Link")</f>
        <v/>
      </c>
      <c r="N1593" s="6">
        <f>HYPERLINK("http://www.eum.go.kr/web/ar/lu/luLandDet.jsp?pnu=3611032023101010007&amp;isNoScr=script&amp;mode=search", "토지이음")</f>
        <v/>
      </c>
      <c r="O1593" s="3" t="inlineStr">
        <is>
          <t>세종몽땅</t>
        </is>
      </c>
      <c r="P1593" s="4" t="n">
        <v>1</v>
      </c>
      <c r="Q1593" s="4" t="n">
        <v>3700</v>
      </c>
      <c r="R1593" s="3" t="inlineStr">
        <is>
          <t>보전관리지역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연동면 명학리 101-7</t>
        </is>
      </c>
      <c r="B1594" s="3" t="inlineStr">
        <is>
          <t>농림지역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3700</v>
      </c>
      <c r="H1594" s="4" t="n">
        <v>1119</v>
      </c>
      <c r="I1594" s="5" t="n">
        <v>446.8</v>
      </c>
      <c r="J1594" s="5" t="n">
        <v>25.1</v>
      </c>
      <c r="K1594" s="3" t="inlineStr">
        <is>
          <t>분할매매가능 평지작업해줌 전원주택 카페최적</t>
        </is>
      </c>
      <c r="L1594" s="6">
        <f>HYPERLINK("https://fin.land.naver.com/articles/2653933714", "매물Link")</f>
        <v/>
      </c>
      <c r="M1594" s="6">
        <f>HYPERLINK("https://map.naver.com/p/search/연동면 명학리 101-7", "지도Link")</f>
        <v/>
      </c>
      <c r="N1594" s="6">
        <f>HYPERLINK("http://www.eum.go.kr/web/ar/lu/luLandDet.jsp?pnu=3611032023101010007&amp;isNoScr=script&amp;mode=search", "토지이음")</f>
        <v/>
      </c>
      <c r="O1594" s="3" t="inlineStr">
        <is>
          <t>신두정리치</t>
        </is>
      </c>
      <c r="P1594" s="4" t="n">
        <v>1</v>
      </c>
      <c r="Q1594" s="4" t="n">
        <v>3700</v>
      </c>
      <c r="R1594" s="3" t="inlineStr">
        <is>
          <t>보전관리지역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연동면 명학리 101-7</t>
        </is>
      </c>
      <c r="B1595" s="3" t="inlineStr">
        <is>
          <t>농림지역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3699</v>
      </c>
      <c r="H1595" s="4" t="n">
        <v>1119</v>
      </c>
      <c r="I1595" s="5" t="n">
        <v>446.8</v>
      </c>
      <c r="J1595" s="5" t="n">
        <v>25.1</v>
      </c>
      <c r="K1595" s="3" t="inlineStr">
        <is>
          <t>nan</t>
        </is>
      </c>
      <c r="L1595" s="6">
        <f>HYPERLINK("https://fin.land.naver.com/articles/2654934531", "매물Link")</f>
        <v/>
      </c>
      <c r="M1595" s="6">
        <f>HYPERLINK("https://map.naver.com/p/search/연동면 명학리 101-7", "지도Link")</f>
        <v/>
      </c>
      <c r="N1595" s="6">
        <f>HYPERLINK("http://www.eum.go.kr/web/ar/lu/luLandDet.jsp?pnu=3611032023101010007&amp;isNoScr=script&amp;mode=search", "토지이음")</f>
        <v/>
      </c>
      <c r="O1595" s="3" t="inlineStr">
        <is>
          <t>세종신한</t>
        </is>
      </c>
      <c r="P1595" s="4" t="n">
        <v>7</v>
      </c>
      <c r="Q1595" s="4" t="n">
        <v>3700</v>
      </c>
      <c r="R1595" s="3" t="inlineStr">
        <is>
          <t>보전관리지역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소로한면</t>
        </is>
      </c>
    </row>
    <row r="1596">
      <c r="A1596" s="3" t="inlineStr">
        <is>
          <t>연동면 명학리 104-7</t>
        </is>
      </c>
      <c r="B1596" s="3" t="inlineStr">
        <is>
          <t>농림지역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78400</v>
      </c>
      <c r="G1596" s="4" t="n">
        <v>3920</v>
      </c>
      <c r="H1596" s="4" t="n">
        <v>1186</v>
      </c>
      <c r="I1596" s="5" t="n">
        <v>66.09999999999999</v>
      </c>
      <c r="J1596" s="5" t="n">
        <v>4.9</v>
      </c>
      <c r="K1596" s="3" t="inlineStr">
        <is>
          <t>금강이 보이는 지대 높은 토지,맹지 탈출 할 수있도록 해드려요</t>
        </is>
      </c>
      <c r="L1596" s="6">
        <f>HYPERLINK("https://fin.land.naver.com/articles/2651262867", "매물Link")</f>
        <v/>
      </c>
      <c r="M1596" s="6">
        <f>HYPERLINK("https://map.naver.com/p/search/연동면 명학리 104-7", "지도Link")</f>
        <v/>
      </c>
      <c r="N1596" s="6">
        <f>HYPERLINK("http://www.eum.go.kr/web/ar/lu/luLandDet.jsp?pnu=3611032023101040007&amp;isNoScr=script&amp;mode=search", "토지이음")</f>
        <v/>
      </c>
      <c r="O1596" s="3" t="inlineStr">
        <is>
          <t>담뜰</t>
        </is>
      </c>
      <c r="P1596" s="4" t="n">
        <v>1</v>
      </c>
      <c r="Q1596" s="4" t="n">
        <v>3920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급경사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연동면 명학리 137</t>
        </is>
      </c>
      <c r="B1597" s="3" t="inlineStr">
        <is>
          <t>보전관리지역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64400</v>
      </c>
      <c r="G1597" s="4" t="n">
        <v>1121</v>
      </c>
      <c r="H1597" s="4" t="n">
        <v>339</v>
      </c>
      <c r="I1597" s="5" t="n">
        <v>190</v>
      </c>
      <c r="J1597" s="5" t="n">
        <v>35.5</v>
      </c>
      <c r="K1597" s="3" t="inlineStr">
        <is>
          <t>세종 연동면 명학리 보전관리지역 토지 매매</t>
        </is>
      </c>
      <c r="L1597" s="6">
        <f>HYPERLINK("https://fin.land.naver.com/articles/2655671814", "매물Link")</f>
        <v/>
      </c>
      <c r="M1597" s="6">
        <f>HYPERLINK("https://map.naver.com/p/search/연동면 명학리 137", "지도Link")</f>
        <v/>
      </c>
      <c r="N1597" s="6">
        <f>HYPERLINK("http://www.eum.go.kr/web/ar/lu/luLandDet.jsp?pnu=3611032023101370000&amp;isNoScr=script&amp;mode=search", "토지이음")</f>
        <v/>
      </c>
      <c r="O1597" s="3" t="inlineStr">
        <is>
          <t>세종몽땅</t>
        </is>
      </c>
      <c r="P1597" s="4" t="n">
        <v>1</v>
      </c>
      <c r="Q1597" s="4" t="n">
        <v>1121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맹지</t>
        </is>
      </c>
    </row>
    <row r="1598">
      <c r="A1598" s="3" t="inlineStr">
        <is>
          <t>연동면 명학리 137</t>
        </is>
      </c>
      <c r="B1598" s="3" t="inlineStr">
        <is>
          <t>보전관리지역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29700</v>
      </c>
      <c r="G1598" s="4" t="n">
        <v>1121</v>
      </c>
      <c r="H1598" s="4" t="n">
        <v>339</v>
      </c>
      <c r="I1598" s="5" t="n">
        <v>87.59999999999999</v>
      </c>
      <c r="J1598" s="5" t="n">
        <v>35.5</v>
      </c>
      <c r="K1598" s="3" t="inlineStr">
        <is>
          <t>세종시 연동면 명학리 소형 토지 매매</t>
        </is>
      </c>
      <c r="L1598" s="6">
        <f>HYPERLINK("https://fin.land.naver.com/articles/2655172489", "매물Link")</f>
        <v/>
      </c>
      <c r="M1598" s="6">
        <f>HYPERLINK("https://map.naver.com/p/search/연동면 명학리 137", "지도Link")</f>
        <v/>
      </c>
      <c r="N1598" s="6">
        <f>HYPERLINK("http://www.eum.go.kr/web/ar/lu/luLandDet.jsp?pnu=3611032023101370000&amp;isNoScr=script&amp;mode=search", "토지이음")</f>
        <v/>
      </c>
      <c r="O1598" s="3" t="inlineStr">
        <is>
          <t>하이엔드</t>
        </is>
      </c>
      <c r="P1598" s="4" t="n">
        <v>1</v>
      </c>
      <c r="Q1598" s="4" t="n">
        <v>1121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맹지</t>
        </is>
      </c>
    </row>
    <row r="1599">
      <c r="A1599" s="3" t="inlineStr">
        <is>
          <t>연동면 명학리 148-3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45000</v>
      </c>
      <c r="G1599" s="4" t="n">
        <v>365</v>
      </c>
      <c r="H1599" s="4" t="n">
        <v>110</v>
      </c>
      <c r="I1599" s="5" t="n">
        <v>409.1</v>
      </c>
      <c r="J1599" s="5" t="n">
        <v>113.6</v>
      </c>
      <c r="K1599" s="3" t="inlineStr">
        <is>
          <t>2차선 도로변에 있는 대지로 활용도 높음, 5생활권 초인접 투자로 추천</t>
        </is>
      </c>
      <c r="L1599" s="6">
        <f>HYPERLINK("https://fin.land.naver.com/articles/2650976147", "매물Link")</f>
        <v/>
      </c>
      <c r="M1599" s="6">
        <f>HYPERLINK("https://map.naver.com/p/search/연동면 명학리 148-3", "지도Link")</f>
        <v/>
      </c>
      <c r="N1599" s="6">
        <f>HYPERLINK("http://www.eum.go.kr/web/ar/lu/luLandDet.jsp?pnu=3611032023101480003&amp;isNoScr=script&amp;mode=search", "토지이음")</f>
        <v/>
      </c>
      <c r="O1599" s="3" t="inlineStr">
        <is>
          <t>샘머리랜드</t>
        </is>
      </c>
      <c r="P1599" s="4" t="n">
        <v>1</v>
      </c>
      <c r="Q1599" s="4" t="n">
        <v>365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연동면 명학리 195-3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173000</v>
      </c>
      <c r="G1600" s="4" t="n">
        <v>1636</v>
      </c>
      <c r="H1600" s="4" t="n">
        <v>495</v>
      </c>
      <c r="I1600" s="5" t="n">
        <v>349.5</v>
      </c>
      <c r="J1600" s="5" t="n">
        <v>75.90000000000001</v>
      </c>
      <c r="K1600" s="3" t="inlineStr">
        <is>
          <t>도로변 계획관리 토지 매매</t>
        </is>
      </c>
      <c r="L1600" s="6">
        <f>HYPERLINK("https://fin.land.naver.com/articles/2652668223", "매물Link")</f>
        <v/>
      </c>
      <c r="M1600" s="6">
        <f>HYPERLINK("https://map.naver.com/p/search/연동면 명학리 195-3", "지도Link")</f>
        <v/>
      </c>
      <c r="N1600" s="6">
        <f>HYPERLINK("http://www.eum.go.kr/web/ar/lu/luLandDet.jsp?pnu=3611032023101950003&amp;isNoScr=script&amp;mode=search", "토지이음")</f>
        <v/>
      </c>
      <c r="O1600" s="3" t="inlineStr">
        <is>
          <t>(주)정민근</t>
        </is>
      </c>
      <c r="P1600" s="4" t="n">
        <v>1</v>
      </c>
      <c r="Q1600" s="4" t="n">
        <v>1636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연동면 명학리 220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446</v>
      </c>
      <c r="H1601" s="4" t="n">
        <v>135</v>
      </c>
      <c r="I1601" s="5" t="n">
        <v>370.4</v>
      </c>
      <c r="J1601" s="5" t="n">
        <v>98.7</v>
      </c>
      <c r="K1601" s="3" t="inlineStr">
        <is>
          <t>딱좋은면적 135P 취락지구마을내토지 도로변넓음</t>
        </is>
      </c>
      <c r="L1601" s="6">
        <f>HYPERLINK("https://fin.land.naver.com/articles/2653316551", "매물Link")</f>
        <v/>
      </c>
      <c r="M1601" s="6">
        <f>HYPERLINK("https://map.naver.com/p/search/연동면 명학리 220", "지도Link")</f>
        <v/>
      </c>
      <c r="N1601" s="6">
        <f>HYPERLINK("http://www.eum.go.kr/web/ar/lu/luLandDet.jsp?pnu=3611032023102200000&amp;isNoScr=script&amp;mode=search", "토지이음")</f>
        <v/>
      </c>
      <c r="O1601" s="3" t="inlineStr">
        <is>
          <t>세종365</t>
        </is>
      </c>
      <c r="P1601" s="4" t="n">
        <v>1</v>
      </c>
      <c r="Q1601" s="4" t="n">
        <v>446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명학리 221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38000</v>
      </c>
      <c r="G1602" s="4" t="n">
        <v>614</v>
      </c>
      <c r="H1602" s="4" t="n">
        <v>186</v>
      </c>
      <c r="I1602" s="5" t="n">
        <v>204.3</v>
      </c>
      <c r="J1602" s="5" t="n">
        <v>102.5</v>
      </c>
      <c r="K1602" s="3" t="inlineStr">
        <is>
          <t>나대지로 공기좋고 전원주택지 최상입니다</t>
        </is>
      </c>
      <c r="L1602" s="6">
        <f>HYPERLINK("https://fin.land.naver.com/articles/2650466748", "매물Link")</f>
        <v/>
      </c>
      <c r="M1602" s="6">
        <f>HYPERLINK("https://map.naver.com/p/search/연동면 명학리 221", "지도Link")</f>
        <v/>
      </c>
      <c r="N1602" s="6">
        <f>HYPERLINK("http://www.eum.go.kr/web/ar/lu/luLandDet.jsp?pnu=3611032023102210000&amp;isNoScr=script&amp;mode=search", "토지이음")</f>
        <v/>
      </c>
      <c r="O1602" s="3" t="inlineStr">
        <is>
          <t>청정</t>
        </is>
      </c>
      <c r="P1602" s="4" t="n">
        <v>1</v>
      </c>
      <c r="Q1602" s="4" t="n">
        <v>616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연동면 명학리 301-1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450000</v>
      </c>
      <c r="G1603" s="4" t="n">
        <v>9882</v>
      </c>
      <c r="H1603" s="4" t="n">
        <v>2989</v>
      </c>
      <c r="I1603" s="5" t="n">
        <v>150.6</v>
      </c>
      <c r="J1603" s="5" t="n">
        <v>59.1</v>
      </c>
      <c r="K1603" s="3" t="inlineStr">
        <is>
          <t>2차선에서 도로확보하여 사업부지로 추천</t>
        </is>
      </c>
      <c r="L1603" s="6">
        <f>HYPERLINK("https://fin.land.naver.com/articles/2651037490", "매물Link")</f>
        <v/>
      </c>
      <c r="M1603" s="6">
        <f>HYPERLINK("https://map.naver.com/p/search/연동면 명학리 301-1", "지도Link")</f>
        <v/>
      </c>
      <c r="N1603" s="6">
        <f>HYPERLINK("http://www.eum.go.kr/web/ar/lu/luLandDet.jsp?pnu=3611032023103010001&amp;isNoScr=script&amp;mode=search", "토지이음")</f>
        <v/>
      </c>
      <c r="O1603" s="3" t="inlineStr">
        <is>
          <t>연동스카이</t>
        </is>
      </c>
      <c r="P1603" s="4" t="n">
        <v>1</v>
      </c>
      <c r="Q1603" s="4" t="n">
        <v>2645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맹지</t>
        </is>
      </c>
    </row>
    <row r="1604">
      <c r="A1604" s="3" t="inlineStr">
        <is>
          <t>연동면 명학리 307-1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21400</v>
      </c>
      <c r="G1604" s="4" t="n">
        <v>236</v>
      </c>
      <c r="H1604" s="4" t="n">
        <v>71</v>
      </c>
      <c r="I1604" s="5" t="n">
        <v>301.4</v>
      </c>
      <c r="J1604" s="5" t="n">
        <v>98.7</v>
      </c>
      <c r="K1604" s="3" t="inlineStr">
        <is>
          <t>세종5생활권연접된 소형토지매매21,400만원</t>
        </is>
      </c>
      <c r="L1604" s="6">
        <f>HYPERLINK("https://fin.land.naver.com/articles/2654051707", "매물Link")</f>
        <v/>
      </c>
      <c r="M1604" s="6">
        <f>HYPERLINK("https://map.naver.com/p/search/연동면 명학리 307-1", "지도Link")</f>
        <v/>
      </c>
      <c r="N1604" s="6">
        <f>HYPERLINK("http://www.eum.go.kr/web/ar/lu/luLandDet.jsp?pnu=3611032023103070001&amp;isNoScr=script&amp;mode=search", "토지이음")</f>
        <v/>
      </c>
      <c r="O1604" s="3" t="inlineStr">
        <is>
          <t>대박</t>
        </is>
      </c>
      <c r="P1604" s="4" t="n">
        <v>1</v>
      </c>
      <c r="Q1604" s="4" t="n">
        <v>236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세로한면(가)</t>
        </is>
      </c>
    </row>
    <row r="1605">
      <c r="A1605" s="3" t="inlineStr">
        <is>
          <t>연동면 명학리 363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30000</v>
      </c>
      <c r="G1605" s="4" t="n">
        <v>746</v>
      </c>
      <c r="H1605" s="4" t="n">
        <v>226</v>
      </c>
      <c r="I1605" s="5" t="n">
        <v>132.7</v>
      </c>
      <c r="J1605" s="5" t="n">
        <v>45.2</v>
      </c>
      <c r="K1605" s="3" t="inlineStr">
        <is>
          <t>도로 인접, 단독주택</t>
        </is>
      </c>
      <c r="L1605" s="6">
        <f>HYPERLINK("https://fin.land.naver.com/articles/2655112552", "매물Link")</f>
        <v/>
      </c>
      <c r="M1605" s="6">
        <f>HYPERLINK("https://map.naver.com/p/search/연동면 명학리 363", "지도Link")</f>
        <v/>
      </c>
      <c r="N1605" s="6">
        <f>HYPERLINK("http://www.eum.go.kr/web/ar/lu/luLandDet.jsp?pnu=3611032023103630000&amp;isNoScr=script&amp;mode=search", "토지이음")</f>
        <v/>
      </c>
      <c r="O1605" s="3" t="inlineStr">
        <is>
          <t>세종제일1</t>
        </is>
      </c>
      <c r="P1605" s="4" t="n">
        <v>2</v>
      </c>
      <c r="Q1605" s="4" t="n">
        <v>746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명학리 376-3</t>
        </is>
      </c>
      <c r="B1606" s="3" t="inlineStr">
        <is>
          <t>계획관리지역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14000</v>
      </c>
      <c r="G1606" s="4" t="n">
        <v>1155</v>
      </c>
      <c r="H1606" s="4" t="n">
        <v>349</v>
      </c>
      <c r="I1606" s="5" t="n">
        <v>40.1</v>
      </c>
      <c r="J1606" s="5" t="n">
        <v>45.2</v>
      </c>
      <c r="K1606" s="3" t="inlineStr">
        <is>
          <t>연동면 명학리 계획관리 토지, 5생활권 인근, 공시지가 이하, 급매</t>
        </is>
      </c>
      <c r="L1606" s="6">
        <f>HYPERLINK("https://fin.land.naver.com/articles/2654026966", "매물Link")</f>
        <v/>
      </c>
      <c r="M1606" s="6">
        <f>HYPERLINK("https://map.naver.com/p/search/연동면 명학리 376-3", "지도Link")</f>
        <v/>
      </c>
      <c r="N1606" s="6">
        <f>HYPERLINK("http://www.eum.go.kr/web/ar/lu/luLandDet.jsp?pnu=3611032023103760003&amp;isNoScr=script&amp;mode=search",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1155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맹지</t>
        </is>
      </c>
    </row>
    <row r="1607">
      <c r="A1607" s="3" t="inlineStr">
        <is>
          <t>연동면 명학리 383-8</t>
        </is>
      </c>
      <c r="B1607" s="3" t="inlineStr">
        <is>
          <t>보전관리지역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52000</v>
      </c>
      <c r="G1607" s="4" t="n">
        <v>655</v>
      </c>
      <c r="H1607" s="4" t="n">
        <v>198</v>
      </c>
      <c r="I1607" s="5" t="n">
        <v>262.6</v>
      </c>
      <c r="J1607" s="5" t="n">
        <v>13</v>
      </c>
      <c r="K1607" s="3" t="inlineStr">
        <is>
          <t>세종 연동면 임야 매매｜보전관리지역준보전산지</t>
        </is>
      </c>
      <c r="L1607" s="6">
        <f>HYPERLINK("https://fin.land.naver.com/articles/2654213164", "매물Link")</f>
        <v/>
      </c>
      <c r="M1607" s="6">
        <f>HYPERLINK("https://map.naver.com/p/search/연동면 명학리 383-8", "지도Link")</f>
        <v/>
      </c>
      <c r="N1607" s="6">
        <f>HYPERLINK("http://www.eum.go.kr/web/ar/lu/luLandDet.jsp?pnu=3611032023103830008&amp;isNoScr=script&amp;mode=search", "토지이음")</f>
        <v/>
      </c>
      <c r="O1607" s="3" t="inlineStr">
        <is>
          <t>세종몽땅</t>
        </is>
      </c>
      <c r="P1607" s="4" t="n">
        <v>1</v>
      </c>
      <c r="Q1607" s="4" t="n">
        <v>655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명학리 384-27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매매</t>
        </is>
      </c>
      <c r="F1608" s="4" t="n">
        <v>150000</v>
      </c>
      <c r="G1608" s="4" t="n">
        <v>1653</v>
      </c>
      <c r="H1608" s="4" t="n">
        <v>500</v>
      </c>
      <c r="I1608" s="5" t="n">
        <v>300</v>
      </c>
      <c r="J1608" s="5" t="n">
        <v>17.1</v>
      </c>
      <c r="K1608" s="3" t="inlineStr">
        <is>
          <t>51생활권 인근 근생추천용지. 도로접. 카페, 음식점 등</t>
        </is>
      </c>
      <c r="L1608" s="6">
        <f>HYPERLINK("https://fin.land.naver.com/articles/2652028259", "매물Link")</f>
        <v/>
      </c>
      <c r="M1608" s="6">
        <f>HYPERLINK("https://map.naver.com/p/search/연동면 명학리 384-27", "지도Link")</f>
        <v/>
      </c>
      <c r="N1608" s="6">
        <f>HYPERLINK("http://www.eum.go.kr/web/ar/lu/luLandDet.jsp?pnu=3611032023103840027&amp;isNoScr=script&amp;mode=search", "토지이음")</f>
        <v/>
      </c>
      <c r="O1608" s="3" t="inlineStr">
        <is>
          <t>미스터홈즈강남지사</t>
        </is>
      </c>
      <c r="P1608" s="4" t="n">
        <v>1</v>
      </c>
      <c r="Q1608" s="4" t="n">
        <v>1653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명학리 385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82460</v>
      </c>
      <c r="G1609" s="4" t="n">
        <v>720</v>
      </c>
      <c r="H1609" s="4" t="n">
        <v>218</v>
      </c>
      <c r="I1609" s="5" t="n">
        <v>378.3</v>
      </c>
      <c r="J1609" s="5" t="n">
        <v>52.8</v>
      </c>
      <c r="K1609" s="3" t="inlineStr">
        <is>
          <t>명성공인, 명학리 계획관리지역 추천 매물</t>
        </is>
      </c>
      <c r="L1609" s="6">
        <f>HYPERLINK("https://fin.land.naver.com/articles/2653839501", "매물Link")</f>
        <v/>
      </c>
      <c r="M1609" s="6">
        <f>HYPERLINK("https://map.naver.com/p/search/연동면 명학리 385", "지도Link")</f>
        <v/>
      </c>
      <c r="N1609" s="6">
        <f>HYPERLINK("http://www.eum.go.kr/web/ar/lu/luLandDet.jsp?pnu=3611032023103850000&amp;isNoScr=script&amp;mode=search", "토지이음")</f>
        <v/>
      </c>
      <c r="O1609" s="3" t="inlineStr">
        <is>
          <t>명성</t>
        </is>
      </c>
      <c r="P1609" s="4" t="n">
        <v>1</v>
      </c>
      <c r="Q1609" s="4" t="n">
        <v>720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완경사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명학리 385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71900</v>
      </c>
      <c r="G1610" s="4" t="n">
        <v>720</v>
      </c>
      <c r="H1610" s="4" t="n">
        <v>218</v>
      </c>
      <c r="I1610" s="5" t="n">
        <v>329.8</v>
      </c>
      <c r="J1610" s="5" t="n">
        <v>52.8</v>
      </c>
      <c r="K1610" s="3" t="inlineStr">
        <is>
          <t>nan</t>
        </is>
      </c>
      <c r="L1610" s="6">
        <f>HYPERLINK("https://fin.land.naver.com/articles/2653390968", "매물Link")</f>
        <v/>
      </c>
      <c r="M1610" s="6">
        <f>HYPERLINK("https://map.naver.com/p/search/연동면 명학리 385", "지도Link")</f>
        <v/>
      </c>
      <c r="N1610" s="6">
        <f>HYPERLINK("http://www.eum.go.kr/web/ar/lu/luLandDet.jsp?pnu=3611032023103850000&amp;isNoScr=script&amp;mode=search",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720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명학리 389-2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27000</v>
      </c>
      <c r="G1611" s="4" t="n">
        <v>541</v>
      </c>
      <c r="H1611" s="4" t="n">
        <v>164</v>
      </c>
      <c r="I1611" s="5" t="n">
        <v>164.6</v>
      </c>
      <c r="J1611" s="5" t="n">
        <v>35.6</v>
      </c>
      <c r="K1611" s="3" t="inlineStr">
        <is>
          <t>명학리 위치좋고 앞으로 지가 상승이 예상되는 곳 저렴하게 매매</t>
        </is>
      </c>
      <c r="L1611" s="6">
        <f>HYPERLINK("https://fin.land.naver.com/articles/2650887541", "매물Link")</f>
        <v/>
      </c>
      <c r="M1611" s="6">
        <f>HYPERLINK("https://map.naver.com/p/search/연동면 명학리 389-2", "지도Link")</f>
        <v/>
      </c>
      <c r="N1611" s="6">
        <f>HYPERLINK("http://www.eum.go.kr/web/ar/lu/luLandDet.jsp?pnu=3611032023103890002&amp;isNoScr=script&amp;mode=search", "토지이음")</f>
        <v/>
      </c>
      <c r="O1611" s="3" t="inlineStr">
        <is>
          <t>효성해링턴오복</t>
        </is>
      </c>
      <c r="P1611" s="4" t="n">
        <v>1</v>
      </c>
      <c r="Q1611" s="4" t="n">
        <v>541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맹지</t>
        </is>
      </c>
    </row>
    <row r="1612">
      <c r="A1612" s="3" t="inlineStr">
        <is>
          <t>연동면 명학리 391-12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30000</v>
      </c>
      <c r="G1612" s="4" t="n">
        <v>422</v>
      </c>
      <c r="H1612" s="4" t="n">
        <v>128</v>
      </c>
      <c r="I1612" s="5" t="n">
        <v>234.4</v>
      </c>
      <c r="J1612" s="5" t="n">
        <v>50.2</v>
      </c>
      <c r="K1612" s="3" t="inlineStr">
        <is>
          <t>소형토지 전원주택지 도로접 남향</t>
        </is>
      </c>
      <c r="L1612" s="6">
        <f>HYPERLINK("https://fin.land.naver.com/articles/2650350524", "매물Link")</f>
        <v/>
      </c>
      <c r="M1612" s="6">
        <f>HYPERLINK("https://map.naver.com/p/search/연동면 명학리 391-12", "지도Link")</f>
        <v/>
      </c>
      <c r="N1612" s="6">
        <f>HYPERLINK("http://www.eum.go.kr/web/ar/lu/luLandDet.jsp?pnu=3611032023103910012&amp;isNoScr=script&amp;mode=search", "토지이음")</f>
        <v/>
      </c>
      <c r="O1612" s="3" t="inlineStr">
        <is>
          <t>봄봄</t>
        </is>
      </c>
      <c r="P1612" s="4" t="n">
        <v>1</v>
      </c>
      <c r="Q1612" s="4" t="n">
        <v>422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명학리 705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49000</v>
      </c>
      <c r="G1613" s="4" t="n">
        <v>1076</v>
      </c>
      <c r="H1613" s="4" t="n">
        <v>325</v>
      </c>
      <c r="I1613" s="5" t="n">
        <v>150.8</v>
      </c>
      <c r="J1613" s="5" t="n">
        <v>30.1</v>
      </c>
      <c r="K1613" s="3" t="inlineStr">
        <is>
          <t>세종시 연동면 명학리 명학산업단지 인근 농지</t>
        </is>
      </c>
      <c r="L1613" s="6">
        <f>HYPERLINK("https://fin.land.naver.com/articles/2655171375", "매물Link")</f>
        <v/>
      </c>
      <c r="M1613" s="6">
        <f>HYPERLINK("https://map.naver.com/p/search/연동면 명학리 705", "지도Link")</f>
        <v/>
      </c>
      <c r="N1613" s="6">
        <f>HYPERLINK("http://www.eum.go.kr/web/ar/lu/luLandDet.jsp?pnu=3611032023107050000&amp;isNoScr=script&amp;mode=search",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1076.6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명학리 844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20000</v>
      </c>
      <c r="G1614" s="4" t="n">
        <v>1319</v>
      </c>
      <c r="H1614" s="4" t="n">
        <v>399</v>
      </c>
      <c r="I1614" s="5" t="n">
        <v>50.1</v>
      </c>
      <c r="J1614" s="5" t="n">
        <v>28.5</v>
      </c>
      <c r="K1614" s="3" t="inlineStr">
        <is>
          <t>nan</t>
        </is>
      </c>
      <c r="L1614" s="6">
        <f>HYPERLINK("https://fin.land.naver.com/articles/2651581324", "매물Link")</f>
        <v/>
      </c>
      <c r="M1614" s="6">
        <f>HYPERLINK("https://map.naver.com/p/search/연동면 명학리 844", "지도Link")</f>
        <v/>
      </c>
      <c r="N1614" s="6">
        <f>HYPERLINK("http://www.eum.go.kr/web/ar/lu/luLandDet.jsp?pnu=3611032023108440000&amp;isNoScr=script&amp;mode=search",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1319.4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명학리 844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20000</v>
      </c>
      <c r="G1615" s="4" t="n">
        <v>1319</v>
      </c>
      <c r="H1615" s="4" t="n">
        <v>399</v>
      </c>
      <c r="I1615" s="5" t="n">
        <v>50.1</v>
      </c>
      <c r="J1615" s="5" t="n">
        <v>28.5</v>
      </c>
      <c r="K1615" s="3" t="inlineStr">
        <is>
          <t>부강역 생활권 평탄 농지, 자경 및 주말농장 검토 적합</t>
        </is>
      </c>
      <c r="L1615" s="6">
        <f>HYPERLINK("https://fin.land.naver.com/articles/2650905086", "매물Link")</f>
        <v/>
      </c>
      <c r="M1615" s="6">
        <f>HYPERLINK("https://map.naver.com/p/search/연동면 명학리 844", "지도Link")</f>
        <v/>
      </c>
      <c r="N1615" s="6">
        <f>HYPERLINK("http://www.eum.go.kr/web/ar/lu/luLandDet.jsp?pnu=3611032023108440000&amp;isNoScr=script&amp;mode=search",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1319.4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명학리 844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20000</v>
      </c>
      <c r="G1616" s="4" t="n">
        <v>1319</v>
      </c>
      <c r="H1616" s="4" t="n">
        <v>399</v>
      </c>
      <c r="I1616" s="5" t="n">
        <v>50.1</v>
      </c>
      <c r="J1616" s="5" t="n">
        <v>28.5</v>
      </c>
      <c r="K1616" s="3" t="inlineStr">
        <is>
          <t>nan</t>
        </is>
      </c>
      <c r="L1616" s="6">
        <f>HYPERLINK("https://fin.land.naver.com/articles/2653598595", "매물Link")</f>
        <v/>
      </c>
      <c r="M1616" s="6">
        <f>HYPERLINK("https://map.naver.com/p/search/연동면 명학리 844", "지도Link")</f>
        <v/>
      </c>
      <c r="N1616" s="6">
        <f>HYPERLINK("http://www.eum.go.kr/web/ar/lu/luLandDet.jsp?pnu=3611032023108440000&amp;isNoScr=script&amp;mode=search", "토지이음")</f>
        <v/>
      </c>
      <c r="O1616" s="3" t="inlineStr">
        <is>
          <t>THE동아</t>
        </is>
      </c>
      <c r="P1616" s="4" t="n">
        <v>1</v>
      </c>
      <c r="Q1616" s="4" t="n">
        <v>1319.4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명학리 93-4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110000</v>
      </c>
      <c r="G1617" s="4" t="n">
        <v>3819</v>
      </c>
      <c r="H1617" s="4" t="n">
        <v>1155</v>
      </c>
      <c r="I1617" s="5" t="n">
        <v>95.2</v>
      </c>
      <c r="J1617" s="5" t="n">
        <v>56.3</v>
      </c>
      <c r="K1617" s="3" t="inlineStr">
        <is>
          <t>계획관리 전. 3필지입니다. 현재 전으로 사용 중</t>
        </is>
      </c>
      <c r="L1617" s="6">
        <f>HYPERLINK("https://fin.land.naver.com/articles/2654233392", "매물Link")</f>
        <v/>
      </c>
      <c r="M1617" s="6">
        <f>HYPERLINK("https://map.naver.com/p/search/연동면 명학리 93-4", "지도Link")</f>
        <v/>
      </c>
      <c r="N1617" s="6">
        <f>HYPERLINK("http://www.eum.go.kr/web/ar/lu/luLandDet.jsp?pnu=3611032023100930004&amp;isNoScr=script&amp;mode=search", "토지이음")</f>
        <v/>
      </c>
      <c r="O1617" s="3" t="inlineStr">
        <is>
          <t>미스터홈즈강남지사</t>
        </is>
      </c>
      <c r="P1617" s="4" t="n">
        <v>1</v>
      </c>
      <c r="Q1617" s="4" t="n">
        <v>1865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명학리 955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35000</v>
      </c>
      <c r="G1618" s="4" t="n">
        <v>1517</v>
      </c>
      <c r="H1618" s="4" t="n">
        <v>459</v>
      </c>
      <c r="I1618" s="5" t="n">
        <v>76.3</v>
      </c>
      <c r="J1618" s="5" t="n">
        <v>24.3</v>
      </c>
      <c r="K1618" s="3" t="inlineStr">
        <is>
          <t>nan</t>
        </is>
      </c>
      <c r="L1618" s="6">
        <f>HYPERLINK("https://fin.land.naver.com/articles/2650459668", "매물Link")</f>
        <v/>
      </c>
      <c r="M1618" s="6">
        <f>HYPERLINK("https://map.naver.com/p/search/연동면 명학리 955", "지도Link")</f>
        <v/>
      </c>
      <c r="N1618" s="6">
        <f>HYPERLINK("http://www.eum.go.kr/web/ar/lu/luLandDet.jsp?pnu=3611032023109550000&amp;isNoScr=script&amp;mode=search", "토지이음")</f>
        <v/>
      </c>
      <c r="O1618" s="3" t="inlineStr">
        <is>
          <t>청정</t>
        </is>
      </c>
      <c r="P1618" s="4" t="n">
        <v>1</v>
      </c>
      <c r="Q1618" s="4" t="n">
        <v>1516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세로한면(가)</t>
        </is>
      </c>
    </row>
    <row r="1619">
      <c r="A1619" s="3" t="inlineStr">
        <is>
          <t>연동면 명학리 산22-1</t>
        </is>
      </c>
      <c r="B1619" s="3" t="inlineStr">
        <is>
          <t>보전관리지역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750000</v>
      </c>
      <c r="G1619" s="4" t="n">
        <v>21089</v>
      </c>
      <c r="H1619" s="4" t="n">
        <v>6379</v>
      </c>
      <c r="I1619" s="5" t="n">
        <v>117.6</v>
      </c>
      <c r="J1619" s="5" t="n">
        <v>10</v>
      </c>
      <c r="K1619" s="3" t="inlineStr">
        <is>
          <t>행정중심복합도시 근접, 전원주택지 개발 및 토목공사로 체류형쉼터 개발</t>
        </is>
      </c>
      <c r="L1619" s="6">
        <f>HYPERLINK("https://fin.land.naver.com/articles/2654443210", "매물Link")</f>
        <v/>
      </c>
      <c r="M1619" s="6">
        <f>HYPERLINK("https://map.naver.com/p/search/연동면 명학리 산22-1", "지도Link")</f>
        <v/>
      </c>
      <c r="N1619" s="6">
        <f>HYPERLINK("http://www.eum.go.kr/web/ar/lu/luLandDet.jsp?pnu=3611032023200220001&amp;isNoScr=script&amp;mode=search", "토지이음")</f>
        <v/>
      </c>
      <c r="O1619" s="3" t="inlineStr">
        <is>
          <t>나릿재슬기로운</t>
        </is>
      </c>
      <c r="P1619" s="4" t="n">
        <v>1</v>
      </c>
      <c r="Q1619" s="4" t="n">
        <v>8920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문주리 145-2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21500</v>
      </c>
      <c r="G1620" s="4" t="n">
        <v>284</v>
      </c>
      <c r="H1620" s="4" t="n">
        <v>86</v>
      </c>
      <c r="I1620" s="5" t="n">
        <v>250</v>
      </c>
      <c r="J1620" s="5" t="n">
        <v>68.2</v>
      </c>
      <c r="K1620" s="3" t="inlineStr">
        <is>
          <t>급매, 계획관리지역, 도로 접한 형상 좋은 대지입니다.</t>
        </is>
      </c>
      <c r="L1620" s="6">
        <f>HYPERLINK("https://fin.land.naver.com/articles/2650811409", "매물Link")</f>
        <v/>
      </c>
      <c r="M1620" s="6">
        <f>HYPERLINK("https://map.naver.com/p/search/연동면 문주리 145-2", "지도Link")</f>
        <v/>
      </c>
      <c r="N1620" s="6">
        <f>HYPERLINK("http://www.eum.go.kr/web/ar/lu/luLandDet.jsp?pnu=3611032022101450002&amp;isNoScr=script&amp;mode=search", "토지이음")</f>
        <v/>
      </c>
      <c r="O1620" s="3" t="inlineStr">
        <is>
          <t>나폴리</t>
        </is>
      </c>
      <c r="P1620" s="4" t="n">
        <v>1</v>
      </c>
      <c r="Q1620" s="4" t="n">
        <v>284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연동면 문주리 145-29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253</v>
      </c>
      <c r="H1621" s="4" t="n">
        <v>77</v>
      </c>
      <c r="I1621" s="5" t="n">
        <v>259.7</v>
      </c>
      <c r="J1621" s="5" t="n">
        <v>68.2</v>
      </c>
      <c r="K1621" s="3" t="inlineStr">
        <is>
          <t>급매, 계획관리지역, 도로 접한 형상 좋은 대지입니다.</t>
        </is>
      </c>
      <c r="L1621" s="6">
        <f>HYPERLINK("https://fin.land.naver.com/articles/2650811516", "매물Link")</f>
        <v/>
      </c>
      <c r="M1621" s="6">
        <f>HYPERLINK("https://map.naver.com/p/search/연동면 문주리 145-29", "지도Link")</f>
        <v/>
      </c>
      <c r="N1621" s="6">
        <f>HYPERLINK("http://www.eum.go.kr/web/ar/lu/luLandDet.jsp?pnu=3611032022101450029&amp;isNoScr=script&amp;mode=search", "토지이음")</f>
        <v/>
      </c>
      <c r="O1621" s="3" t="inlineStr">
        <is>
          <t>나폴리</t>
        </is>
      </c>
      <c r="P1621" s="4" t="n">
        <v>1</v>
      </c>
      <c r="Q1621" s="4" t="n">
        <v>253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연동면 문주리 145-8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18000</v>
      </c>
      <c r="G1622" s="4" t="n">
        <v>235</v>
      </c>
      <c r="H1622" s="4" t="n">
        <v>71</v>
      </c>
      <c r="I1622" s="5" t="n">
        <v>253.5</v>
      </c>
      <c r="J1622" s="5" t="n">
        <v>75</v>
      </c>
      <c r="K1622" s="3" t="inlineStr">
        <is>
          <t>급매, 계획관리지역, 도로 접한 형상 좋은 대지입니다.</t>
        </is>
      </c>
      <c r="L1622" s="6">
        <f>HYPERLINK("https://fin.land.naver.com/articles/2652612115", "매물Link")</f>
        <v/>
      </c>
      <c r="M1622" s="6">
        <f>HYPERLINK("https://map.naver.com/p/search/연동면 문주리 145-8", "지도Link")</f>
        <v/>
      </c>
      <c r="N1622" s="6">
        <f>HYPERLINK("http://www.eum.go.kr/web/ar/lu/luLandDet.jsp?pnu=3611032022101450008&amp;isNoScr=script&amp;mode=search", "토지이음")</f>
        <v/>
      </c>
      <c r="O1622" s="3" t="inlineStr">
        <is>
          <t>나폴리</t>
        </is>
      </c>
      <c r="P1622" s="4" t="n">
        <v>1</v>
      </c>
      <c r="Q1622" s="4" t="n">
        <v>235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문주리 956-3</t>
        </is>
      </c>
      <c r="B1623" s="3" t="inlineStr">
        <is>
          <t>농림지역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88700</v>
      </c>
      <c r="G1623" s="4" t="n">
        <v>2930</v>
      </c>
      <c r="H1623" s="4" t="n">
        <v>886</v>
      </c>
      <c r="I1623" s="5" t="n">
        <v>100.1</v>
      </c>
      <c r="J1623" s="5" t="n">
        <v>24.5</v>
      </c>
      <c r="K1623" s="3" t="inlineStr">
        <is>
          <t>구거 통해도로와 접한 농지,바로옆 도로 공사중</t>
        </is>
      </c>
      <c r="L1623" s="6">
        <f>HYPERLINK("https://fin.land.naver.com/articles/2654531733", "매물Link")</f>
        <v/>
      </c>
      <c r="M1623" s="6">
        <f>HYPERLINK("https://map.naver.com/p/search/연동면 문주리 956-3", "지도Link")</f>
        <v/>
      </c>
      <c r="N1623" s="6">
        <f>HYPERLINK("http://www.eum.go.kr/web/ar/lu/luLandDet.jsp?pnu=3611032022109560003&amp;isNoScr=script&amp;mode=search", "토지이음")</f>
        <v/>
      </c>
      <c r="O1623" s="3" t="inlineStr">
        <is>
          <t>향기나는방</t>
        </is>
      </c>
      <c r="P1623" s="4" t="n">
        <v>1</v>
      </c>
      <c r="Q1623" s="4" t="n">
        <v>2930.7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문주리 967-7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61000</v>
      </c>
      <c r="G1624" s="4" t="n">
        <v>2523</v>
      </c>
      <c r="H1624" s="4" t="n">
        <v>763</v>
      </c>
      <c r="I1624" s="5" t="n">
        <v>79.90000000000001</v>
      </c>
      <c r="J1624" s="5" t="n">
        <v>23.5</v>
      </c>
      <c r="K1624" s="3" t="inlineStr">
        <is>
          <t>nan</t>
        </is>
      </c>
      <c r="L1624" s="6">
        <f>HYPERLINK("https://fin.land.naver.com/articles/2651578350", "매물Link")</f>
        <v/>
      </c>
      <c r="M1624" s="6">
        <f>HYPERLINK("https://map.naver.com/p/search/연동면 문주리 967-7", "지도Link")</f>
        <v/>
      </c>
      <c r="N1624" s="6">
        <f>HYPERLINK("http://www.eum.go.kr/web/ar/lu/luLandDet.jsp?pnu=3611032022109670007&amp;isNoScr=script&amp;mode=search",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2523.7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연동면 문주리 968-13</t>
        </is>
      </c>
      <c r="B1625" s="3" t="inlineStr">
        <is>
          <t>농림지역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245000</v>
      </c>
      <c r="G1625" s="4" t="n">
        <v>7204</v>
      </c>
      <c r="H1625" s="4" t="n">
        <v>2179</v>
      </c>
      <c r="I1625" s="5" t="n">
        <v>112.4</v>
      </c>
      <c r="J1625" s="5" t="n">
        <v>27</v>
      </c>
      <c r="K1625" s="3" t="inlineStr">
        <is>
          <t>축사임.</t>
        </is>
      </c>
      <c r="L1625" s="6">
        <f>HYPERLINK("https://fin.land.naver.com/articles/2653467627", "매물Link")</f>
        <v/>
      </c>
      <c r="M1625" s="6">
        <f>HYPERLINK("https://map.naver.com/p/search/연동면 문주리 968-13", "지도Link")</f>
        <v/>
      </c>
      <c r="N1625" s="6">
        <f>HYPERLINK("http://www.eum.go.kr/web/ar/lu/luLandDet.jsp?pnu=3611032022109680013&amp;isNoScr=script&amp;mode=search", "토지이음")</f>
        <v/>
      </c>
      <c r="O1625" s="3" t="inlineStr">
        <is>
          <t>햇빛</t>
        </is>
      </c>
      <c r="P1625" s="4" t="n">
        <v>1</v>
      </c>
      <c r="Q1625" s="4" t="n">
        <v>7204.9</v>
      </c>
      <c r="R1625" s="3" t="inlineStr">
        <is>
          <t>지정되지않음</t>
        </is>
      </c>
      <c r="S1625" s="3" t="inlineStr">
        <is>
          <t>답축사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세로한면(가)</t>
        </is>
      </c>
    </row>
    <row r="1626">
      <c r="A1626" s="3" t="inlineStr">
        <is>
          <t>연동면 송용리 1025-4</t>
        </is>
      </c>
      <c r="B1626" s="3" t="inlineStr">
        <is>
          <t>농림지역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13600</v>
      </c>
      <c r="G1626" s="4" t="n">
        <v>998</v>
      </c>
      <c r="H1626" s="4" t="n">
        <v>302</v>
      </c>
      <c r="I1626" s="5" t="n">
        <v>45</v>
      </c>
      <c r="J1626" s="5" t="n">
        <v>24.1</v>
      </c>
      <c r="K1626" s="3" t="inlineStr">
        <is>
          <t>주변 시세대비 아주저렴</t>
        </is>
      </c>
      <c r="L1626" s="6">
        <f>HYPERLINK("https://fin.land.naver.com/articles/2654418969", "매물Link")</f>
        <v/>
      </c>
      <c r="M1626" s="6">
        <f>HYPERLINK("https://map.naver.com/p/search/연동면 송용리 1025-4", "지도Link")</f>
        <v/>
      </c>
      <c r="N1626" s="6">
        <f>HYPERLINK("http://www.eum.go.kr/web/ar/lu/luLandDet.jsp?pnu=3611032027110250004&amp;isNoScr=script&amp;mode=search", "토지이음")</f>
        <v/>
      </c>
      <c r="O1626" s="3" t="inlineStr">
        <is>
          <t>세종땅전문</t>
        </is>
      </c>
      <c r="P1626" s="4" t="n">
        <v>1</v>
      </c>
      <c r="Q1626" s="4" t="n">
        <v>998.9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송용리 1025-4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13600</v>
      </c>
      <c r="G1627" s="4" t="n">
        <v>998</v>
      </c>
      <c r="H1627" s="4" t="n">
        <v>302</v>
      </c>
      <c r="I1627" s="5" t="n">
        <v>45</v>
      </c>
      <c r="J1627" s="5" t="n">
        <v>24.1</v>
      </c>
      <c r="K1627" s="3" t="inlineStr">
        <is>
          <t>급매 소액으로 농지구매하실분 대토하실분 추천</t>
        </is>
      </c>
      <c r="L1627" s="6">
        <f>HYPERLINK("https://fin.land.naver.com/articles/2654338905", "매물Link")</f>
        <v/>
      </c>
      <c r="M1627" s="6">
        <f>HYPERLINK("https://map.naver.com/p/search/연동면 송용리 1025-4", "지도Link")</f>
        <v/>
      </c>
      <c r="N1627" s="6">
        <f>HYPERLINK("http://www.eum.go.kr/web/ar/lu/luLandDet.jsp?pnu=3611032027110250004&amp;isNoScr=script&amp;mode=search", "토지이음")</f>
        <v/>
      </c>
      <c r="O1627" s="3" t="inlineStr">
        <is>
          <t>OK수</t>
        </is>
      </c>
      <c r="P1627" s="4" t="n">
        <v>2</v>
      </c>
      <c r="Q1627" s="4" t="n">
        <v>998.9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세로한면(가)</t>
        </is>
      </c>
    </row>
    <row r="1628">
      <c r="A1628" s="3" t="inlineStr">
        <is>
          <t>연동면 송용리 1030-9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158700</v>
      </c>
      <c r="G1628" s="4" t="n">
        <v>8746</v>
      </c>
      <c r="H1628" s="4" t="n">
        <v>2646</v>
      </c>
      <c r="I1628" s="5" t="n">
        <v>60</v>
      </c>
      <c r="J1628" s="5" t="n">
        <v>24.2</v>
      </c>
      <c r="K1628" s="3" t="inlineStr">
        <is>
          <t>연동면 송용리 농림지역 대형 토지, 세종시 5생활권 및 오송역 인근</t>
        </is>
      </c>
      <c r="L1628" s="6">
        <f>HYPERLINK("https://fin.land.naver.com/articles/2650531778", "매물Link")</f>
        <v/>
      </c>
      <c r="M1628" s="6">
        <f>HYPERLINK("https://map.naver.com/p/search/연동면 송용리 1030-9", "지도Link")</f>
        <v/>
      </c>
      <c r="N1628" s="6">
        <f>HYPERLINK("http://www.eum.go.kr/web/ar/lu/luLandDet.jsp?pnu=3611032027110300009&amp;isNoScr=script&amp;mode=search",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8746.200000000001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세로각지(가)</t>
        </is>
      </c>
    </row>
    <row r="1629">
      <c r="A1629" s="3" t="inlineStr">
        <is>
          <t>연동면 송용리 213-4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70000</v>
      </c>
      <c r="G1629" s="4" t="n">
        <v>662</v>
      </c>
      <c r="H1629" s="4" t="n">
        <v>200</v>
      </c>
      <c r="I1629" s="5" t="n">
        <v>350</v>
      </c>
      <c r="J1629" s="5" t="n">
        <v>62</v>
      </c>
      <c r="K1629" s="3" t="inlineStr">
        <is>
          <t>계획관리지역으로 8미터이상 도로에 접한 직사각형 토지, 주변환경 좋음</t>
        </is>
      </c>
      <c r="L1629" s="6">
        <f>HYPERLINK("https://fin.land.naver.com/articles/2651092741", "매물Link")</f>
        <v/>
      </c>
      <c r="M1629" s="6">
        <f>HYPERLINK("https://map.naver.com/p/search/연동면 송용리 213-4", "지도Link")</f>
        <v/>
      </c>
      <c r="N1629" s="6">
        <f>HYPERLINK("http://www.eum.go.kr/web/ar/lu/luLandDet.jsp?pnu=3611032027102130004&amp;isNoScr=script&amp;mode=search", "토지이음")</f>
        <v/>
      </c>
      <c r="O1629" s="3" t="inlineStr">
        <is>
          <t>가수원</t>
        </is>
      </c>
      <c r="P1629" s="4" t="n">
        <v>1</v>
      </c>
      <c r="Q1629" s="4" t="n">
        <v>662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송용리 213-6</t>
        </is>
      </c>
      <c r="B1630" s="3" t="inlineStr">
        <is>
          <t>계획관리지역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66000</v>
      </c>
      <c r="G1630" s="4" t="n">
        <v>662</v>
      </c>
      <c r="H1630" s="4" t="n">
        <v>200</v>
      </c>
      <c r="I1630" s="5" t="n">
        <v>330</v>
      </c>
      <c r="J1630" s="5" t="n">
        <v>62</v>
      </c>
      <c r="K1630" s="3" t="inlineStr">
        <is>
          <t>급매. 5생활권 인접 도로접한 토지</t>
        </is>
      </c>
      <c r="L1630" s="6">
        <f>HYPERLINK("https://fin.land.naver.com/articles/2651944218", "매물Link")</f>
        <v/>
      </c>
      <c r="M1630" s="6">
        <f>HYPERLINK("https://map.naver.com/p/search/연동면 송용리 213-6", "지도Link")</f>
        <v/>
      </c>
      <c r="N1630" s="6">
        <f>HYPERLINK("http://www.eum.go.kr/web/ar/lu/luLandDet.jsp?pnu=3611032027102130006&amp;isNoScr=script&amp;mode=search",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662</v>
      </c>
      <c r="R1630" s="3" t="inlineStr">
        <is>
          <t>지정되지않음</t>
        </is>
      </c>
      <c r="S1630" s="3" t="inlineStr">
        <is>
          <t>전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송용리 261-8</t>
        </is>
      </c>
      <c r="B1631" s="3" t="inlineStr">
        <is>
          <t>보전관리지역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329000</v>
      </c>
      <c r="G1631" s="4" t="n">
        <v>4350</v>
      </c>
      <c r="H1631" s="4" t="n">
        <v>1316</v>
      </c>
      <c r="I1631" s="5" t="n">
        <v>250</v>
      </c>
      <c r="J1631" s="5" t="n">
        <v>121.3</v>
      </c>
      <c r="K1631" s="3" t="inlineStr">
        <is>
          <t>nan</t>
        </is>
      </c>
      <c r="L1631" s="6">
        <f>HYPERLINK("https://fin.land.naver.com/articles/2653659850", "매물Link")</f>
        <v/>
      </c>
      <c r="M1631" s="6">
        <f>HYPERLINK("https://map.naver.com/p/search/연동면 송용리 261-8", "지도Link")</f>
        <v/>
      </c>
      <c r="N1631" s="6">
        <f>HYPERLINK("http://www.eum.go.kr/web/ar/lu/luLandDet.jsp?pnu=3611032027102610008&amp;isNoScr=script&amp;mode=search", "토지이음")</f>
        <v/>
      </c>
      <c r="O1631" s="3" t="inlineStr">
        <is>
          <t>생명나무</t>
        </is>
      </c>
      <c r="P1631" s="4" t="n">
        <v>1</v>
      </c>
      <c r="Q1631" s="4" t="n">
        <v>2093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송용리 262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400000</v>
      </c>
      <c r="G1632" s="4" t="n">
        <v>2915</v>
      </c>
      <c r="H1632" s="4" t="n">
        <v>882</v>
      </c>
      <c r="I1632" s="5" t="n">
        <v>453.5</v>
      </c>
      <c r="J1632" s="5" t="n">
        <v>263.1</v>
      </c>
      <c r="K1632" s="3" t="inlineStr">
        <is>
          <t>5생활권 2차선변 근생건물, 토지</t>
        </is>
      </c>
      <c r="L1632" s="6">
        <f>HYPERLINK("https://fin.land.naver.com/articles/2653738491", "매물Link")</f>
        <v/>
      </c>
      <c r="M1632" s="6">
        <f>HYPERLINK("https://map.naver.com/p/search/연동면 송용리 262", "지도Link")</f>
        <v/>
      </c>
      <c r="N1632" s="6">
        <f>HYPERLINK("http://www.eum.go.kr/web/ar/lu/luLandDet.jsp?pnu=3611032027102620000&amp;isNoScr=script&amp;mode=search", "토지이음")</f>
        <v/>
      </c>
      <c r="O1632" s="3" t="inlineStr">
        <is>
          <t>세종큰길</t>
        </is>
      </c>
      <c r="P1632" s="4" t="n">
        <v>1</v>
      </c>
      <c r="Q1632" s="4" t="n">
        <v>1915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연동면 송용리 4-1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31000</v>
      </c>
      <c r="G1633" s="4" t="n">
        <v>421</v>
      </c>
      <c r="H1633" s="4" t="n">
        <v>127</v>
      </c>
      <c r="I1633" s="5" t="n">
        <v>244.1</v>
      </c>
      <c r="J1633" s="5" t="n">
        <v>69.5</v>
      </c>
      <c r="K1633" s="3" t="inlineStr">
        <is>
          <t>추천. 세종시 인근 주택지</t>
        </is>
      </c>
      <c r="L1633" s="6">
        <f>HYPERLINK("https://fin.land.naver.com/articles/2651922610", "매물Link")</f>
        <v/>
      </c>
      <c r="M1633" s="6">
        <f>HYPERLINK("https://map.naver.com/p/search/연동면 송용리 4-1", "지도Link")</f>
        <v/>
      </c>
      <c r="N1633" s="6">
        <f>HYPERLINK("http://www.eum.go.kr/web/ar/lu/luLandDet.jsp?pnu=3611032027100040001&amp;isNoScr=script&amp;mode=search", "토지이음")</f>
        <v/>
      </c>
      <c r="O1633" s="3" t="inlineStr">
        <is>
          <t>강아지풀</t>
        </is>
      </c>
      <c r="P1633" s="4" t="n">
        <v>1</v>
      </c>
      <c r="Q1633" s="4" t="n">
        <v>401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송용리 82-1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56200</v>
      </c>
      <c r="G1634" s="4" t="n">
        <v>1095</v>
      </c>
      <c r="H1634" s="4" t="n">
        <v>331</v>
      </c>
      <c r="I1634" s="5" t="n">
        <v>169.8</v>
      </c>
      <c r="J1634" s="5" t="n">
        <v>37.1</v>
      </c>
      <c r="K1634" s="3" t="inlineStr">
        <is>
          <t>nan</t>
        </is>
      </c>
      <c r="L1634" s="6">
        <f>HYPERLINK("https://fin.land.naver.com/articles/2653986067", "매물Link")</f>
        <v/>
      </c>
      <c r="M1634" s="6">
        <f>HYPERLINK("https://map.naver.com/p/search/연동면 송용리 82-1", "지도Link")</f>
        <v/>
      </c>
      <c r="N1634" s="6">
        <f>HYPERLINK("http://www.eum.go.kr/web/ar/lu/luLandDet.jsp?pnu=3611032027100820001&amp;isNoScr=script&amp;mode=search", "토지이음")</f>
        <v/>
      </c>
      <c r="O1634" s="3" t="inlineStr">
        <is>
          <t>장원</t>
        </is>
      </c>
      <c r="P1634" s="4" t="n">
        <v>1</v>
      </c>
      <c r="Q1634" s="4" t="n">
        <v>1095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송용리 940-1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91000</v>
      </c>
      <c r="G1635" s="4" t="n">
        <v>4595</v>
      </c>
      <c r="H1635" s="4" t="n">
        <v>1390</v>
      </c>
      <c r="I1635" s="5" t="n">
        <v>65.5</v>
      </c>
      <c r="J1635" s="5" t="n">
        <v>25.1</v>
      </c>
      <c r="K1635" s="3" t="inlineStr">
        <is>
          <t>강변 근처 토지</t>
        </is>
      </c>
      <c r="L1635" s="6">
        <f>HYPERLINK("https://fin.land.naver.com/articles/2651714905", "매물Link")</f>
        <v/>
      </c>
      <c r="M1635" s="6">
        <f>HYPERLINK("https://map.naver.com/p/search/연동면 송용리 940-1", "지도Link")</f>
        <v/>
      </c>
      <c r="N1635" s="6">
        <f>HYPERLINK("http://www.eum.go.kr/web/ar/lu/luLandDet.jsp?pnu=3611032027109400001&amp;isNoScr=script&amp;mode=search", "토지이음")</f>
        <v/>
      </c>
      <c r="O1635" s="3" t="inlineStr">
        <is>
          <t>이레</t>
        </is>
      </c>
      <c r="P1635" s="4" t="n">
        <v>1</v>
      </c>
      <c r="Q1635" s="4" t="n">
        <v>4595.4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940-3</t>
        </is>
      </c>
      <c r="B1636" s="3" t="inlineStr">
        <is>
          <t>농림지역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18000</v>
      </c>
      <c r="G1636" s="4" t="n">
        <v>1381</v>
      </c>
      <c r="H1636" s="4" t="n">
        <v>418</v>
      </c>
      <c r="I1636" s="5" t="n">
        <v>43.1</v>
      </c>
      <c r="J1636" s="5" t="n">
        <v>25.5</v>
      </c>
      <c r="K1636" s="3" t="inlineStr">
        <is>
          <t>세종시 토지로 적은 금액으로 투자하기 좋은 곳</t>
        </is>
      </c>
      <c r="L1636" s="6">
        <f>HYPERLINK("https://fin.land.naver.com/articles/2651419402", "매물Link")</f>
        <v/>
      </c>
      <c r="M1636" s="6">
        <f>HYPERLINK("https://map.naver.com/p/search/연동면 송용리 940-3", "지도Link")</f>
        <v/>
      </c>
      <c r="N1636" s="6">
        <f>HYPERLINK("http://www.eum.go.kr/web/ar/lu/luLandDet.jsp?pnu=3611032027109400003&amp;isNoScr=script&amp;mode=search", "토지이음")</f>
        <v/>
      </c>
      <c r="O1636" s="3" t="inlineStr">
        <is>
          <t>오송이가</t>
        </is>
      </c>
      <c r="P1636" s="4" t="n">
        <v>1</v>
      </c>
      <c r="Q1636" s="4" t="n">
        <v>1381.4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세로각지(가)</t>
        </is>
      </c>
    </row>
    <row r="1637">
      <c r="A1637" s="3" t="inlineStr">
        <is>
          <t>연동면 송용리 940-3</t>
        </is>
      </c>
      <c r="B1637" s="3" t="inlineStr">
        <is>
          <t>농림지역</t>
        </is>
      </c>
      <c r="C1637" s="3" t="inlineStr">
        <is>
          <t>과수원</t>
        </is>
      </c>
      <c r="D1637" s="3" t="inlineStr">
        <is>
          <t>과수원</t>
        </is>
      </c>
      <c r="E1637" s="3" t="inlineStr">
        <is>
          <t>매매</t>
        </is>
      </c>
      <c r="F1637" s="4" t="n">
        <v>18000</v>
      </c>
      <c r="G1637" s="4" t="n">
        <v>1381</v>
      </c>
      <c r="H1637" s="4" t="n">
        <v>418</v>
      </c>
      <c r="I1637" s="5" t="n">
        <v>43.1</v>
      </c>
      <c r="J1637" s="5" t="n">
        <v>25.5</v>
      </c>
      <c r="K1637" s="3" t="inlineStr">
        <is>
          <t>가격절충</t>
        </is>
      </c>
      <c r="L1637" s="6">
        <f>HYPERLINK("https://fin.land.naver.com/articles/2651729422", "매물Link")</f>
        <v/>
      </c>
      <c r="M1637" s="6">
        <f>HYPERLINK("https://map.naver.com/p/search/연동면 송용리 940-3", "지도Link")</f>
        <v/>
      </c>
      <c r="N1637" s="6">
        <f>HYPERLINK("http://www.eum.go.kr/web/ar/lu/luLandDet.jsp?pnu=3611032027109400003&amp;isNoScr=script&amp;mode=search",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1381.4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세로각지(가)</t>
        </is>
      </c>
    </row>
    <row r="1638">
      <c r="A1638" s="3" t="inlineStr">
        <is>
          <t>연동면 송용리 940-5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71000</v>
      </c>
      <c r="G1638" s="4" t="n">
        <v>4848</v>
      </c>
      <c r="H1638" s="4" t="n">
        <v>1467</v>
      </c>
      <c r="I1638" s="5" t="n">
        <v>48.4</v>
      </c>
      <c r="J1638" s="5" t="n">
        <v>24.8</v>
      </c>
      <c r="K1638" s="3" t="inlineStr">
        <is>
          <t>예쁜 토지</t>
        </is>
      </c>
      <c r="L1638" s="6">
        <f>HYPERLINK("https://fin.land.naver.com/articles/2650920227", "매물Link")</f>
        <v/>
      </c>
      <c r="M1638" s="6">
        <f>HYPERLINK("https://map.naver.com/p/search/연동면 송용리 940-5", "지도Link")</f>
        <v/>
      </c>
      <c r="N1638" s="6">
        <f>HYPERLINK("http://www.eum.go.kr/web/ar/lu/luLandDet.jsp?pnu=3611032027109400005&amp;isNoScr=script&amp;mode=search", "토지이음")</f>
        <v/>
      </c>
      <c r="O1638" s="3" t="inlineStr">
        <is>
          <t>전원비래</t>
        </is>
      </c>
      <c r="P1638" s="4" t="n">
        <v>1</v>
      </c>
      <c r="Q1638" s="4" t="n">
        <v>4848.2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963-10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49000</v>
      </c>
      <c r="G1639" s="4" t="n">
        <v>3382</v>
      </c>
      <c r="H1639" s="4" t="n">
        <v>1023</v>
      </c>
      <c r="I1639" s="5" t="n">
        <v>47.9</v>
      </c>
      <c r="J1639" s="5" t="n">
        <v>23.8</v>
      </c>
      <c r="K1639" s="3" t="inlineStr">
        <is>
          <t>nan</t>
        </is>
      </c>
      <c r="L1639" s="6">
        <f>HYPERLINK("https://fin.land.naver.com/articles/2651729295", "매물Link")</f>
        <v/>
      </c>
      <c r="M1639" s="6">
        <f>HYPERLINK("https://map.naver.com/p/search/연동면 송용리 963-10", "지도Link")</f>
        <v/>
      </c>
      <c r="N1639" s="6">
        <f>HYPERLINK("http://www.eum.go.kr/web/ar/lu/luLandDet.jsp?pnu=3611032027109630010&amp;isNoScr=script&amp;mode=search",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3382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예양리 110-1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50000</v>
      </c>
      <c r="G1640" s="4" t="n">
        <v>1914</v>
      </c>
      <c r="H1640" s="4" t="n">
        <v>579</v>
      </c>
      <c r="I1640" s="5" t="n">
        <v>86.40000000000001</v>
      </c>
      <c r="J1640" s="5" t="n">
        <v>35.1</v>
      </c>
      <c r="K1640" s="3" t="inlineStr">
        <is>
          <t>급매, 협의절충, 생산관리, 과수원, 입지, 주위 인프라 굿</t>
        </is>
      </c>
      <c r="L1640" s="6">
        <f>HYPERLINK("https://fin.land.naver.com/articles/2653154744", "매물Link")</f>
        <v/>
      </c>
      <c r="M1640" s="6">
        <f>HYPERLINK("https://map.naver.com/p/search/연동면 예양리 110-1", "지도Link")</f>
        <v/>
      </c>
      <c r="N1640" s="6">
        <f>HYPERLINK("http://www.eum.go.kr/web/ar/lu/luLandDet.jsp?pnu=3611032026101100001&amp;isNoScr=script&amp;mode=search", "토지이음")</f>
        <v/>
      </c>
      <c r="O1640" s="3" t="inlineStr">
        <is>
          <t>세종한울</t>
        </is>
      </c>
      <c r="P1640" s="4" t="n">
        <v>1</v>
      </c>
      <c r="Q1640" s="4" t="n">
        <v>1914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예양리 110-1</t>
        </is>
      </c>
      <c r="B1641" s="3" t="inlineStr">
        <is>
          <t>생산관리지역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52000</v>
      </c>
      <c r="G1641" s="4" t="n">
        <v>1914</v>
      </c>
      <c r="H1641" s="4" t="n">
        <v>579</v>
      </c>
      <c r="I1641" s="5" t="n">
        <v>89.8</v>
      </c>
      <c r="J1641" s="5" t="n">
        <v>35.1</v>
      </c>
      <c r="K1641" s="3" t="inlineStr">
        <is>
          <t>nan</t>
        </is>
      </c>
      <c r="L1641" s="6">
        <f>HYPERLINK("https://fin.land.naver.com/articles/2652244554", "매물Link")</f>
        <v/>
      </c>
      <c r="M1641" s="6">
        <f>HYPERLINK("https://map.naver.com/p/search/연동면 예양리 110-1", "지도Link")</f>
        <v/>
      </c>
      <c r="N1641" s="6">
        <f>HYPERLINK("http://www.eum.go.kr/web/ar/lu/luLandDet.jsp?pnu=3611032026101100001&amp;isNoScr=script&amp;mode=search",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1914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예양리 25-1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248</v>
      </c>
      <c r="H1642" s="4" t="n">
        <v>75</v>
      </c>
      <c r="I1642" s="5" t="n">
        <v>266.7</v>
      </c>
      <c r="J1642" s="5" t="n">
        <v>66.59999999999999</v>
      </c>
      <c r="K1642" s="3" t="inlineStr">
        <is>
          <t>건축 및 투자</t>
        </is>
      </c>
      <c r="L1642" s="6">
        <f>HYPERLINK("https://fin.land.naver.com/articles/2653502018", "매물Link")</f>
        <v/>
      </c>
      <c r="M1642" s="6">
        <f>HYPERLINK("https://map.naver.com/p/search/연동면 예양리 25-1", "지도Link")</f>
        <v/>
      </c>
      <c r="N1642" s="6">
        <f>HYPERLINK("http://www.eum.go.kr/web/ar/lu/luLandDet.jsp?pnu=3611032026100250001&amp;isNoScr=script&amp;mode=search", "토지이음")</f>
        <v/>
      </c>
      <c r="O1642" s="3" t="inlineStr">
        <is>
          <t>한정호</t>
        </is>
      </c>
      <c r="P1642" s="4" t="n">
        <v>1</v>
      </c>
      <c r="Q1642" s="4" t="n">
        <v>248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연동면 예양리 47-1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19800</v>
      </c>
      <c r="G1643" s="4" t="n">
        <v>247</v>
      </c>
      <c r="H1643" s="4" t="n">
        <v>75</v>
      </c>
      <c r="I1643" s="5" t="n">
        <v>264</v>
      </c>
      <c r="J1643" s="5" t="n">
        <v>69.7</v>
      </c>
      <c r="K1643" s="3" t="inlineStr">
        <is>
          <t>건물 있는 토지 매매</t>
        </is>
      </c>
      <c r="L1643" s="6">
        <f>HYPERLINK("https://fin.land.naver.com/articles/2651254846", "매물Link")</f>
        <v/>
      </c>
      <c r="M1643" s="6">
        <f>HYPERLINK("https://map.naver.com/p/search/연동면 예양리 47-1", "지도Link")</f>
        <v/>
      </c>
      <c r="N1643" s="6">
        <f>HYPERLINK("http://www.eum.go.kr/web/ar/lu/luLandDet.jsp?pnu=3611032026100470001&amp;isNoScr=script&amp;mode=search", "토지이음")</f>
        <v/>
      </c>
      <c r="O1643" s="3" t="inlineStr">
        <is>
          <t>세종토박이</t>
        </is>
      </c>
      <c r="P1643" s="4" t="n">
        <v>2</v>
      </c>
      <c r="Q1643" s="4" t="n">
        <v>247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자루형</t>
        </is>
      </c>
      <c r="V1643" s="3" t="inlineStr">
        <is>
          <t>세로한면(가)</t>
        </is>
      </c>
    </row>
    <row r="1644">
      <c r="A1644" s="3" t="inlineStr">
        <is>
          <t>연동면 예양리 66-3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140000</v>
      </c>
      <c r="G1644" s="4" t="n">
        <v>2314</v>
      </c>
      <c r="H1644" s="4" t="n">
        <v>700</v>
      </c>
      <c r="I1644" s="5" t="n">
        <v>200</v>
      </c>
      <c r="J1644" s="5" t="n">
        <v>38.3</v>
      </c>
      <c r="K1644" s="3" t="inlineStr">
        <is>
          <t>도로접,땅모양좋습니다,조정가</t>
        </is>
      </c>
      <c r="L1644" s="6">
        <f>HYPERLINK("https://fin.land.naver.com/articles/2654054825", "매물Link")</f>
        <v/>
      </c>
      <c r="M1644" s="6">
        <f>HYPERLINK("https://map.naver.com/p/search/연동면 예양리 66-3", "지도Link")</f>
        <v/>
      </c>
      <c r="N1644" s="6">
        <f>HYPERLINK("http://www.eum.go.kr/web/ar/lu/luLandDet.jsp?pnu=3611032026100660003&amp;isNoScr=script&amp;mode=search", "토지이음")</f>
        <v/>
      </c>
      <c r="O1644" s="3" t="inlineStr">
        <is>
          <t>힐스테이트행복</t>
        </is>
      </c>
      <c r="P1644" s="4" t="n">
        <v>1</v>
      </c>
      <c r="Q1644" s="4" t="n">
        <v>2314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세로한면(가)</t>
        </is>
      </c>
    </row>
    <row r="1645">
      <c r="A1645" s="3" t="inlineStr">
        <is>
          <t>연동면 예양리 824-1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60000</v>
      </c>
      <c r="G1645" s="4" t="n">
        <v>3457</v>
      </c>
      <c r="H1645" s="4" t="n">
        <v>1046</v>
      </c>
      <c r="I1645" s="5" t="n">
        <v>57.4</v>
      </c>
      <c r="J1645" s="5" t="n">
        <v>23.5</v>
      </c>
      <c r="K1645" s="3" t="inlineStr">
        <is>
          <t>농지 전</t>
        </is>
      </c>
      <c r="L1645" s="6">
        <f>HYPERLINK("https://fin.land.naver.com/articles/2653768190", "매물Link")</f>
        <v/>
      </c>
      <c r="M1645" s="6">
        <f>HYPERLINK("https://map.naver.com/p/search/연동면 예양리 824-1", "지도Link")</f>
        <v/>
      </c>
      <c r="N1645" s="6">
        <f>HYPERLINK("http://www.eum.go.kr/web/ar/lu/luLandDet.jsp?pnu=3611032026108240001&amp;isNoScr=script&amp;mode=search", "토지이음")</f>
        <v/>
      </c>
      <c r="O1645" s="3" t="inlineStr">
        <is>
          <t>대원</t>
        </is>
      </c>
      <c r="P1645" s="4" t="n">
        <v>1</v>
      </c>
      <c r="Q1645" s="4" t="n">
        <v>3457.7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연동면 예양리 828-1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60000</v>
      </c>
      <c r="G1646" s="4" t="n">
        <v>2913</v>
      </c>
      <c r="H1646" s="4" t="n">
        <v>881</v>
      </c>
      <c r="I1646" s="5" t="n">
        <v>68.09999999999999</v>
      </c>
      <c r="J1646" s="5" t="n">
        <v>23.8</v>
      </c>
      <c r="K1646" s="3" t="inlineStr">
        <is>
          <t>대토용,투자적합</t>
        </is>
      </c>
      <c r="L1646" s="6">
        <f>HYPERLINK("https://fin.land.naver.com/articles/2653703739", "매물Link")</f>
        <v/>
      </c>
      <c r="M1646" s="6">
        <f>HYPERLINK("https://map.naver.com/p/search/연동면 예양리 828-1", "지도Link")</f>
        <v/>
      </c>
      <c r="N1646" s="6">
        <f>HYPERLINK("http://www.eum.go.kr/web/ar/lu/luLandDet.jsp?pnu=3611032026108280001&amp;isNoScr=script&amp;mode=search", "토지이음")</f>
        <v/>
      </c>
      <c r="O1646" s="3" t="inlineStr">
        <is>
          <t>지원</t>
        </is>
      </c>
      <c r="P1646" s="4" t="n">
        <v>1</v>
      </c>
      <c r="Q1646" s="4" t="n">
        <v>2913.3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세로각지(가)</t>
        </is>
      </c>
    </row>
    <row r="1647">
      <c r="A1647" s="3" t="inlineStr">
        <is>
          <t>연동면 예양리 831-13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2212</v>
      </c>
      <c r="H1647" s="4" t="n">
        <v>669</v>
      </c>
      <c r="I1647" s="5" t="n">
        <v>80</v>
      </c>
      <c r="J1647" s="5" t="n">
        <v>24.3</v>
      </c>
      <c r="K1647" s="3" t="inlineStr">
        <is>
          <t>가격절충가능</t>
        </is>
      </c>
      <c r="L1647" s="6">
        <f>HYPERLINK("https://fin.land.naver.com/articles/2652723910", "매물Link")</f>
        <v/>
      </c>
      <c r="M1647" s="6">
        <f>HYPERLINK("https://map.naver.com/p/search/연동면 예양리 831-13", "지도Link")</f>
        <v/>
      </c>
      <c r="N1647" s="6">
        <f>HYPERLINK("http://www.eum.go.kr/web/ar/lu/luLandDet.jsp?pnu=3611032026108310013&amp;isNoScr=script&amp;mode=search", "토지이음")</f>
        <v/>
      </c>
      <c r="O1647" s="3" t="inlineStr">
        <is>
          <t>소사벌</t>
        </is>
      </c>
      <c r="P1647" s="4" t="n">
        <v>1</v>
      </c>
      <c r="Q1647" s="4" t="n">
        <v>2212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연동면 예양리 838-2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16400</v>
      </c>
      <c r="G1648" s="4" t="n">
        <v>665</v>
      </c>
      <c r="H1648" s="4" t="n">
        <v>201</v>
      </c>
      <c r="I1648" s="5" t="n">
        <v>81.59999999999999</v>
      </c>
      <c r="J1648" s="5" t="n">
        <v>24</v>
      </c>
      <c r="K1648" s="3" t="inlineStr">
        <is>
          <t>도로5m,3m접한 코너각지 직사각형,현재 전으로 이용중임.</t>
        </is>
      </c>
      <c r="L1648" s="6">
        <f>HYPERLINK("https://fin.land.naver.com/articles/2654365147", "매물Link")</f>
        <v/>
      </c>
      <c r="M1648" s="6">
        <f>HYPERLINK("https://map.naver.com/p/search/연동면 예양리 838-2", "지도Link")</f>
        <v/>
      </c>
      <c r="N1648" s="6">
        <f>HYPERLINK("http://www.eum.go.kr/web/ar/lu/luLandDet.jsp?pnu=3611032026108380002&amp;isNoScr=script&amp;mode=search", "토지이음")</f>
        <v/>
      </c>
      <c r="O1648" s="3" t="inlineStr">
        <is>
          <t>자이호박</t>
        </is>
      </c>
      <c r="P1648" s="4" t="n">
        <v>1</v>
      </c>
      <c r="Q1648" s="4" t="n">
        <v>665.6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세로한면(가)</t>
        </is>
      </c>
    </row>
    <row r="1649">
      <c r="A1649" s="3" t="inlineStr">
        <is>
          <t>연동면 예양리 99-5</t>
        </is>
      </c>
      <c r="B1649" s="3" t="inlineStr">
        <is>
          <t>계획관리지역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52800</v>
      </c>
      <c r="G1649" s="4" t="n">
        <v>2384</v>
      </c>
      <c r="H1649" s="4" t="n">
        <v>721</v>
      </c>
      <c r="I1649" s="5" t="n">
        <v>73.2</v>
      </c>
      <c r="J1649" s="5" t="n">
        <v>32.9</v>
      </c>
      <c r="K1649" s="3" t="inlineStr">
        <is>
          <t>행정중심복합도시 동측에 위치한 농지</t>
        </is>
      </c>
      <c r="L1649" s="6">
        <f>HYPERLINK("https://fin.land.naver.com/articles/2651237783", "매물Link")</f>
        <v/>
      </c>
      <c r="M1649" s="6">
        <f>HYPERLINK("https://map.naver.com/p/search/연동면 예양리 99-5", "지도Link")</f>
        <v/>
      </c>
      <c r="N1649" s="6">
        <f>HYPERLINK("http://www.eum.go.kr/web/ar/lu/luLandDet.jsp?pnu=3611032026100990005&amp;isNoScr=script&amp;mode=search", "토지이음")</f>
        <v/>
      </c>
      <c r="O1649" s="3" t="inlineStr">
        <is>
          <t>세종토박이</t>
        </is>
      </c>
      <c r="P1649" s="4" t="n">
        <v>1</v>
      </c>
      <c r="Q1649" s="4" t="n">
        <v>2384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연동면 예양리 99-5</t>
        </is>
      </c>
      <c r="B1650" s="3" t="inlineStr">
        <is>
          <t>계획관리지역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52800</v>
      </c>
      <c r="G1650" s="4" t="n">
        <v>2384</v>
      </c>
      <c r="H1650" s="4" t="n">
        <v>721</v>
      </c>
      <c r="I1650" s="5" t="n">
        <v>73.2</v>
      </c>
      <c r="J1650" s="5" t="n">
        <v>32.9</v>
      </c>
      <c r="K1650" s="3" t="inlineStr">
        <is>
          <t>3m 도로접한 계획관리</t>
        </is>
      </c>
      <c r="L1650" s="6">
        <f>HYPERLINK("https://fin.land.naver.com/articles/2651242045", "매물Link")</f>
        <v/>
      </c>
      <c r="M1650" s="6">
        <f>HYPERLINK("https://map.naver.com/p/search/연동면 예양리 99-5", "지도Link")</f>
        <v/>
      </c>
      <c r="N1650" s="6">
        <f>HYPERLINK("http://www.eum.go.kr/web/ar/lu/luLandDet.jsp?pnu=3611032026100990005&amp;isNoScr=script&amp;mode=search", "토지이음")</f>
        <v/>
      </c>
      <c r="O1650" s="3" t="inlineStr">
        <is>
          <t>세종땅사랑</t>
        </is>
      </c>
      <c r="P1650" s="4" t="n">
        <v>1</v>
      </c>
      <c r="Q1650" s="4" t="n">
        <v>2384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완경사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연동면 응암리 120</t>
        </is>
      </c>
      <c r="B1651" s="3" t="inlineStr">
        <is>
          <t>계획관리지역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210000</v>
      </c>
      <c r="G1651" s="4" t="n">
        <v>3722</v>
      </c>
      <c r="H1651" s="4" t="n">
        <v>1126</v>
      </c>
      <c r="I1651" s="5" t="n">
        <v>186.5</v>
      </c>
      <c r="J1651" s="5" t="n">
        <v>45</v>
      </c>
      <c r="K1651" s="3" t="inlineStr">
        <is>
          <t>도로접한 계획.성장관리계획구역,넓은평수,다용도사용가능</t>
        </is>
      </c>
      <c r="L1651" s="6">
        <f>HYPERLINK("https://fin.land.naver.com/articles/2652750521", "매물Link")</f>
        <v/>
      </c>
      <c r="M1651" s="6">
        <f>HYPERLINK("https://map.naver.com/p/search/연동면 응암리 120", "지도Link")</f>
        <v/>
      </c>
      <c r="N1651" s="6">
        <f>HYPERLINK("http://www.eum.go.kr/web/ar/lu/luLandDet.jsp?pnu=3611032024101200000&amp;isNoScr=script&amp;mode=search",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3722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세로각지(가)</t>
        </is>
      </c>
    </row>
    <row r="1652">
      <c r="A1652" s="3" t="inlineStr">
        <is>
          <t>연동면 응암리 121-4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81000</v>
      </c>
      <c r="G1652" s="4" t="n">
        <v>1021</v>
      </c>
      <c r="H1652" s="4" t="n">
        <v>309</v>
      </c>
      <c r="I1652" s="5" t="n">
        <v>262.1</v>
      </c>
      <c r="J1652" s="5" t="n">
        <v>67.5</v>
      </c>
      <c r="K1652" s="3" t="inlineStr">
        <is>
          <t>nan</t>
        </is>
      </c>
      <c r="L1652" s="6">
        <f>HYPERLINK("https://fin.land.naver.com/articles/2652148524", "매물Link")</f>
        <v/>
      </c>
      <c r="M1652" s="6">
        <f>HYPERLINK("https://map.naver.com/p/search/연동면 응암리 121-4", "지도Link")</f>
        <v/>
      </c>
      <c r="N1652" s="6">
        <f>HYPERLINK("http://www.eum.go.kr/web/ar/lu/luLandDet.jsp?pnu=3611032024101210004&amp;isNoScr=script&amp;mode=search", "토지이음")</f>
        <v/>
      </c>
      <c r="O1652" s="3" t="inlineStr">
        <is>
          <t>세종지원</t>
        </is>
      </c>
      <c r="P1652" s="4" t="n">
        <v>1</v>
      </c>
      <c r="Q1652" s="4" t="n">
        <v>1025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응암리 197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23000</v>
      </c>
      <c r="G1653" s="4" t="n">
        <v>634</v>
      </c>
      <c r="H1653" s="4" t="n">
        <v>192</v>
      </c>
      <c r="I1653" s="5" t="n">
        <v>119.8</v>
      </c>
      <c r="J1653" s="5" t="n">
        <v>36.1</v>
      </c>
      <c r="K1653" s="3" t="inlineStr">
        <is>
          <t>마을접한 토지로 지대높아 전원주택으로 안성맞춤</t>
        </is>
      </c>
      <c r="L1653" s="6">
        <f>HYPERLINK("https://fin.land.naver.com/articles/2652067083", "매물Link")</f>
        <v/>
      </c>
      <c r="M1653" s="6">
        <f>HYPERLINK("https://map.naver.com/p/search/연동면 응암리 197", "지도Link")</f>
        <v/>
      </c>
      <c r="N1653" s="6">
        <f>HYPERLINK("http://www.eum.go.kr/web/ar/lu/luLandDet.jsp?pnu=3611032024101970000&amp;isNoScr=script&amp;mode=search", "토지이음")</f>
        <v/>
      </c>
      <c r="O1653" s="3" t="inlineStr">
        <is>
          <t>연동스카이</t>
        </is>
      </c>
      <c r="P1653" s="4" t="n">
        <v>2</v>
      </c>
      <c r="Q1653" s="4" t="n">
        <v>635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완경사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응암리 199-1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25000</v>
      </c>
      <c r="G1654" s="4" t="n">
        <v>743</v>
      </c>
      <c r="H1654" s="4" t="n">
        <v>225</v>
      </c>
      <c r="I1654" s="5" t="n">
        <v>111.1</v>
      </c>
      <c r="J1654" s="5" t="n">
        <v>57</v>
      </c>
      <c r="K1654" s="3" t="inlineStr">
        <is>
          <t>평지,계획관리,대지,도로접,이웃필지 연접가능</t>
        </is>
      </c>
      <c r="L1654" s="6">
        <f>HYPERLINK("https://fin.land.naver.com/articles/2653652417", "매물Link")</f>
        <v/>
      </c>
      <c r="M1654" s="6">
        <f>HYPERLINK("https://map.naver.com/p/search/연동면 응암리 199-1", "지도Link")</f>
        <v/>
      </c>
      <c r="N1654" s="6">
        <f>HYPERLINK("http://www.eum.go.kr/web/ar/lu/luLandDet.jsp?pnu=3611032024101990001&amp;isNoScr=script&amp;mode=search", "토지이음")</f>
        <v/>
      </c>
      <c r="O1654" s="3" t="inlineStr">
        <is>
          <t>세종초이스</t>
        </is>
      </c>
      <c r="P1654" s="4" t="n">
        <v>1</v>
      </c>
      <c r="Q1654" s="4" t="n">
        <v>743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세로각지(가)</t>
        </is>
      </c>
    </row>
    <row r="1655">
      <c r="A1655" s="3" t="inlineStr">
        <is>
          <t>연동면 응암리 253-5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47000</v>
      </c>
      <c r="G1655" s="4" t="n">
        <v>3158</v>
      </c>
      <c r="H1655" s="4" t="n">
        <v>955</v>
      </c>
      <c r="I1655" s="5" t="n">
        <v>49.2</v>
      </c>
      <c r="J1655" s="5" t="n">
        <v>21.5</v>
      </c>
      <c r="K1655" s="3" t="inlineStr">
        <is>
          <t>도로 높이로 성토하여 현재 블루베리 재배 2년차임</t>
        </is>
      </c>
      <c r="L1655" s="6">
        <f>HYPERLINK("https://fin.land.naver.com/articles/2655155886", "매물Link")</f>
        <v/>
      </c>
      <c r="M1655" s="6">
        <f>HYPERLINK("https://map.naver.com/p/search/연동면 응암리 253-5", "지도Link")</f>
        <v/>
      </c>
      <c r="N1655" s="6">
        <f>HYPERLINK("http://www.eum.go.kr/web/ar/lu/luLandDet.jsp?pnu=3611032024102530005&amp;isNoScr=script&amp;mode=search", "토지이음")</f>
        <v/>
      </c>
      <c r="O1655" s="3" t="inlineStr">
        <is>
          <t>그래그</t>
        </is>
      </c>
      <c r="P1655" s="4" t="n">
        <v>1</v>
      </c>
      <c r="Q1655" s="4" t="n">
        <v>3158.4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세로한면(가)</t>
        </is>
      </c>
    </row>
    <row r="1656">
      <c r="A1656" s="3" t="inlineStr">
        <is>
          <t>연동면 응암리 257-5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22000</v>
      </c>
      <c r="G1656" s="4" t="n">
        <v>1822</v>
      </c>
      <c r="H1656" s="4" t="n">
        <v>551</v>
      </c>
      <c r="I1656" s="5" t="n">
        <v>39.9</v>
      </c>
      <c r="J1656" s="5" t="n">
        <v>21</v>
      </c>
      <c r="K1656" s="3" t="inlineStr">
        <is>
          <t>nan</t>
        </is>
      </c>
      <c r="L1656" s="6">
        <f>HYPERLINK("https://fin.land.naver.com/articles/2653378678", "매물Link")</f>
        <v/>
      </c>
      <c r="M1656" s="6">
        <f>HYPERLINK("https://map.naver.com/p/search/연동면 응암리 257-5", "지도Link")</f>
        <v/>
      </c>
      <c r="N1656" s="6">
        <f>HYPERLINK("http://www.eum.go.kr/web/ar/lu/luLandDet.jsp?pnu=3611032024102570005&amp;isNoScr=script&amp;mode=search", "토지이음")</f>
        <v/>
      </c>
      <c r="O1656" s="3" t="inlineStr">
        <is>
          <t>세종땅전문</t>
        </is>
      </c>
      <c r="P1656" s="4" t="n">
        <v>1</v>
      </c>
      <c r="Q1656" s="4" t="n">
        <v>1822.2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세로한면(가)</t>
        </is>
      </c>
    </row>
    <row r="1657">
      <c r="A1657" s="3" t="inlineStr">
        <is>
          <t>연동면 응암리 317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답</t>
        </is>
      </c>
      <c r="E1657" s="3" t="inlineStr">
        <is>
          <t>매매</t>
        </is>
      </c>
      <c r="F1657" s="4" t="n">
        <v>250000</v>
      </c>
      <c r="G1657" s="4" t="n">
        <v>7500</v>
      </c>
      <c r="H1657" s="4" t="n">
        <v>2269</v>
      </c>
      <c r="I1657" s="5" t="n">
        <v>110.2</v>
      </c>
      <c r="J1657" s="5" t="n">
        <v>34.7</v>
      </c>
      <c r="K1657" s="3" t="inlineStr">
        <is>
          <t>주변시세대비 저렴한 토지, 공장, 창고, 기타 환영.</t>
        </is>
      </c>
      <c r="L1657" s="6">
        <f>HYPERLINK("https://fin.land.naver.com/articles/2651776616", "매물Link")</f>
        <v/>
      </c>
      <c r="M1657" s="6">
        <f>HYPERLINK("https://map.naver.com/p/search/연동면 응암리 317", "지도Link")</f>
        <v/>
      </c>
      <c r="N1657" s="6">
        <f>HYPERLINK("http://www.eum.go.kr/web/ar/lu/luLandDet.jsp?pnu=3611032024103170000&amp;isNoScr=script&amp;mode=search", "토지이음")</f>
        <v/>
      </c>
      <c r="O1657" s="3" t="inlineStr">
        <is>
          <t>대박</t>
        </is>
      </c>
      <c r="P1657" s="4" t="n">
        <v>1</v>
      </c>
      <c r="Q1657" s="4" t="n">
        <v>3700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연동면 응암리 317</t>
        </is>
      </c>
      <c r="B1658" s="3" t="inlineStr">
        <is>
          <t>계획관리지역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250000</v>
      </c>
      <c r="G1658" s="4" t="n">
        <v>7500</v>
      </c>
      <c r="H1658" s="4" t="n">
        <v>2269</v>
      </c>
      <c r="I1658" s="5" t="n">
        <v>110.2</v>
      </c>
      <c r="J1658" s="5" t="n">
        <v>34.7</v>
      </c>
      <c r="K1658" s="3" t="inlineStr">
        <is>
          <t>1.2차선 도로에서 바로진입 2.남청주IC 7KM소요시간 10분이내</t>
        </is>
      </c>
      <c r="L1658" s="6">
        <f>HYPERLINK("https://fin.land.naver.com/articles/2650176467", "매물Link")</f>
        <v/>
      </c>
      <c r="M1658" s="6">
        <f>HYPERLINK("https://map.naver.com/p/search/연동면 응암리 317", "지도Link")</f>
        <v/>
      </c>
      <c r="N1658" s="6">
        <f>HYPERLINK("http://www.eum.go.kr/web/ar/lu/luLandDet.jsp?pnu=3611032024103170000&amp;isNoScr=script&amp;mode=search", "토지이음")</f>
        <v/>
      </c>
      <c r="O1658" s="3" t="inlineStr">
        <is>
          <t>연동스카이</t>
        </is>
      </c>
      <c r="P1658" s="4" t="n">
        <v>1</v>
      </c>
      <c r="Q1658" s="4" t="n">
        <v>3700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연동면 응암리 352-1</t>
        </is>
      </c>
      <c r="B1659" s="3" t="inlineStr">
        <is>
          <t>계획관리지역</t>
        </is>
      </c>
      <c r="C1659" s="3" t="inlineStr">
        <is>
          <t>임야</t>
        </is>
      </c>
      <c r="D1659" s="3" t="inlineStr">
        <is>
          <t>임야</t>
        </is>
      </c>
      <c r="E1659" s="3" t="inlineStr">
        <is>
          <t>매매</t>
        </is>
      </c>
      <c r="F1659" s="4" t="n">
        <v>65000</v>
      </c>
      <c r="G1659" s="4" t="n">
        <v>1778</v>
      </c>
      <c r="H1659" s="4" t="n">
        <v>538</v>
      </c>
      <c r="I1659" s="5" t="n">
        <v>120.8</v>
      </c>
      <c r="J1659" s="5" t="n">
        <v>17.2</v>
      </c>
      <c r="K1659" s="3" t="inlineStr">
        <is>
          <t>도로접한 계획관리 지역</t>
        </is>
      </c>
      <c r="L1659" s="6">
        <f>HYPERLINK("https://fin.land.naver.com/articles/2653004802", "매물Link")</f>
        <v/>
      </c>
      <c r="M1659" s="6">
        <f>HYPERLINK("https://map.naver.com/p/search/연동면 응암리 352-1", "지도Link")</f>
        <v/>
      </c>
      <c r="N1659" s="6">
        <f>HYPERLINK("http://www.eum.go.kr/web/ar/lu/luLandDet.jsp?pnu=3611032024103520001&amp;isNoScr=script&amp;mode=search", "토지이음")</f>
        <v/>
      </c>
      <c r="O1659" s="3" t="inlineStr">
        <is>
          <t>OK세종 사무소</t>
        </is>
      </c>
      <c r="P1659" s="4" t="n">
        <v>1</v>
      </c>
      <c r="Q1659" s="4" t="n">
        <v>992</v>
      </c>
      <c r="R1659" s="3" t="inlineStr">
        <is>
          <t>지정되지않음</t>
        </is>
      </c>
      <c r="S1659" s="3" t="inlineStr">
        <is>
          <t>자연림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연동면 응암리 47-3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105000</v>
      </c>
      <c r="G1660" s="4" t="n">
        <v>1742</v>
      </c>
      <c r="H1660" s="4" t="n">
        <v>527</v>
      </c>
      <c r="I1660" s="5" t="n">
        <v>199.2</v>
      </c>
      <c r="J1660" s="5" t="n">
        <v>48.7</v>
      </c>
      <c r="K1660" s="3" t="inlineStr">
        <is>
          <t>세종시 연동면 투자가치 좋은 토지</t>
        </is>
      </c>
      <c r="L1660" s="6">
        <f>HYPERLINK("https://fin.land.naver.com/articles/2652703680", "매물Link")</f>
        <v/>
      </c>
      <c r="M1660" s="6">
        <f>HYPERLINK("https://map.naver.com/p/search/연동면 응암리 47-3", "지도Link")</f>
        <v/>
      </c>
      <c r="N1660" s="6">
        <f>HYPERLINK("http://www.eum.go.kr/web/ar/lu/luLandDet.jsp?pnu=3611032024100470003&amp;isNoScr=script&amp;mode=search", "토지이음")</f>
        <v/>
      </c>
      <c r="O1660" s="3" t="inlineStr">
        <is>
          <t>365</t>
        </is>
      </c>
      <c r="P1660" s="4" t="n">
        <v>1</v>
      </c>
      <c r="Q1660" s="4" t="n">
        <v>1742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연동면 응암리 479-8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30000</v>
      </c>
      <c r="G1661" s="4" t="n">
        <v>2552</v>
      </c>
      <c r="H1661" s="4" t="n">
        <v>772</v>
      </c>
      <c r="I1661" s="5" t="n">
        <v>38.9</v>
      </c>
      <c r="J1661" s="5" t="n">
        <v>22.9</v>
      </c>
      <c r="K1661" s="3" t="inlineStr">
        <is>
          <t>저렴한 농지 가격 레고 가능</t>
        </is>
      </c>
      <c r="L1661" s="6">
        <f>HYPERLINK("https://fin.land.naver.com/articles/2653378812", "매물Link")</f>
        <v/>
      </c>
      <c r="M1661" s="6">
        <f>HYPERLINK("https://map.naver.com/p/search/연동면 응암리 479-8", "지도Link")</f>
        <v/>
      </c>
      <c r="N1661" s="6">
        <f>HYPERLINK("http://www.eum.go.kr/web/ar/lu/luLandDet.jsp?pnu=3611032024104790008&amp;isNoScr=script&amp;mode=search",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2551.9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세로한면(가)</t>
        </is>
      </c>
    </row>
    <row r="1662">
      <c r="A1662" s="3" t="inlineStr">
        <is>
          <t>연동면 응암리 481-1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56800</v>
      </c>
      <c r="G1662" s="4" t="n">
        <v>2350</v>
      </c>
      <c r="H1662" s="4" t="n">
        <v>711</v>
      </c>
      <c r="I1662" s="5" t="n">
        <v>79.90000000000001</v>
      </c>
      <c r="J1662" s="5" t="n">
        <v>22.4</v>
      </c>
      <c r="K1662" s="3" t="inlineStr">
        <is>
          <t>세종 연동면 응암리 대형 농지 매매</t>
        </is>
      </c>
      <c r="L1662" s="6">
        <f>HYPERLINK("https://fin.land.naver.com/articles/2652344225", "매물Link")</f>
        <v/>
      </c>
      <c r="M1662" s="6">
        <f>HYPERLINK("https://map.naver.com/p/search/연동면 응암리 481-1", "지도Link")</f>
        <v/>
      </c>
      <c r="N1662" s="6">
        <f>HYPERLINK("http://www.eum.go.kr/web/ar/lu/luLandDet.jsp?pnu=3611032024104810001&amp;isNoScr=script&amp;mode=search", "토지이음")</f>
        <v/>
      </c>
      <c r="O1662" s="3" t="inlineStr">
        <is>
          <t>세종몽땅</t>
        </is>
      </c>
      <c r="P1662" s="4" t="n">
        <v>1</v>
      </c>
      <c r="Q1662" s="4" t="n">
        <v>2350.7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세로한면(가)</t>
        </is>
      </c>
    </row>
    <row r="1663">
      <c r="A1663" s="3" t="inlineStr">
        <is>
          <t>연동면 응암리 555-1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120000</v>
      </c>
      <c r="G1663" s="4" t="n">
        <v>2863</v>
      </c>
      <c r="H1663" s="4" t="n">
        <v>866</v>
      </c>
      <c r="I1663" s="5" t="n">
        <v>138.6</v>
      </c>
      <c r="J1663" s="5" t="n">
        <v>55.4</v>
      </c>
      <c r="K1663" s="3" t="inlineStr">
        <is>
          <t>계획관리.도로접,투자용,물류교통최상,세종5생활권근접,남청주ic인접</t>
        </is>
      </c>
      <c r="L1663" s="6">
        <f>HYPERLINK("https://fin.land.naver.com/articles/2652162730", "매물Link")</f>
        <v/>
      </c>
      <c r="M1663" s="6">
        <f>HYPERLINK("https://map.naver.com/p/search/연동면 응암리 555-1", "지도Link")</f>
        <v/>
      </c>
      <c r="N1663" s="6">
        <f>HYPERLINK("http://www.eum.go.kr/web/ar/lu/luLandDet.jsp?pnu=3611032024105550001&amp;isNoScr=script&amp;mode=search", "토지이음")</f>
        <v/>
      </c>
      <c r="O1663" s="3" t="inlineStr">
        <is>
          <t>옥산제일사무소</t>
        </is>
      </c>
      <c r="P1663" s="4" t="n">
        <v>1</v>
      </c>
      <c r="Q1663" s="4" t="n">
        <v>2863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연동면 응암리 584-13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105000</v>
      </c>
      <c r="G1664" s="4" t="n">
        <v>1429</v>
      </c>
      <c r="H1664" s="4" t="n">
        <v>432</v>
      </c>
      <c r="I1664" s="5" t="n">
        <v>243.1</v>
      </c>
      <c r="J1664" s="5" t="n">
        <v>103.4</v>
      </c>
      <c r="K1664" s="3" t="inlineStr">
        <is>
          <t>2차선 도로접한,대,평지로 땅모양 좋아요,5생활권 및 명학 산업단지 근접</t>
        </is>
      </c>
      <c r="L1664" s="6">
        <f>HYPERLINK("https://fin.land.naver.com/articles/2652213741", "매물Link")</f>
        <v/>
      </c>
      <c r="M1664" s="6">
        <f>HYPERLINK("https://map.naver.com/p/search/연동면 응암리 584-13", "지도Link")</f>
        <v/>
      </c>
      <c r="N1664" s="6">
        <f>HYPERLINK("http://www.eum.go.kr/web/ar/lu/luLandDet.jsp?pnu=3611032024105840013&amp;isNoScr=script&amp;mode=search", "토지이음")</f>
        <v/>
      </c>
      <c r="O1664" s="3" t="inlineStr">
        <is>
          <t>해밀탑</t>
        </is>
      </c>
      <c r="P1664" s="4" t="n">
        <v>2</v>
      </c>
      <c r="Q1664" s="4" t="n">
        <v>766</v>
      </c>
      <c r="R1664" s="3" t="inlineStr">
        <is>
          <t>지정되지않음</t>
        </is>
      </c>
      <c r="S1664" s="3" t="inlineStr">
        <is>
          <t>주거기타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연동면 응암리 584-13</t>
        </is>
      </c>
      <c r="B1665" s="3" t="inlineStr">
        <is>
          <t>계획관리지역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100000</v>
      </c>
      <c r="G1665" s="4" t="n">
        <v>1429</v>
      </c>
      <c r="H1665" s="4" t="n">
        <v>432</v>
      </c>
      <c r="I1665" s="5" t="n">
        <v>231.5</v>
      </c>
      <c r="J1665" s="5" t="n">
        <v>103.4</v>
      </c>
      <c r="K1665" s="3" t="inlineStr">
        <is>
          <t>2차선도로접  명학산업단지 5생활권 남청주ic 인근</t>
        </is>
      </c>
      <c r="L1665" s="6">
        <f>HYPERLINK("https://fin.land.naver.com/articles/2650660360", "매물Link")</f>
        <v/>
      </c>
      <c r="M1665" s="6">
        <f>HYPERLINK("https://map.naver.com/p/search/연동면 응암리 584-13", "지도Link")</f>
        <v/>
      </c>
      <c r="N1665" s="6">
        <f>HYPERLINK("http://www.eum.go.kr/web/ar/lu/luLandDet.jsp?pnu=3611032024105840013&amp;isNoScr=script&amp;mode=search", "토지이음")</f>
        <v/>
      </c>
      <c r="O1665" s="3" t="inlineStr">
        <is>
          <t>세종로또</t>
        </is>
      </c>
      <c r="P1665" s="4" t="n">
        <v>1</v>
      </c>
      <c r="Q1665" s="4" t="n">
        <v>766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연동면 응암리 602-3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27000</v>
      </c>
      <c r="G1666" s="4" t="n">
        <v>452</v>
      </c>
      <c r="H1666" s="4" t="n">
        <v>137</v>
      </c>
      <c r="I1666" s="5" t="n">
        <v>197.1</v>
      </c>
      <c r="J1666" s="5" t="n">
        <v>89.90000000000001</v>
      </c>
      <c r="K1666" s="3" t="inlineStr">
        <is>
          <t>nan</t>
        </is>
      </c>
      <c r="L1666" s="6">
        <f>HYPERLINK("https://fin.land.naver.com/articles/2651560789", "매물Link")</f>
        <v/>
      </c>
      <c r="M1666" s="6">
        <f>HYPERLINK("https://map.naver.com/p/search/연동면 응암리 602-3", "지도Link")</f>
        <v/>
      </c>
      <c r="N1666" s="6">
        <f>HYPERLINK("http://www.eum.go.kr/web/ar/lu/luLandDet.jsp?pnu=3611032024106020003&amp;isNoScr=script&amp;mode=search", "토지이음")</f>
        <v/>
      </c>
      <c r="O1666" s="3" t="inlineStr">
        <is>
          <t>부엉이</t>
        </is>
      </c>
      <c r="P1666" s="4" t="n">
        <v>1</v>
      </c>
      <c r="Q1666" s="4" t="n">
        <v>188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연동면 응암리 738-8</t>
        </is>
      </c>
      <c r="B1667" s="3" t="inlineStr">
        <is>
          <t>계획관리지역</t>
        </is>
      </c>
      <c r="C1667" s="3" t="inlineStr">
        <is>
          <t>주유소용지</t>
        </is>
      </c>
      <c r="D1667" s="3" t="inlineStr">
        <is>
          <t>주유소용지</t>
        </is>
      </c>
      <c r="E1667" s="3" t="inlineStr">
        <is>
          <t>매매</t>
        </is>
      </c>
      <c r="F1667" s="4" t="n">
        <v>270000</v>
      </c>
      <c r="G1667" s="4" t="n">
        <v>1420</v>
      </c>
      <c r="H1667" s="4" t="n">
        <v>430</v>
      </c>
      <c r="I1667" s="5" t="n">
        <v>627.9</v>
      </c>
      <c r="J1667" s="5" t="n">
        <v>160</v>
      </c>
      <c r="K1667" s="3" t="inlineStr">
        <is>
          <t>행정중심복합도시 진입 방향 건축가능한 나대지</t>
        </is>
      </c>
      <c r="L1667" s="6">
        <f>HYPERLINK("https://fin.land.naver.com/articles/2654934396", "매물Link")</f>
        <v/>
      </c>
      <c r="M1667" s="6">
        <f>HYPERLINK("https://map.naver.com/p/search/연동면 응암리 738-8", "지도Link")</f>
        <v/>
      </c>
      <c r="N1667" s="6">
        <f>HYPERLINK("http://www.eum.go.kr/web/ar/lu/luLandDet.jsp?pnu=3611032024107380008&amp;isNoScr=script&amp;mode=search", "토지이음")</f>
        <v/>
      </c>
      <c r="O1667" s="3" t="inlineStr">
        <is>
          <t>남산제일</t>
        </is>
      </c>
      <c r="P1667" s="4" t="n">
        <v>1</v>
      </c>
      <c r="Q1667" s="4" t="n">
        <v>1420</v>
      </c>
      <c r="R1667" s="3" t="inlineStr">
        <is>
          <t>지정되지않음</t>
        </is>
      </c>
      <c r="S1667" s="3" t="inlineStr">
        <is>
          <t>상업용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749-2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147000</v>
      </c>
      <c r="G1668" s="4" t="n">
        <v>972</v>
      </c>
      <c r="H1668" s="4" t="n">
        <v>294</v>
      </c>
      <c r="I1668" s="5" t="n">
        <v>500</v>
      </c>
      <c r="J1668" s="5" t="n">
        <v>76.2</v>
      </c>
      <c r="K1668" s="3" t="inlineStr">
        <is>
          <t>2차선접,땅모양 굿</t>
        </is>
      </c>
      <c r="L1668" s="6">
        <f>HYPERLINK("https://fin.land.naver.com/articles/2655494628", "매물Link")</f>
        <v/>
      </c>
      <c r="M1668" s="6">
        <f>HYPERLINK("https://map.naver.com/p/search/연동면 응암리 749-2", "지도Link")</f>
        <v/>
      </c>
      <c r="N1668" s="6">
        <f>HYPERLINK("http://www.eum.go.kr/web/ar/lu/luLandDet.jsp?pnu=3611032024107490002&amp;isNoScr=script&amp;mode=search", "토지이음")</f>
        <v/>
      </c>
      <c r="O1668" s="3" t="inlineStr">
        <is>
          <t>힐스테이트행복</t>
        </is>
      </c>
      <c r="P1668" s="4" t="n">
        <v>1</v>
      </c>
      <c r="Q1668" s="4" t="n">
        <v>972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연동면 응암리 산 28-9</t>
        </is>
      </c>
      <c r="B1669" s="3" t="inlineStr">
        <is>
          <t>계획관리지역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월세</t>
        </is>
      </c>
      <c r="F1669" s="4" t="n">
        <v>3000</v>
      </c>
      <c r="G1669" s="4" t="n">
        <v>8487</v>
      </c>
      <c r="H1669" s="4" t="n">
        <v>2567</v>
      </c>
      <c r="I1669" s="5" t="n">
        <v>0.4</v>
      </c>
      <c r="J1669" s="5" t="n">
        <v>16.9</v>
      </c>
      <c r="K1669" s="3" t="inlineStr">
        <is>
          <t>2차선도로 대형차량도 바로진입, 야적장 및 차고지등 추천</t>
        </is>
      </c>
      <c r="L1669" s="6">
        <f>HYPERLINK("https://fin.land.naver.com/articles/2652120642", "매물Link")</f>
        <v/>
      </c>
      <c r="M1669" s="6">
        <f>HYPERLINK("https://map.naver.com/p/search/연동면 응암리 산 28-9", "지도Link")</f>
        <v/>
      </c>
      <c r="N1669" s="6">
        <f>HYPERLINK("http://www.eum.go.kr/web/ar/lu/luLandDet.jsp?pnu=3611032024200280009&amp;isNoScr=script&amp;mode=search", "토지이음")</f>
        <v/>
      </c>
      <c r="O1669" s="3" t="inlineStr">
        <is>
          <t>연동스카이</t>
        </is>
      </c>
      <c r="P1669" s="4" t="n">
        <v>1</v>
      </c>
      <c r="Q1669" s="4" t="n">
        <v>8487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연동면 응암리 산42-6</t>
        </is>
      </c>
      <c r="B1670" s="3" t="inlineStr">
        <is>
          <t>계획관리지역</t>
        </is>
      </c>
      <c r="C1670" s="3" t="inlineStr">
        <is>
          <t>임야</t>
        </is>
      </c>
      <c r="D1670" s="3" t="inlineStr">
        <is>
          <t>임야</t>
        </is>
      </c>
      <c r="E1670" s="3" t="inlineStr">
        <is>
          <t>매매</t>
        </is>
      </c>
      <c r="F1670" s="4" t="n">
        <v>220000</v>
      </c>
      <c r="G1670" s="4" t="n">
        <v>5620</v>
      </c>
      <c r="H1670" s="4" t="n">
        <v>1700</v>
      </c>
      <c r="I1670" s="5" t="n">
        <v>129.4</v>
      </c>
      <c r="J1670" s="5" t="n">
        <v>13.1</v>
      </c>
      <c r="K1670" s="3" t="inlineStr">
        <is>
          <t>계획관리지역.4미터포장진입도로있음.물류창고용도활용가능.준보전산지.종중임야</t>
        </is>
      </c>
      <c r="L1670" s="6">
        <f>HYPERLINK("https://fin.land.naver.com/articles/2650950524", "매물Link")</f>
        <v/>
      </c>
      <c r="M1670" s="6">
        <f>HYPERLINK("https://map.naver.com/p/search/연동면 응암리 산42-6", "지도Link")</f>
        <v/>
      </c>
      <c r="N1670" s="6">
        <f>HYPERLINK("http://www.eum.go.kr/web/ar/lu/luLandDet.jsp?pnu=3611032024200420006&amp;isNoScr=script&amp;mode=search", "토지이음")</f>
        <v/>
      </c>
      <c r="O1670" s="3" t="inlineStr">
        <is>
          <t>돈방석</t>
        </is>
      </c>
      <c r="P1670" s="4" t="n">
        <v>1</v>
      </c>
      <c r="Q1670" s="4" t="n">
        <v>5620</v>
      </c>
      <c r="R1670" s="3" t="inlineStr">
        <is>
          <t>지정되지않음</t>
        </is>
      </c>
      <c r="S1670" s="3" t="inlineStr">
        <is>
          <t>자연림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합강리 485-10</t>
        </is>
      </c>
      <c r="B1671" s="3" t="inlineStr">
        <is>
          <t>보전관리지역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70000</v>
      </c>
      <c r="G1671" s="4" t="n">
        <v>655</v>
      </c>
      <c r="H1671" s="4" t="n">
        <v>198</v>
      </c>
      <c r="I1671" s="5" t="n">
        <v>353.5</v>
      </c>
      <c r="J1671" s="5" t="n">
        <v>165</v>
      </c>
      <c r="K1671" s="3" t="inlineStr">
        <is>
          <t>조율가능 남향 금강조망 전원주택지 급매</t>
        </is>
      </c>
      <c r="L1671" s="6">
        <f>HYPERLINK("https://fin.land.naver.com/articles/2654330711", "매물Link")</f>
        <v/>
      </c>
      <c r="M1671" s="6">
        <f>HYPERLINK("https://map.naver.com/p/search/연동면 합강리 485-10", "지도Link")</f>
        <v/>
      </c>
      <c r="N1671" s="6">
        <f>HYPERLINK("http://www.eum.go.kr/web/ar/lu/luLandDet.jsp?pnu=3611032028104850010&amp;isNoScr=script&amp;mode=search",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414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연동면 합강리 485-10</t>
        </is>
      </c>
      <c r="B1672" s="3" t="inlineStr">
        <is>
          <t>보전관리지역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70000</v>
      </c>
      <c r="G1672" s="4" t="n">
        <v>655</v>
      </c>
      <c r="H1672" s="4" t="n">
        <v>198</v>
      </c>
      <c r="I1672" s="5" t="n">
        <v>353.5</v>
      </c>
      <c r="J1672" s="5" t="n">
        <v>165</v>
      </c>
      <c r="K1672" s="3" t="inlineStr">
        <is>
          <t>강이 보이는 남향의 최고의 전원주택 부지 급 매매</t>
        </is>
      </c>
      <c r="L1672" s="6">
        <f>HYPERLINK("https://fin.land.naver.com/articles/2650228949", "매물Link")</f>
        <v/>
      </c>
      <c r="M1672" s="6">
        <f>HYPERLINK("https://map.naver.com/p/search/연동면 합강리 485-10", "지도Link")</f>
        <v/>
      </c>
      <c r="N1672" s="6">
        <f>HYPERLINK("http://www.eum.go.kr/web/ar/lu/luLandDet.jsp?pnu=3611032028104850010&amp;isNoScr=script&amp;mode=search", "토지이음")</f>
        <v/>
      </c>
      <c r="O1672" s="3" t="inlineStr">
        <is>
          <t>대전토지로무소</t>
        </is>
      </c>
      <c r="P1672" s="4" t="n">
        <v>1</v>
      </c>
      <c r="Q1672" s="4" t="n">
        <v>414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세로한면(가)</t>
        </is>
      </c>
    </row>
    <row r="1673">
      <c r="A1673" s="3" t="inlineStr">
        <is>
          <t>연동면 합강리 486-41</t>
        </is>
      </c>
      <c r="B1673" s="3" t="inlineStr">
        <is>
          <t>농림지역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110000</v>
      </c>
      <c r="G1673" s="4" t="n">
        <v>12036</v>
      </c>
      <c r="H1673" s="4" t="n">
        <v>3641</v>
      </c>
      <c r="I1673" s="5" t="n">
        <v>30.2</v>
      </c>
      <c r="J1673" s="5" t="n">
        <v>6</v>
      </c>
      <c r="K1673" s="3" t="inlineStr">
        <is>
          <t>세종시 연동면 합강리 금강 인근 임야 매매</t>
        </is>
      </c>
      <c r="L1673" s="6">
        <f>HYPERLINK("https://fin.land.naver.com/articles/2653813136", "매물Link")</f>
        <v/>
      </c>
      <c r="M1673" s="6">
        <f>HYPERLINK("https://map.naver.com/p/search/연동면 합강리 486-41", "지도Link")</f>
        <v/>
      </c>
      <c r="N1673" s="6">
        <f>HYPERLINK("http://www.eum.go.kr/web/ar/lu/luLandDet.jsp?pnu=3611032028104860041&amp;isNoScr=script&amp;mode=search", "토지이음")</f>
        <v/>
      </c>
      <c r="O1673" s="3" t="inlineStr">
        <is>
          <t>뉴스카이</t>
        </is>
      </c>
      <c r="P1673" s="4" t="n">
        <v>1</v>
      </c>
      <c r="Q1673" s="4" t="n">
        <v>10686</v>
      </c>
      <c r="R1673" s="3" t="inlineStr">
        <is>
          <t>보전관리지역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연동면 합강리 486-41</t>
        </is>
      </c>
      <c r="B1674" s="3" t="inlineStr">
        <is>
          <t>농림지역</t>
        </is>
      </c>
      <c r="C1674" s="3" t="inlineStr">
        <is>
          <t>임야</t>
        </is>
      </c>
      <c r="D1674" s="3" t="inlineStr">
        <is>
          <t>임야</t>
        </is>
      </c>
      <c r="E1674" s="3" t="inlineStr">
        <is>
          <t>매매</t>
        </is>
      </c>
      <c r="F1674" s="4" t="n">
        <v>73000</v>
      </c>
      <c r="G1674" s="4" t="n">
        <v>12036</v>
      </c>
      <c r="H1674" s="4" t="n">
        <v>3641</v>
      </c>
      <c r="I1674" s="5" t="n">
        <v>20</v>
      </c>
      <c r="J1674" s="5" t="n">
        <v>6</v>
      </c>
      <c r="K1674" s="3" t="inlineStr">
        <is>
          <t>조망이 좋고 투자가치가 높음, 인근에 비해 가격이 좋음</t>
        </is>
      </c>
      <c r="L1674" s="6">
        <f>HYPERLINK("https://fin.land.naver.com/articles/2654281254", "매물Link")</f>
        <v/>
      </c>
      <c r="M1674" s="6">
        <f>HYPERLINK("https://map.naver.com/p/search/연동면 합강리 486-41", "지도Link")</f>
        <v/>
      </c>
      <c r="N1674" s="6">
        <f>HYPERLINK("http://www.eum.go.kr/web/ar/lu/luLandDet.jsp?pnu=3611032028104860041&amp;isNoScr=script&amp;mode=search", "토지이음")</f>
        <v/>
      </c>
      <c r="O1674" s="3" t="inlineStr">
        <is>
          <t>새날</t>
        </is>
      </c>
      <c r="P1674" s="4" t="n">
        <v>1</v>
      </c>
      <c r="Q1674" s="4" t="n">
        <v>10686</v>
      </c>
      <c r="R1674" s="3" t="inlineStr">
        <is>
          <t>보전관리지역</t>
        </is>
      </c>
      <c r="S1674" s="3" t="inlineStr">
        <is>
          <t>자연림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연동면 합강리 486-41</t>
        </is>
      </c>
      <c r="B1675" s="3" t="inlineStr">
        <is>
          <t>농림지역</t>
        </is>
      </c>
      <c r="C1675" s="3" t="inlineStr">
        <is>
          <t>임야</t>
        </is>
      </c>
      <c r="D1675" s="3" t="inlineStr">
        <is>
          <t>임야</t>
        </is>
      </c>
      <c r="E1675" s="3" t="inlineStr">
        <is>
          <t>매매</t>
        </is>
      </c>
      <c r="F1675" s="4" t="n">
        <v>73000</v>
      </c>
      <c r="G1675" s="4" t="n">
        <v>12036</v>
      </c>
      <c r="H1675" s="4" t="n">
        <v>3641</v>
      </c>
      <c r="I1675" s="5" t="n">
        <v>20</v>
      </c>
      <c r="J1675" s="5" t="n">
        <v>6</v>
      </c>
      <c r="K1675" s="3" t="inlineStr">
        <is>
          <t>nan</t>
        </is>
      </c>
      <c r="L1675" s="6">
        <f>HYPERLINK("https://fin.land.naver.com/articles/2650048011", "매물Link")</f>
        <v/>
      </c>
      <c r="M1675" s="6">
        <f>HYPERLINK("https://map.naver.com/p/search/연동면 합강리 486-41", "지도Link")</f>
        <v/>
      </c>
      <c r="N1675" s="6">
        <f>HYPERLINK("http://www.eum.go.kr/web/ar/lu/luLandDet.jsp?pnu=3611032028104860041&amp;isNoScr=script&amp;mode=search", "토지이음")</f>
        <v/>
      </c>
      <c r="O1675" s="3" t="inlineStr">
        <is>
          <t>하이엔드</t>
        </is>
      </c>
      <c r="P1675" s="4" t="n">
        <v>1</v>
      </c>
      <c r="Q1675" s="4" t="n">
        <v>10686</v>
      </c>
      <c r="R1675" s="3" t="inlineStr">
        <is>
          <t>보전관리지역</t>
        </is>
      </c>
      <c r="S1675" s="3" t="inlineStr">
        <is>
          <t>자연림</t>
        </is>
      </c>
      <c r="T1675" s="3" t="inlineStr">
        <is>
          <t>급경사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연동면 합강리 490-14</t>
        </is>
      </c>
      <c r="B1676" s="3" t="inlineStr">
        <is>
          <t>보전관리지역</t>
        </is>
      </c>
      <c r="C1676" s="3" t="inlineStr">
        <is>
          <t>임야</t>
        </is>
      </c>
      <c r="D1676" s="3" t="inlineStr">
        <is>
          <t>임야</t>
        </is>
      </c>
      <c r="E1676" s="3" t="inlineStr">
        <is>
          <t>매매</t>
        </is>
      </c>
      <c r="F1676" s="4" t="n">
        <v>103000</v>
      </c>
      <c r="G1676" s="4" t="n">
        <v>682</v>
      </c>
      <c r="H1676" s="4" t="n">
        <v>206</v>
      </c>
      <c r="I1676" s="5" t="n">
        <v>500</v>
      </c>
      <c r="J1676" s="5" t="n">
        <v>165</v>
      </c>
      <c r="K1676" s="3" t="inlineStr">
        <is>
          <t>5생활권 인접한 세종의 꽃 합강리 무릉도원 배산임수 명당</t>
        </is>
      </c>
      <c r="L1676" s="6">
        <f>HYPERLINK("https://fin.land.naver.com/articles/2651745407", "매물Link")</f>
        <v/>
      </c>
      <c r="M1676" s="6">
        <f>HYPERLINK("https://map.naver.com/p/search/연동면 합강리 490-14", "지도Link")</f>
        <v/>
      </c>
      <c r="N1676" s="6">
        <f>HYPERLINK("http://www.eum.go.kr/web/ar/lu/luLandDet.jsp?pnu=3611032028104900014&amp;isNoScr=script&amp;mode=search", "토지이음")</f>
        <v/>
      </c>
      <c r="O1676" s="3" t="inlineStr">
        <is>
          <t>세종복댕이</t>
        </is>
      </c>
      <c r="P1676" s="4" t="n">
        <v>1</v>
      </c>
      <c r="Q1676" s="4" t="n">
        <v>682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완경사</t>
        </is>
      </c>
      <c r="U1676" s="3" t="inlineStr">
        <is>
          <t>가로장방</t>
        </is>
      </c>
      <c r="V1676" s="3" t="inlineStr">
        <is>
          <t>세로한면(가)</t>
        </is>
      </c>
    </row>
    <row r="1677">
      <c r="A1677" s="3" t="inlineStr">
        <is>
          <t>연동면 합강리 490-25</t>
        </is>
      </c>
      <c r="B1677" s="3" t="inlineStr">
        <is>
          <t>보전관리지역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85000</v>
      </c>
      <c r="G1677" s="4" t="n">
        <v>770</v>
      </c>
      <c r="H1677" s="4" t="n">
        <v>233</v>
      </c>
      <c r="I1677" s="5" t="n">
        <v>364.8</v>
      </c>
      <c r="J1677" s="5" t="n">
        <v>95.90000000000001</v>
      </c>
      <c r="K1677" s="3" t="inlineStr">
        <is>
          <t>강가에 별장자리최고입니다</t>
        </is>
      </c>
      <c r="L1677" s="6">
        <f>HYPERLINK("https://fin.land.naver.com/articles/2650471325", "매물Link")</f>
        <v/>
      </c>
      <c r="M1677" s="6">
        <f>HYPERLINK("https://map.naver.com/p/search/연동면 합강리 490-25", "지도Link")</f>
        <v/>
      </c>
      <c r="N1677" s="6">
        <f>HYPERLINK("http://www.eum.go.kr/web/ar/lu/luLandDet.jsp?pnu=3611032028104900025&amp;isNoScr=script&amp;mode=search", "토지이음")</f>
        <v/>
      </c>
      <c r="O1677" s="3" t="inlineStr">
        <is>
          <t>청정</t>
        </is>
      </c>
      <c r="P1677" s="4" t="n">
        <v>1</v>
      </c>
      <c r="Q1677" s="4" t="n">
        <v>769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연동면 합강리 492-4</t>
        </is>
      </c>
      <c r="B1678" s="3" t="inlineStr">
        <is>
          <t>보전관리지역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770000</v>
      </c>
      <c r="G1678" s="4" t="n">
        <v>2308</v>
      </c>
      <c r="H1678" s="4" t="n">
        <v>698</v>
      </c>
      <c r="I1678" s="5" t="n">
        <v>1103.2</v>
      </c>
      <c r="J1678" s="5" t="n">
        <v>107.6</v>
      </c>
      <c r="K1678" s="3" t="inlineStr">
        <is>
          <t>카페입지, 좋은 위치, 상수도 전기설비완료, 농막 시설물포함, 가격절충</t>
        </is>
      </c>
      <c r="L1678" s="6">
        <f>HYPERLINK("https://fin.land.naver.com/articles/2655519734", "매물Link")</f>
        <v/>
      </c>
      <c r="M1678" s="6">
        <f>HYPERLINK("https://map.naver.com/p/search/연동면 합강리 492-4", "지도Link")</f>
        <v/>
      </c>
      <c r="N1678" s="6">
        <f>HYPERLINK("http://www.eum.go.kr/web/ar/lu/luLandDet.jsp?pnu=3611032028104920004&amp;isNoScr=script&amp;mode=search", "토지이음")</f>
        <v/>
      </c>
      <c r="O1678" s="3" t="inlineStr">
        <is>
          <t>황금힐스테이트</t>
        </is>
      </c>
      <c r="P1678" s="4" t="n">
        <v>1</v>
      </c>
      <c r="Q1678" s="4" t="n">
        <v>2308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연동면 합강리 500-24</t>
        </is>
      </c>
      <c r="B1679" s="3" t="inlineStr">
        <is>
          <t>보전관리지역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98000</v>
      </c>
      <c r="G1679" s="4" t="n">
        <v>647</v>
      </c>
      <c r="H1679" s="4" t="n">
        <v>196</v>
      </c>
      <c r="I1679" s="5" t="n">
        <v>500</v>
      </c>
      <c r="J1679" s="5" t="n">
        <v>158.2</v>
      </c>
      <c r="K1679" s="3" t="inlineStr">
        <is>
          <t>전망 좋은 주택지</t>
        </is>
      </c>
      <c r="L1679" s="6">
        <f>HYPERLINK("https://fin.land.naver.com/articles/2652793860", "매물Link")</f>
        <v/>
      </c>
      <c r="M1679" s="6">
        <f>HYPERLINK("https://map.naver.com/p/search/연동면 합강리 500-24", "지도Link")</f>
        <v/>
      </c>
      <c r="N1679" s="6">
        <f>HYPERLINK("http://www.eum.go.kr/web/ar/lu/luLandDet.jsp?pnu=3611032028105000024&amp;isNoScr=script&amp;mode=search",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647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고복리 112-1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37500</v>
      </c>
      <c r="G1680" s="4" t="n">
        <v>946</v>
      </c>
      <c r="H1680" s="4" t="n">
        <v>286</v>
      </c>
      <c r="I1680" s="5" t="n">
        <v>131.1</v>
      </c>
      <c r="J1680" s="5" t="n">
        <v>66</v>
      </c>
      <c r="K1680" s="3" t="inlineStr">
        <is>
          <t>고복리 계획관리지역 대와 전으로 시세보다 저렴한 2필지 일괄매매.</t>
        </is>
      </c>
      <c r="L1680" s="6">
        <f>HYPERLINK("https://fin.land.naver.com/articles/2653550278", "매물Link")</f>
        <v/>
      </c>
      <c r="M1680" s="6">
        <f>HYPERLINK("https://map.naver.com/p/search/연서면 고복리 112-1", "지도Link")</f>
        <v/>
      </c>
      <c r="N1680" s="6">
        <f>HYPERLINK("http://www.eum.go.kr/web/ar/lu/luLandDet.jsp?pnu=3611036024101120001&amp;isNoScr=script&amp;mode=search",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377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맹지</t>
        </is>
      </c>
    </row>
    <row r="1681">
      <c r="A1681" s="3" t="inlineStr">
        <is>
          <t>연서면 고복리 112-1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37000</v>
      </c>
      <c r="G1681" s="4" t="n">
        <v>946</v>
      </c>
      <c r="H1681" s="4" t="n">
        <v>286</v>
      </c>
      <c r="I1681" s="5" t="n">
        <v>129.4</v>
      </c>
      <c r="J1681" s="5" t="n">
        <v>66</v>
      </c>
      <c r="K1681" s="3" t="inlineStr">
        <is>
          <t>고복리 계획관리지역 매매,  2차선 도로 150m  위치 좋은 토지</t>
        </is>
      </c>
      <c r="L1681" s="6">
        <f>HYPERLINK("https://fin.land.naver.com/articles/2653959002", "매물Link")</f>
        <v/>
      </c>
      <c r="M1681" s="6">
        <f>HYPERLINK("https://map.naver.com/p/search/연서면 고복리 112-1", "지도Link")</f>
        <v/>
      </c>
      <c r="N1681" s="6">
        <f>HYPERLINK("http://www.eum.go.kr/web/ar/lu/luLandDet.jsp?pnu=3611036024101120001&amp;isNoScr=script&amp;mode=search",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377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맹지</t>
        </is>
      </c>
    </row>
    <row r="1682">
      <c r="A1682" s="3" t="inlineStr">
        <is>
          <t>연서면 고복리 174-1</t>
        </is>
      </c>
      <c r="B1682" s="3" t="inlineStr">
        <is>
          <t>생산관리지역</t>
        </is>
      </c>
      <c r="C1682" s="3" t="inlineStr">
        <is>
          <t>과수원</t>
        </is>
      </c>
      <c r="D1682" s="3" t="inlineStr">
        <is>
          <t>과수원</t>
        </is>
      </c>
      <c r="E1682" s="3" t="inlineStr">
        <is>
          <t>매매</t>
        </is>
      </c>
      <c r="F1682" s="4" t="n">
        <v>8370</v>
      </c>
      <c r="G1682" s="4" t="n">
        <v>615</v>
      </c>
      <c r="H1682" s="4" t="n">
        <v>186</v>
      </c>
      <c r="I1682" s="5" t="n">
        <v>45</v>
      </c>
      <c r="J1682" s="5" t="n">
        <v>23.4</v>
      </c>
      <c r="K1682" s="3" t="inlineStr">
        <is>
          <t>소액추천매물,주말농장겸 투자용으로 미래가치 까지 가져가세요</t>
        </is>
      </c>
      <c r="L1682" s="6">
        <f>HYPERLINK("https://fin.land.naver.com/articles/2653031640", "매물Link")</f>
        <v/>
      </c>
      <c r="M1682" s="6">
        <f>HYPERLINK("https://map.naver.com/p/search/연서면 고복리 174-1", "지도Link")</f>
        <v/>
      </c>
      <c r="N1682" s="6">
        <f>HYPERLINK("http://www.eum.go.kr/web/ar/lu/luLandDet.jsp?pnu=3611036024101740001&amp;isNoScr=script&amp;mode=search", "토지이음")</f>
        <v/>
      </c>
      <c r="O1682" s="3" t="inlineStr">
        <is>
          <t>가치잇는</t>
        </is>
      </c>
      <c r="P1682" s="4" t="n">
        <v>1</v>
      </c>
      <c r="Q1682" s="4" t="n">
        <v>615</v>
      </c>
      <c r="R1682" s="3" t="inlineStr">
        <is>
          <t>지정되지않음</t>
        </is>
      </c>
      <c r="S1682" s="3" t="inlineStr">
        <is>
          <t>과수원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맹지</t>
        </is>
      </c>
    </row>
    <row r="1683">
      <c r="A1683" s="3" t="inlineStr">
        <is>
          <t>연서면 고복리 186-1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29000</v>
      </c>
      <c r="G1683" s="4" t="n">
        <v>1964</v>
      </c>
      <c r="H1683" s="4" t="n">
        <v>594</v>
      </c>
      <c r="I1683" s="5" t="n">
        <v>48.8</v>
      </c>
      <c r="J1683" s="5" t="n">
        <v>22.6</v>
      </c>
      <c r="K1683" s="3" t="inlineStr">
        <is>
          <t>고복저수지 근방 대토또는 과수원으로 경작 추천 ,2필지 일괄매매</t>
        </is>
      </c>
      <c r="L1683" s="6">
        <f>HYPERLINK("https://fin.land.naver.com/articles/2653426450", "매물Link")</f>
        <v/>
      </c>
      <c r="M1683" s="6">
        <f>HYPERLINK("https://map.naver.com/p/search/연서면 고복리 186-1", "지도Link")</f>
        <v/>
      </c>
      <c r="N1683" s="6">
        <f>HYPERLINK("http://www.eum.go.kr/web/ar/lu/luLandDet.jsp?pnu=3611036024101860001&amp;isNoScr=script&amp;mode=search", "토지이음")</f>
        <v/>
      </c>
      <c r="O1683" s="3" t="inlineStr">
        <is>
          <t>담뜰</t>
        </is>
      </c>
      <c r="P1683" s="4" t="n">
        <v>1</v>
      </c>
      <c r="Q1683" s="4" t="n">
        <v>582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연서면 고복리 221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20000</v>
      </c>
      <c r="G1684" s="4" t="n">
        <v>521</v>
      </c>
      <c r="H1684" s="4" t="n">
        <v>158</v>
      </c>
      <c r="I1684" s="5" t="n">
        <v>126.6</v>
      </c>
      <c r="J1684" s="5" t="n">
        <v>66.7</v>
      </c>
      <c r="K1684" s="3" t="inlineStr">
        <is>
          <t>nan</t>
        </is>
      </c>
      <c r="L1684" s="6">
        <f>HYPERLINK("https://fin.land.naver.com/articles/2650838247", "매물Link")</f>
        <v/>
      </c>
      <c r="M1684" s="6">
        <f>HYPERLINK("https://map.naver.com/p/search/연서면 고복리 221", "지도Link")</f>
        <v/>
      </c>
      <c r="N1684" s="6">
        <f>HYPERLINK("http://www.eum.go.kr/web/ar/lu/luLandDet.jsp?pnu=3611036024102210000&amp;isNoScr=script&amp;mode=search", "토지이음")</f>
        <v/>
      </c>
      <c r="O1684" s="3" t="inlineStr">
        <is>
          <t>세종금밭</t>
        </is>
      </c>
      <c r="P1684" s="4" t="n">
        <v>1</v>
      </c>
      <c r="Q1684" s="4" t="n">
        <v>521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세로한면(불)</t>
        </is>
      </c>
    </row>
    <row r="1685">
      <c r="A1685" s="3" t="inlineStr">
        <is>
          <t>연서면 고복리 221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20000</v>
      </c>
      <c r="G1685" s="4" t="n">
        <v>521</v>
      </c>
      <c r="H1685" s="4" t="n">
        <v>158</v>
      </c>
      <c r="I1685" s="5" t="n">
        <v>126.6</v>
      </c>
      <c r="J1685" s="5" t="n">
        <v>66.7</v>
      </c>
      <c r="K1685" s="3" t="inlineStr">
        <is>
          <t>o토지급매o 고복리 계획관리지역으로 주택과 창고 있는 저렴한 토지</t>
        </is>
      </c>
      <c r="L1685" s="6">
        <f>HYPERLINK("https://fin.land.naver.com/articles/2650800982", "매물Link")</f>
        <v/>
      </c>
      <c r="M1685" s="6">
        <f>HYPERLINK("https://map.naver.com/p/search/연서면 고복리 221", "지도Link")</f>
        <v/>
      </c>
      <c r="N1685" s="6">
        <f>HYPERLINK("http://www.eum.go.kr/web/ar/lu/luLandDet.jsp?pnu=3611036024102210000&amp;isNoScr=script&amp;mode=search", "토지이음")</f>
        <v/>
      </c>
      <c r="O1685" s="3" t="inlineStr">
        <is>
          <t>은주</t>
        </is>
      </c>
      <c r="P1685" s="4" t="n">
        <v>1</v>
      </c>
      <c r="Q1685" s="4" t="n">
        <v>521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세로한면(불)</t>
        </is>
      </c>
    </row>
    <row r="1686">
      <c r="A1686" s="3" t="inlineStr">
        <is>
          <t>연서면 고복리 291-3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과수원</t>
        </is>
      </c>
      <c r="E1686" s="3" t="inlineStr">
        <is>
          <t>매매</t>
        </is>
      </c>
      <c r="F1686" s="4" t="n">
        <v>97000</v>
      </c>
      <c r="G1686" s="4" t="n">
        <v>4599</v>
      </c>
      <c r="H1686" s="4" t="n">
        <v>1391</v>
      </c>
      <c r="I1686" s="5" t="n">
        <v>69.7</v>
      </c>
      <c r="J1686" s="5" t="n">
        <v>50.5</v>
      </c>
      <c r="K1686" s="3" t="inlineStr">
        <is>
          <t>고복리 계획관리와 생산관리지역으로 지목이 대,과수원,창고시설 일괄급매.</t>
        </is>
      </c>
      <c r="L1686" s="6">
        <f>HYPERLINK("https://fin.land.naver.com/articles/2651207214", "매물Link")</f>
        <v/>
      </c>
      <c r="M1686" s="6">
        <f>HYPERLINK("https://map.naver.com/p/search/연서면 고복리 291-3", "지도Link")</f>
        <v/>
      </c>
      <c r="N1686" s="6">
        <f>HYPERLINK("http://www.eum.go.kr/web/ar/lu/luLandDet.jsp?pnu=3611036024102910003&amp;isNoScr=script&amp;mode=search", "토지이음")</f>
        <v/>
      </c>
      <c r="O1686" s="3" t="inlineStr">
        <is>
          <t>세종대장</t>
        </is>
      </c>
      <c r="P1686" s="4" t="n">
        <v>1</v>
      </c>
      <c r="Q1686" s="4" t="n">
        <v>863</v>
      </c>
      <c r="R1686" s="3" t="inlineStr">
        <is>
          <t>생산관리지역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연서면 고복리 294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80000</v>
      </c>
      <c r="G1687" s="4" t="n">
        <v>2922</v>
      </c>
      <c r="H1687" s="4" t="n">
        <v>884</v>
      </c>
      <c r="I1687" s="5" t="n">
        <v>90.5</v>
      </c>
      <c r="J1687" s="5" t="n">
        <v>32.5</v>
      </c>
      <c r="K1687" s="3" t="inlineStr">
        <is>
          <t>급매, 연서면 고복리 마을포장도로에 접한 생산관리지역 과수원을 급매합니다</t>
        </is>
      </c>
      <c r="L1687" s="6">
        <f>HYPERLINK("https://fin.land.naver.com/articles/2652998310", "매물Link")</f>
        <v/>
      </c>
      <c r="M1687" s="6">
        <f>HYPERLINK("https://map.naver.com/p/search/연서면 고복리 294", "지도Link")</f>
        <v/>
      </c>
      <c r="N1687" s="6">
        <f>HYPERLINK("http://www.eum.go.kr/web/ar/lu/luLandDet.jsp?pnu=3611036024102940000&amp;isNoScr=script&amp;mode=search", "토지이음")</f>
        <v/>
      </c>
      <c r="O1687" s="3" t="inlineStr">
        <is>
          <t>스마일세종</t>
        </is>
      </c>
      <c r="P1687" s="4" t="n">
        <v>1</v>
      </c>
      <c r="Q1687" s="4" t="n">
        <v>2922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고복리 395</t>
        </is>
      </c>
      <c r="B1688" s="3" t="inlineStr">
        <is>
          <t>보전관리지역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60000</v>
      </c>
      <c r="G1688" s="4" t="n">
        <v>3587</v>
      </c>
      <c r="H1688" s="4" t="n">
        <v>1085</v>
      </c>
      <c r="I1688" s="5" t="n">
        <v>55.3</v>
      </c>
      <c r="J1688" s="5" t="n">
        <v>21.6</v>
      </c>
      <c r="K1688" s="3" t="inlineStr">
        <is>
          <t>고복저수지 인근 투자용도로 추천  가격 조율 가능</t>
        </is>
      </c>
      <c r="L1688" s="6">
        <f>HYPERLINK("https://fin.land.naver.com/articles/2655115522", "매물Link")</f>
        <v/>
      </c>
      <c r="M1688" s="6">
        <f>HYPERLINK("https://map.naver.com/p/search/연서면 고복리 395", "지도Link")</f>
        <v/>
      </c>
      <c r="N1688" s="6">
        <f>HYPERLINK("http://www.eum.go.kr/web/ar/lu/luLandDet.jsp?pnu=3611036024103950000&amp;isNoScr=script&amp;mode=search", "토지이음")</f>
        <v/>
      </c>
      <c r="O1688" s="3" t="inlineStr">
        <is>
          <t>뉴엘리트탑</t>
        </is>
      </c>
      <c r="P1688" s="4" t="n">
        <v>1</v>
      </c>
      <c r="Q1688" s="4" t="n">
        <v>3587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고복리 415-34</t>
        </is>
      </c>
      <c r="B1689" s="3" t="inlineStr">
        <is>
          <t>보전관리지역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54000</v>
      </c>
      <c r="G1689" s="4" t="n">
        <v>725</v>
      </c>
      <c r="H1689" s="4" t="n">
        <v>219</v>
      </c>
      <c r="I1689" s="5" t="n">
        <v>246.6</v>
      </c>
      <c r="J1689" s="5" t="n">
        <v>122.9</v>
      </c>
      <c r="K1689" s="3" t="inlineStr">
        <is>
          <t>고복저수지 뷰 좋아요</t>
        </is>
      </c>
      <c r="L1689" s="6">
        <f>HYPERLINK("https://fin.land.naver.com/articles/2655169396", "매물Link")</f>
        <v/>
      </c>
      <c r="M1689" s="6">
        <f>HYPERLINK("https://map.naver.com/p/search/연서면 고복리 415-34", "지도Link")</f>
        <v/>
      </c>
      <c r="N1689" s="6">
        <f>HYPERLINK("http://www.eum.go.kr/web/ar/lu/luLandDet.jsp?pnu=3611036024104150034&amp;isNoScr=script&amp;mode=search", "토지이음")</f>
        <v/>
      </c>
      <c r="O1689" s="3" t="inlineStr">
        <is>
          <t>세종대박</t>
        </is>
      </c>
      <c r="P1689" s="4" t="n">
        <v>1</v>
      </c>
      <c r="Q1689" s="4" t="n">
        <v>725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고복리 415-54</t>
        </is>
      </c>
      <c r="B1690" s="3" t="inlineStr">
        <is>
          <t>보전관리지역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404000</v>
      </c>
      <c r="G1690" s="4" t="n">
        <v>3904</v>
      </c>
      <c r="H1690" s="4" t="n">
        <v>1181</v>
      </c>
      <c r="I1690" s="5" t="n">
        <v>342.1</v>
      </c>
      <c r="J1690" s="5" t="n">
        <v>116.1</v>
      </c>
      <c r="K1690" s="3" t="inlineStr">
        <is>
          <t>고복저수지 바로 인접한 토지매매 넓은 면적에 탁트인 전망 매매가격 조절가</t>
        </is>
      </c>
      <c r="L1690" s="6">
        <f>HYPERLINK("https://fin.land.naver.com/articles/2653534610", "매물Link")</f>
        <v/>
      </c>
      <c r="M1690" s="6">
        <f>HYPERLINK("https://map.naver.com/p/search/연서면 고복리 415-54", "지도Link")</f>
        <v/>
      </c>
      <c r="N1690" s="6">
        <f>HYPERLINK("http://www.eum.go.kr/web/ar/lu/luLandDet.jsp?pnu=3611036024104150054&amp;isNoScr=script&amp;mode=search", "토지이음")</f>
        <v/>
      </c>
      <c r="O1690" s="3" t="inlineStr">
        <is>
          <t>효성해링턴오복</t>
        </is>
      </c>
      <c r="P1690" s="4" t="n">
        <v>1</v>
      </c>
      <c r="Q1690" s="4" t="n">
        <v>599</v>
      </c>
      <c r="R1690" s="3" t="inlineStr">
        <is>
          <t>지정되지않음</t>
        </is>
      </c>
      <c r="S1690" s="3" t="inlineStr">
        <is>
          <t>주거기타</t>
        </is>
      </c>
      <c r="T1690" s="3" t="inlineStr">
        <is>
          <t>완경사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연서면 고복리 42-7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53340</v>
      </c>
      <c r="G1691" s="4" t="n">
        <v>2940</v>
      </c>
      <c r="H1691" s="4" t="n">
        <v>889</v>
      </c>
      <c r="I1691" s="5" t="n">
        <v>60</v>
      </c>
      <c r="J1691" s="5" t="n">
        <v>21.1</v>
      </c>
      <c r="K1691" s="3" t="inlineStr">
        <is>
          <t>nan</t>
        </is>
      </c>
      <c r="L1691" s="6">
        <f>HYPERLINK("https://fin.land.naver.com/articles/2654680424", "매물Link")</f>
        <v/>
      </c>
      <c r="M1691" s="6">
        <f>HYPERLINK("https://map.naver.com/p/search/연서면 고복리 42-7", "지도Link")</f>
        <v/>
      </c>
      <c r="N1691" s="6">
        <f>HYPERLINK("http://www.eum.go.kr/web/ar/lu/luLandDet.jsp?pnu=3611036024100420007&amp;isNoScr=script&amp;mode=search", "토지이음")</f>
        <v/>
      </c>
      <c r="O1691" s="3" t="inlineStr">
        <is>
          <t>푸른들</t>
        </is>
      </c>
      <c r="P1691" s="4" t="n">
        <v>1</v>
      </c>
      <c r="Q1691" s="4" t="n">
        <v>2940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세로한면(가)</t>
        </is>
      </c>
    </row>
    <row r="1692">
      <c r="A1692" s="3" t="inlineStr">
        <is>
          <t>연서면 고복리 45-4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70800</v>
      </c>
      <c r="G1692" s="4" t="n">
        <v>3900</v>
      </c>
      <c r="H1692" s="4" t="n">
        <v>1180</v>
      </c>
      <c r="I1692" s="5" t="n">
        <v>60</v>
      </c>
      <c r="J1692" s="5" t="n">
        <v>21.1</v>
      </c>
      <c r="K1692" s="3" t="inlineStr">
        <is>
          <t>절충가능한 연서면 고복리 농림지역 대토용 토지를 급매합니다</t>
        </is>
      </c>
      <c r="L1692" s="6">
        <f>HYPERLINK("https://fin.land.naver.com/articles/2651243984", "매물Link")</f>
        <v/>
      </c>
      <c r="M1692" s="6">
        <f>HYPERLINK("https://map.naver.com/p/search/연서면 고복리 45-4", "지도Link")</f>
        <v/>
      </c>
      <c r="N1692" s="6">
        <f>HYPERLINK("http://www.eum.go.kr/web/ar/lu/luLandDet.jsp?pnu=3611036024100450004&amp;isNoScr=script&amp;mode=search",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2900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연서면 고복리 456-1</t>
        </is>
      </c>
      <c r="B1693" s="3" t="inlineStr">
        <is>
          <t>자연환경보전지역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월세</t>
        </is>
      </c>
      <c r="F1693" s="4" t="n">
        <v>3000</v>
      </c>
      <c r="G1693" s="4" t="n">
        <v>506</v>
      </c>
      <c r="H1693" s="4" t="n">
        <v>153</v>
      </c>
      <c r="I1693" s="5" t="n">
        <v>0.3</v>
      </c>
      <c r="J1693" s="5" t="n">
        <v>92.3</v>
      </c>
      <c r="K1693" s="3" t="inlineStr">
        <is>
          <t>고복저수지인근의 자연속 바베큐공간임대, 바로사업가능해요.</t>
        </is>
      </c>
      <c r="L1693" s="6">
        <f>HYPERLINK("https://fin.land.naver.com/articles/2654916921", "매물Link")</f>
        <v/>
      </c>
      <c r="M1693" s="6">
        <f>HYPERLINK("https://map.naver.com/p/search/연서면 고복리 456-1", "지도Link")</f>
        <v/>
      </c>
      <c r="N1693" s="6">
        <f>HYPERLINK("http://www.eum.go.kr/web/ar/lu/luLandDet.jsp?pnu=3611036024104560001&amp;isNoScr=script&amp;mode=search", "토지이음")</f>
        <v/>
      </c>
      <c r="O1693" s="3" t="inlineStr">
        <is>
          <t>세종복댕이</t>
        </is>
      </c>
      <c r="P1693" s="4" t="n">
        <v>1</v>
      </c>
      <c r="Q1693" s="4" t="n">
        <v>506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고복리 46-5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79000</v>
      </c>
      <c r="G1694" s="4" t="n">
        <v>2980</v>
      </c>
      <c r="H1694" s="4" t="n">
        <v>901</v>
      </c>
      <c r="I1694" s="5" t="n">
        <v>87.7</v>
      </c>
      <c r="J1694" s="5" t="n">
        <v>21.1</v>
      </c>
      <c r="K1694" s="3" t="inlineStr">
        <is>
          <t>nan</t>
        </is>
      </c>
      <c r="L1694" s="6">
        <f>HYPERLINK("https://fin.land.naver.com/articles/2651972162", "매물Link")</f>
        <v/>
      </c>
      <c r="M1694" s="6">
        <f>HYPERLINK("https://map.naver.com/p/search/연서면 고복리 46-5", "지도Link")</f>
        <v/>
      </c>
      <c r="N1694" s="6">
        <f>HYPERLINK("http://www.eum.go.kr/web/ar/lu/luLandDet.jsp?pnu=3611036024100460005&amp;isNoScr=script&amp;mode=search", "토지이음")</f>
        <v/>
      </c>
      <c r="O1694" s="3" t="inlineStr">
        <is>
          <t>행운IPARK</t>
        </is>
      </c>
      <c r="P1694" s="4" t="n">
        <v>1</v>
      </c>
      <c r="Q1694" s="4" t="n">
        <v>2980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고복리 469-2</t>
        </is>
      </c>
      <c r="B1695" s="3" t="inlineStr">
        <is>
          <t>자연환경보전지역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120000</v>
      </c>
      <c r="G1695" s="4" t="n">
        <v>718</v>
      </c>
      <c r="H1695" s="4" t="n">
        <v>217</v>
      </c>
      <c r="I1695" s="5" t="n">
        <v>553</v>
      </c>
      <c r="J1695" s="5" t="n">
        <v>67.8</v>
      </c>
      <c r="K1695" s="3" t="inlineStr">
        <is>
          <t>고복저수지 책 박물관 옆</t>
        </is>
      </c>
      <c r="L1695" s="6">
        <f>HYPERLINK("https://fin.land.naver.com/articles/2652702587", "매물Link")</f>
        <v/>
      </c>
      <c r="M1695" s="6">
        <f>HYPERLINK("https://map.naver.com/p/search/연서면 고복리 469-2", "지도Link")</f>
        <v/>
      </c>
      <c r="N1695" s="6">
        <f>HYPERLINK("http://www.eum.go.kr/web/ar/lu/luLandDet.jsp?pnu=3611036024104690002&amp;isNoScr=script&amp;mode=search", "토지이음")</f>
        <v/>
      </c>
      <c r="O1695" s="3" t="inlineStr">
        <is>
          <t>새땅</t>
        </is>
      </c>
      <c r="P1695" s="4" t="n">
        <v>1</v>
      </c>
      <c r="Q1695" s="4" t="n">
        <v>390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세로한면(불)</t>
        </is>
      </c>
    </row>
    <row r="1696">
      <c r="A1696" s="3" t="inlineStr">
        <is>
          <t>연서면 고복리 548-16</t>
        </is>
      </c>
      <c r="B1696" s="3" t="inlineStr">
        <is>
          <t>보전관리지역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37000</v>
      </c>
      <c r="G1696" s="4" t="n">
        <v>425</v>
      </c>
      <c r="H1696" s="4" t="n">
        <v>129</v>
      </c>
      <c r="I1696" s="5" t="n">
        <v>286.8</v>
      </c>
      <c r="J1696" s="5" t="n">
        <v>46.8</v>
      </c>
      <c r="K1696" s="3" t="inlineStr">
        <is>
          <t>nan</t>
        </is>
      </c>
      <c r="L1696" s="6">
        <f>HYPERLINK("https://fin.land.naver.com/articles/2653834732", "매물Link")</f>
        <v/>
      </c>
      <c r="M1696" s="6">
        <f>HYPERLINK("https://map.naver.com/p/search/연서면 고복리 548-16", "지도Link")</f>
        <v/>
      </c>
      <c r="N1696" s="6">
        <f>HYPERLINK("http://www.eum.go.kr/web/ar/lu/luLandDet.jsp?pnu=3611036024105480016&amp;isNoScr=script&amp;mode=search", "토지이음")</f>
        <v/>
      </c>
      <c r="O1696" s="3" t="inlineStr">
        <is>
          <t>KB</t>
        </is>
      </c>
      <c r="P1696" s="4" t="n">
        <v>1</v>
      </c>
      <c r="Q1696" s="4" t="n">
        <v>756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연서면 고복리 556-12</t>
        </is>
      </c>
      <c r="B1697" s="3" t="inlineStr">
        <is>
          <t>보전관리지역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69000</v>
      </c>
      <c r="G1697" s="4" t="n">
        <v>1140</v>
      </c>
      <c r="H1697" s="4" t="n">
        <v>345</v>
      </c>
      <c r="I1697" s="5" t="n">
        <v>200</v>
      </c>
      <c r="J1697" s="5" t="n">
        <v>52.8</v>
      </c>
      <c r="K1697" s="3" t="inlineStr">
        <is>
          <t>고복저수지 최고 조망권을 가진 주택지</t>
        </is>
      </c>
      <c r="L1697" s="6">
        <f>HYPERLINK("https://fin.land.naver.com/articles/2651942581", "매물Link")</f>
        <v/>
      </c>
      <c r="M1697" s="6">
        <f>HYPERLINK("https://map.naver.com/p/search/연서면 고복리 556-12", "지도Link")</f>
        <v/>
      </c>
      <c r="N1697" s="6">
        <f>HYPERLINK("http://www.eum.go.kr/web/ar/lu/luLandDet.jsp?pnu=3611036024105560012&amp;isNoScr=script&amp;mode=search", "토지이음")</f>
        <v/>
      </c>
      <c r="O1697" s="3" t="inlineStr">
        <is>
          <t>용궁</t>
        </is>
      </c>
      <c r="P1697" s="4" t="n">
        <v>1</v>
      </c>
      <c r="Q1697" s="4" t="n">
        <v>1139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고복리 556-28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184000</v>
      </c>
      <c r="G1698" s="4" t="n">
        <v>1520</v>
      </c>
      <c r="H1698" s="4" t="n">
        <v>460</v>
      </c>
      <c r="I1698" s="5" t="n">
        <v>400</v>
      </c>
      <c r="J1698" s="5" t="n">
        <v>119.4</v>
      </c>
      <c r="K1698" s="3" t="inlineStr">
        <is>
          <t>2필지 대지와근생건물 일괄매매.고복저수지인접.</t>
        </is>
      </c>
      <c r="L1698" s="6">
        <f>HYPERLINK("https://fin.land.naver.com/articles/2652823595", "매물Link")</f>
        <v/>
      </c>
      <c r="M1698" s="6">
        <f>HYPERLINK("https://map.naver.com/p/search/연서면 고복리 556-28", "지도Link")</f>
        <v/>
      </c>
      <c r="N1698" s="6">
        <f>HYPERLINK("http://www.eum.go.kr/web/ar/lu/luLandDet.jsp?pnu=3611036024105560028&amp;isNoScr=script&amp;mode=search", "토지이음")</f>
        <v/>
      </c>
      <c r="O1698" s="3" t="inlineStr">
        <is>
          <t>담뜰</t>
        </is>
      </c>
      <c r="P1698" s="4" t="n">
        <v>1</v>
      </c>
      <c r="Q1698" s="4" t="n">
        <v>793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연서면 고복리 56-10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21000</v>
      </c>
      <c r="G1699" s="4" t="n">
        <v>2010</v>
      </c>
      <c r="H1699" s="4" t="n">
        <v>608</v>
      </c>
      <c r="I1699" s="5" t="n">
        <v>34.5</v>
      </c>
      <c r="J1699" s="5" t="n">
        <v>22</v>
      </c>
      <c r="K1699" s="3" t="inlineStr">
        <is>
          <t>투자용, 주말 농장용으로 추천 합니다</t>
        </is>
      </c>
      <c r="L1699" s="6">
        <f>HYPERLINK("https://fin.land.naver.com/articles/2650856617", "매물Link")</f>
        <v/>
      </c>
      <c r="M1699" s="6">
        <f>HYPERLINK("https://map.naver.com/p/search/연서면 고복리 56-10", "지도Link")</f>
        <v/>
      </c>
      <c r="N1699" s="6">
        <f>HYPERLINK("http://www.eum.go.kr/web/ar/lu/luLandDet.jsp?pnu=3611036024100560010&amp;isNoScr=script&amp;mode=search", "토지이음")</f>
        <v/>
      </c>
      <c r="O1699" s="3" t="inlineStr">
        <is>
          <t>세종대박</t>
        </is>
      </c>
      <c r="P1699" s="4" t="n">
        <v>1</v>
      </c>
      <c r="Q1699" s="4" t="n">
        <v>2010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연서면 고복리 56-10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24000</v>
      </c>
      <c r="G1700" s="4" t="n">
        <v>2010</v>
      </c>
      <c r="H1700" s="4" t="n">
        <v>608</v>
      </c>
      <c r="I1700" s="5" t="n">
        <v>39.5</v>
      </c>
      <c r="J1700" s="5" t="n">
        <v>22</v>
      </c>
      <c r="K1700" s="3" t="inlineStr">
        <is>
          <t>대토용 및 주말농장</t>
        </is>
      </c>
      <c r="L1700" s="6">
        <f>HYPERLINK("https://fin.land.naver.com/articles/2652095031", "매물Link")</f>
        <v/>
      </c>
      <c r="M1700" s="6">
        <f>HYPERLINK("https://map.naver.com/p/search/연서면 고복리 56-10", "지도Link")</f>
        <v/>
      </c>
      <c r="N1700" s="6">
        <f>HYPERLINK("http://www.eum.go.kr/web/ar/lu/luLandDet.jsp?pnu=3611036024100560010&amp;isNoScr=script&amp;mode=search", "토지이음")</f>
        <v/>
      </c>
      <c r="O1700" s="3" t="inlineStr">
        <is>
          <t>지호주식회사</t>
        </is>
      </c>
      <c r="P1700" s="4" t="n">
        <v>1</v>
      </c>
      <c r="Q1700" s="4" t="n">
        <v>2010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589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108000</v>
      </c>
      <c r="G1701" s="4" t="n">
        <v>3716</v>
      </c>
      <c r="H1701" s="4" t="n">
        <v>1124</v>
      </c>
      <c r="I1701" s="5" t="n">
        <v>96.09999999999999</v>
      </c>
      <c r="J1701" s="5" t="n">
        <v>42.8</v>
      </c>
      <c r="K1701" s="3" t="inlineStr">
        <is>
          <t>대토용, 자경용, 전원주택, 투자용으로 추천.</t>
        </is>
      </c>
      <c r="L1701" s="6">
        <f>HYPERLINK("https://fin.land.naver.com/articles/2650165339", "매물Link")</f>
        <v/>
      </c>
      <c r="M1701" s="6">
        <f>HYPERLINK("https://map.naver.com/p/search/연서면 고복리 589", "지도Link")</f>
        <v/>
      </c>
      <c r="N1701" s="6">
        <f>HYPERLINK("http://www.eum.go.kr/web/ar/lu/luLandDet.jsp?pnu=3611036024105890000&amp;isNoScr=script&amp;mode=search", "토지이음")</f>
        <v/>
      </c>
      <c r="O1701" s="3" t="inlineStr">
        <is>
          <t>세종대장</t>
        </is>
      </c>
      <c r="P1701" s="4" t="n">
        <v>1</v>
      </c>
      <c r="Q1701" s="4" t="n">
        <v>3716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세로한면(불)</t>
        </is>
      </c>
    </row>
    <row r="1702">
      <c r="A1702" s="3" t="inlineStr">
        <is>
          <t>연서면 고복리 97-4</t>
        </is>
      </c>
      <c r="B1702" s="3" t="inlineStr">
        <is>
          <t>생산관리지역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118000</v>
      </c>
      <c r="G1702" s="4" t="n">
        <v>3905</v>
      </c>
      <c r="H1702" s="4" t="n">
        <v>1181</v>
      </c>
      <c r="I1702" s="5" t="n">
        <v>99.90000000000001</v>
      </c>
      <c r="J1702" s="5" t="n">
        <v>24.4</v>
      </c>
      <c r="K1702" s="3" t="inlineStr">
        <is>
          <t>고복저수지 인근의 전원주택지, 3필지</t>
        </is>
      </c>
      <c r="L1702" s="6">
        <f>HYPERLINK("https://fin.land.naver.com/articles/2653296017", "매물Link")</f>
        <v/>
      </c>
      <c r="M1702" s="6">
        <f>HYPERLINK("https://map.naver.com/p/search/연서면 고복리 97-4", "지도Link")</f>
        <v/>
      </c>
      <c r="N1702" s="6">
        <f>HYPERLINK("http://www.eum.go.kr/web/ar/lu/luLandDet.jsp?pnu=3611036024100970004&amp;isNoScr=script&amp;mode=search",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2787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맹지</t>
        </is>
      </c>
    </row>
    <row r="1703">
      <c r="A1703" s="3" t="inlineStr">
        <is>
          <t>연서면 고복리 산 3</t>
        </is>
      </c>
      <c r="B1703" s="3" t="inlineStr">
        <is>
          <t>보전관리지역</t>
        </is>
      </c>
      <c r="C1703" s="3" t="inlineStr">
        <is>
          <t>임야</t>
        </is>
      </c>
      <c r="D1703" s="3" t="inlineStr">
        <is>
          <t>임야</t>
        </is>
      </c>
      <c r="E1703" s="3" t="inlineStr">
        <is>
          <t>매매</t>
        </is>
      </c>
      <c r="F1703" s="4" t="n">
        <v>4300</v>
      </c>
      <c r="G1703" s="4" t="n">
        <v>661</v>
      </c>
      <c r="H1703" s="4" t="n">
        <v>200</v>
      </c>
      <c r="I1703" s="5" t="n">
        <v>21.5</v>
      </c>
      <c r="J1703" s="5" t="n">
        <v>5.1</v>
      </c>
      <c r="K1703" s="3" t="inlineStr">
        <is>
          <t>세종시 임야 지분 매매</t>
        </is>
      </c>
      <c r="L1703" s="6">
        <f>HYPERLINK("https://fin.land.naver.com/articles/2654956041", "매물Link")</f>
        <v/>
      </c>
      <c r="M1703" s="6">
        <f>HYPERLINK("https://map.naver.com/p/search/연서면 고복리 산 3", "지도Link")</f>
        <v/>
      </c>
      <c r="N1703" s="6">
        <f>HYPERLINK("http://www.eum.go.kr/web/ar/lu/luLandDet.jsp?pnu=3611036024200030000&amp;isNoScr=script&amp;mode=search", "토지이음")</f>
        <v/>
      </c>
      <c r="O1703" s="3" t="inlineStr">
        <is>
          <t>최고봉</t>
        </is>
      </c>
      <c r="P1703" s="4" t="n">
        <v>1</v>
      </c>
      <c r="Q1703" s="4" t="n">
        <v>27769</v>
      </c>
      <c r="R1703" s="3" t="inlineStr">
        <is>
          <t>농림지역</t>
        </is>
      </c>
      <c r="S1703" s="3" t="inlineStr">
        <is>
          <t>자연림</t>
        </is>
      </c>
      <c r="T1703" s="3" t="inlineStr">
        <is>
          <t>급경사</t>
        </is>
      </c>
      <c r="U1703" s="3" t="inlineStr">
        <is>
          <t>부정형</t>
        </is>
      </c>
      <c r="V1703" s="3" t="inlineStr">
        <is>
          <t>맹지</t>
        </is>
      </c>
    </row>
    <row r="1704">
      <c r="A1704" s="3" t="inlineStr">
        <is>
          <t>연서면 고복리 산 34-6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100000</v>
      </c>
      <c r="G1704" s="4" t="n">
        <v>3164</v>
      </c>
      <c r="H1704" s="4" t="n">
        <v>957</v>
      </c>
      <c r="I1704" s="5" t="n">
        <v>104.5</v>
      </c>
      <c r="J1704" s="5" t="n">
        <v>4.2</v>
      </c>
      <c r="K1704" s="3" t="inlineStr">
        <is>
          <t>고복저수지가 잘 보이고 포장도로에 접한 경사도 완만한 보전관리지역의 임야</t>
        </is>
      </c>
      <c r="L1704" s="6">
        <f>HYPERLINK("https://fin.land.naver.com/articles/2654113747", "매물Link")</f>
        <v/>
      </c>
      <c r="M1704" s="6">
        <f>HYPERLINK("https://map.naver.com/p/search/연서면 고복리 산 34-6", "지도Link")</f>
        <v/>
      </c>
      <c r="N1704" s="6">
        <f>HYPERLINK("http://www.eum.go.kr/web/ar/lu/luLandDet.jsp?pnu=3611036024200340006&amp;isNoScr=script&amp;mode=search",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17717</v>
      </c>
      <c r="R1704" s="3" t="inlineStr">
        <is>
          <t>자연환경보전지역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연서면 고복리 산102-1</t>
        </is>
      </c>
      <c r="B1705" s="3" t="inlineStr">
        <is>
          <t>농림지역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50000</v>
      </c>
      <c r="G1705" s="4" t="n">
        <v>61742</v>
      </c>
      <c r="H1705" s="4" t="n">
        <v>18677</v>
      </c>
      <c r="I1705" s="5" t="n">
        <v>2.7</v>
      </c>
      <c r="J1705" s="5" t="n">
        <v>3.4</v>
      </c>
      <c r="K1705" s="3" t="inlineStr">
        <is>
          <t>명성공인, 급매 연서면 임야 추천 매물</t>
        </is>
      </c>
      <c r="L1705" s="6">
        <f>HYPERLINK("https://fin.land.naver.com/articles/2650852401", "매물Link")</f>
        <v/>
      </c>
      <c r="M1705" s="6">
        <f>HYPERLINK("https://map.naver.com/p/search/연서면 고복리 산102-1", "지도Link")</f>
        <v/>
      </c>
      <c r="N1705" s="6">
        <f>HYPERLINK("http://www.eum.go.kr/web/ar/lu/luLandDet.jsp?pnu=3611036024201020001&amp;isNoScr=script&amp;mode=search", "토지이음")</f>
        <v/>
      </c>
      <c r="O1705" s="3" t="inlineStr">
        <is>
          <t>명성</t>
        </is>
      </c>
      <c r="P1705" s="4" t="n">
        <v>1</v>
      </c>
      <c r="Q1705" s="4" t="n">
        <v>61742</v>
      </c>
      <c r="R1705" s="3" t="inlineStr">
        <is>
          <t>보전관리지역</t>
        </is>
      </c>
      <c r="S1705" s="3" t="inlineStr">
        <is>
          <t>자연림</t>
        </is>
      </c>
      <c r="T1705" s="3" t="inlineStr">
        <is>
          <t>급경사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연서면 고복리 산96-6</t>
        </is>
      </c>
      <c r="B1706" s="3" t="inlineStr">
        <is>
          <t>보전관리지역</t>
        </is>
      </c>
      <c r="C1706" s="3" t="inlineStr">
        <is>
          <t>목장용지</t>
        </is>
      </c>
      <c r="D1706" s="3" t="inlineStr">
        <is>
          <t>목장용지</t>
        </is>
      </c>
      <c r="E1706" s="3" t="inlineStr">
        <is>
          <t>매매</t>
        </is>
      </c>
      <c r="F1706" s="4" t="n">
        <v>362000</v>
      </c>
      <c r="G1706" s="4" t="n">
        <v>11983</v>
      </c>
      <c r="H1706" s="4" t="n">
        <v>3625</v>
      </c>
      <c r="I1706" s="5" t="n">
        <v>99.90000000000001</v>
      </c>
      <c r="J1706" s="5" t="n">
        <v>10.5</v>
      </c>
      <c r="K1706" s="3" t="inlineStr">
        <is>
          <t>절충가능, 경사도가 완만하여 전원주택부지로 개발하기 최적의 토지입니다.</t>
        </is>
      </c>
      <c r="L1706" s="6">
        <f>HYPERLINK("https://fin.land.naver.com/articles/2653857900", "매물Link")</f>
        <v/>
      </c>
      <c r="M1706" s="6">
        <f>HYPERLINK("https://map.naver.com/p/search/연서면 고복리 산96-6", "지도Link")</f>
        <v/>
      </c>
      <c r="N1706" s="6">
        <f>HYPERLINK("http://www.eum.go.kr/web/ar/lu/luLandDet.jsp?pnu=3611036024200960006&amp;isNoScr=script&amp;mode=search", "토지이음")</f>
        <v/>
      </c>
      <c r="O1706" s="3" t="inlineStr">
        <is>
          <t>스마일세종</t>
        </is>
      </c>
      <c r="P1706" s="4" t="n">
        <v>1</v>
      </c>
      <c r="Q1706" s="4" t="n">
        <v>11983</v>
      </c>
      <c r="R1706" s="3" t="inlineStr">
        <is>
          <t>지정되지않음</t>
        </is>
      </c>
      <c r="S1706" s="3" t="inlineStr">
        <is>
          <t>자연림</t>
        </is>
      </c>
      <c r="T1706" s="3" t="inlineStr">
        <is>
          <t>완경사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국촌리 166-29</t>
        </is>
      </c>
      <c r="B1707" s="3" t="inlineStr">
        <is>
          <t>계획관리지역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222000</v>
      </c>
      <c r="G1707" s="4" t="n">
        <v>3183</v>
      </c>
      <c r="H1707" s="4" t="n">
        <v>963</v>
      </c>
      <c r="I1707" s="5" t="n">
        <v>230.5</v>
      </c>
      <c r="J1707" s="5" t="n">
        <v>27.9</v>
      </c>
      <c r="K1707" s="3" t="inlineStr">
        <is>
          <t>근린상가 건축허가 득한 스마트국가산업단지 인근의 계획관리지역의 평탄한임야</t>
        </is>
      </c>
      <c r="L1707" s="6">
        <f>HYPERLINK("https://fin.land.naver.com/articles/2654122713", "매물Link")</f>
        <v/>
      </c>
      <c r="M1707" s="6">
        <f>HYPERLINK("https://map.naver.com/p/search/연서면 국촌리 166-29", "지도Link")</f>
        <v/>
      </c>
      <c r="N1707" s="6">
        <f>HYPERLINK("http://www.eum.go.kr/web/ar/lu/luLandDet.jsp?pnu=3611036030101660029&amp;isNoScr=script&amp;mode=search", "토지이음")</f>
        <v/>
      </c>
      <c r="O1707" s="3" t="inlineStr">
        <is>
          <t>스마일세종</t>
        </is>
      </c>
      <c r="P1707" s="4" t="n">
        <v>1</v>
      </c>
      <c r="Q1707" s="4" t="n">
        <v>2158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연서면 국촌리 172-22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61300</v>
      </c>
      <c r="G1708" s="4" t="n">
        <v>965</v>
      </c>
      <c r="H1708" s="4" t="n">
        <v>292</v>
      </c>
      <c r="I1708" s="5" t="n">
        <v>209.9</v>
      </c>
      <c r="J1708" s="5" t="n">
        <v>59.5</v>
      </c>
      <c r="K1708" s="3" t="inlineStr">
        <is>
          <t>세종국가산업단지 바로 앞 2차선도로에접한 관리지역의 토지 매매</t>
        </is>
      </c>
      <c r="L1708" s="6">
        <f>HYPERLINK("https://fin.land.naver.com/articles/2654999446", "매물Link")</f>
        <v/>
      </c>
      <c r="M1708" s="6">
        <f>HYPERLINK("https://map.naver.com/p/search/연서면 국촌리 172-22", "지도Link")</f>
        <v/>
      </c>
      <c r="N1708" s="6">
        <f>HYPERLINK("http://www.eum.go.kr/web/ar/lu/luLandDet.jsp?pnu=3611036030101720022&amp;isNoScr=script&amp;mode=search", "토지이음")</f>
        <v/>
      </c>
      <c r="O1708" s="3" t="inlineStr">
        <is>
          <t>지성</t>
        </is>
      </c>
      <c r="P1708" s="4" t="n">
        <v>1</v>
      </c>
      <c r="Q1708" s="4" t="n">
        <v>566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국촌리 24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35000</v>
      </c>
      <c r="G1709" s="4" t="n">
        <v>1015</v>
      </c>
      <c r="H1709" s="4" t="n">
        <v>307</v>
      </c>
      <c r="I1709" s="5" t="n">
        <v>114</v>
      </c>
      <c r="J1709" s="5" t="n">
        <v>56.4</v>
      </c>
      <c r="K1709" s="3" t="inlineStr">
        <is>
          <t>스마트국가산업단지와 북세종IC 인근 계획관리지역 토지로 지가상승 예상.</t>
        </is>
      </c>
      <c r="L1709" s="6">
        <f>HYPERLINK("https://fin.land.naver.com/articles/2650938722", "매물Link")</f>
        <v/>
      </c>
      <c r="M1709" s="6">
        <f>HYPERLINK("https://map.naver.com/p/search/연서면 국촌리 24", "지도Link")</f>
        <v/>
      </c>
      <c r="N1709" s="6">
        <f>HYPERLINK("http://www.eum.go.kr/web/ar/lu/luLandDet.jsp?pnu=3611036030100240000&amp;isNoScr=script&amp;mode=search", "토지이음")</f>
        <v/>
      </c>
      <c r="O1709" s="3" t="inlineStr">
        <is>
          <t>세종대장</t>
        </is>
      </c>
      <c r="P1709" s="4" t="n">
        <v>2</v>
      </c>
      <c r="Q1709" s="4" t="n">
        <v>1015</v>
      </c>
      <c r="R1709" s="3" t="inlineStr">
        <is>
          <t>지정되지않음</t>
        </is>
      </c>
      <c r="S1709" s="3" t="inlineStr">
        <is>
          <t>과수원</t>
        </is>
      </c>
      <c r="T1709" s="3" t="inlineStr">
        <is>
          <t>평지</t>
        </is>
      </c>
      <c r="U1709" s="3" t="inlineStr">
        <is>
          <t>자루형</t>
        </is>
      </c>
      <c r="V1709" s="3" t="inlineStr">
        <is>
          <t>세로한면(불)</t>
        </is>
      </c>
    </row>
    <row r="1710">
      <c r="A1710" s="3" t="inlineStr">
        <is>
          <t>연서면 국촌리 24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35000</v>
      </c>
      <c r="G1710" s="4" t="n">
        <v>1015</v>
      </c>
      <c r="H1710" s="4" t="n">
        <v>307</v>
      </c>
      <c r="I1710" s="5" t="n">
        <v>114</v>
      </c>
      <c r="J1710" s="5" t="n">
        <v>56.4</v>
      </c>
      <c r="K1710" s="3" t="inlineStr">
        <is>
          <t>급매,도로접한 계획관리지역,알토란 토지,가격조정가능</t>
        </is>
      </c>
      <c r="L1710" s="6">
        <f>HYPERLINK("https://fin.land.naver.com/articles/2651676153", "매물Link")</f>
        <v/>
      </c>
      <c r="M1710" s="6">
        <f>HYPERLINK("https://map.naver.com/p/search/연서면 국촌리 24", "지도Link")</f>
        <v/>
      </c>
      <c r="N1710" s="6">
        <f>HYPERLINK("http://www.eum.go.kr/web/ar/lu/luLandDet.jsp?pnu=3611036030100240000&amp;isNoScr=script&amp;mode=search", "토지이음")</f>
        <v/>
      </c>
      <c r="O1710" s="3" t="inlineStr">
        <is>
          <t>고운맘</t>
        </is>
      </c>
      <c r="P1710" s="4" t="n">
        <v>1</v>
      </c>
      <c r="Q1710" s="4" t="n">
        <v>1015</v>
      </c>
      <c r="R1710" s="3" t="inlineStr">
        <is>
          <t>지정되지않음</t>
        </is>
      </c>
      <c r="S1710" s="3" t="inlineStr">
        <is>
          <t>과수원</t>
        </is>
      </c>
      <c r="T1710" s="3" t="inlineStr">
        <is>
          <t>평지</t>
        </is>
      </c>
      <c r="U1710" s="3" t="inlineStr">
        <is>
          <t>자루형</t>
        </is>
      </c>
      <c r="V1710" s="3" t="inlineStr">
        <is>
          <t>세로한면(불)</t>
        </is>
      </c>
    </row>
    <row r="1711">
      <c r="A1711" s="3" t="inlineStr">
        <is>
          <t>연서면 국촌리 321-8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21200</v>
      </c>
      <c r="G1711" s="4" t="n">
        <v>350</v>
      </c>
      <c r="H1711" s="4" t="n">
        <v>106</v>
      </c>
      <c r="I1711" s="5" t="n">
        <v>200</v>
      </c>
      <c r="J1711" s="5" t="n">
        <v>57.5</v>
      </c>
      <c r="K1711" s="3" t="inlineStr">
        <is>
          <t>추천. 세종스마트산단 인접 대지</t>
        </is>
      </c>
      <c r="L1711" s="6">
        <f>HYPERLINK("https://fin.land.naver.com/articles/2654807804", "매물Link")</f>
        <v/>
      </c>
      <c r="M1711" s="6">
        <f>HYPERLINK("https://map.naver.com/p/search/연서면 국촌리 321-8", "지도Link")</f>
        <v/>
      </c>
      <c r="N1711" s="6">
        <f>HYPERLINK("http://www.eum.go.kr/web/ar/lu/luLandDet.jsp?pnu=3611036030103210008&amp;isNoScr=script&amp;mode=search",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350</v>
      </c>
      <c r="R1711" s="3" t="inlineStr">
        <is>
          <t>지정되지않음</t>
        </is>
      </c>
      <c r="S1711" s="3" t="inlineStr">
        <is>
          <t>과수원</t>
        </is>
      </c>
      <c r="T1711" s="3" t="inlineStr">
        <is>
          <t>완경사</t>
        </is>
      </c>
      <c r="U1711" s="3" t="inlineStr">
        <is>
          <t>가로장방</t>
        </is>
      </c>
      <c r="V1711" s="3" t="inlineStr">
        <is>
          <t>세로한면(불)</t>
        </is>
      </c>
    </row>
    <row r="1712">
      <c r="A1712" s="3" t="inlineStr">
        <is>
          <t>연서면 국촌리 53-5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45000</v>
      </c>
      <c r="G1712" s="4" t="n">
        <v>1663</v>
      </c>
      <c r="H1712" s="4" t="n">
        <v>503</v>
      </c>
      <c r="I1712" s="5" t="n">
        <v>89.5</v>
      </c>
      <c r="J1712" s="5" t="n">
        <v>28.8</v>
      </c>
      <c r="K1712" s="3" t="inlineStr">
        <is>
          <t>대토,투자로 좋은 위치의 토지입니다</t>
        </is>
      </c>
      <c r="L1712" s="6">
        <f>HYPERLINK("https://fin.land.naver.com/articles/2650858546", "매물Link")</f>
        <v/>
      </c>
      <c r="M1712" s="6">
        <f>HYPERLINK("https://map.naver.com/p/search/연서면 국촌리 53-5", "지도Link")</f>
        <v/>
      </c>
      <c r="N1712" s="6">
        <f>HYPERLINK("http://www.eum.go.kr/web/ar/lu/luLandDet.jsp?pnu=3611036030100530005&amp;isNoScr=script&amp;mode=search", "토지이음")</f>
        <v/>
      </c>
      <c r="O1712" s="3" t="inlineStr">
        <is>
          <t>세종대박</t>
        </is>
      </c>
      <c r="P1712" s="4" t="n">
        <v>1</v>
      </c>
      <c r="Q1712" s="4" t="n">
        <v>1663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연서면 국촌리 76-5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95000</v>
      </c>
      <c r="G1713" s="4" t="n">
        <v>1573</v>
      </c>
      <c r="H1713" s="4" t="n">
        <v>476</v>
      </c>
      <c r="I1713" s="5" t="n">
        <v>199.6</v>
      </c>
      <c r="J1713" s="5" t="n">
        <v>39.5</v>
      </c>
      <c r="K1713" s="3" t="inlineStr">
        <is>
          <t>시내와 가깝고 북세종 IC 인접, 창고에서 월세 나오는 농지</t>
        </is>
      </c>
      <c r="L1713" s="6">
        <f>HYPERLINK("https://fin.land.naver.com/articles/2652066396", "매물Link")</f>
        <v/>
      </c>
      <c r="M1713" s="6">
        <f>HYPERLINK("https://map.naver.com/p/search/연서면 국촌리 76-5", "지도Link")</f>
        <v/>
      </c>
      <c r="N1713" s="6">
        <f>HYPERLINK("http://www.eum.go.kr/web/ar/lu/luLandDet.jsp?pnu=3611036030100760005&amp;isNoScr=script&amp;mode=search", "토지이음")</f>
        <v/>
      </c>
      <c r="O1713" s="3" t="inlineStr">
        <is>
          <t>신와촌</t>
        </is>
      </c>
      <c r="P1713" s="4" t="n">
        <v>1</v>
      </c>
      <c r="Q1713" s="4" t="n">
        <v>1575</v>
      </c>
      <c r="R1713" s="3" t="inlineStr">
        <is>
          <t>지정되지않음</t>
        </is>
      </c>
      <c r="S1713" s="3" t="inlineStr">
        <is>
          <t>전창고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연서면 기룡리 137-1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31000</v>
      </c>
      <c r="G1714" s="4" t="n">
        <v>900</v>
      </c>
      <c r="H1714" s="4" t="n">
        <v>272</v>
      </c>
      <c r="I1714" s="5" t="n">
        <v>114</v>
      </c>
      <c r="J1714" s="5" t="n">
        <v>39.5</v>
      </c>
      <c r="K1714" s="3" t="inlineStr">
        <is>
          <t>농업인 아니더라도 주말체험가능, 컨테이너,수도,전기,통신 설치됨.</t>
        </is>
      </c>
      <c r="L1714" s="6">
        <f>HYPERLINK("https://fin.land.naver.com/articles/2654658477", "매물Link")</f>
        <v/>
      </c>
      <c r="M1714" s="6">
        <f>HYPERLINK("https://map.naver.com/p/search/연서면 기룡리 137-1", "지도Link")</f>
        <v/>
      </c>
      <c r="N1714" s="6">
        <f>HYPERLINK("http://www.eum.go.kr/web/ar/lu/luLandDet.jsp?pnu=3611036028101370001&amp;isNoScr=script&amp;mode=search", "토지이음")</f>
        <v/>
      </c>
      <c r="O1714" s="3" t="inlineStr">
        <is>
          <t>세종대장</t>
        </is>
      </c>
      <c r="P1714" s="4" t="n">
        <v>1</v>
      </c>
      <c r="Q1714" s="4" t="n">
        <v>900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연서면 기룡리 141</t>
        </is>
      </c>
      <c r="B1715" s="3" t="inlineStr">
        <is>
          <t>생산관리지역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42000</v>
      </c>
      <c r="G1715" s="4" t="n">
        <v>2122</v>
      </c>
      <c r="H1715" s="4" t="n">
        <v>642</v>
      </c>
      <c r="I1715" s="5" t="n">
        <v>65.40000000000001</v>
      </c>
      <c r="J1715" s="5" t="n">
        <v>23.4</v>
      </c>
      <c r="K1715" s="3" t="inlineStr">
        <is>
          <t>스마트 산업단지 인근 토지</t>
        </is>
      </c>
      <c r="L1715" s="6">
        <f>HYPERLINK("https://fin.land.naver.com/articles/2650477202", "매물Link")</f>
        <v/>
      </c>
      <c r="M1715" s="6">
        <f>HYPERLINK("https://map.naver.com/p/search/연서면 기룡리 141", "지도Link")</f>
        <v/>
      </c>
      <c r="N1715" s="6">
        <f>HYPERLINK("http://www.eum.go.kr/web/ar/lu/luLandDet.jsp?pnu=3611036028101410000&amp;isNoScr=script&amp;mode=search", "토지이음")</f>
        <v/>
      </c>
      <c r="O1715" s="3" t="inlineStr">
        <is>
          <t>해들일번지</t>
        </is>
      </c>
      <c r="P1715" s="4" t="n">
        <v>1</v>
      </c>
      <c r="Q1715" s="4" t="n">
        <v>2122</v>
      </c>
      <c r="R1715" s="3" t="inlineStr">
        <is>
          <t>지정되지않음</t>
        </is>
      </c>
      <c r="S1715" s="3" t="inlineStr">
        <is>
          <t>전기타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기룡리 156-3</t>
        </is>
      </c>
      <c r="B1716" s="3" t="inlineStr">
        <is>
          <t>생산관리지역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13000</v>
      </c>
      <c r="G1716" s="4" t="n">
        <v>1158</v>
      </c>
      <c r="H1716" s="4" t="n">
        <v>350</v>
      </c>
      <c r="I1716" s="5" t="n">
        <v>37.1</v>
      </c>
      <c r="J1716" s="5" t="n">
        <v>14.5</v>
      </c>
      <c r="K1716" s="3" t="inlineStr">
        <is>
          <t>급매, 토지옆 구거를 이용하여 출입가능</t>
        </is>
      </c>
      <c r="L1716" s="6">
        <f>HYPERLINK("https://fin.land.naver.com/articles/2650478075", "매물Link")</f>
        <v/>
      </c>
      <c r="M1716" s="6">
        <f>HYPERLINK("https://map.naver.com/p/search/연서면 기룡리 156-3", "지도Link")</f>
        <v/>
      </c>
      <c r="N1716" s="6">
        <f>HYPERLINK("http://www.eum.go.kr/web/ar/lu/luLandDet.jsp?pnu=3611036028101560003&amp;isNoScr=script&amp;mode=search", "토지이음")</f>
        <v/>
      </c>
      <c r="O1716" s="3" t="inlineStr">
        <is>
          <t>해들일번지</t>
        </is>
      </c>
      <c r="P1716" s="4" t="n">
        <v>1</v>
      </c>
      <c r="Q1716" s="4" t="n">
        <v>1158</v>
      </c>
      <c r="R1716" s="3" t="inlineStr">
        <is>
          <t>지정되지않음</t>
        </is>
      </c>
      <c r="S1716" s="3" t="inlineStr">
        <is>
          <t>과수원</t>
        </is>
      </c>
      <c r="T1716" s="3" t="inlineStr">
        <is>
          <t>급경사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연서면 기룡리 156-4</t>
        </is>
      </c>
      <c r="B1717" s="3" t="inlineStr">
        <is>
          <t>생산관리지역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17000</v>
      </c>
      <c r="G1717" s="4" t="n">
        <v>1020</v>
      </c>
      <c r="H1717" s="4" t="n">
        <v>309</v>
      </c>
      <c r="I1717" s="5" t="n">
        <v>55</v>
      </c>
      <c r="J1717" s="5" t="n">
        <v>15</v>
      </c>
      <c r="K1717" s="3" t="inlineStr">
        <is>
          <t>급매, 구거 이용하여 출입 가능함</t>
        </is>
      </c>
      <c r="L1717" s="6">
        <f>HYPERLINK("https://fin.land.naver.com/articles/2652148264", "매물Link")</f>
        <v/>
      </c>
      <c r="M1717" s="6">
        <f>HYPERLINK("https://map.naver.com/p/search/연서면 기룡리 156-4", "지도Link")</f>
        <v/>
      </c>
      <c r="N1717" s="6">
        <f>HYPERLINK("http://www.eum.go.kr/web/ar/lu/luLandDet.jsp?pnu=3611036028101560004&amp;isNoScr=script&amp;mode=search", "토지이음")</f>
        <v/>
      </c>
      <c r="O1717" s="3" t="inlineStr">
        <is>
          <t>해들일번지</t>
        </is>
      </c>
      <c r="P1717" s="4" t="n">
        <v>1</v>
      </c>
      <c r="Q1717" s="4" t="n">
        <v>1020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급경사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기룡리 17</t>
        </is>
      </c>
      <c r="B1718" s="3" t="inlineStr">
        <is>
          <t>생산관리지역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63000</v>
      </c>
      <c r="G1718" s="4" t="n">
        <v>2314</v>
      </c>
      <c r="H1718" s="4" t="n">
        <v>700</v>
      </c>
      <c r="I1718" s="5" t="n">
        <v>90</v>
      </c>
      <c r="J1718" s="5" t="n">
        <v>30.7</v>
      </c>
      <c r="K1718" s="3" t="inlineStr">
        <is>
          <t>연서면 기룡리 생산관리 토지, 도로접, 국가산단 인근</t>
        </is>
      </c>
      <c r="L1718" s="6">
        <f>HYPERLINK("https://fin.land.naver.com/articles/2654027615", "매물Link")</f>
        <v/>
      </c>
      <c r="M1718" s="6">
        <f>HYPERLINK("https://map.naver.com/p/search/연서면 기룡리 17", "지도Link")</f>
        <v/>
      </c>
      <c r="N1718" s="6">
        <f>HYPERLINK("http://www.eum.go.kr/web/ar/lu/luLandDet.jsp?pnu=3611036028100170000&amp;isNoScr=script&amp;mode=search",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2314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세로한면(가)</t>
        </is>
      </c>
    </row>
    <row r="1719">
      <c r="A1719" s="3" t="inlineStr">
        <is>
          <t>연서면 기룡리 170-1</t>
        </is>
      </c>
      <c r="B1719" s="3" t="inlineStr">
        <is>
          <t>계획관리지역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50900</v>
      </c>
      <c r="G1719" s="4" t="n">
        <v>1683</v>
      </c>
      <c r="H1719" s="4" t="n">
        <v>509</v>
      </c>
      <c r="I1719" s="5" t="n">
        <v>100</v>
      </c>
      <c r="J1719" s="5" t="n">
        <v>49.5</v>
      </c>
      <c r="K1719" s="3" t="inlineStr">
        <is>
          <t>나대지로 텃밭 주택,창고,주말농장 등이 어울리는 기룡리 토지</t>
        </is>
      </c>
      <c r="L1719" s="6">
        <f>HYPERLINK("https://fin.land.naver.com/articles/2650397810", "매물Link")</f>
        <v/>
      </c>
      <c r="M1719" s="6">
        <f>HYPERLINK("https://map.naver.com/p/search/연서면 기룡리 170-1", "지도Link")</f>
        <v/>
      </c>
      <c r="N1719" s="6">
        <f>HYPERLINK("http://www.eum.go.kr/web/ar/lu/luLandDet.jsp?pnu=3611036028101700001&amp;isNoScr=script&amp;mode=search",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1683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연서면 기룡리 277-1</t>
        </is>
      </c>
      <c r="B1720" s="3" t="inlineStr">
        <is>
          <t>생산관리지역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52000</v>
      </c>
      <c r="G1720" s="4" t="n">
        <v>2152</v>
      </c>
      <c r="H1720" s="4" t="n">
        <v>651</v>
      </c>
      <c r="I1720" s="5" t="n">
        <v>79.90000000000001</v>
      </c>
      <c r="J1720" s="5" t="n">
        <v>44</v>
      </c>
      <c r="K1720" s="3" t="inlineStr">
        <is>
          <t>기룡리토지매매 가격조정가능</t>
        </is>
      </c>
      <c r="L1720" s="6">
        <f>HYPERLINK("https://fin.land.naver.com/articles/2652695872", "매물Link")</f>
        <v/>
      </c>
      <c r="M1720" s="6">
        <f>HYPERLINK("https://map.naver.com/p/search/연서면 기룡리 277-1", "지도Link")</f>
        <v/>
      </c>
      <c r="N1720" s="6">
        <f>HYPERLINK("http://www.eum.go.kr/web/ar/lu/luLandDet.jsp?pnu=3611036028102770001&amp;isNoScr=script&amp;mode=search", "토지이음")</f>
        <v/>
      </c>
      <c r="O1720" s="3" t="inlineStr">
        <is>
          <t>고운동리치세종</t>
        </is>
      </c>
      <c r="P1720" s="4" t="n">
        <v>1</v>
      </c>
      <c r="Q1720" s="4" t="n">
        <v>2152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기룡리 332-2</t>
        </is>
      </c>
      <c r="B1721" s="3" t="inlineStr">
        <is>
          <t>계획관리지역</t>
        </is>
      </c>
      <c r="C1721" s="3" t="inlineStr">
        <is>
          <t>목장용지</t>
        </is>
      </c>
      <c r="D1721" s="3" t="inlineStr">
        <is>
          <t>목장용지</t>
        </is>
      </c>
      <c r="E1721" s="3" t="inlineStr">
        <is>
          <t>매매</t>
        </is>
      </c>
      <c r="F1721" s="4" t="n">
        <v>327000</v>
      </c>
      <c r="G1721" s="4" t="n">
        <v>9018</v>
      </c>
      <c r="H1721" s="4" t="n">
        <v>2728</v>
      </c>
      <c r="I1721" s="5" t="n">
        <v>119.9</v>
      </c>
      <c r="J1721" s="5" t="n">
        <v>46.1</v>
      </c>
      <c r="K1721" s="3" t="inlineStr">
        <is>
          <t>계획관리지역</t>
        </is>
      </c>
      <c r="L1721" s="6">
        <f>HYPERLINK("https://fin.land.naver.com/articles/2654530925", "매물Link")</f>
        <v/>
      </c>
      <c r="M1721" s="6">
        <f>HYPERLINK("https://map.naver.com/p/search/연서면 기룡리 332-2", "지도Link")</f>
        <v/>
      </c>
      <c r="N1721" s="6">
        <f>HYPERLINK("http://www.eum.go.kr/web/ar/lu/luLandDet.jsp?pnu=3611036028103320002&amp;isNoScr=script&amp;mode=search", "토지이음")</f>
        <v/>
      </c>
      <c r="O1721" s="3" t="inlineStr">
        <is>
          <t>다산</t>
        </is>
      </c>
      <c r="P1721" s="4" t="n">
        <v>1</v>
      </c>
      <c r="Q1721" s="4" t="n">
        <v>9004</v>
      </c>
      <c r="R1721" s="3" t="inlineStr">
        <is>
          <t>지정되지않음</t>
        </is>
      </c>
      <c r="S1721" s="3" t="inlineStr">
        <is>
          <t>전축사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기룡리 425</t>
        </is>
      </c>
      <c r="B1722" s="3" t="inlineStr">
        <is>
          <t>생산관리지역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237860</v>
      </c>
      <c r="G1722" s="4" t="n">
        <v>11234</v>
      </c>
      <c r="H1722" s="4" t="n">
        <v>3398</v>
      </c>
      <c r="I1722" s="5" t="n">
        <v>70</v>
      </c>
      <c r="J1722" s="5" t="n">
        <v>30.8</v>
      </c>
      <c r="K1722" s="3" t="inlineStr">
        <is>
          <t>여러필지이며 투자및 경작용으로 매우 좋음</t>
        </is>
      </c>
      <c r="L1722" s="6">
        <f>HYPERLINK("https://fin.land.naver.com/articles/2654855300", "매물Link")</f>
        <v/>
      </c>
      <c r="M1722" s="6">
        <f>HYPERLINK("https://map.naver.com/p/search/연서면 기룡리 425", "지도Link")</f>
        <v/>
      </c>
      <c r="N1722" s="6">
        <f>HYPERLINK("http://www.eum.go.kr/web/ar/lu/luLandDet.jsp?pnu=3611036028104250000&amp;isNoScr=script&amp;mode=search", "토지이음")</f>
        <v/>
      </c>
      <c r="O1722" s="3" t="inlineStr">
        <is>
          <t>세종리츠</t>
        </is>
      </c>
      <c r="P1722" s="4" t="n">
        <v>1</v>
      </c>
      <c r="Q1722" s="4" t="n">
        <v>1699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426</t>
        </is>
      </c>
      <c r="B1723" s="3" t="inlineStr">
        <is>
          <t>생산관리지역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</v>
      </c>
      <c r="G1723" s="4" t="n">
        <v>654</v>
      </c>
      <c r="H1723" s="4" t="n">
        <v>198</v>
      </c>
      <c r="I1723" s="5" t="n">
        <v>75.8</v>
      </c>
      <c r="J1723" s="5" t="n">
        <v>32.9</v>
      </c>
      <c r="K1723" s="3" t="inlineStr">
        <is>
          <t>초급매 생산관리지역 성장관리계획구역 도로</t>
        </is>
      </c>
      <c r="L1723" s="6">
        <f>HYPERLINK("https://fin.land.naver.com/articles/2655017365", "매물Link")</f>
        <v/>
      </c>
      <c r="M1723" s="6">
        <f>HYPERLINK("https://map.naver.com/p/search/연서면 기룡리 426", "지도Link")</f>
        <v/>
      </c>
      <c r="N1723" s="6">
        <f>HYPERLINK("http://www.eum.go.kr/web/ar/lu/luLandDet.jsp?pnu=3611036028104260000&amp;isNoScr=script&amp;mode=search", "토지이음")</f>
        <v/>
      </c>
      <c r="O1723" s="3" t="inlineStr">
        <is>
          <t>THE행복</t>
        </is>
      </c>
      <c r="P1723" s="4" t="n">
        <v>4</v>
      </c>
      <c r="Q1723" s="4" t="n">
        <v>654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세로각지(가)</t>
        </is>
      </c>
    </row>
    <row r="1724">
      <c r="A1724" s="3" t="inlineStr">
        <is>
          <t>연서면 기룡리 431-1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62500</v>
      </c>
      <c r="G1724" s="4" t="n">
        <v>2952</v>
      </c>
      <c r="H1724" s="4" t="n">
        <v>893</v>
      </c>
      <c r="I1724" s="5" t="n">
        <v>70</v>
      </c>
      <c r="J1724" s="5" t="n">
        <v>39.2</v>
      </c>
      <c r="K1724" s="3" t="inlineStr">
        <is>
          <t>기룡리 계획관리지역 지목이 전으로 총2필지 일괄로 급매.</t>
        </is>
      </c>
      <c r="L1724" s="6">
        <f>HYPERLINK("https://fin.land.naver.com/articles/2651207447", "매물Link")</f>
        <v/>
      </c>
      <c r="M1724" s="6">
        <f>HYPERLINK("https://map.naver.com/p/search/연서면 기룡리 431-1", "지도Link")</f>
        <v/>
      </c>
      <c r="N1724" s="6">
        <f>HYPERLINK("http://www.eum.go.kr/web/ar/lu/luLandDet.jsp?pnu=3611036028104310001&amp;isNoScr=script&amp;mode=search", "토지이음")</f>
        <v/>
      </c>
      <c r="O1724" s="3" t="inlineStr">
        <is>
          <t>세종대장</t>
        </is>
      </c>
      <c r="P1724" s="4" t="n">
        <v>1</v>
      </c>
      <c r="Q1724" s="4" t="n">
        <v>2483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444</t>
        </is>
      </c>
      <c r="B1725" s="3" t="inlineStr">
        <is>
          <t>생산관리지역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63000</v>
      </c>
      <c r="G1725" s="4" t="n">
        <v>2971</v>
      </c>
      <c r="H1725" s="4" t="n">
        <v>899</v>
      </c>
      <c r="I1725" s="5" t="n">
        <v>70.09999999999999</v>
      </c>
      <c r="J1725" s="5" t="n">
        <v>30.8</v>
      </c>
      <c r="K1725" s="3" t="inlineStr">
        <is>
          <t>연서면 기룡리 마을 포장도로에 접한 생산관리지역의 토지 입니다.</t>
        </is>
      </c>
      <c r="L1725" s="6">
        <f>HYPERLINK("https://fin.land.naver.com/articles/2652190431", "매물Link")</f>
        <v/>
      </c>
      <c r="M1725" s="6">
        <f>HYPERLINK("https://map.naver.com/p/search/연서면 기룡리 444", "지도Link")</f>
        <v/>
      </c>
      <c r="N1725" s="6">
        <f>HYPERLINK("http://www.eum.go.kr/web/ar/lu/luLandDet.jsp?pnu=3611036028104440000&amp;isNoScr=script&amp;mode=search", "토지이음")</f>
        <v/>
      </c>
      <c r="O1725" s="3" t="inlineStr">
        <is>
          <t>스마일세종</t>
        </is>
      </c>
      <c r="P1725" s="4" t="n">
        <v>1</v>
      </c>
      <c r="Q1725" s="4" t="n">
        <v>2971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484</t>
        </is>
      </c>
      <c r="B1726" s="3" t="inlineStr">
        <is>
          <t>생산관리지역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75000</v>
      </c>
      <c r="G1726" s="4" t="n">
        <v>2886</v>
      </c>
      <c r="H1726" s="4" t="n">
        <v>873</v>
      </c>
      <c r="I1726" s="5" t="n">
        <v>85.90000000000001</v>
      </c>
      <c r="J1726" s="5" t="n">
        <v>27.3</v>
      </c>
      <c r="K1726" s="3" t="inlineStr">
        <is>
          <t>보상이 시작된 세종국가산단과 인접하여 투자가치가 높음</t>
        </is>
      </c>
      <c r="L1726" s="6">
        <f>HYPERLINK("https://fin.land.naver.com/articles/2652786098", "매물Link")</f>
        <v/>
      </c>
      <c r="M1726" s="6">
        <f>HYPERLINK("https://map.naver.com/p/search/연서면 기룡리 484", "지도Link")</f>
        <v/>
      </c>
      <c r="N1726" s="6">
        <f>HYPERLINK("http://www.eum.go.kr/web/ar/lu/luLandDet.jsp?pnu=3611036028104840000&amp;isNoScr=script&amp;mode=search",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2886</v>
      </c>
      <c r="R1726" s="3" t="inlineStr">
        <is>
          <t>지정되지않음</t>
        </is>
      </c>
      <c r="S1726" s="3" t="inlineStr">
        <is>
          <t>답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51-2</t>
        </is>
      </c>
      <c r="B1727" s="3" t="inlineStr">
        <is>
          <t>계획관리지역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21000</v>
      </c>
      <c r="G1727" s="4" t="n">
        <v>252</v>
      </c>
      <c r="H1727" s="4" t="n">
        <v>76</v>
      </c>
      <c r="I1727" s="5" t="n">
        <v>276.3</v>
      </c>
      <c r="J1727" s="5" t="n">
        <v>73.2</v>
      </c>
      <c r="K1727" s="3" t="inlineStr">
        <is>
          <t>급매 가격조정가능</t>
        </is>
      </c>
      <c r="L1727" s="6">
        <f>HYPERLINK("https://fin.land.naver.com/articles/2654418965", "매물Link")</f>
        <v/>
      </c>
      <c r="M1727" s="6">
        <f>HYPERLINK("https://map.naver.com/p/search/연서면 기룡리 51-2", "지도Link")</f>
        <v/>
      </c>
      <c r="N1727" s="6">
        <f>HYPERLINK("http://www.eum.go.kr/web/ar/lu/luLandDet.jsp?pnu=3611036028100510002&amp;isNoScr=script&amp;mode=search", "토지이음")</f>
        <v/>
      </c>
      <c r="O1727" s="3" t="inlineStr">
        <is>
          <t>그래그</t>
        </is>
      </c>
      <c r="P1727" s="4" t="n">
        <v>1</v>
      </c>
      <c r="Q1727" s="4" t="n">
        <v>252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연서면 기룡리 52-12</t>
        </is>
      </c>
      <c r="B1728" s="3" t="inlineStr">
        <is>
          <t>계획관리지역</t>
        </is>
      </c>
      <c r="C1728" s="3" t="inlineStr">
        <is>
          <t>양어장</t>
        </is>
      </c>
      <c r="D1728" s="3" t="inlineStr">
        <is>
          <t>양어장</t>
        </is>
      </c>
      <c r="E1728" s="3" t="inlineStr">
        <is>
          <t>매매</t>
        </is>
      </c>
      <c r="F1728" s="4" t="n">
        <v>79000</v>
      </c>
      <c r="G1728" s="4" t="n">
        <v>965</v>
      </c>
      <c r="H1728" s="4" t="n">
        <v>292</v>
      </c>
      <c r="I1728" s="5" t="n">
        <v>270.5</v>
      </c>
      <c r="J1728" s="5" t="n">
        <v>46.6</v>
      </c>
      <c r="K1728" s="3" t="inlineStr">
        <is>
          <t>연서면 기룡리 개발된 계획관리 토지, 양어장, 국가산단 인근, 건축 추천</t>
        </is>
      </c>
      <c r="L1728" s="6">
        <f>HYPERLINK("https://fin.land.naver.com/articles/2654030100", "매물Link")</f>
        <v/>
      </c>
      <c r="M1728" s="6">
        <f>HYPERLINK("https://map.naver.com/p/search/연서면 기룡리 52-12", "지도Link")</f>
        <v/>
      </c>
      <c r="N1728" s="6">
        <f>HYPERLINK("http://www.eum.go.kr/web/ar/lu/luLandDet.jsp?pnu=3611036028100520012&amp;isNoScr=script&amp;mode=search",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417</v>
      </c>
      <c r="R1728" s="3" t="inlineStr">
        <is>
          <t>지정되지않음</t>
        </is>
      </c>
      <c r="S1728" s="3" t="inlineStr">
        <is>
          <t>전기타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연서면 기룡리 52-14</t>
        </is>
      </c>
      <c r="B1729" s="3" t="inlineStr">
        <is>
          <t>계획관리지역</t>
        </is>
      </c>
      <c r="C1729" s="3" t="inlineStr">
        <is>
          <t>양어장</t>
        </is>
      </c>
      <c r="D1729" s="3" t="inlineStr">
        <is>
          <t>양어장</t>
        </is>
      </c>
      <c r="E1729" s="3" t="inlineStr">
        <is>
          <t>매매</t>
        </is>
      </c>
      <c r="F1729" s="4" t="n">
        <v>39000</v>
      </c>
      <c r="G1729" s="4" t="n">
        <v>503</v>
      </c>
      <c r="H1729" s="4" t="n">
        <v>152</v>
      </c>
      <c r="I1729" s="5" t="n">
        <v>256.6</v>
      </c>
      <c r="J1729" s="5" t="n">
        <v>46.6</v>
      </c>
      <c r="K1729" s="3" t="inlineStr">
        <is>
          <t>계획관리지역 양어장</t>
        </is>
      </c>
      <c r="L1729" s="6">
        <f>HYPERLINK("https://fin.land.naver.com/articles/2654419815", "매물Link")</f>
        <v/>
      </c>
      <c r="M1729" s="6">
        <f>HYPERLINK("https://map.naver.com/p/search/연서면 기룡리 52-14", "지도Link")</f>
        <v/>
      </c>
      <c r="N1729" s="6">
        <f>HYPERLINK("http://www.eum.go.kr/web/ar/lu/luLandDet.jsp?pnu=3611036028100520014&amp;isNoScr=script&amp;mode=search", "토지이음")</f>
        <v/>
      </c>
      <c r="O1729" s="3" t="inlineStr">
        <is>
          <t>그래그</t>
        </is>
      </c>
      <c r="P1729" s="4" t="n">
        <v>1</v>
      </c>
      <c r="Q1729" s="4" t="n">
        <v>503</v>
      </c>
      <c r="R1729" s="3" t="inlineStr">
        <is>
          <t>지정되지않음</t>
        </is>
      </c>
      <c r="S1729" s="3" t="inlineStr">
        <is>
          <t>전기타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소로한면</t>
        </is>
      </c>
    </row>
    <row r="1730">
      <c r="A1730" s="3" t="inlineStr">
        <is>
          <t>연서면 기룡리 52-14</t>
        </is>
      </c>
      <c r="B1730" s="3" t="inlineStr">
        <is>
          <t>계획관리지역</t>
        </is>
      </c>
      <c r="C1730" s="3" t="inlineStr">
        <is>
          <t>양어장</t>
        </is>
      </c>
      <c r="D1730" s="3" t="inlineStr">
        <is>
          <t>양어장</t>
        </is>
      </c>
      <c r="E1730" s="3" t="inlineStr">
        <is>
          <t>매매</t>
        </is>
      </c>
      <c r="F1730" s="4" t="n">
        <v>80000</v>
      </c>
      <c r="G1730" s="4" t="n">
        <v>1028</v>
      </c>
      <c r="H1730" s="4" t="n">
        <v>311</v>
      </c>
      <c r="I1730" s="5" t="n">
        <v>257.2</v>
      </c>
      <c r="J1730" s="5" t="n">
        <v>46.6</v>
      </c>
      <c r="K1730" s="3" t="inlineStr">
        <is>
          <t>연서면 기룡리 개발된 계획관리 토지, 국가산단 인근, 양어장, 건축 추천</t>
        </is>
      </c>
      <c r="L1730" s="6">
        <f>HYPERLINK("https://fin.land.naver.com/articles/2654030029", "매물Link")</f>
        <v/>
      </c>
      <c r="M1730" s="6">
        <f>HYPERLINK("https://map.naver.com/p/search/연서면 기룡리 52-14", "지도Link")</f>
        <v/>
      </c>
      <c r="N1730" s="6">
        <f>HYPERLINK("http://www.eum.go.kr/web/ar/lu/luLandDet.jsp?pnu=3611036028100520014&amp;isNoScr=script&amp;mode=search", "토지이음")</f>
        <v/>
      </c>
      <c r="O1730" s="3" t="inlineStr">
        <is>
          <t>스카이</t>
        </is>
      </c>
      <c r="P1730" s="4" t="n">
        <v>1</v>
      </c>
      <c r="Q1730" s="4" t="n">
        <v>503</v>
      </c>
      <c r="R1730" s="3" t="inlineStr">
        <is>
          <t>지정되지않음</t>
        </is>
      </c>
      <c r="S1730" s="3" t="inlineStr">
        <is>
          <t>전기타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연서면 기룡리 52-17</t>
        </is>
      </c>
      <c r="B1731" s="3" t="inlineStr">
        <is>
          <t>계획관리지역</t>
        </is>
      </c>
      <c r="C1731" s="3" t="inlineStr">
        <is>
          <t>양어장</t>
        </is>
      </c>
      <c r="D1731" s="3" t="inlineStr">
        <is>
          <t>양어장</t>
        </is>
      </c>
      <c r="E1731" s="3" t="inlineStr">
        <is>
          <t>매매</t>
        </is>
      </c>
      <c r="F1731" s="4" t="n">
        <v>21000</v>
      </c>
      <c r="G1731" s="4" t="n">
        <v>254</v>
      </c>
      <c r="H1731" s="4" t="n">
        <v>77</v>
      </c>
      <c r="I1731" s="5" t="n">
        <v>272.7</v>
      </c>
      <c r="J1731" s="5" t="n">
        <v>44.4</v>
      </c>
      <c r="K1731" s="3" t="inlineStr">
        <is>
          <t>급매 가격조정가능</t>
        </is>
      </c>
      <c r="L1731" s="6">
        <f>HYPERLINK("https://fin.land.naver.com/articles/2654419075", "매물Link")</f>
        <v/>
      </c>
      <c r="M1731" s="6">
        <f>HYPERLINK("https://map.naver.com/p/search/연서면 기룡리 52-17", "지도Link")</f>
        <v/>
      </c>
      <c r="N1731" s="6">
        <f>HYPERLINK("http://www.eum.go.kr/web/ar/lu/luLandDet.jsp?pnu=3611036028100520017&amp;isNoScr=script&amp;mode=search", "토지이음")</f>
        <v/>
      </c>
      <c r="O1731" s="3" t="inlineStr">
        <is>
          <t>그래그</t>
        </is>
      </c>
      <c r="P1731" s="4" t="n">
        <v>1</v>
      </c>
      <c r="Q1731" s="4" t="n">
        <v>254</v>
      </c>
      <c r="R1731" s="3" t="inlineStr">
        <is>
          <t>지정되지않음</t>
        </is>
      </c>
      <c r="S1731" s="3" t="inlineStr">
        <is>
          <t>전기타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소로한면</t>
        </is>
      </c>
    </row>
    <row r="1732">
      <c r="A1732" s="3" t="inlineStr">
        <is>
          <t>연서면 기룡리 52-6</t>
        </is>
      </c>
      <c r="B1732" s="3" t="inlineStr">
        <is>
          <t>계획관리지역</t>
        </is>
      </c>
      <c r="C1732" s="3" t="inlineStr">
        <is>
          <t>양어장</t>
        </is>
      </c>
      <c r="D1732" s="3" t="inlineStr">
        <is>
          <t>양어장</t>
        </is>
      </c>
      <c r="E1732" s="3" t="inlineStr">
        <is>
          <t>매매</t>
        </is>
      </c>
      <c r="F1732" s="4" t="n">
        <v>35000</v>
      </c>
      <c r="G1732" s="4" t="n">
        <v>430</v>
      </c>
      <c r="H1732" s="4" t="n">
        <v>130</v>
      </c>
      <c r="I1732" s="5" t="n">
        <v>269.2</v>
      </c>
      <c r="J1732" s="5" t="n">
        <v>44.4</v>
      </c>
      <c r="K1732" s="3" t="inlineStr">
        <is>
          <t>계획관리지역 양어장</t>
        </is>
      </c>
      <c r="L1732" s="6">
        <f>HYPERLINK("https://fin.land.naver.com/articles/2654422292", "매물Link")</f>
        <v/>
      </c>
      <c r="M1732" s="6">
        <f>HYPERLINK("https://map.naver.com/p/search/연서면 기룡리 52-6", "지도Link")</f>
        <v/>
      </c>
      <c r="N1732" s="6">
        <f>HYPERLINK("http://www.eum.go.kr/web/ar/lu/luLandDet.jsp?pnu=3611036028100520006&amp;isNoScr=script&amp;mode=search",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430</v>
      </c>
      <c r="R1732" s="3" t="inlineStr">
        <is>
          <t>지정되지않음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소로한면</t>
        </is>
      </c>
    </row>
    <row r="1733">
      <c r="A1733" s="3" t="inlineStr">
        <is>
          <t>연서면 기룡리 526-2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20000</v>
      </c>
      <c r="G1733" s="4" t="n">
        <v>1486</v>
      </c>
      <c r="H1733" s="4" t="n">
        <v>450</v>
      </c>
      <c r="I1733" s="5" t="n">
        <v>44.4</v>
      </c>
      <c r="J1733" s="5" t="n">
        <v>28.9</v>
      </c>
      <c r="K1733" s="3" t="inlineStr">
        <is>
          <t>관리지역 토지가격조율가능</t>
        </is>
      </c>
      <c r="L1733" s="6">
        <f>HYPERLINK("https://fin.land.naver.com/articles/2655169374", "매물Link")</f>
        <v/>
      </c>
      <c r="M1733" s="6">
        <f>HYPERLINK("https://map.naver.com/p/search/연서면 기룡리 526-2", "지도Link")</f>
        <v/>
      </c>
      <c r="N1733" s="6">
        <f>HYPERLINK("http://www.eum.go.kr/web/ar/lu/luLandDet.jsp?pnu=3611036028105260002&amp;isNoScr=script&amp;mode=search", "토지이음")</f>
        <v/>
      </c>
      <c r="O1733" s="3" t="inlineStr">
        <is>
          <t>세종대박</t>
        </is>
      </c>
      <c r="P1733" s="4" t="n">
        <v>2</v>
      </c>
      <c r="Q1733" s="4" t="n">
        <v>1486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589-1</t>
        </is>
      </c>
      <c r="B1734" s="3" t="inlineStr">
        <is>
          <t>생산관리지역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39500</v>
      </c>
      <c r="G1734" s="4" t="n">
        <v>1729</v>
      </c>
      <c r="H1734" s="4" t="n">
        <v>523</v>
      </c>
      <c r="I1734" s="5" t="n">
        <v>75.5</v>
      </c>
      <c r="J1734" s="5" t="n">
        <v>29.9</v>
      </c>
      <c r="K1734" s="3" t="inlineStr">
        <is>
          <t>기반 시설이 완비되어 있는 밭 과 농막 기룡리 토지매매</t>
        </is>
      </c>
      <c r="L1734" s="6">
        <f>HYPERLINK("https://fin.land.naver.com/articles/2654589326", "매물Link")</f>
        <v/>
      </c>
      <c r="M1734" s="6">
        <f>HYPERLINK("https://map.naver.com/p/search/연서면 기룡리 589-1", "지도Link")</f>
        <v/>
      </c>
      <c r="N1734" s="6">
        <f>HYPERLINK("http://www.eum.go.kr/web/ar/lu/luLandDet.jsp?pnu=3611036028105890001&amp;isNoScr=script&amp;mode=search", "토지이음")</f>
        <v/>
      </c>
      <c r="O1734" s="3" t="inlineStr">
        <is>
          <t>지성</t>
        </is>
      </c>
      <c r="P1734" s="4" t="n">
        <v>1</v>
      </c>
      <c r="Q1734" s="4" t="n">
        <v>1729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599</t>
        </is>
      </c>
      <c r="B1735" s="3" t="inlineStr">
        <is>
          <t>생산관리지역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30000</v>
      </c>
      <c r="G1735" s="4" t="n">
        <v>1246</v>
      </c>
      <c r="H1735" s="4" t="n">
        <v>377</v>
      </c>
      <c r="I1735" s="5" t="n">
        <v>79.59999999999999</v>
      </c>
      <c r="J1735" s="5" t="n">
        <v>31.2</v>
      </c>
      <c r="K1735" s="3" t="inlineStr">
        <is>
          <t>대전 보건전문대 부지 근거리위치 투자가치좋음</t>
        </is>
      </c>
      <c r="L1735" s="6">
        <f>HYPERLINK("https://fin.land.naver.com/articles/2652730624", "매물Link")</f>
        <v/>
      </c>
      <c r="M1735" s="6">
        <f>HYPERLINK("https://map.naver.com/p/search/연서면 기룡리 599", "지도Link")</f>
        <v/>
      </c>
      <c r="N1735" s="6">
        <f>HYPERLINK("http://www.eum.go.kr/web/ar/lu/luLandDet.jsp?pnu=3611036028105990000&amp;isNoScr=script&amp;mode=search", "토지이음")</f>
        <v/>
      </c>
      <c r="O1735" s="3" t="inlineStr">
        <is>
          <t>대박</t>
        </is>
      </c>
      <c r="P1735" s="4" t="n">
        <v>1</v>
      </c>
      <c r="Q1735" s="4" t="n">
        <v>1246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609-1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49000</v>
      </c>
      <c r="G1736" s="4" t="n">
        <v>1808</v>
      </c>
      <c r="H1736" s="4" t="n">
        <v>547</v>
      </c>
      <c r="I1736" s="5" t="n">
        <v>89.59999999999999</v>
      </c>
      <c r="J1736" s="5" t="n">
        <v>31.2</v>
      </c>
      <c r="K1736" s="3" t="inlineStr">
        <is>
          <t>기룡리 전망 좋고 공기 맑은 세컨하우스나 주말쉼터로 투자추천.</t>
        </is>
      </c>
      <c r="L1736" s="6">
        <f>HYPERLINK("https://fin.land.naver.com/articles/2655088639", "매물Link")</f>
        <v/>
      </c>
      <c r="M1736" s="6">
        <f>HYPERLINK("https://map.naver.com/p/search/연서면 기룡리 609-1", "지도Link")</f>
        <v/>
      </c>
      <c r="N1736" s="6">
        <f>HYPERLINK("http://www.eum.go.kr/web/ar/lu/luLandDet.jsp?pnu=3611036028106090001&amp;isNoScr=script&amp;mode=search", "토지이음")</f>
        <v/>
      </c>
      <c r="O1736" s="3" t="inlineStr">
        <is>
          <t>세종대장</t>
        </is>
      </c>
      <c r="P1736" s="4" t="n">
        <v>1</v>
      </c>
      <c r="Q1736" s="4" t="n">
        <v>1808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연서면 기룡리 651-5</t>
        </is>
      </c>
      <c r="B1737" s="3" t="inlineStr">
        <is>
          <t>계획관리지역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19500</v>
      </c>
      <c r="G1737" s="4" t="n">
        <v>483</v>
      </c>
      <c r="H1737" s="4" t="n">
        <v>146</v>
      </c>
      <c r="I1737" s="5" t="n">
        <v>133.6</v>
      </c>
      <c r="J1737" s="5" t="n">
        <v>66.7</v>
      </c>
      <c r="K1737" s="3" t="inlineStr">
        <is>
          <t>도로 접한 토지 급매 l  전원주택, 캠핑카등 활용도 높은 토지</t>
        </is>
      </c>
      <c r="L1737" s="6">
        <f>HYPERLINK("https://fin.land.naver.com/articles/2655221143", "매물Link")</f>
        <v/>
      </c>
      <c r="M1737" s="6">
        <f>HYPERLINK("https://map.naver.com/p/search/연서면 기룡리 651-5", "지도Link")</f>
        <v/>
      </c>
      <c r="N1737" s="6">
        <f>HYPERLINK("http://www.eum.go.kr/web/ar/lu/luLandDet.jsp?pnu=3611036028106510005&amp;isNoScr=script&amp;mode=search", "토지이음")</f>
        <v/>
      </c>
      <c r="O1737" s="3" t="inlineStr">
        <is>
          <t>문은진</t>
        </is>
      </c>
      <c r="P1737" s="4" t="n">
        <v>1</v>
      </c>
      <c r="Q1737" s="4" t="n">
        <v>364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세로한면(가)</t>
        </is>
      </c>
    </row>
    <row r="1738">
      <c r="A1738" s="3" t="inlineStr">
        <is>
          <t>연서면 기룡리 651-5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483</v>
      </c>
      <c r="H1738" s="4" t="n">
        <v>146</v>
      </c>
      <c r="I1738" s="5" t="n">
        <v>150.7</v>
      </c>
      <c r="J1738" s="5" t="n">
        <v>66.7</v>
      </c>
      <c r="K1738" s="3" t="inlineStr">
        <is>
          <t>급매 세종스마트산단인근  지가상승지역 전원주택 세컨하우스 추천</t>
        </is>
      </c>
      <c r="L1738" s="6">
        <f>HYPERLINK("https://fin.land.naver.com/articles/2654794559", "매물Link")</f>
        <v/>
      </c>
      <c r="M1738" s="6">
        <f>HYPERLINK("https://map.naver.com/p/search/연서면 기룡리 651-5", "지도Link")</f>
        <v/>
      </c>
      <c r="N1738" s="6">
        <f>HYPERLINK("http://www.eum.go.kr/web/ar/lu/luLandDet.jsp?pnu=3611036028106510005&amp;isNoScr=script&amp;mode=search", "토지이음")</f>
        <v/>
      </c>
      <c r="O1738" s="3" t="inlineStr">
        <is>
          <t>더원</t>
        </is>
      </c>
      <c r="P1738" s="4" t="n">
        <v>4</v>
      </c>
      <c r="Q1738" s="4" t="n">
        <v>364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기룡리 651-5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19500</v>
      </c>
      <c r="G1739" s="4" t="n">
        <v>483</v>
      </c>
      <c r="H1739" s="4" t="n">
        <v>146</v>
      </c>
      <c r="I1739" s="5" t="n">
        <v>133.6</v>
      </c>
      <c r="J1739" s="5" t="n">
        <v>66.7</v>
      </c>
      <c r="K1739" s="3" t="inlineStr">
        <is>
          <t>도로접 국가산단 인근으로 투자와 실사용을 동시에 만족</t>
        </is>
      </c>
      <c r="L1739" s="6">
        <f>HYPERLINK("https://fin.land.naver.com/articles/2652765583", "매물Link")</f>
        <v/>
      </c>
      <c r="M1739" s="6">
        <f>HYPERLINK("https://map.naver.com/p/search/연서면 기룡리 651-5", "지도Link")</f>
        <v/>
      </c>
      <c r="N1739" s="6">
        <f>HYPERLINK("http://www.eum.go.kr/web/ar/lu/luLandDet.jsp?pnu=3611036028106510005&amp;isNoScr=script&amp;mode=search", "토지이음")</f>
        <v/>
      </c>
      <c r="O1739" s="3" t="inlineStr">
        <is>
          <t>가치잇는</t>
        </is>
      </c>
      <c r="P1739" s="4" t="n">
        <v>7</v>
      </c>
      <c r="Q1739" s="4" t="n">
        <v>364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651-5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19500</v>
      </c>
      <c r="G1740" s="4" t="n">
        <v>483</v>
      </c>
      <c r="H1740" s="4" t="n">
        <v>146</v>
      </c>
      <c r="I1740" s="5" t="n">
        <v>133.6</v>
      </c>
      <c r="J1740" s="5" t="n">
        <v>66.7</v>
      </c>
      <c r="K1740" s="3" t="inlineStr">
        <is>
          <t>접근성좋아요,국유지구거및도로접</t>
        </is>
      </c>
      <c r="L1740" s="6">
        <f>HYPERLINK("https://fin.land.naver.com/articles/2654252150", "매물Link")</f>
        <v/>
      </c>
      <c r="M1740" s="6">
        <f>HYPERLINK("https://map.naver.com/p/search/연서면 기룡리 651-5", "지도Link")</f>
        <v/>
      </c>
      <c r="N1740" s="6">
        <f>HYPERLINK("http://www.eum.go.kr/web/ar/lu/luLandDet.jsp?pnu=3611036028106510005&amp;isNoScr=script&amp;mode=search", "토지이음")</f>
        <v/>
      </c>
      <c r="O1740" s="3" t="inlineStr">
        <is>
          <t>싱글벙글</t>
        </is>
      </c>
      <c r="P1740" s="4" t="n">
        <v>4</v>
      </c>
      <c r="Q1740" s="4" t="n">
        <v>364</v>
      </c>
      <c r="R1740" s="3" t="inlineStr">
        <is>
          <t>지정되지않음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651-5</t>
        </is>
      </c>
      <c r="B1741" s="3" t="inlineStr">
        <is>
          <t>계획관리지역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19500</v>
      </c>
      <c r="G1741" s="4" t="n">
        <v>483</v>
      </c>
      <c r="H1741" s="4" t="n">
        <v>146</v>
      </c>
      <c r="I1741" s="5" t="n">
        <v>133.6</v>
      </c>
      <c r="J1741" s="5" t="n">
        <v>66.7</v>
      </c>
      <c r="K1741" s="3" t="inlineStr">
        <is>
          <t>nan</t>
        </is>
      </c>
      <c r="L1741" s="6">
        <f>HYPERLINK("https://fin.land.naver.com/articles/2655596322", "매물Link")</f>
        <v/>
      </c>
      <c r="M1741" s="6">
        <f>HYPERLINK("https://map.naver.com/p/search/연서면 기룡리 651-5", "지도Link")</f>
        <v/>
      </c>
      <c r="N1741" s="6">
        <f>HYPERLINK("http://www.eum.go.kr/web/ar/lu/luLandDet.jsp?pnu=3611036028106510005&amp;isNoScr=script&amp;mode=search", "토지이음")</f>
        <v/>
      </c>
      <c r="O1741" s="3" t="inlineStr">
        <is>
          <t>조아</t>
        </is>
      </c>
      <c r="P1741" s="4" t="n">
        <v>4</v>
      </c>
      <c r="Q1741" s="4" t="n">
        <v>364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651-5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19500</v>
      </c>
      <c r="G1742" s="4" t="n">
        <v>482</v>
      </c>
      <c r="H1742" s="4" t="n">
        <v>146</v>
      </c>
      <c r="I1742" s="5" t="n">
        <v>133.6</v>
      </c>
      <c r="J1742" s="5" t="n">
        <v>66.7</v>
      </c>
      <c r="K1742" s="3" t="inlineStr">
        <is>
          <t>연서면 기룡리 토지 계획관리지역 전원주택등</t>
        </is>
      </c>
      <c r="L1742" s="6">
        <f>HYPERLINK("https://fin.land.naver.com/articles/2652196219", "매물Link")</f>
        <v/>
      </c>
      <c r="M1742" s="6">
        <f>HYPERLINK("https://map.naver.com/p/search/연서면 기룡리 651-5", "지도Link")</f>
        <v/>
      </c>
      <c r="N1742" s="6">
        <f>HYPERLINK("http://www.eum.go.kr/web/ar/lu/luLandDet.jsp?pnu=3611036028106510005&amp;isNoScr=script&amp;mode=search", "토지이음")</f>
        <v/>
      </c>
      <c r="O1742" s="3" t="inlineStr">
        <is>
          <t>반석원무소</t>
        </is>
      </c>
      <c r="P1742" s="4" t="n">
        <v>1</v>
      </c>
      <c r="Q1742" s="4" t="n">
        <v>364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662-1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29000</v>
      </c>
      <c r="G1743" s="4" t="n">
        <v>631</v>
      </c>
      <c r="H1743" s="4" t="n">
        <v>191</v>
      </c>
      <c r="I1743" s="5" t="n">
        <v>151.8</v>
      </c>
      <c r="J1743" s="5" t="n">
        <v>66.7</v>
      </c>
      <c r="K1743" s="3" t="inlineStr">
        <is>
          <t>급매,투자추천,나대지</t>
        </is>
      </c>
      <c r="L1743" s="6">
        <f>HYPERLINK("https://fin.land.naver.com/articles/2654898460", "매물Link")</f>
        <v/>
      </c>
      <c r="M1743" s="6">
        <f>HYPERLINK("https://map.naver.com/p/search/연서면 기룡리 662-1", "지도Link")</f>
        <v/>
      </c>
      <c r="N1743" s="6">
        <f>HYPERLINK("http://www.eum.go.kr/web/ar/lu/luLandDet.jsp?pnu=3611036028106620001&amp;isNoScr=script&amp;mode=search", "토지이음")</f>
        <v/>
      </c>
      <c r="O1743" s="3" t="inlineStr">
        <is>
          <t>다산</t>
        </is>
      </c>
      <c r="P1743" s="4" t="n">
        <v>1</v>
      </c>
      <c r="Q1743" s="4" t="n">
        <v>631</v>
      </c>
      <c r="R1743" s="3" t="inlineStr">
        <is>
          <t>지정되지않음</t>
        </is>
      </c>
      <c r="S1743" s="3" t="inlineStr">
        <is>
          <t>단독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662-1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29000</v>
      </c>
      <c r="G1744" s="4" t="n">
        <v>631</v>
      </c>
      <c r="H1744" s="4" t="n">
        <v>191</v>
      </c>
      <c r="I1744" s="5" t="n">
        <v>151.8</v>
      </c>
      <c r="J1744" s="5" t="n">
        <v>66.7</v>
      </c>
      <c r="K1744" s="3" t="inlineStr">
        <is>
          <t>작은 텃밭 건축가능한 대지</t>
        </is>
      </c>
      <c r="L1744" s="6">
        <f>HYPERLINK("https://fin.land.naver.com/articles/2651272476", "매물Link")</f>
        <v/>
      </c>
      <c r="M1744" s="6">
        <f>HYPERLINK("https://map.naver.com/p/search/연서면 기룡리 662-1", "지도Link")</f>
        <v/>
      </c>
      <c r="N1744" s="6">
        <f>HYPERLINK("http://www.eum.go.kr/web/ar/lu/luLandDet.jsp?pnu=3611036028106620001&amp;isNoScr=script&amp;mode=search", "토지이음")</f>
        <v/>
      </c>
      <c r="O1744" s="3" t="inlineStr">
        <is>
          <t>지성</t>
        </is>
      </c>
      <c r="P1744" s="4" t="n">
        <v>1</v>
      </c>
      <c r="Q1744" s="4" t="n">
        <v>631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692-1</t>
        </is>
      </c>
      <c r="B1745" s="3" t="inlineStr">
        <is>
          <t>생산관리지역</t>
        </is>
      </c>
      <c r="C1745" s="3" t="inlineStr">
        <is>
          <t>전</t>
        </is>
      </c>
      <c r="D1745" s="3" t="inlineStr">
        <is>
          <t>전</t>
        </is>
      </c>
      <c r="E1745" s="3" t="inlineStr">
        <is>
          <t>매매</t>
        </is>
      </c>
      <c r="F1745" s="4" t="n">
        <v>13000</v>
      </c>
      <c r="G1745" s="4" t="n">
        <v>506</v>
      </c>
      <c r="H1745" s="4" t="n">
        <v>153</v>
      </c>
      <c r="I1745" s="5" t="n">
        <v>85</v>
      </c>
      <c r="J1745" s="5" t="n">
        <v>32.1</v>
      </c>
      <c r="K1745" s="3" t="inlineStr">
        <is>
          <t>급매, 협의,절충, 도로접, 성장관리계획구역 지목이전으로 입지,인프라 굿</t>
        </is>
      </c>
      <c r="L1745" s="6">
        <f>HYPERLINK("https://fin.land.naver.com/articles/2655526027", "매물Link")</f>
        <v/>
      </c>
      <c r="M1745" s="6">
        <f>HYPERLINK("https://map.naver.com/p/search/연서면 기룡리 692-1", "지도Link")</f>
        <v/>
      </c>
      <c r="N1745" s="6">
        <f>HYPERLINK("http://www.eum.go.kr/web/ar/lu/luLandDet.jsp?pnu=3611036028106920001&amp;isNoScr=script&amp;mode=search", "토지이음")</f>
        <v/>
      </c>
      <c r="O1745" s="3" t="inlineStr">
        <is>
          <t>세종한울</t>
        </is>
      </c>
      <c r="P1745" s="4" t="n">
        <v>1</v>
      </c>
      <c r="Q1745" s="4" t="n">
        <v>506</v>
      </c>
      <c r="R1745" s="3" t="inlineStr">
        <is>
          <t>지정되지않음</t>
        </is>
      </c>
      <c r="S1745" s="3" t="inlineStr">
        <is>
          <t>전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693-5</t>
        </is>
      </c>
      <c r="B1746" s="3" t="inlineStr">
        <is>
          <t>농림지역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30000</v>
      </c>
      <c r="G1746" s="4" t="n">
        <v>1253</v>
      </c>
      <c r="H1746" s="4" t="n">
        <v>379</v>
      </c>
      <c r="I1746" s="5" t="n">
        <v>79.2</v>
      </c>
      <c r="J1746" s="5" t="n">
        <v>15.6</v>
      </c>
      <c r="K1746" s="3" t="inlineStr">
        <is>
          <t>급매, 협의,절충, 도로접, 전, 농림지역으로 입지, 인프라 굿</t>
        </is>
      </c>
      <c r="L1746" s="6">
        <f>HYPERLINK("https://fin.land.naver.com/articles/2655523312", "매물Link")</f>
        <v/>
      </c>
      <c r="M1746" s="6">
        <f>HYPERLINK("https://map.naver.com/p/search/연서면 기룡리 693-5", "지도Link")</f>
        <v/>
      </c>
      <c r="N1746" s="6">
        <f>HYPERLINK("http://www.eum.go.kr/web/ar/lu/luLandDet.jsp?pnu=3611036028106930005&amp;isNoScr=script&amp;mode=search", "토지이음")</f>
        <v/>
      </c>
      <c r="O1746" s="3" t="inlineStr">
        <is>
          <t>세종한울</t>
        </is>
      </c>
      <c r="P1746" s="4" t="n">
        <v>1</v>
      </c>
      <c r="Q1746" s="4" t="n">
        <v>1253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세로한면(불)</t>
        </is>
      </c>
    </row>
    <row r="1747">
      <c r="A1747" s="3" t="inlineStr">
        <is>
          <t>연서면 기룡리 710-2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38500</v>
      </c>
      <c r="G1747" s="4" t="n">
        <v>2542</v>
      </c>
      <c r="H1747" s="4" t="n">
        <v>769</v>
      </c>
      <c r="I1747" s="5" t="n">
        <v>50.1</v>
      </c>
      <c r="J1747" s="5" t="n">
        <v>24.9</v>
      </c>
      <c r="K1747" s="3" t="inlineStr">
        <is>
          <t>세종시 연서면 기룡리 생산관리지역 답 매매</t>
        </is>
      </c>
      <c r="L1747" s="6">
        <f>HYPERLINK("https://fin.land.naver.com/articles/2655174218", "매물Link")</f>
        <v/>
      </c>
      <c r="M1747" s="6">
        <f>HYPERLINK("https://map.naver.com/p/search/연서면 기룡리 710-2", "지도Link")</f>
        <v/>
      </c>
      <c r="N1747" s="6">
        <f>HYPERLINK("http://www.eum.go.kr/web/ar/lu/luLandDet.jsp?pnu=3611036028107100002&amp;isNoScr=script&amp;mode=search", "토지이음")</f>
        <v/>
      </c>
      <c r="O1747" s="3" t="inlineStr">
        <is>
          <t>하이엔드</t>
        </is>
      </c>
      <c r="P1747" s="4" t="n">
        <v>1</v>
      </c>
      <c r="Q1747" s="4" t="n">
        <v>2542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기룡리 산126</t>
        </is>
      </c>
      <c r="B1748" s="3" t="inlineStr">
        <is>
          <t>농림지역</t>
        </is>
      </c>
      <c r="C1748" s="3" t="inlineStr">
        <is>
          <t>임야</t>
        </is>
      </c>
      <c r="D1748" s="3" t="inlineStr">
        <is>
          <t>임야</t>
        </is>
      </c>
      <c r="E1748" s="3" t="inlineStr">
        <is>
          <t>매매</t>
        </is>
      </c>
      <c r="F1748" s="4" t="n">
        <v>674000</v>
      </c>
      <c r="G1748" s="4" t="n">
        <v>302777</v>
      </c>
      <c r="H1748" s="4" t="n">
        <v>91590</v>
      </c>
      <c r="I1748" s="5" t="n">
        <v>7.4</v>
      </c>
      <c r="J1748" s="5" t="n">
        <v>1.7</v>
      </c>
      <c r="K1748" s="3" t="inlineStr">
        <is>
          <t>연서면 기룡리 농림지역 대형 임야 매매, 국가산업단지, 용암JC 인근</t>
        </is>
      </c>
      <c r="L1748" s="6">
        <f>HYPERLINK("https://fin.land.naver.com/articles/2654028634", "매물Link")</f>
        <v/>
      </c>
      <c r="M1748" s="6">
        <f>HYPERLINK("https://map.naver.com/p/search/연서면 기룡리 산126", "지도Link")</f>
        <v/>
      </c>
      <c r="N1748" s="6">
        <f>HYPERLINK("http://www.eum.go.kr/web/ar/lu/luLandDet.jsp?pnu=3611036028201260000&amp;isNoScr=script&amp;mode=search",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302777</v>
      </c>
      <c r="R1748" s="3" t="inlineStr">
        <is>
          <t>보전관리지역</t>
        </is>
      </c>
      <c r="S1748" s="3" t="inlineStr">
        <is>
          <t>자연림</t>
        </is>
      </c>
      <c r="T1748" s="3" t="inlineStr">
        <is>
          <t>급경사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기룡리 산154-1</t>
        </is>
      </c>
      <c r="B1749" s="3" t="inlineStr">
        <is>
          <t>농림지역</t>
        </is>
      </c>
      <c r="C1749" s="3" t="inlineStr">
        <is>
          <t>임야</t>
        </is>
      </c>
      <c r="D1749" s="3" t="inlineStr">
        <is>
          <t>임야</t>
        </is>
      </c>
      <c r="E1749" s="3" t="inlineStr">
        <is>
          <t>매매</t>
        </is>
      </c>
      <c r="F1749" s="4" t="n">
        <v>340000</v>
      </c>
      <c r="G1749" s="4" t="n">
        <v>72545</v>
      </c>
      <c r="H1749" s="4" t="n">
        <v>21945</v>
      </c>
      <c r="I1749" s="5" t="n">
        <v>15.5</v>
      </c>
      <c r="J1749" s="5" t="n">
        <v>1.8</v>
      </c>
      <c r="K1749" s="3" t="inlineStr">
        <is>
          <t>nan</t>
        </is>
      </c>
      <c r="L1749" s="6">
        <f>HYPERLINK("https://fin.land.naver.com/articles/2653635817", "매물Link")</f>
        <v/>
      </c>
      <c r="M1749" s="6">
        <f>HYPERLINK("https://map.naver.com/p/search/연서면 기룡리 산154-1", "지도Link")</f>
        <v/>
      </c>
      <c r="N1749" s="6">
        <f>HYPERLINK("http://www.eum.go.kr/web/ar/lu/luLandDet.jsp?pnu=3611036028201540001&amp;isNoScr=script&amp;mode=search", "토지이음")</f>
        <v/>
      </c>
      <c r="O1749" s="3" t="inlineStr">
        <is>
          <t>다온</t>
        </is>
      </c>
      <c r="P1749" s="4" t="n">
        <v>1</v>
      </c>
      <c r="Q1749" s="4" t="n">
        <v>27296</v>
      </c>
      <c r="R1749" s="3" t="inlineStr">
        <is>
          <t>보전관리지역</t>
        </is>
      </c>
      <c r="S1749" s="3" t="inlineStr">
        <is>
          <t>자연림</t>
        </is>
      </c>
      <c r="T1749" s="3" t="inlineStr">
        <is>
          <t>급경사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기룡리 산26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1800</v>
      </c>
      <c r="G1750" s="4" t="n">
        <v>330</v>
      </c>
      <c r="H1750" s="4" t="n">
        <v>100</v>
      </c>
      <c r="I1750" s="5" t="n">
        <v>18</v>
      </c>
      <c r="J1750" s="5" t="n">
        <v>1.7</v>
      </c>
      <c r="K1750" s="3" t="inlineStr">
        <is>
          <t>세종인접. 지분등기된 소액투자용 토지.보전관리 임야</t>
        </is>
      </c>
      <c r="L1750" s="6">
        <f>HYPERLINK("https://fin.land.naver.com/articles/2651284977", "매물Link")</f>
        <v/>
      </c>
      <c r="M1750" s="6">
        <f>HYPERLINK("https://map.naver.com/p/search/연서면 기룡리 산26", "지도Link")</f>
        <v/>
      </c>
      <c r="N1750" s="6">
        <f>HYPERLINK("http://www.eum.go.kr/web/ar/lu/luLandDet.jsp?pnu=3611036028200260000&amp;isNoScr=script&amp;mode=search", "토지이음")</f>
        <v/>
      </c>
      <c r="O1750" s="3" t="inlineStr">
        <is>
          <t>테크노114</t>
        </is>
      </c>
      <c r="P1750" s="4" t="n">
        <v>1</v>
      </c>
      <c r="Q1750" s="4" t="n">
        <v>41653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봉암리 102-8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70000</v>
      </c>
      <c r="G1751" s="4" t="n">
        <v>17833</v>
      </c>
      <c r="H1751" s="4" t="n">
        <v>5394</v>
      </c>
      <c r="I1751" s="5" t="n">
        <v>13</v>
      </c>
      <c r="J1751" s="5" t="n">
        <v>30.9</v>
      </c>
      <c r="K1751" s="3" t="inlineStr">
        <is>
          <t>인근북세종IC. 창고,공장 건축</t>
        </is>
      </c>
      <c r="L1751" s="6">
        <f>HYPERLINK("https://fin.land.naver.com/articles/2655032803", "매물Link")</f>
        <v/>
      </c>
      <c r="M1751" s="6">
        <f>HYPERLINK("https://map.naver.com/p/search/연서면 봉암리 102-8", "지도Link")</f>
        <v/>
      </c>
      <c r="N1751" s="6">
        <f>HYPERLINK("http://www.eum.go.kr/web/ar/lu/luLandDet.jsp?pnu=3611036033101020008&amp;isNoScr=script&amp;mode=search", "토지이음")</f>
        <v/>
      </c>
      <c r="O1751" s="3" t="inlineStr">
        <is>
          <t>세종대박</t>
        </is>
      </c>
      <c r="P1751" s="4" t="n">
        <v>2</v>
      </c>
      <c r="Q1751" s="4" t="n">
        <v>1783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봉암리 1082</t>
        </is>
      </c>
      <c r="B1752" s="3" t="inlineStr">
        <is>
          <t>농림지역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36500</v>
      </c>
      <c r="G1752" s="4" t="n">
        <v>916</v>
      </c>
      <c r="H1752" s="4" t="n">
        <v>277</v>
      </c>
      <c r="I1752" s="5" t="n">
        <v>131.8</v>
      </c>
      <c r="J1752" s="5" t="n">
        <v>23.9</v>
      </c>
      <c r="K1752" s="3" t="inlineStr">
        <is>
          <t>추천. 세종 스마트국가산업단지 인근 농지</t>
        </is>
      </c>
      <c r="L1752" s="6">
        <f>HYPERLINK("https://fin.land.naver.com/articles/2651966245", "매물Link")</f>
        <v/>
      </c>
      <c r="M1752" s="6">
        <f>HYPERLINK("https://map.naver.com/p/search/연서면 봉암리 1082", "지도Link")</f>
        <v/>
      </c>
      <c r="N1752" s="6">
        <f>HYPERLINK("http://www.eum.go.kr/web/ar/lu/luLandDet.jsp?pnu=3611036033110820000&amp;isNoScr=script&amp;mode=search", "토지이음")</f>
        <v/>
      </c>
      <c r="O1752" s="3" t="inlineStr">
        <is>
          <t>강아지풀</t>
        </is>
      </c>
      <c r="P1752" s="4" t="n">
        <v>1</v>
      </c>
      <c r="Q1752" s="4" t="n">
        <v>916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봉암리 214-13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38000</v>
      </c>
      <c r="G1753" s="4" t="n">
        <v>125</v>
      </c>
      <c r="H1753" s="4" t="n">
        <v>38</v>
      </c>
      <c r="I1753" s="5" t="n">
        <v>1000</v>
      </c>
      <c r="J1753" s="5" t="n">
        <v>341.8</v>
      </c>
      <c r="K1753" s="3" t="inlineStr">
        <is>
          <t>봉암리 상가 밀집지역 핵심   대지 매매</t>
        </is>
      </c>
      <c r="L1753" s="6">
        <f>HYPERLINK("https://fin.land.naver.com/articles/2652364695", "매물Link")</f>
        <v/>
      </c>
      <c r="M1753" s="6">
        <f>HYPERLINK("https://map.naver.com/p/search/연서면 봉암리 214-13", "지도Link")</f>
        <v/>
      </c>
      <c r="N1753" s="6">
        <f>HYPERLINK("http://www.eum.go.kr/web/ar/lu/luLandDet.jsp?pnu=3611036033102140013&amp;isNoScr=script&amp;mode=search", "토지이음")</f>
        <v/>
      </c>
      <c r="O1753" s="3" t="inlineStr">
        <is>
          <t>해들삼성</t>
        </is>
      </c>
      <c r="P1753" s="4" t="n">
        <v>2</v>
      </c>
      <c r="Q1753" s="4" t="n">
        <v>125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사다리형</t>
        </is>
      </c>
      <c r="V1753" s="3" t="inlineStr">
        <is>
          <t>소로한면</t>
        </is>
      </c>
    </row>
    <row r="1754">
      <c r="A1754" s="3" t="inlineStr">
        <is>
          <t>연서면 봉암리 230-60</t>
        </is>
      </c>
      <c r="B1754" s="3" t="inlineStr">
        <is>
          <t>계획관리지역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120000</v>
      </c>
      <c r="G1754" s="4" t="n">
        <v>796</v>
      </c>
      <c r="H1754" s="4" t="n">
        <v>241</v>
      </c>
      <c r="I1754" s="5" t="n">
        <v>497.9</v>
      </c>
      <c r="J1754" s="5" t="n">
        <v>88.8</v>
      </c>
      <c r="K1754" s="3" t="inlineStr">
        <is>
          <t>8차선 BRT 도로 근접, 와촌리 국가산단 근교, 세종시의 가장 중심지.</t>
        </is>
      </c>
      <c r="L1754" s="6">
        <f>HYPERLINK("https://fin.land.naver.com/articles/2653349023", "매물Link")</f>
        <v/>
      </c>
      <c r="M1754" s="6">
        <f>HYPERLINK("https://map.naver.com/p/search/연서면 봉암리 230-60", "지도Link")</f>
        <v/>
      </c>
      <c r="N1754" s="6">
        <f>HYPERLINK("http://www.eum.go.kr/web/ar/lu/luLandDet.jsp?pnu=3611036033102300060&amp;isNoScr=script&amp;mode=search", "토지이음")</f>
        <v/>
      </c>
      <c r="O1754" s="3" t="inlineStr">
        <is>
          <t>꿈드림</t>
        </is>
      </c>
      <c r="P1754" s="4" t="n">
        <v>1</v>
      </c>
      <c r="Q1754" s="4" t="n">
        <v>661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봉암리 234-43</t>
        </is>
      </c>
      <c r="B1755" s="3" t="inlineStr">
        <is>
          <t>계획관리지역</t>
        </is>
      </c>
      <c r="C1755" s="3" t="inlineStr">
        <is>
          <t>과수원</t>
        </is>
      </c>
      <c r="D1755" s="3" t="inlineStr">
        <is>
          <t>과수원</t>
        </is>
      </c>
      <c r="E1755" s="3" t="inlineStr">
        <is>
          <t>매매</t>
        </is>
      </c>
      <c r="F1755" s="4" t="n">
        <v>210000</v>
      </c>
      <c r="G1755" s="4" t="n">
        <v>671</v>
      </c>
      <c r="H1755" s="4" t="n">
        <v>203</v>
      </c>
      <c r="I1755" s="5" t="n">
        <v>1034.5</v>
      </c>
      <c r="J1755" s="5" t="n">
        <v>145.8</v>
      </c>
      <c r="K1755" s="3" t="inlineStr">
        <is>
          <t>광고효과최상, 투자효가높은지역 추천</t>
        </is>
      </c>
      <c r="L1755" s="6">
        <f>HYPERLINK("https://fin.land.naver.com/articles/2652647634", "매물Link")</f>
        <v/>
      </c>
      <c r="M1755" s="6">
        <f>HYPERLINK("https://map.naver.com/p/search/연서면 봉암리 234-43", "지도Link")</f>
        <v/>
      </c>
      <c r="N1755" s="6">
        <f>HYPERLINK("http://www.eum.go.kr/web/ar/lu/luLandDet.jsp?pnu=3611036033102340043&amp;isNoScr=script&amp;mode=search", "토지이음")</f>
        <v/>
      </c>
      <c r="O1755" s="3" t="inlineStr">
        <is>
          <t>대박</t>
        </is>
      </c>
      <c r="P1755" s="4" t="n">
        <v>1</v>
      </c>
      <c r="Q1755" s="4" t="n">
        <v>186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봉암리 245-5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32000</v>
      </c>
      <c r="G1756" s="4" t="n">
        <v>305</v>
      </c>
      <c r="H1756" s="4" t="n">
        <v>92</v>
      </c>
      <c r="I1756" s="5" t="n">
        <v>347.8</v>
      </c>
      <c r="J1756" s="5" t="n">
        <v>125.7</v>
      </c>
      <c r="K1756" s="3" t="inlineStr">
        <is>
          <t>현재 주거나지 상태이며 주택부지로 적합</t>
        </is>
      </c>
      <c r="L1756" s="6">
        <f>HYPERLINK("https://fin.land.naver.com/articles/2651207456", "매물Link")</f>
        <v/>
      </c>
      <c r="M1756" s="6">
        <f>HYPERLINK("https://map.naver.com/p/search/연서면 봉암리 245-5", "지도Link")</f>
        <v/>
      </c>
      <c r="N1756" s="6">
        <f>HYPERLINK("http://www.eum.go.kr/web/ar/lu/luLandDet.jsp?pnu=3611036033102450005&amp;isNoScr=script&amp;mode=search", "토지이음")</f>
        <v/>
      </c>
      <c r="O1756" s="3" t="inlineStr">
        <is>
          <t>엘지에스케이</t>
        </is>
      </c>
      <c r="P1756" s="4" t="n">
        <v>1</v>
      </c>
      <c r="Q1756" s="4" t="n">
        <v>305</v>
      </c>
      <c r="R1756" s="3" t="inlineStr">
        <is>
          <t>지정되지않음</t>
        </is>
      </c>
      <c r="S1756" s="3" t="inlineStr">
        <is>
          <t>단독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세로한면(가)</t>
        </is>
      </c>
    </row>
    <row r="1757">
      <c r="A1757" s="3" t="inlineStr">
        <is>
          <t>연서면 봉암리 348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168000</v>
      </c>
      <c r="G1757" s="4" t="n">
        <v>4830</v>
      </c>
      <c r="H1757" s="4" t="n">
        <v>1461</v>
      </c>
      <c r="I1757" s="5" t="n">
        <v>115</v>
      </c>
      <c r="J1757" s="5" t="n">
        <v>29.8</v>
      </c>
      <c r="K1757" s="3" t="inlineStr">
        <is>
          <t>추천. 세종국가산단 인근 토지</t>
        </is>
      </c>
      <c r="L1757" s="6">
        <f>HYPERLINK("https://fin.land.naver.com/articles/2651912464", "매물Link")</f>
        <v/>
      </c>
      <c r="M1757" s="6">
        <f>HYPERLINK("https://map.naver.com/p/search/연서면 봉암리 348", "지도Link")</f>
        <v/>
      </c>
      <c r="N1757" s="6">
        <f>HYPERLINK("http://www.eum.go.kr/web/ar/lu/luLandDet.jsp?pnu=3611036033103480000&amp;isNoScr=script&amp;mode=search", "토지이음")</f>
        <v/>
      </c>
      <c r="O1757" s="3" t="inlineStr">
        <is>
          <t>강아지풀</t>
        </is>
      </c>
      <c r="P1757" s="4" t="n">
        <v>2</v>
      </c>
      <c r="Q1757" s="4" t="n">
        <v>4830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세로한면(가)</t>
        </is>
      </c>
    </row>
    <row r="1758">
      <c r="A1758" s="3" t="inlineStr">
        <is>
          <t>연서면 봉암리 427-12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78000</v>
      </c>
      <c r="G1758" s="4" t="n">
        <v>569</v>
      </c>
      <c r="H1758" s="4" t="n">
        <v>172</v>
      </c>
      <c r="I1758" s="5" t="n">
        <v>453.5</v>
      </c>
      <c r="J1758" s="5" t="n">
        <v>134</v>
      </c>
      <c r="K1758" s="3" t="inlineStr">
        <is>
          <t>계획관리지역 ,주택있는 대지</t>
        </is>
      </c>
      <c r="L1758" s="6">
        <f>HYPERLINK("https://fin.land.naver.com/articles/2654048732", "매물Link")</f>
        <v/>
      </c>
      <c r="M1758" s="6">
        <f>HYPERLINK("https://map.naver.com/p/search/연서면 봉암리 427-12", "지도Link")</f>
        <v/>
      </c>
      <c r="N1758" s="6">
        <f>HYPERLINK("http://www.eum.go.kr/web/ar/lu/luLandDet.jsp?pnu=3611036033104270012&amp;isNoScr=script&amp;mode=search", "토지이음")</f>
        <v/>
      </c>
      <c r="O1758" s="3" t="inlineStr">
        <is>
          <t>마메종</t>
        </is>
      </c>
      <c r="P1758" s="4" t="n">
        <v>1</v>
      </c>
      <c r="Q1758" s="4" t="n">
        <v>569.8</v>
      </c>
      <c r="R1758" s="3" t="inlineStr">
        <is>
          <t>지정되지않음</t>
        </is>
      </c>
      <c r="S1758" s="3" t="inlineStr">
        <is>
          <t>단독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봉암리 45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535400</v>
      </c>
      <c r="G1759" s="4" t="n">
        <v>8848</v>
      </c>
      <c r="H1759" s="4" t="n">
        <v>2677</v>
      </c>
      <c r="I1759" s="5" t="n">
        <v>200</v>
      </c>
      <c r="J1759" s="5" t="n">
        <v>22.7</v>
      </c>
      <c r="K1759" s="3" t="inlineStr">
        <is>
          <t>투자가치 좋은땅, 국도 접해있는 도로, 세종중심조치원 연결도로</t>
        </is>
      </c>
      <c r="L1759" s="6">
        <f>HYPERLINK("https://fin.land.naver.com/articles/2653384354", "매물Link")</f>
        <v/>
      </c>
      <c r="M1759" s="6">
        <f>HYPERLINK("https://map.naver.com/p/search/연서면 봉암리 45", "지도Link")</f>
        <v/>
      </c>
      <c r="N1759" s="6">
        <f>HYPERLINK("http://www.eum.go.kr/web/ar/lu/luLandDet.jsp?pnu=3611036033100450000&amp;isNoScr=script&amp;mode=search", "토지이음")</f>
        <v/>
      </c>
      <c r="O1759" s="3" t="inlineStr">
        <is>
          <t>금백</t>
        </is>
      </c>
      <c r="P1759" s="4" t="n">
        <v>2</v>
      </c>
      <c r="Q1759" s="4" t="n">
        <v>8848</v>
      </c>
      <c r="R1759" s="3" t="inlineStr">
        <is>
          <t>지정되지않음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중로한면</t>
        </is>
      </c>
    </row>
    <row r="1760">
      <c r="A1760" s="3" t="inlineStr">
        <is>
          <t>연서면 봉암리 532-2</t>
        </is>
      </c>
      <c r="B1760" s="3" t="inlineStr">
        <is>
          <t>계획관리지역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197000</v>
      </c>
      <c r="G1760" s="4" t="n">
        <v>1183</v>
      </c>
      <c r="H1760" s="4" t="n">
        <v>358</v>
      </c>
      <c r="I1760" s="5" t="n">
        <v>550.3</v>
      </c>
      <c r="J1760" s="5" t="n">
        <v>99.8</v>
      </c>
      <c r="K1760" s="3" t="inlineStr">
        <is>
          <t>연기사거리 인근 건축 가능한 계획관리지역 투자목적 토지 급매매</t>
        </is>
      </c>
      <c r="L1760" s="6">
        <f>HYPERLINK("https://fin.land.naver.com/articles/2650452623", "매물Link")</f>
        <v/>
      </c>
      <c r="M1760" s="6">
        <f>HYPERLINK("https://map.naver.com/p/search/연서면 봉암리 532-2", "지도Link")</f>
        <v/>
      </c>
      <c r="N1760" s="6">
        <f>HYPERLINK("http://www.eum.go.kr/web/ar/lu/luLandDet.jsp?pnu=3611036033105320002&amp;isNoScr=script&amp;mode=search", "토지이음")</f>
        <v/>
      </c>
      <c r="O1760" s="3" t="inlineStr">
        <is>
          <t>(주)해뜰터</t>
        </is>
      </c>
      <c r="P1760" s="4" t="n">
        <v>1</v>
      </c>
      <c r="Q1760" s="4" t="n">
        <v>1183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세로한면(불)</t>
        </is>
      </c>
    </row>
    <row r="1761">
      <c r="A1761" s="3" t="inlineStr">
        <is>
          <t>연서면 봉암리 604-3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84000</v>
      </c>
      <c r="G1761" s="4" t="n">
        <v>1061</v>
      </c>
      <c r="H1761" s="4" t="n">
        <v>321</v>
      </c>
      <c r="I1761" s="5" t="n">
        <v>261.7</v>
      </c>
      <c r="J1761" s="5" t="n">
        <v>149.2</v>
      </c>
      <c r="K1761" s="3" t="inlineStr">
        <is>
          <t>주거개발진흥지구, 성장관리계획구역,자연취락지구 정방형 급매</t>
        </is>
      </c>
      <c r="L1761" s="6">
        <f>HYPERLINK("https://fin.land.naver.com/articles/2652376241", "매물Link")</f>
        <v/>
      </c>
      <c r="M1761" s="6">
        <f>HYPERLINK("https://map.naver.com/p/search/연서면 봉암리 604-3", "지도Link")</f>
        <v/>
      </c>
      <c r="N1761" s="6">
        <f>HYPERLINK("http://www.eum.go.kr/web/ar/lu/luLandDet.jsp?pnu=3611036033106040003&amp;isNoScr=script&amp;mode=search", "토지이음")</f>
        <v/>
      </c>
      <c r="O1761" s="3" t="inlineStr">
        <is>
          <t>도안재벌</t>
        </is>
      </c>
      <c r="P1761" s="4" t="n">
        <v>1</v>
      </c>
      <c r="Q1761" s="4" t="n">
        <v>1061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세로한면(가)</t>
        </is>
      </c>
    </row>
    <row r="1762">
      <c r="A1762" s="3" t="inlineStr">
        <is>
          <t>연서면 봉암리 620-136</t>
        </is>
      </c>
      <c r="B1762" s="3" t="inlineStr">
        <is>
          <t>계획관리지역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25000</v>
      </c>
      <c r="G1762" s="4" t="n">
        <v>492</v>
      </c>
      <c r="H1762" s="4" t="n">
        <v>149</v>
      </c>
      <c r="I1762" s="5" t="n">
        <v>167.8</v>
      </c>
      <c r="J1762" s="5" t="n">
        <v>113.4</v>
      </c>
      <c r="K1762" s="3" t="inlineStr">
        <is>
          <t>8차선으로 확장된 BRT 도로 근교이며, 세종시의 중심 지역 급매임.</t>
        </is>
      </c>
      <c r="L1762" s="6">
        <f>HYPERLINK("https://fin.land.naver.com/articles/2655436502", "매물Link")</f>
        <v/>
      </c>
      <c r="M1762" s="6">
        <f>HYPERLINK("https://map.naver.com/p/search/연서면 봉암리 620-136", "지도Link")</f>
        <v/>
      </c>
      <c r="N1762" s="6">
        <f>HYPERLINK("http://www.eum.go.kr/web/ar/lu/luLandDet.jsp?pnu=3611036033106200136&amp;isNoScr=script&amp;mode=search", "토지이음")</f>
        <v/>
      </c>
      <c r="O1762" s="3" t="inlineStr">
        <is>
          <t>꿈드림</t>
        </is>
      </c>
      <c r="P1762" s="4" t="n">
        <v>1</v>
      </c>
      <c r="Q1762" s="4" t="n">
        <v>492</v>
      </c>
      <c r="R1762" s="3" t="inlineStr">
        <is>
          <t>지정되지않음</t>
        </is>
      </c>
      <c r="S1762" s="3" t="inlineStr">
        <is>
          <t>전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중로한면</t>
        </is>
      </c>
    </row>
    <row r="1763">
      <c r="A1763" s="3" t="inlineStr">
        <is>
          <t>연서면 봉암리 620-22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524</v>
      </c>
      <c r="H1763" s="4" t="n">
        <v>159</v>
      </c>
      <c r="I1763" s="5" t="n">
        <v>503.1</v>
      </c>
      <c r="J1763" s="5" t="n">
        <v>112.7</v>
      </c>
      <c r="K1763" s="3" t="inlineStr">
        <is>
          <t>8차선으로 확장된 BRT 도로와 2차선변.와촌리국가 산단 중심 근교임.</t>
        </is>
      </c>
      <c r="L1763" s="6">
        <f>HYPERLINK("https://fin.land.naver.com/articles/2653882175", "매물Link")</f>
        <v/>
      </c>
      <c r="M1763" s="6">
        <f>HYPERLINK("https://map.naver.com/p/search/연서면 봉암리 620-22", "지도Link")</f>
        <v/>
      </c>
      <c r="N1763" s="6">
        <f>HYPERLINK("http://www.eum.go.kr/web/ar/lu/luLandDet.jsp?pnu=3611036033106200022&amp;isNoScr=script&amp;mode=search",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428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봉암리 676-10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50000</v>
      </c>
      <c r="G1764" s="4" t="n">
        <v>330</v>
      </c>
      <c r="H1764" s="4" t="n">
        <v>100</v>
      </c>
      <c r="I1764" s="5" t="n">
        <v>500</v>
      </c>
      <c r="J1764" s="5" t="n">
        <v>75</v>
      </c>
      <c r="K1764" s="3" t="inlineStr">
        <is>
          <t>세종스마트국가산업단지 근접, 작은 근생용지나창고부지로 적합</t>
        </is>
      </c>
      <c r="L1764" s="6">
        <f>HYPERLINK("https://fin.land.naver.com/articles/2652823552", "매물Link")</f>
        <v/>
      </c>
      <c r="M1764" s="6">
        <f>HYPERLINK("https://map.naver.com/p/search/연서면 봉암리 676-10", "지도Link")</f>
        <v/>
      </c>
      <c r="N1764" s="6">
        <f>HYPERLINK("http://www.eum.go.kr/web/ar/lu/luLandDet.jsp?pnu=3611036033106760010&amp;isNoScr=script&amp;mode=search", "토지이음")</f>
        <v/>
      </c>
      <c r="O1764" s="3" t="inlineStr">
        <is>
          <t>담뜰</t>
        </is>
      </c>
      <c r="P1764" s="4" t="n">
        <v>1</v>
      </c>
      <c r="Q1764" s="4" t="n">
        <v>331</v>
      </c>
      <c r="R1764" s="3" t="inlineStr">
        <is>
          <t>지정되지않음</t>
        </is>
      </c>
      <c r="S1764" s="3" t="inlineStr">
        <is>
          <t>전창고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677-2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400000</v>
      </c>
      <c r="G1765" s="4" t="n">
        <v>2202</v>
      </c>
      <c r="H1765" s="4" t="n">
        <v>666</v>
      </c>
      <c r="I1765" s="5" t="n">
        <v>600.6</v>
      </c>
      <c r="J1765" s="5" t="n">
        <v>116.6</v>
      </c>
      <c r="K1765" s="3" t="inlineStr">
        <is>
          <t>세종스마트국가산업단지 근접 도로접근 용이</t>
        </is>
      </c>
      <c r="L1765" s="6">
        <f>HYPERLINK("https://fin.land.naver.com/articles/2652558544", "매물Link")</f>
        <v/>
      </c>
      <c r="M1765" s="6">
        <f>HYPERLINK("https://map.naver.com/p/search/연서면 봉암리 677-2", "지도Link")</f>
        <v/>
      </c>
      <c r="N1765" s="6">
        <f>HYPERLINK("http://www.eum.go.kr/web/ar/lu/luLandDet.jsp?pnu=3611036033106770002&amp;isNoScr=script&amp;mode=search", "토지이음")</f>
        <v/>
      </c>
      <c r="O1765" s="3" t="inlineStr">
        <is>
          <t>오송파라곤리치</t>
        </is>
      </c>
      <c r="P1765" s="4" t="n">
        <v>1</v>
      </c>
      <c r="Q1765" s="4" t="n">
        <v>655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봉암리 828</t>
        </is>
      </c>
      <c r="B1766" s="3" t="inlineStr">
        <is>
          <t>농림지역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74000</v>
      </c>
      <c r="G1766" s="4" t="n">
        <v>2023</v>
      </c>
      <c r="H1766" s="4" t="n">
        <v>612</v>
      </c>
      <c r="I1766" s="5" t="n">
        <v>120.9</v>
      </c>
      <c r="J1766" s="5" t="n">
        <v>28.7</v>
      </c>
      <c r="K1766" s="3" t="inlineStr">
        <is>
          <t>추천. 세종국가산단 인근 하우스</t>
        </is>
      </c>
      <c r="L1766" s="6">
        <f>HYPERLINK("https://fin.land.naver.com/articles/2651993764", "매물Link")</f>
        <v/>
      </c>
      <c r="M1766" s="6">
        <f>HYPERLINK("https://map.naver.com/p/search/연서면 봉암리 828", "지도Link")</f>
        <v/>
      </c>
      <c r="N1766" s="6">
        <f>HYPERLINK("http://www.eum.go.kr/web/ar/lu/luLandDet.jsp?pnu=3611036033108280000&amp;isNoScr=script&amp;mode=search",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2023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봉암리 853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110000</v>
      </c>
      <c r="G1767" s="4" t="n">
        <v>2221</v>
      </c>
      <c r="H1767" s="4" t="n">
        <v>672</v>
      </c>
      <c r="I1767" s="5" t="n">
        <v>163.7</v>
      </c>
      <c r="J1767" s="5" t="n">
        <v>28.7</v>
      </c>
      <c r="K1767" s="3" t="inlineStr">
        <is>
          <t>3m 도로 코너 자리, 주거지에서 직선거리 210m</t>
        </is>
      </c>
      <c r="L1767" s="6">
        <f>HYPERLINK("https://fin.land.naver.com/articles/2652066939", "매물Link")</f>
        <v/>
      </c>
      <c r="M1767" s="6">
        <f>HYPERLINK("https://map.naver.com/p/search/연서면 봉암리 853", "지도Link")</f>
        <v/>
      </c>
      <c r="N1767" s="6">
        <f>HYPERLINK("http://www.eum.go.kr/web/ar/lu/luLandDet.jsp?pnu=3611036033108530000&amp;isNoScr=script&amp;mode=search", "토지이음")</f>
        <v/>
      </c>
      <c r="O1767" s="3" t="inlineStr">
        <is>
          <t>신와촌</t>
        </is>
      </c>
      <c r="P1767" s="4" t="n">
        <v>1</v>
      </c>
      <c r="Q1767" s="4" t="n">
        <v>2221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92-3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답</t>
        </is>
      </c>
      <c r="E1768" s="3" t="inlineStr">
        <is>
          <t>매매</t>
        </is>
      </c>
      <c r="F1768" s="4" t="n">
        <v>52500</v>
      </c>
      <c r="G1768" s="4" t="n">
        <v>1577</v>
      </c>
      <c r="H1768" s="4" t="n">
        <v>477</v>
      </c>
      <c r="I1768" s="5" t="n">
        <v>110.1</v>
      </c>
      <c r="J1768" s="5" t="n">
        <v>31.2</v>
      </c>
      <c r="K1768" s="3" t="inlineStr">
        <is>
          <t>급매. 북세종IC 인근 봉암리 농업보호구역 농지 창고, 공장 추천.</t>
        </is>
      </c>
      <c r="L1768" s="6">
        <f>HYPERLINK("https://fin.land.naver.com/articles/2654555463", "매물Link")</f>
        <v/>
      </c>
      <c r="M1768" s="6">
        <f>HYPERLINK("https://map.naver.com/p/search/연서면 봉암리 92-3", "지도Link")</f>
        <v/>
      </c>
      <c r="N1768" s="6">
        <f>HYPERLINK("http://www.eum.go.kr/web/ar/lu/luLandDet.jsp?pnu=3611036033100920003&amp;isNoScr=script&amp;mode=search",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1577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연서면 봉암리 947</t>
        </is>
      </c>
      <c r="B1769" s="3" t="inlineStr">
        <is>
          <t>농림지역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36400</v>
      </c>
      <c r="G1769" s="4" t="n">
        <v>1094</v>
      </c>
      <c r="H1769" s="4" t="n">
        <v>331</v>
      </c>
      <c r="I1769" s="5" t="n">
        <v>110</v>
      </c>
      <c r="J1769" s="5" t="n">
        <v>27.6</v>
      </c>
      <c r="K1769" s="3" t="inlineStr">
        <is>
          <t>추천. 산단인근 소액토지추천</t>
        </is>
      </c>
      <c r="L1769" s="6">
        <f>HYPERLINK("https://fin.land.naver.com/articles/2651911313", "매물Link")</f>
        <v/>
      </c>
      <c r="M1769" s="6">
        <f>HYPERLINK("https://map.naver.com/p/search/연서면 봉암리 947", "지도Link")</f>
        <v/>
      </c>
      <c r="N1769" s="6">
        <f>HYPERLINK("http://www.eum.go.kr/web/ar/lu/luLandDet.jsp?pnu=3611036033109470000&amp;isNoScr=script&amp;mode=search", "토지이음")</f>
        <v/>
      </c>
      <c r="O1769" s="3" t="inlineStr">
        <is>
          <t>강아지풀</t>
        </is>
      </c>
      <c r="P1769" s="4" t="n">
        <v>1</v>
      </c>
      <c r="Q1769" s="4" t="n">
        <v>1094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봉암리 996</t>
        </is>
      </c>
      <c r="B1770" s="3" t="inlineStr">
        <is>
          <t>농림지역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97200</v>
      </c>
      <c r="G1770" s="4" t="n">
        <v>3214</v>
      </c>
      <c r="H1770" s="4" t="n">
        <v>972</v>
      </c>
      <c r="I1770" s="5" t="n">
        <v>100</v>
      </c>
      <c r="J1770" s="5" t="n">
        <v>25.6</v>
      </c>
      <c r="K1770" s="3" t="inlineStr">
        <is>
          <t>세종 연서면 투자용 토지</t>
        </is>
      </c>
      <c r="L1770" s="6">
        <f>HYPERLINK("https://fin.land.naver.com/articles/2651978211", "매물Link")</f>
        <v/>
      </c>
      <c r="M1770" s="6">
        <f>HYPERLINK("https://map.naver.com/p/search/연서면 봉암리 996", "지도Link")</f>
        <v/>
      </c>
      <c r="N1770" s="6">
        <f>HYPERLINK("http://www.eum.go.kr/web/ar/lu/luLandDet.jsp?pnu=3611036033109960000&amp;isNoScr=script&amp;mode=search", "토지이음")</f>
        <v/>
      </c>
      <c r="O1770" s="3" t="inlineStr">
        <is>
          <t>(주)경진컨설팅</t>
        </is>
      </c>
      <c r="P1770" s="4" t="n">
        <v>1</v>
      </c>
      <c r="Q1770" s="4" t="n">
        <v>3214.4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세로한면(불)</t>
        </is>
      </c>
    </row>
    <row r="1771">
      <c r="A1771" s="3" t="inlineStr">
        <is>
          <t>연서면 부동리 108-1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200000</v>
      </c>
      <c r="G1771" s="4" t="n">
        <v>3098</v>
      </c>
      <c r="H1771" s="4" t="n">
        <v>937</v>
      </c>
      <c r="I1771" s="5" t="n">
        <v>213.4</v>
      </c>
      <c r="J1771" s="5" t="n">
        <v>68.5</v>
      </c>
      <c r="K1771" s="3" t="inlineStr">
        <is>
          <t>국가산단에 근접한토지로 현재전이며 모양이 좋고 2면각지도로에 접함.</t>
        </is>
      </c>
      <c r="L1771" s="6">
        <f>HYPERLINK("https://fin.land.naver.com/articles/2650181594", "매물Link")</f>
        <v/>
      </c>
      <c r="M1771" s="6">
        <f>HYPERLINK("https://map.naver.com/p/search/연서면 부동리 108-1", "지도Link")</f>
        <v/>
      </c>
      <c r="N1771" s="6">
        <f>HYPERLINK("http://www.eum.go.kr/web/ar/lu/luLandDet.jsp?pnu=3611036032101080001&amp;isNoScr=script&amp;mode=search", "토지이음")</f>
        <v/>
      </c>
      <c r="O1771" s="3" t="inlineStr">
        <is>
          <t>세종리츠</t>
        </is>
      </c>
      <c r="P1771" s="4" t="n">
        <v>1</v>
      </c>
      <c r="Q1771" s="4" t="n">
        <v>2943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부동리 108-2</t>
        </is>
      </c>
      <c r="B1772" s="3" t="inlineStr">
        <is>
          <t>계획관리지역</t>
        </is>
      </c>
      <c r="C1772" s="3" t="inlineStr">
        <is>
          <t>도로</t>
        </is>
      </c>
      <c r="D1772" s="3" t="inlineStr">
        <is>
          <t>전</t>
        </is>
      </c>
      <c r="E1772" s="3" t="inlineStr">
        <is>
          <t>매매</t>
        </is>
      </c>
      <c r="F1772" s="4" t="n">
        <v>220000</v>
      </c>
      <c r="G1772" s="4" t="n">
        <v>2943</v>
      </c>
      <c r="H1772" s="4" t="n">
        <v>890</v>
      </c>
      <c r="I1772" s="5" t="n">
        <v>247.2</v>
      </c>
      <c r="J1772" s="5" t="n">
        <v>15.3</v>
      </c>
      <c r="K1772" s="3" t="inlineStr">
        <is>
          <t>세종스마트산단 초인접 계획관리</t>
        </is>
      </c>
      <c r="L1772" s="6">
        <f>HYPERLINK("https://fin.land.naver.com/articles/2651906558", "매물Link")</f>
        <v/>
      </c>
      <c r="M1772" s="6">
        <f>HYPERLINK("https://map.naver.com/p/search/연서면 부동리 108-2", "지도Link")</f>
        <v/>
      </c>
      <c r="N1772" s="6">
        <f>HYPERLINK("http://www.eum.go.kr/web/ar/lu/luLandDet.jsp?pnu=3611036032101080002&amp;isNoScr=script&amp;mode=search", "토지이음")</f>
        <v/>
      </c>
      <c r="O1772" s="3" t="inlineStr">
        <is>
          <t>강아지풀</t>
        </is>
      </c>
      <c r="P1772" s="4" t="n">
        <v>1</v>
      </c>
      <c r="Q1772" s="4" t="n">
        <v>155</v>
      </c>
      <c r="R1772" s="3" t="inlineStr">
        <is>
          <t>지정되지않음</t>
        </is>
      </c>
      <c r="S1772" s="3" t="inlineStr">
        <is>
          <t>도로등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지정되지않음</t>
        </is>
      </c>
    </row>
    <row r="1773">
      <c r="A1773" s="3" t="inlineStr">
        <is>
          <t>연서면 부동리 255-1</t>
        </is>
      </c>
      <c r="B1773" s="3" t="inlineStr">
        <is>
          <t>계획관리지역</t>
        </is>
      </c>
      <c r="C1773" s="3" t="inlineStr">
        <is>
          <t>임야</t>
        </is>
      </c>
      <c r="D1773" s="3" t="inlineStr">
        <is>
          <t>임야</t>
        </is>
      </c>
      <c r="E1773" s="3" t="inlineStr">
        <is>
          <t>매매</t>
        </is>
      </c>
      <c r="F1773" s="4" t="n">
        <v>280000</v>
      </c>
      <c r="G1773" s="4" t="n">
        <v>2645</v>
      </c>
      <c r="H1773" s="4" t="n">
        <v>800</v>
      </c>
      <c r="I1773" s="5" t="n">
        <v>350</v>
      </c>
      <c r="J1773" s="5" t="n">
        <v>82.59999999999999</v>
      </c>
      <c r="K1773" s="3" t="inlineStr">
        <is>
          <t>도로접한 근생용지,세종국가산업단지와 조치원일반산업단지 근접</t>
        </is>
      </c>
      <c r="L1773" s="6">
        <f>HYPERLINK("https://fin.land.naver.com/articles/2650487993", "매물Link")</f>
        <v/>
      </c>
      <c r="M1773" s="6">
        <f>HYPERLINK("https://map.naver.com/p/search/연서면 부동리 255-1", "지도Link")</f>
        <v/>
      </c>
      <c r="N1773" s="6">
        <f>HYPERLINK("http://www.eum.go.kr/web/ar/lu/luLandDet.jsp?pnu=3611036032102550001&amp;isNoScr=script&amp;mode=search", "토지이음")</f>
        <v/>
      </c>
      <c r="O1773" s="3" t="inlineStr">
        <is>
          <t>세종나라</t>
        </is>
      </c>
      <c r="P1773" s="4" t="n">
        <v>1</v>
      </c>
      <c r="Q1773" s="4" t="n">
        <v>2448</v>
      </c>
      <c r="R1773" s="3" t="inlineStr">
        <is>
          <t>보전관리지역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소로각지</t>
        </is>
      </c>
    </row>
    <row r="1774">
      <c r="A1774" s="3" t="inlineStr">
        <is>
          <t>연서면 부동리 65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138000</v>
      </c>
      <c r="G1774" s="4" t="n">
        <v>1143</v>
      </c>
      <c r="H1774" s="4" t="n">
        <v>346</v>
      </c>
      <c r="I1774" s="5" t="n">
        <v>398.8</v>
      </c>
      <c r="J1774" s="5" t="n">
        <v>55.8</v>
      </c>
      <c r="K1774" s="3" t="inlineStr">
        <is>
          <t>조율가능 국가산단인근 귀한 계획관리 매물</t>
        </is>
      </c>
      <c r="L1774" s="6">
        <f>HYPERLINK("https://fin.land.naver.com/articles/2654855985", "매물Link")</f>
        <v/>
      </c>
      <c r="M1774" s="6">
        <f>HYPERLINK("https://map.naver.com/p/search/연서면 부동리 65", "지도Link")</f>
        <v/>
      </c>
      <c r="N1774" s="6">
        <f>HYPERLINK("http://www.eum.go.kr/web/ar/lu/luLandDet.jsp?pnu=3611036032100650000&amp;isNoScr=script&amp;mode=search",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1022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부동리 80-2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39000</v>
      </c>
      <c r="G1775" s="4" t="n">
        <v>507</v>
      </c>
      <c r="H1775" s="4" t="n">
        <v>153</v>
      </c>
      <c r="I1775" s="5" t="n">
        <v>254.9</v>
      </c>
      <c r="J1775" s="5" t="n">
        <v>86.40000000000001</v>
      </c>
      <c r="K1775" s="3" t="inlineStr">
        <is>
          <t>국가산단인근,조치원산단인근,세종6생활권인근</t>
        </is>
      </c>
      <c r="L1775" s="6">
        <f>HYPERLINK("https://fin.land.naver.com/articles/2653051996", "매물Link")</f>
        <v/>
      </c>
      <c r="M1775" s="6">
        <f>HYPERLINK("https://map.naver.com/p/search/연서면 부동리 80-2", "지도Link")</f>
        <v/>
      </c>
      <c r="N1775" s="6">
        <f>HYPERLINK("http://www.eum.go.kr/web/ar/lu/luLandDet.jsp?pnu=3611036032100800002&amp;isNoScr=script&amp;mode=search", "토지이음")</f>
        <v/>
      </c>
      <c r="O1775" s="3" t="inlineStr">
        <is>
          <t>세종강남</t>
        </is>
      </c>
      <c r="P1775" s="4" t="n">
        <v>1</v>
      </c>
      <c r="Q1775" s="4" t="n">
        <v>507</v>
      </c>
      <c r="R1775" s="3" t="inlineStr">
        <is>
          <t>지정되지않음</t>
        </is>
      </c>
      <c r="S1775" s="3" t="inlineStr">
        <is>
          <t>단독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세로한면(불)</t>
        </is>
      </c>
    </row>
    <row r="1776">
      <c r="A1776" s="3" t="inlineStr">
        <is>
          <t>연서면 성제리 100-1</t>
        </is>
      </c>
      <c r="B1776" s="3" t="inlineStr">
        <is>
          <t>농림지역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76500</v>
      </c>
      <c r="G1776" s="4" t="n">
        <v>2970</v>
      </c>
      <c r="H1776" s="4" t="n">
        <v>898</v>
      </c>
      <c r="I1776" s="5" t="n">
        <v>85.2</v>
      </c>
      <c r="J1776" s="5" t="n">
        <v>26.6</v>
      </c>
      <c r="K1776" s="3" t="inlineStr">
        <is>
          <t>연서면 성제리 스마트팜 및 대토, 농업경영체 등록 최적지 추천</t>
        </is>
      </c>
      <c r="L1776" s="6">
        <f>HYPERLINK("https://fin.land.naver.com/articles/2651278989", "매물Link")</f>
        <v/>
      </c>
      <c r="M1776" s="6">
        <f>HYPERLINK("https://map.naver.com/p/search/연서면 성제리 100-1", "지도Link")</f>
        <v/>
      </c>
      <c r="N1776" s="6">
        <f>HYPERLINK("http://www.eum.go.kr/web/ar/lu/luLandDet.jsp?pnu=3611036023101000001&amp;isNoScr=script&amp;mode=search", "토지이음")</f>
        <v/>
      </c>
      <c r="O1776" s="3" t="inlineStr">
        <is>
          <t>지성</t>
        </is>
      </c>
      <c r="P1776" s="4" t="n">
        <v>1</v>
      </c>
      <c r="Q1776" s="4" t="n">
        <v>2970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세로각지(가)</t>
        </is>
      </c>
    </row>
    <row r="1777">
      <c r="A1777" s="3" t="inlineStr">
        <is>
          <t>연서면 성제리 103-7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25000</v>
      </c>
      <c r="G1777" s="4" t="n">
        <v>1610</v>
      </c>
      <c r="H1777" s="4" t="n">
        <v>487</v>
      </c>
      <c r="I1777" s="5" t="n">
        <v>51.3</v>
      </c>
      <c r="J1777" s="5" t="n">
        <v>25.6</v>
      </c>
      <c r="K1777" s="3" t="inlineStr">
        <is>
          <t>연서면 성제리 농림지역 답</t>
        </is>
      </c>
      <c r="L1777" s="6">
        <f>HYPERLINK("https://fin.land.naver.com/articles/2654010001", "매물Link")</f>
        <v/>
      </c>
      <c r="M1777" s="6">
        <f>HYPERLINK("https://map.naver.com/p/search/연서면 성제리 103-7", "지도Link")</f>
        <v/>
      </c>
      <c r="N1777" s="6">
        <f>HYPERLINK("http://www.eum.go.kr/web/ar/lu/luLandDet.jsp?pnu=3611036023101030007&amp;isNoScr=script&amp;mode=search", "토지이음")</f>
        <v/>
      </c>
      <c r="O1777" s="3" t="inlineStr">
        <is>
          <t>KB세종</t>
        </is>
      </c>
      <c r="P1777" s="4" t="n">
        <v>1</v>
      </c>
      <c r="Q1777" s="4" t="n">
        <v>1610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세로한면(가)</t>
        </is>
      </c>
    </row>
    <row r="1778">
      <c r="A1778" s="3" t="inlineStr">
        <is>
          <t>연서면 성제리 145-14</t>
        </is>
      </c>
      <c r="B1778" s="3" t="inlineStr">
        <is>
          <t>자연녹지지역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205000</v>
      </c>
      <c r="G1778" s="4" t="n">
        <v>2806</v>
      </c>
      <c r="H1778" s="4" t="n">
        <v>849</v>
      </c>
      <c r="I1778" s="5" t="n">
        <v>241.5</v>
      </c>
      <c r="J1778" s="5" t="n">
        <v>56</v>
      </c>
      <c r="K1778" s="3" t="inlineStr">
        <is>
          <t>국가산단인근 도로변 성장관리구역 과수원</t>
        </is>
      </c>
      <c r="L1778" s="6">
        <f>HYPERLINK("https://fin.land.naver.com/articles/2650613233", "매물Link")</f>
        <v/>
      </c>
      <c r="M1778" s="6">
        <f>HYPERLINK("https://map.naver.com/p/search/연서면 성제리 145-14", "지도Link")</f>
        <v/>
      </c>
      <c r="N1778" s="6">
        <f>HYPERLINK("http://www.eum.go.kr/web/ar/lu/luLandDet.jsp?pnu=3611036023101450014&amp;isNoScr=script&amp;mode=search", "토지이음")</f>
        <v/>
      </c>
      <c r="O1778" s="3" t="inlineStr">
        <is>
          <t>THE행복</t>
        </is>
      </c>
      <c r="P1778" s="4" t="n">
        <v>1</v>
      </c>
      <c r="Q1778" s="4" t="n">
        <v>57</v>
      </c>
      <c r="R1778" s="3" t="inlineStr">
        <is>
          <t>지정되지않음</t>
        </is>
      </c>
      <c r="S1778" s="3" t="inlineStr">
        <is>
          <t>과수원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연서면 성제리 145-14</t>
        </is>
      </c>
      <c r="B1779" s="3" t="inlineStr">
        <is>
          <t>자연녹지지역</t>
        </is>
      </c>
      <c r="C1779" s="3" t="inlineStr">
        <is>
          <t>과수원</t>
        </is>
      </c>
      <c r="D1779" s="3" t="inlineStr">
        <is>
          <t>과수원</t>
        </is>
      </c>
      <c r="E1779" s="3" t="inlineStr">
        <is>
          <t>매매</t>
        </is>
      </c>
      <c r="F1779" s="4" t="n">
        <v>205000</v>
      </c>
      <c r="G1779" s="4" t="n">
        <v>2806</v>
      </c>
      <c r="H1779" s="4" t="n">
        <v>849</v>
      </c>
      <c r="I1779" s="5" t="n">
        <v>241.5</v>
      </c>
      <c r="J1779" s="5" t="n">
        <v>56</v>
      </c>
      <c r="K1779" s="3" t="inlineStr">
        <is>
          <t>국가산단인근 도로접한 과수원 매매</t>
        </is>
      </c>
      <c r="L1779" s="6">
        <f>HYPERLINK("https://fin.land.naver.com/articles/2653195485", "매물Link")</f>
        <v/>
      </c>
      <c r="M1779" s="6">
        <f>HYPERLINK("https://map.naver.com/p/search/연서면 성제리 145-14", "지도Link")</f>
        <v/>
      </c>
      <c r="N1779" s="6">
        <f>HYPERLINK("http://www.eum.go.kr/web/ar/lu/luLandDet.jsp?pnu=3611036023101450014&amp;isNoScr=script&amp;mode=search", "토지이음")</f>
        <v/>
      </c>
      <c r="O1779" s="3" t="inlineStr">
        <is>
          <t>THE행복</t>
        </is>
      </c>
      <c r="P1779" s="4" t="n">
        <v>1</v>
      </c>
      <c r="Q1779" s="4" t="n">
        <v>57</v>
      </c>
      <c r="R1779" s="3" t="inlineStr">
        <is>
          <t>지정되지않음</t>
        </is>
      </c>
      <c r="S1779" s="3" t="inlineStr">
        <is>
          <t>과수원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성제리 158-6</t>
        </is>
      </c>
      <c r="B1780" s="3" t="inlineStr">
        <is>
          <t>자연녹지지역</t>
        </is>
      </c>
      <c r="C1780" s="3" t="inlineStr">
        <is>
          <t>창고용지</t>
        </is>
      </c>
      <c r="D1780" s="3" t="inlineStr">
        <is>
          <t>창고용지</t>
        </is>
      </c>
      <c r="E1780" s="3" t="inlineStr">
        <is>
          <t>매매</t>
        </is>
      </c>
      <c r="F1780" s="4" t="n">
        <v>55000</v>
      </c>
      <c r="G1780" s="4" t="n">
        <v>850</v>
      </c>
      <c r="H1780" s="4" t="n">
        <v>257</v>
      </c>
      <c r="I1780" s="5" t="n">
        <v>214</v>
      </c>
      <c r="J1780" s="5" t="n">
        <v>63.8</v>
      </c>
      <c r="K1780" s="3" t="inlineStr">
        <is>
          <t>포장도로에 접해있는 도시지역 자연녹지지역의 농업용창고 66㎡와 전850㎡</t>
        </is>
      </c>
      <c r="L1780" s="6">
        <f>HYPERLINK("https://fin.land.naver.com/articles/2651472582", "매물Link")</f>
        <v/>
      </c>
      <c r="M1780" s="6">
        <f>HYPERLINK("https://map.naver.com/p/search/연서면 성제리 158-6", "지도Link")</f>
        <v/>
      </c>
      <c r="N1780" s="6">
        <f>HYPERLINK("http://www.eum.go.kr/web/ar/lu/luLandDet.jsp?pnu=3611036023101580006&amp;isNoScr=script&amp;mode=search",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440</v>
      </c>
      <c r="R1780" s="3" t="inlineStr">
        <is>
          <t>지정되지않음</t>
        </is>
      </c>
      <c r="S1780" s="3" t="inlineStr">
        <is>
          <t>전창고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성제리 161-2</t>
        </is>
      </c>
      <c r="B1781" s="3" t="inlineStr">
        <is>
          <t>계획관리지역</t>
        </is>
      </c>
      <c r="C1781" s="3" t="inlineStr">
        <is>
          <t>도로</t>
        </is>
      </c>
      <c r="D1781" s="3" t="inlineStr">
        <is>
          <t>답</t>
        </is>
      </c>
      <c r="E1781" s="3" t="inlineStr">
        <is>
          <t>매매</t>
        </is>
      </c>
      <c r="F1781" s="4" t="n">
        <v>48000</v>
      </c>
      <c r="G1781" s="4" t="n">
        <v>1064</v>
      </c>
      <c r="H1781" s="4" t="n">
        <v>322</v>
      </c>
      <c r="I1781" s="5" t="n">
        <v>149.1</v>
      </c>
      <c r="J1781" s="5" t="n">
        <v>15.4</v>
      </c>
      <c r="K1781" s="3" t="inlineStr">
        <is>
          <t>nan</t>
        </is>
      </c>
      <c r="L1781" s="6">
        <f>HYPERLINK("https://fin.land.naver.com/articles/2654013343", "매물Link")</f>
        <v/>
      </c>
      <c r="M1781" s="6">
        <f>HYPERLINK("https://map.naver.com/p/search/연서면 성제리 161-2", "지도Link")</f>
        <v/>
      </c>
      <c r="N1781" s="6">
        <f>HYPERLINK("http://www.eum.go.kr/web/ar/lu/luLandDet.jsp?pnu=3611036023101610002&amp;isNoScr=script&amp;mode=search", "토지이음")</f>
        <v/>
      </c>
      <c r="O1781" s="3" t="inlineStr">
        <is>
          <t>KB세종</t>
        </is>
      </c>
      <c r="P1781" s="4" t="n">
        <v>1</v>
      </c>
      <c r="Q1781" s="4" t="n">
        <v>198</v>
      </c>
      <c r="R1781" s="3" t="inlineStr">
        <is>
          <t>농림지역</t>
        </is>
      </c>
      <c r="S1781" s="3" t="inlineStr">
        <is>
          <t>도로등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지정되지않음</t>
        </is>
      </c>
    </row>
    <row r="1782">
      <c r="A1782" s="3" t="inlineStr">
        <is>
          <t>연서면 성제리 185-3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29000</v>
      </c>
      <c r="G1782" s="4" t="n">
        <v>2130</v>
      </c>
      <c r="H1782" s="4" t="n">
        <v>644</v>
      </c>
      <c r="I1782" s="5" t="n">
        <v>45</v>
      </c>
      <c r="J1782" s="5" t="n">
        <v>27.3</v>
      </c>
      <c r="K1782" s="3" t="inlineStr">
        <is>
          <t>nan</t>
        </is>
      </c>
      <c r="L1782" s="6">
        <f>HYPERLINK("https://fin.land.naver.com/articles/2654013952", "매물Link")</f>
        <v/>
      </c>
      <c r="M1782" s="6">
        <f>HYPERLINK("https://map.naver.com/p/search/연서면 성제리 185-3", "지도Link")</f>
        <v/>
      </c>
      <c r="N1782" s="6">
        <f>HYPERLINK("http://www.eum.go.kr/web/ar/lu/luLandDet.jsp?pnu=3611036023101850003&amp;isNoScr=script&amp;mode=search", "토지이음")</f>
        <v/>
      </c>
      <c r="O1782" s="3" t="inlineStr">
        <is>
          <t>KB세종</t>
        </is>
      </c>
      <c r="P1782" s="4" t="n">
        <v>1</v>
      </c>
      <c r="Q1782" s="4" t="n">
        <v>2130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성제리 186-5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80500</v>
      </c>
      <c r="G1783" s="4" t="n">
        <v>2045</v>
      </c>
      <c r="H1783" s="4" t="n">
        <v>619</v>
      </c>
      <c r="I1783" s="5" t="n">
        <v>130</v>
      </c>
      <c r="J1783" s="5" t="n">
        <v>27.3</v>
      </c>
      <c r="K1783" s="3" t="inlineStr">
        <is>
          <t>세종시근접 2차선도로접 토지,향후 개발가능성높은 토지입니다.</t>
        </is>
      </c>
      <c r="L1783" s="6">
        <f>HYPERLINK("https://fin.land.naver.com/articles/2653892163", "매물Link")</f>
        <v/>
      </c>
      <c r="M1783" s="6">
        <f>HYPERLINK("https://map.naver.com/p/search/연서면 성제리 186-5", "지도Link")</f>
        <v/>
      </c>
      <c r="N1783" s="6">
        <f>HYPERLINK("http://www.eum.go.kr/web/ar/lu/luLandDet.jsp?pnu=3611036023101860005&amp;isNoScr=script&amp;mode=search", "토지이음")</f>
        <v/>
      </c>
      <c r="O1783" s="3" t="inlineStr">
        <is>
          <t>담뜰</t>
        </is>
      </c>
      <c r="P1783" s="4" t="n">
        <v>3</v>
      </c>
      <c r="Q1783" s="4" t="n">
        <v>2045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성제리 186-5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200000</v>
      </c>
      <c r="G1784" s="4" t="n">
        <v>5090</v>
      </c>
      <c r="H1784" s="4" t="n">
        <v>1540</v>
      </c>
      <c r="I1784" s="5" t="n">
        <v>129.9</v>
      </c>
      <c r="J1784" s="5" t="n">
        <v>27.3</v>
      </c>
      <c r="K1784" s="3" t="inlineStr">
        <is>
          <t>2차선도로접, 개발호재가 강한지역 투자가치최고</t>
        </is>
      </c>
      <c r="L1784" s="6">
        <f>HYPERLINK("https://fin.land.naver.com/articles/2651043984", "매물Link")</f>
        <v/>
      </c>
      <c r="M1784" s="6">
        <f>HYPERLINK("https://map.naver.com/p/search/연서면 성제리 186-5", "지도Link")</f>
        <v/>
      </c>
      <c r="N1784" s="6">
        <f>HYPERLINK("http://www.eum.go.kr/web/ar/lu/luLandDet.jsp?pnu=3611036023101860005&amp;isNoScr=script&amp;mode=search", "토지이음")</f>
        <v/>
      </c>
      <c r="O1784" s="3" t="inlineStr">
        <is>
          <t>원내</t>
        </is>
      </c>
      <c r="P1784" s="4" t="n">
        <v>2</v>
      </c>
      <c r="Q1784" s="4" t="n">
        <v>2045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성제리 186-5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80000</v>
      </c>
      <c r="G1785" s="4" t="n">
        <v>2045</v>
      </c>
      <c r="H1785" s="4" t="n">
        <v>619</v>
      </c>
      <c r="I1785" s="5" t="n">
        <v>129.2</v>
      </c>
      <c r="J1785" s="5" t="n">
        <v>27.3</v>
      </c>
      <c r="K1785" s="3" t="inlineStr">
        <is>
          <t>2차선 도로에 접한 투자용 토지 급매입니다. 스마트산업단지 인근에 있음</t>
        </is>
      </c>
      <c r="L1785" s="6">
        <f>HYPERLINK("https://fin.land.naver.com/articles/2655060808", "매물Link")</f>
        <v/>
      </c>
      <c r="M1785" s="6">
        <f>HYPERLINK("https://map.naver.com/p/search/연서면 성제리 186-5", "지도Link")</f>
        <v/>
      </c>
      <c r="N1785" s="6">
        <f>HYPERLINK("http://www.eum.go.kr/web/ar/lu/luLandDet.jsp?pnu=3611036023101860005&amp;isNoScr=script&amp;mode=search", "토지이음")</f>
        <v/>
      </c>
      <c r="O1785" s="3" t="inlineStr">
        <is>
          <t>스마일세종</t>
        </is>
      </c>
      <c r="P1785" s="4" t="n">
        <v>4</v>
      </c>
      <c r="Q1785" s="4" t="n">
        <v>2045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성제리 186-6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93000</v>
      </c>
      <c r="G1786" s="4" t="n">
        <v>2045</v>
      </c>
      <c r="H1786" s="4" t="n">
        <v>619</v>
      </c>
      <c r="I1786" s="5" t="n">
        <v>150.2</v>
      </c>
      <c r="J1786" s="5" t="n">
        <v>27.3</v>
      </c>
      <c r="K1786" s="3" t="inlineStr">
        <is>
          <t>2차선 도로변 토지 매매</t>
        </is>
      </c>
      <c r="L1786" s="6">
        <f>HYPERLINK("https://fin.land.naver.com/articles/2653137602", "매물Link")</f>
        <v/>
      </c>
      <c r="M1786" s="6">
        <f>HYPERLINK("https://map.naver.com/p/search/연서면 성제리 186-6", "지도Link")</f>
        <v/>
      </c>
      <c r="N1786" s="6">
        <f>HYPERLINK("http://www.eum.go.kr/web/ar/lu/luLandDet.jsp?pnu=3611036023101860006&amp;isNoScr=script&amp;mode=search",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3045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세로한면(가)</t>
        </is>
      </c>
    </row>
    <row r="1787">
      <c r="A1787" s="3" t="inlineStr">
        <is>
          <t>연서면 성제리 186-6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119700</v>
      </c>
      <c r="G1787" s="4" t="n">
        <v>3045</v>
      </c>
      <c r="H1787" s="4" t="n">
        <v>921</v>
      </c>
      <c r="I1787" s="5" t="n">
        <v>130</v>
      </c>
      <c r="J1787" s="5" t="n">
        <v>27.3</v>
      </c>
      <c r="K1787" s="3" t="inlineStr">
        <is>
          <t>세종시근접 2차선도로접 토지,향후 개발가능성높은 토지입니다.</t>
        </is>
      </c>
      <c r="L1787" s="6">
        <f>HYPERLINK("https://fin.land.naver.com/articles/2654855770", "매물Link")</f>
        <v/>
      </c>
      <c r="M1787" s="6">
        <f>HYPERLINK("https://map.naver.com/p/search/연서면 성제리 186-6", "지도Link")</f>
        <v/>
      </c>
      <c r="N1787" s="6">
        <f>HYPERLINK("http://www.eum.go.kr/web/ar/lu/luLandDet.jsp?pnu=3611036023101860006&amp;isNoScr=script&amp;mode=search", "토지이음")</f>
        <v/>
      </c>
      <c r="O1787" s="3" t="inlineStr">
        <is>
          <t>담뜰</t>
        </is>
      </c>
      <c r="P1787" s="4" t="n">
        <v>3</v>
      </c>
      <c r="Q1787" s="4" t="n">
        <v>3045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세로한면(가)</t>
        </is>
      </c>
    </row>
    <row r="1788">
      <c r="A1788" s="3" t="inlineStr">
        <is>
          <t>연서면 성제리 188-3</t>
        </is>
      </c>
      <c r="B1788" s="3" t="inlineStr">
        <is>
          <t>농림지역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69000</v>
      </c>
      <c r="G1788" s="4" t="n">
        <v>1535</v>
      </c>
      <c r="H1788" s="4" t="n">
        <v>464</v>
      </c>
      <c r="I1788" s="5" t="n">
        <v>148.7</v>
      </c>
      <c r="J1788" s="5" t="n">
        <v>26.8</v>
      </c>
      <c r="K1788" s="3" t="inlineStr">
        <is>
          <t>연서면 성제리 지목이 과수원으로 마을 포장도로에 접해 있어 이용가치 높은</t>
        </is>
      </c>
      <c r="L1788" s="6">
        <f>HYPERLINK("https://fin.land.naver.com/articles/2652408713", "매물Link")</f>
        <v/>
      </c>
      <c r="M1788" s="6">
        <f>HYPERLINK("https://map.naver.com/p/search/연서면 성제리 188-3", "지도Link")</f>
        <v/>
      </c>
      <c r="N1788" s="6">
        <f>HYPERLINK("http://www.eum.go.kr/web/ar/lu/luLandDet.jsp?pnu=3611036023101880003&amp;isNoScr=script&amp;mode=search", "토지이음")</f>
        <v/>
      </c>
      <c r="O1788" s="3" t="inlineStr">
        <is>
          <t>스마일세종</t>
        </is>
      </c>
      <c r="P1788" s="4" t="n">
        <v>1</v>
      </c>
      <c r="Q1788" s="4" t="n">
        <v>1535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세로한면(가)</t>
        </is>
      </c>
    </row>
    <row r="1789">
      <c r="A1789" s="3" t="inlineStr">
        <is>
          <t>연서면 성제리 190-7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48000</v>
      </c>
      <c r="G1789" s="4" t="n">
        <v>1980</v>
      </c>
      <c r="H1789" s="4" t="n">
        <v>599</v>
      </c>
      <c r="I1789" s="5" t="n">
        <v>80.09999999999999</v>
      </c>
      <c r="J1789" s="5" t="n">
        <v>26.8</v>
      </c>
      <c r="K1789" s="3" t="inlineStr">
        <is>
          <t>포장농로 접한 연서면 평탄 농업용 토지</t>
        </is>
      </c>
      <c r="L1789" s="6">
        <f>HYPERLINK("https://fin.land.naver.com/articles/2653939977", "매물Link")</f>
        <v/>
      </c>
      <c r="M1789" s="6">
        <f>HYPERLINK("https://map.naver.com/p/search/연서면 성제리 190-7", "지도Link")</f>
        <v/>
      </c>
      <c r="N1789" s="6">
        <f>HYPERLINK("http://www.eum.go.kr/web/ar/lu/luLandDet.jsp?pnu=3611036023101900007&amp;isNoScr=script&amp;mode=search", "토지이음")</f>
        <v/>
      </c>
      <c r="O1789" s="3" t="inlineStr">
        <is>
          <t>세종소담황금</t>
        </is>
      </c>
      <c r="P1789" s="4" t="n">
        <v>1</v>
      </c>
      <c r="Q1789" s="4" t="n">
        <v>1980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성제리 202-3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54000</v>
      </c>
      <c r="G1790" s="4" t="n">
        <v>1790</v>
      </c>
      <c r="H1790" s="4" t="n">
        <v>541</v>
      </c>
      <c r="I1790" s="5" t="n">
        <v>99.8</v>
      </c>
      <c r="J1790" s="5" t="n">
        <v>25</v>
      </c>
      <c r="K1790" s="3" t="inlineStr">
        <is>
          <t>세종스마트 국가산업단지 인근에 있는 주변시세보다 저렴한 대토용 농지 급매</t>
        </is>
      </c>
      <c r="L1790" s="6">
        <f>HYPERLINK("https://fin.land.naver.com/articles/2654792118", "매물Link")</f>
        <v/>
      </c>
      <c r="M1790" s="6">
        <f>HYPERLINK("https://map.naver.com/p/search/연서면 성제리 202-3", "지도Link")</f>
        <v/>
      </c>
      <c r="N1790" s="6">
        <f>HYPERLINK("http://www.eum.go.kr/web/ar/lu/luLandDet.jsp?pnu=3611036023102020003&amp;isNoScr=script&amp;mode=search", "토지이음")</f>
        <v/>
      </c>
      <c r="O1790" s="3" t="inlineStr">
        <is>
          <t>스마일세종</t>
        </is>
      </c>
      <c r="P1790" s="4" t="n">
        <v>2</v>
      </c>
      <c r="Q1790" s="4" t="n">
        <v>1790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성제리 217-1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35000</v>
      </c>
      <c r="G1791" s="4" t="n">
        <v>1430</v>
      </c>
      <c r="H1791" s="4" t="n">
        <v>433</v>
      </c>
      <c r="I1791" s="5" t="n">
        <v>80.8</v>
      </c>
      <c r="J1791" s="5" t="n">
        <v>25.2</v>
      </c>
      <c r="K1791" s="3" t="inlineStr">
        <is>
          <t>도로접한 농지</t>
        </is>
      </c>
      <c r="L1791" s="6">
        <f>HYPERLINK("https://fin.land.naver.com/articles/2650856663", "매물Link")</f>
        <v/>
      </c>
      <c r="M1791" s="6">
        <f>HYPERLINK("https://map.naver.com/p/search/연서면 성제리 217-1", "지도Link")</f>
        <v/>
      </c>
      <c r="N1791" s="6">
        <f>HYPERLINK("http://www.eum.go.kr/web/ar/lu/luLandDet.jsp?pnu=3611036023102170001&amp;isNoScr=script&amp;mode=search", "토지이음")</f>
        <v/>
      </c>
      <c r="O1791" s="3" t="inlineStr">
        <is>
          <t>세종대박</t>
        </is>
      </c>
      <c r="P1791" s="4" t="n">
        <v>1</v>
      </c>
      <c r="Q1791" s="4" t="n">
        <v>1430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성제리 273-5</t>
        </is>
      </c>
      <c r="B1792" s="3" t="inlineStr">
        <is>
          <t>자연녹지지역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180000</v>
      </c>
      <c r="G1792" s="4" t="n">
        <v>1984</v>
      </c>
      <c r="H1792" s="4" t="n">
        <v>600</v>
      </c>
      <c r="I1792" s="5" t="n">
        <v>300</v>
      </c>
      <c r="J1792" s="5" t="n">
        <v>55.9</v>
      </c>
      <c r="K1792" s="3" t="inlineStr">
        <is>
          <t>투자가치 높은 도시지역내 과수원</t>
        </is>
      </c>
      <c r="L1792" s="6">
        <f>HYPERLINK("https://fin.land.naver.com/articles/2655169408", "매물Link")</f>
        <v/>
      </c>
      <c r="M1792" s="6">
        <f>HYPERLINK("https://map.naver.com/p/search/연서면 성제리 273-5", "지도Link")</f>
        <v/>
      </c>
      <c r="N1792" s="6">
        <f>HYPERLINK("http://www.eum.go.kr/web/ar/lu/luLandDet.jsp?pnu=3611036023102730005&amp;isNoScr=script&amp;mode=search", "토지이음")</f>
        <v/>
      </c>
      <c r="O1792" s="3" t="inlineStr">
        <is>
          <t>세종대박</t>
        </is>
      </c>
      <c r="P1792" s="4" t="n">
        <v>1</v>
      </c>
      <c r="Q1792" s="4" t="n">
        <v>1984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완경사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성제리 273-6</t>
        </is>
      </c>
      <c r="B1793" s="3" t="inlineStr">
        <is>
          <t>자연녹지지역</t>
        </is>
      </c>
      <c r="C1793" s="3" t="inlineStr">
        <is>
          <t>과수원</t>
        </is>
      </c>
      <c r="D1793" s="3" t="inlineStr">
        <is>
          <t>과수원</t>
        </is>
      </c>
      <c r="E1793" s="3" t="inlineStr">
        <is>
          <t>매매</t>
        </is>
      </c>
      <c r="F1793" s="4" t="n">
        <v>180000</v>
      </c>
      <c r="G1793" s="4" t="n">
        <v>1984</v>
      </c>
      <c r="H1793" s="4" t="n">
        <v>600</v>
      </c>
      <c r="I1793" s="5" t="n">
        <v>300</v>
      </c>
      <c r="J1793" s="5" t="n">
        <v>55.9</v>
      </c>
      <c r="K1793" s="3" t="inlineStr">
        <is>
          <t>미래가치 높은 관리 잘된 투자형 과수원</t>
        </is>
      </c>
      <c r="L1793" s="6">
        <f>HYPERLINK("https://fin.land.naver.com/articles/2655600483", "매물Link")</f>
        <v/>
      </c>
      <c r="M1793" s="6">
        <f>HYPERLINK("https://map.naver.com/p/search/연서면 성제리 273-6", "지도Link")</f>
        <v/>
      </c>
      <c r="N1793" s="6">
        <f>HYPERLINK("http://www.eum.go.kr/web/ar/lu/luLandDet.jsp?pnu=3611036023102730006&amp;isNoScr=script&amp;mode=search", "토지이음")</f>
        <v/>
      </c>
      <c r="O1793" s="3" t="inlineStr">
        <is>
          <t>가치잇는</t>
        </is>
      </c>
      <c r="P1793" s="4" t="n">
        <v>1</v>
      </c>
      <c r="Q1793" s="4" t="n">
        <v>1984</v>
      </c>
      <c r="R1793" s="3" t="inlineStr">
        <is>
          <t>지정되지않음</t>
        </is>
      </c>
      <c r="S1793" s="3" t="inlineStr">
        <is>
          <t>과수원</t>
        </is>
      </c>
      <c r="T1793" s="3" t="inlineStr">
        <is>
          <t>완경사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성제리 273-9</t>
        </is>
      </c>
      <c r="B1794" s="3" t="inlineStr">
        <is>
          <t>자연녹지지역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10000</v>
      </c>
      <c r="G1794" s="4" t="n">
        <v>330</v>
      </c>
      <c r="H1794" s="4" t="n">
        <v>100</v>
      </c>
      <c r="I1794" s="5" t="n">
        <v>100</v>
      </c>
      <c r="J1794" s="5" t="n">
        <v>39.5</v>
      </c>
      <c r="K1794" s="3" t="inlineStr">
        <is>
          <t>nan</t>
        </is>
      </c>
      <c r="L1794" s="6">
        <f>HYPERLINK("https://fin.land.naver.com/articles/2651153583", "매물Link")</f>
        <v/>
      </c>
      <c r="M1794" s="6">
        <f>HYPERLINK("https://map.naver.com/p/search/연서면 성제리 273-9", "지도Link")</f>
        <v/>
      </c>
      <c r="N1794" s="6">
        <f>HYPERLINK("http://www.eum.go.kr/web/ar/lu/luLandDet.jsp?pnu=3611036023102730009&amp;isNoScr=script&amp;mode=search",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3485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급경사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성제리 273-9</t>
        </is>
      </c>
      <c r="B1795" s="3" t="inlineStr">
        <is>
          <t>자연녹지지역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19000</v>
      </c>
      <c r="G1795" s="4" t="n">
        <v>730</v>
      </c>
      <c r="H1795" s="4" t="n">
        <v>221</v>
      </c>
      <c r="I1795" s="5" t="n">
        <v>86</v>
      </c>
      <c r="J1795" s="5" t="n">
        <v>39.5</v>
      </c>
      <c r="K1795" s="3" t="inlineStr">
        <is>
          <t>분할매도,실수요와 투자를 동시에.미래가치 충분</t>
        </is>
      </c>
      <c r="L1795" s="6">
        <f>HYPERLINK("https://fin.land.naver.com/articles/2650336389", "매물Link")</f>
        <v/>
      </c>
      <c r="M1795" s="6">
        <f>HYPERLINK("https://map.naver.com/p/search/연서면 성제리 273-9", "지도Link")</f>
        <v/>
      </c>
      <c r="N1795" s="6">
        <f>HYPERLINK("http://www.eum.go.kr/web/ar/lu/luLandDet.jsp?pnu=3611036023102730009&amp;isNoScr=script&amp;mode=search", "토지이음")</f>
        <v/>
      </c>
      <c r="O1795" s="3" t="inlineStr">
        <is>
          <t>가치잇는</t>
        </is>
      </c>
      <c r="P1795" s="4" t="n">
        <v>2</v>
      </c>
      <c r="Q1795" s="4" t="n">
        <v>3485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성제리 280-9</t>
        </is>
      </c>
      <c r="B1796" s="3" t="inlineStr">
        <is>
          <t>자연녹지지역</t>
        </is>
      </c>
      <c r="C1796" s="3" t="inlineStr">
        <is>
          <t>전</t>
        </is>
      </c>
      <c r="D1796" s="3" t="inlineStr">
        <is>
          <t>전</t>
        </is>
      </c>
      <c r="E1796" s="3" t="inlineStr">
        <is>
          <t>매매</t>
        </is>
      </c>
      <c r="F1796" s="4" t="n">
        <v>77300</v>
      </c>
      <c r="G1796" s="4" t="n">
        <v>3194</v>
      </c>
      <c r="H1796" s="4" t="n">
        <v>966</v>
      </c>
      <c r="I1796" s="5" t="n">
        <v>80</v>
      </c>
      <c r="J1796" s="5" t="n">
        <v>74.8</v>
      </c>
      <c r="K1796" s="3" t="inlineStr">
        <is>
          <t>행정복지센터 인근 자연녹지 저렴한 토지</t>
        </is>
      </c>
      <c r="L1796" s="6">
        <f>HYPERLINK("https://fin.land.naver.com/articles/2652098500", "매물Link")</f>
        <v/>
      </c>
      <c r="M1796" s="6">
        <f>HYPERLINK("https://map.naver.com/p/search/연서면 성제리 280-9", "지도Link")</f>
        <v/>
      </c>
      <c r="N1796" s="6">
        <f>HYPERLINK("http://www.eum.go.kr/web/ar/lu/luLandDet.jsp?pnu=3611036023102800009&amp;isNoScr=script&amp;mode=search", "토지이음")</f>
        <v/>
      </c>
      <c r="O1796" s="3" t="inlineStr">
        <is>
          <t>미스터홈즈강남지사</t>
        </is>
      </c>
      <c r="P1796" s="4" t="n">
        <v>1</v>
      </c>
      <c r="Q1796" s="4" t="n">
        <v>2361</v>
      </c>
      <c r="R1796" s="3" t="inlineStr">
        <is>
          <t>지정되지않음</t>
        </is>
      </c>
      <c r="S1796" s="3" t="inlineStr">
        <is>
          <t>전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세로한면(가)</t>
        </is>
      </c>
    </row>
    <row r="1797">
      <c r="A1797" s="3" t="inlineStr">
        <is>
          <t>연서면 성제리 319</t>
        </is>
      </c>
      <c r="B1797" s="3" t="inlineStr">
        <is>
          <t>자연녹지지역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120000</v>
      </c>
      <c r="G1797" s="4" t="n">
        <v>1002</v>
      </c>
      <c r="H1797" s="4" t="n">
        <v>303</v>
      </c>
      <c r="I1797" s="5" t="n">
        <v>396</v>
      </c>
      <c r="J1797" s="5" t="n">
        <v>93.2</v>
      </c>
      <c r="K1797" s="3" t="inlineStr">
        <is>
          <t>연서면사무소 인근 활용도 높은 토지 매매</t>
        </is>
      </c>
      <c r="L1797" s="6">
        <f>HYPERLINK("https://fin.land.naver.com/articles/2655222715", "매물Link")</f>
        <v/>
      </c>
      <c r="M1797" s="6">
        <f>HYPERLINK("https://map.naver.com/p/search/연서면 성제리 319", "지도Link")</f>
        <v/>
      </c>
      <c r="N1797" s="6">
        <f>HYPERLINK("http://www.eum.go.kr/web/ar/lu/luLandDet.jsp?pnu=3611036023103190000&amp;isNoScr=script&amp;mode=search", "토지이음")</f>
        <v/>
      </c>
      <c r="O1797" s="3" t="inlineStr">
        <is>
          <t>원탑</t>
        </is>
      </c>
      <c r="P1797" s="4" t="n">
        <v>1</v>
      </c>
      <c r="Q1797" s="4" t="n">
        <v>809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성제리 346-1</t>
        </is>
      </c>
      <c r="B1798" s="3" t="inlineStr">
        <is>
          <t>자연녹지지역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240000</v>
      </c>
      <c r="G1798" s="4" t="n">
        <v>1430</v>
      </c>
      <c r="H1798" s="4" t="n">
        <v>433</v>
      </c>
      <c r="I1798" s="5" t="n">
        <v>554.3</v>
      </c>
      <c r="J1798" s="5" t="n">
        <v>260.8</v>
      </c>
      <c r="K1798" s="3" t="inlineStr">
        <is>
          <t>토지가 도로 전면에 전부 접해있습니다. 주변 호재 많은 토지</t>
        </is>
      </c>
      <c r="L1798" s="6">
        <f>HYPERLINK("https://fin.land.naver.com/articles/2651572889", "매물Link")</f>
        <v/>
      </c>
      <c r="M1798" s="6">
        <f>HYPERLINK("https://map.naver.com/p/search/연서면 성제리 346-1", "지도Link")</f>
        <v/>
      </c>
      <c r="N1798" s="6">
        <f>HYPERLINK("http://www.eum.go.kr/web/ar/lu/luLandDet.jsp?pnu=3611036023103460001&amp;isNoScr=script&amp;mode=search", "토지이음")</f>
        <v/>
      </c>
      <c r="O1798" s="3" t="inlineStr">
        <is>
          <t>여기로</t>
        </is>
      </c>
      <c r="P1798" s="4" t="n">
        <v>1</v>
      </c>
      <c r="Q1798" s="4" t="n">
        <v>1430</v>
      </c>
      <c r="R1798" s="3" t="inlineStr">
        <is>
          <t>지정되지않음</t>
        </is>
      </c>
      <c r="S1798" s="3" t="inlineStr">
        <is>
          <t>업무용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소로한면</t>
        </is>
      </c>
    </row>
    <row r="1799">
      <c r="A1799" s="3" t="inlineStr">
        <is>
          <t>연서면 성제리 429</t>
        </is>
      </c>
      <c r="B1799" s="3" t="inlineStr">
        <is>
          <t>자연녹지지역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73000</v>
      </c>
      <c r="G1799" s="4" t="n">
        <v>959</v>
      </c>
      <c r="H1799" s="4" t="n">
        <v>290</v>
      </c>
      <c r="I1799" s="5" t="n">
        <v>251.7</v>
      </c>
      <c r="J1799" s="5" t="n">
        <v>62.5</v>
      </c>
      <c r="K1799" s="3" t="inlineStr">
        <is>
          <t>2차선 도로 인접 ,용도 변경 가능 미래 투자가치 좋은 금싸라기 땅</t>
        </is>
      </c>
      <c r="L1799" s="6">
        <f>HYPERLINK("https://fin.land.naver.com/articles/2651651826", "매물Link")</f>
        <v/>
      </c>
      <c r="M1799" s="6">
        <f>HYPERLINK("https://map.naver.com/p/search/연서면 성제리 429", "지도Link")</f>
        <v/>
      </c>
      <c r="N1799" s="6">
        <f>HYPERLINK("http://www.eum.go.kr/web/ar/lu/luLandDet.jsp?pnu=3611036023104290000&amp;isNoScr=script&amp;mode=search", "토지이음")</f>
        <v/>
      </c>
      <c r="O1799" s="3" t="inlineStr">
        <is>
          <t>강남뜰</t>
        </is>
      </c>
      <c r="P1799" s="4" t="n">
        <v>1</v>
      </c>
      <c r="Q1799" s="4" t="n">
        <v>959</v>
      </c>
      <c r="R1799" s="3" t="inlineStr">
        <is>
          <t>계획관리지역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446</t>
        </is>
      </c>
      <c r="B1800" s="3" t="inlineStr">
        <is>
          <t>자연녹지지역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82250</v>
      </c>
      <c r="G1800" s="4" t="n">
        <v>1087</v>
      </c>
      <c r="H1800" s="4" t="n">
        <v>329</v>
      </c>
      <c r="I1800" s="5" t="n">
        <v>250</v>
      </c>
      <c r="J1800" s="5" t="n">
        <v>65.90000000000001</v>
      </c>
      <c r="K1800" s="3" t="inlineStr">
        <is>
          <t>집짓기 좋은 정방형 토지 매매</t>
        </is>
      </c>
      <c r="L1800" s="6">
        <f>HYPERLINK("https://fin.land.naver.com/articles/2653195395", "매물Link")</f>
        <v/>
      </c>
      <c r="M1800" s="6">
        <f>HYPERLINK("https://map.naver.com/p/search/연서면 성제리 446", "지도Link")</f>
        <v/>
      </c>
      <c r="N1800" s="6">
        <f>HYPERLINK("http://www.eum.go.kr/web/ar/lu/luLandDet.jsp?pnu=3611036023104460000&amp;isNoScr=script&amp;mode=search", "토지이음")</f>
        <v/>
      </c>
      <c r="O1800" s="3" t="inlineStr">
        <is>
          <t>THE행복</t>
        </is>
      </c>
      <c r="P1800" s="4" t="n">
        <v>1</v>
      </c>
      <c r="Q1800" s="4" t="n">
        <v>1088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성제리 446</t>
        </is>
      </c>
      <c r="B1801" s="3" t="inlineStr">
        <is>
          <t>자연녹지지역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80000</v>
      </c>
      <c r="G1801" s="4" t="n">
        <v>1087</v>
      </c>
      <c r="H1801" s="4" t="n">
        <v>329</v>
      </c>
      <c r="I1801" s="5" t="n">
        <v>243.2</v>
      </c>
      <c r="J1801" s="5" t="n">
        <v>65.90000000000001</v>
      </c>
      <c r="K1801" s="3" t="inlineStr">
        <is>
          <t>국가산단인근  성장관리계획구역</t>
        </is>
      </c>
      <c r="L1801" s="6">
        <f>HYPERLINK("https://fin.land.naver.com/articles/2654518353", "매물Link")</f>
        <v/>
      </c>
      <c r="M1801" s="6">
        <f>HYPERLINK("https://map.naver.com/p/search/연서면 성제리 446", "지도Link")</f>
        <v/>
      </c>
      <c r="N1801" s="6">
        <f>HYPERLINK("http://www.eum.go.kr/web/ar/lu/luLandDet.jsp?pnu=3611036023104460000&amp;isNoScr=script&amp;mode=search", "토지이음")</f>
        <v/>
      </c>
      <c r="O1801" s="3" t="inlineStr">
        <is>
          <t>THE행복</t>
        </is>
      </c>
      <c r="P1801" s="4" t="n">
        <v>1</v>
      </c>
      <c r="Q1801" s="4" t="n">
        <v>1088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성제리 448-5</t>
        </is>
      </c>
      <c r="B1802" s="3" t="inlineStr">
        <is>
          <t>자연녹지지역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25000</v>
      </c>
      <c r="G1802" s="4" t="n">
        <v>1213</v>
      </c>
      <c r="H1802" s="4" t="n">
        <v>367</v>
      </c>
      <c r="I1802" s="5" t="n">
        <v>68.09999999999999</v>
      </c>
      <c r="J1802" s="5" t="n">
        <v>53.2</v>
      </c>
      <c r="K1802" s="3" t="inlineStr">
        <is>
          <t>국가 산업 단지 근접투자 가치 용 토지</t>
        </is>
      </c>
      <c r="L1802" s="6">
        <f>HYPERLINK("https://fin.land.naver.com/articles/2655627734", "매물Link")</f>
        <v/>
      </c>
      <c r="M1802" s="6">
        <f>HYPERLINK("https://map.naver.com/p/search/연서면 성제리 448-5", "지도Link")</f>
        <v/>
      </c>
      <c r="N1802" s="6">
        <f>HYPERLINK("http://www.eum.go.kr/web/ar/lu/luLandDet.jsp?pnu=3611036023104480005&amp;isNoScr=script&amp;mode=search", "토지이음")</f>
        <v/>
      </c>
      <c r="O1802" s="3" t="inlineStr">
        <is>
          <t>현담</t>
        </is>
      </c>
      <c r="P1802" s="4" t="n">
        <v>1</v>
      </c>
      <c r="Q1802" s="4" t="n">
        <v>1213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성제리 452</t>
        </is>
      </c>
      <c r="B1803" s="3" t="inlineStr">
        <is>
          <t>자연녹지지역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54000</v>
      </c>
      <c r="G1803" s="4" t="n">
        <v>1261</v>
      </c>
      <c r="H1803" s="4" t="n">
        <v>381</v>
      </c>
      <c r="I1803" s="5" t="n">
        <v>141.7</v>
      </c>
      <c r="J1803" s="5" t="n">
        <v>62.7</v>
      </c>
      <c r="K1803" s="3" t="inlineStr">
        <is>
          <t>자연취락지구도로접 평탄농지, 전원형 활용 검토 유리</t>
        </is>
      </c>
      <c r="L1803" s="6">
        <f>HYPERLINK("https://fin.land.naver.com/articles/2653942128", "매물Link")</f>
        <v/>
      </c>
      <c r="M1803" s="6">
        <f>HYPERLINK("https://map.naver.com/p/search/연서면 성제리 452", "지도Link")</f>
        <v/>
      </c>
      <c r="N1803" s="6">
        <f>HYPERLINK("http://www.eum.go.kr/web/ar/lu/luLandDet.jsp?pnu=3611036023104520000&amp;isNoScr=script&amp;mode=search", "토지이음")</f>
        <v/>
      </c>
      <c r="O1803" s="3" t="inlineStr">
        <is>
          <t>세종소담황금</t>
        </is>
      </c>
      <c r="P1803" s="4" t="n">
        <v>1</v>
      </c>
      <c r="Q1803" s="4" t="n">
        <v>1261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455-8</t>
        </is>
      </c>
      <c r="B1804" s="3" t="inlineStr">
        <is>
          <t>계획관리지역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109000</v>
      </c>
      <c r="G1804" s="4" t="n">
        <v>1720</v>
      </c>
      <c r="H1804" s="4" t="n">
        <v>520</v>
      </c>
      <c r="I1804" s="5" t="n">
        <v>209.6</v>
      </c>
      <c r="J1804" s="5" t="n">
        <v>48.9</v>
      </c>
      <c r="K1804" s="3" t="inlineStr">
        <is>
          <t>계획관리 과수원배밭매매</t>
        </is>
      </c>
      <c r="L1804" s="6">
        <f>HYPERLINK("https://fin.land.naver.com/articles/2655032817", "매물Link")</f>
        <v/>
      </c>
      <c r="M1804" s="6">
        <f>HYPERLINK("https://map.naver.com/p/search/연서면 성제리 455-8", "지도Link")</f>
        <v/>
      </c>
      <c r="N1804" s="6">
        <f>HYPERLINK("http://www.eum.go.kr/web/ar/lu/luLandDet.jsp?pnu=3611036023104550008&amp;isNoScr=script&amp;mode=search",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1720</v>
      </c>
      <c r="R1804" s="3" t="inlineStr">
        <is>
          <t>보전관리지역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성제리 564-3</t>
        </is>
      </c>
      <c r="B1805" s="3" t="inlineStr">
        <is>
          <t>계획관리지역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111700</v>
      </c>
      <c r="G1805" s="4" t="n">
        <v>1320</v>
      </c>
      <c r="H1805" s="4" t="n">
        <v>399</v>
      </c>
      <c r="I1805" s="5" t="n">
        <v>279.9</v>
      </c>
      <c r="J1805" s="5" t="n">
        <v>50.8</v>
      </c>
      <c r="K1805" s="3" t="inlineStr">
        <is>
          <t>세종시 연서면 계획관리 매매.11.1억</t>
        </is>
      </c>
      <c r="L1805" s="6">
        <f>HYPERLINK("https://fin.land.naver.com/articles/2652501553", "매물Link")</f>
        <v/>
      </c>
      <c r="M1805" s="6">
        <f>HYPERLINK("https://map.naver.com/p/search/연서면 성제리 564-3", "지도Link")</f>
        <v/>
      </c>
      <c r="N1805" s="6">
        <f>HYPERLINK("http://www.eum.go.kr/web/ar/lu/luLandDet.jsp?pnu=3611036023105640003&amp;isNoScr=script&amp;mode=search", "토지이음")</f>
        <v/>
      </c>
      <c r="O1805" s="3" t="inlineStr">
        <is>
          <t>동원</t>
        </is>
      </c>
      <c r="P1805" s="4" t="n">
        <v>1</v>
      </c>
      <c r="Q1805" s="4" t="n">
        <v>1320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성제리 586-14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112000</v>
      </c>
      <c r="G1806" s="4" t="n">
        <v>1204</v>
      </c>
      <c r="H1806" s="4" t="n">
        <v>364</v>
      </c>
      <c r="I1806" s="5" t="n">
        <v>307.7</v>
      </c>
      <c r="J1806" s="5" t="n">
        <v>172</v>
      </c>
      <c r="K1806" s="3" t="inlineStr">
        <is>
          <t>상가건물있음,  성제네거리코너10m도로접합 계획관리지역 3필지일괄매매</t>
        </is>
      </c>
      <c r="L1806" s="6">
        <f>HYPERLINK("https://fin.land.naver.com/articles/2654484825", "매물Link")</f>
        <v/>
      </c>
      <c r="M1806" s="6">
        <f>HYPERLINK("https://map.naver.com/p/search/연서면 성제리 586-14", "지도Link")</f>
        <v/>
      </c>
      <c r="N1806" s="6">
        <f>HYPERLINK("http://www.eum.go.kr/web/ar/lu/luLandDet.jsp?pnu=3611036023105860014&amp;isNoScr=script&amp;mode=search", "토지이음")</f>
        <v/>
      </c>
      <c r="O1806" s="3" t="inlineStr">
        <is>
          <t>길음(02-983-0110)</t>
        </is>
      </c>
      <c r="P1806" s="4" t="n">
        <v>1</v>
      </c>
      <c r="Q1806" s="4" t="n">
        <v>418</v>
      </c>
      <c r="R1806" s="3" t="inlineStr">
        <is>
          <t>지정되지않음</t>
        </is>
      </c>
      <c r="S1806" s="3" t="inlineStr">
        <is>
          <t>주상용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소로각지</t>
        </is>
      </c>
    </row>
    <row r="1807">
      <c r="A1807" s="3" t="inlineStr">
        <is>
          <t>연서면 성제리 586-14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112000</v>
      </c>
      <c r="G1807" s="4" t="n">
        <v>1204</v>
      </c>
      <c r="H1807" s="4" t="n">
        <v>364</v>
      </c>
      <c r="I1807" s="5" t="n">
        <v>307.7</v>
      </c>
      <c r="J1807" s="5" t="n">
        <v>172</v>
      </c>
      <c r="K1807" s="3" t="inlineStr">
        <is>
          <t>3필지일괄매매,현임차인 안고 매매 또는 명도요구시명도기간협의,</t>
        </is>
      </c>
      <c r="L1807" s="6">
        <f>HYPERLINK("https://fin.land.naver.com/articles/2655249388", "매물Link")</f>
        <v/>
      </c>
      <c r="M1807" s="6">
        <f>HYPERLINK("https://map.naver.com/p/search/연서면 성제리 586-14", "지도Link")</f>
        <v/>
      </c>
      <c r="N1807" s="6">
        <f>HYPERLINK("http://www.eum.go.kr/web/ar/lu/luLandDet.jsp?pnu=3611036023105860014&amp;isNoScr=script&amp;mode=search", "토지이음")</f>
        <v/>
      </c>
      <c r="O1807" s="3" t="inlineStr">
        <is>
          <t>담뜰</t>
        </is>
      </c>
      <c r="P1807" s="4" t="n">
        <v>2</v>
      </c>
      <c r="Q1807" s="4" t="n">
        <v>418</v>
      </c>
      <c r="R1807" s="3" t="inlineStr">
        <is>
          <t>지정되지않음</t>
        </is>
      </c>
      <c r="S1807" s="3" t="inlineStr">
        <is>
          <t>주상용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소로각지</t>
        </is>
      </c>
    </row>
    <row r="1808">
      <c r="A1808" s="3" t="inlineStr">
        <is>
          <t>연서면 성제리 586-183</t>
        </is>
      </c>
      <c r="B1808" s="3" t="inlineStr">
        <is>
          <t>계획관리지역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95000</v>
      </c>
      <c r="G1808" s="4" t="n">
        <v>661</v>
      </c>
      <c r="H1808" s="4" t="n">
        <v>200</v>
      </c>
      <c r="I1808" s="5" t="n">
        <v>475</v>
      </c>
      <c r="J1808" s="5" t="n">
        <v>58.2</v>
      </c>
      <c r="K1808" s="3" t="inlineStr">
        <is>
          <t>2차선에 접한 귀한 토지.개발호재.지가상승지역.</t>
        </is>
      </c>
      <c r="L1808" s="6">
        <f>HYPERLINK("https://fin.land.naver.com/articles/2652504765", "매물Link")</f>
        <v/>
      </c>
      <c r="M1808" s="6">
        <f>HYPERLINK("https://map.naver.com/p/search/연서면 성제리 586-183", "지도Link")</f>
        <v/>
      </c>
      <c r="N1808" s="6">
        <f>HYPERLINK("http://www.eum.go.kr/web/ar/lu/luLandDet.jsp?pnu=3611036023105860183&amp;isNoScr=script&amp;mode=search", "토지이음")</f>
        <v/>
      </c>
      <c r="O1808" s="3" t="inlineStr">
        <is>
          <t>동원</t>
        </is>
      </c>
      <c r="P1808" s="4" t="n">
        <v>1</v>
      </c>
      <c r="Q1808" s="4" t="n">
        <v>661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소로한면</t>
        </is>
      </c>
    </row>
    <row r="1809">
      <c r="A1809" s="3" t="inlineStr">
        <is>
          <t>연서면 성제리 77-1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310000</v>
      </c>
      <c r="G1809" s="4" t="n">
        <v>5153</v>
      </c>
      <c r="H1809" s="4" t="n">
        <v>1559</v>
      </c>
      <c r="I1809" s="5" t="n">
        <v>198.8</v>
      </c>
      <c r="J1809" s="5" t="n">
        <v>42.9</v>
      </c>
      <c r="K1809" s="3" t="inlineStr">
        <is>
          <t>성제리 도로접한 해 잘들어오는 계획관리 토지</t>
        </is>
      </c>
      <c r="L1809" s="6">
        <f>HYPERLINK("https://fin.land.naver.com/articles/2655073697", "매물Link")</f>
        <v/>
      </c>
      <c r="M1809" s="6">
        <f>HYPERLINK("https://map.naver.com/p/search/연서면 성제리 77-1", "지도Link")</f>
        <v/>
      </c>
      <c r="N1809" s="6">
        <f>HYPERLINK("http://www.eum.go.kr/web/ar/lu/luLandDet.jsp?pnu=3611036023100770001&amp;isNoScr=script&amp;mode=search", "토지이음")</f>
        <v/>
      </c>
      <c r="O1809" s="3" t="inlineStr">
        <is>
          <t>엄지척</t>
        </is>
      </c>
      <c r="P1809" s="4" t="n">
        <v>1</v>
      </c>
      <c r="Q1809" s="4" t="n">
        <v>4760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성제리 산 28-1</t>
        </is>
      </c>
      <c r="B1810" s="3" t="inlineStr">
        <is>
          <t>농림지역</t>
        </is>
      </c>
      <c r="C1810" s="3" t="inlineStr">
        <is>
          <t>임야</t>
        </is>
      </c>
      <c r="D1810" s="3" t="inlineStr">
        <is>
          <t>임야</t>
        </is>
      </c>
      <c r="E1810" s="3" t="inlineStr">
        <is>
          <t>매매</t>
        </is>
      </c>
      <c r="F1810" s="4" t="n">
        <v>215000</v>
      </c>
      <c r="G1810" s="4" t="n">
        <v>40562</v>
      </c>
      <c r="H1810" s="4" t="n">
        <v>12270</v>
      </c>
      <c r="I1810" s="5" t="n">
        <v>17.5</v>
      </c>
      <c r="J1810" s="5" t="n">
        <v>4.7</v>
      </c>
      <c r="K1810" s="3" t="inlineStr">
        <is>
          <t>연서면 성제리 농림지역, 일부 보전관리 임야, 조치원 인근</t>
        </is>
      </c>
      <c r="L1810" s="6">
        <f>HYPERLINK("https://fin.land.naver.com/articles/2654025632", "매물Link")</f>
        <v/>
      </c>
      <c r="M1810" s="6">
        <f>HYPERLINK("https://map.naver.com/p/search/연서면 성제리 산 28-1", "지도Link")</f>
        <v/>
      </c>
      <c r="N1810" s="6">
        <f>HYPERLINK("http://www.eum.go.kr/web/ar/lu/luLandDet.jsp?pnu=3611036023200280001&amp;isNoScr=script&amp;mode=search", "토지이음")</f>
        <v/>
      </c>
      <c r="O1810" s="3" t="inlineStr">
        <is>
          <t>스카이</t>
        </is>
      </c>
      <c r="P1810" s="4" t="n">
        <v>1</v>
      </c>
      <c r="Q1810" s="4" t="n">
        <v>40562</v>
      </c>
      <c r="R1810" s="3" t="inlineStr">
        <is>
          <t>보전관리지역</t>
        </is>
      </c>
      <c r="S1810" s="3" t="inlineStr">
        <is>
          <t>자연림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성제리 산 28-1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215000</v>
      </c>
      <c r="G1811" s="4" t="n">
        <v>40562</v>
      </c>
      <c r="H1811" s="4" t="n">
        <v>12270</v>
      </c>
      <c r="I1811" s="5" t="n">
        <v>17.5</v>
      </c>
      <c r="J1811" s="5" t="n">
        <v>4.7</v>
      </c>
      <c r="K1811" s="3" t="inlineStr">
        <is>
          <t>임야</t>
        </is>
      </c>
      <c r="L1811" s="6">
        <f>HYPERLINK("https://fin.land.naver.com/articles/2653389298", "매물Link")</f>
        <v/>
      </c>
      <c r="M1811" s="6">
        <f>HYPERLINK("https://map.naver.com/p/search/연서면 성제리 산 28-1", "지도Link")</f>
        <v/>
      </c>
      <c r="N1811" s="6">
        <f>HYPERLINK("http://www.eum.go.kr/web/ar/lu/luLandDet.jsp?pnu=3611036023200280001&amp;isNoScr=script&amp;mode=search", "토지이음")</f>
        <v/>
      </c>
      <c r="O1811" s="3" t="inlineStr">
        <is>
          <t>다산</t>
        </is>
      </c>
      <c r="P1811" s="4" t="n">
        <v>1</v>
      </c>
      <c r="Q1811" s="4" t="n">
        <v>40562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완경사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신대리 115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35000</v>
      </c>
      <c r="G1812" s="4" t="n">
        <v>874</v>
      </c>
      <c r="H1812" s="4" t="n">
        <v>264</v>
      </c>
      <c r="I1812" s="5" t="n">
        <v>132.6</v>
      </c>
      <c r="J1812" s="5" t="n">
        <v>91.59999999999999</v>
      </c>
      <c r="K1812" s="3" t="inlineStr">
        <is>
          <t>연서면 신대리 계획관리 대지, 포장도로접, 조치원 국가산단 인근, 저렴</t>
        </is>
      </c>
      <c r="L1812" s="6">
        <f>HYPERLINK("https://fin.land.naver.com/articles/2654027707", "매물Link")</f>
        <v/>
      </c>
      <c r="M1812" s="6">
        <f>HYPERLINK("https://map.naver.com/p/search/연서면 신대리 115", "지도Link")</f>
        <v/>
      </c>
      <c r="N1812" s="6">
        <f>HYPERLINK("http://www.eum.go.kr/web/ar/lu/luLandDet.jsp?pnu=3611036029101150000&amp;isNoScr=script&amp;mode=search", "토지이음")</f>
        <v/>
      </c>
      <c r="O1812" s="3" t="inlineStr">
        <is>
          <t>스카이</t>
        </is>
      </c>
      <c r="P1812" s="4" t="n">
        <v>1</v>
      </c>
      <c r="Q1812" s="4" t="n">
        <v>874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신대리 124</t>
        </is>
      </c>
      <c r="B1813" s="3" t="inlineStr">
        <is>
          <t>계획관리지역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120000</v>
      </c>
      <c r="G1813" s="4" t="n">
        <v>2324</v>
      </c>
      <c r="H1813" s="4" t="n">
        <v>703</v>
      </c>
      <c r="I1813" s="5" t="n">
        <v>170.7</v>
      </c>
      <c r="J1813" s="5" t="n">
        <v>50.2</v>
      </c>
      <c r="K1813" s="3" t="inlineStr">
        <is>
          <t>급매, 대토용, 투자용</t>
        </is>
      </c>
      <c r="L1813" s="6">
        <f>HYPERLINK("https://fin.land.naver.com/articles/2654625622", "매물Link")</f>
        <v/>
      </c>
      <c r="M1813" s="6">
        <f>HYPERLINK("https://map.naver.com/p/search/연서면 신대리 124", "지도Link")</f>
        <v/>
      </c>
      <c r="N1813" s="6">
        <f>HYPERLINK("http://www.eum.go.kr/web/ar/lu/luLandDet.jsp?pnu=3611036029101240000&amp;isNoScr=script&amp;mode=search", "토지이음")</f>
        <v/>
      </c>
      <c r="O1813" s="3" t="inlineStr">
        <is>
          <t>고운동리치세종</t>
        </is>
      </c>
      <c r="P1813" s="4" t="n">
        <v>1</v>
      </c>
      <c r="Q1813" s="4" t="n">
        <v>2324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신대리 192</t>
        </is>
      </c>
      <c r="B1814" s="3" t="inlineStr">
        <is>
          <t>계획관리지역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163000</v>
      </c>
      <c r="G1814" s="4" t="n">
        <v>2569</v>
      </c>
      <c r="H1814" s="4" t="n">
        <v>777</v>
      </c>
      <c r="I1814" s="5" t="n">
        <v>209.8</v>
      </c>
      <c r="J1814" s="5" t="n">
        <v>62</v>
      </c>
      <c r="K1814" s="3" t="inlineStr">
        <is>
          <t>계획관리지역, 성장관리구역, 도로접합, 세종국가산단인근</t>
        </is>
      </c>
      <c r="L1814" s="6">
        <f>HYPERLINK("https://fin.land.naver.com/articles/2650333044", "매물Link")</f>
        <v/>
      </c>
      <c r="M1814" s="6">
        <f>HYPERLINK("https://map.naver.com/p/search/연서면 신대리 192", "지도Link")</f>
        <v/>
      </c>
      <c r="N1814" s="6">
        <f>HYPERLINK("http://www.eum.go.kr/web/ar/lu/luLandDet.jsp?pnu=3611036029101920000&amp;isNoScr=script&amp;mode=search", "토지이음")</f>
        <v/>
      </c>
      <c r="O1814" s="3" t="inlineStr">
        <is>
          <t>세종일조</t>
        </is>
      </c>
      <c r="P1814" s="4" t="n">
        <v>1</v>
      </c>
      <c r="Q1814" s="4" t="n">
        <v>2569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신대리 30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63000</v>
      </c>
      <c r="G1815" s="4" t="n">
        <v>913</v>
      </c>
      <c r="H1815" s="4" t="n">
        <v>276</v>
      </c>
      <c r="I1815" s="5" t="n">
        <v>228.3</v>
      </c>
      <c r="J1815" s="5" t="n">
        <v>73.8</v>
      </c>
      <c r="K1815" s="3" t="inlineStr">
        <is>
          <t>세종산업단지 1km이내 계획관리지역, 자연취락지구 토지매매</t>
        </is>
      </c>
      <c r="L1815" s="6">
        <f>HYPERLINK("https://fin.land.naver.com/articles/2652044665", "매물Link")</f>
        <v/>
      </c>
      <c r="M1815" s="6">
        <f>HYPERLINK("https://map.naver.com/p/search/연서면 신대리 30", "지도Link")</f>
        <v/>
      </c>
      <c r="N1815" s="6">
        <f>HYPERLINK("http://www.eum.go.kr/web/ar/lu/luLandDet.jsp?pnu=3611036029100300000&amp;isNoScr=script&amp;mode=search", "토지이음")</f>
        <v/>
      </c>
      <c r="O1815" s="3" t="inlineStr">
        <is>
          <t>에이스</t>
        </is>
      </c>
      <c r="P1815" s="4" t="n">
        <v>1</v>
      </c>
      <c r="Q1815" s="4" t="n">
        <v>364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세로한면(불)</t>
        </is>
      </c>
    </row>
    <row r="1816">
      <c r="A1816" s="3" t="inlineStr">
        <is>
          <t>연서면 신대리 320</t>
        </is>
      </c>
      <c r="B1816" s="3" t="inlineStr">
        <is>
          <t>생산관리지역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45800</v>
      </c>
      <c r="G1816" s="4" t="n">
        <v>2013</v>
      </c>
      <c r="H1816" s="4" t="n">
        <v>609</v>
      </c>
      <c r="I1816" s="5" t="n">
        <v>75.2</v>
      </c>
      <c r="J1816" s="5" t="n">
        <v>23.9</v>
      </c>
      <c r="K1816" s="3" t="inlineStr">
        <is>
          <t>투자하기 좋은 토지</t>
        </is>
      </c>
      <c r="L1816" s="6">
        <f>HYPERLINK("https://fin.land.naver.com/articles/2652686162", "매물Link")</f>
        <v/>
      </c>
      <c r="M1816" s="6">
        <f>HYPERLINK("https://map.naver.com/p/search/연서면 신대리 320", "지도Link")</f>
        <v/>
      </c>
      <c r="N1816" s="6">
        <f>HYPERLINK("http://www.eum.go.kr/web/ar/lu/luLandDet.jsp?pnu=3611036029103200000&amp;isNoScr=script&amp;mode=search", "토지이음")</f>
        <v/>
      </c>
      <c r="O1816" s="3" t="inlineStr">
        <is>
          <t>이로운 사무소</t>
        </is>
      </c>
      <c r="P1816" s="4" t="n">
        <v>1</v>
      </c>
      <c r="Q1816" s="4" t="n">
        <v>2013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완경사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신대리 323</t>
        </is>
      </c>
      <c r="B1817" s="3" t="inlineStr">
        <is>
          <t>생산관리지역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600000</v>
      </c>
      <c r="G1817" s="4" t="n">
        <v>10277</v>
      </c>
      <c r="H1817" s="4" t="n">
        <v>3109</v>
      </c>
      <c r="I1817" s="5" t="n">
        <v>193</v>
      </c>
      <c r="J1817" s="5" t="n">
        <v>22.7</v>
      </c>
      <c r="K1817" s="3" t="inlineStr">
        <is>
          <t>귀한 연서면 토지이며 인접한 3필지 일괄 매매.분할매도가능</t>
        </is>
      </c>
      <c r="L1817" s="6">
        <f>HYPERLINK("https://fin.land.naver.com/articles/2651569592", "매물Link")</f>
        <v/>
      </c>
      <c r="M1817" s="6">
        <f>HYPERLINK("https://map.naver.com/p/search/연서면 신대리 323", "지도Link")</f>
        <v/>
      </c>
      <c r="N1817" s="6">
        <f>HYPERLINK("http://www.eum.go.kr/web/ar/lu/luLandDet.jsp?pnu=3611036029103230000&amp;isNoScr=script&amp;mode=search", "토지이음")</f>
        <v/>
      </c>
      <c r="O1817" s="3" t="inlineStr">
        <is>
          <t>생생</t>
        </is>
      </c>
      <c r="P1817" s="4" t="n">
        <v>1</v>
      </c>
      <c r="Q1817" s="4" t="n">
        <v>2188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신대리 327-5</t>
        </is>
      </c>
      <c r="B1818" s="3" t="inlineStr">
        <is>
          <t>생산관리지역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22500</v>
      </c>
      <c r="G1818" s="4" t="n">
        <v>941</v>
      </c>
      <c r="H1818" s="4" t="n">
        <v>285</v>
      </c>
      <c r="I1818" s="5" t="n">
        <v>78.90000000000001</v>
      </c>
      <c r="J1818" s="5" t="n">
        <v>17.8</v>
      </c>
      <c r="K1818" s="3" t="inlineStr">
        <is>
          <t>국가산단예정지 인접,전원생활과 미래가치를 동시에</t>
        </is>
      </c>
      <c r="L1818" s="6">
        <f>HYPERLINK("https://fin.land.naver.com/articles/2654180711", "매물Link")</f>
        <v/>
      </c>
      <c r="M1818" s="6">
        <f>HYPERLINK("https://map.naver.com/p/search/연서면 신대리 327-5", "지도Link")</f>
        <v/>
      </c>
      <c r="N1818" s="6">
        <f>HYPERLINK("http://www.eum.go.kr/web/ar/lu/luLandDet.jsp?pnu=3611036029103270005&amp;isNoScr=script&amp;mode=search", "토지이음")</f>
        <v/>
      </c>
      <c r="O1818" s="3" t="inlineStr">
        <is>
          <t>가치잇는</t>
        </is>
      </c>
      <c r="P1818" s="4" t="n">
        <v>1</v>
      </c>
      <c r="Q1818" s="4" t="n">
        <v>757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신대리 365-3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58000</v>
      </c>
      <c r="G1819" s="4" t="n">
        <v>1927</v>
      </c>
      <c r="H1819" s="4" t="n">
        <v>583</v>
      </c>
      <c r="I1819" s="5" t="n">
        <v>99.5</v>
      </c>
      <c r="J1819" s="5" t="n">
        <v>47.8</v>
      </c>
      <c r="K1819" s="3" t="inlineStr">
        <is>
          <t>연서면 신대리에 있는 계획관리지역 대지 3필지를 일괄 매매합니다</t>
        </is>
      </c>
      <c r="L1819" s="6">
        <f>HYPERLINK("https://fin.land.naver.com/articles/2650207850", "매물Link")</f>
        <v/>
      </c>
      <c r="M1819" s="6">
        <f>HYPERLINK("https://map.naver.com/p/search/연서면 신대리 365-3", "지도Link")</f>
        <v/>
      </c>
      <c r="N1819" s="6">
        <f>HYPERLINK("http://www.eum.go.kr/web/ar/lu/luLandDet.jsp?pnu=3611036029103650003&amp;isNoScr=script&amp;mode=search", "토지이음")</f>
        <v/>
      </c>
      <c r="O1819" s="3" t="inlineStr">
        <is>
          <t>스마일세종</t>
        </is>
      </c>
      <c r="P1819" s="4" t="n">
        <v>1</v>
      </c>
      <c r="Q1819" s="4" t="n">
        <v>853</v>
      </c>
      <c r="R1819" s="3" t="inlineStr">
        <is>
          <t>지정되지않음</t>
        </is>
      </c>
      <c r="S1819" s="3" t="inlineStr">
        <is>
          <t>단독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세로한면(불)</t>
        </is>
      </c>
    </row>
    <row r="1820">
      <c r="A1820" s="3" t="inlineStr">
        <is>
          <t>연서면 신대리 395-10</t>
        </is>
      </c>
      <c r="B1820" s="3" t="inlineStr">
        <is>
          <t>보전관리지역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30000</v>
      </c>
      <c r="G1820" s="4" t="n">
        <v>720</v>
      </c>
      <c r="H1820" s="4" t="n">
        <v>218</v>
      </c>
      <c r="I1820" s="5" t="n">
        <v>137.6</v>
      </c>
      <c r="J1820" s="5" t="n">
        <v>66.59999999999999</v>
      </c>
      <c r="K1820" s="3" t="inlineStr">
        <is>
          <t>고복저수지근처 지목대지 건축 허가 가능.</t>
        </is>
      </c>
      <c r="L1820" s="6">
        <f>HYPERLINK("https://fin.land.naver.com/articles/2650858228", "매물Link")</f>
        <v/>
      </c>
      <c r="M1820" s="6">
        <f>HYPERLINK("https://map.naver.com/p/search/연서면 신대리 395-10", "지도Link")</f>
        <v/>
      </c>
      <c r="N1820" s="6">
        <f>HYPERLINK("http://www.eum.go.kr/web/ar/lu/luLandDet.jsp?pnu=3611036029103950010&amp;isNoScr=script&amp;mode=search", "토지이음")</f>
        <v/>
      </c>
      <c r="O1820" s="3" t="inlineStr">
        <is>
          <t>신한국</t>
        </is>
      </c>
      <c r="P1820" s="4" t="n">
        <v>1</v>
      </c>
      <c r="Q1820" s="4" t="n">
        <v>678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완경사</t>
        </is>
      </c>
      <c r="U1820" s="3" t="inlineStr">
        <is>
          <t>사다리형</t>
        </is>
      </c>
      <c r="V1820" s="3" t="inlineStr">
        <is>
          <t>세로한면(가)</t>
        </is>
      </c>
    </row>
    <row r="1821">
      <c r="A1821" s="3" t="inlineStr">
        <is>
          <t>연서면 신대리 395-62</t>
        </is>
      </c>
      <c r="B1821" s="3" t="inlineStr">
        <is>
          <t>보전관리지역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57000</v>
      </c>
      <c r="G1821" s="4" t="n">
        <v>582</v>
      </c>
      <c r="H1821" s="4" t="n">
        <v>176</v>
      </c>
      <c r="I1821" s="5" t="n">
        <v>323.9</v>
      </c>
      <c r="J1821" s="5" t="n">
        <v>66.59999999999999</v>
      </c>
      <c r="K1821" s="3" t="inlineStr">
        <is>
          <t>전원주택단지내 전원주택부지</t>
        </is>
      </c>
      <c r="L1821" s="6">
        <f>HYPERLINK("https://fin.land.naver.com/articles/2654424413", "매물Link")</f>
        <v/>
      </c>
      <c r="M1821" s="6">
        <f>HYPERLINK("https://map.naver.com/p/search/연서면 신대리 395-62", "지도Link")</f>
        <v/>
      </c>
      <c r="N1821" s="6">
        <f>HYPERLINK("http://www.eum.go.kr/web/ar/lu/luLandDet.jsp?pnu=3611036029103950062&amp;isNoScr=script&amp;mode=search", "토지이음")</f>
        <v/>
      </c>
      <c r="O1821" s="3" t="inlineStr">
        <is>
          <t>대한민국</t>
        </is>
      </c>
      <c r="P1821" s="4" t="n">
        <v>2</v>
      </c>
      <c r="Q1821" s="4" t="n">
        <v>582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신대리 395-62</t>
        </is>
      </c>
      <c r="B1822" s="3" t="inlineStr">
        <is>
          <t>보전관리지역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57000</v>
      </c>
      <c r="G1822" s="4" t="n">
        <v>582</v>
      </c>
      <c r="H1822" s="4" t="n">
        <v>176</v>
      </c>
      <c r="I1822" s="5" t="n">
        <v>323.9</v>
      </c>
      <c r="J1822" s="5" t="n">
        <v>66.59999999999999</v>
      </c>
      <c r="K1822" s="3" t="inlineStr">
        <is>
          <t>nan</t>
        </is>
      </c>
      <c r="L1822" s="6">
        <f>HYPERLINK("https://fin.land.naver.com/articles/2655626687", "매물Link")</f>
        <v/>
      </c>
      <c r="M1822" s="6">
        <f>HYPERLINK("https://map.naver.com/p/search/연서면 신대리 395-62", "지도Link")</f>
        <v/>
      </c>
      <c r="N1822" s="6">
        <f>HYPERLINK("http://www.eum.go.kr/web/ar/lu/luLandDet.jsp?pnu=3611036029103950062&amp;isNoScr=script&amp;mode=search", "토지이음")</f>
        <v/>
      </c>
      <c r="O1822" s="3" t="inlineStr">
        <is>
          <t>대한민국</t>
        </is>
      </c>
      <c r="P1822" s="4" t="n">
        <v>2</v>
      </c>
      <c r="Q1822" s="4" t="n">
        <v>582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완경사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신대리 412-25</t>
        </is>
      </c>
      <c r="B1823" s="3" t="inlineStr">
        <is>
          <t>보전관리지역</t>
        </is>
      </c>
      <c r="C1823" s="3" t="inlineStr">
        <is>
          <t>임야</t>
        </is>
      </c>
      <c r="D1823" s="3" t="inlineStr">
        <is>
          <t>임야</t>
        </is>
      </c>
      <c r="E1823" s="3" t="inlineStr">
        <is>
          <t>매매</t>
        </is>
      </c>
      <c r="F1823" s="4" t="n">
        <v>26000</v>
      </c>
      <c r="G1823" s="4" t="n">
        <v>542</v>
      </c>
      <c r="H1823" s="4" t="n">
        <v>164</v>
      </c>
      <c r="I1823" s="5" t="n">
        <v>158.5</v>
      </c>
      <c r="J1823" s="5" t="n">
        <v>66.59999999999999</v>
      </c>
      <c r="K1823" s="3" t="inlineStr">
        <is>
          <t>급매추천. 개발 완료된 전원주택지. 전용 542  도로 120</t>
        </is>
      </c>
      <c r="L1823" s="6">
        <f>HYPERLINK("https://fin.land.naver.com/articles/2651427480", "매물Link")</f>
        <v/>
      </c>
      <c r="M1823" s="6">
        <f>HYPERLINK("https://map.naver.com/p/search/연서면 신대리 412-25", "지도Link")</f>
        <v/>
      </c>
      <c r="N1823" s="6">
        <f>HYPERLINK("http://www.eum.go.kr/web/ar/lu/luLandDet.jsp?pnu=3611036029104120025&amp;isNoScr=script&amp;mode=search", "토지이음")</f>
        <v/>
      </c>
      <c r="O1823" s="3" t="inlineStr">
        <is>
          <t>세종소담114</t>
        </is>
      </c>
      <c r="P1823" s="4" t="n">
        <v>2</v>
      </c>
      <c r="Q1823" s="4" t="n">
        <v>542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완경사</t>
        </is>
      </c>
      <c r="U1823" s="3" t="inlineStr">
        <is>
          <t>세로장방</t>
        </is>
      </c>
      <c r="V1823" s="3" t="inlineStr">
        <is>
          <t>세로한면(가)</t>
        </is>
      </c>
    </row>
    <row r="1824">
      <c r="A1824" s="3" t="inlineStr">
        <is>
          <t>연서면 신대리 412-25</t>
        </is>
      </c>
      <c r="B1824" s="3" t="inlineStr">
        <is>
          <t>보전관리지역</t>
        </is>
      </c>
      <c r="C1824" s="3" t="inlineStr">
        <is>
          <t>임야</t>
        </is>
      </c>
      <c r="D1824" s="3" t="inlineStr">
        <is>
          <t>대</t>
        </is>
      </c>
      <c r="E1824" s="3" t="inlineStr">
        <is>
          <t>매매</t>
        </is>
      </c>
      <c r="F1824" s="4" t="n">
        <v>22000</v>
      </c>
      <c r="G1824" s="4" t="n">
        <v>542</v>
      </c>
      <c r="H1824" s="4" t="n">
        <v>164</v>
      </c>
      <c r="I1824" s="5" t="n">
        <v>134.1</v>
      </c>
      <c r="J1824" s="5" t="n">
        <v>66.59999999999999</v>
      </c>
      <c r="K1824" s="3" t="inlineStr">
        <is>
          <t>급매 고복저수지근처 로얄빌리지 전원주택지매매</t>
        </is>
      </c>
      <c r="L1824" s="6">
        <f>HYPERLINK("https://fin.land.naver.com/articles/2653986925", "매물Link")</f>
        <v/>
      </c>
      <c r="M1824" s="6">
        <f>HYPERLINK("https://map.naver.com/p/search/연서면 신대리 412-25", "지도Link")</f>
        <v/>
      </c>
      <c r="N1824" s="6">
        <f>HYPERLINK("http://www.eum.go.kr/web/ar/lu/luLandDet.jsp?pnu=3611036029104120025&amp;isNoScr=script&amp;mode=search", "토지이음")</f>
        <v/>
      </c>
      <c r="O1824" s="3" t="inlineStr">
        <is>
          <t>명진</t>
        </is>
      </c>
      <c r="P1824" s="4" t="n">
        <v>1</v>
      </c>
      <c r="Q1824" s="4" t="n">
        <v>542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완경사</t>
        </is>
      </c>
      <c r="U1824" s="3" t="inlineStr">
        <is>
          <t>세로장방</t>
        </is>
      </c>
      <c r="V1824" s="3" t="inlineStr">
        <is>
          <t>세로한면(가)</t>
        </is>
      </c>
    </row>
    <row r="1825">
      <c r="A1825" s="3" t="inlineStr">
        <is>
          <t>연서면 신대리 412-28</t>
        </is>
      </c>
      <c r="B1825" s="3" t="inlineStr">
        <is>
          <t>보전관리지역</t>
        </is>
      </c>
      <c r="C1825" s="3" t="inlineStr">
        <is>
          <t>임야</t>
        </is>
      </c>
      <c r="D1825" s="3" t="inlineStr">
        <is>
          <t>임야</t>
        </is>
      </c>
      <c r="E1825" s="3" t="inlineStr">
        <is>
          <t>매매</t>
        </is>
      </c>
      <c r="F1825" s="4" t="n">
        <v>24000</v>
      </c>
      <c r="G1825" s="4" t="n">
        <v>563</v>
      </c>
      <c r="H1825" s="4" t="n">
        <v>170</v>
      </c>
      <c r="I1825" s="5" t="n">
        <v>141.2</v>
      </c>
      <c r="J1825" s="5" t="n">
        <v>66.59999999999999</v>
      </c>
      <c r="K1825" s="3" t="inlineStr">
        <is>
          <t>nan</t>
        </is>
      </c>
      <c r="L1825" s="6">
        <f>HYPERLINK("https://fin.land.naver.com/articles/2652378754", "매물Link")</f>
        <v/>
      </c>
      <c r="M1825" s="6">
        <f>HYPERLINK("https://map.naver.com/p/search/연서면 신대리 412-28", "지도Link")</f>
        <v/>
      </c>
      <c r="N1825" s="6">
        <f>HYPERLINK("http://www.eum.go.kr/web/ar/lu/luLandDet.jsp?pnu=3611036029104120028&amp;isNoScr=script&amp;mode=search", "토지이음")</f>
        <v/>
      </c>
      <c r="O1825" s="3" t="inlineStr">
        <is>
          <t>은성</t>
        </is>
      </c>
      <c r="P1825" s="4" t="n">
        <v>1</v>
      </c>
      <c r="Q1825" s="4" t="n">
        <v>563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완경사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신대리 412-28</t>
        </is>
      </c>
      <c r="B1826" s="3" t="inlineStr">
        <is>
          <t>보전관리지역</t>
        </is>
      </c>
      <c r="C1826" s="3" t="inlineStr">
        <is>
          <t>임야</t>
        </is>
      </c>
      <c r="D1826" s="3" t="inlineStr">
        <is>
          <t>임야</t>
        </is>
      </c>
      <c r="E1826" s="3" t="inlineStr">
        <is>
          <t>매매</t>
        </is>
      </c>
      <c r="F1826" s="4" t="n">
        <v>27016</v>
      </c>
      <c r="G1826" s="4" t="n">
        <v>687</v>
      </c>
      <c r="H1826" s="4" t="n">
        <v>208</v>
      </c>
      <c r="I1826" s="5" t="n">
        <v>129.9</v>
      </c>
      <c r="J1826" s="5" t="n">
        <v>66.59999999999999</v>
      </c>
      <c r="K1826" s="3" t="inlineStr">
        <is>
          <t>감동의 땅 정말 좋은 땅 가성비 착한 토지 위치  땅모양 괜찮지 않나요</t>
        </is>
      </c>
      <c r="L1826" s="6">
        <f>HYPERLINK("https://fin.land.naver.com/articles/2654324010", "매물Link")</f>
        <v/>
      </c>
      <c r="M1826" s="6">
        <f>HYPERLINK("https://map.naver.com/p/search/연서면 신대리 412-28", "지도Link")</f>
        <v/>
      </c>
      <c r="N1826" s="6">
        <f>HYPERLINK("http://www.eum.go.kr/web/ar/lu/luLandDet.jsp?pnu=3611036029104120028&amp;isNoScr=script&amp;mode=search", "토지이음")</f>
        <v/>
      </c>
      <c r="O1826" s="3" t="inlineStr">
        <is>
          <t>세종시삼성래미안</t>
        </is>
      </c>
      <c r="P1826" s="4" t="n">
        <v>1</v>
      </c>
      <c r="Q1826" s="4" t="n">
        <v>563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완경사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412-44</t>
        </is>
      </c>
      <c r="B1827" s="3" t="inlineStr">
        <is>
          <t>보전관리지역</t>
        </is>
      </c>
      <c r="C1827" s="3" t="inlineStr">
        <is>
          <t>임야</t>
        </is>
      </c>
      <c r="D1827" s="3" t="inlineStr">
        <is>
          <t>임야</t>
        </is>
      </c>
      <c r="E1827" s="3" t="inlineStr">
        <is>
          <t>매매</t>
        </is>
      </c>
      <c r="F1827" s="4" t="n">
        <v>34700</v>
      </c>
      <c r="G1827" s="4" t="n">
        <v>637</v>
      </c>
      <c r="H1827" s="4" t="n">
        <v>193</v>
      </c>
      <c r="I1827" s="5" t="n">
        <v>179.8</v>
      </c>
      <c r="J1827" s="5" t="n">
        <v>66.59999999999999</v>
      </c>
      <c r="K1827" s="3" t="inlineStr">
        <is>
          <t>고복저수지 가는길 부근 기반시설 잘 갖춰진 네모반듯한 코너 전원주택지</t>
        </is>
      </c>
      <c r="L1827" s="6">
        <f>HYPERLINK("https://fin.land.naver.com/articles/2652065672", "매물Link")</f>
        <v/>
      </c>
      <c r="M1827" s="6">
        <f>HYPERLINK("https://map.naver.com/p/search/연서면 신대리 412-44", "지도Link")</f>
        <v/>
      </c>
      <c r="N1827" s="6">
        <f>HYPERLINK("http://www.eum.go.kr/web/ar/lu/luLandDet.jsp?pnu=3611036029104120044&amp;isNoScr=script&amp;mode=search", "토지이음")</f>
        <v/>
      </c>
      <c r="O1827" s="3" t="inlineStr">
        <is>
          <t>신와촌</t>
        </is>
      </c>
      <c r="P1827" s="4" t="n">
        <v>1</v>
      </c>
      <c r="Q1827" s="4" t="n">
        <v>523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완경사</t>
        </is>
      </c>
      <c r="U1827" s="3" t="inlineStr">
        <is>
          <t>가로장방</t>
        </is>
      </c>
      <c r="V1827" s="3" t="inlineStr">
        <is>
          <t>세로한면(가)</t>
        </is>
      </c>
    </row>
    <row r="1828">
      <c r="A1828" s="3" t="inlineStr">
        <is>
          <t>연서면 신대리 454-4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31000</v>
      </c>
      <c r="G1828" s="4" t="n">
        <v>1121</v>
      </c>
      <c r="H1828" s="4" t="n">
        <v>339</v>
      </c>
      <c r="I1828" s="5" t="n">
        <v>91.40000000000001</v>
      </c>
      <c r="J1828" s="5" t="n">
        <v>22.9</v>
      </c>
      <c r="K1828" s="3" t="inlineStr">
        <is>
          <t>고복 저수지와 전원 마을 단지 사이 신대리 토지매매</t>
        </is>
      </c>
      <c r="L1828" s="6">
        <f>HYPERLINK("https://fin.land.naver.com/articles/2651085963", "매물Link")</f>
        <v/>
      </c>
      <c r="M1828" s="6">
        <f>HYPERLINK("https://map.naver.com/p/search/연서면 신대리 454-4", "지도Link")</f>
        <v/>
      </c>
      <c r="N1828" s="6">
        <f>HYPERLINK("http://www.eum.go.kr/web/ar/lu/luLandDet.jsp?pnu=3611036029104540004&amp;isNoScr=script&amp;mode=search", "토지이음")</f>
        <v/>
      </c>
      <c r="O1828" s="3" t="inlineStr">
        <is>
          <t>지성</t>
        </is>
      </c>
      <c r="P1828" s="4" t="n">
        <v>1</v>
      </c>
      <c r="Q1828" s="4" t="n">
        <v>1121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세로한면(가)</t>
        </is>
      </c>
    </row>
    <row r="1829">
      <c r="A1829" s="3" t="inlineStr">
        <is>
          <t>연서면 신대리 454-5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71500</v>
      </c>
      <c r="G1829" s="4" t="n">
        <v>2366</v>
      </c>
      <c r="H1829" s="4" t="n">
        <v>716</v>
      </c>
      <c r="I1829" s="5" t="n">
        <v>99.90000000000001</v>
      </c>
      <c r="J1829" s="5" t="n">
        <v>22.9</v>
      </c>
      <c r="K1829" s="3" t="inlineStr">
        <is>
          <t>좋은 땅 가성비 착한 토지 위치  땅모양 좋아요</t>
        </is>
      </c>
      <c r="L1829" s="6">
        <f>HYPERLINK("https://fin.land.naver.com/articles/2654306979", "매물Link")</f>
        <v/>
      </c>
      <c r="M1829" s="6">
        <f>HYPERLINK("https://map.naver.com/p/search/연서면 신대리 454-5", "지도Link")</f>
        <v/>
      </c>
      <c r="N1829" s="6">
        <f>HYPERLINK("http://www.eum.go.kr/web/ar/lu/luLandDet.jsp?pnu=3611036029104540005&amp;isNoScr=script&amp;mode=search", "토지이음")</f>
        <v/>
      </c>
      <c r="O1829" s="3" t="inlineStr">
        <is>
          <t>세종시삼성래미안</t>
        </is>
      </c>
      <c r="P1829" s="4" t="n">
        <v>1</v>
      </c>
      <c r="Q1829" s="4" t="n">
        <v>2366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가로장방</t>
        </is>
      </c>
      <c r="V1829" s="3" t="inlineStr">
        <is>
          <t>세로한면(가)</t>
        </is>
      </c>
    </row>
    <row r="1830">
      <c r="A1830" s="3" t="inlineStr">
        <is>
          <t>연서면 신대리 456-2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72000</v>
      </c>
      <c r="G1830" s="4" t="n">
        <v>2632</v>
      </c>
      <c r="H1830" s="4" t="n">
        <v>796</v>
      </c>
      <c r="I1830" s="5" t="n">
        <v>90.5</v>
      </c>
      <c r="J1830" s="5" t="n">
        <v>22.9</v>
      </c>
      <c r="K1830" s="3" t="inlineStr">
        <is>
          <t>대토용,투자용 적합</t>
        </is>
      </c>
      <c r="L1830" s="6">
        <f>HYPERLINK("https://fin.land.naver.com/articles/2653703409", "매물Link")</f>
        <v/>
      </c>
      <c r="M1830" s="6">
        <f>HYPERLINK("https://map.naver.com/p/search/연서면 신대리 456-2", "지도Link")</f>
        <v/>
      </c>
      <c r="N1830" s="6">
        <f>HYPERLINK("http://www.eum.go.kr/web/ar/lu/luLandDet.jsp?pnu=3611036029104560002&amp;isNoScr=script&amp;mode=search", "토지이음")</f>
        <v/>
      </c>
      <c r="O1830" s="3" t="inlineStr">
        <is>
          <t>지원</t>
        </is>
      </c>
      <c r="P1830" s="4" t="n">
        <v>1</v>
      </c>
      <c r="Q1830" s="4" t="n">
        <v>2632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456-2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39800</v>
      </c>
      <c r="G1831" s="4" t="n">
        <v>2632</v>
      </c>
      <c r="H1831" s="4" t="n">
        <v>796</v>
      </c>
      <c r="I1831" s="5" t="n">
        <v>50</v>
      </c>
      <c r="J1831" s="5" t="n">
        <v>22.9</v>
      </c>
      <c r="K1831" s="3" t="inlineStr">
        <is>
          <t>nan</t>
        </is>
      </c>
      <c r="L1831" s="6">
        <f>HYPERLINK("https://fin.land.naver.com/articles/2654271164", "매물Link")</f>
        <v/>
      </c>
      <c r="M1831" s="6">
        <f>HYPERLINK("https://map.naver.com/p/search/연서면 신대리 456-2", "지도Link")</f>
        <v/>
      </c>
      <c r="N1831" s="6">
        <f>HYPERLINK("http://www.eum.go.kr/web/ar/lu/luLandDet.jsp?pnu=3611036029104560002&amp;isNoScr=script&amp;mode=search", "토지이음")</f>
        <v/>
      </c>
      <c r="O1831" s="3" t="inlineStr">
        <is>
          <t>효성</t>
        </is>
      </c>
      <c r="P1831" s="4" t="n">
        <v>1</v>
      </c>
      <c r="Q1831" s="4" t="n">
        <v>2632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458-1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427000</v>
      </c>
      <c r="G1832" s="4" t="n">
        <v>10463</v>
      </c>
      <c r="H1832" s="4" t="n">
        <v>3165</v>
      </c>
      <c r="I1832" s="5" t="n">
        <v>134.9</v>
      </c>
      <c r="J1832" s="5" t="n">
        <v>63.8</v>
      </c>
      <c r="K1832" s="3" t="inlineStr">
        <is>
          <t>세종 국가산단 인근 가치 상승지역 토지 매매</t>
        </is>
      </c>
      <c r="L1832" s="6">
        <f>HYPERLINK("https://fin.land.naver.com/articles/2654049297", "매물Link")</f>
        <v/>
      </c>
      <c r="M1832" s="6">
        <f>HYPERLINK("https://map.naver.com/p/search/연서면 신대리 458-1", "지도Link")</f>
        <v/>
      </c>
      <c r="N1832" s="6">
        <f>HYPERLINK("http://www.eum.go.kr/web/ar/lu/luLandDet.jsp?pnu=3611036029104580001&amp;isNoScr=script&amp;mode=search", "토지이음")</f>
        <v/>
      </c>
      <c r="O1832" s="3" t="inlineStr">
        <is>
          <t>세종비전행정사</t>
        </is>
      </c>
      <c r="P1832" s="4" t="n">
        <v>1</v>
      </c>
      <c r="Q1832" s="4" t="n">
        <v>4780</v>
      </c>
      <c r="R1832" s="3" t="inlineStr">
        <is>
          <t>지정되지않음</t>
        </is>
      </c>
      <c r="S1832" s="3" t="inlineStr">
        <is>
          <t>주거기타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세로한면(가)</t>
        </is>
      </c>
    </row>
    <row r="1833">
      <c r="A1833" s="3" t="inlineStr">
        <is>
          <t>연서면 신대리 469-44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41800</v>
      </c>
      <c r="G1833" s="4" t="n">
        <v>540</v>
      </c>
      <c r="H1833" s="4" t="n">
        <v>163</v>
      </c>
      <c r="I1833" s="5" t="n">
        <v>256.4</v>
      </c>
      <c r="J1833" s="5" t="n">
        <v>66</v>
      </c>
      <c r="K1833" s="3" t="inlineStr">
        <is>
          <t>남향,전원주택지추천,계획관리,고복저수지인접</t>
        </is>
      </c>
      <c r="L1833" s="6">
        <f>HYPERLINK("https://fin.land.naver.com/articles/2652355894", "매물Link")</f>
        <v/>
      </c>
      <c r="M1833" s="6">
        <f>HYPERLINK("https://map.naver.com/p/search/연서면 신대리 469-44", "지도Link")</f>
        <v/>
      </c>
      <c r="N1833" s="6">
        <f>HYPERLINK("http://www.eum.go.kr/web/ar/lu/luLandDet.jsp?pnu=3611036029104690044&amp;isNoScr=script&amp;mode=search", "토지이음")</f>
        <v/>
      </c>
      <c r="O1833" s="3" t="inlineStr">
        <is>
          <t>따뜻한</t>
        </is>
      </c>
      <c r="P1833" s="4" t="n">
        <v>1</v>
      </c>
      <c r="Q1833" s="4" t="n">
        <v>540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49-9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대</t>
        </is>
      </c>
      <c r="E1834" s="3" t="inlineStr">
        <is>
          <t>매매</t>
        </is>
      </c>
      <c r="F1834" s="4" t="n">
        <v>60000</v>
      </c>
      <c r="G1834" s="4" t="n">
        <v>2512</v>
      </c>
      <c r="H1834" s="4" t="n">
        <v>760</v>
      </c>
      <c r="I1834" s="5" t="n">
        <v>78.90000000000001</v>
      </c>
      <c r="J1834" s="5" t="n">
        <v>31.4</v>
      </c>
      <c r="K1834" s="3" t="inlineStr">
        <is>
          <t>농지 매물 연서면 신대리 2,512㎡ 답 매매</t>
        </is>
      </c>
      <c r="L1834" s="6">
        <f>HYPERLINK("https://fin.land.naver.com/articles/2651605840", "매물Link")</f>
        <v/>
      </c>
      <c r="M1834" s="6">
        <f>HYPERLINK("https://map.naver.com/p/search/연서면 신대리 49-9", "지도Link")</f>
        <v/>
      </c>
      <c r="N1834" s="6">
        <f>HYPERLINK("http://www.eum.go.kr/web/ar/lu/luLandDet.jsp?pnu=3611036029100490009&amp;isNoScr=script&amp;mode=search", "토지이음")</f>
        <v/>
      </c>
      <c r="O1834" s="3" t="inlineStr">
        <is>
          <t>세종몽땅</t>
        </is>
      </c>
      <c r="P1834" s="4" t="n">
        <v>1</v>
      </c>
      <c r="Q1834" s="4" t="n">
        <v>2512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신대리 537</t>
        </is>
      </c>
      <c r="B1835" s="3" t="inlineStr">
        <is>
          <t>계획관리지역</t>
        </is>
      </c>
      <c r="C1835" s="3" t="inlineStr">
        <is>
          <t>전</t>
        </is>
      </c>
      <c r="D1835" s="3" t="inlineStr">
        <is>
          <t>대</t>
        </is>
      </c>
      <c r="E1835" s="3" t="inlineStr">
        <is>
          <t>매매</t>
        </is>
      </c>
      <c r="F1835" s="4" t="n">
        <v>60350</v>
      </c>
      <c r="G1835" s="4" t="n">
        <v>1147</v>
      </c>
      <c r="H1835" s="4" t="n">
        <v>347</v>
      </c>
      <c r="I1835" s="5" t="n">
        <v>173.9</v>
      </c>
      <c r="J1835" s="5" t="n">
        <v>38.1</v>
      </c>
      <c r="K1835" s="3" t="inlineStr">
        <is>
          <t>2차선도로에 접해있으며 인접 도로 여건이 양호</t>
        </is>
      </c>
      <c r="L1835" s="6">
        <f>HYPERLINK("https://fin.land.naver.com/articles/2655183784", "매물Link")</f>
        <v/>
      </c>
      <c r="M1835" s="6">
        <f>HYPERLINK("https://map.naver.com/p/search/연서면 신대리 537", "지도Link")</f>
        <v/>
      </c>
      <c r="N1835" s="6">
        <f>HYPERLINK("http://www.eum.go.kr/web/ar/lu/luLandDet.jsp?pnu=3611036029105370000&amp;isNoScr=script&amp;mode=search", "토지이음")</f>
        <v/>
      </c>
      <c r="O1835" s="3" t="inlineStr">
        <is>
          <t>더KEY</t>
        </is>
      </c>
      <c r="P1835" s="4" t="n">
        <v>1</v>
      </c>
      <c r="Q1835" s="4" t="n">
        <v>1174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소로한면</t>
        </is>
      </c>
    </row>
    <row r="1836">
      <c r="A1836" s="3" t="inlineStr">
        <is>
          <t>연서면 신대리 75-1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43700</v>
      </c>
      <c r="G1836" s="4" t="n">
        <v>1928</v>
      </c>
      <c r="H1836" s="4" t="n">
        <v>583</v>
      </c>
      <c r="I1836" s="5" t="n">
        <v>75</v>
      </c>
      <c r="J1836" s="5" t="n">
        <v>31.7</v>
      </c>
      <c r="K1836" s="3" t="inlineStr">
        <is>
          <t>2차선 도로에 접해 있는 세종 스마트 산업단지 인근의 투자용 토지</t>
        </is>
      </c>
      <c r="L1836" s="6">
        <f>HYPERLINK("https://fin.land.naver.com/articles/2653003595", "매물Link")</f>
        <v/>
      </c>
      <c r="M1836" s="6">
        <f>HYPERLINK("https://map.naver.com/p/search/연서면 신대리 75-1", "지도Link")</f>
        <v/>
      </c>
      <c r="N1836" s="6">
        <f>HYPERLINK("http://www.eum.go.kr/web/ar/lu/luLandDet.jsp?pnu=3611036029100750001&amp;isNoScr=script&amp;mode=search", "토지이음")</f>
        <v/>
      </c>
      <c r="O1836" s="3" t="inlineStr">
        <is>
          <t>스마일세종</t>
        </is>
      </c>
      <c r="P1836" s="4" t="n">
        <v>1</v>
      </c>
      <c r="Q1836" s="4" t="n">
        <v>1928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75-1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110000</v>
      </c>
      <c r="G1837" s="4" t="n">
        <v>4973</v>
      </c>
      <c r="H1837" s="4" t="n">
        <v>1504</v>
      </c>
      <c r="I1837" s="5" t="n">
        <v>73.09999999999999</v>
      </c>
      <c r="J1837" s="5" t="n">
        <v>31.7</v>
      </c>
      <c r="K1837" s="3" t="inlineStr">
        <is>
          <t>연서면 국가 산단 인근 2차선접한 토지 급매</t>
        </is>
      </c>
      <c r="L1837" s="6">
        <f>HYPERLINK("https://fin.land.naver.com/articles/2655629429", "매물Link")</f>
        <v/>
      </c>
      <c r="M1837" s="6">
        <f>HYPERLINK("https://map.naver.com/p/search/연서면 신대리 75-1", "지도Link")</f>
        <v/>
      </c>
      <c r="N1837" s="6">
        <f>HYPERLINK("http://www.eum.go.kr/web/ar/lu/luLandDet.jsp?pnu=3611036029100750001&amp;isNoScr=script&amp;mode=search", "토지이음")</f>
        <v/>
      </c>
      <c r="O1837" s="3" t="inlineStr">
        <is>
          <t>(주)경진컨설팅</t>
        </is>
      </c>
      <c r="P1837" s="4" t="n">
        <v>1</v>
      </c>
      <c r="Q1837" s="4" t="n">
        <v>1928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세로한면(가)</t>
        </is>
      </c>
    </row>
    <row r="1838">
      <c r="A1838" s="3" t="inlineStr">
        <is>
          <t>연서면 신대리 75-2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69000</v>
      </c>
      <c r="G1838" s="4" t="n">
        <v>3045</v>
      </c>
      <c r="H1838" s="4" t="n">
        <v>921</v>
      </c>
      <c r="I1838" s="5" t="n">
        <v>74.90000000000001</v>
      </c>
      <c r="J1838" s="5" t="n">
        <v>31.7</v>
      </c>
      <c r="K1838" s="3" t="inlineStr">
        <is>
          <t>세종 스마트 국가산업단지가 예정 돼 있어 향후 투자가치가 높은 토지입니다</t>
        </is>
      </c>
      <c r="L1838" s="6">
        <f>HYPERLINK("https://fin.land.naver.com/articles/2655540085", "매물Link")</f>
        <v/>
      </c>
      <c r="M1838" s="6">
        <f>HYPERLINK("https://map.naver.com/p/search/연서면 신대리 75-2", "지도Link")</f>
        <v/>
      </c>
      <c r="N1838" s="6">
        <f>HYPERLINK("http://www.eum.go.kr/web/ar/lu/luLandDet.jsp?pnu=3611036029100750002&amp;isNoScr=script&amp;mode=search",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3045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산100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75000</v>
      </c>
      <c r="G1839" s="4" t="n">
        <v>6645</v>
      </c>
      <c r="H1839" s="4" t="n">
        <v>2010</v>
      </c>
      <c r="I1839" s="5" t="n">
        <v>37.3</v>
      </c>
      <c r="J1839" s="5" t="n">
        <v>8.5</v>
      </c>
      <c r="K1839" s="3" t="inlineStr">
        <is>
          <t>해구토말형 임야,귀한 명당 자리</t>
        </is>
      </c>
      <c r="L1839" s="6">
        <f>HYPERLINK("https://fin.land.naver.com/articles/2651709533", "매물Link")</f>
        <v/>
      </c>
      <c r="M1839" s="6">
        <f>HYPERLINK("https://map.naver.com/p/search/연서면 신대리 산100", "지도Link")</f>
        <v/>
      </c>
      <c r="N1839" s="6">
        <f>HYPERLINK("http://www.eum.go.kr/web/ar/lu/luLandDet.jsp?pnu=3611036029201000000&amp;isNoScr=script&amp;mode=search", "토지이음")</f>
        <v/>
      </c>
      <c r="O1839" s="3" t="inlineStr">
        <is>
          <t>가치잇는</t>
        </is>
      </c>
      <c r="P1839" s="4" t="n">
        <v>1</v>
      </c>
      <c r="Q1839" s="4" t="n">
        <v>6645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급경사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신대리 산19-5</t>
        </is>
      </c>
      <c r="B1840" s="3" t="inlineStr">
        <is>
          <t>보전관리지역</t>
        </is>
      </c>
      <c r="C1840" s="3" t="inlineStr">
        <is>
          <t>임야</t>
        </is>
      </c>
      <c r="D1840" s="3" t="inlineStr">
        <is>
          <t>임야</t>
        </is>
      </c>
      <c r="E1840" s="3" t="inlineStr">
        <is>
          <t>매매</t>
        </is>
      </c>
      <c r="F1840" s="4" t="n">
        <v>197000</v>
      </c>
      <c r="G1840" s="4" t="n">
        <v>8142</v>
      </c>
      <c r="H1840" s="4" t="n">
        <v>2463</v>
      </c>
      <c r="I1840" s="5" t="n">
        <v>80</v>
      </c>
      <c r="J1840" s="5" t="n">
        <v>4.6</v>
      </c>
      <c r="K1840" s="3" t="inlineStr">
        <is>
          <t>전원주택및다용도</t>
        </is>
      </c>
      <c r="L1840" s="6">
        <f>HYPERLINK("https://fin.land.naver.com/articles/2654781394", "매물Link")</f>
        <v/>
      </c>
      <c r="M1840" s="6">
        <f>HYPERLINK("https://map.naver.com/p/search/연서면 신대리 산19-5", "지도Link")</f>
        <v/>
      </c>
      <c r="N1840" s="6">
        <f>HYPERLINK("http://www.eum.go.kr/web/ar/lu/luLandDet.jsp?pnu=3611036029200190005&amp;isNoScr=script&amp;mode=search", "토지이음")</f>
        <v/>
      </c>
      <c r="O1840" s="3" t="inlineStr">
        <is>
          <t>지성</t>
        </is>
      </c>
      <c r="P1840" s="4" t="n">
        <v>1</v>
      </c>
      <c r="Q1840" s="4" t="n">
        <v>8142</v>
      </c>
      <c r="R1840" s="3" t="inlineStr">
        <is>
          <t>지정되지않음</t>
        </is>
      </c>
      <c r="S1840" s="3" t="inlineStr">
        <is>
          <t>자연림</t>
        </is>
      </c>
      <c r="T1840" s="3" t="inlineStr">
        <is>
          <t>급경사</t>
        </is>
      </c>
      <c r="U1840" s="3" t="inlineStr">
        <is>
          <t>부정형</t>
        </is>
      </c>
      <c r="V1840" s="3" t="inlineStr">
        <is>
          <t>세로한면(불)</t>
        </is>
      </c>
    </row>
    <row r="1841">
      <c r="A1841" s="3" t="inlineStr">
        <is>
          <t>연서면 신대리 산54-1</t>
        </is>
      </c>
      <c r="B1841" s="3" t="inlineStr">
        <is>
          <t>보전관리지역</t>
        </is>
      </c>
      <c r="C1841" s="3" t="inlineStr">
        <is>
          <t>임야</t>
        </is>
      </c>
      <c r="D1841" s="3" t="inlineStr">
        <is>
          <t>임야</t>
        </is>
      </c>
      <c r="E1841" s="3" t="inlineStr">
        <is>
          <t>매매</t>
        </is>
      </c>
      <c r="F1841" s="4" t="n">
        <v>130000</v>
      </c>
      <c r="G1841" s="4" t="n">
        <v>6171</v>
      </c>
      <c r="H1841" s="4" t="n">
        <v>1867</v>
      </c>
      <c r="I1841" s="5" t="n">
        <v>69.59999999999999</v>
      </c>
      <c r="J1841" s="5" t="n">
        <v>4.7</v>
      </c>
      <c r="K1841" s="3" t="inlineStr">
        <is>
          <t>국가산단옆,취락지구,계획관리포함됨,도로접, 가격조정가.</t>
        </is>
      </c>
      <c r="L1841" s="6">
        <f>HYPERLINK("https://fin.land.naver.com/articles/2655734390", "매물Link")</f>
        <v/>
      </c>
      <c r="M1841" s="6">
        <f>HYPERLINK("https://map.naver.com/p/search/연서면 신대리 산54-1", "지도Link")</f>
        <v/>
      </c>
      <c r="N1841" s="6">
        <f>HYPERLINK("http://www.eum.go.kr/web/ar/lu/luLandDet.jsp?pnu=3611036029200540001&amp;isNoScr=script&amp;mode=search", "토지이음")</f>
        <v/>
      </c>
      <c r="O1841" s="3" t="inlineStr">
        <is>
          <t>카톡</t>
        </is>
      </c>
      <c r="P1841" s="4" t="n">
        <v>1</v>
      </c>
      <c r="Q1841" s="4" t="n">
        <v>5455</v>
      </c>
      <c r="R1841" s="3" t="inlineStr">
        <is>
          <t>계획관리지역</t>
        </is>
      </c>
      <c r="S1841" s="3" t="inlineStr">
        <is>
          <t>자연림</t>
        </is>
      </c>
      <c r="T1841" s="3" t="inlineStr">
        <is>
          <t>급경사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신대리 산64-13</t>
        </is>
      </c>
      <c r="B1842" s="3" t="inlineStr">
        <is>
          <t>계획관리지역</t>
        </is>
      </c>
      <c r="C1842" s="3" t="inlineStr">
        <is>
          <t>임야</t>
        </is>
      </c>
      <c r="D1842" s="3" t="inlineStr">
        <is>
          <t>임야</t>
        </is>
      </c>
      <c r="E1842" s="3" t="inlineStr">
        <is>
          <t>매매</t>
        </is>
      </c>
      <c r="F1842" s="4" t="n">
        <v>185400</v>
      </c>
      <c r="G1842" s="4" t="n">
        <v>3064</v>
      </c>
      <c r="H1842" s="4" t="n">
        <v>927</v>
      </c>
      <c r="I1842" s="5" t="n">
        <v>200</v>
      </c>
      <c r="J1842" s="5" t="n">
        <v>6.6</v>
      </c>
      <c r="K1842" s="3" t="inlineStr">
        <is>
          <t>연서면 신대리 토지 매매</t>
        </is>
      </c>
      <c r="L1842" s="6">
        <f>HYPERLINK("https://fin.land.naver.com/articles/2653008123", "매물Link")</f>
        <v/>
      </c>
      <c r="M1842" s="6">
        <f>HYPERLINK("https://map.naver.com/p/search/연서면 신대리 산64-13", "지도Link")</f>
        <v/>
      </c>
      <c r="N1842" s="6">
        <f>HYPERLINK("http://www.eum.go.kr/web/ar/lu/luLandDet.jsp?pnu=3611036029200640013&amp;isNoScr=script&amp;mode=search", "토지이음")</f>
        <v/>
      </c>
      <c r="O1842" s="3" t="inlineStr">
        <is>
          <t>주식회사넥서스</t>
        </is>
      </c>
      <c r="P1842" s="4" t="n">
        <v>1</v>
      </c>
      <c r="Q1842" s="4" t="n">
        <v>3064</v>
      </c>
      <c r="R1842" s="3" t="inlineStr">
        <is>
          <t>지정되지않음</t>
        </is>
      </c>
      <c r="S1842" s="3" t="inlineStr">
        <is>
          <t>자연림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산64-13</t>
        </is>
      </c>
      <c r="B1843" s="3" t="inlineStr">
        <is>
          <t>계획관리지역</t>
        </is>
      </c>
      <c r="C1843" s="3" t="inlineStr">
        <is>
          <t>임야</t>
        </is>
      </c>
      <c r="D1843" s="3" t="inlineStr">
        <is>
          <t>임야</t>
        </is>
      </c>
      <c r="E1843" s="3" t="inlineStr">
        <is>
          <t>매매</t>
        </is>
      </c>
      <c r="F1843" s="4" t="n">
        <v>185400</v>
      </c>
      <c r="G1843" s="4" t="n">
        <v>3064</v>
      </c>
      <c r="H1843" s="4" t="n">
        <v>927</v>
      </c>
      <c r="I1843" s="5" t="n">
        <v>200</v>
      </c>
      <c r="J1843" s="5" t="n">
        <v>6.6</v>
      </c>
      <c r="K1843" s="3" t="inlineStr">
        <is>
          <t>연서면 신대리 토지 매매</t>
        </is>
      </c>
      <c r="L1843" s="6">
        <f>HYPERLINK("https://fin.land.naver.com/articles/2653301226", "매물Link")</f>
        <v/>
      </c>
      <c r="M1843" s="6">
        <f>HYPERLINK("https://map.naver.com/p/search/연서면 신대리 산64-13", "지도Link")</f>
        <v/>
      </c>
      <c r="N1843" s="6">
        <f>HYPERLINK("http://www.eum.go.kr/web/ar/lu/luLandDet.jsp?pnu=3611036029200640013&amp;isNoScr=script&amp;mode=search", "토지이음")</f>
        <v/>
      </c>
      <c r="O1843" s="3" t="inlineStr">
        <is>
          <t>주식회사넥서스</t>
        </is>
      </c>
      <c r="P1843" s="4" t="n">
        <v>1</v>
      </c>
      <c r="Q1843" s="4" t="n">
        <v>3064</v>
      </c>
      <c r="R1843" s="3" t="inlineStr">
        <is>
          <t>지정되지않음</t>
        </is>
      </c>
      <c r="S1843" s="3" t="inlineStr">
        <is>
          <t>자연림</t>
        </is>
      </c>
      <c r="T1843" s="3" t="inlineStr">
        <is>
          <t>완경사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산64-15</t>
        </is>
      </c>
      <c r="B1844" s="3" t="inlineStr">
        <is>
          <t>계획관리지역</t>
        </is>
      </c>
      <c r="C1844" s="3" t="inlineStr">
        <is>
          <t>임야</t>
        </is>
      </c>
      <c r="D1844" s="3" t="inlineStr">
        <is>
          <t>임야</t>
        </is>
      </c>
      <c r="E1844" s="3" t="inlineStr">
        <is>
          <t>매매</t>
        </is>
      </c>
      <c r="F1844" s="4" t="n">
        <v>67000</v>
      </c>
      <c r="G1844" s="4" t="n">
        <v>1395</v>
      </c>
      <c r="H1844" s="4" t="n">
        <v>422</v>
      </c>
      <c r="I1844" s="5" t="n">
        <v>158.8</v>
      </c>
      <c r="J1844" s="5" t="n">
        <v>45.6</v>
      </c>
      <c r="K1844" s="3" t="inlineStr">
        <is>
          <t>계획관리 네모 반듯한 임야. 주택 근생 공장 창고 가능 넓은 도로</t>
        </is>
      </c>
      <c r="L1844" s="6">
        <f>HYPERLINK("https://fin.land.naver.com/articles/2652124954", "매물Link")</f>
        <v/>
      </c>
      <c r="M1844" s="6">
        <f>HYPERLINK("https://map.naver.com/p/search/연서면 신대리 산64-15", "지도Link")</f>
        <v/>
      </c>
      <c r="N1844" s="6">
        <f>HYPERLINK("http://www.eum.go.kr/web/ar/lu/luLandDet.jsp?pnu=3611036029200640015&amp;isNoScr=script&amp;mode=search",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1304</v>
      </c>
      <c r="R1844" s="3" t="inlineStr">
        <is>
          <t>지정되지않음</t>
        </is>
      </c>
      <c r="S1844" s="3" t="inlineStr">
        <is>
          <t>전기타</t>
        </is>
      </c>
      <c r="T1844" s="3" t="inlineStr">
        <is>
          <t>완경사</t>
        </is>
      </c>
      <c r="U1844" s="3" t="inlineStr">
        <is>
          <t>사다리형</t>
        </is>
      </c>
      <c r="V1844" s="3" t="inlineStr">
        <is>
          <t>세로한면(가)</t>
        </is>
      </c>
    </row>
    <row r="1845">
      <c r="A1845" s="3" t="inlineStr">
        <is>
          <t>연서면 쌍류리 101-10</t>
        </is>
      </c>
      <c r="B1845" s="3" t="inlineStr">
        <is>
          <t>생산관리지역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16000</v>
      </c>
      <c r="G1845" s="4" t="n">
        <v>413</v>
      </c>
      <c r="H1845" s="4" t="n">
        <v>125</v>
      </c>
      <c r="I1845" s="5" t="n">
        <v>128</v>
      </c>
      <c r="J1845" s="5" t="n">
        <v>31.2</v>
      </c>
      <c r="K1845" s="3" t="inlineStr">
        <is>
          <t>체류형쉼터강추,도로접,국유지사용가,도로지분33제곱별도면적포함가</t>
        </is>
      </c>
      <c r="L1845" s="6">
        <f>HYPERLINK("https://fin.land.naver.com/articles/2654053916", "매물Link")</f>
        <v/>
      </c>
      <c r="M1845" s="6">
        <f>HYPERLINK("https://map.naver.com/p/search/연서면 쌍류리 101-10", "지도Link")</f>
        <v/>
      </c>
      <c r="N1845" s="6">
        <f>HYPERLINK("http://www.eum.go.kr/web/ar/lu/luLandDet.jsp?pnu=3611036026101010010&amp;isNoScr=script&amp;mode=search", "토지이음")</f>
        <v/>
      </c>
      <c r="O1845" s="3" t="inlineStr">
        <is>
          <t>힐스테이트행복</t>
        </is>
      </c>
      <c r="P1845" s="4" t="n">
        <v>1</v>
      </c>
      <c r="Q1845" s="4" t="n">
        <v>413</v>
      </c>
      <c r="R1845" s="3" t="inlineStr">
        <is>
          <t>지정되지않음</t>
        </is>
      </c>
      <c r="S1845" s="3" t="inlineStr">
        <is>
          <t>전기타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쌍류리 101-10</t>
        </is>
      </c>
      <c r="B1846" s="3" t="inlineStr">
        <is>
          <t>생산관리지역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16000</v>
      </c>
      <c r="G1846" s="4" t="n">
        <v>447</v>
      </c>
      <c r="H1846" s="4" t="n">
        <v>135</v>
      </c>
      <c r="I1846" s="5" t="n">
        <v>118.5</v>
      </c>
      <c r="J1846" s="5" t="n">
        <v>31.2</v>
      </c>
      <c r="K1846" s="3" t="inlineStr">
        <is>
          <t>고복저수지인근,4m도로접, 모양좋고 평탄한 농지, 주말농장,체류형쉼터,</t>
        </is>
      </c>
      <c r="L1846" s="6">
        <f>HYPERLINK("https://fin.land.naver.com/articles/2651745421", "매물Link")</f>
        <v/>
      </c>
      <c r="M1846" s="6">
        <f>HYPERLINK("https://map.naver.com/p/search/연서면 쌍류리 101-10", "지도Link")</f>
        <v/>
      </c>
      <c r="N1846" s="6">
        <f>HYPERLINK("http://www.eum.go.kr/web/ar/lu/luLandDet.jsp?pnu=3611036026101010010&amp;isNoScr=script&amp;mode=search", "토지이음")</f>
        <v/>
      </c>
      <c r="O1846" s="3" t="inlineStr">
        <is>
          <t>세종복댕이</t>
        </is>
      </c>
      <c r="P1846" s="4" t="n">
        <v>1</v>
      </c>
      <c r="Q1846" s="4" t="n">
        <v>413</v>
      </c>
      <c r="R1846" s="3" t="inlineStr">
        <is>
          <t>지정되지않음</t>
        </is>
      </c>
      <c r="S1846" s="3" t="inlineStr">
        <is>
          <t>전기타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쌍류리 101-15</t>
        </is>
      </c>
      <c r="B1847" s="3" t="inlineStr">
        <is>
          <t>생산관리지역</t>
        </is>
      </c>
      <c r="C1847" s="3" t="inlineStr">
        <is>
          <t>과수원</t>
        </is>
      </c>
      <c r="D1847" s="3" t="inlineStr">
        <is>
          <t>과수원</t>
        </is>
      </c>
      <c r="E1847" s="3" t="inlineStr">
        <is>
          <t>매매</t>
        </is>
      </c>
      <c r="F1847" s="4" t="n">
        <v>20000</v>
      </c>
      <c r="G1847" s="4" t="n">
        <v>417</v>
      </c>
      <c r="H1847" s="4" t="n">
        <v>126</v>
      </c>
      <c r="I1847" s="5" t="n">
        <v>158.7</v>
      </c>
      <c r="J1847" s="5" t="n">
        <v>31.2</v>
      </c>
      <c r="K1847" s="3" t="inlineStr">
        <is>
          <t>고복저수지 끝자락  나만의 힐링 텃밭 조성 가능,  농막, 정화조 있음</t>
        </is>
      </c>
      <c r="L1847" s="6">
        <f>HYPERLINK("https://fin.land.naver.com/articles/2655629507", "매물Link")</f>
        <v/>
      </c>
      <c r="M1847" s="6">
        <f>HYPERLINK("https://map.naver.com/p/search/연서면 쌍류리 101-15", "지도Link")</f>
        <v/>
      </c>
      <c r="N1847" s="6">
        <f>HYPERLINK("http://www.eum.go.kr/web/ar/lu/luLandDet.jsp?pnu=3611036026101010015&amp;isNoScr=script&amp;mode=search", "토지이음")</f>
        <v/>
      </c>
      <c r="O1847" s="3" t="inlineStr">
        <is>
          <t>현담</t>
        </is>
      </c>
      <c r="P1847" s="4" t="n">
        <v>1</v>
      </c>
      <c r="Q1847" s="4" t="n">
        <v>417</v>
      </c>
      <c r="R1847" s="3" t="inlineStr">
        <is>
          <t>지정되지않음</t>
        </is>
      </c>
      <c r="S1847" s="3" t="inlineStr">
        <is>
          <t>전기타</t>
        </is>
      </c>
      <c r="T1847" s="3" t="inlineStr">
        <is>
          <t>평지</t>
        </is>
      </c>
      <c r="U1847" s="3" t="inlineStr">
        <is>
          <t>사다리형</t>
        </is>
      </c>
      <c r="V1847" s="3" t="inlineStr">
        <is>
          <t>세로한면(가)</t>
        </is>
      </c>
    </row>
    <row r="1848">
      <c r="A1848" s="3" t="inlineStr">
        <is>
          <t>연서면 쌍류리 116</t>
        </is>
      </c>
      <c r="B1848" s="3" t="inlineStr">
        <is>
          <t>생산관리지역</t>
        </is>
      </c>
      <c r="C1848" s="3" t="inlineStr">
        <is>
          <t>과수원</t>
        </is>
      </c>
      <c r="D1848" s="3" t="inlineStr">
        <is>
          <t>과수원</t>
        </is>
      </c>
      <c r="E1848" s="3" t="inlineStr">
        <is>
          <t>매매</t>
        </is>
      </c>
      <c r="F1848" s="4" t="n">
        <v>23800</v>
      </c>
      <c r="G1848" s="4" t="n">
        <v>1959</v>
      </c>
      <c r="H1848" s="4" t="n">
        <v>593</v>
      </c>
      <c r="I1848" s="5" t="n">
        <v>40.1</v>
      </c>
      <c r="J1848" s="5" t="n">
        <v>25.8</v>
      </c>
      <c r="K1848" s="3" t="inlineStr">
        <is>
          <t>급매. 고복저수지 인근 소액토지</t>
        </is>
      </c>
      <c r="L1848" s="6">
        <f>HYPERLINK("https://fin.land.naver.com/articles/2654805339", "매물Link")</f>
        <v/>
      </c>
      <c r="M1848" s="6">
        <f>HYPERLINK("https://map.naver.com/p/search/연서면 쌍류리 116", "지도Link")</f>
        <v/>
      </c>
      <c r="N1848" s="6">
        <f>HYPERLINK("http://www.eum.go.kr/web/ar/lu/luLandDet.jsp?pnu=3611036026101160000&amp;isNoScr=script&amp;mode=search", "토지이음")</f>
        <v/>
      </c>
      <c r="O1848" s="3" t="inlineStr">
        <is>
          <t>강아지풀</t>
        </is>
      </c>
      <c r="P1848" s="4" t="n">
        <v>1</v>
      </c>
      <c r="Q1848" s="4" t="n">
        <v>1959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쌍류리 117</t>
        </is>
      </c>
      <c r="B1849" s="3" t="inlineStr">
        <is>
          <t>생산관리지역</t>
        </is>
      </c>
      <c r="C1849" s="3" t="inlineStr">
        <is>
          <t>과수원</t>
        </is>
      </c>
      <c r="D1849" s="3" t="inlineStr">
        <is>
          <t>과수원</t>
        </is>
      </c>
      <c r="E1849" s="3" t="inlineStr">
        <is>
          <t>매매</t>
        </is>
      </c>
      <c r="F1849" s="4" t="n">
        <v>49500</v>
      </c>
      <c r="G1849" s="4" t="n">
        <v>1022</v>
      </c>
      <c r="H1849" s="4" t="n">
        <v>309</v>
      </c>
      <c r="I1849" s="5" t="n">
        <v>160.2</v>
      </c>
      <c r="J1849" s="5" t="n">
        <v>46</v>
      </c>
      <c r="K1849" s="3" t="inlineStr">
        <is>
          <t>고복저수지근방 2차 도로접,소하천접한 생산,성장관리계획구역 활용도 굿</t>
        </is>
      </c>
      <c r="L1849" s="6">
        <f>HYPERLINK("https://fin.land.naver.com/articles/2650750823", "매물Link")</f>
        <v/>
      </c>
      <c r="M1849" s="6">
        <f>HYPERLINK("https://map.naver.com/p/search/연서면 쌍류리 117", "지도Link")</f>
        <v/>
      </c>
      <c r="N1849" s="6">
        <f>HYPERLINK("http://www.eum.go.kr/web/ar/lu/luLandDet.jsp?pnu=3611036026101170000&amp;isNoScr=script&amp;mode=search", "토지이음")</f>
        <v/>
      </c>
      <c r="O1849" s="3" t="inlineStr">
        <is>
          <t>가경수</t>
        </is>
      </c>
      <c r="P1849" s="4" t="n">
        <v>1</v>
      </c>
      <c r="Q1849" s="4" t="n">
        <v>1022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쌍류리 126-3</t>
        </is>
      </c>
      <c r="B1850" s="3" t="inlineStr">
        <is>
          <t>생산관리지역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92000</v>
      </c>
      <c r="G1850" s="4" t="n">
        <v>1909</v>
      </c>
      <c r="H1850" s="4" t="n">
        <v>577</v>
      </c>
      <c r="I1850" s="5" t="n">
        <v>159.4</v>
      </c>
      <c r="J1850" s="5" t="n">
        <v>46.6</v>
      </c>
      <c r="K1850" s="3" t="inlineStr">
        <is>
          <t>신축주택과 넓은 마당 갖춘 고복저수지 생활권</t>
        </is>
      </c>
      <c r="L1850" s="6">
        <f>HYPERLINK("https://fin.land.naver.com/articles/2653428455", "매물Link")</f>
        <v/>
      </c>
      <c r="M1850" s="6">
        <f>HYPERLINK("https://map.naver.com/p/search/연서면 쌍류리 126-3", "지도Link")</f>
        <v/>
      </c>
      <c r="N1850" s="6">
        <f>HYPERLINK("http://www.eum.go.kr/web/ar/lu/luLandDet.jsp?pnu=3611036026101260003&amp;isNoScr=script&amp;mode=search", "토지이음")</f>
        <v/>
      </c>
      <c r="O1850" s="3" t="inlineStr">
        <is>
          <t>세종소담황금</t>
        </is>
      </c>
      <c r="P1850" s="4" t="n">
        <v>1</v>
      </c>
      <c r="Q1850" s="4" t="n">
        <v>683</v>
      </c>
      <c r="R1850" s="3" t="inlineStr">
        <is>
          <t>지정되지않음</t>
        </is>
      </c>
      <c r="S1850" s="3" t="inlineStr">
        <is>
          <t>단독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세로한면(가)</t>
        </is>
      </c>
    </row>
    <row r="1851">
      <c r="A1851" s="3" t="inlineStr">
        <is>
          <t>연서면 쌍류리 164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35000</v>
      </c>
      <c r="G1851" s="4" t="n">
        <v>1260</v>
      </c>
      <c r="H1851" s="4" t="n">
        <v>381</v>
      </c>
      <c r="I1851" s="5" t="n">
        <v>91.90000000000001</v>
      </c>
      <c r="J1851" s="5" t="n">
        <v>25</v>
      </c>
      <c r="K1851" s="3" t="inlineStr">
        <is>
          <t>세종 연서면 과수원 매매 생산관리지역성장관리계획구역</t>
        </is>
      </c>
      <c r="L1851" s="6">
        <f>HYPERLINK("https://fin.land.naver.com/articles/2651520255", "매물Link")</f>
        <v/>
      </c>
      <c r="M1851" s="6">
        <f>HYPERLINK("https://map.naver.com/p/search/연서면 쌍류리 164", "지도Link")</f>
        <v/>
      </c>
      <c r="N1851" s="6">
        <f>HYPERLINK("http://www.eum.go.kr/web/ar/lu/luLandDet.jsp?pnu=3611036026101640000&amp;isNoScr=script&amp;mode=search", "토지이음")</f>
        <v/>
      </c>
      <c r="O1851" s="3" t="inlineStr">
        <is>
          <t>세종몽땅</t>
        </is>
      </c>
      <c r="P1851" s="4" t="n">
        <v>1</v>
      </c>
      <c r="Q1851" s="4" t="n">
        <v>1260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세로한면(불)</t>
        </is>
      </c>
    </row>
    <row r="1852">
      <c r="A1852" s="3" t="inlineStr">
        <is>
          <t>연서면 쌍류리 164</t>
        </is>
      </c>
      <c r="B1852" s="3" t="inlineStr">
        <is>
          <t>생산관리지역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35000</v>
      </c>
      <c r="G1852" s="4" t="n">
        <v>1260</v>
      </c>
      <c r="H1852" s="4" t="n">
        <v>381</v>
      </c>
      <c r="I1852" s="5" t="n">
        <v>91.90000000000001</v>
      </c>
      <c r="J1852" s="5" t="n">
        <v>25</v>
      </c>
      <c r="K1852" s="3" t="inlineStr">
        <is>
          <t>과수원 매매｜생산관리지역성장관리계획구역</t>
        </is>
      </c>
      <c r="L1852" s="6">
        <f>HYPERLINK("https://fin.land.naver.com/articles/2655619070", "매물Link")</f>
        <v/>
      </c>
      <c r="M1852" s="6">
        <f>HYPERLINK("https://map.naver.com/p/search/연서면 쌍류리 164", "지도Link")</f>
        <v/>
      </c>
      <c r="N1852" s="6">
        <f>HYPERLINK("http://www.eum.go.kr/web/ar/lu/luLandDet.jsp?pnu=3611036026101640000&amp;isNoScr=script&amp;mode=search", "토지이음")</f>
        <v/>
      </c>
      <c r="O1852" s="3" t="inlineStr">
        <is>
          <t>세종몽땅</t>
        </is>
      </c>
      <c r="P1852" s="4" t="n">
        <v>1</v>
      </c>
      <c r="Q1852" s="4" t="n">
        <v>1260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쌍류리 171-3</t>
        </is>
      </c>
      <c r="B1853" s="3" t="inlineStr">
        <is>
          <t>생산관리지역</t>
        </is>
      </c>
      <c r="C1853" s="3" t="inlineStr">
        <is>
          <t>답</t>
        </is>
      </c>
      <c r="D1853" s="3" t="inlineStr">
        <is>
          <t>답</t>
        </is>
      </c>
      <c r="E1853" s="3" t="inlineStr">
        <is>
          <t>매매</t>
        </is>
      </c>
      <c r="F1853" s="4" t="n">
        <v>81000</v>
      </c>
      <c r="G1853" s="4" t="n">
        <v>1978</v>
      </c>
      <c r="H1853" s="4" t="n">
        <v>598</v>
      </c>
      <c r="I1853" s="5" t="n">
        <v>135.5</v>
      </c>
      <c r="J1853" s="5" t="n">
        <v>29.7</v>
      </c>
      <c r="K1853" s="3" t="inlineStr">
        <is>
          <t>농지 매매규모 있는 영농부지 찾는 분 주목</t>
        </is>
      </c>
      <c r="L1853" s="6">
        <f>HYPERLINK("https://fin.land.naver.com/articles/2655620907", "매물Link")</f>
        <v/>
      </c>
      <c r="M1853" s="6">
        <f>HYPERLINK("https://map.naver.com/p/search/연서면 쌍류리 171-3", "지도Link")</f>
        <v/>
      </c>
      <c r="N1853" s="6">
        <f>HYPERLINK("http://www.eum.go.kr/web/ar/lu/luLandDet.jsp?pnu=3611036026101710003&amp;isNoScr=script&amp;mode=search", "토지이음")</f>
        <v/>
      </c>
      <c r="O1853" s="3" t="inlineStr">
        <is>
          <t>세종몽땅</t>
        </is>
      </c>
      <c r="P1853" s="4" t="n">
        <v>1</v>
      </c>
      <c r="Q1853" s="4" t="n">
        <v>1978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쌍류리 224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96300</v>
      </c>
      <c r="G1854" s="4" t="n">
        <v>3183</v>
      </c>
      <c r="H1854" s="4" t="n">
        <v>963</v>
      </c>
      <c r="I1854" s="5" t="n">
        <v>100</v>
      </c>
      <c r="J1854" s="5" t="n">
        <v>35.8</v>
      </c>
      <c r="K1854" s="3" t="inlineStr">
        <is>
          <t>고복저수지, 연기휴게소예정지 인근 생산관리토지</t>
        </is>
      </c>
      <c r="L1854" s="6">
        <f>HYPERLINK("https://fin.land.naver.com/articles/2652041512", "매물Link")</f>
        <v/>
      </c>
      <c r="M1854" s="6">
        <f>HYPERLINK("https://map.naver.com/p/search/연서면 쌍류리 224", "지도Link")</f>
        <v/>
      </c>
      <c r="N1854" s="6">
        <f>HYPERLINK("http://www.eum.go.kr/web/ar/lu/luLandDet.jsp?pnu=3611036026102240000&amp;isNoScr=script&amp;mode=search",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3183</v>
      </c>
      <c r="R1854" s="3" t="inlineStr">
        <is>
          <t>지정되지않음</t>
        </is>
      </c>
      <c r="S1854" s="3" t="inlineStr">
        <is>
          <t>과수원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쌍류리 224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110000</v>
      </c>
      <c r="G1855" s="4" t="n">
        <v>3183</v>
      </c>
      <c r="H1855" s="4" t="n">
        <v>963</v>
      </c>
      <c r="I1855" s="5" t="n">
        <v>114.2</v>
      </c>
      <c r="J1855" s="5" t="n">
        <v>35.8</v>
      </c>
      <c r="K1855" s="3" t="inlineStr">
        <is>
          <t>도로접,땅모양좋습니다,성장관리계획구역,조정가</t>
        </is>
      </c>
      <c r="L1855" s="6">
        <f>HYPERLINK("https://fin.land.naver.com/articles/2650425351", "매물Link")</f>
        <v/>
      </c>
      <c r="M1855" s="6">
        <f>HYPERLINK("https://map.naver.com/p/search/연서면 쌍류리 224", "지도Link")</f>
        <v/>
      </c>
      <c r="N1855" s="6">
        <f>HYPERLINK("http://www.eum.go.kr/web/ar/lu/luLandDet.jsp?pnu=3611036026102240000&amp;isNoScr=script&amp;mode=search",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3183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쌍류리 227-1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160000</v>
      </c>
      <c r="G1856" s="4" t="n">
        <v>3530</v>
      </c>
      <c r="H1856" s="4" t="n">
        <v>1068</v>
      </c>
      <c r="I1856" s="5" t="n">
        <v>149.8</v>
      </c>
      <c r="J1856" s="5" t="n">
        <v>37.7</v>
      </c>
      <c r="K1856" s="3" t="inlineStr">
        <is>
          <t>고복저수지인근,2차선접,투자가치좋아요</t>
        </is>
      </c>
      <c r="L1856" s="6">
        <f>HYPERLINK("https://fin.land.naver.com/articles/2650425575", "매물Link")</f>
        <v/>
      </c>
      <c r="M1856" s="6">
        <f>HYPERLINK("https://map.naver.com/p/search/연서면 쌍류리 227-1", "지도Link")</f>
        <v/>
      </c>
      <c r="N1856" s="6">
        <f>HYPERLINK("http://www.eum.go.kr/web/ar/lu/luLandDet.jsp?pnu=3611036026102270001&amp;isNoScr=script&amp;mode=search", "토지이음")</f>
        <v/>
      </c>
      <c r="O1856" s="3" t="inlineStr">
        <is>
          <t>힐스테이트행복</t>
        </is>
      </c>
      <c r="P1856" s="4" t="n">
        <v>1</v>
      </c>
      <c r="Q1856" s="4" t="n">
        <v>3530</v>
      </c>
      <c r="R1856" s="3" t="inlineStr">
        <is>
          <t>지정되지않음</t>
        </is>
      </c>
      <c r="S1856" s="3" t="inlineStr">
        <is>
          <t>과수원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세로한면(불)</t>
        </is>
      </c>
    </row>
    <row r="1857">
      <c r="A1857" s="3" t="inlineStr">
        <is>
          <t>연서면 쌍류리 227-1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39600</v>
      </c>
      <c r="G1857" s="4" t="n">
        <v>1092</v>
      </c>
      <c r="H1857" s="4" t="n">
        <v>330</v>
      </c>
      <c r="I1857" s="5" t="n">
        <v>120</v>
      </c>
      <c r="J1857" s="5" t="n">
        <v>37.7</v>
      </c>
      <c r="K1857" s="3" t="inlineStr">
        <is>
          <t>도로접함 2필지 일괄매매 현재 과수원 미래가치ok</t>
        </is>
      </c>
      <c r="L1857" s="6">
        <f>HYPERLINK("https://fin.land.naver.com/articles/2650582716", "매물Link")</f>
        <v/>
      </c>
      <c r="M1857" s="6">
        <f>HYPERLINK("https://map.naver.com/p/search/연서면 쌍류리 227-1", "지도Link")</f>
        <v/>
      </c>
      <c r="N1857" s="6">
        <f>HYPERLINK("http://www.eum.go.kr/web/ar/lu/luLandDet.jsp?pnu=3611036026102270001&amp;isNoScr=script&amp;mode=search", "토지이음")</f>
        <v/>
      </c>
      <c r="O1857" s="3" t="inlineStr">
        <is>
          <t>신불당</t>
        </is>
      </c>
      <c r="P1857" s="4" t="n">
        <v>1</v>
      </c>
      <c r="Q1857" s="4" t="n">
        <v>3530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세로한면(불)</t>
        </is>
      </c>
    </row>
    <row r="1858">
      <c r="A1858" s="3" t="inlineStr">
        <is>
          <t>연서면 쌍류리 250</t>
        </is>
      </c>
      <c r="B1858" s="3" t="inlineStr">
        <is>
          <t>계획관리지역</t>
        </is>
      </c>
      <c r="C1858" s="3" t="inlineStr">
        <is>
          <t>과수원</t>
        </is>
      </c>
      <c r="D1858" s="3" t="inlineStr">
        <is>
          <t>전</t>
        </is>
      </c>
      <c r="E1858" s="3" t="inlineStr">
        <is>
          <t>매매</t>
        </is>
      </c>
      <c r="F1858" s="4" t="n">
        <v>80000</v>
      </c>
      <c r="G1858" s="4" t="n">
        <v>2499</v>
      </c>
      <c r="H1858" s="4" t="n">
        <v>756</v>
      </c>
      <c r="I1858" s="5" t="n">
        <v>105.8</v>
      </c>
      <c r="J1858" s="5" t="n">
        <v>37.1</v>
      </c>
      <c r="K1858" s="3" t="inlineStr">
        <is>
          <t>계획관리 양지바른 남향 탁트인 개방감 국가산단 인근으로 투자용추천</t>
        </is>
      </c>
      <c r="L1858" s="6">
        <f>HYPERLINK("https://fin.land.naver.com/articles/2650281221", "매물Link")</f>
        <v/>
      </c>
      <c r="M1858" s="6">
        <f>HYPERLINK("https://map.naver.com/p/search/연서면 쌍류리 250", "지도Link")</f>
        <v/>
      </c>
      <c r="N1858" s="6">
        <f>HYPERLINK("http://www.eum.go.kr/web/ar/lu/luLandDet.jsp?pnu=3611036026102500000&amp;isNoScr=script&amp;mode=search", "토지이음")</f>
        <v/>
      </c>
      <c r="O1858" s="3" t="inlineStr">
        <is>
          <t>더샵엘리프원탑</t>
        </is>
      </c>
      <c r="P1858" s="4" t="n">
        <v>1</v>
      </c>
      <c r="Q1858" s="4" t="n">
        <v>2499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쌍류리 253-1</t>
        </is>
      </c>
      <c r="B1859" s="3" t="inlineStr">
        <is>
          <t>생산관리지역</t>
        </is>
      </c>
      <c r="C1859" s="3" t="inlineStr">
        <is>
          <t>전</t>
        </is>
      </c>
      <c r="D1859" s="3" t="inlineStr">
        <is>
          <t>전</t>
        </is>
      </c>
      <c r="E1859" s="3" t="inlineStr">
        <is>
          <t>매매</t>
        </is>
      </c>
      <c r="F1859" s="4" t="n">
        <v>39300</v>
      </c>
      <c r="G1859" s="4" t="n">
        <v>1002</v>
      </c>
      <c r="H1859" s="4" t="n">
        <v>303</v>
      </c>
      <c r="I1859" s="5" t="n">
        <v>129.7</v>
      </c>
      <c r="J1859" s="5" t="n">
        <v>30.9</v>
      </c>
      <c r="K1859" s="3" t="inlineStr">
        <is>
          <t>고복저수지인근의 도로길게 접한 생산관리 농지, 전원생활,투자를 겸한 자경</t>
        </is>
      </c>
      <c r="L1859" s="6">
        <f>HYPERLINK("https://fin.land.naver.com/articles/2651745431", "매물Link")</f>
        <v/>
      </c>
      <c r="M1859" s="6">
        <f>HYPERLINK("https://map.naver.com/p/search/연서면 쌍류리 253-1", "지도Link")</f>
        <v/>
      </c>
      <c r="N1859" s="6">
        <f>HYPERLINK("http://www.eum.go.kr/web/ar/lu/luLandDet.jsp?pnu=3611036026102530001&amp;isNoScr=script&amp;mode=search", "토지이음")</f>
        <v/>
      </c>
      <c r="O1859" s="3" t="inlineStr">
        <is>
          <t>세종복댕이</t>
        </is>
      </c>
      <c r="P1859" s="4" t="n">
        <v>1</v>
      </c>
      <c r="Q1859" s="4" t="n">
        <v>1002</v>
      </c>
      <c r="R1859" s="3" t="inlineStr">
        <is>
          <t>지정되지않음</t>
        </is>
      </c>
      <c r="S1859" s="3" t="inlineStr">
        <is>
          <t>전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세로각지(가)</t>
        </is>
      </c>
    </row>
    <row r="1860">
      <c r="A1860" s="3" t="inlineStr">
        <is>
          <t>연서면 쌍류리 29-1</t>
        </is>
      </c>
      <c r="B1860" s="3" t="inlineStr">
        <is>
          <t>생산관리지역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38500</v>
      </c>
      <c r="G1860" s="4" t="n">
        <v>1590</v>
      </c>
      <c r="H1860" s="4" t="n">
        <v>481</v>
      </c>
      <c r="I1860" s="5" t="n">
        <v>80</v>
      </c>
      <c r="J1860" s="5" t="n">
        <v>24.9</v>
      </c>
      <c r="K1860" s="3" t="inlineStr">
        <is>
          <t>농막 전기 수도 등이 설치된 복숭아 과수원을 급매로  매매합니다</t>
        </is>
      </c>
      <c r="L1860" s="6">
        <f>HYPERLINK("https://fin.land.naver.com/articles/2655303013", "매물Link")</f>
        <v/>
      </c>
      <c r="M1860" s="6">
        <f>HYPERLINK("https://map.naver.com/p/search/연서면 쌍류리 29-1", "지도Link")</f>
        <v/>
      </c>
      <c r="N1860" s="6">
        <f>HYPERLINK("http://www.eum.go.kr/web/ar/lu/luLandDet.jsp?pnu=3611036026100290001&amp;isNoScr=script&amp;mode=search", "토지이음")</f>
        <v/>
      </c>
      <c r="O1860" s="3" t="inlineStr">
        <is>
          <t>스마일세종</t>
        </is>
      </c>
      <c r="P1860" s="4" t="n">
        <v>2</v>
      </c>
      <c r="Q1860" s="4" t="n">
        <v>1590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쌍류리 304-1</t>
        </is>
      </c>
      <c r="B1861" s="3" t="inlineStr">
        <is>
          <t>계획관리지역</t>
        </is>
      </c>
      <c r="C1861" s="3" t="inlineStr">
        <is>
          <t>공장용지</t>
        </is>
      </c>
      <c r="D1861" s="3" t="inlineStr">
        <is>
          <t>공장용지</t>
        </is>
      </c>
      <c r="E1861" s="3" t="inlineStr">
        <is>
          <t>매매</t>
        </is>
      </c>
      <c r="F1861" s="4" t="n">
        <v>112000</v>
      </c>
      <c r="G1861" s="4" t="n">
        <v>1851</v>
      </c>
      <c r="H1861" s="4" t="n">
        <v>560</v>
      </c>
      <c r="I1861" s="5" t="n">
        <v>200</v>
      </c>
      <c r="J1861" s="5" t="n">
        <v>63.2</v>
      </c>
      <c r="K1861" s="3" t="inlineStr">
        <is>
          <t>공장 있었으나 멸실됨, 공장 창고 또는 근생부지로도 훌륭함</t>
        </is>
      </c>
      <c r="L1861" s="6">
        <f>HYPERLINK("https://fin.land.naver.com/articles/2652040154", "매물Link")</f>
        <v/>
      </c>
      <c r="M1861" s="6">
        <f>HYPERLINK("https://map.naver.com/p/search/연서면 쌍류리 304-1", "지도Link")</f>
        <v/>
      </c>
      <c r="N1861" s="6">
        <f>HYPERLINK("http://www.eum.go.kr/web/ar/lu/luLandDet.jsp?pnu=3611036026103040001&amp;isNoScr=script&amp;mode=search", "토지이음")</f>
        <v/>
      </c>
      <c r="O1861" s="3" t="inlineStr">
        <is>
          <t>미스터홈즈강남지사</t>
        </is>
      </c>
      <c r="P1861" s="4" t="n">
        <v>1</v>
      </c>
      <c r="Q1861" s="4" t="n">
        <v>818</v>
      </c>
      <c r="R1861" s="3" t="inlineStr">
        <is>
          <t>지정되지않음</t>
        </is>
      </c>
      <c r="S1861" s="3" t="inlineStr">
        <is>
          <t>공업용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333-1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70200</v>
      </c>
      <c r="G1862" s="4" t="n">
        <v>2340</v>
      </c>
      <c r="H1862" s="4" t="n">
        <v>708</v>
      </c>
      <c r="I1862" s="5" t="n">
        <v>99.2</v>
      </c>
      <c r="J1862" s="5" t="n">
        <v>29.4</v>
      </c>
      <c r="K1862" s="3" t="inlineStr">
        <is>
          <t>연서면 쌍류리 2차선변 과수원 매매</t>
        </is>
      </c>
      <c r="L1862" s="6">
        <f>HYPERLINK("https://fin.land.naver.com/articles/2650946339", "매물Link")</f>
        <v/>
      </c>
      <c r="M1862" s="6">
        <f>HYPERLINK("https://map.naver.com/p/search/연서면 쌍류리 333-1", "지도Link")</f>
        <v/>
      </c>
      <c r="N1862" s="6">
        <f>HYPERLINK("http://www.eum.go.kr/web/ar/lu/luLandDet.jsp?pnu=3611036026103330001&amp;isNoScr=script&amp;mode=search", "토지이음")</f>
        <v/>
      </c>
      <c r="O1862" s="3" t="inlineStr">
        <is>
          <t>길운</t>
        </is>
      </c>
      <c r="P1862" s="4" t="n">
        <v>1</v>
      </c>
      <c r="Q1862" s="4" t="n">
        <v>984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소로한면</t>
        </is>
      </c>
    </row>
    <row r="1863">
      <c r="A1863" s="3" t="inlineStr">
        <is>
          <t>연서면 쌍류리 333-1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36500</v>
      </c>
      <c r="G1863" s="4" t="n">
        <v>1334</v>
      </c>
      <c r="H1863" s="4" t="n">
        <v>404</v>
      </c>
      <c r="I1863" s="5" t="n">
        <v>90.3</v>
      </c>
      <c r="J1863" s="5" t="n">
        <v>29.4</v>
      </c>
      <c r="K1863" s="3" t="inlineStr">
        <is>
          <t>하천, 도로접, 포도농원</t>
        </is>
      </c>
      <c r="L1863" s="6">
        <f>HYPERLINK("https://fin.land.naver.com/articles/2650024525", "매물Link")</f>
        <v/>
      </c>
      <c r="M1863" s="6">
        <f>HYPERLINK("https://map.naver.com/p/search/연서면 쌍류리 333-1", "지도Link")</f>
        <v/>
      </c>
      <c r="N1863" s="6">
        <f>HYPERLINK("http://www.eum.go.kr/web/ar/lu/luLandDet.jsp?pnu=3611036026103330001&amp;isNoScr=script&amp;mode=search", "토지이음")</f>
        <v/>
      </c>
      <c r="O1863" s="3" t="inlineStr">
        <is>
          <t>삼보</t>
        </is>
      </c>
      <c r="P1863" s="4" t="n">
        <v>1</v>
      </c>
      <c r="Q1863" s="4" t="n">
        <v>984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쌍류리 438-1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224640</v>
      </c>
      <c r="G1864" s="4" t="n">
        <v>11404</v>
      </c>
      <c r="H1864" s="4" t="n">
        <v>3450</v>
      </c>
      <c r="I1864" s="5" t="n">
        <v>65.09999999999999</v>
      </c>
      <c r="J1864" s="5" t="n">
        <v>27.4</v>
      </c>
      <c r="K1864" s="3" t="inlineStr">
        <is>
          <t>국가산단 수혜 성장관리계획구역 내 대형 토지 투자 적기</t>
        </is>
      </c>
      <c r="L1864" s="6">
        <f>HYPERLINK("https://fin.land.naver.com/articles/2653501135", "매물Link")</f>
        <v/>
      </c>
      <c r="M1864" s="6">
        <f>HYPERLINK("https://map.naver.com/p/search/연서면 쌍류리 438-1", "지도Link")</f>
        <v/>
      </c>
      <c r="N1864" s="6">
        <f>HYPERLINK("http://www.eum.go.kr/web/ar/lu/luLandDet.jsp?pnu=3611036026104380001&amp;isNoScr=script&amp;mode=search", "토지이음")</f>
        <v/>
      </c>
      <c r="O1864" s="3" t="inlineStr">
        <is>
          <t>연서</t>
        </is>
      </c>
      <c r="P1864" s="4" t="n">
        <v>1</v>
      </c>
      <c r="Q1864" s="4" t="n">
        <v>11425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급경사</t>
        </is>
      </c>
      <c r="U1864" s="3" t="inlineStr">
        <is>
          <t>부정형</t>
        </is>
      </c>
      <c r="V1864" s="3" t="inlineStr">
        <is>
          <t>세로각지(가)</t>
        </is>
      </c>
    </row>
    <row r="1865">
      <c r="A1865" s="3" t="inlineStr">
        <is>
          <t>연서면 쌍류리 451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55680</v>
      </c>
      <c r="G1865" s="4" t="n">
        <v>1534</v>
      </c>
      <c r="H1865" s="4" t="n">
        <v>464</v>
      </c>
      <c r="I1865" s="5" t="n">
        <v>120</v>
      </c>
      <c r="J1865" s="5" t="n">
        <v>23.6</v>
      </c>
      <c r="K1865" s="3" t="inlineStr">
        <is>
          <t>평탄화 작업 완료하여, 전원생활을 위한 원형지를 찾는 분에게 추천</t>
        </is>
      </c>
      <c r="L1865" s="6">
        <f>HYPERLINK("https://fin.land.naver.com/articles/2652093390", "매물Link")</f>
        <v/>
      </c>
      <c r="M1865" s="6">
        <f>HYPERLINK("https://map.naver.com/p/search/연서면 쌍류리 451", "지도Link")</f>
        <v/>
      </c>
      <c r="N1865" s="6">
        <f>HYPERLINK("http://www.eum.go.kr/web/ar/lu/luLandDet.jsp?pnu=3611036026104510000&amp;isNoScr=script&amp;mode=search", "토지이음")</f>
        <v/>
      </c>
      <c r="O1865" s="3" t="inlineStr">
        <is>
          <t>미스터홈즈강남지사</t>
        </is>
      </c>
      <c r="P1865" s="4" t="n">
        <v>1</v>
      </c>
      <c r="Q1865" s="4" t="n">
        <v>1534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급경사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452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7000</v>
      </c>
      <c r="G1866" s="4" t="n">
        <v>495</v>
      </c>
      <c r="H1866" s="4" t="n">
        <v>150</v>
      </c>
      <c r="I1866" s="5" t="n">
        <v>46.7</v>
      </c>
      <c r="J1866" s="5" t="n">
        <v>15.2</v>
      </c>
      <c r="K1866" s="3" t="inlineStr">
        <is>
          <t>세종시 고복저수지 인근 전원마을 내 수요가 많은 활용도 좋은 토지 매매</t>
        </is>
      </c>
      <c r="L1866" s="6">
        <f>HYPERLINK("https://fin.land.naver.com/articles/2655222422", "매물Link")</f>
        <v/>
      </c>
      <c r="M1866" s="6">
        <f>HYPERLINK("https://map.naver.com/p/search/연서면 쌍류리 452", "지도Link")</f>
        <v/>
      </c>
      <c r="N1866" s="6">
        <f>HYPERLINK("http://www.eum.go.kr/web/ar/lu/luLandDet.jsp?pnu=3611036026104520000&amp;isNoScr=script&amp;mode=search", "토지이음")</f>
        <v/>
      </c>
      <c r="O1866" s="3" t="inlineStr">
        <is>
          <t>원탑</t>
        </is>
      </c>
      <c r="P1866" s="4" t="n">
        <v>2</v>
      </c>
      <c r="Q1866" s="4" t="n">
        <v>496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쌍류리 452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7000</v>
      </c>
      <c r="G1867" s="4" t="n">
        <v>496</v>
      </c>
      <c r="H1867" s="4" t="n">
        <v>150</v>
      </c>
      <c r="I1867" s="5" t="n">
        <v>46.7</v>
      </c>
      <c r="J1867" s="5" t="n">
        <v>15.2</v>
      </c>
      <c r="K1867" s="3" t="inlineStr">
        <is>
          <t>세종시 소규모 자본으로 투자 가능한땅,시멘트 포장도로접</t>
        </is>
      </c>
      <c r="L1867" s="6">
        <f>HYPERLINK("https://fin.land.naver.com/articles/2651793617", "매물Link")</f>
        <v/>
      </c>
      <c r="M1867" s="6">
        <f>HYPERLINK("https://map.naver.com/p/search/연서면 쌍류리 452", "지도Link")</f>
        <v/>
      </c>
      <c r="N1867" s="6">
        <f>HYPERLINK("http://www.eum.go.kr/web/ar/lu/luLandDet.jsp?pnu=3611036026104520000&amp;isNoScr=script&amp;mode=search", "토지이음")</f>
        <v/>
      </c>
      <c r="O1867" s="3" t="inlineStr">
        <is>
          <t>킹</t>
        </is>
      </c>
      <c r="P1867" s="4" t="n">
        <v>1</v>
      </c>
      <c r="Q1867" s="4" t="n">
        <v>496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쌍류리 454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20000</v>
      </c>
      <c r="G1868" s="4" t="n">
        <v>1296</v>
      </c>
      <c r="H1868" s="4" t="n">
        <v>392</v>
      </c>
      <c r="I1868" s="5" t="n">
        <v>51</v>
      </c>
      <c r="J1868" s="5" t="n">
        <v>28.9</v>
      </c>
      <c r="K1868" s="3" t="inlineStr">
        <is>
          <t>세종 연서면 쌍류리 생산관리 과수원 매매</t>
        </is>
      </c>
      <c r="L1868" s="6">
        <f>HYPERLINK("https://fin.land.naver.com/articles/2653135471", "매물Link")</f>
        <v/>
      </c>
      <c r="M1868" s="6">
        <f>HYPERLINK("https://map.naver.com/p/search/연서면 쌍류리 454", "지도Link")</f>
        <v/>
      </c>
      <c r="N1868" s="6">
        <f>HYPERLINK("http://www.eum.go.kr/web/ar/lu/luLandDet.jsp?pnu=3611036026104540000&amp;isNoScr=script&amp;mode=search", "토지이음")</f>
        <v/>
      </c>
      <c r="O1868" s="3" t="inlineStr">
        <is>
          <t>세종몽땅</t>
        </is>
      </c>
      <c r="P1868" s="4" t="n">
        <v>1</v>
      </c>
      <c r="Q1868" s="4" t="n">
        <v>1296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459</t>
        </is>
      </c>
      <c r="B1869" s="3" t="inlineStr">
        <is>
          <t>생산관리지역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27000</v>
      </c>
      <c r="G1869" s="4" t="n">
        <v>1983</v>
      </c>
      <c r="H1869" s="4" t="n">
        <v>600</v>
      </c>
      <c r="I1869" s="5" t="n">
        <v>45</v>
      </c>
      <c r="J1869" s="5" t="n">
        <v>23.1</v>
      </c>
      <c r="K1869" s="3" t="inlineStr">
        <is>
          <t>세종 연서면 쌍류리 생산관리 농지 매매</t>
        </is>
      </c>
      <c r="L1869" s="6">
        <f>HYPERLINK("https://fin.land.naver.com/articles/2653135048", "매물Link")</f>
        <v/>
      </c>
      <c r="M1869" s="6">
        <f>HYPERLINK("https://map.naver.com/p/search/연서면 쌍류리 459", "지도Link")</f>
        <v/>
      </c>
      <c r="N1869" s="6">
        <f>HYPERLINK("http://www.eum.go.kr/web/ar/lu/luLandDet.jsp?pnu=3611036026104590000&amp;isNoScr=script&amp;mode=search", "토지이음")</f>
        <v/>
      </c>
      <c r="O1869" s="3" t="inlineStr">
        <is>
          <t>세종몽땅</t>
        </is>
      </c>
      <c r="P1869" s="4" t="n">
        <v>1</v>
      </c>
      <c r="Q1869" s="4" t="n">
        <v>1983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쌍류리 472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28000</v>
      </c>
      <c r="G1870" s="4" t="n">
        <v>714</v>
      </c>
      <c r="H1870" s="4" t="n">
        <v>216</v>
      </c>
      <c r="I1870" s="5" t="n">
        <v>129.6</v>
      </c>
      <c r="J1870" s="5" t="n">
        <v>47</v>
      </c>
      <c r="K1870" s="3" t="inlineStr">
        <is>
          <t>세종 연서면 쌍류리 계획관리 대지 매매</t>
        </is>
      </c>
      <c r="L1870" s="6">
        <f>HYPERLINK("https://fin.land.naver.com/articles/2653136773", "매물Link")</f>
        <v/>
      </c>
      <c r="M1870" s="6">
        <f>HYPERLINK("https://map.naver.com/p/search/연서면 쌍류리 472", "지도Link")</f>
        <v/>
      </c>
      <c r="N1870" s="6">
        <f>HYPERLINK("http://www.eum.go.kr/web/ar/lu/luLandDet.jsp?pnu=3611036026104720000&amp;isNoScr=script&amp;mode=search", "토지이음")</f>
        <v/>
      </c>
      <c r="O1870" s="3" t="inlineStr">
        <is>
          <t>세종몽땅</t>
        </is>
      </c>
      <c r="P1870" s="4" t="n">
        <v>1</v>
      </c>
      <c r="Q1870" s="4" t="n">
        <v>714</v>
      </c>
      <c r="R1870" s="3" t="inlineStr">
        <is>
          <t>지정되지않음</t>
        </is>
      </c>
      <c r="S1870" s="3" t="inlineStr">
        <is>
          <t>단독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세로한면(불)</t>
        </is>
      </c>
    </row>
    <row r="1871">
      <c r="A1871" s="3" t="inlineStr">
        <is>
          <t>연서면 쌍류리 53</t>
        </is>
      </c>
      <c r="B1871" s="3" t="inlineStr">
        <is>
          <t>생산관리지역</t>
        </is>
      </c>
      <c r="C1871" s="3" t="inlineStr">
        <is>
          <t>전</t>
        </is>
      </c>
      <c r="D1871" s="3" t="inlineStr">
        <is>
          <t>전</t>
        </is>
      </c>
      <c r="E1871" s="3" t="inlineStr">
        <is>
          <t>매매</t>
        </is>
      </c>
      <c r="F1871" s="4" t="n">
        <v>57000</v>
      </c>
      <c r="G1871" s="4" t="n">
        <v>2734</v>
      </c>
      <c r="H1871" s="4" t="n">
        <v>827</v>
      </c>
      <c r="I1871" s="5" t="n">
        <v>68.90000000000001</v>
      </c>
      <c r="J1871" s="5" t="n">
        <v>24.9</v>
      </c>
      <c r="K1871" s="3" t="inlineStr">
        <is>
          <t>명성공인, 전용827, 연서면 생산관리 추천 매물</t>
        </is>
      </c>
      <c r="L1871" s="6">
        <f>HYPERLINK("https://fin.land.naver.com/articles/2650266078", "매물Link")</f>
        <v/>
      </c>
      <c r="M1871" s="6">
        <f>HYPERLINK("https://map.naver.com/p/search/연서면 쌍류리 53", "지도Link")</f>
        <v/>
      </c>
      <c r="N1871" s="6">
        <f>HYPERLINK("http://www.eum.go.kr/web/ar/lu/luLandDet.jsp?pnu=3611036026100530000&amp;isNoScr=script&amp;mode=search", "토지이음")</f>
        <v/>
      </c>
      <c r="O1871" s="3" t="inlineStr">
        <is>
          <t>명성</t>
        </is>
      </c>
      <c r="P1871" s="4" t="n">
        <v>2</v>
      </c>
      <c r="Q1871" s="4" t="n">
        <v>2734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완경사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56</t>
        </is>
      </c>
      <c r="B1872" s="3" t="inlineStr">
        <is>
          <t>생산관리지역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27000</v>
      </c>
      <c r="G1872" s="4" t="n">
        <v>1342</v>
      </c>
      <c r="H1872" s="4" t="n">
        <v>406</v>
      </c>
      <c r="I1872" s="5" t="n">
        <v>66.5</v>
      </c>
      <c r="J1872" s="5" t="n">
        <v>22.8</v>
      </c>
      <c r="K1872" s="3" t="inlineStr">
        <is>
          <t>명성공인, 전용406, 연서면 추천 매물</t>
        </is>
      </c>
      <c r="L1872" s="6">
        <f>HYPERLINK("https://fin.land.naver.com/articles/2653839618", "매물Link")</f>
        <v/>
      </c>
      <c r="M1872" s="6">
        <f>HYPERLINK("https://map.naver.com/p/search/연서면 쌍류리 56", "지도Link")</f>
        <v/>
      </c>
      <c r="N1872" s="6">
        <f>HYPERLINK("http://www.eum.go.kr/web/ar/lu/luLandDet.jsp?pnu=3611036026100560000&amp;isNoScr=script&amp;mode=search", "토지이음")</f>
        <v/>
      </c>
      <c r="O1872" s="3" t="inlineStr">
        <is>
          <t>명성</t>
        </is>
      </c>
      <c r="P1872" s="4" t="n">
        <v>1</v>
      </c>
      <c r="Q1872" s="4" t="n">
        <v>1011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완경사</t>
        </is>
      </c>
      <c r="U1872" s="3" t="inlineStr">
        <is>
          <t>부정형</t>
        </is>
      </c>
      <c r="V1872" s="3" t="inlineStr">
        <is>
          <t>세로한면(불)</t>
        </is>
      </c>
    </row>
    <row r="1873">
      <c r="A1873" s="3" t="inlineStr">
        <is>
          <t>연서면 쌍류리 564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10000</v>
      </c>
      <c r="G1873" s="4" t="n">
        <v>1127</v>
      </c>
      <c r="H1873" s="4" t="n">
        <v>341</v>
      </c>
      <c r="I1873" s="5" t="n">
        <v>29.3</v>
      </c>
      <c r="J1873" s="5" t="n">
        <v>22</v>
      </c>
      <c r="K1873" s="3" t="inlineStr">
        <is>
          <t>관리지역 토지매매</t>
        </is>
      </c>
      <c r="L1873" s="6">
        <f>HYPERLINK("https://fin.land.naver.com/articles/2655032815", "매물Link")</f>
        <v/>
      </c>
      <c r="M1873" s="6">
        <f>HYPERLINK("https://map.naver.com/p/search/연서면 쌍류리 564", "지도Link")</f>
        <v/>
      </c>
      <c r="N1873" s="6">
        <f>HYPERLINK("http://www.eum.go.kr/web/ar/lu/luLandDet.jsp?pnu=3611036026105640000&amp;isNoScr=script&amp;mode=search", "토지이음")</f>
        <v/>
      </c>
      <c r="O1873" s="3" t="inlineStr">
        <is>
          <t>세종대박</t>
        </is>
      </c>
      <c r="P1873" s="4" t="n">
        <v>1</v>
      </c>
      <c r="Q1873" s="4" t="n">
        <v>1127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쌍류리 584-1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19160</v>
      </c>
      <c r="G1874" s="4" t="n">
        <v>1056</v>
      </c>
      <c r="H1874" s="4" t="n">
        <v>319</v>
      </c>
      <c r="I1874" s="5" t="n">
        <v>60.1</v>
      </c>
      <c r="J1874" s="5" t="n">
        <v>28.9</v>
      </c>
      <c r="K1874" s="3" t="inlineStr">
        <is>
          <t>세종시에서 1억원대에 투자할수 있는땅</t>
        </is>
      </c>
      <c r="L1874" s="6">
        <f>HYPERLINK("https://fin.land.naver.com/articles/2653381412", "매물Link")</f>
        <v/>
      </c>
      <c r="M1874" s="6">
        <f>HYPERLINK("https://map.naver.com/p/search/연서면 쌍류리 584-1", "지도Link")</f>
        <v/>
      </c>
      <c r="N1874" s="6">
        <f>HYPERLINK("http://www.eum.go.kr/web/ar/lu/luLandDet.jsp?pnu=3611036026105840001&amp;isNoScr=script&amp;mode=search", "토지이음")</f>
        <v/>
      </c>
      <c r="O1874" s="3" t="inlineStr">
        <is>
          <t>킹</t>
        </is>
      </c>
      <c r="P1874" s="4" t="n">
        <v>1</v>
      </c>
      <c r="Q1874" s="4" t="n">
        <v>1056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세로한면(가)</t>
        </is>
      </c>
    </row>
    <row r="1875">
      <c r="A1875" s="3" t="inlineStr">
        <is>
          <t>연서면 쌍류리 584-3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49500</v>
      </c>
      <c r="G1875" s="4" t="n">
        <v>2463</v>
      </c>
      <c r="H1875" s="4" t="n">
        <v>745</v>
      </c>
      <c r="I1875" s="5" t="n">
        <v>66.40000000000001</v>
      </c>
      <c r="J1875" s="5" t="n">
        <v>28.9</v>
      </c>
      <c r="K1875" s="3" t="inlineStr">
        <is>
          <t>도로접한 저렴한 토지매매</t>
        </is>
      </c>
      <c r="L1875" s="6">
        <f>HYPERLINK("https://fin.land.naver.com/articles/2651247524", "매물Link")</f>
        <v/>
      </c>
      <c r="M1875" s="6">
        <f>HYPERLINK("https://map.naver.com/p/search/연서면 쌍류리 584-3", "지도Link")</f>
        <v/>
      </c>
      <c r="N1875" s="6">
        <f>HYPERLINK("http://www.eum.go.kr/web/ar/lu/luLandDet.jsp?pnu=3611036026105840003&amp;isNoScr=script&amp;mode=search", "토지이음")</f>
        <v/>
      </c>
      <c r="O1875" s="3" t="inlineStr">
        <is>
          <t>세종토박이</t>
        </is>
      </c>
      <c r="P1875" s="4" t="n">
        <v>1</v>
      </c>
      <c r="Q1875" s="4" t="n">
        <v>1435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쌍류리 584-3</t>
        </is>
      </c>
      <c r="B1876" s="3" t="inlineStr">
        <is>
          <t>생산관리지역</t>
        </is>
      </c>
      <c r="C1876" s="3" t="inlineStr">
        <is>
          <t>과수원</t>
        </is>
      </c>
      <c r="D1876" s="3" t="inlineStr">
        <is>
          <t>과수원</t>
        </is>
      </c>
      <c r="E1876" s="3" t="inlineStr">
        <is>
          <t>매매</t>
        </is>
      </c>
      <c r="F1876" s="4" t="n">
        <v>45000</v>
      </c>
      <c r="G1876" s="4" t="n">
        <v>2463</v>
      </c>
      <c r="H1876" s="4" t="n">
        <v>745</v>
      </c>
      <c r="I1876" s="5" t="n">
        <v>60.4</v>
      </c>
      <c r="J1876" s="5" t="n">
        <v>28.9</v>
      </c>
      <c r="K1876" s="3" t="inlineStr">
        <is>
          <t>쌍류리 저렴한 토지매매</t>
        </is>
      </c>
      <c r="L1876" s="6">
        <f>HYPERLINK("https://fin.land.naver.com/articles/2653075157", "매물Link")</f>
        <v/>
      </c>
      <c r="M1876" s="6">
        <f>HYPERLINK("https://map.naver.com/p/search/연서면 쌍류리 584-3", "지도Link")</f>
        <v/>
      </c>
      <c r="N1876" s="6">
        <f>HYPERLINK("http://www.eum.go.kr/web/ar/lu/luLandDet.jsp?pnu=3611036026105840003&amp;isNoScr=script&amp;mode=search", "토지이음")</f>
        <v/>
      </c>
      <c r="O1876" s="3" t="inlineStr">
        <is>
          <t>세종땅사랑</t>
        </is>
      </c>
      <c r="P1876" s="4" t="n">
        <v>1</v>
      </c>
      <c r="Q1876" s="4" t="n">
        <v>1435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쌍류리 6-11</t>
        </is>
      </c>
      <c r="B1877" s="3" t="inlineStr">
        <is>
          <t>농림지역</t>
        </is>
      </c>
      <c r="C1877" s="3" t="inlineStr">
        <is>
          <t>임야</t>
        </is>
      </c>
      <c r="D1877" s="3" t="inlineStr">
        <is>
          <t>임야</t>
        </is>
      </c>
      <c r="E1877" s="3" t="inlineStr">
        <is>
          <t>매매</t>
        </is>
      </c>
      <c r="F1877" s="4" t="n">
        <v>46000</v>
      </c>
      <c r="G1877" s="4" t="n">
        <v>6289</v>
      </c>
      <c r="H1877" s="4" t="n">
        <v>1902</v>
      </c>
      <c r="I1877" s="5" t="n">
        <v>24.2</v>
      </c>
      <c r="J1877" s="5" t="n">
        <v>3</v>
      </c>
      <c r="K1877" s="3" t="inlineStr">
        <is>
          <t>연서면 2차선변 야산</t>
        </is>
      </c>
      <c r="L1877" s="6">
        <f>HYPERLINK("https://fin.land.naver.com/articles/2653950245", "매물Link")</f>
        <v/>
      </c>
      <c r="M1877" s="6">
        <f>HYPERLINK("https://map.naver.com/p/search/연서면 쌍류리 6-11", "지도Link")</f>
        <v/>
      </c>
      <c r="N1877" s="6">
        <f>HYPERLINK("http://www.eum.go.kr/web/ar/lu/luLandDet.jsp?pnu=3611036026100060011&amp;isNoScr=script&amp;mode=search", "토지이음")</f>
        <v/>
      </c>
      <c r="O1877" s="3" t="inlineStr">
        <is>
          <t>KB세종</t>
        </is>
      </c>
      <c r="P1877" s="4" t="n">
        <v>1</v>
      </c>
      <c r="Q1877" s="4" t="n">
        <v>6289</v>
      </c>
      <c r="R1877" s="3" t="inlineStr">
        <is>
          <t>보전관리지역</t>
        </is>
      </c>
      <c r="S1877" s="3" t="inlineStr">
        <is>
          <t>자연림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쌍류리 608-4</t>
        </is>
      </c>
      <c r="B1878" s="3" t="inlineStr">
        <is>
          <t>보전관리지역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18000</v>
      </c>
      <c r="G1878" s="4" t="n">
        <v>500</v>
      </c>
      <c r="H1878" s="4" t="n">
        <v>151</v>
      </c>
      <c r="I1878" s="5" t="n">
        <v>119.2</v>
      </c>
      <c r="J1878" s="5" t="n">
        <v>25.4</v>
      </c>
      <c r="K1878" s="3" t="inlineStr">
        <is>
          <t>세종에서 1억원대에 투자할수 있는땅</t>
        </is>
      </c>
      <c r="L1878" s="6">
        <f>HYPERLINK("https://fin.land.naver.com/articles/2653381281", "매물Link")</f>
        <v/>
      </c>
      <c r="M1878" s="6">
        <f>HYPERLINK("https://map.naver.com/p/search/연서면 쌍류리 608-4", "지도Link")</f>
        <v/>
      </c>
      <c r="N1878" s="6">
        <f>HYPERLINK("http://www.eum.go.kr/web/ar/lu/luLandDet.jsp?pnu=3611036026106080004&amp;isNoScr=script&amp;mode=search", "토지이음")</f>
        <v/>
      </c>
      <c r="O1878" s="3" t="inlineStr">
        <is>
          <t>킹</t>
        </is>
      </c>
      <c r="P1878" s="4" t="n">
        <v>1</v>
      </c>
      <c r="Q1878" s="4" t="n">
        <v>500</v>
      </c>
      <c r="R1878" s="3" t="inlineStr">
        <is>
          <t>생산관리지역</t>
        </is>
      </c>
      <c r="S1878" s="3" t="inlineStr">
        <is>
          <t>과수원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세로한면(불)</t>
        </is>
      </c>
    </row>
    <row r="1879">
      <c r="A1879" s="3" t="inlineStr">
        <is>
          <t>연서면 쌍류리 706-99</t>
        </is>
      </c>
      <c r="B1879" s="3" t="inlineStr">
        <is>
          <t>생산관리지역</t>
        </is>
      </c>
      <c r="C1879" s="3" t="inlineStr">
        <is>
          <t>답</t>
        </is>
      </c>
      <c r="D1879" s="3" t="inlineStr">
        <is>
          <t>답</t>
        </is>
      </c>
      <c r="E1879" s="3" t="inlineStr">
        <is>
          <t>매매</t>
        </is>
      </c>
      <c r="F1879" s="4" t="n">
        <v>16300</v>
      </c>
      <c r="G1879" s="4" t="n">
        <v>522</v>
      </c>
      <c r="H1879" s="4" t="n">
        <v>158</v>
      </c>
      <c r="I1879" s="5" t="n">
        <v>103.2</v>
      </c>
      <c r="J1879" s="5" t="n">
        <v>32.8</v>
      </c>
      <c r="K1879" s="3" t="inlineStr">
        <is>
          <t>2차선 도로변의 접근성 좋은 급매 토지</t>
        </is>
      </c>
      <c r="L1879" s="6">
        <f>HYPERLINK("https://fin.land.naver.com/articles/2654839909", "매물Link")</f>
        <v/>
      </c>
      <c r="M1879" s="6">
        <f>HYPERLINK("https://map.naver.com/p/search/연서면 쌍류리 706-99", "지도Link")</f>
        <v/>
      </c>
      <c r="N1879" s="6">
        <f>HYPERLINK("http://www.eum.go.kr/web/ar/lu/luLandDet.jsp?pnu=3611036026107060099&amp;isNoScr=script&amp;mode=search", "토지이음")</f>
        <v/>
      </c>
      <c r="O1879" s="3" t="inlineStr">
        <is>
          <t>용궁</t>
        </is>
      </c>
      <c r="P1879" s="4" t="n">
        <v>1</v>
      </c>
      <c r="Q1879" s="4" t="n">
        <v>314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소로한면</t>
        </is>
      </c>
    </row>
    <row r="1880">
      <c r="A1880" s="3" t="inlineStr">
        <is>
          <t>연서면 쌍류리 706-99</t>
        </is>
      </c>
      <c r="B1880" s="3" t="inlineStr">
        <is>
          <t>생산관리지역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17000</v>
      </c>
      <c r="G1880" s="4" t="n">
        <v>522</v>
      </c>
      <c r="H1880" s="4" t="n">
        <v>158</v>
      </c>
      <c r="I1880" s="5" t="n">
        <v>107.6</v>
      </c>
      <c r="J1880" s="5" t="n">
        <v>32.8</v>
      </c>
      <c r="K1880" s="3" t="inlineStr">
        <is>
          <t>쌍류리 2차선길게 접한 코너각지 위치좋고 저렴한 토지</t>
        </is>
      </c>
      <c r="L1880" s="6">
        <f>HYPERLINK("https://fin.land.naver.com/articles/2651241272", "매물Link")</f>
        <v/>
      </c>
      <c r="M1880" s="6">
        <f>HYPERLINK("https://map.naver.com/p/search/연서면 쌍류리 706-99", "지도Link")</f>
        <v/>
      </c>
      <c r="N1880" s="6">
        <f>HYPERLINK("http://www.eum.go.kr/web/ar/lu/luLandDet.jsp?pnu=3611036026107060099&amp;isNoScr=script&amp;mode=search", "토지이음")</f>
        <v/>
      </c>
      <c r="O1880" s="3" t="inlineStr">
        <is>
          <t>세종땅사랑</t>
        </is>
      </c>
      <c r="P1880" s="4" t="n">
        <v>1</v>
      </c>
      <c r="Q1880" s="4" t="n">
        <v>314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소로한면</t>
        </is>
      </c>
    </row>
    <row r="1881">
      <c r="A1881" s="3" t="inlineStr">
        <is>
          <t>연서면 쌍류리 72</t>
        </is>
      </c>
      <c r="B1881" s="3" t="inlineStr">
        <is>
          <t>계획관리지역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150000</v>
      </c>
      <c r="G1881" s="4" t="n">
        <v>2088</v>
      </c>
      <c r="H1881" s="4" t="n">
        <v>632</v>
      </c>
      <c r="I1881" s="5" t="n">
        <v>237.3</v>
      </c>
      <c r="J1881" s="5" t="n">
        <v>83.09999999999999</v>
      </c>
      <c r="K1881" s="3" t="inlineStr">
        <is>
          <t>인근에서 보기 두문 계획관리 부지</t>
        </is>
      </c>
      <c r="L1881" s="6">
        <f>HYPERLINK("https://fin.land.naver.com/articles/2650344547", "매물Link")</f>
        <v/>
      </c>
      <c r="M1881" s="6">
        <f>HYPERLINK("https://map.naver.com/p/search/연서면 쌍류리 72", "지도Link")</f>
        <v/>
      </c>
      <c r="N1881" s="6">
        <f>HYPERLINK("http://www.eum.go.kr/web/ar/lu/luLandDet.jsp?pnu=3611036026100720000&amp;isNoScr=script&amp;mode=search", "토지이음")</f>
        <v/>
      </c>
      <c r="O1881" s="3" t="inlineStr">
        <is>
          <t>비전</t>
        </is>
      </c>
      <c r="P1881" s="4" t="n">
        <v>2</v>
      </c>
      <c r="Q1881" s="4" t="n">
        <v>650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소로한면</t>
        </is>
      </c>
    </row>
    <row r="1882">
      <c r="A1882" s="3" t="inlineStr">
        <is>
          <t>연서면 쌍류리 94-12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26000</v>
      </c>
      <c r="G1882" s="4" t="n">
        <v>477</v>
      </c>
      <c r="H1882" s="4" t="n">
        <v>144</v>
      </c>
      <c r="I1882" s="5" t="n">
        <v>180.6</v>
      </c>
      <c r="J1882" s="5" t="n">
        <v>30.2</v>
      </c>
      <c r="K1882" s="3" t="inlineStr">
        <is>
          <t>근생 건축허가 및 전기,수도,통신 등 지하와 완료 즉시 신축가능</t>
        </is>
      </c>
      <c r="L1882" s="6">
        <f>HYPERLINK("https://fin.land.naver.com/articles/2654765481", "매물Link")</f>
        <v/>
      </c>
      <c r="M1882" s="6">
        <f>HYPERLINK("https://map.naver.com/p/search/연서면 쌍류리 94-12", "지도Link")</f>
        <v/>
      </c>
      <c r="N1882" s="6">
        <f>HYPERLINK("http://www.eum.go.kr/web/ar/lu/luLandDet.jsp?pnu=3611036026100940012&amp;isNoScr=script&amp;mode=search", "토지이음")</f>
        <v/>
      </c>
      <c r="O1882" s="3" t="inlineStr">
        <is>
          <t>세종나라</t>
        </is>
      </c>
      <c r="P1882" s="4" t="n">
        <v>2</v>
      </c>
      <c r="Q1882" s="4" t="n">
        <v>477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쌍류리 94-12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26560</v>
      </c>
      <c r="G1883" s="4" t="n">
        <v>477</v>
      </c>
      <c r="H1883" s="4" t="n">
        <v>144</v>
      </c>
      <c r="I1883" s="5" t="n">
        <v>184.4</v>
      </c>
      <c r="J1883" s="5" t="n">
        <v>30.2</v>
      </c>
      <c r="K1883" s="3" t="inlineStr">
        <is>
          <t>nan</t>
        </is>
      </c>
      <c r="L1883" s="6">
        <f>HYPERLINK("https://fin.land.naver.com/articles/2650436505", "매물Link")</f>
        <v/>
      </c>
      <c r="M1883" s="6">
        <f>HYPERLINK("https://map.naver.com/p/search/연서면 쌍류리 94-12", "지도Link")</f>
        <v/>
      </c>
      <c r="N1883" s="6">
        <f>HYPERLINK("http://www.eum.go.kr/web/ar/lu/luLandDet.jsp?pnu=3611036026100940012&amp;isNoScr=script&amp;mode=search", "토지이음")</f>
        <v/>
      </c>
      <c r="O1883" s="3" t="inlineStr">
        <is>
          <t>세종소담114</t>
        </is>
      </c>
      <c r="P1883" s="4" t="n">
        <v>1</v>
      </c>
      <c r="Q1883" s="4" t="n">
        <v>477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쌍전리 125-2</t>
        </is>
      </c>
      <c r="B1884" s="3" t="inlineStr">
        <is>
          <t>자연녹지지역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90000</v>
      </c>
      <c r="G1884" s="4" t="n">
        <v>813</v>
      </c>
      <c r="H1884" s="4" t="n">
        <v>246</v>
      </c>
      <c r="I1884" s="5" t="n">
        <v>365.9</v>
      </c>
      <c r="J1884" s="5" t="n">
        <v>74.90000000000001</v>
      </c>
      <c r="K1884" s="3" t="inlineStr">
        <is>
          <t>대지,도시근접</t>
        </is>
      </c>
      <c r="L1884" s="6">
        <f>HYPERLINK("https://fin.land.naver.com/articles/2654366971", "매물Link")</f>
        <v/>
      </c>
      <c r="M1884" s="6">
        <f>HYPERLINK("https://map.naver.com/p/search/연서면 쌍전리 125-2", "지도Link")</f>
        <v/>
      </c>
      <c r="N1884" s="6">
        <f>HYPERLINK("http://www.eum.go.kr/web/ar/lu/luLandDet.jsp?pnu=3611036022101250002&amp;isNoScr=script&amp;mode=search", "토지이음")</f>
        <v/>
      </c>
      <c r="O1884" s="3" t="inlineStr">
        <is>
          <t>평택지제역로얄</t>
        </is>
      </c>
      <c r="P1884" s="4" t="n">
        <v>1</v>
      </c>
      <c r="Q1884" s="4" t="n">
        <v>813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쌍전리 140-2</t>
        </is>
      </c>
      <c r="B1885" s="3" t="inlineStr">
        <is>
          <t>자연녹지지역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27000</v>
      </c>
      <c r="G1885" s="4" t="n">
        <v>700</v>
      </c>
      <c r="H1885" s="4" t="n">
        <v>212</v>
      </c>
      <c r="I1885" s="5" t="n">
        <v>127.4</v>
      </c>
      <c r="J1885" s="5" t="n">
        <v>55.9</v>
      </c>
      <c r="K1885" s="3" t="inlineStr">
        <is>
          <t>토지거래허가구역에서 제외된 토지. 향후 미래가치가 높은 소액투자로 추천.</t>
        </is>
      </c>
      <c r="L1885" s="6">
        <f>HYPERLINK("https://fin.land.naver.com/articles/2655088515", "매물Link")</f>
        <v/>
      </c>
      <c r="M1885" s="6">
        <f>HYPERLINK("https://map.naver.com/p/search/연서면 쌍전리 140-2", "지도Link")</f>
        <v/>
      </c>
      <c r="N1885" s="6">
        <f>HYPERLINK("http://www.eum.go.kr/web/ar/lu/luLandDet.jsp?pnu=3611036022101400002&amp;isNoScr=script&amp;mode=search", "토지이음")</f>
        <v/>
      </c>
      <c r="O1885" s="3" t="inlineStr">
        <is>
          <t>세종대장</t>
        </is>
      </c>
      <c r="P1885" s="4" t="n">
        <v>2</v>
      </c>
      <c r="Q1885" s="4" t="n">
        <v>510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쌍전리 175-14</t>
        </is>
      </c>
      <c r="B1886" s="3" t="inlineStr">
        <is>
          <t>자연녹지지역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40300</v>
      </c>
      <c r="G1886" s="4" t="n">
        <v>635</v>
      </c>
      <c r="H1886" s="4" t="n">
        <v>192</v>
      </c>
      <c r="I1886" s="5" t="n">
        <v>209.9</v>
      </c>
      <c r="J1886" s="5" t="n">
        <v>66.90000000000001</v>
      </c>
      <c r="K1886" s="3" t="inlineStr">
        <is>
          <t>도심근처 주택지 공방,찻집 등이 어울리는 호재성 좋은 토지</t>
        </is>
      </c>
      <c r="L1886" s="6">
        <f>HYPERLINK("https://fin.land.naver.com/articles/2650398102", "매물Link")</f>
        <v/>
      </c>
      <c r="M1886" s="6">
        <f>HYPERLINK("https://map.naver.com/p/search/연서면 쌍전리 175-14", "지도Link")</f>
        <v/>
      </c>
      <c r="N1886" s="6">
        <f>HYPERLINK("http://www.eum.go.kr/web/ar/lu/luLandDet.jsp?pnu=3611036022101750014&amp;isNoScr=script&amp;mode=search",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518</v>
      </c>
      <c r="R1886" s="3" t="inlineStr">
        <is>
          <t>지정되지않음</t>
        </is>
      </c>
      <c r="S1886" s="3" t="inlineStr">
        <is>
          <t>주거나지</t>
        </is>
      </c>
      <c r="T1886" s="3" t="inlineStr">
        <is>
          <t>완경사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쌍전리 177-1</t>
        </is>
      </c>
      <c r="B1887" s="3" t="inlineStr">
        <is>
          <t>자연녹지지역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39000</v>
      </c>
      <c r="G1887" s="4" t="n">
        <v>630</v>
      </c>
      <c r="H1887" s="4" t="n">
        <v>191</v>
      </c>
      <c r="I1887" s="5" t="n">
        <v>204.2</v>
      </c>
      <c r="J1887" s="5" t="n">
        <v>51.2</v>
      </c>
      <c r="K1887" s="3" t="inlineStr">
        <is>
          <t>과수원 도시지역 자연녹지 630제곱미터 매매 금액협의</t>
        </is>
      </c>
      <c r="L1887" s="6">
        <f>HYPERLINK("https://fin.land.naver.com/articles/2652904184", "매물Link")</f>
        <v/>
      </c>
      <c r="M1887" s="6">
        <f>HYPERLINK("https://map.naver.com/p/search/연서면 쌍전리 177-1", "지도Link")</f>
        <v/>
      </c>
      <c r="N1887" s="6">
        <f>HYPERLINK("http://www.eum.go.kr/web/ar/lu/luLandDet.jsp?pnu=3611036022101770001&amp;isNoScr=script&amp;mode=search", "토지이음")</f>
        <v/>
      </c>
      <c r="O1887" s="3" t="inlineStr">
        <is>
          <t>오송원</t>
        </is>
      </c>
      <c r="P1887" s="4" t="n">
        <v>1</v>
      </c>
      <c r="Q1887" s="4" t="n">
        <v>1260</v>
      </c>
      <c r="R1887" s="3" t="inlineStr">
        <is>
          <t>지정되지않음</t>
        </is>
      </c>
      <c r="S1887" s="3" t="inlineStr">
        <is>
          <t>전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쌍전리 405-4</t>
        </is>
      </c>
      <c r="B1888" s="3" t="inlineStr">
        <is>
          <t>자연녹지지역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81000</v>
      </c>
      <c r="G1888" s="4" t="n">
        <v>1498</v>
      </c>
      <c r="H1888" s="4" t="n">
        <v>453</v>
      </c>
      <c r="I1888" s="5" t="n">
        <v>178.8</v>
      </c>
      <c r="J1888" s="5" t="n">
        <v>24.2</v>
      </c>
      <c r="K1888" s="3" t="inlineStr">
        <is>
          <t>자연녹지 임야 매매</t>
        </is>
      </c>
      <c r="L1888" s="6">
        <f>HYPERLINK("https://fin.land.naver.com/articles/2655032819", "매물Link")</f>
        <v/>
      </c>
      <c r="M1888" s="6">
        <f>HYPERLINK("https://map.naver.com/p/search/연서면 쌍전리 405-4", "지도Link")</f>
        <v/>
      </c>
      <c r="N1888" s="6">
        <f>HYPERLINK("http://www.eum.go.kr/web/ar/lu/luLandDet.jsp?pnu=3611036022104050004&amp;isNoScr=script&amp;mode=search", "토지이음")</f>
        <v/>
      </c>
      <c r="O1888" s="3" t="inlineStr">
        <is>
          <t>세종대박</t>
        </is>
      </c>
      <c r="P1888" s="4" t="n">
        <v>1</v>
      </c>
      <c r="Q1888" s="4" t="n">
        <v>1498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완경사</t>
        </is>
      </c>
      <c r="U1888" s="3" t="inlineStr">
        <is>
          <t>사다리형</t>
        </is>
      </c>
      <c r="V1888" s="3" t="inlineStr">
        <is>
          <t>세로한면(불)</t>
        </is>
      </c>
    </row>
    <row r="1889">
      <c r="A1889" s="3" t="inlineStr">
        <is>
          <t>연서면 쌍전리 419-2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92500</v>
      </c>
      <c r="G1889" s="4" t="n">
        <v>2043</v>
      </c>
      <c r="H1889" s="4" t="n">
        <v>618</v>
      </c>
      <c r="I1889" s="5" t="n">
        <v>149.7</v>
      </c>
      <c r="J1889" s="5" t="n">
        <v>46.5</v>
      </c>
      <c r="K1889" s="3" t="inlineStr">
        <is>
          <t>급매 지대가 높아 조망이 좋은 전원주택지 및 과수원으로 활용</t>
        </is>
      </c>
      <c r="L1889" s="6">
        <f>HYPERLINK("https://fin.land.naver.com/articles/2654812462", "매물Link")</f>
        <v/>
      </c>
      <c r="M1889" s="6">
        <f>HYPERLINK("https://map.naver.com/p/search/연서면 쌍전리 419-2", "지도Link")</f>
        <v/>
      </c>
      <c r="N1889" s="6">
        <f>HYPERLINK("http://www.eum.go.kr/web/ar/lu/luLandDet.jsp?pnu=3611036022104190002&amp;isNoScr=script&amp;mode=search",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2043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쌍전리 427</t>
        </is>
      </c>
      <c r="B1890" s="3" t="inlineStr">
        <is>
          <t>자연녹지지역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62500</v>
      </c>
      <c r="G1890" s="4" t="n">
        <v>820</v>
      </c>
      <c r="H1890" s="4" t="n">
        <v>248</v>
      </c>
      <c r="I1890" s="5" t="n">
        <v>252</v>
      </c>
      <c r="J1890" s="5" t="n">
        <v>87.2</v>
      </c>
      <c r="K1890" s="3" t="inlineStr">
        <is>
          <t>투자용,상세설명참조</t>
        </is>
      </c>
      <c r="L1890" s="6">
        <f>HYPERLINK("https://fin.land.naver.com/articles/2652097120", "매물Link")</f>
        <v/>
      </c>
      <c r="M1890" s="6">
        <f>HYPERLINK("https://map.naver.com/p/search/연서면 쌍전리 427", "지도Link")</f>
        <v/>
      </c>
      <c r="N1890" s="6">
        <f>HYPERLINK("http://www.eum.go.kr/web/ar/lu/luLandDet.jsp?pnu=3611036022104270000&amp;isNoScr=script&amp;mode=search", "토지이음")</f>
        <v/>
      </c>
      <c r="O1890" s="3" t="inlineStr">
        <is>
          <t>지호주식회사</t>
        </is>
      </c>
      <c r="P1890" s="4" t="n">
        <v>1</v>
      </c>
      <c r="Q1890" s="4" t="n">
        <v>820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쌍전리 433-1</t>
        </is>
      </c>
      <c r="B1891" s="3" t="inlineStr">
        <is>
          <t>자연녹지지역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36000</v>
      </c>
      <c r="G1891" s="4" t="n">
        <v>1230</v>
      </c>
      <c r="H1891" s="4" t="n">
        <v>372</v>
      </c>
      <c r="I1891" s="5" t="n">
        <v>96.8</v>
      </c>
      <c r="J1891" s="5" t="n">
        <v>86.3</v>
      </c>
      <c r="K1891" s="3" t="inlineStr">
        <is>
          <t>nan</t>
        </is>
      </c>
      <c r="L1891" s="6">
        <f>HYPERLINK("https://fin.land.naver.com/articles/2655392760", "매물Link")</f>
        <v/>
      </c>
      <c r="M1891" s="6">
        <f>HYPERLINK("https://map.naver.com/p/search/연서면 쌍전리 433-1", "지도Link")</f>
        <v/>
      </c>
      <c r="N1891" s="6">
        <f>HYPERLINK("http://www.eum.go.kr/web/ar/lu/luLandDet.jsp?pnu=3611036022104330001&amp;isNoScr=script&amp;mode=search", "토지이음")</f>
        <v/>
      </c>
      <c r="O1891" s="3" t="inlineStr">
        <is>
          <t>KB세종</t>
        </is>
      </c>
      <c r="P1891" s="4" t="n">
        <v>1</v>
      </c>
      <c r="Q1891" s="4" t="n">
        <v>1230</v>
      </c>
      <c r="R1891" s="3" t="inlineStr">
        <is>
          <t>지정되지않음</t>
        </is>
      </c>
      <c r="S1891" s="3" t="inlineStr">
        <is>
          <t>단독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457-9</t>
        </is>
      </c>
      <c r="B1892" s="3" t="inlineStr">
        <is>
          <t>계획관리지역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105500</v>
      </c>
      <c r="G1892" s="4" t="n">
        <v>1293</v>
      </c>
      <c r="H1892" s="4" t="n">
        <v>391</v>
      </c>
      <c r="I1892" s="5" t="n">
        <v>269.8</v>
      </c>
      <c r="J1892" s="5" t="n">
        <v>49.1</v>
      </c>
      <c r="K1892" s="3" t="inlineStr">
        <is>
          <t>세종시 연서면 농협인근 토지 계획관리.매매</t>
        </is>
      </c>
      <c r="L1892" s="6">
        <f>HYPERLINK("https://fin.land.naver.com/articles/2652504314", "매물Link")</f>
        <v/>
      </c>
      <c r="M1892" s="6">
        <f>HYPERLINK("https://map.naver.com/p/search/연서면 쌍전리 457-9", "지도Link")</f>
        <v/>
      </c>
      <c r="N1892" s="6">
        <f>HYPERLINK("http://www.eum.go.kr/web/ar/lu/luLandDet.jsp?pnu=3611036022104570009&amp;isNoScr=script&amp;mode=search", "토지이음")</f>
        <v/>
      </c>
      <c r="O1892" s="3" t="inlineStr">
        <is>
          <t>동원</t>
        </is>
      </c>
      <c r="P1892" s="4" t="n">
        <v>1</v>
      </c>
      <c r="Q1892" s="4" t="n">
        <v>1293</v>
      </c>
      <c r="R1892" s="3" t="inlineStr">
        <is>
          <t>자연녹지지역</t>
        </is>
      </c>
      <c r="S1892" s="3" t="inlineStr">
        <is>
          <t>전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쌍전리 463-1</t>
        </is>
      </c>
      <c r="B1893" s="3" t="inlineStr">
        <is>
          <t>계획관리지역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86700</v>
      </c>
      <c r="G1893" s="4" t="n">
        <v>957</v>
      </c>
      <c r="H1893" s="4" t="n">
        <v>289</v>
      </c>
      <c r="I1893" s="5" t="n">
        <v>300</v>
      </c>
      <c r="J1893" s="5" t="n">
        <v>44.1</v>
      </c>
      <c r="K1893" s="3" t="inlineStr">
        <is>
          <t>세종스마트국가산단,고복저수지공원 부근. 카페부지 투자용 토지</t>
        </is>
      </c>
      <c r="L1893" s="6">
        <f>HYPERLINK("https://fin.land.naver.com/articles/2654531237", "매물Link")</f>
        <v/>
      </c>
      <c r="M1893" s="6">
        <f>HYPERLINK("https://map.naver.com/p/search/연서면 쌍전리 463-1", "지도Link")</f>
        <v/>
      </c>
      <c r="N1893" s="6">
        <f>HYPERLINK("http://www.eum.go.kr/web/ar/lu/luLandDet.jsp?pnu=3611036022104630001&amp;isNoScr=script&amp;mode=search", "토지이음")</f>
        <v/>
      </c>
      <c r="O1893" s="3" t="inlineStr">
        <is>
          <t>복드림</t>
        </is>
      </c>
      <c r="P1893" s="4" t="n">
        <v>1</v>
      </c>
      <c r="Q1893" s="4" t="n">
        <v>957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세로한면(불)</t>
        </is>
      </c>
    </row>
    <row r="1894">
      <c r="A1894" s="3" t="inlineStr">
        <is>
          <t>연서면 쌍전리 464-3</t>
        </is>
      </c>
      <c r="B1894" s="3" t="inlineStr">
        <is>
          <t>계획관리지역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135000</v>
      </c>
      <c r="G1894" s="4" t="n">
        <v>2626</v>
      </c>
      <c r="H1894" s="4" t="n">
        <v>794</v>
      </c>
      <c r="I1894" s="5" t="n">
        <v>170</v>
      </c>
      <c r="J1894" s="5" t="n">
        <v>44.1</v>
      </c>
      <c r="K1894" s="3" t="inlineStr">
        <is>
          <t>2차선도로와 본 토지 사이에 국유지가 있어 점용허가를 받아 넓게 사용가능</t>
        </is>
      </c>
      <c r="L1894" s="6">
        <f>HYPERLINK("https://fin.land.naver.com/articles/2654526611", "매물Link")</f>
        <v/>
      </c>
      <c r="M1894" s="6">
        <f>HYPERLINK("https://map.naver.com/p/search/연서면 쌍전리 464-3", "지도Link")</f>
        <v/>
      </c>
      <c r="N1894" s="6">
        <f>HYPERLINK("http://www.eum.go.kr/web/ar/lu/luLandDet.jsp?pnu=3611036022104640003&amp;isNoScr=script&amp;mode=search", "토지이음")</f>
        <v/>
      </c>
      <c r="O1894" s="3" t="inlineStr">
        <is>
          <t>스마일세종</t>
        </is>
      </c>
      <c r="P1894" s="4" t="n">
        <v>1</v>
      </c>
      <c r="Q1894" s="4" t="n">
        <v>2626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세로한면(불)</t>
        </is>
      </c>
    </row>
    <row r="1895">
      <c r="A1895" s="3" t="inlineStr">
        <is>
          <t>연서면 쌍전리 513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83000</v>
      </c>
      <c r="G1895" s="4" t="n">
        <v>3454</v>
      </c>
      <c r="H1895" s="4" t="n">
        <v>1045</v>
      </c>
      <c r="I1895" s="5" t="n">
        <v>79.40000000000001</v>
      </c>
      <c r="J1895" s="5" t="n">
        <v>27.2</v>
      </c>
      <c r="K1895" s="3" t="inlineStr">
        <is>
          <t>북세종IC 인근 농림지역으로 투자가치 높고 저렴한 가격인 대토로 추천.</t>
        </is>
      </c>
      <c r="L1895" s="6">
        <f>HYPERLINK("https://fin.land.naver.com/articles/2650939648", "매물Link")</f>
        <v/>
      </c>
      <c r="M1895" s="6">
        <f>HYPERLINK("https://map.naver.com/p/search/연서면 쌍전리 513", "지도Link")</f>
        <v/>
      </c>
      <c r="N1895" s="6">
        <f>HYPERLINK("http://www.eum.go.kr/web/ar/lu/luLandDet.jsp?pnu=3611036022105130000&amp;isNoScr=script&amp;mode=search", "토지이음")</f>
        <v/>
      </c>
      <c r="O1895" s="3" t="inlineStr">
        <is>
          <t>세종대장</t>
        </is>
      </c>
      <c r="P1895" s="4" t="n">
        <v>1</v>
      </c>
      <c r="Q1895" s="4" t="n">
        <v>3454.8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세로장방</t>
        </is>
      </c>
      <c r="V1895" s="3" t="inlineStr">
        <is>
          <t>세로한면(가)</t>
        </is>
      </c>
    </row>
    <row r="1896">
      <c r="A1896" s="3" t="inlineStr">
        <is>
          <t>연서면 쌍전리 580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58000</v>
      </c>
      <c r="G1896" s="4" t="n">
        <v>2557</v>
      </c>
      <c r="H1896" s="4" t="n">
        <v>773</v>
      </c>
      <c r="I1896" s="5" t="n">
        <v>75</v>
      </c>
      <c r="J1896" s="5" t="n">
        <v>28.3</v>
      </c>
      <c r="K1896" s="3" t="inlineStr">
        <is>
          <t>도로접한 농림지역, 인근 북세종IC예정</t>
        </is>
      </c>
      <c r="L1896" s="6">
        <f>HYPERLINK("https://fin.land.naver.com/articles/2655032802", "매물Link")</f>
        <v/>
      </c>
      <c r="M1896" s="6">
        <f>HYPERLINK("https://map.naver.com/p/search/연서면 쌍전리 580", "지도Link")</f>
        <v/>
      </c>
      <c r="N1896" s="6">
        <f>HYPERLINK("http://www.eum.go.kr/web/ar/lu/luLandDet.jsp?pnu=3611036022105800000&amp;isNoScr=script&amp;mode=search",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2557.2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세로장방</t>
        </is>
      </c>
      <c r="V1896" s="3" t="inlineStr">
        <is>
          <t>세로한면(가)</t>
        </is>
      </c>
    </row>
    <row r="1897">
      <c r="A1897" s="3" t="inlineStr">
        <is>
          <t>연서면 쌍전리 584</t>
        </is>
      </c>
      <c r="B1897" s="3" t="inlineStr">
        <is>
          <t>농림지역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136000</v>
      </c>
      <c r="G1897" s="4" t="n">
        <v>5295</v>
      </c>
      <c r="H1897" s="4" t="n">
        <v>1602</v>
      </c>
      <c r="I1897" s="5" t="n">
        <v>84.90000000000001</v>
      </c>
      <c r="J1897" s="5" t="n">
        <v>28.3</v>
      </c>
      <c r="K1897" s="3" t="inlineStr">
        <is>
          <t>대토로도 좋은 도로접한 농지입니다</t>
        </is>
      </c>
      <c r="L1897" s="6">
        <f>HYPERLINK("https://fin.land.naver.com/articles/2652124438", "매물Link")</f>
        <v/>
      </c>
      <c r="M1897" s="6">
        <f>HYPERLINK("https://map.naver.com/p/search/연서면 쌍전리 584", "지도Link")</f>
        <v/>
      </c>
      <c r="N1897" s="6">
        <f>HYPERLINK("http://www.eum.go.kr/web/ar/lu/luLandDet.jsp?pnu=3611036022105840000&amp;isNoScr=script&amp;mode=search", "토지이음")</f>
        <v/>
      </c>
      <c r="O1897" s="3" t="inlineStr">
        <is>
          <t>미스터홈즈강남지사</t>
        </is>
      </c>
      <c r="P1897" s="4" t="n">
        <v>2</v>
      </c>
      <c r="Q1897" s="4" t="n">
        <v>5295.3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세로장방</t>
        </is>
      </c>
      <c r="V1897" s="3" t="inlineStr">
        <is>
          <t>세로한면(가)</t>
        </is>
      </c>
    </row>
    <row r="1898">
      <c r="A1898" s="3" t="inlineStr">
        <is>
          <t>연서면 쌍전리 619</t>
        </is>
      </c>
      <c r="B1898" s="3" t="inlineStr">
        <is>
          <t>농림지역</t>
        </is>
      </c>
      <c r="C1898" s="3" t="inlineStr">
        <is>
          <t>답</t>
        </is>
      </c>
      <c r="D1898" s="3" t="inlineStr">
        <is>
          <t>답</t>
        </is>
      </c>
      <c r="E1898" s="3" t="inlineStr">
        <is>
          <t>매매</t>
        </is>
      </c>
      <c r="F1898" s="4" t="n">
        <v>120000</v>
      </c>
      <c r="G1898" s="4" t="n">
        <v>3607</v>
      </c>
      <c r="H1898" s="4" t="n">
        <v>1091</v>
      </c>
      <c r="I1898" s="5" t="n">
        <v>110</v>
      </c>
      <c r="J1898" s="5" t="n">
        <v>30.3</v>
      </c>
      <c r="K1898" s="3" t="inlineStr">
        <is>
          <t>도로 접한 코너 답 토지 접근성 우수</t>
        </is>
      </c>
      <c r="L1898" s="6">
        <f>HYPERLINK("https://fin.land.naver.com/articles/2655418963", "매물Link")</f>
        <v/>
      </c>
      <c r="M1898" s="6">
        <f>HYPERLINK("https://map.naver.com/p/search/연서면 쌍전리 619", "지도Link")</f>
        <v/>
      </c>
      <c r="N1898" s="6">
        <f>HYPERLINK("http://www.eum.go.kr/web/ar/lu/luLandDet.jsp?pnu=3611036022106190000&amp;isNoScr=script&amp;mode=search", "토지이음")</f>
        <v/>
      </c>
      <c r="O1898" s="3" t="inlineStr">
        <is>
          <t>몬스터</t>
        </is>
      </c>
      <c r="P1898" s="4" t="n">
        <v>1</v>
      </c>
      <c r="Q1898" s="4" t="n">
        <v>3607.3</v>
      </c>
      <c r="R1898" s="3" t="inlineStr">
        <is>
          <t>지정되지않음</t>
        </is>
      </c>
      <c r="S1898" s="3" t="inlineStr">
        <is>
          <t>답</t>
        </is>
      </c>
      <c r="T1898" s="3" t="inlineStr">
        <is>
          <t>평지</t>
        </is>
      </c>
      <c r="U1898" s="3" t="inlineStr">
        <is>
          <t>세로장방</t>
        </is>
      </c>
      <c r="V1898" s="3" t="inlineStr">
        <is>
          <t>소로한면</t>
        </is>
      </c>
    </row>
    <row r="1899">
      <c r="A1899" s="3" t="inlineStr">
        <is>
          <t>연서면 쌍전리 684</t>
        </is>
      </c>
      <c r="B1899" s="3" t="inlineStr">
        <is>
          <t>농림지역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70000</v>
      </c>
      <c r="G1899" s="4" t="n">
        <v>1015</v>
      </c>
      <c r="H1899" s="4" t="n">
        <v>307</v>
      </c>
      <c r="I1899" s="5" t="n">
        <v>228</v>
      </c>
      <c r="J1899" s="5" t="n">
        <v>30.3</v>
      </c>
      <c r="K1899" s="3" t="inlineStr">
        <is>
          <t>2차선접,대토강추,투자가치최고</t>
        </is>
      </c>
      <c r="L1899" s="6">
        <f>HYPERLINK("https://fin.land.naver.com/articles/2654055320", "매물Link")</f>
        <v/>
      </c>
      <c r="M1899" s="6">
        <f>HYPERLINK("https://map.naver.com/p/search/연서면 쌍전리 684", "지도Link")</f>
        <v/>
      </c>
      <c r="N1899" s="6">
        <f>HYPERLINK("http://www.eum.go.kr/web/ar/lu/luLandDet.jsp?pnu=3611036022106840000&amp;isNoScr=script&amp;mode=search", "토지이음")</f>
        <v/>
      </c>
      <c r="O1899" s="3" t="inlineStr">
        <is>
          <t>힐스테이트행복</t>
        </is>
      </c>
      <c r="P1899" s="4" t="n">
        <v>1</v>
      </c>
      <c r="Q1899" s="4" t="n">
        <v>1015.5</v>
      </c>
      <c r="R1899" s="3" t="inlineStr">
        <is>
          <t>지정되지않음</t>
        </is>
      </c>
      <c r="S1899" s="3" t="inlineStr">
        <is>
          <t>답</t>
        </is>
      </c>
      <c r="T1899" s="3" t="inlineStr">
        <is>
          <t>평지</t>
        </is>
      </c>
      <c r="U1899" s="3" t="inlineStr">
        <is>
          <t>세로장방</t>
        </is>
      </c>
      <c r="V1899" s="3" t="inlineStr">
        <is>
          <t>소로한면</t>
        </is>
      </c>
    </row>
    <row r="1900">
      <c r="A1900" s="3" t="inlineStr">
        <is>
          <t>연서면 쌍전리 684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70000</v>
      </c>
      <c r="G1900" s="4" t="n">
        <v>1016</v>
      </c>
      <c r="H1900" s="4" t="n">
        <v>307</v>
      </c>
      <c r="I1900" s="5" t="n">
        <v>228</v>
      </c>
      <c r="J1900" s="5" t="n">
        <v>30.3</v>
      </c>
      <c r="K1900" s="3" t="inlineStr">
        <is>
          <t>nan</t>
        </is>
      </c>
      <c r="L1900" s="6">
        <f>HYPERLINK("https://fin.land.naver.com/articles/2651396918", "매물Link")</f>
        <v/>
      </c>
      <c r="M1900" s="6">
        <f>HYPERLINK("https://map.naver.com/p/search/연서면 쌍전리 684", "지도Link")</f>
        <v/>
      </c>
      <c r="N1900" s="6">
        <f>HYPERLINK("http://www.eum.go.kr/web/ar/lu/luLandDet.jsp?pnu=3611036022106840000&amp;isNoScr=script&amp;mode=search", "토지이음")</f>
        <v/>
      </c>
      <c r="O1900" s="3" t="inlineStr">
        <is>
          <t>로데오상가</t>
        </is>
      </c>
      <c r="P1900" s="4" t="n">
        <v>2</v>
      </c>
      <c r="Q1900" s="4" t="n">
        <v>1015.5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세로장방</t>
        </is>
      </c>
      <c r="V1900" s="3" t="inlineStr">
        <is>
          <t>소로한면</t>
        </is>
      </c>
    </row>
    <row r="1901">
      <c r="A1901" s="3" t="inlineStr">
        <is>
          <t>연서면 쌍전리 684</t>
        </is>
      </c>
      <c r="B1901" s="3" t="inlineStr">
        <is>
          <t>농림지역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70000</v>
      </c>
      <c r="G1901" s="4" t="n">
        <v>1015</v>
      </c>
      <c r="H1901" s="4" t="n">
        <v>307</v>
      </c>
      <c r="I1901" s="5" t="n">
        <v>228</v>
      </c>
      <c r="J1901" s="5" t="n">
        <v>30.3</v>
      </c>
      <c r="K1901" s="3" t="inlineStr">
        <is>
          <t>2차선 도로에 접해 있으며 3면이 도로에 접한 투지가치 좋은 매물입니다</t>
        </is>
      </c>
      <c r="L1901" s="6">
        <f>HYPERLINK("https://fin.land.naver.com/articles/2655066690", "매물Link")</f>
        <v/>
      </c>
      <c r="M1901" s="6">
        <f>HYPERLINK("https://map.naver.com/p/search/연서면 쌍전리 684", "지도Link")</f>
        <v/>
      </c>
      <c r="N1901" s="6">
        <f>HYPERLINK("http://www.eum.go.kr/web/ar/lu/luLandDet.jsp?pnu=3611036022106840000&amp;isNoScr=script&amp;mode=search", "토지이음")</f>
        <v/>
      </c>
      <c r="O1901" s="3" t="inlineStr">
        <is>
          <t>스마일세종</t>
        </is>
      </c>
      <c r="P1901" s="4" t="n">
        <v>8</v>
      </c>
      <c r="Q1901" s="4" t="n">
        <v>1015.5</v>
      </c>
      <c r="R1901" s="3" t="inlineStr">
        <is>
          <t>지정되지않음</t>
        </is>
      </c>
      <c r="S1901" s="3" t="inlineStr">
        <is>
          <t>답</t>
        </is>
      </c>
      <c r="T1901" s="3" t="inlineStr">
        <is>
          <t>평지</t>
        </is>
      </c>
      <c r="U1901" s="3" t="inlineStr">
        <is>
          <t>세로장방</t>
        </is>
      </c>
      <c r="V1901" s="3" t="inlineStr">
        <is>
          <t>소로한면</t>
        </is>
      </c>
    </row>
    <row r="1902">
      <c r="A1902" s="3" t="inlineStr">
        <is>
          <t>연서면 쌍전리 산 29-1</t>
        </is>
      </c>
      <c r="B1902" s="3" t="inlineStr">
        <is>
          <t>자연녹지지역</t>
        </is>
      </c>
      <c r="C1902" s="3" t="inlineStr">
        <is>
          <t>임야</t>
        </is>
      </c>
      <c r="D1902" s="3" t="inlineStr">
        <is>
          <t>임야</t>
        </is>
      </c>
      <c r="E1902" s="3" t="inlineStr">
        <is>
          <t>매매</t>
        </is>
      </c>
      <c r="F1902" s="4" t="n">
        <v>218500</v>
      </c>
      <c r="G1902" s="4" t="n">
        <v>7223</v>
      </c>
      <c r="H1902" s="4" t="n">
        <v>2185</v>
      </c>
      <c r="I1902" s="5" t="n">
        <v>100</v>
      </c>
      <c r="J1902" s="5" t="n">
        <v>20.6</v>
      </c>
      <c r="K1902" s="3" t="inlineStr">
        <is>
          <t>2필지. 자연취락지구,준보전산지.</t>
        </is>
      </c>
      <c r="L1902" s="6">
        <f>HYPERLINK("https://fin.land.naver.com/articles/2653109397", "매물Link")</f>
        <v/>
      </c>
      <c r="M1902" s="6">
        <f>HYPERLINK("https://map.naver.com/p/search/연서면 쌍전리 산 29-1", "지도Link")</f>
        <v/>
      </c>
      <c r="N1902" s="6">
        <f>HYPERLINK("http://www.eum.go.kr/web/ar/lu/luLandDet.jsp?pnu=3611036022200290001&amp;isNoScr=script&amp;mode=search", "토지이음")</f>
        <v/>
      </c>
      <c r="O1902" s="3" t="inlineStr">
        <is>
          <t>세종소담114</t>
        </is>
      </c>
      <c r="P1902" s="4" t="n">
        <v>1</v>
      </c>
      <c r="Q1902" s="4" t="n">
        <v>6446</v>
      </c>
      <c r="R1902" s="3" t="inlineStr">
        <is>
          <t>지정되지않음</t>
        </is>
      </c>
      <c r="S1902" s="3" t="inlineStr">
        <is>
          <t>자연림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맹지</t>
        </is>
      </c>
    </row>
    <row r="1903">
      <c r="A1903" s="3" t="inlineStr">
        <is>
          <t>연서면 쌍전리 산18-6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196000</v>
      </c>
      <c r="G1903" s="4" t="n">
        <v>6318</v>
      </c>
      <c r="H1903" s="4" t="n">
        <v>1911</v>
      </c>
      <c r="I1903" s="5" t="n">
        <v>102.6</v>
      </c>
      <c r="J1903" s="5" t="n">
        <v>21.7</v>
      </c>
      <c r="K1903" s="3" t="inlineStr">
        <is>
          <t>연서면 쌍전리 임야와 과수원을 일괄하여 급매로 매매합니다</t>
        </is>
      </c>
      <c r="L1903" s="6">
        <f>HYPERLINK("https://fin.land.naver.com/articles/2654812838", "매물Link")</f>
        <v/>
      </c>
      <c r="M1903" s="6">
        <f>HYPERLINK("https://map.naver.com/p/search/연서면 쌍전리 산18-6", "지도Link")</f>
        <v/>
      </c>
      <c r="N1903" s="6">
        <f>HYPERLINK("http://www.eum.go.kr/web/ar/lu/luLandDet.jsp?pnu=3611036022200180006&amp;isNoScr=script&amp;mode=search",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1463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맹지</t>
        </is>
      </c>
    </row>
    <row r="1904">
      <c r="A1904" s="3" t="inlineStr">
        <is>
          <t>연서면 와촌리 1092-4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150000</v>
      </c>
      <c r="G1904" s="4" t="n">
        <v>1661</v>
      </c>
      <c r="H1904" s="4" t="n">
        <v>502</v>
      </c>
      <c r="I1904" s="5" t="n">
        <v>298.8</v>
      </c>
      <c r="J1904" s="5" t="n">
        <v>59.2</v>
      </c>
      <c r="K1904" s="3" t="inlineStr">
        <is>
          <t>지방도 접해 있고 다양한 용도로 활용성 높은 투자가치 높은 용지</t>
        </is>
      </c>
      <c r="L1904" s="6">
        <f>HYPERLINK("https://fin.land.naver.com/articles/2654432271", "매물Link")</f>
        <v/>
      </c>
      <c r="M1904" s="6">
        <f>HYPERLINK("https://map.naver.com/p/search/연서면 와촌리 1092-4", "지도Link")</f>
        <v/>
      </c>
      <c r="N1904" s="6">
        <f>HYPERLINK("http://www.eum.go.kr/web/ar/lu/luLandDet.jsp?pnu=3611036031110920004&amp;isNoScr=script&amp;mode=search", "토지이음")</f>
        <v/>
      </c>
      <c r="O1904" s="3" t="inlineStr">
        <is>
          <t>반곡황금더샵</t>
        </is>
      </c>
      <c r="P1904" s="4" t="n">
        <v>1</v>
      </c>
      <c r="Q1904" s="4" t="n">
        <v>1661</v>
      </c>
      <c r="R1904" s="3" t="inlineStr">
        <is>
          <t>지정되지않음</t>
        </is>
      </c>
      <c r="S1904" s="3" t="inlineStr">
        <is>
          <t>전기타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소로한면</t>
        </is>
      </c>
    </row>
    <row r="1905">
      <c r="A1905" s="3" t="inlineStr">
        <is>
          <t>연서면 와촌리 1094</t>
        </is>
      </c>
      <c r="B1905" s="3" t="inlineStr">
        <is>
          <t>계획관리지역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34400</v>
      </c>
      <c r="G1905" s="4" t="n">
        <v>284</v>
      </c>
      <c r="H1905" s="4" t="n">
        <v>86</v>
      </c>
      <c r="I1905" s="5" t="n">
        <v>400</v>
      </c>
      <c r="J1905" s="5" t="n">
        <v>80.09999999999999</v>
      </c>
      <c r="K1905" s="3" t="inlineStr">
        <is>
          <t>상가 신축에 아주 적합한 2차선변에 길게 접한 소액투자 토지</t>
        </is>
      </c>
      <c r="L1905" s="6">
        <f>HYPERLINK("https://fin.land.naver.com/articles/2651949476", "매물Link")</f>
        <v/>
      </c>
      <c r="M1905" s="6">
        <f>HYPERLINK("https://map.naver.com/p/search/연서면 와촌리 1094", "지도Link")</f>
        <v/>
      </c>
      <c r="N1905" s="6">
        <f>HYPERLINK("http://www.eum.go.kr/web/ar/lu/luLandDet.jsp?pnu=3611036031110940000&amp;isNoScr=script&amp;mode=search", "토지이음")</f>
        <v/>
      </c>
      <c r="O1905" s="3" t="inlineStr">
        <is>
          <t>용궁</t>
        </is>
      </c>
      <c r="P1905" s="4" t="n">
        <v>1</v>
      </c>
      <c r="Q1905" s="4" t="n">
        <v>285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와촌리 1175</t>
        </is>
      </c>
      <c r="B1906" s="3" t="inlineStr">
        <is>
          <t>보전관리지역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18000</v>
      </c>
      <c r="G1906" s="4" t="n">
        <v>744</v>
      </c>
      <c r="H1906" s="4" t="n">
        <v>225</v>
      </c>
      <c r="I1906" s="5" t="n">
        <v>80</v>
      </c>
      <c r="J1906" s="5" t="n">
        <v>23.7</v>
      </c>
      <c r="K1906" s="3" t="inlineStr">
        <is>
          <t>소액 투자나 농막 체류형쉼터용 농지</t>
        </is>
      </c>
      <c r="L1906" s="6">
        <f>HYPERLINK("https://fin.land.naver.com/articles/2651948470", "매물Link")</f>
        <v/>
      </c>
      <c r="M1906" s="6">
        <f>HYPERLINK("https://map.naver.com/p/search/연서면 와촌리 1175", "지도Link")</f>
        <v/>
      </c>
      <c r="N1906" s="6">
        <f>HYPERLINK("http://www.eum.go.kr/web/ar/lu/luLandDet.jsp?pnu=3611036031111750000&amp;isNoScr=script&amp;mode=search", "토지이음")</f>
        <v/>
      </c>
      <c r="O1906" s="3" t="inlineStr">
        <is>
          <t>용궁</t>
        </is>
      </c>
      <c r="P1906" s="4" t="n">
        <v>1</v>
      </c>
      <c r="Q1906" s="4" t="n">
        <v>744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와촌리 1180</t>
        </is>
      </c>
      <c r="B1907" s="3" t="inlineStr">
        <is>
          <t>계획관리지역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180000</v>
      </c>
      <c r="G1907" s="4" t="n">
        <v>2380</v>
      </c>
      <c r="H1907" s="4" t="n">
        <v>720</v>
      </c>
      <c r="I1907" s="5" t="n">
        <v>250</v>
      </c>
      <c r="J1907" s="5" t="n">
        <v>84.8</v>
      </c>
      <c r="K1907" s="3" t="inlineStr">
        <is>
          <t>마을 맨 윗쪽 넓은 전원주택지. 현재 전 및 일부 축사</t>
        </is>
      </c>
      <c r="L1907" s="6">
        <f>HYPERLINK("https://fin.land.naver.com/articles/2651423318", "매물Link")</f>
        <v/>
      </c>
      <c r="M1907" s="6">
        <f>HYPERLINK("https://map.naver.com/p/search/연서면 와촌리 1180", "지도Link")</f>
        <v/>
      </c>
      <c r="N1907" s="6">
        <f>HYPERLINK("http://www.eum.go.kr/web/ar/lu/luLandDet.jsp?pnu=3611036031111800000&amp;isNoScr=script&amp;mode=search", "토지이음")</f>
        <v/>
      </c>
      <c r="O1907" s="3" t="inlineStr">
        <is>
          <t>세종소담114</t>
        </is>
      </c>
      <c r="P1907" s="4" t="n">
        <v>1</v>
      </c>
      <c r="Q1907" s="4" t="n">
        <v>2380</v>
      </c>
      <c r="R1907" s="3" t="inlineStr">
        <is>
          <t>지정되지않음</t>
        </is>
      </c>
      <c r="S1907" s="3" t="inlineStr">
        <is>
          <t>주거기타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세로한면(불)</t>
        </is>
      </c>
    </row>
    <row r="1908">
      <c r="A1908" s="3" t="inlineStr">
        <is>
          <t>연서면 와촌리 1180</t>
        </is>
      </c>
      <c r="B1908" s="3" t="inlineStr">
        <is>
          <t>계획관리지역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180000</v>
      </c>
      <c r="G1908" s="4" t="n">
        <v>2380</v>
      </c>
      <c r="H1908" s="4" t="n">
        <v>720</v>
      </c>
      <c r="I1908" s="5" t="n">
        <v>250</v>
      </c>
      <c r="J1908" s="5" t="n">
        <v>84.8</v>
      </c>
      <c r="K1908" s="3" t="inlineStr">
        <is>
          <t>세종시 인기지역, 국가산업단지 인근, 현재 축사건물있음 , 투자가치높음</t>
        </is>
      </c>
      <c r="L1908" s="6">
        <f>HYPERLINK("https://fin.land.naver.com/articles/2652354951", "매물Link")</f>
        <v/>
      </c>
      <c r="M1908" s="6">
        <f>HYPERLINK("https://map.naver.com/p/search/연서면 와촌리 1180", "지도Link")</f>
        <v/>
      </c>
      <c r="N1908" s="6">
        <f>HYPERLINK("http://www.eum.go.kr/web/ar/lu/luLandDet.jsp?pnu=3611036031111800000&amp;isNoScr=script&amp;mode=search", "토지이음")</f>
        <v/>
      </c>
      <c r="O1908" s="3" t="inlineStr">
        <is>
          <t>세종특별시</t>
        </is>
      </c>
      <c r="P1908" s="4" t="n">
        <v>1</v>
      </c>
      <c r="Q1908" s="4" t="n">
        <v>2380</v>
      </c>
      <c r="R1908" s="3" t="inlineStr">
        <is>
          <t>지정되지않음</t>
        </is>
      </c>
      <c r="S1908" s="3" t="inlineStr">
        <is>
          <t>주거기타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세로한면(불)</t>
        </is>
      </c>
    </row>
    <row r="1909">
      <c r="A1909" s="3" t="inlineStr">
        <is>
          <t>연서면 와촌리 1182</t>
        </is>
      </c>
      <c r="B1909" s="3" t="inlineStr">
        <is>
          <t>계획관리지역</t>
        </is>
      </c>
      <c r="C1909" s="3" t="inlineStr">
        <is>
          <t>대</t>
        </is>
      </c>
      <c r="D1909" s="3" t="inlineStr">
        <is>
          <t>대</t>
        </is>
      </c>
      <c r="E1909" s="3" t="inlineStr">
        <is>
          <t>매매</t>
        </is>
      </c>
      <c r="F1909" s="4" t="n">
        <v>140000</v>
      </c>
      <c r="G1909" s="4" t="n">
        <v>1689</v>
      </c>
      <c r="H1909" s="4" t="n">
        <v>511</v>
      </c>
      <c r="I1909" s="5" t="n">
        <v>274</v>
      </c>
      <c r="J1909" s="5" t="n">
        <v>85.59999999999999</v>
      </c>
      <c r="K1909" s="3" t="inlineStr">
        <is>
          <t>복숭아 나무 식재 중, 토지모양 굿, 자연취락지구, 성장관리계획구역</t>
        </is>
      </c>
      <c r="L1909" s="6">
        <f>HYPERLINK("https://fin.land.naver.com/articles/2653281131", "매물Link")</f>
        <v/>
      </c>
      <c r="M1909" s="6">
        <f>HYPERLINK("https://map.naver.com/p/search/연서면 와촌리 1182", "지도Link")</f>
        <v/>
      </c>
      <c r="N1909" s="6">
        <f>HYPERLINK("http://www.eum.go.kr/web/ar/lu/luLandDet.jsp?pnu=3611036031111820000&amp;isNoScr=script&amp;mode=search", "토지이음")</f>
        <v/>
      </c>
      <c r="O1909" s="3" t="inlineStr">
        <is>
          <t>올바른</t>
        </is>
      </c>
      <c r="P1909" s="4" t="n">
        <v>1</v>
      </c>
      <c r="Q1909" s="4" t="n">
        <v>1689</v>
      </c>
      <c r="R1909" s="3" t="inlineStr">
        <is>
          <t>지정되지않음</t>
        </is>
      </c>
      <c r="S1909" s="3" t="inlineStr">
        <is>
          <t>주거나지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세로한면(불)</t>
        </is>
      </c>
    </row>
    <row r="1910">
      <c r="A1910" s="3" t="inlineStr">
        <is>
          <t>연서면 와촌리 1183-1</t>
        </is>
      </c>
      <c r="B1910" s="3" t="inlineStr">
        <is>
          <t>계획관리지역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360000</v>
      </c>
      <c r="G1910" s="4" t="n">
        <v>3769</v>
      </c>
      <c r="H1910" s="4" t="n">
        <v>1140</v>
      </c>
      <c r="I1910" s="5" t="n">
        <v>315.8</v>
      </c>
      <c r="J1910" s="5" t="n">
        <v>76.3</v>
      </c>
      <c r="K1910" s="3" t="inlineStr">
        <is>
          <t>국가산업단지인근 계획관리지역 분할매매도 가능</t>
        </is>
      </c>
      <c r="L1910" s="6">
        <f>HYPERLINK("https://fin.land.naver.com/articles/2651159468", "매물Link")</f>
        <v/>
      </c>
      <c r="M1910" s="6">
        <f>HYPERLINK("https://map.naver.com/p/search/연서면 와촌리 1183-1", "지도Link")</f>
        <v/>
      </c>
      <c r="N1910" s="6">
        <f>HYPERLINK("http://www.eum.go.kr/web/ar/lu/luLandDet.jsp?pnu=3611036031111830001&amp;isNoScr=script&amp;mode=search", "토지이음")</f>
        <v/>
      </c>
      <c r="O1910" s="3" t="inlineStr">
        <is>
          <t>샘터아이파크시티</t>
        </is>
      </c>
      <c r="P1910" s="4" t="n">
        <v>2</v>
      </c>
      <c r="Q1910" s="4" t="n">
        <v>3769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자루형</t>
        </is>
      </c>
      <c r="V1910" s="3" t="inlineStr">
        <is>
          <t>소로한면</t>
        </is>
      </c>
    </row>
    <row r="1911">
      <c r="A1911" s="3" t="inlineStr">
        <is>
          <t>연서면 와촌리 1185-1</t>
        </is>
      </c>
      <c r="B1911" s="3" t="inlineStr">
        <is>
          <t>계획관리지역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240000</v>
      </c>
      <c r="G1911" s="4" t="n">
        <v>2432</v>
      </c>
      <c r="H1911" s="4" t="n">
        <v>736</v>
      </c>
      <c r="I1911" s="5" t="n">
        <v>326.1</v>
      </c>
      <c r="J1911" s="5" t="n">
        <v>77.09999999999999</v>
      </c>
      <c r="K1911" s="3" t="inlineStr">
        <is>
          <t>계획관리, 성장관리 지역, 2차선 도로 바로 옆 토지, 국가산단 5분거리</t>
        </is>
      </c>
      <c r="L1911" s="6">
        <f>HYPERLINK("https://fin.land.naver.com/articles/2653281350", "매물Link")</f>
        <v/>
      </c>
      <c r="M1911" s="6">
        <f>HYPERLINK("https://map.naver.com/p/search/연서면 와촌리 1185-1", "지도Link")</f>
        <v/>
      </c>
      <c r="N1911" s="6">
        <f>HYPERLINK("http://www.eum.go.kr/web/ar/lu/luLandDet.jsp?pnu=3611036031111850001&amp;isNoScr=script&amp;mode=search", "토지이음")</f>
        <v/>
      </c>
      <c r="O1911" s="3" t="inlineStr">
        <is>
          <t>올바른</t>
        </is>
      </c>
      <c r="P1911" s="4" t="n">
        <v>1</v>
      </c>
      <c r="Q1911" s="4" t="n">
        <v>1660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소로한면</t>
        </is>
      </c>
    </row>
    <row r="1912">
      <c r="A1912" s="3" t="inlineStr">
        <is>
          <t>연서면 와촌리 172-1</t>
        </is>
      </c>
      <c r="B1912" s="3" t="inlineStr">
        <is>
          <t>계획관리지역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270000</v>
      </c>
      <c r="G1912" s="4" t="n">
        <v>2749</v>
      </c>
      <c r="H1912" s="4" t="n">
        <v>832</v>
      </c>
      <c r="I1912" s="5" t="n">
        <v>324.5</v>
      </c>
      <c r="J1912" s="5" t="n">
        <v>57.5</v>
      </c>
      <c r="K1912" s="3" t="inlineStr">
        <is>
          <t>세종 스마트 국가산업단지 길건너 발전가능성 높은 귀한 토지 매도</t>
        </is>
      </c>
      <c r="L1912" s="6">
        <f>HYPERLINK("https://fin.land.naver.com/articles/2654801492", "매물Link")</f>
        <v/>
      </c>
      <c r="M1912" s="6">
        <f>HYPERLINK("https://map.naver.com/p/search/연서면 와촌리 172-1", "지도Link")</f>
        <v/>
      </c>
      <c r="N1912" s="6">
        <f>HYPERLINK("http://www.eum.go.kr/web/ar/lu/luLandDet.jsp?pnu=3611036031101720001&amp;isNoScr=script&amp;mode=search", "토지이음")</f>
        <v/>
      </c>
      <c r="O1912" s="3" t="inlineStr">
        <is>
          <t>번영</t>
        </is>
      </c>
      <c r="P1912" s="4" t="n">
        <v>1</v>
      </c>
      <c r="Q1912" s="4" t="n">
        <v>2749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자루형</t>
        </is>
      </c>
      <c r="V1912" s="3" t="inlineStr">
        <is>
          <t>맹지</t>
        </is>
      </c>
    </row>
    <row r="1913">
      <c r="A1913" s="3" t="inlineStr">
        <is>
          <t>연서면 와촌리 314-2</t>
        </is>
      </c>
      <c r="B1913" s="3" t="inlineStr">
        <is>
          <t>계획관리지역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91683</v>
      </c>
      <c r="G1913" s="4" t="n">
        <v>1656</v>
      </c>
      <c r="H1913" s="4" t="n">
        <v>501</v>
      </c>
      <c r="I1913" s="5" t="n">
        <v>183</v>
      </c>
      <c r="J1913" s="5" t="n">
        <v>63.1</v>
      </c>
      <c r="K1913" s="3" t="inlineStr">
        <is>
          <t>와촌리 급매 투자 및 국가산단 보상 대토 강력 추천 계획관리</t>
        </is>
      </c>
      <c r="L1913" s="6">
        <f>HYPERLINK("https://fin.land.naver.com/articles/2653501223", "매물Link")</f>
        <v/>
      </c>
      <c r="M1913" s="6">
        <f>HYPERLINK("https://map.naver.com/p/search/연서면 와촌리 314-2", "지도Link")</f>
        <v/>
      </c>
      <c r="N1913" s="6">
        <f>HYPERLINK("http://www.eum.go.kr/web/ar/lu/luLandDet.jsp?pnu=3611036031103140002&amp;isNoScr=script&amp;mode=search", "토지이음")</f>
        <v/>
      </c>
      <c r="O1913" s="3" t="inlineStr">
        <is>
          <t>연서</t>
        </is>
      </c>
      <c r="P1913" s="4" t="n">
        <v>1</v>
      </c>
      <c r="Q1913" s="4" t="n">
        <v>1656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430-9</t>
        </is>
      </c>
      <c r="B1914" s="3" t="inlineStr">
        <is>
          <t>농림지역</t>
        </is>
      </c>
      <c r="C1914" s="3" t="inlineStr">
        <is>
          <t>답</t>
        </is>
      </c>
      <c r="D1914" s="3" t="inlineStr">
        <is>
          <t>답</t>
        </is>
      </c>
      <c r="E1914" s="3" t="inlineStr">
        <is>
          <t>매매</t>
        </is>
      </c>
      <c r="F1914" s="4" t="n">
        <v>109500</v>
      </c>
      <c r="G1914" s="4" t="n">
        <v>3017</v>
      </c>
      <c r="H1914" s="4" t="n">
        <v>913</v>
      </c>
      <c r="I1914" s="5" t="n">
        <v>119.9</v>
      </c>
      <c r="J1914" s="5" t="n">
        <v>40.4</v>
      </c>
      <c r="K1914" s="3" t="inlineStr">
        <is>
          <t>세종국가산업단지 인접한 토지</t>
        </is>
      </c>
      <c r="L1914" s="6">
        <f>HYPERLINK("https://fin.land.naver.com/articles/2655257733", "매물Link")</f>
        <v/>
      </c>
      <c r="M1914" s="6">
        <f>HYPERLINK("https://map.naver.com/p/search/연서면 와촌리 430-9", "지도Link")</f>
        <v/>
      </c>
      <c r="N1914" s="6">
        <f>HYPERLINK("http://www.eum.go.kr/web/ar/lu/luLandDet.jsp?pnu=3611036031104300009&amp;isNoScr=script&amp;mode=search", "토지이음")</f>
        <v/>
      </c>
      <c r="O1914" s="3" t="inlineStr">
        <is>
          <t>세종대박</t>
        </is>
      </c>
      <c r="P1914" s="4" t="n">
        <v>3</v>
      </c>
      <c r="Q1914" s="4" t="n">
        <v>3017</v>
      </c>
      <c r="R1914" s="3" t="inlineStr">
        <is>
          <t>지정되지않음</t>
        </is>
      </c>
      <c r="S1914" s="3" t="inlineStr">
        <is>
          <t>답</t>
        </is>
      </c>
      <c r="T1914" s="3" t="inlineStr">
        <is>
          <t>평지</t>
        </is>
      </c>
      <c r="U1914" s="3" t="inlineStr">
        <is>
          <t>가로장방</t>
        </is>
      </c>
      <c r="V1914" s="3" t="inlineStr">
        <is>
          <t>세로한면(가)</t>
        </is>
      </c>
    </row>
    <row r="1915">
      <c r="A1915" s="3" t="inlineStr">
        <is>
          <t>연서면 와촌리 437-2</t>
        </is>
      </c>
      <c r="B1915" s="3" t="inlineStr">
        <is>
          <t>농림지역</t>
        </is>
      </c>
      <c r="C1915" s="3" t="inlineStr">
        <is>
          <t>답</t>
        </is>
      </c>
      <c r="D1915" s="3" t="inlineStr">
        <is>
          <t>답</t>
        </is>
      </c>
      <c r="E1915" s="3" t="inlineStr">
        <is>
          <t>매매</t>
        </is>
      </c>
      <c r="F1915" s="4" t="n">
        <v>33000</v>
      </c>
      <c r="G1915" s="4" t="n">
        <v>1092</v>
      </c>
      <c r="H1915" s="4" t="n">
        <v>330</v>
      </c>
      <c r="I1915" s="5" t="n">
        <v>100</v>
      </c>
      <c r="J1915" s="5" t="n">
        <v>40.8</v>
      </c>
      <c r="K1915" s="3" t="inlineStr">
        <is>
          <t>세종스마트 국가산업단지 옆 와촌리 토지 급매.</t>
        </is>
      </c>
      <c r="L1915" s="6">
        <f>HYPERLINK("https://fin.land.naver.com/articles/2650939358", "매물Link")</f>
        <v/>
      </c>
      <c r="M1915" s="6">
        <f>HYPERLINK("https://map.naver.com/p/search/연서면 와촌리 437-2", "지도Link")</f>
        <v/>
      </c>
      <c r="N1915" s="6">
        <f>HYPERLINK("http://www.eum.go.kr/web/ar/lu/luLandDet.jsp?pnu=3611036031104370002&amp;isNoScr=script&amp;mode=search", "토지이음")</f>
        <v/>
      </c>
      <c r="O1915" s="3" t="inlineStr">
        <is>
          <t>세종대장</t>
        </is>
      </c>
      <c r="P1915" s="4" t="n">
        <v>1</v>
      </c>
      <c r="Q1915" s="4" t="n">
        <v>1092</v>
      </c>
      <c r="R1915" s="3" t="inlineStr">
        <is>
          <t>지정되지않음</t>
        </is>
      </c>
      <c r="S1915" s="3" t="inlineStr">
        <is>
          <t>답</t>
        </is>
      </c>
      <c r="T1915" s="3" t="inlineStr">
        <is>
          <t>평지</t>
        </is>
      </c>
      <c r="U1915" s="3" t="inlineStr">
        <is>
          <t>세로장방</t>
        </is>
      </c>
      <c r="V1915" s="3" t="inlineStr">
        <is>
          <t>세로한면(가)</t>
        </is>
      </c>
    </row>
    <row r="1916">
      <c r="A1916" s="3" t="inlineStr">
        <is>
          <t>연서면 와촌리 437-3</t>
        </is>
      </c>
      <c r="B1916" s="3" t="inlineStr">
        <is>
          <t>농림지역</t>
        </is>
      </c>
      <c r="C1916" s="3" t="inlineStr">
        <is>
          <t>답</t>
        </is>
      </c>
      <c r="D1916" s="3" t="inlineStr">
        <is>
          <t>답</t>
        </is>
      </c>
      <c r="E1916" s="3" t="inlineStr">
        <is>
          <t>매매</t>
        </is>
      </c>
      <c r="F1916" s="4" t="n">
        <v>150000</v>
      </c>
      <c r="G1916" s="4" t="n">
        <v>2991</v>
      </c>
      <c r="H1916" s="4" t="n">
        <v>905</v>
      </c>
      <c r="I1916" s="5" t="n">
        <v>165.7</v>
      </c>
      <c r="J1916" s="5" t="n">
        <v>40.8</v>
      </c>
      <c r="K1916" s="3" t="inlineStr">
        <is>
          <t>조치원산단 인근 농지. 투자용으로 추천</t>
        </is>
      </c>
      <c r="L1916" s="6">
        <f>HYPERLINK("https://fin.land.naver.com/articles/2650858525", "매물Link")</f>
        <v/>
      </c>
      <c r="M1916" s="6">
        <f>HYPERLINK("https://map.naver.com/p/search/연서면 와촌리 437-3", "지도Link")</f>
        <v/>
      </c>
      <c r="N1916" s="6">
        <f>HYPERLINK("http://www.eum.go.kr/web/ar/lu/luLandDet.jsp?pnu=3611036031104370003&amp;isNoScr=script&amp;mode=search",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2992</v>
      </c>
      <c r="R1916" s="3" t="inlineStr">
        <is>
          <t>지정되지않음</t>
        </is>
      </c>
      <c r="S1916" s="3" t="inlineStr">
        <is>
          <t>답</t>
        </is>
      </c>
      <c r="T1916" s="3" t="inlineStr">
        <is>
          <t>평지</t>
        </is>
      </c>
      <c r="U1916" s="3" t="inlineStr">
        <is>
          <t>세로장방</t>
        </is>
      </c>
      <c r="V1916" s="3" t="inlineStr">
        <is>
          <t>세로한면(가)</t>
        </is>
      </c>
    </row>
    <row r="1917">
      <c r="A1917" s="3" t="inlineStr">
        <is>
          <t>연서면 와촌리 438-3</t>
        </is>
      </c>
      <c r="B1917" s="3" t="inlineStr">
        <is>
          <t>농림지역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82000</v>
      </c>
      <c r="G1917" s="4" t="n">
        <v>1687</v>
      </c>
      <c r="H1917" s="4" t="n">
        <v>510</v>
      </c>
      <c r="I1917" s="5" t="n">
        <v>160.8</v>
      </c>
      <c r="J1917" s="5" t="n">
        <v>40.4</v>
      </c>
      <c r="K1917" s="3" t="inlineStr">
        <is>
          <t>성토된 농지, 도로접한 전현황</t>
        </is>
      </c>
      <c r="L1917" s="6">
        <f>HYPERLINK("https://fin.land.naver.com/articles/2655032787", "매물Link")</f>
        <v/>
      </c>
      <c r="M1917" s="6">
        <f>HYPERLINK("https://map.naver.com/p/search/연서면 와촌리 438-3", "지도Link")</f>
        <v/>
      </c>
      <c r="N1917" s="6">
        <f>HYPERLINK("http://www.eum.go.kr/web/ar/lu/luLandDet.jsp?pnu=3611036031104380003&amp;isNoScr=script&amp;mode=search", "토지이음")</f>
        <v/>
      </c>
      <c r="O1917" s="3" t="inlineStr">
        <is>
          <t>세종대박</t>
        </is>
      </c>
      <c r="P1917" s="4" t="n">
        <v>1</v>
      </c>
      <c r="Q1917" s="4" t="n">
        <v>1687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평지</t>
        </is>
      </c>
      <c r="U1917" s="3" t="inlineStr">
        <is>
          <t>세로장방</t>
        </is>
      </c>
      <c r="V1917" s="3" t="inlineStr">
        <is>
          <t>세로한면(가)</t>
        </is>
      </c>
    </row>
    <row r="1918">
      <c r="A1918" s="3" t="inlineStr">
        <is>
          <t>연서면 와촌리 858-1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230000</v>
      </c>
      <c r="G1918" s="4" t="n">
        <v>1264</v>
      </c>
      <c r="H1918" s="4" t="n">
        <v>382</v>
      </c>
      <c r="I1918" s="5" t="n">
        <v>602.1</v>
      </c>
      <c r="J1918" s="5" t="n">
        <v>134.5</v>
      </c>
      <c r="K1918" s="3" t="inlineStr">
        <is>
          <t>세종산업단지인근 2차선도로 계획관리지역 토지매매</t>
        </is>
      </c>
      <c r="L1918" s="6">
        <f>HYPERLINK("https://fin.land.naver.com/articles/2652045069", "매물Link")</f>
        <v/>
      </c>
      <c r="M1918" s="6">
        <f>HYPERLINK("https://map.naver.com/p/search/연서면 와촌리 858-1", "지도Link")</f>
        <v/>
      </c>
      <c r="N1918" s="6">
        <f>HYPERLINK("http://www.eum.go.kr/web/ar/lu/luLandDet.jsp?pnu=3611036031108580001&amp;isNoScr=script&amp;mode=search", "토지이음")</f>
        <v/>
      </c>
      <c r="O1918" s="3" t="inlineStr">
        <is>
          <t>에이스</t>
        </is>
      </c>
      <c r="P1918" s="4" t="n">
        <v>1</v>
      </c>
      <c r="Q1918" s="4" t="n">
        <v>548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소로한면</t>
        </is>
      </c>
    </row>
    <row r="1919">
      <c r="A1919" s="3" t="inlineStr">
        <is>
          <t>연서면 와촌리 862-3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90000</v>
      </c>
      <c r="G1919" s="4" t="n">
        <v>661</v>
      </c>
      <c r="H1919" s="4" t="n">
        <v>200</v>
      </c>
      <c r="I1919" s="5" t="n">
        <v>450</v>
      </c>
      <c r="J1919" s="5" t="n">
        <v>63.1</v>
      </c>
      <c r="K1919" s="3" t="inlineStr">
        <is>
          <t>연서면 와촌리 와촌보건소 인근 2차선 도로에 접한 농지 분할 매매 합니다</t>
        </is>
      </c>
      <c r="L1919" s="6">
        <f>HYPERLINK("https://fin.land.naver.com/articles/2652993287", "매물Link")</f>
        <v/>
      </c>
      <c r="M1919" s="6">
        <f>HYPERLINK("https://map.naver.com/p/search/연서면 와촌리 862-3", "지도Link")</f>
        <v/>
      </c>
      <c r="N1919" s="6">
        <f>HYPERLINK("http://www.eum.go.kr/web/ar/lu/luLandDet.jsp?pnu=3611036031108620003&amp;isNoScr=script&amp;mode=search", "토지이음")</f>
        <v/>
      </c>
      <c r="O1919" s="3" t="inlineStr">
        <is>
          <t>스마일세종</t>
        </is>
      </c>
      <c r="P1919" s="4" t="n">
        <v>1</v>
      </c>
      <c r="Q1919" s="4" t="n">
        <v>3171</v>
      </c>
      <c r="R1919" s="3" t="inlineStr">
        <is>
          <t>보전관리지역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소로한면</t>
        </is>
      </c>
    </row>
    <row r="1920">
      <c r="A1920" s="3" t="inlineStr">
        <is>
          <t>연서면 와촌리 955-2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238100</v>
      </c>
      <c r="G1920" s="4" t="n">
        <v>7871</v>
      </c>
      <c r="H1920" s="4" t="n">
        <v>2381</v>
      </c>
      <c r="I1920" s="5" t="n">
        <v>100</v>
      </c>
      <c r="J1920" s="5" t="n">
        <v>40.5</v>
      </c>
      <c r="K1920" s="3" t="inlineStr">
        <is>
          <t>국가산업단지 인근의 가장 저렴한 과수원</t>
        </is>
      </c>
      <c r="L1920" s="6">
        <f>HYPERLINK("https://fin.land.naver.com/articles/2651948883", "매물Link")</f>
        <v/>
      </c>
      <c r="M1920" s="6">
        <f>HYPERLINK("https://map.naver.com/p/search/연서면 와촌리 955-2", "지도Link")</f>
        <v/>
      </c>
      <c r="N1920" s="6">
        <f>HYPERLINK("http://www.eum.go.kr/web/ar/lu/luLandDet.jsp?pnu=3611036031109550002&amp;isNoScr=script&amp;mode=search", "토지이음")</f>
        <v/>
      </c>
      <c r="O1920" s="3" t="inlineStr">
        <is>
          <t>용궁</t>
        </is>
      </c>
      <c r="P1920" s="4" t="n">
        <v>1</v>
      </c>
      <c r="Q1920" s="4" t="n">
        <v>2364</v>
      </c>
      <c r="R1920" s="3" t="inlineStr">
        <is>
          <t>지정되지않음</t>
        </is>
      </c>
      <c r="S1920" s="3" t="inlineStr">
        <is>
          <t>전기타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맹지</t>
        </is>
      </c>
    </row>
    <row r="1921">
      <c r="A1921" s="3" t="inlineStr">
        <is>
          <t>연서면 와촌리 963</t>
        </is>
      </c>
      <c r="B1921" s="3" t="inlineStr">
        <is>
          <t>생산관리지역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943200</v>
      </c>
      <c r="G1921" s="4" t="n">
        <v>15593</v>
      </c>
      <c r="H1921" s="4" t="n">
        <v>4717</v>
      </c>
      <c r="I1921" s="5" t="n">
        <v>200</v>
      </c>
      <c r="J1921" s="5" t="n">
        <v>50.3</v>
      </c>
      <c r="K1921" s="3" t="inlineStr">
        <is>
          <t>국가산업단지 길목, 수혜지역.투자용,상업용,산업용 용도 다양</t>
        </is>
      </c>
      <c r="L1921" s="6">
        <f>HYPERLINK("https://fin.land.naver.com/articles/2651168285", "매물Link")</f>
        <v/>
      </c>
      <c r="M1921" s="6">
        <f>HYPERLINK("https://map.naver.com/p/search/연서면 와촌리 963", "지도Link")</f>
        <v/>
      </c>
      <c r="N1921" s="6">
        <f>HYPERLINK("http://www.eum.go.kr/web/ar/lu/luLandDet.jsp?pnu=3611036031109630000&amp;isNoScr=script&amp;mode=search", "토지이음")</f>
        <v/>
      </c>
      <c r="O1921" s="3" t="inlineStr">
        <is>
          <t>세종시해냄공인</t>
        </is>
      </c>
      <c r="P1921" s="4" t="n">
        <v>1</v>
      </c>
      <c r="Q1921" s="4" t="n">
        <v>2199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산112-3</t>
        </is>
      </c>
      <c r="B1922" s="3" t="inlineStr">
        <is>
          <t>농림지역</t>
        </is>
      </c>
      <c r="C1922" s="3" t="inlineStr">
        <is>
          <t>임야</t>
        </is>
      </c>
      <c r="D1922" s="3" t="inlineStr">
        <is>
          <t>임야</t>
        </is>
      </c>
      <c r="E1922" s="3" t="inlineStr">
        <is>
          <t>매매</t>
        </is>
      </c>
      <c r="F1922" s="4" t="n">
        <v>140000</v>
      </c>
      <c r="G1922" s="4" t="n">
        <v>23140</v>
      </c>
      <c r="H1922" s="4" t="n">
        <v>7000</v>
      </c>
      <c r="I1922" s="5" t="n">
        <v>20</v>
      </c>
      <c r="J1922" s="5" t="n">
        <v>3.9</v>
      </c>
      <c r="K1922" s="3" t="inlineStr">
        <is>
          <t>장기투자 개발 하기 좋은 세종시 토지 매매</t>
        </is>
      </c>
      <c r="L1922" s="6">
        <f>HYPERLINK("https://fin.land.naver.com/articles/2652667739", "매물Link")</f>
        <v/>
      </c>
      <c r="M1922" s="6">
        <f>HYPERLINK("https://map.naver.com/p/search/연서면 와촌리 산112-3", "지도Link")</f>
        <v/>
      </c>
      <c r="N1922" s="6">
        <f>HYPERLINK("http://www.eum.go.kr/web/ar/lu/luLandDet.jsp?pnu=3611036031201120003&amp;isNoScr=script&amp;mode=search", "토지이음")</f>
        <v/>
      </c>
      <c r="O1922" s="3" t="inlineStr">
        <is>
          <t>(주)정민근</t>
        </is>
      </c>
      <c r="P1922" s="4" t="n">
        <v>1</v>
      </c>
      <c r="Q1922" s="4" t="n">
        <v>16528</v>
      </c>
      <c r="R1922" s="3" t="inlineStr">
        <is>
          <t>보전관리지역</t>
        </is>
      </c>
      <c r="S1922" s="3" t="inlineStr">
        <is>
          <t>자연림</t>
        </is>
      </c>
      <c r="T1922" s="3" t="inlineStr">
        <is>
          <t>급경사</t>
        </is>
      </c>
      <c r="U1922" s="3" t="inlineStr">
        <is>
          <t>부정형</t>
        </is>
      </c>
      <c r="V1922" s="3" t="inlineStr">
        <is>
          <t>맹지</t>
        </is>
      </c>
    </row>
    <row r="1923">
      <c r="A1923" s="3" t="inlineStr">
        <is>
          <t>연서면 와촌리 산135</t>
        </is>
      </c>
      <c r="B1923" s="3" t="inlineStr">
        <is>
          <t>농림지역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19500</v>
      </c>
      <c r="G1923" s="4" t="n">
        <v>6446</v>
      </c>
      <c r="H1923" s="4" t="n">
        <v>1950</v>
      </c>
      <c r="I1923" s="5" t="n">
        <v>10</v>
      </c>
      <c r="J1923" s="5" t="n">
        <v>3.5</v>
      </c>
      <c r="K1923" s="3" t="inlineStr">
        <is>
          <t>임업용산지</t>
        </is>
      </c>
      <c r="L1923" s="6">
        <f>HYPERLINK("https://fin.land.naver.com/articles/2651849805", "매물Link")</f>
        <v/>
      </c>
      <c r="M1923" s="6">
        <f>HYPERLINK("https://map.naver.com/p/search/연서면 와촌리 산135", "지도Link")</f>
        <v/>
      </c>
      <c r="N1923" s="6">
        <f>HYPERLINK("http://www.eum.go.kr/web/ar/lu/luLandDet.jsp?pnu=3611036031201350000&amp;isNoScr=script&amp;mode=search", "토지이음")</f>
        <v/>
      </c>
      <c r="O1923" s="3" t="inlineStr">
        <is>
          <t>세종소담114</t>
        </is>
      </c>
      <c r="P1923" s="4" t="n">
        <v>1</v>
      </c>
      <c r="Q1923" s="4" t="n">
        <v>6446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맹지</t>
        </is>
      </c>
    </row>
    <row r="1924">
      <c r="A1924" s="3" t="inlineStr">
        <is>
          <t>연서면 와촌리 산161</t>
        </is>
      </c>
      <c r="B1924" s="3" t="inlineStr">
        <is>
          <t>보전관리지역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60000</v>
      </c>
      <c r="G1924" s="4" t="n">
        <v>5752</v>
      </c>
      <c r="H1924" s="4" t="n">
        <v>1740</v>
      </c>
      <c r="I1924" s="5" t="n">
        <v>34.5</v>
      </c>
      <c r="J1924" s="5" t="n">
        <v>5.7</v>
      </c>
      <c r="K1924" s="3" t="inlineStr">
        <is>
          <t>세종시 연서면 와촌리 임야매매.35만원</t>
        </is>
      </c>
      <c r="L1924" s="6">
        <f>HYPERLINK("https://fin.land.naver.com/articles/2652496113", "매물Link")</f>
        <v/>
      </c>
      <c r="M1924" s="6">
        <f>HYPERLINK("https://map.naver.com/p/search/연서면 와촌리 산161", "지도Link")</f>
        <v/>
      </c>
      <c r="N1924" s="6">
        <f>HYPERLINK("http://www.eum.go.kr/web/ar/lu/luLandDet.jsp?pnu=3611036031201610000&amp;isNoScr=script&amp;mode=search", "토지이음")</f>
        <v/>
      </c>
      <c r="O1924" s="3" t="inlineStr">
        <is>
          <t>동원</t>
        </is>
      </c>
      <c r="P1924" s="4" t="n">
        <v>1</v>
      </c>
      <c r="Q1924" s="4" t="n">
        <v>5752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와촌리 산209</t>
        </is>
      </c>
      <c r="B1925" s="3" t="inlineStr">
        <is>
          <t>일반공업지역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92000</v>
      </c>
      <c r="G1925" s="4" t="n">
        <v>4670</v>
      </c>
      <c r="H1925" s="4" t="n">
        <v>1413</v>
      </c>
      <c r="I1925" s="5" t="n">
        <v>65.09999999999999</v>
      </c>
      <c r="J1925" s="5" t="n">
        <v>49.3</v>
      </c>
      <c r="K1925" s="3" t="inlineStr">
        <is>
          <t>산업단지 확장을 대비한 토지거래허가구역의 마을 앞 야산으로투자전망 좋음</t>
        </is>
      </c>
      <c r="L1925" s="6">
        <f>HYPERLINK("https://fin.land.naver.com/articles/2650742264", "매물Link")</f>
        <v/>
      </c>
      <c r="M1925" s="6">
        <f>HYPERLINK("https://map.naver.com/p/search/연서면 와촌리 산209", "지도Link")</f>
        <v/>
      </c>
      <c r="N1925" s="6">
        <f>HYPERLINK("http://www.eum.go.kr/web/ar/lu/luLandDet.jsp?pnu=3611036031202090000&amp;isNoScr=script&amp;mode=search", "토지이음")</f>
        <v/>
      </c>
      <c r="O1925" s="3" t="inlineStr">
        <is>
          <t>성실</t>
        </is>
      </c>
      <c r="P1925" s="4" t="n">
        <v>1</v>
      </c>
      <c r="Q1925" s="4" t="n">
        <v>4675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세로한면(불)</t>
        </is>
      </c>
    </row>
    <row r="1926">
      <c r="A1926" s="3" t="inlineStr">
        <is>
          <t>연서면 와촌리 산96-15</t>
        </is>
      </c>
      <c r="B1926" s="3" t="inlineStr">
        <is>
          <t>보전관리지역</t>
        </is>
      </c>
      <c r="C1926" s="3" t="inlineStr">
        <is>
          <t>임야</t>
        </is>
      </c>
      <c r="D1926" s="3" t="inlineStr">
        <is>
          <t>임야</t>
        </is>
      </c>
      <c r="E1926" s="3" t="inlineStr">
        <is>
          <t>매매</t>
        </is>
      </c>
      <c r="F1926" s="4" t="n">
        <v>178790</v>
      </c>
      <c r="G1926" s="4" t="n">
        <v>6221</v>
      </c>
      <c r="H1926" s="4" t="n">
        <v>1882</v>
      </c>
      <c r="I1926" s="5" t="n">
        <v>95</v>
      </c>
      <c r="J1926" s="5" t="n">
        <v>5.6</v>
      </c>
      <c r="K1926" s="3" t="inlineStr">
        <is>
          <t>세종국가산업단지 예정지와 근접하며 향후 개발가능성 높은 임야,6생활권인접</t>
        </is>
      </c>
      <c r="L1926" s="6">
        <f>HYPERLINK("https://fin.land.naver.com/articles/2654514834", "매물Link")</f>
        <v/>
      </c>
      <c r="M1926" s="6">
        <f>HYPERLINK("https://map.naver.com/p/search/연서면 와촌리 산96-15", "지도Link")</f>
        <v/>
      </c>
      <c r="N1926" s="6">
        <f>HYPERLINK("http://www.eum.go.kr/web/ar/lu/luLandDet.jsp?pnu=3611036031200960015&amp;isNoScr=script&amp;mode=search", "토지이음")</f>
        <v/>
      </c>
      <c r="O1926" s="3" t="inlineStr">
        <is>
          <t>담뜰</t>
        </is>
      </c>
      <c r="P1926" s="4" t="n">
        <v>1</v>
      </c>
      <c r="Q1926" s="4" t="n">
        <v>6221</v>
      </c>
      <c r="R1926" s="3" t="inlineStr">
        <is>
          <t>지정되지않음</t>
        </is>
      </c>
      <c r="S1926" s="3" t="inlineStr">
        <is>
          <t>자연림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용암리 166-5</t>
        </is>
      </c>
      <c r="B1927" s="3" t="inlineStr">
        <is>
          <t>계획관리지역</t>
        </is>
      </c>
      <c r="C1927" s="3" t="inlineStr">
        <is>
          <t>대</t>
        </is>
      </c>
      <c r="D1927" s="3" t="inlineStr">
        <is>
          <t>대</t>
        </is>
      </c>
      <c r="E1927" s="3" t="inlineStr">
        <is>
          <t>매매</t>
        </is>
      </c>
      <c r="F1927" s="4" t="n">
        <v>304800</v>
      </c>
      <c r="G1927" s="4" t="n">
        <v>869</v>
      </c>
      <c r="H1927" s="4" t="n">
        <v>263</v>
      </c>
      <c r="I1927" s="5" t="n">
        <v>1158.9</v>
      </c>
      <c r="J1927" s="5" t="n">
        <v>220.9</v>
      </c>
      <c r="K1927" s="3" t="inlineStr">
        <is>
          <t>와촌리 국가산업단지와 가까움, 2차선변 주차용이,투자로최고</t>
        </is>
      </c>
      <c r="L1927" s="6">
        <f>HYPERLINK("https://fin.land.naver.com/articles/2653880460", "매물Link")</f>
        <v/>
      </c>
      <c r="M1927" s="6">
        <f>HYPERLINK("https://map.naver.com/p/search/연서면 용암리 166-5", "지도Link")</f>
        <v/>
      </c>
      <c r="N1927" s="6">
        <f>HYPERLINK("http://www.eum.go.kr/web/ar/lu/luLandDet.jsp?pnu=3611036025101660005&amp;isNoScr=script&amp;mode=search", "토지이음")</f>
        <v/>
      </c>
      <c r="O1927" s="3" t="inlineStr">
        <is>
          <t>세종공주제일</t>
        </is>
      </c>
      <c r="P1927" s="4" t="n">
        <v>1</v>
      </c>
      <c r="Q1927" s="4" t="n">
        <v>869</v>
      </c>
      <c r="R1927" s="3" t="inlineStr">
        <is>
          <t>지정되지않음</t>
        </is>
      </c>
      <c r="S1927" s="3" t="inlineStr">
        <is>
          <t>상업용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용암리 216-5</t>
        </is>
      </c>
      <c r="B1928" s="3" t="inlineStr">
        <is>
          <t>생산관리지역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58000</v>
      </c>
      <c r="G1928" s="4" t="n">
        <v>1059</v>
      </c>
      <c r="H1928" s="4" t="n">
        <v>320</v>
      </c>
      <c r="I1928" s="5" t="n">
        <v>181.2</v>
      </c>
      <c r="J1928" s="5" t="n">
        <v>116.5</v>
      </c>
      <c r="K1928" s="3" t="inlineStr">
        <is>
          <t>급매, 조율도가능, 건축 휴게음식점 가능</t>
        </is>
      </c>
      <c r="L1928" s="6">
        <f>HYPERLINK("https://fin.land.naver.com/articles/2650890760", "매물Link")</f>
        <v/>
      </c>
      <c r="M1928" s="6">
        <f>HYPERLINK("https://map.naver.com/p/search/연서면 용암리 216-5", "지도Link")</f>
        <v/>
      </c>
      <c r="N1928" s="6">
        <f>HYPERLINK("http://www.eum.go.kr/web/ar/lu/luLandDet.jsp?pnu=3611036025102160005&amp;isNoScr=script&amp;mode=search", "토지이음")</f>
        <v/>
      </c>
      <c r="O1928" s="3" t="inlineStr">
        <is>
          <t>세종무지개</t>
        </is>
      </c>
      <c r="P1928" s="4" t="n">
        <v>1</v>
      </c>
      <c r="Q1928" s="4" t="n">
        <v>858</v>
      </c>
      <c r="R1928" s="3" t="inlineStr">
        <is>
          <t>자연환경보전지역</t>
        </is>
      </c>
      <c r="S1928" s="3" t="inlineStr">
        <is>
          <t>주상기타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용암리 225-12</t>
        </is>
      </c>
      <c r="B1929" s="3" t="inlineStr">
        <is>
          <t>농림지역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151000</v>
      </c>
      <c r="G1929" s="4" t="n">
        <v>6254</v>
      </c>
      <c r="H1929" s="4" t="n">
        <v>1892</v>
      </c>
      <c r="I1929" s="5" t="n">
        <v>79.8</v>
      </c>
      <c r="J1929" s="5" t="n">
        <v>30</v>
      </c>
      <c r="K1929" s="3" t="inlineStr">
        <is>
          <t>고복저수지 인근 용암리 도로접한 농업보호구역 토지 급매.</t>
        </is>
      </c>
      <c r="L1929" s="6">
        <f>HYPERLINK("https://fin.land.naver.com/articles/2654658498", "매물Link")</f>
        <v/>
      </c>
      <c r="M1929" s="6">
        <f>HYPERLINK("https://map.naver.com/p/search/연서면 용암리 225-12", "지도Link")</f>
        <v/>
      </c>
      <c r="N1929" s="6">
        <f>HYPERLINK("http://www.eum.go.kr/web/ar/lu/luLandDet.jsp?pnu=3611036025102250012&amp;isNoScr=script&amp;mode=search", "토지이음")</f>
        <v/>
      </c>
      <c r="O1929" s="3" t="inlineStr">
        <is>
          <t>세종대장</t>
        </is>
      </c>
      <c r="P1929" s="4" t="n">
        <v>1</v>
      </c>
      <c r="Q1929" s="4" t="n">
        <v>3198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용암리 229-1</t>
        </is>
      </c>
      <c r="B1930" s="3" t="inlineStr">
        <is>
          <t>농림지역</t>
        </is>
      </c>
      <c r="C1930" s="3" t="inlineStr">
        <is>
          <t>목장용지</t>
        </is>
      </c>
      <c r="D1930" s="3" t="inlineStr">
        <is>
          <t>목장용지</t>
        </is>
      </c>
      <c r="E1930" s="3" t="inlineStr">
        <is>
          <t>매매</t>
        </is>
      </c>
      <c r="F1930" s="4" t="n">
        <v>42000</v>
      </c>
      <c r="G1930" s="4" t="n">
        <v>929</v>
      </c>
      <c r="H1930" s="4" t="n">
        <v>281</v>
      </c>
      <c r="I1930" s="5" t="n">
        <v>149.5</v>
      </c>
      <c r="J1930" s="5" t="n">
        <v>35</v>
      </c>
      <c r="K1930" s="3" t="inlineStr">
        <is>
          <t>고복저수지 인근, 연기휴게소 근처임. 넓은국유지접함</t>
        </is>
      </c>
      <c r="L1930" s="6">
        <f>HYPERLINK("https://fin.land.naver.com/articles/2652121887", "매물Link")</f>
        <v/>
      </c>
      <c r="M1930" s="6">
        <f>HYPERLINK("https://map.naver.com/p/search/연서면 용암리 229-1", "지도Link")</f>
        <v/>
      </c>
      <c r="N1930" s="6">
        <f>HYPERLINK("http://www.eum.go.kr/web/ar/lu/luLandDet.jsp?pnu=3611036025102290001&amp;isNoScr=script&amp;mode=search", "토지이음")</f>
        <v/>
      </c>
      <c r="O1930" s="3" t="inlineStr">
        <is>
          <t>미스터홈즈강남지사</t>
        </is>
      </c>
      <c r="P1930" s="4" t="n">
        <v>1</v>
      </c>
      <c r="Q1930" s="4" t="n">
        <v>929</v>
      </c>
      <c r="R1930" s="3" t="inlineStr">
        <is>
          <t>생산관리지역</t>
        </is>
      </c>
      <c r="S1930" s="3" t="inlineStr">
        <is>
          <t>전기타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용암리 239-11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24000</v>
      </c>
      <c r="G1931" s="4" t="n">
        <v>577</v>
      </c>
      <c r="H1931" s="4" t="n">
        <v>175</v>
      </c>
      <c r="I1931" s="5" t="n">
        <v>137.1</v>
      </c>
      <c r="J1931" s="5" t="n">
        <v>43.2</v>
      </c>
      <c r="K1931" s="3" t="inlineStr">
        <is>
          <t>nan</t>
        </is>
      </c>
      <c r="L1931" s="6">
        <f>HYPERLINK("https://fin.land.naver.com/articles/2654421128", "매물Link")</f>
        <v/>
      </c>
      <c r="M1931" s="6">
        <f>HYPERLINK("https://map.naver.com/p/search/연서면 용암리 239-11", "지도Link")</f>
        <v/>
      </c>
      <c r="N1931" s="6">
        <f>HYPERLINK("http://www.eum.go.kr/web/ar/lu/luLandDet.jsp?pnu=3611036025102390011&amp;isNoScr=script&amp;mode=search", "토지이음")</f>
        <v/>
      </c>
      <c r="O1931" s="3" t="inlineStr">
        <is>
          <t>그래그</t>
        </is>
      </c>
      <c r="P1931" s="4" t="n">
        <v>1</v>
      </c>
      <c r="Q1931" s="4" t="n">
        <v>577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용암리 239-3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59000</v>
      </c>
      <c r="G1932" s="4" t="n">
        <v>1443</v>
      </c>
      <c r="H1932" s="4" t="n">
        <v>437</v>
      </c>
      <c r="I1932" s="5" t="n">
        <v>135</v>
      </c>
      <c r="J1932" s="5" t="n">
        <v>45.4</v>
      </c>
      <c r="K1932" s="3" t="inlineStr">
        <is>
          <t>nan</t>
        </is>
      </c>
      <c r="L1932" s="6">
        <f>HYPERLINK("https://fin.land.naver.com/articles/2654420880", "매물Link")</f>
        <v/>
      </c>
      <c r="M1932" s="6">
        <f>HYPERLINK("https://map.naver.com/p/search/연서면 용암리 239-3", "지도Link")</f>
        <v/>
      </c>
      <c r="N1932" s="6">
        <f>HYPERLINK("http://www.eum.go.kr/web/ar/lu/luLandDet.jsp?pnu=3611036025102390003&amp;isNoScr=script&amp;mode=search", "토지이음")</f>
        <v/>
      </c>
      <c r="O1932" s="3" t="inlineStr">
        <is>
          <t>그래그</t>
        </is>
      </c>
      <c r="P1932" s="4" t="n">
        <v>1</v>
      </c>
      <c r="Q1932" s="4" t="n">
        <v>1443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세로한면(불)</t>
        </is>
      </c>
    </row>
    <row r="1933">
      <c r="A1933" s="3" t="inlineStr">
        <is>
          <t>연서면 용암리 245-2</t>
        </is>
      </c>
      <c r="B1933" s="3" t="inlineStr">
        <is>
          <t>농림지역</t>
        </is>
      </c>
      <c r="C1933" s="3" t="inlineStr">
        <is>
          <t>잡종지</t>
        </is>
      </c>
      <c r="D1933" s="3" t="inlineStr">
        <is>
          <t>잡종지</t>
        </is>
      </c>
      <c r="E1933" s="3" t="inlineStr">
        <is>
          <t>매매</t>
        </is>
      </c>
      <c r="F1933" s="4" t="n">
        <v>323000</v>
      </c>
      <c r="G1933" s="4" t="n">
        <v>17797</v>
      </c>
      <c r="H1933" s="4" t="n">
        <v>5384</v>
      </c>
      <c r="I1933" s="5" t="n">
        <v>60</v>
      </c>
      <c r="J1933" s="5" t="n">
        <v>37.9</v>
      </c>
      <c r="K1933" s="3" t="inlineStr">
        <is>
          <t>태양광 시설 및 경사도 없는 야산으로 태양광 시설을 확장할 수 있는 임야</t>
        </is>
      </c>
      <c r="L1933" s="6">
        <f>HYPERLINK("https://fin.land.naver.com/articles/2651949989", "매물Link")</f>
        <v/>
      </c>
      <c r="M1933" s="6">
        <f>HYPERLINK("https://map.naver.com/p/search/연서면 용암리 245-2", "지도Link")</f>
        <v/>
      </c>
      <c r="N1933" s="6">
        <f>HYPERLINK("http://www.eum.go.kr/web/ar/lu/luLandDet.jsp?pnu=3611036025102450002&amp;isNoScr=script&amp;mode=search", "토지이음")</f>
        <v/>
      </c>
      <c r="O1933" s="3" t="inlineStr">
        <is>
          <t>스마일세종</t>
        </is>
      </c>
      <c r="P1933" s="4" t="n">
        <v>1</v>
      </c>
      <c r="Q1933" s="4" t="n">
        <v>4332</v>
      </c>
      <c r="R1933" s="3" t="inlineStr">
        <is>
          <t>지정되지않음</t>
        </is>
      </c>
      <c r="S1933" s="3" t="inlineStr">
        <is>
          <t>태양광발전소부지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용암리 283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16300</v>
      </c>
      <c r="G1934" s="4" t="n">
        <v>770</v>
      </c>
      <c r="H1934" s="4" t="n">
        <v>233</v>
      </c>
      <c r="I1934" s="5" t="n">
        <v>70</v>
      </c>
      <c r="J1934" s="5" t="n">
        <v>20.7</v>
      </c>
      <c r="K1934" s="3" t="inlineStr">
        <is>
          <t>세종시 휴게소 예정지 인근 토지매매, 과수원매매</t>
        </is>
      </c>
      <c r="L1934" s="6">
        <f>HYPERLINK("https://fin.land.naver.com/articles/2652362367", "매물Link")</f>
        <v/>
      </c>
      <c r="M1934" s="6">
        <f>HYPERLINK("https://map.naver.com/p/search/연서면 용암리 283", "지도Link")</f>
        <v/>
      </c>
      <c r="N1934" s="6">
        <f>HYPERLINK("http://www.eum.go.kr/web/ar/lu/luLandDet.jsp?pnu=3611036025102830000&amp;isNoScr=script&amp;mode=search", "토지이음")</f>
        <v/>
      </c>
      <c r="O1934" s="3" t="inlineStr">
        <is>
          <t>유성대박</t>
        </is>
      </c>
      <c r="P1934" s="4" t="n">
        <v>1</v>
      </c>
      <c r="Q1934" s="4" t="n">
        <v>770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용암리 295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31150</v>
      </c>
      <c r="G1935" s="4" t="n">
        <v>1471</v>
      </c>
      <c r="H1935" s="4" t="n">
        <v>445</v>
      </c>
      <c r="I1935" s="5" t="n">
        <v>70</v>
      </c>
      <c r="J1935" s="5" t="n">
        <v>17.6</v>
      </c>
      <c r="K1935" s="3" t="inlineStr">
        <is>
          <t>세종시 고속도로 휴게소 예정지 인근 토지매매</t>
        </is>
      </c>
      <c r="L1935" s="6">
        <f>HYPERLINK("https://fin.land.naver.com/articles/2652364710", "매물Link")</f>
        <v/>
      </c>
      <c r="M1935" s="6">
        <f>HYPERLINK("https://map.naver.com/p/search/연서면 용암리 295", "지도Link")</f>
        <v/>
      </c>
      <c r="N1935" s="6">
        <f>HYPERLINK("http://www.eum.go.kr/web/ar/lu/luLandDet.jsp?pnu=3611036025102950000&amp;isNoScr=script&amp;mode=search", "토지이음")</f>
        <v/>
      </c>
      <c r="O1935" s="3" t="inlineStr">
        <is>
          <t>유성대박</t>
        </is>
      </c>
      <c r="P1935" s="4" t="n">
        <v>1</v>
      </c>
      <c r="Q1935" s="4" t="n">
        <v>1471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296</t>
        </is>
      </c>
      <c r="B1936" s="3" t="inlineStr">
        <is>
          <t>생산관리지역</t>
        </is>
      </c>
      <c r="C1936" s="3" t="inlineStr">
        <is>
          <t>전</t>
        </is>
      </c>
      <c r="D1936" s="3" t="inlineStr">
        <is>
          <t>전</t>
        </is>
      </c>
      <c r="E1936" s="3" t="inlineStr">
        <is>
          <t>매매</t>
        </is>
      </c>
      <c r="F1936" s="4" t="n">
        <v>41000</v>
      </c>
      <c r="G1936" s="4" t="n">
        <v>1921</v>
      </c>
      <c r="H1936" s="4" t="n">
        <v>581</v>
      </c>
      <c r="I1936" s="5" t="n">
        <v>70.59999999999999</v>
      </c>
      <c r="J1936" s="5" t="n">
        <v>20.7</v>
      </c>
      <c r="K1936" s="3" t="inlineStr">
        <is>
          <t>세종시 토지매매. 휴게소 예정지 인근</t>
        </is>
      </c>
      <c r="L1936" s="6">
        <f>HYPERLINK("https://fin.land.naver.com/articles/2652374689", "매물Link")</f>
        <v/>
      </c>
      <c r="M1936" s="6">
        <f>HYPERLINK("https://map.naver.com/p/search/연서면 용암리 296", "지도Link")</f>
        <v/>
      </c>
      <c r="N1936" s="6">
        <f>HYPERLINK("http://www.eum.go.kr/web/ar/lu/luLandDet.jsp?pnu=3611036025102960000&amp;isNoScr=script&amp;mode=search", "토지이음")</f>
        <v/>
      </c>
      <c r="O1936" s="3" t="inlineStr">
        <is>
          <t>유성대박</t>
        </is>
      </c>
      <c r="P1936" s="4" t="n">
        <v>1</v>
      </c>
      <c r="Q1936" s="4" t="n">
        <v>1921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용암리 45-23</t>
        </is>
      </c>
      <c r="B1937" s="3" t="inlineStr">
        <is>
          <t>농림지역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40000</v>
      </c>
      <c r="G1937" s="4" t="n">
        <v>335</v>
      </c>
      <c r="H1937" s="4" t="n">
        <v>101</v>
      </c>
      <c r="I1937" s="5" t="n">
        <v>396</v>
      </c>
      <c r="J1937" s="5" t="n">
        <v>35.7</v>
      </c>
      <c r="K1937" s="3" t="inlineStr">
        <is>
          <t>고복저수지 뷰 도로에접한 저렴한 토지</t>
        </is>
      </c>
      <c r="L1937" s="6">
        <f>HYPERLINK("https://fin.land.naver.com/articles/2650856648", "매물Link")</f>
        <v/>
      </c>
      <c r="M1937" s="6">
        <f>HYPERLINK("https://map.naver.com/p/search/연서면 용암리 45-23", "지도Link")</f>
        <v/>
      </c>
      <c r="N1937" s="6">
        <f>HYPERLINK("http://www.eum.go.kr/web/ar/lu/luLandDet.jsp?pnu=3611036025100450023&amp;isNoScr=script&amp;mode=search", "토지이음")</f>
        <v/>
      </c>
      <c r="O1937" s="3" t="inlineStr">
        <is>
          <t>세종대박</t>
        </is>
      </c>
      <c r="P1937" s="4" t="n">
        <v>1</v>
      </c>
      <c r="Q1937" s="4" t="n">
        <v>335</v>
      </c>
      <c r="R1937" s="3" t="inlineStr">
        <is>
          <t>지정되지않음</t>
        </is>
      </c>
      <c r="S1937" s="3" t="inlineStr">
        <is>
          <t>전</t>
        </is>
      </c>
      <c r="T1937" s="3" t="inlineStr">
        <is>
          <t>평지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용암리 산28-16</t>
        </is>
      </c>
      <c r="B1938" s="3" t="inlineStr">
        <is>
          <t>농림지역</t>
        </is>
      </c>
      <c r="C1938" s="3" t="inlineStr">
        <is>
          <t>임야</t>
        </is>
      </c>
      <c r="D1938" s="3" t="inlineStr">
        <is>
          <t>임야</t>
        </is>
      </c>
      <c r="E1938" s="3" t="inlineStr">
        <is>
          <t>매매</t>
        </is>
      </c>
      <c r="F1938" s="4" t="n">
        <v>73000</v>
      </c>
      <c r="G1938" s="4" t="n">
        <v>3377</v>
      </c>
      <c r="H1938" s="4" t="n">
        <v>1022</v>
      </c>
      <c r="I1938" s="5" t="n">
        <v>71.40000000000001</v>
      </c>
      <c r="J1938" s="5" t="n">
        <v>2.3</v>
      </c>
      <c r="K1938" s="3" t="inlineStr">
        <is>
          <t>세종 연서면 약 10만평 대규모 토지 통매매｜대단위 부지 찾는 분 주목</t>
        </is>
      </c>
      <c r="L1938" s="6">
        <f>HYPERLINK("https://fin.land.naver.com/articles/2652337059", "매물Link")</f>
        <v/>
      </c>
      <c r="M1938" s="6">
        <f>HYPERLINK("https://map.naver.com/p/search/연서면 용암리 산28-16", "지도Link")</f>
        <v/>
      </c>
      <c r="N1938" s="6">
        <f>HYPERLINK("http://www.eum.go.kr/web/ar/lu/luLandDet.jsp?pnu=3611036025200280016&amp;isNoScr=script&amp;mode=search", "토지이음")</f>
        <v/>
      </c>
      <c r="O1938" s="3" t="inlineStr">
        <is>
          <t>세종몽땅</t>
        </is>
      </c>
      <c r="P1938" s="4" t="n">
        <v>1</v>
      </c>
      <c r="Q1938" s="4" t="n">
        <v>1512</v>
      </c>
      <c r="R1938" s="3" t="inlineStr">
        <is>
          <t>지정되지않음</t>
        </is>
      </c>
      <c r="S1938" s="3" t="inlineStr">
        <is>
          <t>자연림</t>
        </is>
      </c>
      <c r="T1938" s="3" t="inlineStr">
        <is>
          <t>급경사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월하리 1035-2</t>
        </is>
      </c>
      <c r="B1939" s="3" t="inlineStr">
        <is>
          <t>자연녹지지역</t>
        </is>
      </c>
      <c r="C1939" s="3" t="inlineStr">
        <is>
          <t>과수원</t>
        </is>
      </c>
      <c r="D1939" s="3" t="inlineStr">
        <is>
          <t>과수원</t>
        </is>
      </c>
      <c r="E1939" s="3" t="inlineStr">
        <is>
          <t>매매</t>
        </is>
      </c>
      <c r="F1939" s="4" t="n">
        <v>176000</v>
      </c>
      <c r="G1939" s="4" t="n">
        <v>1455</v>
      </c>
      <c r="H1939" s="4" t="n">
        <v>440</v>
      </c>
      <c r="I1939" s="5" t="n">
        <v>400</v>
      </c>
      <c r="J1939" s="5" t="n">
        <v>113</v>
      </c>
      <c r="K1939" s="3" t="inlineStr">
        <is>
          <t>연서면 월하리 2차선, 4차선 계획 예정 도로에 접한 투자가치 좋은 급매</t>
        </is>
      </c>
      <c r="L1939" s="6">
        <f>HYPERLINK("https://fin.land.naver.com/articles/2652684372", "매물Link")</f>
        <v/>
      </c>
      <c r="M1939" s="6">
        <f>HYPERLINK("https://map.naver.com/p/search/연서면 월하리 1035-2", "지도Link")</f>
        <v/>
      </c>
      <c r="N1939" s="6">
        <f>HYPERLINK("http://www.eum.go.kr/web/ar/lu/luLandDet.jsp?pnu=3611036021110350002&amp;isNoScr=script&amp;mode=search",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1455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월하리 1041</t>
        </is>
      </c>
      <c r="B1940" s="3" t="inlineStr">
        <is>
          <t>자연녹지지역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120000</v>
      </c>
      <c r="G1940" s="4" t="n">
        <v>1597</v>
      </c>
      <c r="H1940" s="4" t="n">
        <v>483</v>
      </c>
      <c r="I1940" s="5" t="n">
        <v>248.4</v>
      </c>
      <c r="J1940" s="5" t="n">
        <v>195.9</v>
      </c>
      <c r="K1940" s="3" t="inlineStr">
        <is>
          <t>월하리 자연녹지지역 저렴한 토지 급매. 포장도로 접함.</t>
        </is>
      </c>
      <c r="L1940" s="6">
        <f>HYPERLINK("https://fin.land.naver.com/articles/2651466882", "매물Link")</f>
        <v/>
      </c>
      <c r="M1940" s="6">
        <f>HYPERLINK("https://map.naver.com/p/search/연서면 월하리 1041", "지도Link")</f>
        <v/>
      </c>
      <c r="N1940" s="6">
        <f>HYPERLINK("http://www.eum.go.kr/web/ar/lu/luLandDet.jsp?pnu=3611036021110410000&amp;isNoScr=script&amp;mode=search", "토지이음")</f>
        <v/>
      </c>
      <c r="O1940" s="3" t="inlineStr">
        <is>
          <t>세종대장</t>
        </is>
      </c>
      <c r="P1940" s="4" t="n">
        <v>1</v>
      </c>
      <c r="Q1940" s="4" t="n">
        <v>1597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월하리 1054</t>
        </is>
      </c>
      <c r="B1941" s="3" t="inlineStr">
        <is>
          <t>자연녹지지역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186000</v>
      </c>
      <c r="G1941" s="4" t="n">
        <v>2205</v>
      </c>
      <c r="H1941" s="4" t="n">
        <v>667</v>
      </c>
      <c r="I1941" s="5" t="n">
        <v>278.9</v>
      </c>
      <c r="J1941" s="5" t="n">
        <v>96.59999999999999</v>
      </c>
      <c r="K1941" s="3" t="inlineStr">
        <is>
          <t>조치원공공주택지구 개발예정지 인근에 인접한 토지</t>
        </is>
      </c>
      <c r="L1941" s="6">
        <f>HYPERLINK("https://fin.land.naver.com/articles/2655258359", "매물Link")</f>
        <v/>
      </c>
      <c r="M1941" s="6">
        <f>HYPERLINK("https://map.naver.com/p/search/연서면 월하리 1054", "지도Link")</f>
        <v/>
      </c>
      <c r="N1941" s="6">
        <f>HYPERLINK("http://www.eum.go.kr/web/ar/lu/luLandDet.jsp?pnu=3611036021110540000&amp;isNoScr=script&amp;mode=search", "토지이음")</f>
        <v/>
      </c>
      <c r="O1941" s="3" t="inlineStr">
        <is>
          <t>세종대박</t>
        </is>
      </c>
      <c r="P1941" s="4" t="n">
        <v>1</v>
      </c>
      <c r="Q1941" s="4" t="n">
        <v>2205</v>
      </c>
      <c r="R1941" s="3" t="inlineStr">
        <is>
          <t>지정되지않음</t>
        </is>
      </c>
      <c r="S1941" s="3" t="inlineStr">
        <is>
          <t>답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월하리 1055-1</t>
        </is>
      </c>
      <c r="B1942" s="3" t="inlineStr">
        <is>
          <t>자연녹지지역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200000</v>
      </c>
      <c r="G1942" s="4" t="n">
        <v>1653</v>
      </c>
      <c r="H1942" s="4" t="n">
        <v>500</v>
      </c>
      <c r="I1942" s="5" t="n">
        <v>400</v>
      </c>
      <c r="J1942" s="5" t="n">
        <v>96.59999999999999</v>
      </c>
      <c r="K1942" s="3" t="inlineStr">
        <is>
          <t>nan</t>
        </is>
      </c>
      <c r="L1942" s="6">
        <f>HYPERLINK("https://fin.land.naver.com/articles/2655658047", "매물Link")</f>
        <v/>
      </c>
      <c r="M1942" s="6">
        <f>HYPERLINK("https://map.naver.com/p/search/연서면 월하리 1055-1", "지도Link")</f>
        <v/>
      </c>
      <c r="N1942" s="6">
        <f>HYPERLINK("http://www.eum.go.kr/web/ar/lu/luLandDet.jsp?pnu=3611036021110550001&amp;isNoScr=script&amp;mode=search", "토지이음")</f>
        <v/>
      </c>
      <c r="O1942" s="3" t="inlineStr">
        <is>
          <t>온뜰</t>
        </is>
      </c>
      <c r="P1942" s="4" t="n">
        <v>1</v>
      </c>
      <c r="Q1942" s="4" t="n">
        <v>3712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월하리 1055-1</t>
        </is>
      </c>
      <c r="B1943" s="3" t="inlineStr">
        <is>
          <t>자연녹지지역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330000</v>
      </c>
      <c r="G1943" s="4" t="n">
        <v>3712</v>
      </c>
      <c r="H1943" s="4" t="n">
        <v>1123</v>
      </c>
      <c r="I1943" s="5" t="n">
        <v>293.9</v>
      </c>
      <c r="J1943" s="5" t="n">
        <v>96.59999999999999</v>
      </c>
      <c r="K1943" s="3" t="inlineStr">
        <is>
          <t>세종 조치원 공공주택지구 인근 투자용 토지 매매</t>
        </is>
      </c>
      <c r="L1943" s="6">
        <f>HYPERLINK("https://fin.land.naver.com/articles/2655091100", "매물Link")</f>
        <v/>
      </c>
      <c r="M1943" s="6">
        <f>HYPERLINK("https://map.naver.com/p/search/연서면 월하리 1055-1", "지도Link")</f>
        <v/>
      </c>
      <c r="N1943" s="6">
        <f>HYPERLINK("http://www.eum.go.kr/web/ar/lu/luLandDet.jsp?pnu=3611036021110550001&amp;isNoScr=script&amp;mode=search", "토지이음")</f>
        <v/>
      </c>
      <c r="O1943" s="3" t="inlineStr">
        <is>
          <t>(주)해뜰터</t>
        </is>
      </c>
      <c r="P1943" s="4" t="n">
        <v>1</v>
      </c>
      <c r="Q1943" s="4" t="n">
        <v>3712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월하리 1055-1</t>
        </is>
      </c>
      <c r="B1944" s="3" t="inlineStr">
        <is>
          <t>자연녹지지역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330000</v>
      </c>
      <c r="G1944" s="4" t="n">
        <v>3712</v>
      </c>
      <c r="H1944" s="4" t="n">
        <v>1123</v>
      </c>
      <c r="I1944" s="5" t="n">
        <v>293.9</v>
      </c>
      <c r="J1944" s="5" t="n">
        <v>96.59999999999999</v>
      </c>
      <c r="K1944" s="3" t="inlineStr">
        <is>
          <t>자연녹지토지 분할매매가능</t>
        </is>
      </c>
      <c r="L1944" s="6">
        <f>HYPERLINK("https://fin.land.naver.com/articles/2655258476", "매물Link")</f>
        <v/>
      </c>
      <c r="M1944" s="6">
        <f>HYPERLINK("https://map.naver.com/p/search/연서면 월하리 1055-1", "지도Link")</f>
        <v/>
      </c>
      <c r="N1944" s="6">
        <f>HYPERLINK("http://www.eum.go.kr/web/ar/lu/luLandDet.jsp?pnu=3611036021110550001&amp;isNoScr=script&amp;mode=search", "토지이음")</f>
        <v/>
      </c>
      <c r="O1944" s="3" t="inlineStr">
        <is>
          <t>세종대박</t>
        </is>
      </c>
      <c r="P1944" s="4" t="n">
        <v>2</v>
      </c>
      <c r="Q1944" s="4" t="n">
        <v>3712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연서면 월하리 1056</t>
        </is>
      </c>
      <c r="B1945" s="3" t="inlineStr">
        <is>
          <t>자연녹지지역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247000</v>
      </c>
      <c r="G1945" s="4" t="n">
        <v>4087</v>
      </c>
      <c r="H1945" s="4" t="n">
        <v>1236</v>
      </c>
      <c r="I1945" s="5" t="n">
        <v>199.8</v>
      </c>
      <c r="J1945" s="5" t="n">
        <v>96.59999999999999</v>
      </c>
      <c r="K1945" s="3" t="inlineStr">
        <is>
          <t>월하리 포장도로 접한 자연녹지지역 밭으로 이용. 총 4필지로 급매.</t>
        </is>
      </c>
      <c r="L1945" s="6">
        <f>HYPERLINK("https://fin.land.naver.com/articles/2654844963", "매물Link")</f>
        <v/>
      </c>
      <c r="M1945" s="6">
        <f>HYPERLINK("https://map.naver.com/p/search/연서면 월하리 1056", "지도Link")</f>
        <v/>
      </c>
      <c r="N1945" s="6">
        <f>HYPERLINK("http://www.eum.go.kr/web/ar/lu/luLandDet.jsp?pnu=3611036021110560000&amp;isNoScr=script&amp;mode=search", "토지이음")</f>
        <v/>
      </c>
      <c r="O1945" s="3" t="inlineStr">
        <is>
          <t>세종대장</t>
        </is>
      </c>
      <c r="P1945" s="4" t="n">
        <v>1</v>
      </c>
      <c r="Q1945" s="4" t="n">
        <v>2086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월하리 1103-51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150000</v>
      </c>
      <c r="G1946" s="4" t="n">
        <v>3313</v>
      </c>
      <c r="H1946" s="4" t="n">
        <v>1002</v>
      </c>
      <c r="I1946" s="5" t="n">
        <v>149.7</v>
      </c>
      <c r="J1946" s="5" t="n">
        <v>72.2</v>
      </c>
      <c r="K1946" s="3" t="inlineStr">
        <is>
          <t>가격 조율가,조치원 공공택지 개발지 인근</t>
        </is>
      </c>
      <c r="L1946" s="6">
        <f>HYPERLINK("https://fin.land.naver.com/articles/2650022169", "매물Link")</f>
        <v/>
      </c>
      <c r="M1946" s="6">
        <f>HYPERLINK("https://map.naver.com/p/search/연서면 월하리 1103-51", "지도Link")</f>
        <v/>
      </c>
      <c r="N1946" s="6">
        <f>HYPERLINK("http://www.eum.go.kr/web/ar/lu/luLandDet.jsp?pnu=3611036021111030051&amp;isNoScr=script&amp;mode=search", "토지이음")</f>
        <v/>
      </c>
      <c r="O1946" s="3" t="inlineStr">
        <is>
          <t>나릿재OK</t>
        </is>
      </c>
      <c r="P1946" s="4" t="n">
        <v>1</v>
      </c>
      <c r="Q1946" s="4" t="n">
        <v>3313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월하리 1103-54</t>
        </is>
      </c>
      <c r="B1947" s="3" t="inlineStr">
        <is>
          <t>자연녹지지역</t>
        </is>
      </c>
      <c r="C1947" s="3" t="inlineStr">
        <is>
          <t>과수원</t>
        </is>
      </c>
      <c r="D1947" s="3" t="inlineStr">
        <is>
          <t>과수원</t>
        </is>
      </c>
      <c r="E1947" s="3" t="inlineStr">
        <is>
          <t>매매</t>
        </is>
      </c>
      <c r="F1947" s="4" t="n">
        <v>180000</v>
      </c>
      <c r="G1947" s="4" t="n">
        <v>1676</v>
      </c>
      <c r="H1947" s="4" t="n">
        <v>507</v>
      </c>
      <c r="I1947" s="5" t="n">
        <v>355</v>
      </c>
      <c r="J1947" s="5" t="n">
        <v>121.8</v>
      </c>
      <c r="K1947" s="3" t="inlineStr">
        <is>
          <t>2차선 도로에 접해 있어 근생 부지로 적합한 도시지역 자연녹지의 과수원</t>
        </is>
      </c>
      <c r="L1947" s="6">
        <f>HYPERLINK("https://fin.land.naver.com/articles/2651465498", "매물Link")</f>
        <v/>
      </c>
      <c r="M1947" s="6">
        <f>HYPERLINK("https://map.naver.com/p/search/연서면 월하리 1103-54", "지도Link")</f>
        <v/>
      </c>
      <c r="N1947" s="6">
        <f>HYPERLINK("http://www.eum.go.kr/web/ar/lu/luLandDet.jsp?pnu=3611036021111030054&amp;isNoScr=script&amp;mode=search", "토지이음")</f>
        <v/>
      </c>
      <c r="O1947" s="3" t="inlineStr">
        <is>
          <t>스마일세종</t>
        </is>
      </c>
      <c r="P1947" s="4" t="n">
        <v>1</v>
      </c>
      <c r="Q1947" s="4" t="n">
        <v>1676</v>
      </c>
      <c r="R1947" s="3" t="inlineStr">
        <is>
          <t>지정되지않음</t>
        </is>
      </c>
      <c r="S1947" s="3" t="inlineStr">
        <is>
          <t>과수원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소로한면</t>
        </is>
      </c>
    </row>
    <row r="1948">
      <c r="A1948" s="3" t="inlineStr">
        <is>
          <t>연서면 월하리 1138-4</t>
        </is>
      </c>
      <c r="B1948" s="3" t="inlineStr">
        <is>
          <t>자연녹지지역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68000</v>
      </c>
      <c r="G1948" s="4" t="n">
        <v>1818</v>
      </c>
      <c r="H1948" s="4" t="n">
        <v>550</v>
      </c>
      <c r="I1948" s="5" t="n">
        <v>123.6</v>
      </c>
      <c r="J1948" s="5" t="n">
        <v>69.59999999999999</v>
      </c>
      <c r="K1948" s="3" t="inlineStr">
        <is>
          <t>위치가 좋은 토지</t>
        </is>
      </c>
      <c r="L1948" s="6">
        <f>HYPERLINK("https://fin.land.naver.com/articles/2654845367", "매물Link")</f>
        <v/>
      </c>
      <c r="M1948" s="6">
        <f>HYPERLINK("https://map.naver.com/p/search/연서면 월하리 1138-4", "지도Link")</f>
        <v/>
      </c>
      <c r="N1948" s="6">
        <f>HYPERLINK("http://www.eum.go.kr/web/ar/lu/luLandDet.jsp?pnu=3611036021111380004&amp;isNoScr=script&amp;mode=search", "토지이음")</f>
        <v/>
      </c>
      <c r="O1948" s="3" t="inlineStr">
        <is>
          <t>세종리츠</t>
        </is>
      </c>
      <c r="P1948" s="4" t="n">
        <v>1</v>
      </c>
      <c r="Q1948" s="4" t="n">
        <v>1818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맹지</t>
        </is>
      </c>
    </row>
    <row r="1949">
      <c r="A1949" s="3" t="inlineStr">
        <is>
          <t>연서면 월하리 1153</t>
        </is>
      </c>
      <c r="B1949" s="3" t="inlineStr">
        <is>
          <t>자연녹지지역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27500</v>
      </c>
      <c r="G1949" s="4" t="n">
        <v>826</v>
      </c>
      <c r="H1949" s="4" t="n">
        <v>250</v>
      </c>
      <c r="I1949" s="5" t="n">
        <v>110</v>
      </c>
      <c r="J1949" s="5" t="n">
        <v>113.1</v>
      </c>
      <c r="K1949" s="3" t="inlineStr">
        <is>
          <t>조치원 생활권 인접 도로접 자연녹지 토지</t>
        </is>
      </c>
      <c r="L1949" s="6">
        <f>HYPERLINK("https://fin.land.naver.com/articles/2655056197", "매물Link")</f>
        <v/>
      </c>
      <c r="M1949" s="6">
        <f>HYPERLINK("https://map.naver.com/p/search/연서면 월하리 1153", "지도Link")</f>
        <v/>
      </c>
      <c r="N1949" s="6">
        <f>HYPERLINK("http://www.eum.go.kr/web/ar/lu/luLandDet.jsp?pnu=3611036021111530000&amp;isNoScr=script&amp;mode=search", "토지이음")</f>
        <v/>
      </c>
      <c r="O1949" s="3" t="inlineStr">
        <is>
          <t>세종소담황금</t>
        </is>
      </c>
      <c r="P1949" s="4" t="n">
        <v>2</v>
      </c>
      <c r="Q1949" s="4" t="n">
        <v>650</v>
      </c>
      <c r="R1949" s="3" t="inlineStr">
        <is>
          <t>지정되지않음</t>
        </is>
      </c>
      <c r="S1949" s="3" t="inlineStr">
        <is>
          <t>전축사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1153</t>
        </is>
      </c>
      <c r="B1950" s="3" t="inlineStr">
        <is>
          <t>자연녹지지역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27500</v>
      </c>
      <c r="G1950" s="4" t="n">
        <v>858</v>
      </c>
      <c r="H1950" s="4" t="n">
        <v>260</v>
      </c>
      <c r="I1950" s="5" t="n">
        <v>105.8</v>
      </c>
      <c r="J1950" s="5" t="n">
        <v>113.1</v>
      </c>
      <c r="K1950" s="3" t="inlineStr">
        <is>
          <t>nan</t>
        </is>
      </c>
      <c r="L1950" s="6">
        <f>HYPERLINK("https://fin.land.naver.com/articles/2654397952", "매물Link")</f>
        <v/>
      </c>
      <c r="M1950" s="6">
        <f>HYPERLINK("https://map.naver.com/p/search/연서면 월하리 1153", "지도Link")</f>
        <v/>
      </c>
      <c r="N1950" s="6">
        <f>HYPERLINK("http://www.eum.go.kr/web/ar/lu/luLandDet.jsp?pnu=3611036021111530000&amp;isNoScr=script&amp;mode=search", "토지이음")</f>
        <v/>
      </c>
      <c r="O1950" s="3" t="inlineStr">
        <is>
          <t>Home</t>
        </is>
      </c>
      <c r="P1950" s="4" t="n">
        <v>3</v>
      </c>
      <c r="Q1950" s="4" t="n">
        <v>650</v>
      </c>
      <c r="R1950" s="3" t="inlineStr">
        <is>
          <t>지정되지않음</t>
        </is>
      </c>
      <c r="S1950" s="3" t="inlineStr">
        <is>
          <t>전축사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1274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50000</v>
      </c>
      <c r="G1951" s="4" t="n">
        <v>3263</v>
      </c>
      <c r="H1951" s="4" t="n">
        <v>987</v>
      </c>
      <c r="I1951" s="5" t="n">
        <v>50.7</v>
      </c>
      <c r="J1951" s="5" t="n">
        <v>33</v>
      </c>
      <c r="K1951" s="3" t="inlineStr">
        <is>
          <t>농림진흥구역 농지,코너각지, 도로 양면 접, 대토추천</t>
        </is>
      </c>
      <c r="L1951" s="6">
        <f>HYPERLINK("https://fin.land.naver.com/articles/2654351170", "매물Link")</f>
        <v/>
      </c>
      <c r="M1951" s="6">
        <f>HYPERLINK("https://map.naver.com/p/search/연서면 월하리 1274", "지도Link")</f>
        <v/>
      </c>
      <c r="N1951" s="6">
        <f>HYPERLINK("http://www.eum.go.kr/web/ar/lu/luLandDet.jsp?pnu=3611036021112740000&amp;isNoScr=script&amp;mode=search", "토지이음")</f>
        <v/>
      </c>
      <c r="O1951" s="3" t="inlineStr">
        <is>
          <t>신안무소</t>
        </is>
      </c>
      <c r="P1951" s="4" t="n">
        <v>1</v>
      </c>
      <c r="Q1951" s="4" t="n">
        <v>3263.7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가로장방</t>
        </is>
      </c>
      <c r="V1951" s="3" t="inlineStr">
        <is>
          <t>세로한면(가)</t>
        </is>
      </c>
    </row>
    <row r="1952">
      <c r="A1952" s="3" t="inlineStr">
        <is>
          <t>연서면 월하리 15-1</t>
        </is>
      </c>
      <c r="B1952" s="3" t="inlineStr">
        <is>
          <t>자연녹지지역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19000</v>
      </c>
      <c r="G1952" s="4" t="n">
        <v>407</v>
      </c>
      <c r="H1952" s="4" t="n">
        <v>123</v>
      </c>
      <c r="I1952" s="5" t="n">
        <v>154.5</v>
      </c>
      <c r="J1952" s="5" t="n">
        <v>105.5</v>
      </c>
      <c r="K1952" s="3" t="inlineStr">
        <is>
          <t>지목대지,건축가능</t>
        </is>
      </c>
      <c r="L1952" s="6">
        <f>HYPERLINK("https://fin.land.naver.com/articles/2655086153", "매물Link")</f>
        <v/>
      </c>
      <c r="M1952" s="6">
        <f>HYPERLINK("https://map.naver.com/p/search/연서면 월하리 15-1", "지도Link")</f>
        <v/>
      </c>
      <c r="N1952" s="6">
        <f>HYPERLINK("http://www.eum.go.kr/web/ar/lu/luLandDet.jsp?pnu=3611036021100150001&amp;isNoScr=script&amp;mode=search", "토지이음")</f>
        <v/>
      </c>
      <c r="O1952" s="3" t="inlineStr">
        <is>
          <t>세종대박</t>
        </is>
      </c>
      <c r="P1952" s="4" t="n">
        <v>2</v>
      </c>
      <c r="Q1952" s="4" t="n">
        <v>407</v>
      </c>
      <c r="R1952" s="3" t="inlineStr">
        <is>
          <t>지정되지않음</t>
        </is>
      </c>
      <c r="S1952" s="3" t="inlineStr">
        <is>
          <t>단독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세로한면(가)</t>
        </is>
      </c>
    </row>
    <row r="1953">
      <c r="A1953" s="3" t="inlineStr">
        <is>
          <t>연서면 월하리 25-7</t>
        </is>
      </c>
      <c r="B1953" s="3" t="inlineStr">
        <is>
          <t>자연녹지지역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130000</v>
      </c>
      <c r="G1953" s="4" t="n">
        <v>1615</v>
      </c>
      <c r="H1953" s="4" t="n">
        <v>489</v>
      </c>
      <c r="I1953" s="5" t="n">
        <v>265.8</v>
      </c>
      <c r="J1953" s="5" t="n">
        <v>76.40000000000001</v>
      </c>
      <c r="K1953" s="3" t="inlineStr">
        <is>
          <t>미호강인근,주택부지포함,차도바로옆 금액최대협의</t>
        </is>
      </c>
      <c r="L1953" s="6">
        <f>HYPERLINK("https://fin.land.naver.com/articles/2654258120", "매물Link")</f>
        <v/>
      </c>
      <c r="M1953" s="6">
        <f>HYPERLINK("https://map.naver.com/p/search/연서면 월하리 25-7", "지도Link")</f>
        <v/>
      </c>
      <c r="N1953" s="6">
        <f>HYPERLINK("http://www.eum.go.kr/web/ar/lu/luLandDet.jsp?pnu=3611036021100250007&amp;isNoScr=script&amp;mode=search", "토지이음")</f>
        <v/>
      </c>
      <c r="O1953" s="3" t="inlineStr">
        <is>
          <t>세종새빛</t>
        </is>
      </c>
      <c r="P1953" s="4" t="n">
        <v>1</v>
      </c>
      <c r="Q1953" s="4" t="n">
        <v>1301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25-7</t>
        </is>
      </c>
      <c r="B1954" s="3" t="inlineStr">
        <is>
          <t>자연녹지지역</t>
        </is>
      </c>
      <c r="C1954" s="3" t="inlineStr">
        <is>
          <t>전</t>
        </is>
      </c>
      <c r="D1954" s="3" t="inlineStr">
        <is>
          <t>전</t>
        </is>
      </c>
      <c r="E1954" s="3" t="inlineStr">
        <is>
          <t>매매</t>
        </is>
      </c>
      <c r="F1954" s="4" t="n">
        <v>130000</v>
      </c>
      <c r="G1954" s="4" t="n">
        <v>1615</v>
      </c>
      <c r="H1954" s="4" t="n">
        <v>489</v>
      </c>
      <c r="I1954" s="5" t="n">
        <v>265.8</v>
      </c>
      <c r="J1954" s="5" t="n">
        <v>76.40000000000001</v>
      </c>
      <c r="K1954" s="3" t="inlineStr">
        <is>
          <t>도시지역내 자연녹지,미호강변 개발가능</t>
        </is>
      </c>
      <c r="L1954" s="6">
        <f>HYPERLINK("https://fin.land.naver.com/articles/2650859611", "매물Link")</f>
        <v/>
      </c>
      <c r="M1954" s="6">
        <f>HYPERLINK("https://map.naver.com/p/search/연서면 월하리 25-7", "지도Link")</f>
        <v/>
      </c>
      <c r="N1954" s="6">
        <f>HYPERLINK("http://www.eum.go.kr/web/ar/lu/luLandDet.jsp?pnu=3611036021100250007&amp;isNoScr=script&amp;mode=search",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1301</v>
      </c>
      <c r="R1954" s="3" t="inlineStr">
        <is>
          <t>지정되지않음</t>
        </is>
      </c>
      <c r="S1954" s="3" t="inlineStr">
        <is>
          <t>전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27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132000</v>
      </c>
      <c r="G1955" s="4" t="n">
        <v>1746</v>
      </c>
      <c r="H1955" s="4" t="n">
        <v>528</v>
      </c>
      <c r="I1955" s="5" t="n">
        <v>250</v>
      </c>
      <c r="J1955" s="5" t="n">
        <v>75.7</v>
      </c>
      <c r="K1955" s="3" t="inlineStr">
        <is>
          <t>미호강변 오천자전거길 옆 카페나 주택지, 근생으로 개발해도 좋음</t>
        </is>
      </c>
      <c r="L1955" s="6">
        <f>HYPERLINK("https://fin.land.naver.com/articles/2652099294", "매물Link")</f>
        <v/>
      </c>
      <c r="M1955" s="6">
        <f>HYPERLINK("https://map.naver.com/p/search/연서면 월하리 27", "지도Link")</f>
        <v/>
      </c>
      <c r="N1955" s="6">
        <f>HYPERLINK("http://www.eum.go.kr/web/ar/lu/luLandDet.jsp?pnu=3611036021100270000&amp;isNoScr=script&amp;mode=search", "토지이음")</f>
        <v/>
      </c>
      <c r="O1955" s="3" t="inlineStr">
        <is>
          <t>미스터홈즈강남지사</t>
        </is>
      </c>
      <c r="P1955" s="4" t="n">
        <v>1</v>
      </c>
      <c r="Q1955" s="4" t="n">
        <v>983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35-3</t>
        </is>
      </c>
      <c r="B1956" s="3" t="inlineStr">
        <is>
          <t>계획관리지역</t>
        </is>
      </c>
      <c r="C1956" s="3" t="inlineStr">
        <is>
          <t>공장용지</t>
        </is>
      </c>
      <c r="D1956" s="3" t="inlineStr">
        <is>
          <t>공장용지</t>
        </is>
      </c>
      <c r="E1956" s="3" t="inlineStr">
        <is>
          <t>매매</t>
        </is>
      </c>
      <c r="F1956" s="4" t="n">
        <v>69000</v>
      </c>
      <c r="G1956" s="4" t="n">
        <v>987</v>
      </c>
      <c r="H1956" s="4" t="n">
        <v>299</v>
      </c>
      <c r="I1956" s="5" t="n">
        <v>230.8</v>
      </c>
      <c r="J1956" s="5" t="n">
        <v>73.3</v>
      </c>
      <c r="K1956" s="3" t="inlineStr">
        <is>
          <t>공장부지, 299P, 주차6대, 1층 공장 건물 및 부속건물</t>
        </is>
      </c>
      <c r="L1956" s="6">
        <f>HYPERLINK("https://fin.land.naver.com/articles/2650988901", "매물Link")</f>
        <v/>
      </c>
      <c r="M1956" s="6">
        <f>HYPERLINK("https://map.naver.com/p/search/연서면 월하리 35-3", "지도Link")</f>
        <v/>
      </c>
      <c r="N1956" s="6">
        <f>HYPERLINK("http://www.eum.go.kr/web/ar/lu/luLandDet.jsp?pnu=3611036021100350003&amp;isNoScr=script&amp;mode=search", "토지이음")</f>
        <v/>
      </c>
      <c r="O1956" s="3" t="inlineStr">
        <is>
          <t>엄마와딸</t>
        </is>
      </c>
      <c r="P1956" s="4" t="n">
        <v>1</v>
      </c>
      <c r="Q1956" s="4" t="n">
        <v>987</v>
      </c>
      <c r="R1956" s="3" t="inlineStr">
        <is>
          <t>지정되지않음</t>
        </is>
      </c>
      <c r="S1956" s="3" t="inlineStr">
        <is>
          <t>공업용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세로한면(가)</t>
        </is>
      </c>
    </row>
    <row r="1957">
      <c r="A1957" s="3" t="inlineStr">
        <is>
          <t>연서면 월하리 619</t>
        </is>
      </c>
      <c r="B1957" s="3" t="inlineStr">
        <is>
          <t>자연녹지지역</t>
        </is>
      </c>
      <c r="C1957" s="3" t="inlineStr">
        <is>
          <t>주차장</t>
        </is>
      </c>
      <c r="D1957" s="3" t="inlineStr">
        <is>
          <t>주차장</t>
        </is>
      </c>
      <c r="E1957" s="3" t="inlineStr">
        <is>
          <t>매매</t>
        </is>
      </c>
      <c r="F1957" s="4" t="n">
        <v>250000</v>
      </c>
      <c r="G1957" s="4" t="n">
        <v>2400</v>
      </c>
      <c r="H1957" s="4" t="n">
        <v>726</v>
      </c>
      <c r="I1957" s="5" t="n">
        <v>344.4</v>
      </c>
      <c r="J1957" s="5" t="n">
        <v>61.5</v>
      </c>
      <c r="K1957" s="3" t="inlineStr">
        <is>
          <t>명성공인, 월하리, 1번국도 가까운 활용도 좋은 추천 매물</t>
        </is>
      </c>
      <c r="L1957" s="6">
        <f>HYPERLINK("https://fin.land.naver.com/articles/2652073523", "매물Link")</f>
        <v/>
      </c>
      <c r="M1957" s="6">
        <f>HYPERLINK("https://map.naver.com/p/search/연서면 월하리 619", "지도Link")</f>
        <v/>
      </c>
      <c r="N1957" s="6">
        <f>HYPERLINK("http://www.eum.go.kr/web/ar/lu/luLandDet.jsp?pnu=3611036021106190000&amp;isNoScr=script&amp;mode=search", "토지이음")</f>
        <v/>
      </c>
      <c r="O1957" s="3" t="inlineStr">
        <is>
          <t>명성</t>
        </is>
      </c>
      <c r="P1957" s="4" t="n">
        <v>1</v>
      </c>
      <c r="Q1957" s="4" t="n">
        <v>963</v>
      </c>
      <c r="R1957" s="3" t="inlineStr">
        <is>
          <t>지정되지않음</t>
        </is>
      </c>
      <c r="S1957" s="3" t="inlineStr">
        <is>
          <t>주차장등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연서면 월하리 658-4</t>
        </is>
      </c>
      <c r="B1958" s="3" t="inlineStr">
        <is>
          <t>계획관리지역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98000</v>
      </c>
      <c r="G1958" s="4" t="n">
        <v>463</v>
      </c>
      <c r="H1958" s="4" t="n">
        <v>140</v>
      </c>
      <c r="I1958" s="5" t="n">
        <v>700</v>
      </c>
      <c r="J1958" s="5" t="n">
        <v>163.7</v>
      </c>
      <c r="K1958" s="3" t="inlineStr">
        <is>
          <t>도로 인접한  활용도 높은  토지 매매</t>
        </is>
      </c>
      <c r="L1958" s="6">
        <f>HYPERLINK("https://fin.land.naver.com/articles/2655178687", "매물Link")</f>
        <v/>
      </c>
      <c r="M1958" s="6">
        <f>HYPERLINK("https://map.naver.com/p/search/연서면 월하리 658-4", "지도Link")</f>
        <v/>
      </c>
      <c r="N1958" s="6">
        <f>HYPERLINK("http://www.eum.go.kr/web/ar/lu/luLandDet.jsp?pnu=3611036021106580004&amp;isNoScr=script&amp;mode=search", "토지이음")</f>
        <v/>
      </c>
      <c r="O1958" s="3" t="inlineStr">
        <is>
          <t>오송2단지창조</t>
        </is>
      </c>
      <c r="P1958" s="4" t="n">
        <v>1</v>
      </c>
      <c r="Q1958" s="4" t="n">
        <v>463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광대로한면</t>
        </is>
      </c>
    </row>
    <row r="1959">
      <c r="A1959" s="3" t="inlineStr">
        <is>
          <t>연서면 월하리 658-8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87500</v>
      </c>
      <c r="G1959" s="4" t="n">
        <v>414</v>
      </c>
      <c r="H1959" s="4" t="n">
        <v>125</v>
      </c>
      <c r="I1959" s="5" t="n">
        <v>700</v>
      </c>
      <c r="J1959" s="5" t="n">
        <v>163.7</v>
      </c>
      <c r="K1959" s="3" t="inlineStr">
        <is>
          <t>대도로변에 위치해 있는 토지 매매</t>
        </is>
      </c>
      <c r="L1959" s="6">
        <f>HYPERLINK("https://fin.land.naver.com/articles/2655178355", "매물Link")</f>
        <v/>
      </c>
      <c r="M1959" s="6">
        <f>HYPERLINK("https://map.naver.com/p/search/연서면 월하리 658-8", "지도Link")</f>
        <v/>
      </c>
      <c r="N1959" s="6">
        <f>HYPERLINK("http://www.eum.go.kr/web/ar/lu/luLandDet.jsp?pnu=3611036021106580008&amp;isNoScr=script&amp;mode=search", "토지이음")</f>
        <v/>
      </c>
      <c r="O1959" s="3" t="inlineStr">
        <is>
          <t>오송2단지창조</t>
        </is>
      </c>
      <c r="P1959" s="4" t="n">
        <v>1</v>
      </c>
      <c r="Q1959" s="4" t="n">
        <v>414</v>
      </c>
      <c r="R1959" s="3" t="inlineStr">
        <is>
          <t>지정되지않음</t>
        </is>
      </c>
      <c r="S1959" s="3" t="inlineStr">
        <is>
          <t>전기타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광대로한면</t>
        </is>
      </c>
    </row>
    <row r="1960">
      <c r="A1960" s="3" t="inlineStr">
        <is>
          <t>연서면 월하리 663-38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474300</v>
      </c>
      <c r="G1960" s="4" t="n">
        <v>5229</v>
      </c>
      <c r="H1960" s="4" t="n">
        <v>1582</v>
      </c>
      <c r="I1960" s="5" t="n">
        <v>299.8</v>
      </c>
      <c r="J1960" s="5" t="n">
        <v>102.4</v>
      </c>
      <c r="K1960" s="3" t="inlineStr">
        <is>
          <t>세종 연서면 월하리 톨게이트예정지인근 시내인근 개발지 도로접 조정가능</t>
        </is>
      </c>
      <c r="L1960" s="6">
        <f>HYPERLINK("https://fin.land.naver.com/articles/2650823939", "매물Link")</f>
        <v/>
      </c>
      <c r="M1960" s="6">
        <f>HYPERLINK("https://map.naver.com/p/search/연서면 월하리 663-38", "지도Link")</f>
        <v/>
      </c>
      <c r="N1960" s="6">
        <f>HYPERLINK("http://www.eum.go.kr/web/ar/lu/luLandDet.jsp?pnu=3611036021106630038&amp;isNoScr=script&amp;mode=search", "토지이음")</f>
        <v/>
      </c>
      <c r="O1960" s="3" t="inlineStr">
        <is>
          <t>MK</t>
        </is>
      </c>
      <c r="P1960" s="4" t="n">
        <v>1</v>
      </c>
      <c r="Q1960" s="4" t="n">
        <v>5222</v>
      </c>
      <c r="R1960" s="3" t="inlineStr">
        <is>
          <t>지정되지않음</t>
        </is>
      </c>
      <c r="S1960" s="3" t="inlineStr">
        <is>
          <t>전</t>
        </is>
      </c>
      <c r="T1960" s="3" t="inlineStr">
        <is>
          <t>평지</t>
        </is>
      </c>
      <c r="U1960" s="3" t="inlineStr">
        <is>
          <t>사다리형</t>
        </is>
      </c>
      <c r="V1960" s="3" t="inlineStr">
        <is>
          <t>세로한면(가)</t>
        </is>
      </c>
    </row>
    <row r="1961">
      <c r="A1961" s="3" t="inlineStr">
        <is>
          <t>연서면 월하리 663-38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474300</v>
      </c>
      <c r="G1961" s="4" t="n">
        <v>5229</v>
      </c>
      <c r="H1961" s="4" t="n">
        <v>1582</v>
      </c>
      <c r="I1961" s="5" t="n">
        <v>299.8</v>
      </c>
      <c r="J1961" s="5" t="n">
        <v>102.4</v>
      </c>
      <c r="K1961" s="3" t="inlineStr">
        <is>
          <t>위치 좋은 넓은 토지.연락주세요</t>
        </is>
      </c>
      <c r="L1961" s="6">
        <f>HYPERLINK("https://fin.land.naver.com/articles/2654077441", "매물Link")</f>
        <v/>
      </c>
      <c r="M1961" s="6">
        <f>HYPERLINK("https://map.naver.com/p/search/연서면 월하리 663-38", "지도Link")</f>
        <v/>
      </c>
      <c r="N1961" s="6">
        <f>HYPERLINK("http://www.eum.go.kr/web/ar/lu/luLandDet.jsp?pnu=3611036021106630038&amp;isNoScr=script&amp;mode=search", "토지이음")</f>
        <v/>
      </c>
      <c r="O1961" s="3" t="inlineStr">
        <is>
          <t>수자인</t>
        </is>
      </c>
      <c r="P1961" s="4" t="n">
        <v>1</v>
      </c>
      <c r="Q1961" s="4" t="n">
        <v>5222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연서면 월하리 707</t>
        </is>
      </c>
      <c r="B1962" s="3" t="inlineStr">
        <is>
          <t>자연녹지지역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252000</v>
      </c>
      <c r="G1962" s="4" t="n">
        <v>4637</v>
      </c>
      <c r="H1962" s="4" t="n">
        <v>1403</v>
      </c>
      <c r="I1962" s="5" t="n">
        <v>179.6</v>
      </c>
      <c r="J1962" s="5" t="n">
        <v>91.2</v>
      </c>
      <c r="K1962" s="3" t="inlineStr">
        <is>
          <t>코너 2차선에 접하고 향후 4차선 계획도로 예정임. 시세보다 저렴.</t>
        </is>
      </c>
      <c r="L1962" s="6">
        <f>HYPERLINK("https://fin.land.naver.com/articles/2654844821", "매물Link")</f>
        <v/>
      </c>
      <c r="M1962" s="6">
        <f>HYPERLINK("https://map.naver.com/p/search/연서면 월하리 707", "지도Link")</f>
        <v/>
      </c>
      <c r="N1962" s="6">
        <f>HYPERLINK("http://www.eum.go.kr/web/ar/lu/luLandDet.jsp?pnu=3611036021107070000&amp;isNoScr=script&amp;mode=search", "토지이음")</f>
        <v/>
      </c>
      <c r="O1962" s="3" t="inlineStr">
        <is>
          <t>세종대장</t>
        </is>
      </c>
      <c r="P1962" s="4" t="n">
        <v>1</v>
      </c>
      <c r="Q1962" s="4" t="n">
        <v>3838</v>
      </c>
      <c r="R1962" s="3" t="inlineStr">
        <is>
          <t>지정되지않음</t>
        </is>
      </c>
      <c r="S1962" s="3" t="inlineStr">
        <is>
          <t>전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소로한면</t>
        </is>
      </c>
    </row>
    <row r="1963">
      <c r="A1963" s="3" t="inlineStr">
        <is>
          <t>연서면 월하리 730</t>
        </is>
      </c>
      <c r="B1963" s="3" t="inlineStr">
        <is>
          <t>자연녹지지역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196000</v>
      </c>
      <c r="G1963" s="4" t="n">
        <v>1856</v>
      </c>
      <c r="H1963" s="4" t="n">
        <v>561</v>
      </c>
      <c r="I1963" s="5" t="n">
        <v>349.4</v>
      </c>
      <c r="J1963" s="5" t="n">
        <v>121.8</v>
      </c>
      <c r="K1963" s="3" t="inlineStr">
        <is>
          <t>연서면 월하리 2차선  접한  자연녹지, 4차선계획도로이며 분할매매 가능</t>
        </is>
      </c>
      <c r="L1963" s="6">
        <f>HYPERLINK("https://fin.land.naver.com/articles/2652083823", "매물Link")</f>
        <v/>
      </c>
      <c r="M1963" s="6">
        <f>HYPERLINK("https://map.naver.com/p/search/연서면 월하리 730", "지도Link")</f>
        <v/>
      </c>
      <c r="N1963" s="6">
        <f>HYPERLINK("http://www.eum.go.kr/web/ar/lu/luLandDet.jsp?pnu=3611036021107300000&amp;isNoScr=script&amp;mode=search", "토지이음")</f>
        <v/>
      </c>
      <c r="O1963" s="3" t="inlineStr">
        <is>
          <t>the다올</t>
        </is>
      </c>
      <c r="P1963" s="4" t="n">
        <v>2</v>
      </c>
      <c r="Q1963" s="4" t="n">
        <v>1856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소로한면</t>
        </is>
      </c>
    </row>
    <row r="1964">
      <c r="A1964" s="3" t="inlineStr">
        <is>
          <t>연서면 월하리 766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200000</v>
      </c>
      <c r="G1964" s="4" t="n">
        <v>3305</v>
      </c>
      <c r="H1964" s="4" t="n">
        <v>1000</v>
      </c>
      <c r="I1964" s="5" t="n">
        <v>200</v>
      </c>
      <c r="J1964" s="5" t="n">
        <v>128.3</v>
      </c>
      <c r="K1964" s="3" t="inlineStr">
        <is>
          <t>조치원 공공주택지구에 인접한 2차선변 1천평 토지 매매</t>
        </is>
      </c>
      <c r="L1964" s="6">
        <f>HYPERLINK("https://fin.land.naver.com/articles/2652068500", "매물Link")</f>
        <v/>
      </c>
      <c r="M1964" s="6">
        <f>HYPERLINK("https://map.naver.com/p/search/연서면 월하리 766", "지도Link")</f>
        <v/>
      </c>
      <c r="N1964" s="6">
        <f>HYPERLINK("http://www.eum.go.kr/web/ar/lu/luLandDet.jsp?pnu=3611036021107660000&amp;isNoScr=script&amp;mode=search", "토지이음")</f>
        <v/>
      </c>
      <c r="O1964" s="3" t="inlineStr">
        <is>
          <t>신와촌</t>
        </is>
      </c>
      <c r="P1964" s="4" t="n">
        <v>1</v>
      </c>
      <c r="Q1964" s="4" t="n">
        <v>3306</v>
      </c>
      <c r="R1964" s="3" t="inlineStr">
        <is>
          <t>지정되지않음</t>
        </is>
      </c>
      <c r="S1964" s="3" t="inlineStr">
        <is>
          <t>과수원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소로한면</t>
        </is>
      </c>
    </row>
    <row r="1965">
      <c r="A1965" s="3" t="inlineStr">
        <is>
          <t>연서면 월하리 794-1</t>
        </is>
      </c>
      <c r="B1965" s="3" t="inlineStr">
        <is>
          <t>자연녹지지역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82000</v>
      </c>
      <c r="G1965" s="4" t="n">
        <v>845</v>
      </c>
      <c r="H1965" s="4" t="n">
        <v>256</v>
      </c>
      <c r="I1965" s="5" t="n">
        <v>320.3</v>
      </c>
      <c r="J1965" s="5" t="n">
        <v>128.3</v>
      </c>
      <c r="K1965" s="3" t="inlineStr">
        <is>
          <t>2차선변,월하리 토지매매.</t>
        </is>
      </c>
      <c r="L1965" s="6">
        <f>HYPERLINK("https://fin.land.naver.com/articles/2651374054", "매물Link")</f>
        <v/>
      </c>
      <c r="M1965" s="6">
        <f>HYPERLINK("https://map.naver.com/p/search/연서면 월하리 794-1", "지도Link")</f>
        <v/>
      </c>
      <c r="N1965" s="6">
        <f>HYPERLINK("http://www.eum.go.kr/web/ar/lu/luLandDet.jsp?pnu=3611036021107940001&amp;isNoScr=script&amp;mode=search", "토지이음")</f>
        <v/>
      </c>
      <c r="O1965" s="3" t="inlineStr">
        <is>
          <t>세종강산</t>
        </is>
      </c>
      <c r="P1965" s="4" t="n">
        <v>1</v>
      </c>
      <c r="Q1965" s="4" t="n">
        <v>845</v>
      </c>
      <c r="R1965" s="3" t="inlineStr">
        <is>
          <t>지정되지않음</t>
        </is>
      </c>
      <c r="S1965" s="3" t="inlineStr">
        <is>
          <t>전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월하리 809</t>
        </is>
      </c>
      <c r="B1966" s="3" t="inlineStr">
        <is>
          <t>자연녹지지역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48000</v>
      </c>
      <c r="G1966" s="4" t="n">
        <v>668</v>
      </c>
      <c r="H1966" s="4" t="n">
        <v>202</v>
      </c>
      <c r="I1966" s="5" t="n">
        <v>237.6</v>
      </c>
      <c r="J1966" s="5" t="n">
        <v>156.1</v>
      </c>
      <c r="K1966" s="3" t="inlineStr">
        <is>
          <t>월하리 2차선 도로접한 대지 급매. 자연취락지구로 토지거래허가구역임</t>
        </is>
      </c>
      <c r="L1966" s="6">
        <f>HYPERLINK("https://fin.land.naver.com/articles/2652535473", "매물Link")</f>
        <v/>
      </c>
      <c r="M1966" s="6">
        <f>HYPERLINK("https://map.naver.com/p/search/연서면 월하리 809", "지도Link")</f>
        <v/>
      </c>
      <c r="N1966" s="6">
        <f>HYPERLINK("http://www.eum.go.kr/web/ar/lu/luLandDet.jsp?pnu=3611036021108090000&amp;isNoScr=script&amp;mode=search", "토지이음")</f>
        <v/>
      </c>
      <c r="O1966" s="3" t="inlineStr">
        <is>
          <t>세종대장</t>
        </is>
      </c>
      <c r="P1966" s="4" t="n">
        <v>1</v>
      </c>
      <c r="Q1966" s="4" t="n">
        <v>668</v>
      </c>
      <c r="R1966" s="3" t="inlineStr">
        <is>
          <t>지정되지않음</t>
        </is>
      </c>
      <c r="S1966" s="3" t="inlineStr">
        <is>
          <t>단독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월하리 818-1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78000</v>
      </c>
      <c r="G1967" s="4" t="n">
        <v>745</v>
      </c>
      <c r="H1967" s="4" t="n">
        <v>225</v>
      </c>
      <c r="I1967" s="5" t="n">
        <v>346.7</v>
      </c>
      <c r="J1967" s="5" t="n">
        <v>80.3</v>
      </c>
      <c r="K1967" s="3" t="inlineStr">
        <is>
          <t>조치원 월하리 아파트 분양 예정지 근접,개발 투자가치로 좋아요</t>
        </is>
      </c>
      <c r="L1967" s="6">
        <f>HYPERLINK("https://fin.land.naver.com/articles/2651463269", "매물Link")</f>
        <v/>
      </c>
      <c r="M1967" s="6">
        <f>HYPERLINK("https://map.naver.com/p/search/연서면 월하리 818-1", "지도Link")</f>
        <v/>
      </c>
      <c r="N1967" s="6">
        <f>HYPERLINK("http://www.eum.go.kr/web/ar/lu/luLandDet.jsp?pnu=3611036021108180001&amp;isNoScr=script&amp;mode=search", "토지이음")</f>
        <v/>
      </c>
      <c r="O1967" s="3" t="inlineStr">
        <is>
          <t>담뜰</t>
        </is>
      </c>
      <c r="P1967" s="4" t="n">
        <v>1</v>
      </c>
      <c r="Q1967" s="4" t="n">
        <v>745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연서면 월하리 889-1</t>
        </is>
      </c>
      <c r="B1968" s="3" t="inlineStr">
        <is>
          <t>자연녹지지역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442000</v>
      </c>
      <c r="G1968" s="4" t="n">
        <v>5415</v>
      </c>
      <c r="H1968" s="4" t="n">
        <v>1638</v>
      </c>
      <c r="I1968" s="5" t="n">
        <v>269.8</v>
      </c>
      <c r="J1968" s="5" t="n">
        <v>81.3</v>
      </c>
      <c r="K1968" s="3" t="inlineStr">
        <is>
          <t>세종 조치원 공공주택지구 접한 투자용 토지 매매</t>
        </is>
      </c>
      <c r="L1968" s="6">
        <f>HYPERLINK("https://fin.land.naver.com/articles/2650462664", "매물Link")</f>
        <v/>
      </c>
      <c r="M1968" s="6">
        <f>HYPERLINK("https://map.naver.com/p/search/연서면 월하리 889-1", "지도Link")</f>
        <v/>
      </c>
      <c r="N1968" s="6">
        <f>HYPERLINK("http://www.eum.go.kr/web/ar/lu/luLandDet.jsp?pnu=3611036021108890001&amp;isNoScr=script&amp;mode=search", "토지이음")</f>
        <v/>
      </c>
      <c r="O1968" s="3" t="inlineStr">
        <is>
          <t>(주)해뜰터</t>
        </is>
      </c>
      <c r="P1968" s="4" t="n">
        <v>2</v>
      </c>
      <c r="Q1968" s="4" t="n">
        <v>5415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세로한면(불)</t>
        </is>
      </c>
    </row>
    <row r="1969">
      <c r="A1969" s="3" t="inlineStr">
        <is>
          <t>연서면 월하리 898</t>
        </is>
      </c>
      <c r="B1969" s="3" t="inlineStr">
        <is>
          <t>자연녹지지역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200000</v>
      </c>
      <c r="G1969" s="4" t="n">
        <v>1652</v>
      </c>
      <c r="H1969" s="4" t="n">
        <v>500</v>
      </c>
      <c r="I1969" s="5" t="n">
        <v>400</v>
      </c>
      <c r="J1969" s="5" t="n">
        <v>100.6</v>
      </c>
      <c r="K1969" s="3" t="inlineStr">
        <is>
          <t>포장도로 접한 답. 조치원 공공주택지구 인근 자연녹지</t>
        </is>
      </c>
      <c r="L1969" s="6">
        <f>HYPERLINK("https://fin.land.naver.com/articles/2654244524", "매물Link")</f>
        <v/>
      </c>
      <c r="M1969" s="6">
        <f>HYPERLINK("https://map.naver.com/p/search/연서면 월하리 898", "지도Link")</f>
        <v/>
      </c>
      <c r="N1969" s="6">
        <f>HYPERLINK("http://www.eum.go.kr/web/ar/lu/luLandDet.jsp?pnu=3611036021108980000&amp;isNoScr=script&amp;mode=search", "토지이음")</f>
        <v/>
      </c>
      <c r="O1969" s="3" t="inlineStr">
        <is>
          <t>미스터홈즈강남지사</t>
        </is>
      </c>
      <c r="P1969" s="4" t="n">
        <v>1</v>
      </c>
      <c r="Q1969" s="4" t="n">
        <v>1084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세로한면(가)</t>
        </is>
      </c>
    </row>
    <row r="1970">
      <c r="A1970" s="3" t="inlineStr">
        <is>
          <t>연서면 월하리 913-1</t>
        </is>
      </c>
      <c r="B1970" s="3" t="inlineStr">
        <is>
          <t>자연녹지지역</t>
        </is>
      </c>
      <c r="C1970" s="3" t="inlineStr">
        <is>
          <t>과수원</t>
        </is>
      </c>
      <c r="D1970" s="3" t="inlineStr">
        <is>
          <t>과수원</t>
        </is>
      </c>
      <c r="E1970" s="3" t="inlineStr">
        <is>
          <t>매매</t>
        </is>
      </c>
      <c r="F1970" s="4" t="n">
        <v>137800</v>
      </c>
      <c r="G1970" s="4" t="n">
        <v>2278</v>
      </c>
      <c r="H1970" s="4" t="n">
        <v>689</v>
      </c>
      <c r="I1970" s="5" t="n">
        <v>200</v>
      </c>
      <c r="J1970" s="5" t="n">
        <v>89.90000000000001</v>
      </c>
      <c r="K1970" s="3" t="inlineStr">
        <is>
          <t>월하리 자연녹지역 농지 2필지 일괄 매매.</t>
        </is>
      </c>
      <c r="L1970" s="6">
        <f>HYPERLINK("https://fin.land.naver.com/articles/2654030990", "매물Link")</f>
        <v/>
      </c>
      <c r="M1970" s="6">
        <f>HYPERLINK("https://map.naver.com/p/search/연서면 월하리 913-1", "지도Link")</f>
        <v/>
      </c>
      <c r="N1970" s="6">
        <f>HYPERLINK("http://www.eum.go.kr/web/ar/lu/luLandDet.jsp?pnu=3611036021109130001&amp;isNoScr=script&amp;mode=search", "토지이음")</f>
        <v/>
      </c>
      <c r="O1970" s="3" t="inlineStr">
        <is>
          <t>세종대장</t>
        </is>
      </c>
      <c r="P1970" s="4" t="n">
        <v>1</v>
      </c>
      <c r="Q1970" s="4" t="n">
        <v>1329</v>
      </c>
      <c r="R1970" s="3" t="inlineStr">
        <is>
          <t>지정되지않음</t>
        </is>
      </c>
      <c r="S1970" s="3" t="inlineStr">
        <is>
          <t>과수원</t>
        </is>
      </c>
      <c r="T1970" s="3" t="inlineStr">
        <is>
          <t>완경사</t>
        </is>
      </c>
      <c r="U1970" s="3" t="inlineStr">
        <is>
          <t>부정형</t>
        </is>
      </c>
      <c r="V1970" s="3" t="inlineStr">
        <is>
          <t>세로한면(불)</t>
        </is>
      </c>
    </row>
    <row r="1971">
      <c r="A1971" s="3" t="inlineStr">
        <is>
          <t>연서면 월하리 960-4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70000</v>
      </c>
      <c r="G1971" s="4" t="n">
        <v>574</v>
      </c>
      <c r="H1971" s="4" t="n">
        <v>174</v>
      </c>
      <c r="I1971" s="5" t="n">
        <v>402.3</v>
      </c>
      <c r="J1971" s="5" t="n">
        <v>208.2</v>
      </c>
      <c r="K1971" s="3" t="inlineStr">
        <is>
          <t>2차선 도로에 접한 3거리 코너각지에 있는 도시지역자연녹지  투자용 토지</t>
        </is>
      </c>
      <c r="L1971" s="6">
        <f>HYPERLINK("https://fin.land.naver.com/articles/2652409046", "매물Link")</f>
        <v/>
      </c>
      <c r="M1971" s="6">
        <f>HYPERLINK("https://map.naver.com/p/search/연서면 월하리 960-4", "지도Link")</f>
        <v/>
      </c>
      <c r="N1971" s="6">
        <f>HYPERLINK("http://www.eum.go.kr/web/ar/lu/luLandDet.jsp?pnu=3611036021109600004&amp;isNoScr=script&amp;mode=search", "토지이음")</f>
        <v/>
      </c>
      <c r="O1971" s="3" t="inlineStr">
        <is>
          <t>스마일세종</t>
        </is>
      </c>
      <c r="P1971" s="4" t="n">
        <v>1</v>
      </c>
      <c r="Q1971" s="4" t="n">
        <v>574</v>
      </c>
      <c r="R1971" s="3" t="inlineStr">
        <is>
          <t>지정되지않음</t>
        </is>
      </c>
      <c r="S1971" s="3" t="inlineStr">
        <is>
          <t>전기타</t>
        </is>
      </c>
      <c r="T1971" s="3" t="inlineStr">
        <is>
          <t>평지</t>
        </is>
      </c>
      <c r="U1971" s="3" t="inlineStr">
        <is>
          <t>부정형</t>
        </is>
      </c>
      <c r="V1971" s="3" t="inlineStr">
        <is>
          <t>소로각지</t>
        </is>
      </c>
    </row>
    <row r="1972">
      <c r="A1972" s="3" t="inlineStr">
        <is>
          <t>연서면 월하리 986-3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168000</v>
      </c>
      <c r="G1972" s="4" t="n">
        <v>1157</v>
      </c>
      <c r="H1972" s="4" t="n">
        <v>350</v>
      </c>
      <c r="I1972" s="5" t="n">
        <v>480</v>
      </c>
      <c r="J1972" s="5" t="n">
        <v>208.4</v>
      </c>
      <c r="K1972" s="3" t="inlineStr">
        <is>
          <t>조치원 서북부 개발지역 근접  농지로 투자용으로도 추천, 포장도로 접함</t>
        </is>
      </c>
      <c r="L1972" s="6">
        <f>HYPERLINK("https://fin.land.naver.com/articles/2653204795", "매물Link")</f>
        <v/>
      </c>
      <c r="M1972" s="6">
        <f>HYPERLINK("https://map.naver.com/p/search/연서면 월하리 986-3", "지도Link")</f>
        <v/>
      </c>
      <c r="N1972" s="6">
        <f>HYPERLINK("http://www.eum.go.kr/web/ar/lu/luLandDet.jsp?pnu=3611036021109860003&amp;isNoScr=script&amp;mode=search", "토지이음")</f>
        <v/>
      </c>
      <c r="O1972" s="3" t="inlineStr">
        <is>
          <t>the다올</t>
        </is>
      </c>
      <c r="P1972" s="4" t="n">
        <v>1</v>
      </c>
      <c r="Q1972" s="4" t="n">
        <v>1157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산144-1</t>
        </is>
      </c>
      <c r="B1973" s="3" t="inlineStr">
        <is>
          <t>자연녹지지역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860000</v>
      </c>
      <c r="G1973" s="4" t="n">
        <v>22983</v>
      </c>
      <c r="H1973" s="4" t="n">
        <v>6952</v>
      </c>
      <c r="I1973" s="5" t="n">
        <v>123.7</v>
      </c>
      <c r="J1973" s="5" t="n">
        <v>22.5</v>
      </c>
      <c r="K1973" s="3" t="inlineStr">
        <is>
          <t>미호강변 경관좋은 완경사 임야</t>
        </is>
      </c>
      <c r="L1973" s="6">
        <f>HYPERLINK("https://fin.land.naver.com/articles/2651822753", "매물Link")</f>
        <v/>
      </c>
      <c r="M1973" s="6">
        <f>HYPERLINK("https://map.naver.com/p/search/연서면 월하리 산144-1", "지도Link")</f>
        <v/>
      </c>
      <c r="N1973" s="6">
        <f>HYPERLINK("http://www.eum.go.kr/web/ar/lu/luLandDet.jsp?pnu=3611036021201440001&amp;isNoScr=script&amp;mode=search",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22641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세로한면(가)</t>
        </is>
      </c>
    </row>
    <row r="1974">
      <c r="A1974" s="3" t="inlineStr">
        <is>
          <t>연서면 월하리 산7-12</t>
        </is>
      </c>
      <c r="B1974" s="3" t="inlineStr">
        <is>
          <t>자연녹지지역</t>
        </is>
      </c>
      <c r="C1974" s="3" t="inlineStr">
        <is>
          <t>임야</t>
        </is>
      </c>
      <c r="D1974" s="3" t="inlineStr">
        <is>
          <t>임야</t>
        </is>
      </c>
      <c r="E1974" s="3" t="inlineStr">
        <is>
          <t>매매</t>
        </is>
      </c>
      <c r="F1974" s="4" t="n">
        <v>15800</v>
      </c>
      <c r="G1974" s="4" t="n">
        <v>660</v>
      </c>
      <c r="H1974" s="4" t="n">
        <v>200</v>
      </c>
      <c r="I1974" s="5" t="n">
        <v>79</v>
      </c>
      <c r="J1974" s="5" t="n">
        <v>21.7</v>
      </c>
      <c r="K1974" s="3" t="inlineStr">
        <is>
          <t>연서면 월하리 도시지역 자연녹지, 경사도 완만한 투 자용 임야입니다</t>
        </is>
      </c>
      <c r="L1974" s="6">
        <f>HYPERLINK("https://fin.land.naver.com/articles/2653251403", "매물Link")</f>
        <v/>
      </c>
      <c r="M1974" s="6">
        <f>HYPERLINK("https://map.naver.com/p/search/연서면 월하리 산7-12", "지도Link")</f>
        <v/>
      </c>
      <c r="N1974" s="6">
        <f>HYPERLINK("http://www.eum.go.kr/web/ar/lu/luLandDet.jsp?pnu=3611036021200070012&amp;isNoScr=script&amp;mode=search", "토지이음")</f>
        <v/>
      </c>
      <c r="O1974" s="3" t="inlineStr">
        <is>
          <t>스마일세종</t>
        </is>
      </c>
      <c r="P1974" s="4" t="n">
        <v>2</v>
      </c>
      <c r="Q1974" s="4" t="n">
        <v>660</v>
      </c>
      <c r="R1974" s="3" t="inlineStr">
        <is>
          <t>지정되지않음</t>
        </is>
      </c>
      <c r="S1974" s="3" t="inlineStr">
        <is>
          <t>자연림</t>
        </is>
      </c>
      <c r="T1974" s="3" t="inlineStr">
        <is>
          <t>완경사</t>
        </is>
      </c>
      <c r="U1974" s="3" t="inlineStr">
        <is>
          <t>부정형</t>
        </is>
      </c>
      <c r="V1974" s="3" t="inlineStr">
        <is>
          <t>맹지</t>
        </is>
      </c>
    </row>
    <row r="1975">
      <c r="A1975" s="3" t="inlineStr">
        <is>
          <t>연서면 청라리 12</t>
        </is>
      </c>
      <c r="B1975" s="3" t="inlineStr">
        <is>
          <t>생산관리지역</t>
        </is>
      </c>
      <c r="C1975" s="3" t="inlineStr">
        <is>
          <t>과수원</t>
        </is>
      </c>
      <c r="D1975" s="3" t="inlineStr">
        <is>
          <t>과수원</t>
        </is>
      </c>
      <c r="E1975" s="3" t="inlineStr">
        <is>
          <t>매매</t>
        </is>
      </c>
      <c r="F1975" s="4" t="n">
        <v>12500</v>
      </c>
      <c r="G1975" s="4" t="n">
        <v>1838</v>
      </c>
      <c r="H1975" s="4" t="n">
        <v>556</v>
      </c>
      <c r="I1975" s="5" t="n">
        <v>22.5</v>
      </c>
      <c r="J1975" s="5" t="n">
        <v>23.5</v>
      </c>
      <c r="K1975" s="3" t="inlineStr">
        <is>
          <t>급매 주변 시세보다 저렴한 태양광 시설등으로 적합한 생산관리지역의 과수원</t>
        </is>
      </c>
      <c r="L1975" s="6">
        <f>HYPERLINK("https://fin.land.naver.com/articles/2652681924", "매물Link")</f>
        <v/>
      </c>
      <c r="M1975" s="6">
        <f>HYPERLINK("https://map.naver.com/p/search/연서면 청라리 12", "지도Link")</f>
        <v/>
      </c>
      <c r="N1975" s="6">
        <f>HYPERLINK("http://www.eum.go.kr/web/ar/lu/luLandDet.jsp?pnu=3611036027100120000&amp;isNoScr=script&amp;mode=search", "토지이음")</f>
        <v/>
      </c>
      <c r="O1975" s="3" t="inlineStr">
        <is>
          <t>스마일세종</t>
        </is>
      </c>
      <c r="P1975" s="4" t="n">
        <v>2</v>
      </c>
      <c r="Q1975" s="4" t="n">
        <v>1838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완경사</t>
        </is>
      </c>
      <c r="U1975" s="3" t="inlineStr">
        <is>
          <t>부정형</t>
        </is>
      </c>
      <c r="V1975" s="3" t="inlineStr">
        <is>
          <t>세로한면(가)</t>
        </is>
      </c>
    </row>
    <row r="1976">
      <c r="A1976" s="3" t="inlineStr">
        <is>
          <t>연서면 청라리 127-1</t>
        </is>
      </c>
      <c r="B1976" s="3" t="inlineStr">
        <is>
          <t>생산관리지역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53000</v>
      </c>
      <c r="G1976" s="4" t="n">
        <v>1249</v>
      </c>
      <c r="H1976" s="4" t="n">
        <v>378</v>
      </c>
      <c r="I1976" s="5" t="n">
        <v>140.2</v>
      </c>
      <c r="J1976" s="5" t="n">
        <v>30.6</v>
      </c>
      <c r="K1976" s="3" t="inlineStr">
        <is>
          <t>고복저수지5분거리 국산인근수혜지</t>
        </is>
      </c>
      <c r="L1976" s="6">
        <f>HYPERLINK("https://fin.land.naver.com/articles/2652904321", "매물Link")</f>
        <v/>
      </c>
      <c r="M1976" s="6">
        <f>HYPERLINK("https://map.naver.com/p/search/연서면 청라리 127-1", "지도Link")</f>
        <v/>
      </c>
      <c r="N1976" s="6">
        <f>HYPERLINK("http://www.eum.go.kr/web/ar/lu/luLandDet.jsp?pnu=3611036027101270001&amp;isNoScr=script&amp;mode=search", "토지이음")</f>
        <v/>
      </c>
      <c r="O1976" s="3" t="inlineStr">
        <is>
          <t>오송원</t>
        </is>
      </c>
      <c r="P1976" s="4" t="n">
        <v>1</v>
      </c>
      <c r="Q1976" s="4" t="n">
        <v>1249</v>
      </c>
      <c r="R1976" s="3" t="inlineStr">
        <is>
          <t>지정되지않음</t>
        </is>
      </c>
      <c r="S1976" s="3" t="inlineStr">
        <is>
          <t>과수원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청라리 127-1</t>
        </is>
      </c>
      <c r="B1977" s="3" t="inlineStr">
        <is>
          <t>생산관리지역</t>
        </is>
      </c>
      <c r="C1977" s="3" t="inlineStr">
        <is>
          <t>과수원</t>
        </is>
      </c>
      <c r="D1977" s="3" t="inlineStr">
        <is>
          <t>과수원</t>
        </is>
      </c>
      <c r="E1977" s="3" t="inlineStr">
        <is>
          <t>매매</t>
        </is>
      </c>
      <c r="F1977" s="4" t="n">
        <v>53000</v>
      </c>
      <c r="G1977" s="4" t="n">
        <v>1249</v>
      </c>
      <c r="H1977" s="4" t="n">
        <v>378</v>
      </c>
      <c r="I1977" s="5" t="n">
        <v>140.2</v>
      </c>
      <c r="J1977" s="5" t="n">
        <v>30.6</v>
      </c>
      <c r="K1977" s="3" t="inlineStr">
        <is>
          <t>l청년l 세종시 투자가치 있는 토지 입니다.</t>
        </is>
      </c>
      <c r="L1977" s="6">
        <f>HYPERLINK("https://fin.land.naver.com/articles/2652676790", "매물Link")</f>
        <v/>
      </c>
      <c r="M1977" s="6">
        <f>HYPERLINK("https://map.naver.com/p/search/연서면 청라리 127-1", "지도Link")</f>
        <v/>
      </c>
      <c r="N1977" s="6">
        <f>HYPERLINK("http://www.eum.go.kr/web/ar/lu/luLandDet.jsp?pnu=3611036027101270001&amp;isNoScr=script&amp;mode=search", "토지이음")</f>
        <v/>
      </c>
      <c r="O1977" s="3" t="inlineStr">
        <is>
          <t>청년사사무소</t>
        </is>
      </c>
      <c r="P1977" s="4" t="n">
        <v>1</v>
      </c>
      <c r="Q1977" s="4" t="n">
        <v>1249</v>
      </c>
      <c r="R1977" s="3" t="inlineStr">
        <is>
          <t>지정되지않음</t>
        </is>
      </c>
      <c r="S1977" s="3" t="inlineStr">
        <is>
          <t>과수원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청라리 127-1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53000</v>
      </c>
      <c r="G1978" s="4" t="n">
        <v>1249</v>
      </c>
      <c r="H1978" s="4" t="n">
        <v>378</v>
      </c>
      <c r="I1978" s="5" t="n">
        <v>140.2</v>
      </c>
      <c r="J1978" s="5" t="n">
        <v>30.6</v>
      </c>
      <c r="K1978" s="3" t="inlineStr">
        <is>
          <t>세종 연서면 고복저수지 인근 건축 및 투자 추천 추가 하천부지 있음</t>
        </is>
      </c>
      <c r="L1978" s="6">
        <f>HYPERLINK("https://fin.land.naver.com/articles/2654669162", "매물Link")</f>
        <v/>
      </c>
      <c r="M1978" s="6">
        <f>HYPERLINK("https://map.naver.com/p/search/연서면 청라리 127-1", "지도Link")</f>
        <v/>
      </c>
      <c r="N1978" s="6">
        <f>HYPERLINK("http://www.eum.go.kr/web/ar/lu/luLandDet.jsp?pnu=3611036027101270001&amp;isNoScr=script&amp;mode=search", "토지이음")</f>
        <v/>
      </c>
      <c r="O1978" s="3" t="inlineStr">
        <is>
          <t>나침반</t>
        </is>
      </c>
      <c r="P1978" s="4" t="n">
        <v>8</v>
      </c>
      <c r="Q1978" s="4" t="n">
        <v>1249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청라리 16</t>
        </is>
      </c>
      <c r="B1979" s="3" t="inlineStr">
        <is>
          <t>생산관리지역</t>
        </is>
      </c>
      <c r="C1979" s="3" t="inlineStr">
        <is>
          <t>답</t>
        </is>
      </c>
      <c r="D1979" s="3" t="inlineStr">
        <is>
          <t>답</t>
        </is>
      </c>
      <c r="E1979" s="3" t="inlineStr">
        <is>
          <t>매매</t>
        </is>
      </c>
      <c r="F1979" s="4" t="n">
        <v>42000</v>
      </c>
      <c r="G1979" s="4" t="n">
        <v>2023</v>
      </c>
      <c r="H1979" s="4" t="n">
        <v>612</v>
      </c>
      <c r="I1979" s="5" t="n">
        <v>68.59999999999999</v>
      </c>
      <c r="J1979" s="5" t="n">
        <v>23.5</v>
      </c>
      <c r="K1979" s="3" t="inlineStr">
        <is>
          <t>풍수지리 최고위치 국가산단 배후지 급매물</t>
        </is>
      </c>
      <c r="L1979" s="6">
        <f>HYPERLINK("https://fin.land.naver.com/articles/2650378739", "매물Link")</f>
        <v/>
      </c>
      <c r="M1979" s="6">
        <f>HYPERLINK("https://map.naver.com/p/search/연서면 청라리 16", "지도Link")</f>
        <v/>
      </c>
      <c r="N1979" s="6">
        <f>HYPERLINK("http://www.eum.go.kr/web/ar/lu/luLandDet.jsp?pnu=3611036027100160000&amp;isNoScr=script&amp;mode=search", "토지이음")</f>
        <v/>
      </c>
      <c r="O1979" s="3" t="inlineStr">
        <is>
          <t>THE행복</t>
        </is>
      </c>
      <c r="P1979" s="4" t="n">
        <v>1</v>
      </c>
      <c r="Q1979" s="4" t="n">
        <v>2023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세로한면(가)</t>
        </is>
      </c>
    </row>
    <row r="1980">
      <c r="A1980" s="3" t="inlineStr">
        <is>
          <t>연서면 청라리 16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42000</v>
      </c>
      <c r="G1980" s="4" t="n">
        <v>2023</v>
      </c>
      <c r="H1980" s="4" t="n">
        <v>612</v>
      </c>
      <c r="I1980" s="5" t="n">
        <v>68.59999999999999</v>
      </c>
      <c r="J1980" s="5" t="n">
        <v>23.5</v>
      </c>
      <c r="K1980" s="3" t="inlineStr">
        <is>
          <t>차량진입완경사, 고복저수지 6분국가산단 15분권</t>
        </is>
      </c>
      <c r="L1980" s="6">
        <f>HYPERLINK("https://fin.land.naver.com/articles/2650328099", "매물Link")</f>
        <v/>
      </c>
      <c r="M1980" s="6">
        <f>HYPERLINK("https://map.naver.com/p/search/연서면 청라리 16", "지도Link")</f>
        <v/>
      </c>
      <c r="N1980" s="6">
        <f>HYPERLINK("http://www.eum.go.kr/web/ar/lu/luLandDet.jsp?pnu=3611036027100160000&amp;isNoScr=script&amp;mode=search", "토지이음")</f>
        <v/>
      </c>
      <c r="O1980" s="3" t="inlineStr">
        <is>
          <t>세종소담황금</t>
        </is>
      </c>
      <c r="P1980" s="4" t="n">
        <v>1</v>
      </c>
      <c r="Q1980" s="4" t="n">
        <v>2023</v>
      </c>
      <c r="R1980" s="3" t="inlineStr">
        <is>
          <t>지정되지않음</t>
        </is>
      </c>
      <c r="S1980" s="3" t="inlineStr">
        <is>
          <t>과수원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청라리 163-8</t>
        </is>
      </c>
      <c r="B1981" s="3" t="inlineStr">
        <is>
          <t>생산관리지역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31000</v>
      </c>
      <c r="G1981" s="4" t="n">
        <v>778</v>
      </c>
      <c r="H1981" s="4" t="n">
        <v>235</v>
      </c>
      <c r="I1981" s="5" t="n">
        <v>131.9</v>
      </c>
      <c r="J1981" s="5" t="n">
        <v>27</v>
      </c>
      <c r="K1981" s="3" t="inlineStr">
        <is>
          <t>급매  남향  토목공사 완료  조망권 좋음</t>
        </is>
      </c>
      <c r="L1981" s="6">
        <f>HYPERLINK("https://fin.land.naver.com/articles/2654621303", "매물Link")</f>
        <v/>
      </c>
      <c r="M1981" s="6">
        <f>HYPERLINK("https://map.naver.com/p/search/연서면 청라리 163-8", "지도Link")</f>
        <v/>
      </c>
      <c r="N1981" s="6">
        <f>HYPERLINK("http://www.eum.go.kr/web/ar/lu/luLandDet.jsp?pnu=3611036027101630008&amp;isNoScr=script&amp;mode=search", "토지이음")</f>
        <v/>
      </c>
      <c r="O1981" s="3" t="inlineStr">
        <is>
          <t>보람진솔한</t>
        </is>
      </c>
      <c r="P1981" s="4" t="n">
        <v>1</v>
      </c>
      <c r="Q1981" s="4" t="n">
        <v>778</v>
      </c>
      <c r="R1981" s="3" t="inlineStr">
        <is>
          <t>지정되지않음</t>
        </is>
      </c>
      <c r="S1981" s="3" t="inlineStr">
        <is>
          <t>전</t>
        </is>
      </c>
      <c r="T1981" s="3" t="inlineStr">
        <is>
          <t>완경사</t>
        </is>
      </c>
      <c r="U1981" s="3" t="inlineStr">
        <is>
          <t>사다리형</t>
        </is>
      </c>
      <c r="V1981" s="3" t="inlineStr">
        <is>
          <t>세로한면(가)</t>
        </is>
      </c>
    </row>
    <row r="1982">
      <c r="A1982" s="3" t="inlineStr">
        <is>
          <t>연서면 청라리 17-1</t>
        </is>
      </c>
      <c r="B1982" s="3" t="inlineStr">
        <is>
          <t>생산관리지역</t>
        </is>
      </c>
      <c r="C1982" s="3" t="inlineStr">
        <is>
          <t>답</t>
        </is>
      </c>
      <c r="D1982" s="3" t="inlineStr">
        <is>
          <t>답</t>
        </is>
      </c>
      <c r="E1982" s="3" t="inlineStr">
        <is>
          <t>매매</t>
        </is>
      </c>
      <c r="F1982" s="4" t="n">
        <v>44000</v>
      </c>
      <c r="G1982" s="4" t="n">
        <v>1828</v>
      </c>
      <c r="H1982" s="4" t="n">
        <v>553</v>
      </c>
      <c r="I1982" s="5" t="n">
        <v>79.59999999999999</v>
      </c>
      <c r="J1982" s="5" t="n">
        <v>23.5</v>
      </c>
      <c r="K1982" s="3" t="inlineStr">
        <is>
          <t>연서면 청라리에 있는 전원주택도 지을 수 있는 투자용 토지 입니다</t>
        </is>
      </c>
      <c r="L1982" s="6">
        <f>HYPERLINK("https://fin.land.naver.com/articles/2650766989", "매물Link")</f>
        <v/>
      </c>
      <c r="M1982" s="6">
        <f>HYPERLINK("https://map.naver.com/p/search/연서면 청라리 17-1", "지도Link")</f>
        <v/>
      </c>
      <c r="N1982" s="6">
        <f>HYPERLINK("http://www.eum.go.kr/web/ar/lu/luLandDet.jsp?pnu=3611036027100170001&amp;isNoScr=script&amp;mode=search",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1729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청라리 191-1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75000</v>
      </c>
      <c r="G1983" s="4" t="n">
        <v>2096</v>
      </c>
      <c r="H1983" s="4" t="n">
        <v>634</v>
      </c>
      <c r="I1983" s="5" t="n">
        <v>118.3</v>
      </c>
      <c r="J1983" s="5" t="n">
        <v>32.1</v>
      </c>
      <c r="K1983" s="3" t="inlineStr">
        <is>
          <t>생산관리, 도로접함, 대토용, 투자용</t>
        </is>
      </c>
      <c r="L1983" s="6">
        <f>HYPERLINK("https://fin.land.naver.com/articles/2650332745", "매물Link")</f>
        <v/>
      </c>
      <c r="M1983" s="6">
        <f>HYPERLINK("https://map.naver.com/p/search/연서면 청라리 191-1", "지도Link")</f>
        <v/>
      </c>
      <c r="N1983" s="6">
        <f>HYPERLINK("http://www.eum.go.kr/web/ar/lu/luLandDet.jsp?pnu=3611036027101910001&amp;isNoScr=script&amp;mode=search", "토지이음")</f>
        <v/>
      </c>
      <c r="O1983" s="3" t="inlineStr">
        <is>
          <t>세종일조</t>
        </is>
      </c>
      <c r="P1983" s="4" t="n">
        <v>1</v>
      </c>
      <c r="Q1983" s="4" t="n">
        <v>2096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청라리 211-1</t>
        </is>
      </c>
      <c r="B1984" s="3" t="inlineStr">
        <is>
          <t>생산관리지역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96000</v>
      </c>
      <c r="G1984" s="4" t="n">
        <v>3514</v>
      </c>
      <c r="H1984" s="4" t="n">
        <v>1063</v>
      </c>
      <c r="I1984" s="5" t="n">
        <v>90.3</v>
      </c>
      <c r="J1984" s="5" t="n">
        <v>24.3</v>
      </c>
      <c r="K1984" s="3" t="inlineStr">
        <is>
          <t>nan</t>
        </is>
      </c>
      <c r="L1984" s="6">
        <f>HYPERLINK("https://fin.land.naver.com/articles/2653307407", "매물Link")</f>
        <v/>
      </c>
      <c r="M1984" s="6">
        <f>HYPERLINK("https://map.naver.com/p/search/연서면 청라리 211-1", "지도Link")</f>
        <v/>
      </c>
      <c r="N1984" s="6">
        <f>HYPERLINK("http://www.eum.go.kr/web/ar/lu/luLandDet.jsp?pnu=3611036027102110001&amp;isNoScr=script&amp;mode=search", "토지이음")</f>
        <v/>
      </c>
      <c r="O1984" s="3" t="inlineStr">
        <is>
          <t>디아트성심</t>
        </is>
      </c>
      <c r="P1984" s="4" t="n">
        <v>1</v>
      </c>
      <c r="Q1984" s="4" t="n">
        <v>3514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평지</t>
        </is>
      </c>
      <c r="U1984" s="3" t="inlineStr">
        <is>
          <t>부정형</t>
        </is>
      </c>
      <c r="V1984" s="3" t="inlineStr">
        <is>
          <t>세로각지(가)</t>
        </is>
      </c>
    </row>
    <row r="1985">
      <c r="A1985" s="3" t="inlineStr">
        <is>
          <t>연서면 청라리 244-1</t>
        </is>
      </c>
      <c r="B1985" s="3" t="inlineStr">
        <is>
          <t>생산관리지역</t>
        </is>
      </c>
      <c r="C1985" s="3" t="inlineStr">
        <is>
          <t>과수원</t>
        </is>
      </c>
      <c r="D1985" s="3" t="inlineStr">
        <is>
          <t>과수원</t>
        </is>
      </c>
      <c r="E1985" s="3" t="inlineStr">
        <is>
          <t>매매</t>
        </is>
      </c>
      <c r="F1985" s="4" t="n">
        <v>20000</v>
      </c>
      <c r="G1985" s="4" t="n">
        <v>833</v>
      </c>
      <c r="H1985" s="4" t="n">
        <v>252</v>
      </c>
      <c r="I1985" s="5" t="n">
        <v>79.40000000000001</v>
      </c>
      <c r="J1985" s="5" t="n">
        <v>20.8</v>
      </c>
      <c r="K1985" s="3" t="inlineStr">
        <is>
          <t>nan</t>
        </is>
      </c>
      <c r="L1985" s="6">
        <f>HYPERLINK("https://fin.land.naver.com/articles/2651654470", "매물Link")</f>
        <v/>
      </c>
      <c r="M1985" s="6">
        <f>HYPERLINK("https://map.naver.com/p/search/연서면 청라리 244-1", "지도Link")</f>
        <v/>
      </c>
      <c r="N1985" s="6">
        <f>HYPERLINK("http://www.eum.go.kr/web/ar/lu/luLandDet.jsp?pnu=3611036027102440001&amp;isNoScr=script&amp;mode=search", "토지이음")</f>
        <v/>
      </c>
      <c r="O1985" s="3" t="inlineStr">
        <is>
          <t>고운하임</t>
        </is>
      </c>
      <c r="P1985" s="4" t="n">
        <v>1</v>
      </c>
      <c r="Q1985" s="4" t="n">
        <v>833</v>
      </c>
      <c r="R1985" s="3" t="inlineStr">
        <is>
          <t>지정되지않음</t>
        </is>
      </c>
      <c r="S1985" s="3" t="inlineStr">
        <is>
          <t>과수원</t>
        </is>
      </c>
      <c r="T1985" s="3" t="inlineStr">
        <is>
          <t>완경사</t>
        </is>
      </c>
      <c r="U1985" s="3" t="inlineStr">
        <is>
          <t>부정형</t>
        </is>
      </c>
      <c r="V1985" s="3" t="inlineStr">
        <is>
          <t>세로한면(불)</t>
        </is>
      </c>
    </row>
    <row r="1986">
      <c r="A1986" s="3" t="inlineStr">
        <is>
          <t>연서면 청라리 263</t>
        </is>
      </c>
      <c r="B1986" s="3" t="inlineStr">
        <is>
          <t>생산관리지역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38500</v>
      </c>
      <c r="G1986" s="4" t="n">
        <v>2314</v>
      </c>
      <c r="H1986" s="4" t="n">
        <v>700</v>
      </c>
      <c r="I1986" s="5" t="n">
        <v>55</v>
      </c>
      <c r="J1986" s="5" t="n">
        <v>20.8</v>
      </c>
      <c r="K1986" s="3" t="inlineStr">
        <is>
          <t>연서면 청라리 농지매매</t>
        </is>
      </c>
      <c r="L1986" s="6">
        <f>HYPERLINK("https://fin.land.naver.com/articles/2650941248", "매물Link")</f>
        <v/>
      </c>
      <c r="M1986" s="6">
        <f>HYPERLINK("https://map.naver.com/p/search/연서면 청라리 263", "지도Link")</f>
        <v/>
      </c>
      <c r="N1986" s="6">
        <f>HYPERLINK("http://www.eum.go.kr/web/ar/lu/luLandDet.jsp?pnu=3611036027102630000&amp;isNoScr=script&amp;mode=search", "토지이음")</f>
        <v/>
      </c>
      <c r="O1986" s="3" t="inlineStr">
        <is>
          <t>OK세종 사무소</t>
        </is>
      </c>
      <c r="P1986" s="4" t="n">
        <v>1</v>
      </c>
      <c r="Q1986" s="4" t="n">
        <v>2314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세로한면(불)</t>
        </is>
      </c>
    </row>
    <row r="1987">
      <c r="A1987" s="3" t="inlineStr">
        <is>
          <t>연서면 청라리 277</t>
        </is>
      </c>
      <c r="B1987" s="3" t="inlineStr">
        <is>
          <t>생산관리지역</t>
        </is>
      </c>
      <c r="C1987" s="3" t="inlineStr">
        <is>
          <t>전</t>
        </is>
      </c>
      <c r="D1987" s="3" t="inlineStr">
        <is>
          <t>전</t>
        </is>
      </c>
      <c r="E1987" s="3" t="inlineStr">
        <is>
          <t>매매</t>
        </is>
      </c>
      <c r="F1987" s="4" t="n">
        <v>63000</v>
      </c>
      <c r="G1987" s="4" t="n">
        <v>3472</v>
      </c>
      <c r="H1987" s="4" t="n">
        <v>1050</v>
      </c>
      <c r="I1987" s="5" t="n">
        <v>60</v>
      </c>
      <c r="J1987" s="5" t="n">
        <v>22</v>
      </c>
      <c r="K1987" s="3" t="inlineStr">
        <is>
          <t>현황도로 길게 접한 생산관리 토지. 대토, 전원주택 추천</t>
        </is>
      </c>
      <c r="L1987" s="6">
        <f>HYPERLINK("https://fin.land.naver.com/articles/2652115768", "매물Link")</f>
        <v/>
      </c>
      <c r="M1987" s="6">
        <f>HYPERLINK("https://map.naver.com/p/search/연서면 청라리 277", "지도Link")</f>
        <v/>
      </c>
      <c r="N1987" s="6">
        <f>HYPERLINK("http://www.eum.go.kr/web/ar/lu/luLandDet.jsp?pnu=3611036027102770000&amp;isNoScr=script&amp;mode=search", "토지이음")</f>
        <v/>
      </c>
      <c r="O1987" s="3" t="inlineStr">
        <is>
          <t>미스터홈즈강남지사</t>
        </is>
      </c>
      <c r="P1987" s="4" t="n">
        <v>1</v>
      </c>
      <c r="Q1987" s="4" t="n">
        <v>3472</v>
      </c>
      <c r="R1987" s="3" t="inlineStr">
        <is>
          <t>지정되지않음</t>
        </is>
      </c>
      <c r="S1987" s="3" t="inlineStr">
        <is>
          <t>전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청라리 295-2</t>
        </is>
      </c>
      <c r="B1988" s="3" t="inlineStr">
        <is>
          <t>생산관리지역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71800</v>
      </c>
      <c r="G1988" s="4" t="n">
        <v>2372</v>
      </c>
      <c r="H1988" s="4" t="n">
        <v>718</v>
      </c>
      <c r="I1988" s="5" t="n">
        <v>100</v>
      </c>
      <c r="J1988" s="5" t="n">
        <v>23.5</v>
      </c>
      <c r="K1988" s="3" t="inlineStr">
        <is>
          <t>고복저수지인근 2차선변 답</t>
        </is>
      </c>
      <c r="L1988" s="6">
        <f>HYPERLINK("https://fin.land.naver.com/articles/2652044870", "매물Link")</f>
        <v/>
      </c>
      <c r="M1988" s="6">
        <f>HYPERLINK("https://map.naver.com/p/search/연서면 청라리 295-2", "지도Link")</f>
        <v/>
      </c>
      <c r="N1988" s="6">
        <f>HYPERLINK("http://www.eum.go.kr/web/ar/lu/luLandDet.jsp?pnu=3611036027102950002&amp;isNoScr=script&amp;mode=search", "토지이음")</f>
        <v/>
      </c>
      <c r="O1988" s="3" t="inlineStr">
        <is>
          <t>미스터홈즈강남지사</t>
        </is>
      </c>
      <c r="P1988" s="4" t="n">
        <v>1</v>
      </c>
      <c r="Q1988" s="4" t="n">
        <v>2372.4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평지</t>
        </is>
      </c>
      <c r="U1988" s="3" t="inlineStr">
        <is>
          <t>사다리형</t>
        </is>
      </c>
      <c r="V1988" s="3" t="inlineStr">
        <is>
          <t>세로한면(가)</t>
        </is>
      </c>
    </row>
    <row r="1989">
      <c r="A1989" s="3" t="inlineStr">
        <is>
          <t>연서면 청라리 34-1</t>
        </is>
      </c>
      <c r="B1989" s="3" t="inlineStr">
        <is>
          <t>생산관리지역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82300</v>
      </c>
      <c r="G1989" s="4" t="n">
        <v>3891</v>
      </c>
      <c r="H1989" s="4" t="n">
        <v>1177</v>
      </c>
      <c r="I1989" s="5" t="n">
        <v>69.90000000000001</v>
      </c>
      <c r="J1989" s="5" t="n">
        <v>24.2</v>
      </c>
      <c r="K1989" s="3" t="inlineStr">
        <is>
          <t>대토용 토지</t>
        </is>
      </c>
      <c r="L1989" s="6">
        <f>HYPERLINK("https://fin.land.naver.com/articles/2651766800", "매물Link")</f>
        <v/>
      </c>
      <c r="M1989" s="6">
        <f>HYPERLINK("https://map.naver.com/p/search/연서면 청라리 34-1", "지도Link")</f>
        <v/>
      </c>
      <c r="N1989" s="6">
        <f>HYPERLINK("http://www.eum.go.kr/web/ar/lu/luLandDet.jsp?pnu=3611036027100340001&amp;isNoScr=script&amp;mode=search", "토지이음")</f>
        <v/>
      </c>
      <c r="O1989" s="3" t="inlineStr">
        <is>
          <t>토지개발</t>
        </is>
      </c>
      <c r="P1989" s="4" t="n">
        <v>1</v>
      </c>
      <c r="Q1989" s="4" t="n">
        <v>3825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38-2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18180</v>
      </c>
      <c r="G1990" s="4" t="n">
        <v>1001</v>
      </c>
      <c r="H1990" s="4" t="n">
        <v>303</v>
      </c>
      <c r="I1990" s="5" t="n">
        <v>60</v>
      </c>
      <c r="J1990" s="5" t="n">
        <v>24.2</v>
      </c>
      <c r="K1990" s="3" t="inlineStr">
        <is>
          <t>배나무 심어져 있고 농지원부 나오는땅</t>
        </is>
      </c>
      <c r="L1990" s="6">
        <f>HYPERLINK("https://fin.land.naver.com/articles/2651959061", "매물Link")</f>
        <v/>
      </c>
      <c r="M1990" s="6">
        <f>HYPERLINK("https://map.naver.com/p/search/연서면 청라리 38-2", "지도Link")</f>
        <v/>
      </c>
      <c r="N1990" s="6">
        <f>HYPERLINK("http://www.eum.go.kr/web/ar/lu/luLandDet.jsp?pnu=3611036027100380002&amp;isNoScr=script&amp;mode=search", "토지이음")</f>
        <v/>
      </c>
      <c r="O1990" s="3" t="inlineStr">
        <is>
          <t>용궁</t>
        </is>
      </c>
      <c r="P1990" s="4" t="n">
        <v>1</v>
      </c>
      <c r="Q1990" s="4" t="n">
        <v>1000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420-1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37000</v>
      </c>
      <c r="G1991" s="4" t="n">
        <v>657</v>
      </c>
      <c r="H1991" s="4" t="n">
        <v>199</v>
      </c>
      <c r="I1991" s="5" t="n">
        <v>185.9</v>
      </c>
      <c r="J1991" s="5" t="n">
        <v>56.6</v>
      </c>
      <c r="K1991" s="3" t="inlineStr">
        <is>
          <t>계획관리지역.성장관리계획구역.단독주택있슴</t>
        </is>
      </c>
      <c r="L1991" s="6">
        <f>HYPERLINK("https://fin.land.naver.com/articles/2653846170", "매물Link")</f>
        <v/>
      </c>
      <c r="M1991" s="6">
        <f>HYPERLINK("https://map.naver.com/p/search/연서면 청라리 420-1", "지도Link")</f>
        <v/>
      </c>
      <c r="N1991" s="6">
        <f>HYPERLINK("http://www.eum.go.kr/web/ar/lu/luLandDet.jsp?pnu=3611036027104200001&amp;isNoScr=script&amp;mode=search", "토지이음")</f>
        <v/>
      </c>
      <c r="O1991" s="3" t="inlineStr">
        <is>
          <t>돈방석</t>
        </is>
      </c>
      <c r="P1991" s="4" t="n">
        <v>1</v>
      </c>
      <c r="Q1991" s="4" t="n">
        <v>657.4</v>
      </c>
      <c r="R1991" s="3" t="inlineStr">
        <is>
          <t>지정되지않음</t>
        </is>
      </c>
      <c r="S1991" s="3" t="inlineStr">
        <is>
          <t>단독</t>
        </is>
      </c>
      <c r="T1991" s="3" t="inlineStr">
        <is>
          <t>완경사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연서면 청라리 448</t>
        </is>
      </c>
      <c r="B1992" s="3" t="inlineStr">
        <is>
          <t>계획관리지역</t>
        </is>
      </c>
      <c r="C1992" s="3" t="inlineStr">
        <is>
          <t>창고용지</t>
        </is>
      </c>
      <c r="D1992" s="3" t="inlineStr">
        <is>
          <t>대</t>
        </is>
      </c>
      <c r="E1992" s="3" t="inlineStr">
        <is>
          <t>매매</t>
        </is>
      </c>
      <c r="F1992" s="4" t="n">
        <v>425400</v>
      </c>
      <c r="G1992" s="4" t="n">
        <v>7031</v>
      </c>
      <c r="H1992" s="4" t="n">
        <v>2127</v>
      </c>
      <c r="I1992" s="5" t="n">
        <v>200</v>
      </c>
      <c r="J1992" s="5" t="n">
        <v>36.8</v>
      </c>
      <c r="K1992" s="3" t="inlineStr">
        <is>
          <t>2차선도로 접한 토지</t>
        </is>
      </c>
      <c r="L1992" s="6">
        <f>HYPERLINK("https://fin.land.naver.com/articles/2655183878", "매물Link")</f>
        <v/>
      </c>
      <c r="M1992" s="6">
        <f>HYPERLINK("https://map.naver.com/p/search/연서면 청라리 448", "지도Link")</f>
        <v/>
      </c>
      <c r="N1992" s="6">
        <f>HYPERLINK("http://www.eum.go.kr/web/ar/lu/luLandDet.jsp?pnu=3611036027104480000&amp;isNoScr=script&amp;mode=search", "토지이음")</f>
        <v/>
      </c>
      <c r="O1992" s="3" t="inlineStr">
        <is>
          <t>더KEY</t>
        </is>
      </c>
      <c r="P1992" s="4" t="n">
        <v>1</v>
      </c>
      <c r="Q1992" s="4" t="n">
        <v>1158</v>
      </c>
      <c r="R1992" s="3" t="inlineStr">
        <is>
          <t>지정되지않음</t>
        </is>
      </c>
      <c r="S1992" s="3" t="inlineStr">
        <is>
          <t>답기타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소로한면</t>
        </is>
      </c>
    </row>
    <row r="1993">
      <c r="A1993" s="3" t="inlineStr">
        <is>
          <t>연서면 청라리 490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전</t>
        </is>
      </c>
      <c r="E1993" s="3" t="inlineStr">
        <is>
          <t>매매</t>
        </is>
      </c>
      <c r="F1993" s="4" t="n">
        <v>12700</v>
      </c>
      <c r="G1993" s="4" t="n">
        <v>1402</v>
      </c>
      <c r="H1993" s="4" t="n">
        <v>424</v>
      </c>
      <c r="I1993" s="5" t="n">
        <v>30</v>
      </c>
      <c r="J1993" s="5" t="n">
        <v>10.8</v>
      </c>
      <c r="K1993" s="3" t="inlineStr">
        <is>
          <t>절충가능하고 대토용으로 추천드림니다</t>
        </is>
      </c>
      <c r="L1993" s="6">
        <f>HYPERLINK("https://fin.land.naver.com/articles/2654814455", "매물Link")</f>
        <v/>
      </c>
      <c r="M1993" s="6">
        <f>HYPERLINK("https://map.naver.com/p/search/연서면 청라리 490", "지도Link")</f>
        <v/>
      </c>
      <c r="N1993" s="6">
        <f>HYPERLINK("http://www.eum.go.kr/web/ar/lu/luLandDet.jsp?pnu=3611036027104900000&amp;isNoScr=script&amp;mode=search", "토지이음")</f>
        <v/>
      </c>
      <c r="O1993" s="3" t="inlineStr">
        <is>
          <t>스마일세종</t>
        </is>
      </c>
      <c r="P1993" s="4" t="n">
        <v>1</v>
      </c>
      <c r="Q1993" s="4" t="n">
        <v>724</v>
      </c>
      <c r="R1993" s="3" t="inlineStr">
        <is>
          <t>지정되지않음</t>
        </is>
      </c>
      <c r="S1993" s="3" t="inlineStr">
        <is>
          <t>전</t>
        </is>
      </c>
      <c r="T1993" s="3" t="inlineStr">
        <is>
          <t>급경사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청라리 490</t>
        </is>
      </c>
      <c r="B1994" s="3" t="inlineStr">
        <is>
          <t>보전관리지역</t>
        </is>
      </c>
      <c r="C1994" s="3" t="inlineStr">
        <is>
          <t>답</t>
        </is>
      </c>
      <c r="D1994" s="3" t="inlineStr">
        <is>
          <t>전</t>
        </is>
      </c>
      <c r="E1994" s="3" t="inlineStr">
        <is>
          <t>매매</t>
        </is>
      </c>
      <c r="F1994" s="4" t="n">
        <v>7000</v>
      </c>
      <c r="G1994" s="4" t="n">
        <v>1401</v>
      </c>
      <c r="H1994" s="4" t="n">
        <v>424</v>
      </c>
      <c r="I1994" s="5" t="n">
        <v>16.5</v>
      </c>
      <c r="J1994" s="5" t="n">
        <v>10.8</v>
      </c>
      <c r="K1994" s="3" t="inlineStr">
        <is>
          <t>급매.과수원추천.보전관리.성장관리계획구역.영농여건불리농지. 대토추천.</t>
        </is>
      </c>
      <c r="L1994" s="6">
        <f>HYPERLINK("https://fin.land.naver.com/articles/2651449309", "매물Link")</f>
        <v/>
      </c>
      <c r="M1994" s="6">
        <f>HYPERLINK("https://map.naver.com/p/search/연서면 청라리 490", "지도Link")</f>
        <v/>
      </c>
      <c r="N1994" s="6">
        <f>HYPERLINK("http://www.eum.go.kr/web/ar/lu/luLandDet.jsp?pnu=3611036027104900000&amp;isNoScr=script&amp;mode=search", "토지이음")</f>
        <v/>
      </c>
      <c r="O1994" s="3" t="inlineStr">
        <is>
          <t>휴튼9단지세교신도시</t>
        </is>
      </c>
      <c r="P1994" s="4" t="n">
        <v>1</v>
      </c>
      <c r="Q1994" s="4" t="n">
        <v>724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급경사</t>
        </is>
      </c>
      <c r="U1994" s="3" t="inlineStr">
        <is>
          <t>부정형</t>
        </is>
      </c>
      <c r="V1994" s="3" t="inlineStr">
        <is>
          <t>맹지</t>
        </is>
      </c>
    </row>
    <row r="1995">
      <c r="A1995" s="3" t="inlineStr">
        <is>
          <t>연서면 청라리 490</t>
        </is>
      </c>
      <c r="B1995" s="3" t="inlineStr">
        <is>
          <t>보전관리지역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6750</v>
      </c>
      <c r="G1995" s="4" t="n">
        <v>1402</v>
      </c>
      <c r="H1995" s="4" t="n">
        <v>424</v>
      </c>
      <c r="I1995" s="5" t="n">
        <v>15.9</v>
      </c>
      <c r="J1995" s="5" t="n">
        <v>10.8</v>
      </c>
      <c r="K1995" s="3" t="inlineStr">
        <is>
          <t>구거 접해 있지만 맹지입니다.</t>
        </is>
      </c>
      <c r="L1995" s="6">
        <f>HYPERLINK("https://fin.land.naver.com/articles/2652005290", "매물Link")</f>
        <v/>
      </c>
      <c r="M1995" s="6">
        <f>HYPERLINK("https://map.naver.com/p/search/연서면 청라리 490", "지도Link")</f>
        <v/>
      </c>
      <c r="N1995" s="6">
        <f>HYPERLINK("http://www.eum.go.kr/web/ar/lu/luLandDet.jsp?pnu=3611036027104900000&amp;isNoScr=script&amp;mode=search", "토지이음")</f>
        <v/>
      </c>
      <c r="O1995" s="3" t="inlineStr">
        <is>
          <t>세종땅사랑</t>
        </is>
      </c>
      <c r="P1995" s="4" t="n">
        <v>1</v>
      </c>
      <c r="Q1995" s="4" t="n">
        <v>724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급경사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오송읍 공북리 184-1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130000</v>
      </c>
      <c r="G1996" s="4" t="n">
        <v>2146</v>
      </c>
      <c r="H1996" s="4" t="n">
        <v>649</v>
      </c>
      <c r="I1996" s="5" t="n">
        <v>200.3</v>
      </c>
      <c r="J1996" s="5" t="n">
        <v>53.7</v>
      </c>
      <c r="K1996" s="3" t="inlineStr">
        <is>
          <t>오송역.산단인접 개발 활용도 좋은 잡종지 토지 매매.2차선 도로접</t>
        </is>
      </c>
      <c r="L1996" s="6">
        <f>HYPERLINK("https://fin.land.naver.com/articles/2650636899", "매물Link")</f>
        <v/>
      </c>
      <c r="M1996" s="6">
        <f>HYPERLINK("https://map.naver.com/p/search/오송읍 공북리 184-1", "지도Link")</f>
        <v/>
      </c>
      <c r="N1996" s="6">
        <f>HYPERLINK("http://www.eum.go.kr/web/ar/lu/luLandDet.jsp?pnu=4311325023101840001&amp;isNoScr=script&amp;mode=search", "토지이음")</f>
        <v/>
      </c>
      <c r="O1996" s="3" t="inlineStr">
        <is>
          <t>삼성사무소</t>
        </is>
      </c>
      <c r="P1996" s="4" t="n">
        <v>1</v>
      </c>
      <c r="Q1996" s="4" t="n">
        <v>746</v>
      </c>
      <c r="R1996" s="3" t="inlineStr">
        <is>
          <t>지정되지않음</t>
        </is>
      </c>
      <c r="S1996" s="3" t="inlineStr">
        <is>
          <t>단독</t>
        </is>
      </c>
      <c r="T1996" s="3" t="inlineStr">
        <is>
          <t>평지</t>
        </is>
      </c>
      <c r="U1996" s="3" t="inlineStr">
        <is>
          <t>사다리형</t>
        </is>
      </c>
      <c r="V1996" s="3" t="inlineStr">
        <is>
          <t>소로한면</t>
        </is>
      </c>
    </row>
    <row r="1997">
      <c r="A1997" s="3" t="inlineStr">
        <is>
          <t>오송읍 공북리 184-2</t>
        </is>
      </c>
      <c r="B1997" s="3" t="inlineStr">
        <is>
          <t>농림지역</t>
        </is>
      </c>
      <c r="C1997" s="3" t="inlineStr">
        <is>
          <t>잡종지</t>
        </is>
      </c>
      <c r="D1997" s="3" t="inlineStr">
        <is>
          <t>잡종지</t>
        </is>
      </c>
      <c r="E1997" s="3" t="inlineStr">
        <is>
          <t>매매</t>
        </is>
      </c>
      <c r="F1997" s="4" t="n">
        <v>130000</v>
      </c>
      <c r="G1997" s="4" t="n">
        <v>2146</v>
      </c>
      <c r="H1997" s="4" t="n">
        <v>649</v>
      </c>
      <c r="I1997" s="5" t="n">
        <v>200.3</v>
      </c>
      <c r="J1997" s="5" t="n">
        <v>53.7</v>
      </c>
      <c r="K1997" s="3" t="inlineStr">
        <is>
          <t>2차선 도로 접, 서울 세종간 고속도로 오송진입로 1.3km, 투자 적지</t>
        </is>
      </c>
      <c r="L1997" s="6">
        <f>HYPERLINK("https://fin.land.naver.com/articles/2651729575", "매물Link")</f>
        <v/>
      </c>
      <c r="M1997" s="6">
        <f>HYPERLINK("https://map.naver.com/p/search/오송읍 공북리 184-2", "지도Link")</f>
        <v/>
      </c>
      <c r="N1997" s="6">
        <f>HYPERLINK("http://www.eum.go.kr/web/ar/lu/luLandDet.jsp?pnu=4311325023101840002&amp;isNoScr=script&amp;mode=search", "토지이음")</f>
        <v/>
      </c>
      <c r="O1997" s="3" t="inlineStr">
        <is>
          <t>OK파라곤</t>
        </is>
      </c>
      <c r="P1997" s="4" t="n">
        <v>1</v>
      </c>
      <c r="Q1997" s="4" t="n">
        <v>1400</v>
      </c>
      <c r="R1997" s="3" t="inlineStr">
        <is>
          <t>지정되지않음</t>
        </is>
      </c>
      <c r="S1997" s="3" t="inlineStr">
        <is>
          <t>단독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소로한면</t>
        </is>
      </c>
    </row>
    <row r="1998">
      <c r="A1998" s="3" t="inlineStr">
        <is>
          <t>오송읍 공북리 568-28</t>
        </is>
      </c>
      <c r="B1998" s="3" t="inlineStr">
        <is>
          <t>계획관리지역</t>
        </is>
      </c>
      <c r="C1998" s="3" t="inlineStr">
        <is>
          <t>잡종지</t>
        </is>
      </c>
      <c r="D1998" s="3" t="inlineStr">
        <is>
          <t>대</t>
        </is>
      </c>
      <c r="E1998" s="3" t="inlineStr">
        <is>
          <t>매매</t>
        </is>
      </c>
      <c r="F1998" s="4" t="n">
        <v>220000</v>
      </c>
      <c r="G1998" s="4" t="n">
        <v>2707</v>
      </c>
      <c r="H1998" s="4" t="n">
        <v>819</v>
      </c>
      <c r="I1998" s="5" t="n">
        <v>268.6</v>
      </c>
      <c r="J1998" s="5" t="n">
        <v>72.2</v>
      </c>
      <c r="K1998" s="3" t="inlineStr">
        <is>
          <t>오송생명과학단지 바로옆,옥산IC인근,전체 계획관리지역,공장 창고 추천</t>
        </is>
      </c>
      <c r="L1998" s="6">
        <f>HYPERLINK("https://fin.land.naver.com/articles/2652356906", "매물Link")</f>
        <v/>
      </c>
      <c r="M1998" s="6">
        <f>HYPERLINK("https://map.naver.com/p/search/오송읍 공북리 568-28", "지도Link")</f>
        <v/>
      </c>
      <c r="N1998" s="6">
        <f>HYPERLINK("http://www.eum.go.kr/web/ar/lu/luLandDet.jsp?pnu=4311325023105680028&amp;isNoScr=script&amp;mode=search", "토지이음")</f>
        <v/>
      </c>
      <c r="O1998" s="3" t="inlineStr">
        <is>
          <t>(주)미르</t>
        </is>
      </c>
      <c r="P1998" s="4" t="n">
        <v>1</v>
      </c>
      <c r="Q1998" s="4" t="n">
        <v>79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사다리형</t>
        </is>
      </c>
      <c r="V1998" s="3" t="inlineStr">
        <is>
          <t>세로한면(가)</t>
        </is>
      </c>
    </row>
    <row r="1999">
      <c r="A1999" s="3" t="inlineStr">
        <is>
          <t>오송읍 공북리 568-30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220000</v>
      </c>
      <c r="G1999" s="4" t="n">
        <v>2707</v>
      </c>
      <c r="H1999" s="4" t="n">
        <v>819</v>
      </c>
      <c r="I1999" s="5" t="n">
        <v>268.6</v>
      </c>
      <c r="J1999" s="5" t="n">
        <v>72.2</v>
      </c>
      <c r="K1999" s="3" t="inlineStr">
        <is>
          <t>오송생명과학단지 , 오송 화장품산업단지 인근 공장 창고 추천</t>
        </is>
      </c>
      <c r="L1999" s="6">
        <f>HYPERLINK("https://fin.land.naver.com/articles/2652969686", "매물Link")</f>
        <v/>
      </c>
      <c r="M1999" s="6">
        <f>HYPERLINK("https://map.naver.com/p/search/오송읍 공북리 568-30", "지도Link")</f>
        <v/>
      </c>
      <c r="N1999" s="6">
        <f>HYPERLINK("http://www.eum.go.kr/web/ar/lu/luLandDet.jsp?pnu=4311325023105680030&amp;isNoScr=script&amp;mode=search", "토지이음")</f>
        <v/>
      </c>
      <c r="O1999" s="3" t="inlineStr">
        <is>
          <t>더원</t>
        </is>
      </c>
      <c r="P1999" s="4" t="n">
        <v>1</v>
      </c>
      <c r="Q1999" s="4" t="n">
        <v>144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오송읍 공북리 639-1</t>
        </is>
      </c>
      <c r="B2000" s="3" t="inlineStr">
        <is>
          <t>농림지역</t>
        </is>
      </c>
      <c r="C2000" s="3" t="inlineStr">
        <is>
          <t>답</t>
        </is>
      </c>
      <c r="D2000" s="3" t="inlineStr">
        <is>
          <t>답</t>
        </is>
      </c>
      <c r="E2000" s="3" t="inlineStr">
        <is>
          <t>매매</t>
        </is>
      </c>
      <c r="F2000" s="4" t="n">
        <v>20600</v>
      </c>
      <c r="G2000" s="4" t="n">
        <v>975</v>
      </c>
      <c r="H2000" s="4" t="n">
        <v>295</v>
      </c>
      <c r="I2000" s="5" t="n">
        <v>69.8</v>
      </c>
      <c r="J2000" s="5" t="n">
        <v>21.6</v>
      </c>
      <c r="K2000" s="3" t="inlineStr">
        <is>
          <t>오송역 오송철도클러스터단지인근토지 수도 전기 화장실 컨테이너 설치</t>
        </is>
      </c>
      <c r="L2000" s="6">
        <f>HYPERLINK("https://fin.land.naver.com/articles/2653991086", "매물Link")</f>
        <v/>
      </c>
      <c r="M2000" s="6">
        <f>HYPERLINK("https://map.naver.com/p/search/오송읍 공북리 639-1", "지도Link")</f>
        <v/>
      </c>
      <c r="N2000" s="6">
        <f>HYPERLINK("http://www.eum.go.kr/web/ar/lu/luLandDet.jsp?pnu=4311325023106390001&amp;isNoScr=script&amp;mode=search", "토지이음")</f>
        <v/>
      </c>
      <c r="O2000" s="3" t="inlineStr">
        <is>
          <t>아임</t>
        </is>
      </c>
      <c r="P2000" s="4" t="n">
        <v>2</v>
      </c>
      <c r="Q2000" s="4" t="n">
        <v>975</v>
      </c>
      <c r="R2000" s="3" t="inlineStr">
        <is>
          <t>생산관리지역</t>
        </is>
      </c>
      <c r="S2000" s="3" t="inlineStr">
        <is>
          <t>답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오송읍 공북리 산 52-7</t>
        </is>
      </c>
      <c r="B2001" s="3" t="inlineStr">
        <is>
          <t>보전관리지역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190000</v>
      </c>
      <c r="G2001" s="4" t="n">
        <v>39425</v>
      </c>
      <c r="H2001" s="4" t="n">
        <v>11926</v>
      </c>
      <c r="I2001" s="5" t="n">
        <v>15.9</v>
      </c>
      <c r="J2001" s="5" t="n">
        <v>3.1</v>
      </c>
      <c r="K2001" s="3" t="inlineStr">
        <is>
          <t>카폐,전원주택 개발 가능여지 있음</t>
        </is>
      </c>
      <c r="L2001" s="6">
        <f>HYPERLINK("https://fin.land.naver.com/articles/2654775571", "매물Link")</f>
        <v/>
      </c>
      <c r="M2001" s="6">
        <f>HYPERLINK("https://map.naver.com/p/search/오송읍 공북리 산 52-7", "지도Link")</f>
        <v/>
      </c>
      <c r="N2001" s="6">
        <f>HYPERLINK("http://www.eum.go.kr/web/ar/lu/luLandDet.jsp?pnu=4311325023200520007&amp;isNoScr=script&amp;mode=search", "토지이음")</f>
        <v/>
      </c>
      <c r="O2001" s="3" t="inlineStr">
        <is>
          <t>조은</t>
        </is>
      </c>
      <c r="P2001" s="4" t="n">
        <v>1</v>
      </c>
      <c r="Q2001" s="4" t="n">
        <v>2791</v>
      </c>
      <c r="R2001" s="3" t="inlineStr">
        <is>
          <t>지정되지않음</t>
        </is>
      </c>
      <c r="S2001" s="3" t="inlineStr">
        <is>
          <t>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오송읍 궁평리 204-8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95000</v>
      </c>
      <c r="G2002" s="4" t="n">
        <v>2036</v>
      </c>
      <c r="H2002" s="4" t="n">
        <v>616</v>
      </c>
      <c r="I2002" s="5" t="n">
        <v>154.2</v>
      </c>
      <c r="J2002" s="5" t="n">
        <v>27.4</v>
      </c>
      <c r="K2002" s="3" t="inlineStr">
        <is>
          <t>오송읍 투자가치 높은 토지 매매</t>
        </is>
      </c>
      <c r="L2002" s="6">
        <f>HYPERLINK("https://fin.land.naver.com/articles/2653393609", "매물Link")</f>
        <v/>
      </c>
      <c r="M2002" s="6">
        <f>HYPERLINK("https://map.naver.com/p/search/오송읍 궁평리 204-8", "지도Link")</f>
        <v/>
      </c>
      <c r="N2002" s="6">
        <f>HYPERLINK("http://www.eum.go.kr/web/ar/lu/luLandDet.jsp?pnu=4311325027102040008&amp;isNoScr=script&amp;mode=search",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2036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세로한면(가)</t>
        </is>
      </c>
    </row>
    <row r="2003">
      <c r="A2003" s="3" t="inlineStr">
        <is>
          <t>오송읍 궁평리 213-3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47500</v>
      </c>
      <c r="G2003" s="4" t="n">
        <v>2093</v>
      </c>
      <c r="H2003" s="4" t="n">
        <v>633</v>
      </c>
      <c r="I2003" s="5" t="n">
        <v>75</v>
      </c>
      <c r="J2003" s="5" t="n">
        <v>30</v>
      </c>
      <c r="K2003" s="3" t="inlineStr">
        <is>
          <t>nan</t>
        </is>
      </c>
      <c r="L2003" s="6">
        <f>HYPERLINK("https://fin.land.naver.com/articles/2650456829", "매물Link")</f>
        <v/>
      </c>
      <c r="M2003" s="6">
        <f>HYPERLINK("https://map.naver.com/p/search/오송읍 궁평리 213-3", "지도Link")</f>
        <v/>
      </c>
      <c r="N2003" s="6">
        <f>HYPERLINK("http://www.eum.go.kr/web/ar/lu/luLandDet.jsp?pnu=4311325027102130003&amp;isNoScr=script&amp;mode=search", "토지이음")</f>
        <v/>
      </c>
      <c r="O2003" s="3" t="inlineStr">
        <is>
          <t>OK파라곤</t>
        </is>
      </c>
      <c r="P2003" s="4" t="n">
        <v>1</v>
      </c>
      <c r="Q2003" s="4" t="n">
        <v>2093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오송읍 궁평리 216-6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90700</v>
      </c>
      <c r="G2004" s="4" t="n">
        <v>3740</v>
      </c>
      <c r="H2004" s="4" t="n">
        <v>1131</v>
      </c>
      <c r="I2004" s="5" t="n">
        <v>80.2</v>
      </c>
      <c r="J2004" s="5" t="n">
        <v>27</v>
      </c>
      <c r="K2004" s="3" t="inlineStr">
        <is>
          <t>궁평리 청주오스코 인근</t>
        </is>
      </c>
      <c r="L2004" s="6">
        <f>HYPERLINK("https://fin.land.naver.com/articles/2653380363", "매물Link")</f>
        <v/>
      </c>
      <c r="M2004" s="6">
        <f>HYPERLINK("https://map.naver.com/p/search/오송읍 궁평리 216-6", "지도Link")</f>
        <v/>
      </c>
      <c r="N2004" s="6">
        <f>HYPERLINK("http://www.eum.go.kr/web/ar/lu/luLandDet.jsp?pnu=4311325027102160006&amp;isNoScr=script&amp;mode=search", "토지이음")</f>
        <v/>
      </c>
      <c r="O2004" s="3" t="inlineStr">
        <is>
          <t>수풀림</t>
        </is>
      </c>
      <c r="P2004" s="4" t="n">
        <v>2</v>
      </c>
      <c r="Q2004" s="4" t="n">
        <v>3743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세로한면(불)</t>
        </is>
      </c>
    </row>
    <row r="2005">
      <c r="A2005" s="3" t="inlineStr">
        <is>
          <t>오송읍 궁평리 234-6</t>
        </is>
      </c>
      <c r="B2005" s="3" t="inlineStr">
        <is>
          <t>농림지역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136000</v>
      </c>
      <c r="G2005" s="4" t="n">
        <v>3003</v>
      </c>
      <c r="H2005" s="4" t="n">
        <v>908</v>
      </c>
      <c r="I2005" s="5" t="n">
        <v>149.8</v>
      </c>
      <c r="J2005" s="5" t="n">
        <v>37.1</v>
      </c>
      <c r="K2005" s="3" t="inlineStr">
        <is>
          <t>매물특징</t>
        </is>
      </c>
      <c r="L2005" s="6">
        <f>HYPERLINK("https://fin.land.naver.com/articles/2654799108", "매물Link")</f>
        <v/>
      </c>
      <c r="M2005" s="6">
        <f>HYPERLINK("https://map.naver.com/p/search/오송읍 궁평리 234-6", "지도Link")</f>
        <v/>
      </c>
      <c r="N2005" s="6">
        <f>HYPERLINK("http://www.eum.go.kr/web/ar/lu/luLandDet.jsp?pnu=4311325027102340006&amp;isNoScr=script&amp;mode=search", "토지이음")</f>
        <v/>
      </c>
      <c r="O2005" s="3" t="inlineStr">
        <is>
          <t>오송궁평마을</t>
        </is>
      </c>
      <c r="P2005" s="4" t="n">
        <v>1</v>
      </c>
      <c r="Q2005" s="4" t="n">
        <v>3003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세로장방</t>
        </is>
      </c>
      <c r="V2005" s="3" t="inlineStr">
        <is>
          <t>세로한면(가)</t>
        </is>
      </c>
    </row>
    <row r="2006">
      <c r="A2006" s="3" t="inlineStr">
        <is>
          <t>오송읍 궁평리 259-14</t>
        </is>
      </c>
      <c r="B2006" s="3" t="inlineStr">
        <is>
          <t>계획관리지역</t>
        </is>
      </c>
      <c r="C2006" s="3" t="inlineStr">
        <is>
          <t>전</t>
        </is>
      </c>
      <c r="D2006" s="3" t="inlineStr">
        <is>
          <t>전</t>
        </is>
      </c>
      <c r="E2006" s="3" t="inlineStr">
        <is>
          <t>매매</t>
        </is>
      </c>
      <c r="F2006" s="4" t="n">
        <v>80000</v>
      </c>
      <c r="G2006" s="4" t="n">
        <v>1144</v>
      </c>
      <c r="H2006" s="4" t="n">
        <v>346</v>
      </c>
      <c r="I2006" s="5" t="n">
        <v>231.2</v>
      </c>
      <c r="J2006" s="5" t="n">
        <v>93.90000000000001</v>
      </c>
      <c r="K2006" s="3" t="inlineStr">
        <is>
          <t>오송역 및 오스코 600m, 6차선 지하차도 예정지에 인접한 계획관리토지</t>
        </is>
      </c>
      <c r="L2006" s="6">
        <f>HYPERLINK("https://fin.land.naver.com/articles/2654630539", "매물Link")</f>
        <v/>
      </c>
      <c r="M2006" s="6">
        <f>HYPERLINK("https://map.naver.com/p/search/오송읍 궁평리 259-14", "지도Link")</f>
        <v/>
      </c>
      <c r="N2006" s="6">
        <f>HYPERLINK("http://www.eum.go.kr/web/ar/lu/luLandDet.jsp?pnu=4311325027102590014&amp;isNoScr=script&amp;mode=search", "토지이음")</f>
        <v/>
      </c>
      <c r="O2006" s="3" t="inlineStr">
        <is>
          <t>오송3산단  사무소</t>
        </is>
      </c>
      <c r="P2006" s="4" t="n">
        <v>1</v>
      </c>
      <c r="Q2006" s="4" t="n">
        <v>1144</v>
      </c>
      <c r="R2006" s="3" t="inlineStr">
        <is>
          <t>지정되지않음</t>
        </is>
      </c>
      <c r="S2006" s="3" t="inlineStr">
        <is>
          <t>전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오송읍 궁평리 272-3</t>
        </is>
      </c>
      <c r="B2007" s="3" t="inlineStr">
        <is>
          <t>계획관리지역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85000</v>
      </c>
      <c r="G2007" s="4" t="n">
        <v>573</v>
      </c>
      <c r="H2007" s="4" t="n">
        <v>173</v>
      </c>
      <c r="I2007" s="5" t="n">
        <v>491.3</v>
      </c>
      <c r="J2007" s="5" t="n">
        <v>161.2</v>
      </c>
      <c r="K2007" s="3" t="inlineStr">
        <is>
          <t>오송역에서 가까운 궁평리에 위치한 토지임</t>
        </is>
      </c>
      <c r="L2007" s="6">
        <f>HYPERLINK("https://fin.land.naver.com/articles/2652419897", "매물Link")</f>
        <v/>
      </c>
      <c r="M2007" s="6">
        <f>HYPERLINK("https://map.naver.com/p/search/오송읍 궁평리 272-3", "지도Link")</f>
        <v/>
      </c>
      <c r="N2007" s="6">
        <f>HYPERLINK("http://www.eum.go.kr/web/ar/lu/luLandDet.jsp?pnu=4311325027102720003&amp;isNoScr=script&amp;mode=search", "토지이음")</f>
        <v/>
      </c>
      <c r="O2007" s="3" t="inlineStr">
        <is>
          <t>산성</t>
        </is>
      </c>
      <c r="P2007" s="4" t="n">
        <v>1</v>
      </c>
      <c r="Q2007" s="4" t="n">
        <v>573</v>
      </c>
      <c r="R2007" s="3" t="inlineStr">
        <is>
          <t>지정되지않음</t>
        </is>
      </c>
      <c r="S2007" s="3" t="inlineStr">
        <is>
          <t>단독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오송읍 궁평리 278-1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227000</v>
      </c>
      <c r="G2008" s="4" t="n">
        <v>4076</v>
      </c>
      <c r="H2008" s="4" t="n">
        <v>1233</v>
      </c>
      <c r="I2008" s="5" t="n">
        <v>184.1</v>
      </c>
      <c r="J2008" s="5" t="n">
        <v>46.8</v>
      </c>
      <c r="K2008" s="3" t="inlineStr">
        <is>
          <t>매물특징</t>
        </is>
      </c>
      <c r="L2008" s="6">
        <f>HYPERLINK("https://fin.land.naver.com/articles/2654431239", "매물Link")</f>
        <v/>
      </c>
      <c r="M2008" s="6">
        <f>HYPERLINK("https://map.naver.com/p/search/오송읍 궁평리 278-1", "지도Link")</f>
        <v/>
      </c>
      <c r="N2008" s="6">
        <f>HYPERLINK("http://www.eum.go.kr/web/ar/lu/luLandDet.jsp?pnu=4311325027102780001&amp;isNoScr=script&amp;mode=search", "토지이음")</f>
        <v/>
      </c>
      <c r="O2008" s="3" t="inlineStr">
        <is>
          <t>오송궁평마을</t>
        </is>
      </c>
      <c r="P2008" s="4" t="n">
        <v>1</v>
      </c>
      <c r="Q2008" s="4" t="n">
        <v>4076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세로한면(불)</t>
        </is>
      </c>
    </row>
    <row r="2009">
      <c r="A2009" s="3" t="inlineStr">
        <is>
          <t>오송읍 궁평리 296-3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150000</v>
      </c>
      <c r="G2009" s="4" t="n">
        <v>3967</v>
      </c>
      <c r="H2009" s="4" t="n">
        <v>1200</v>
      </c>
      <c r="I2009" s="5" t="n">
        <v>125</v>
      </c>
      <c r="J2009" s="5" t="n">
        <v>53.7</v>
      </c>
      <c r="K2009" s="3" t="inlineStr">
        <is>
          <t>오송역 인근 장래개발 호재지역 투자용 대토용 조경업 농림관련산업</t>
        </is>
      </c>
      <c r="L2009" s="6">
        <f>HYPERLINK("https://fin.land.naver.com/articles/2652622632", "매물Link")</f>
        <v/>
      </c>
      <c r="M2009" s="6">
        <f>HYPERLINK("https://map.naver.com/p/search/오송읍 궁평리 296-3", "지도Link")</f>
        <v/>
      </c>
      <c r="N2009" s="6">
        <f>HYPERLINK("http://www.eum.go.kr/web/ar/lu/luLandDet.jsp?pnu=4311325027102960003&amp;isNoScr=script&amp;mode=search", "토지이음")</f>
        <v/>
      </c>
      <c r="O2009" s="3" t="inlineStr">
        <is>
          <t>재일합동사무소</t>
        </is>
      </c>
      <c r="P2009" s="4" t="n">
        <v>1</v>
      </c>
      <c r="Q2009" s="4" t="n">
        <v>3967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세로한면(가)</t>
        </is>
      </c>
    </row>
    <row r="2010">
      <c r="A2010" s="3" t="inlineStr">
        <is>
          <t>오송읍 궁평리 61-6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40000</v>
      </c>
      <c r="G2010" s="4" t="n">
        <v>347</v>
      </c>
      <c r="H2010" s="4" t="n">
        <v>105</v>
      </c>
      <c r="I2010" s="5" t="n">
        <v>381</v>
      </c>
      <c r="J2010" s="5" t="n">
        <v>103.6</v>
      </c>
      <c r="K2010" s="3" t="inlineStr">
        <is>
          <t>궁평리 전원주택 지을 토지 매매.</t>
        </is>
      </c>
      <c r="L2010" s="6">
        <f>HYPERLINK("https://fin.land.naver.com/articles/2652685481", "매물Link")</f>
        <v/>
      </c>
      <c r="M2010" s="6">
        <f>HYPERLINK("https://map.naver.com/p/search/오송읍 궁평리 61-6", "지도Link")</f>
        <v/>
      </c>
      <c r="N2010" s="6">
        <f>HYPERLINK("http://www.eum.go.kr/web/ar/lu/luLandDet.jsp?pnu=4311325027100610006&amp;isNoScr=script&amp;mode=search", "토지이음")</f>
        <v/>
      </c>
      <c r="O2010" s="3" t="inlineStr">
        <is>
          <t>대한민국</t>
        </is>
      </c>
      <c r="P2010" s="4" t="n">
        <v>1</v>
      </c>
      <c r="Q2010" s="4" t="n">
        <v>347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궁평리 75-1</t>
        </is>
      </c>
      <c r="B2011" s="3" t="inlineStr">
        <is>
          <t>농림지역</t>
        </is>
      </c>
      <c r="C2011" s="3" t="inlineStr">
        <is>
          <t>전</t>
        </is>
      </c>
      <c r="D2011" s="3" t="inlineStr">
        <is>
          <t>답</t>
        </is>
      </c>
      <c r="E2011" s="3" t="inlineStr">
        <is>
          <t>매매</t>
        </is>
      </c>
      <c r="F2011" s="4" t="n">
        <v>31700</v>
      </c>
      <c r="G2011" s="4" t="n">
        <v>614</v>
      </c>
      <c r="H2011" s="4" t="n">
        <v>186</v>
      </c>
      <c r="I2011" s="5" t="n">
        <v>170.4</v>
      </c>
      <c r="J2011" s="5" t="n">
        <v>37.1</v>
      </c>
      <c r="K2011" s="3" t="inlineStr">
        <is>
          <t>투자가치로 적극 추천하는 궁평리 중심 토지</t>
        </is>
      </c>
      <c r="L2011" s="6">
        <f>HYPERLINK("https://fin.land.naver.com/articles/2650824873", "매물Link")</f>
        <v/>
      </c>
      <c r="M2011" s="6">
        <f>HYPERLINK("https://map.naver.com/p/search/오송읍 궁평리 75-1", "지도Link")</f>
        <v/>
      </c>
      <c r="N2011" s="6">
        <f>HYPERLINK("http://www.eum.go.kr/web/ar/lu/luLandDet.jsp?pnu=4311325027100750001&amp;isNoScr=script&amp;mode=search", "토지이음")</f>
        <v/>
      </c>
      <c r="O2011" s="3" t="inlineStr">
        <is>
          <t>국제</t>
        </is>
      </c>
      <c r="P2011" s="4" t="n">
        <v>1</v>
      </c>
      <c r="Q2011" s="4" t="n">
        <v>3078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세로장방</t>
        </is>
      </c>
      <c r="V2011" s="3" t="inlineStr">
        <is>
          <t>세로각지(가)</t>
        </is>
      </c>
    </row>
    <row r="2012">
      <c r="A2012" s="3" t="inlineStr">
        <is>
          <t>오송읍 동평리 381-13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36000</v>
      </c>
      <c r="G2012" s="4" t="n">
        <v>2070</v>
      </c>
      <c r="H2012" s="4" t="n">
        <v>626</v>
      </c>
      <c r="I2012" s="5" t="n">
        <v>57.5</v>
      </c>
      <c r="J2012" s="5" t="n">
        <v>26.6</v>
      </c>
      <c r="K2012" s="3" t="inlineStr">
        <is>
          <t>오송3산단 수용지에 인접한 추가수용 유력토지, 착한가격의 투자용 매물</t>
        </is>
      </c>
      <c r="L2012" s="6">
        <f>HYPERLINK("https://fin.land.naver.com/articles/2654628723", "매물Link")</f>
        <v/>
      </c>
      <c r="M2012" s="6">
        <f>HYPERLINK("https://map.naver.com/p/search/오송읍 동평리 381-13", "지도Link")</f>
        <v/>
      </c>
      <c r="N2012" s="6">
        <f>HYPERLINK("http://www.eum.go.kr/web/ar/lu/luLandDet.jsp?pnu=4311325029103810013&amp;isNoScr=script&amp;mode=search", "토지이음")</f>
        <v/>
      </c>
      <c r="O2012" s="3" t="inlineStr">
        <is>
          <t>오송3산단  사무소</t>
        </is>
      </c>
      <c r="P2012" s="4" t="n">
        <v>1</v>
      </c>
      <c r="Q2012" s="4" t="n">
        <v>1769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사다리형</t>
        </is>
      </c>
      <c r="V2012" s="3" t="inlineStr">
        <is>
          <t>세로한면(불)</t>
        </is>
      </c>
    </row>
    <row r="2013">
      <c r="A2013" s="3" t="inlineStr">
        <is>
          <t>오송읍 동평리 95-1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40000</v>
      </c>
      <c r="G2013" s="4" t="n">
        <v>196</v>
      </c>
      <c r="H2013" s="4" t="n">
        <v>59</v>
      </c>
      <c r="I2013" s="5" t="n">
        <v>678</v>
      </c>
      <c r="J2013" s="5" t="n">
        <v>109.4</v>
      </c>
      <c r="K2013" s="3" t="inlineStr">
        <is>
          <t>청주시 흥덕구 오송읍 동평리에 위치한 토지및 근린생활시설임.</t>
        </is>
      </c>
      <c r="L2013" s="6">
        <f>HYPERLINK("https://fin.land.naver.com/articles/2652419826", "매물Link")</f>
        <v/>
      </c>
      <c r="M2013" s="6">
        <f>HYPERLINK("https://map.naver.com/p/search/오송읍 동평리 95-1", "지도Link")</f>
        <v/>
      </c>
      <c r="N2013" s="6">
        <f>HYPERLINK("http://www.eum.go.kr/web/ar/lu/luLandDet.jsp?pnu=4311325029100950001&amp;isNoScr=script&amp;mode=search", "토지이음")</f>
        <v/>
      </c>
      <c r="O2013" s="3" t="inlineStr">
        <is>
          <t>산성</t>
        </is>
      </c>
      <c r="P2013" s="4" t="n">
        <v>1</v>
      </c>
      <c r="Q2013" s="4" t="n">
        <v>184</v>
      </c>
      <c r="R2013" s="3" t="inlineStr">
        <is>
          <t>지정되지않음</t>
        </is>
      </c>
      <c r="S2013" s="3" t="inlineStr">
        <is>
          <t>주거기타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세로각지(가)</t>
        </is>
      </c>
    </row>
    <row r="2014">
      <c r="A2014" s="3" t="inlineStr">
        <is>
          <t>오송읍 만수리 272-3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36000</v>
      </c>
      <c r="G2014" s="4" t="n">
        <v>1183</v>
      </c>
      <c r="H2014" s="4" t="n">
        <v>358</v>
      </c>
      <c r="I2014" s="5" t="n">
        <v>100.6</v>
      </c>
      <c r="J2014" s="5" t="n">
        <v>35.7</v>
      </c>
      <c r="K2014" s="3" t="inlineStr">
        <is>
          <t>농림지역 답 매도 오송 역세권 ktx  근접  투자 가치 뿜뿜</t>
        </is>
      </c>
      <c r="L2014" s="6">
        <f>HYPERLINK("https://fin.land.naver.com/articles/2654653202", "매물Link")</f>
        <v/>
      </c>
      <c r="M2014" s="6">
        <f>HYPERLINK("https://map.naver.com/p/search/오송읍 만수리 272-3", "지도Link")</f>
        <v/>
      </c>
      <c r="N2014" s="6">
        <f>HYPERLINK("http://www.eum.go.kr/web/ar/lu/luLandDet.jsp?pnu=4311325025102720003&amp;isNoScr=script&amp;mode=search", "토지이음")</f>
        <v/>
      </c>
      <c r="O2014" s="3" t="inlineStr">
        <is>
          <t>오송퍼스트영웅</t>
        </is>
      </c>
      <c r="P2014" s="4" t="n">
        <v>1</v>
      </c>
      <c r="Q2014" s="4" t="n">
        <v>1183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세로한면(가)</t>
        </is>
      </c>
    </row>
    <row r="2015">
      <c r="A2015" s="3" t="inlineStr">
        <is>
          <t>오송읍 만수리 866</t>
        </is>
      </c>
      <c r="B2015" s="3" t="inlineStr">
        <is>
          <t>일반상업지역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890000</v>
      </c>
      <c r="G2015" s="4" t="n">
        <v>1947</v>
      </c>
      <c r="H2015" s="4" t="n">
        <v>589</v>
      </c>
      <c r="I2015" s="5" t="n">
        <v>1511</v>
      </c>
      <c r="J2015" s="5" t="n">
        <v>486.3</v>
      </c>
      <c r="K2015" s="3" t="inlineStr">
        <is>
          <t>nan</t>
        </is>
      </c>
      <c r="L2015" s="6">
        <f>HYPERLINK("https://fin.land.naver.com/articles/2655411058", "매물Link")</f>
        <v/>
      </c>
      <c r="M2015" s="6">
        <f>HYPERLINK("https://map.naver.com/p/search/오송읍 만수리 866", "지도Link")</f>
        <v/>
      </c>
      <c r="N2015" s="6">
        <f>HYPERLINK("http://www.eum.go.kr/web/ar/lu/luLandDet.jsp?pnu=4311325025108660000&amp;isNoScr=script&amp;mode=search", "토지이음")</f>
        <v/>
      </c>
      <c r="O2015" s="3" t="inlineStr">
        <is>
          <t>지웰</t>
        </is>
      </c>
      <c r="P2015" s="4" t="n">
        <v>1</v>
      </c>
      <c r="Q2015" s="4" t="n">
        <v>513.7</v>
      </c>
      <c r="R2015" s="3" t="inlineStr">
        <is>
          <t>지정되지않음</t>
        </is>
      </c>
      <c r="S2015" s="3" t="inlineStr">
        <is>
          <t>상업용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중로각지</t>
        </is>
      </c>
    </row>
    <row r="2016">
      <c r="A2016" s="3" t="inlineStr">
        <is>
          <t>오송읍 만수리 939</t>
        </is>
      </c>
      <c r="B2016" s="3" t="inlineStr">
        <is>
          <t>제1종일반주거지역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45000</v>
      </c>
      <c r="G2016" s="4" t="n">
        <v>269</v>
      </c>
      <c r="H2016" s="4" t="n">
        <v>81</v>
      </c>
      <c r="I2016" s="5" t="n">
        <v>555.6</v>
      </c>
      <c r="J2016" s="5" t="n">
        <v>209.3</v>
      </c>
      <c r="K2016" s="3" t="inlineStr">
        <is>
          <t>대도로변 이면도로 위치 좋은 토지입니다</t>
        </is>
      </c>
      <c r="L2016" s="6">
        <f>HYPERLINK("https://fin.land.naver.com/articles/2650305364", "매물Link")</f>
        <v/>
      </c>
      <c r="M2016" s="6">
        <f>HYPERLINK("https://map.naver.com/p/search/오송읍 만수리 939", "지도Link")</f>
        <v/>
      </c>
      <c r="N2016" s="6">
        <f>HYPERLINK("http://www.eum.go.kr/web/ar/lu/luLandDet.jsp?pnu=4311325025109390000&amp;isNoScr=script&amp;mode=search", "토지이음")</f>
        <v/>
      </c>
      <c r="O2016" s="3" t="inlineStr">
        <is>
          <t>스케치</t>
        </is>
      </c>
      <c r="P2016" s="4" t="n">
        <v>1</v>
      </c>
      <c r="Q2016" s="4" t="n">
        <v>268.2</v>
      </c>
      <c r="R2016" s="3" t="inlineStr">
        <is>
          <t>자연녹지지역</t>
        </is>
      </c>
      <c r="S2016" s="3" t="inlineStr">
        <is>
          <t>주상나지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소로한면</t>
        </is>
      </c>
    </row>
    <row r="2017">
      <c r="A2017" s="3" t="inlineStr">
        <is>
          <t>오송읍 봉산리 1124</t>
        </is>
      </c>
      <c r="B2017" s="3" t="inlineStr">
        <is>
          <t>제1종일반주거지역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45000</v>
      </c>
      <c r="G2017" s="4" t="n">
        <v>240</v>
      </c>
      <c r="H2017" s="4" t="n">
        <v>73</v>
      </c>
      <c r="I2017" s="5" t="n">
        <v>616.4</v>
      </c>
      <c r="J2017" s="5" t="n">
        <v>208.1</v>
      </c>
      <c r="K2017" s="3" t="inlineStr">
        <is>
          <t>가격조율 최대한 해볼게요 위치좋은 먹자골목 상권 토지</t>
        </is>
      </c>
      <c r="L2017" s="6">
        <f>HYPERLINK("https://fin.land.naver.com/articles/2652318391", "매물Link")</f>
        <v/>
      </c>
      <c r="M2017" s="6">
        <f>HYPERLINK("https://map.naver.com/p/search/오송읍 봉산리 1124", "지도Link")</f>
        <v/>
      </c>
      <c r="N2017" s="6">
        <f>HYPERLINK("http://www.eum.go.kr/web/ar/lu/luLandDet.jsp?pnu=4311325031111240000&amp;isNoScr=script&amp;mode=search", "토지이음")</f>
        <v/>
      </c>
      <c r="O2017" s="3" t="inlineStr">
        <is>
          <t>복덩이</t>
        </is>
      </c>
      <c r="P2017" s="4" t="n">
        <v>1</v>
      </c>
      <c r="Q2017" s="4" t="n">
        <v>240.6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소로한면</t>
        </is>
      </c>
    </row>
    <row r="2018">
      <c r="A2018" s="3" t="inlineStr">
        <is>
          <t>오송읍 봉산리 1179</t>
        </is>
      </c>
      <c r="B2018" s="3" t="inlineStr">
        <is>
          <t>제1종일반주거지역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58000</v>
      </c>
      <c r="G2018" s="4" t="n">
        <v>270</v>
      </c>
      <c r="H2018" s="4" t="n">
        <v>82</v>
      </c>
      <c r="I2018" s="5" t="n">
        <v>707.3</v>
      </c>
      <c r="J2018" s="5" t="n">
        <v>206.3</v>
      </c>
      <c r="K2018" s="3" t="inlineStr">
        <is>
          <t>오송2단지 허가득 남향 상가건물 지을 수 있는 토지</t>
        </is>
      </c>
      <c r="L2018" s="6">
        <f>HYPERLINK("https://fin.land.naver.com/articles/2650461950", "매물Link")</f>
        <v/>
      </c>
      <c r="M2018" s="6">
        <f>HYPERLINK("https://map.naver.com/p/search/오송읍 봉산리 1179", "지도Link")</f>
        <v/>
      </c>
      <c r="N2018" s="6">
        <f>HYPERLINK("http://www.eum.go.kr/web/ar/lu/luLandDet.jsp?pnu=4311325031111790000&amp;isNoScr=script&amp;mode=search", "토지이음")</f>
        <v/>
      </c>
      <c r="O2018" s="3" t="inlineStr">
        <is>
          <t>세종오송</t>
        </is>
      </c>
      <c r="P2018" s="4" t="n">
        <v>1</v>
      </c>
      <c r="Q2018" s="4" t="n">
        <v>269.9</v>
      </c>
      <c r="R2018" s="3" t="inlineStr">
        <is>
          <t>지정되지않음</t>
        </is>
      </c>
      <c r="S2018" s="3" t="inlineStr">
        <is>
          <t>주거기타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봉산리 1208</t>
        </is>
      </c>
      <c r="B2019" s="3" t="inlineStr">
        <is>
          <t>제1종일반주거지역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50000</v>
      </c>
      <c r="G2019" s="4" t="n">
        <v>264</v>
      </c>
      <c r="H2019" s="4" t="n">
        <v>80</v>
      </c>
      <c r="I2019" s="5" t="n">
        <v>625</v>
      </c>
      <c r="J2019" s="5" t="n">
        <v>206.3</v>
      </c>
      <c r="K2019" s="3" t="inlineStr">
        <is>
          <t>nan</t>
        </is>
      </c>
      <c r="L2019" s="6">
        <f>HYPERLINK("https://fin.land.naver.com/articles/2650507610", "매물Link")</f>
        <v/>
      </c>
      <c r="M2019" s="6">
        <f>HYPERLINK("https://map.naver.com/p/search/오송읍 봉산리 1208", "지도Link")</f>
        <v/>
      </c>
      <c r="N2019" s="6">
        <f>HYPERLINK("http://www.eum.go.kr/web/ar/lu/luLandDet.jsp?pnu=4311325031112080000&amp;isNoScr=script&amp;mode=search", "토지이음")</f>
        <v/>
      </c>
      <c r="O2019" s="3" t="inlineStr">
        <is>
          <t>아임</t>
        </is>
      </c>
      <c r="P2019" s="4" t="n">
        <v>1</v>
      </c>
      <c r="Q2019" s="4" t="n">
        <v>264.6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봉산리 1209</t>
        </is>
      </c>
      <c r="B2020" s="3" t="inlineStr">
        <is>
          <t>제1종일반주거지역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60000</v>
      </c>
      <c r="G2020" s="4" t="n">
        <v>264</v>
      </c>
      <c r="H2020" s="4" t="n">
        <v>80</v>
      </c>
      <c r="I2020" s="5" t="n">
        <v>750</v>
      </c>
      <c r="J2020" s="5" t="n">
        <v>206.3</v>
      </c>
      <c r="K2020" s="3" t="inlineStr">
        <is>
          <t>오송 2산업단지 준주거지역과 접해있고 상업지역과도 50m정도 떨어져 있음</t>
        </is>
      </c>
      <c r="L2020" s="6">
        <f>HYPERLINK("https://fin.land.naver.com/articles/2650022122", "매물Link")</f>
        <v/>
      </c>
      <c r="M2020" s="6">
        <f>HYPERLINK("https://map.naver.com/p/search/오송읍 봉산리 1209", "지도Link")</f>
        <v/>
      </c>
      <c r="N2020" s="6">
        <f>HYPERLINK("http://www.eum.go.kr/web/ar/lu/luLandDet.jsp?pnu=4311325031112090000&amp;isNoScr=script&amp;mode=search", "토지이음")</f>
        <v/>
      </c>
      <c r="O2020" s="3" t="inlineStr">
        <is>
          <t>스마일세종</t>
        </is>
      </c>
      <c r="P2020" s="4" t="n">
        <v>1</v>
      </c>
      <c r="Q2020" s="4" t="n">
        <v>264.8</v>
      </c>
      <c r="R2020" s="3" t="inlineStr">
        <is>
          <t>지정되지않음</t>
        </is>
      </c>
      <c r="S2020" s="3" t="inlineStr">
        <is>
          <t>주거기타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봉산리 1221</t>
        </is>
      </c>
      <c r="B2021" s="3" t="inlineStr">
        <is>
          <t>준주거지역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124630</v>
      </c>
      <c r="G2021" s="4" t="n">
        <v>412</v>
      </c>
      <c r="H2021" s="4" t="n">
        <v>125</v>
      </c>
      <c r="I2021" s="5" t="n">
        <v>997</v>
      </c>
      <c r="J2021" s="5" t="n">
        <v>624.1</v>
      </c>
      <c r="K2021" s="3" t="inlineStr">
        <is>
          <t>오송역세권 오피스 조성지역 근생토지</t>
        </is>
      </c>
      <c r="L2021" s="6">
        <f>HYPERLINK("https://fin.land.naver.com/articles/2653257226", "매물Link")</f>
        <v/>
      </c>
      <c r="M2021" s="6">
        <f>HYPERLINK("https://map.naver.com/p/search/오송읍 봉산리 1221", "지도Link")</f>
        <v/>
      </c>
      <c r="N2021" s="6">
        <f>HYPERLINK("http://www.eum.go.kr/web/ar/lu/luLandDet.jsp?pnu=4311325031112210000&amp;isNoScr=script&amp;mode=search", "토지이음")</f>
        <v/>
      </c>
      <c r="O2021" s="3" t="inlineStr">
        <is>
          <t>프로</t>
        </is>
      </c>
      <c r="P2021" s="4" t="n">
        <v>2</v>
      </c>
      <c r="Q2021" s="4" t="n">
        <v>412</v>
      </c>
      <c r="R2021" s="3" t="inlineStr">
        <is>
          <t>지정되지않음</t>
        </is>
      </c>
      <c r="S2021" s="3" t="inlineStr">
        <is>
          <t>상업기타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중로각지</t>
        </is>
      </c>
    </row>
    <row r="2022">
      <c r="A2022" s="3" t="inlineStr">
        <is>
          <t>오송읍 봉산리 1276</t>
        </is>
      </c>
      <c r="B2022" s="3" t="inlineStr">
        <is>
          <t>제1종일반주거지역</t>
        </is>
      </c>
      <c r="C2022" s="3" t="inlineStr">
        <is>
          <t>주차장</t>
        </is>
      </c>
      <c r="D2022" s="3" t="inlineStr">
        <is>
          <t>주차장</t>
        </is>
      </c>
      <c r="E2022" s="3" t="inlineStr">
        <is>
          <t>매매</t>
        </is>
      </c>
      <c r="F2022" s="4" t="n">
        <v>165000</v>
      </c>
      <c r="G2022" s="4" t="n">
        <v>1091</v>
      </c>
      <c r="H2022" s="4" t="n">
        <v>330</v>
      </c>
      <c r="I2022" s="5" t="n">
        <v>500</v>
      </c>
      <c r="J2022" s="5" t="n">
        <v>220.4</v>
      </c>
      <c r="K2022" s="3" t="inlineStr">
        <is>
          <t>주차타워와 1층 근생상가 가능한 매력적인 주차장용지</t>
        </is>
      </c>
      <c r="L2022" s="6">
        <f>HYPERLINK("https://fin.land.naver.com/articles/2650859464", "매물Link")</f>
        <v/>
      </c>
      <c r="M2022" s="6">
        <f>HYPERLINK("https://map.naver.com/p/search/오송읍 봉산리 1276", "지도Link")</f>
        <v/>
      </c>
      <c r="N2022" s="6">
        <f>HYPERLINK("http://www.eum.go.kr/web/ar/lu/luLandDet.jsp?pnu=4311325031112760000&amp;isNoScr=script&amp;mode=search", "토지이음")</f>
        <v/>
      </c>
      <c r="O2022" s="3" t="inlineStr">
        <is>
          <t>프로</t>
        </is>
      </c>
      <c r="P2022" s="4" t="n">
        <v>2</v>
      </c>
      <c r="Q2022" s="4" t="n">
        <v>1091.4</v>
      </c>
      <c r="R2022" s="3" t="inlineStr">
        <is>
          <t>지정되지않음</t>
        </is>
      </c>
      <c r="S2022" s="3" t="inlineStr">
        <is>
          <t>주차장등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중로각지</t>
        </is>
      </c>
    </row>
    <row r="2023">
      <c r="A2023" s="3" t="inlineStr">
        <is>
          <t>오송읍 봉산리 1293</t>
        </is>
      </c>
      <c r="B2023" s="3" t="inlineStr">
        <is>
          <t>준주거지역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169000</v>
      </c>
      <c r="G2023" s="4" t="n">
        <v>414</v>
      </c>
      <c r="H2023" s="4" t="n">
        <v>125</v>
      </c>
      <c r="I2023" s="5" t="n">
        <v>1352</v>
      </c>
      <c r="J2023" s="5" t="n">
        <v>624.1</v>
      </c>
      <c r="K2023" s="3" t="inlineStr">
        <is>
          <t>오송2산단으로 배후세력 2만여세대의 준주거지역 근생토지,대로변에 위치</t>
        </is>
      </c>
      <c r="L2023" s="6">
        <f>HYPERLINK("https://fin.land.naver.com/articles/2653578931", "매물Link")</f>
        <v/>
      </c>
      <c r="M2023" s="6">
        <f>HYPERLINK("https://map.naver.com/p/search/오송읍 봉산리 1293", "지도Link")</f>
        <v/>
      </c>
      <c r="N2023" s="6">
        <f>HYPERLINK("http://www.eum.go.kr/web/ar/lu/luLandDet.jsp?pnu=4311325031112930000&amp;isNoScr=script&amp;mode=search", "토지이음")</f>
        <v/>
      </c>
      <c r="O2023" s="3" t="inlineStr">
        <is>
          <t>(주)미르</t>
        </is>
      </c>
      <c r="P2023" s="4" t="n">
        <v>2</v>
      </c>
      <c r="Q2023" s="4" t="n">
        <v>413.5</v>
      </c>
      <c r="R2023" s="3" t="inlineStr">
        <is>
          <t>지정되지않음</t>
        </is>
      </c>
      <c r="S2023" s="3" t="inlineStr">
        <is>
          <t>상업기타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중로각지</t>
        </is>
      </c>
    </row>
    <row r="2024">
      <c r="A2024" s="3" t="inlineStr">
        <is>
          <t>오송읍 봉산리 1296</t>
        </is>
      </c>
      <c r="B2024" s="3" t="inlineStr">
        <is>
          <t>준주거지역</t>
        </is>
      </c>
      <c r="C2024" s="3" t="inlineStr">
        <is>
          <t>대</t>
        </is>
      </c>
      <c r="D2024" s="3" t="inlineStr">
        <is>
          <t>대</t>
        </is>
      </c>
      <c r="E2024" s="3" t="inlineStr">
        <is>
          <t>매매</t>
        </is>
      </c>
      <c r="F2024" s="4" t="n">
        <v>162000</v>
      </c>
      <c r="G2024" s="4" t="n">
        <v>411</v>
      </c>
      <c r="H2024" s="4" t="n">
        <v>124</v>
      </c>
      <c r="I2024" s="5" t="n">
        <v>1306.5</v>
      </c>
      <c r="J2024" s="5" t="n">
        <v>624.1</v>
      </c>
      <c r="K2024" s="3" t="inlineStr">
        <is>
          <t>오송역 인근 근생용지 매매, 평당 약 1300만원</t>
        </is>
      </c>
      <c r="L2024" s="6">
        <f>HYPERLINK("https://fin.land.naver.com/articles/2655277707", "매물Link")</f>
        <v/>
      </c>
      <c r="M2024" s="6">
        <f>HYPERLINK("https://map.naver.com/p/search/오송읍 봉산리 1296", "지도Link")</f>
        <v/>
      </c>
      <c r="N2024" s="6">
        <f>HYPERLINK("http://www.eum.go.kr/web/ar/lu/luLandDet.jsp?pnu=4311325031112960000&amp;isNoScr=script&amp;mode=search", "토지이음")</f>
        <v/>
      </c>
      <c r="O2024" s="3" t="inlineStr">
        <is>
          <t>광장</t>
        </is>
      </c>
      <c r="P2024" s="4" t="n">
        <v>1</v>
      </c>
      <c r="Q2024" s="4" t="n">
        <v>411.7</v>
      </c>
      <c r="R2024" s="3" t="inlineStr">
        <is>
          <t>지정되지않음</t>
        </is>
      </c>
      <c r="S2024" s="3" t="inlineStr">
        <is>
          <t>상업기타</t>
        </is>
      </c>
      <c r="T2024" s="3" t="inlineStr">
        <is>
          <t>평지</t>
        </is>
      </c>
      <c r="U2024" s="3" t="inlineStr">
        <is>
          <t>가로장방</t>
        </is>
      </c>
      <c r="V2024" s="3" t="inlineStr">
        <is>
          <t>중로각지</t>
        </is>
      </c>
    </row>
    <row r="2025">
      <c r="A2025" s="3" t="inlineStr">
        <is>
          <t>오송읍 봉산리 1297</t>
        </is>
      </c>
      <c r="B2025" s="3" t="inlineStr">
        <is>
          <t>준주거지역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190000</v>
      </c>
      <c r="G2025" s="4" t="n">
        <v>421</v>
      </c>
      <c r="H2025" s="4" t="n">
        <v>127</v>
      </c>
      <c r="I2025" s="5" t="n">
        <v>1496.1</v>
      </c>
      <c r="J2025" s="5" t="n">
        <v>624.1</v>
      </c>
      <c r="K2025" s="3" t="inlineStr">
        <is>
          <t>코너 근생용지 매매, 평당 약 1500만원</t>
        </is>
      </c>
      <c r="L2025" s="6">
        <f>HYPERLINK("https://fin.land.naver.com/articles/2655277717", "매물Link")</f>
        <v/>
      </c>
      <c r="M2025" s="6">
        <f>HYPERLINK("https://map.naver.com/p/search/오송읍 봉산리 1297", "지도Link")</f>
        <v/>
      </c>
      <c r="N2025" s="6">
        <f>HYPERLINK("http://www.eum.go.kr/web/ar/lu/luLandDet.jsp?pnu=4311325031112970000&amp;isNoScr=script&amp;mode=search", "토지이음")</f>
        <v/>
      </c>
      <c r="O2025" s="3" t="inlineStr">
        <is>
          <t>광장</t>
        </is>
      </c>
      <c r="P2025" s="4" t="n">
        <v>1</v>
      </c>
      <c r="Q2025" s="4" t="n">
        <v>421.4</v>
      </c>
      <c r="R2025" s="3" t="inlineStr">
        <is>
          <t>지정되지않음</t>
        </is>
      </c>
      <c r="S2025" s="3" t="inlineStr">
        <is>
          <t>상업기타</t>
        </is>
      </c>
      <c r="T2025" s="3" t="inlineStr">
        <is>
          <t>평지</t>
        </is>
      </c>
      <c r="U2025" s="3" t="inlineStr">
        <is>
          <t>가로장방</t>
        </is>
      </c>
      <c r="V2025" s="3" t="inlineStr">
        <is>
          <t>중로각지</t>
        </is>
      </c>
    </row>
    <row r="2026">
      <c r="A2026" s="3" t="inlineStr">
        <is>
          <t>오송읍 봉산리 1298</t>
        </is>
      </c>
      <c r="B2026" s="3" t="inlineStr">
        <is>
          <t>일반상업지역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420000</v>
      </c>
      <c r="G2026" s="4" t="n">
        <v>1164</v>
      </c>
      <c r="H2026" s="4" t="n">
        <v>352</v>
      </c>
      <c r="I2026" s="5" t="n">
        <v>1193.2</v>
      </c>
      <c r="J2026" s="5" t="n">
        <v>585.5</v>
      </c>
      <c r="K2026" s="3" t="inlineStr">
        <is>
          <t>삼면 코너각지 소송2산단 오송역주변 상권 010 3022 3841</t>
        </is>
      </c>
      <c r="L2026" s="6">
        <f>HYPERLINK("https://fin.land.naver.com/articles/2651087997", "매물Link")</f>
        <v/>
      </c>
      <c r="M2026" s="6">
        <f>HYPERLINK("https://map.naver.com/p/search/오송읍 봉산리 1298", "지도Link")</f>
        <v/>
      </c>
      <c r="N2026" s="6">
        <f>HYPERLINK("http://www.eum.go.kr/web/ar/lu/luLandDet.jsp?pnu=4311325031112980000&amp;isNoScr=script&amp;mode=search", "토지이음")</f>
        <v/>
      </c>
      <c r="O2026" s="3" t="inlineStr">
        <is>
          <t>세종스타</t>
        </is>
      </c>
      <c r="P2026" s="4" t="n">
        <v>3</v>
      </c>
      <c r="Q2026" s="4" t="n">
        <v>1164.1</v>
      </c>
      <c r="R2026" s="3" t="inlineStr">
        <is>
          <t>지정되지않음</t>
        </is>
      </c>
      <c r="S2026" s="3" t="inlineStr">
        <is>
          <t>상업기타</t>
        </is>
      </c>
      <c r="T2026" s="3" t="inlineStr">
        <is>
          <t>평지</t>
        </is>
      </c>
      <c r="U2026" s="3" t="inlineStr">
        <is>
          <t>가로장방</t>
        </is>
      </c>
      <c r="V2026" s="3" t="inlineStr">
        <is>
          <t>중로각지</t>
        </is>
      </c>
    </row>
    <row r="2027">
      <c r="A2027" s="3" t="inlineStr">
        <is>
          <t>오송읍 봉산리 1299</t>
        </is>
      </c>
      <c r="B2027" s="3" t="inlineStr">
        <is>
          <t>일반상업지역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390000</v>
      </c>
      <c r="G2027" s="4" t="n">
        <v>1195</v>
      </c>
      <c r="H2027" s="4" t="n">
        <v>361</v>
      </c>
      <c r="I2027" s="5" t="n">
        <v>1080.3</v>
      </c>
      <c r="J2027" s="5" t="n">
        <v>579.5</v>
      </c>
      <c r="K2027" s="3" t="inlineStr">
        <is>
          <t>근생, 사옥부지 등으로 좋은 오송역세권 상업용지</t>
        </is>
      </c>
      <c r="L2027" s="6">
        <f>HYPERLINK("https://fin.land.naver.com/articles/2653257906", "매물Link")</f>
        <v/>
      </c>
      <c r="M2027" s="6">
        <f>HYPERLINK("https://map.naver.com/p/search/오송읍 봉산리 1299", "지도Link")</f>
        <v/>
      </c>
      <c r="N2027" s="6">
        <f>HYPERLINK("http://www.eum.go.kr/web/ar/lu/luLandDet.jsp?pnu=4311325031112990000&amp;isNoScr=script&amp;mode=search", "토지이음")</f>
        <v/>
      </c>
      <c r="O2027" s="3" t="inlineStr">
        <is>
          <t>프로</t>
        </is>
      </c>
      <c r="P2027" s="4" t="n">
        <v>1</v>
      </c>
      <c r="Q2027" s="4" t="n">
        <v>1195.9</v>
      </c>
      <c r="R2027" s="3" t="inlineStr">
        <is>
          <t>지정되지않음</t>
        </is>
      </c>
      <c r="S2027" s="3" t="inlineStr">
        <is>
          <t>상업기타</t>
        </is>
      </c>
      <c r="T2027" s="3" t="inlineStr">
        <is>
          <t>평지</t>
        </is>
      </c>
      <c r="U2027" s="3" t="inlineStr">
        <is>
          <t>가로장방</t>
        </is>
      </c>
      <c r="V2027" s="3" t="inlineStr">
        <is>
          <t>중로각지</t>
        </is>
      </c>
    </row>
    <row r="2028">
      <c r="A2028" s="3" t="inlineStr">
        <is>
          <t>오송읍 봉산리 1301</t>
        </is>
      </c>
      <c r="B2028" s="3" t="inlineStr">
        <is>
          <t>일반상업지역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456000</v>
      </c>
      <c r="G2028" s="4" t="n">
        <v>1115</v>
      </c>
      <c r="H2028" s="4" t="n">
        <v>337</v>
      </c>
      <c r="I2028" s="5" t="n">
        <v>1353.1</v>
      </c>
      <c r="J2028" s="5" t="n">
        <v>618.2</v>
      </c>
      <c r="K2028" s="3" t="inlineStr">
        <is>
          <t>연제 저수지 앞 상업용지 호텔 개발 추천부지</t>
        </is>
      </c>
      <c r="L2028" s="6">
        <f>HYPERLINK("https://fin.land.naver.com/articles/2654962140", "매물Link")</f>
        <v/>
      </c>
      <c r="M2028" s="6">
        <f>HYPERLINK("https://map.naver.com/p/search/오송읍 봉산리 1301", "지도Link")</f>
        <v/>
      </c>
      <c r="N2028" s="6">
        <f>HYPERLINK("http://www.eum.go.kr/web/ar/lu/luLandDet.jsp?pnu=4311325031113010000&amp;isNoScr=script&amp;mode=search", "토지이음")</f>
        <v/>
      </c>
      <c r="O2028" s="3" t="inlineStr">
        <is>
          <t>(주)마이다스역삼센터</t>
        </is>
      </c>
      <c r="P2028" s="4" t="n">
        <v>1</v>
      </c>
      <c r="Q2028" s="4" t="n">
        <v>1115.2</v>
      </c>
      <c r="R2028" s="3" t="inlineStr">
        <is>
          <t>지정되지않음</t>
        </is>
      </c>
      <c r="S2028" s="3" t="inlineStr">
        <is>
          <t>상업기타</t>
        </is>
      </c>
      <c r="T2028" s="3" t="inlineStr">
        <is>
          <t>평지</t>
        </is>
      </c>
      <c r="U2028" s="3" t="inlineStr">
        <is>
          <t>가로장방</t>
        </is>
      </c>
      <c r="V2028" s="3" t="inlineStr">
        <is>
          <t>중로각지</t>
        </is>
      </c>
    </row>
    <row r="2029">
      <c r="A2029" s="3" t="inlineStr">
        <is>
          <t>오송읍 봉산리 1321</t>
        </is>
      </c>
      <c r="B2029" s="3" t="inlineStr">
        <is>
          <t>일반상업지역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466000</v>
      </c>
      <c r="G2029" s="4" t="n">
        <v>1541</v>
      </c>
      <c r="H2029" s="4" t="n">
        <v>466</v>
      </c>
      <c r="I2029" s="5" t="n">
        <v>1000</v>
      </c>
      <c r="J2029" s="5" t="n">
        <v>550.1</v>
      </c>
      <c r="K2029" s="3" t="inlineStr">
        <is>
          <t>오송역 3분 기업 사옥부지 추천 주변 다수 공공기관 포진</t>
        </is>
      </c>
      <c r="L2029" s="6">
        <f>HYPERLINK("https://fin.land.naver.com/articles/2653335494", "매물Link")</f>
        <v/>
      </c>
      <c r="M2029" s="6">
        <f>HYPERLINK("https://map.naver.com/p/search/오송읍 봉산리 1321", "지도Link")</f>
        <v/>
      </c>
      <c r="N2029" s="6">
        <f>HYPERLINK("http://www.eum.go.kr/web/ar/lu/luLandDet.jsp?pnu=4311325031113210000&amp;isNoScr=script&amp;mode=search", "토지이음")</f>
        <v/>
      </c>
      <c r="O2029" s="3" t="inlineStr">
        <is>
          <t>새봄</t>
        </is>
      </c>
      <c r="P2029" s="4" t="n">
        <v>3</v>
      </c>
      <c r="Q2029" s="4" t="n">
        <v>1541.1</v>
      </c>
      <c r="R2029" s="3" t="inlineStr">
        <is>
          <t>지정되지않음</t>
        </is>
      </c>
      <c r="S2029" s="3" t="inlineStr">
        <is>
          <t>상업기타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봉산리 1324</t>
        </is>
      </c>
      <c r="B2030" s="3" t="inlineStr">
        <is>
          <t>일반상업지역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460000</v>
      </c>
      <c r="G2030" s="4" t="n">
        <v>1524</v>
      </c>
      <c r="H2030" s="4" t="n">
        <v>461</v>
      </c>
      <c r="I2030" s="5" t="n">
        <v>997.8</v>
      </c>
      <c r="J2030" s="5" t="n">
        <v>573.2</v>
      </c>
      <c r="K2030" s="3" t="inlineStr">
        <is>
          <t>nan</t>
        </is>
      </c>
      <c r="L2030" s="6">
        <f>HYPERLINK("https://fin.land.naver.com/articles/2652702316", "매물Link")</f>
        <v/>
      </c>
      <c r="M2030" s="6">
        <f>HYPERLINK("https://map.naver.com/p/search/오송읍 봉산리 1324", "지도Link")</f>
        <v/>
      </c>
      <c r="N2030" s="6">
        <f>HYPERLINK("http://www.eum.go.kr/web/ar/lu/luLandDet.jsp?pnu=4311325031113240000&amp;isNoScr=script&amp;mode=search", "토지이음")</f>
        <v/>
      </c>
      <c r="O2030" s="3" t="inlineStr">
        <is>
          <t>365</t>
        </is>
      </c>
      <c r="P2030" s="4" t="n">
        <v>1</v>
      </c>
      <c r="Q2030" s="4" t="n">
        <v>1524.9</v>
      </c>
      <c r="R2030" s="3" t="inlineStr">
        <is>
          <t>지정되지않음</t>
        </is>
      </c>
      <c r="S2030" s="3" t="inlineStr">
        <is>
          <t>상업기타</t>
        </is>
      </c>
      <c r="T2030" s="3" t="inlineStr">
        <is>
          <t>평지</t>
        </is>
      </c>
      <c r="U2030" s="3" t="inlineStr">
        <is>
          <t>정방형</t>
        </is>
      </c>
      <c r="V2030" s="3" t="inlineStr">
        <is>
          <t>중로각지</t>
        </is>
      </c>
    </row>
    <row r="2031">
      <c r="A2031" s="3" t="inlineStr">
        <is>
          <t>오송읍 봉산리 1326</t>
        </is>
      </c>
      <c r="B2031" s="3" t="inlineStr">
        <is>
          <t>일반상업지역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500000</v>
      </c>
      <c r="G2031" s="4" t="n">
        <v>889</v>
      </c>
      <c r="H2031" s="4" t="n">
        <v>269</v>
      </c>
      <c r="I2031" s="5" t="n">
        <v>1858.7</v>
      </c>
      <c r="J2031" s="5" t="n">
        <v>719.3</v>
      </c>
      <c r="K2031" s="3" t="inlineStr">
        <is>
          <t>오송역 인근 일반상업지역 숙박업가능 토지매매개발호재 풍부진입도로 완비</t>
        </is>
      </c>
      <c r="L2031" s="6">
        <f>HYPERLINK("https://fin.land.naver.com/articles/2655321826", "매물Link")</f>
        <v/>
      </c>
      <c r="M2031" s="6">
        <f>HYPERLINK("https://map.naver.com/p/search/오송읍 봉산리 1326", "지도Link")</f>
        <v/>
      </c>
      <c r="N2031" s="6">
        <f>HYPERLINK("http://www.eum.go.kr/web/ar/lu/luLandDet.jsp?pnu=4311325031113260000&amp;isNoScr=script&amp;mode=search", "토지이음")</f>
        <v/>
      </c>
      <c r="O2031" s="3" t="inlineStr">
        <is>
          <t>엠즈앤프라퍼티주식회사</t>
        </is>
      </c>
      <c r="P2031" s="4" t="n">
        <v>1</v>
      </c>
      <c r="Q2031" s="4" t="n">
        <v>889.6</v>
      </c>
      <c r="R2031" s="3" t="inlineStr">
        <is>
          <t>지정되지않음</t>
        </is>
      </c>
      <c r="S2031" s="3" t="inlineStr">
        <is>
          <t>상업기타</t>
        </is>
      </c>
      <c r="T2031" s="3" t="inlineStr">
        <is>
          <t>평지</t>
        </is>
      </c>
      <c r="U2031" s="3" t="inlineStr">
        <is>
          <t>가로장방</t>
        </is>
      </c>
      <c r="V2031" s="3" t="inlineStr">
        <is>
          <t>광대소각</t>
        </is>
      </c>
    </row>
    <row r="2032">
      <c r="A2032" s="3" t="inlineStr">
        <is>
          <t>오송읍 봉산리 1328</t>
        </is>
      </c>
      <c r="B2032" s="3" t="inlineStr">
        <is>
          <t>일반상업지역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598000</v>
      </c>
      <c r="G2032" s="4" t="n">
        <v>859</v>
      </c>
      <c r="H2032" s="4" t="n">
        <v>260</v>
      </c>
      <c r="I2032" s="5" t="n">
        <v>2300</v>
      </c>
      <c r="J2032" s="5" t="n">
        <v>660.2</v>
      </c>
      <c r="K2032" s="3" t="inlineStr">
        <is>
          <t>오송역 초역세권 4거리코너 급매</t>
        </is>
      </c>
      <c r="L2032" s="6">
        <f>HYPERLINK("https://fin.land.naver.com/articles/2654886627", "매물Link")</f>
        <v/>
      </c>
      <c r="M2032" s="6">
        <f>HYPERLINK("https://map.naver.com/p/search/오송읍 봉산리 1328", "지도Link")</f>
        <v/>
      </c>
      <c r="N2032" s="6">
        <f>HYPERLINK("http://www.eum.go.kr/web/ar/lu/luLandDet.jsp?pnu=4311325031113280000&amp;isNoScr=script&amp;mode=search", "토지이음")</f>
        <v/>
      </c>
      <c r="O2032" s="3" t="inlineStr">
        <is>
          <t>하나</t>
        </is>
      </c>
      <c r="P2032" s="4" t="n">
        <v>1</v>
      </c>
      <c r="Q2032" s="4" t="n">
        <v>858.6</v>
      </c>
      <c r="R2032" s="3" t="inlineStr">
        <is>
          <t>지정되지않음</t>
        </is>
      </c>
      <c r="S2032" s="3" t="inlineStr">
        <is>
          <t>상업기타</t>
        </is>
      </c>
      <c r="T2032" s="3" t="inlineStr">
        <is>
          <t>평지</t>
        </is>
      </c>
      <c r="U2032" s="3" t="inlineStr">
        <is>
          <t>가로장방</t>
        </is>
      </c>
      <c r="V2032" s="3" t="inlineStr">
        <is>
          <t>광대소각</t>
        </is>
      </c>
    </row>
    <row r="2033">
      <c r="A2033" s="3" t="inlineStr">
        <is>
          <t>오송읍 봉산리 1344</t>
        </is>
      </c>
      <c r="B2033" s="3" t="inlineStr">
        <is>
          <t>준주거지역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136400</v>
      </c>
      <c r="G2033" s="4" t="n">
        <v>408</v>
      </c>
      <c r="H2033" s="4" t="n">
        <v>123</v>
      </c>
      <c r="I2033" s="5" t="n">
        <v>1108.9</v>
      </c>
      <c r="J2033" s="5" t="n">
        <v>624.1</v>
      </c>
      <c r="K2033" s="3" t="inlineStr">
        <is>
          <t>준주거지역 대지, 상가주택사옥 부지 최적</t>
        </is>
      </c>
      <c r="L2033" s="6">
        <f>HYPERLINK("https://fin.land.naver.com/articles/2654791916", "매물Link")</f>
        <v/>
      </c>
      <c r="M2033" s="6">
        <f>HYPERLINK("https://map.naver.com/p/search/오송읍 봉산리 1344", "지도Link")</f>
        <v/>
      </c>
      <c r="N2033" s="6">
        <f>HYPERLINK("http://www.eum.go.kr/web/ar/lu/luLandDet.jsp?pnu=4311325031113440000&amp;isNoScr=script&amp;mode=search", "토지이음")</f>
        <v/>
      </c>
      <c r="O2033" s="3" t="inlineStr">
        <is>
          <t>반석원무소</t>
        </is>
      </c>
      <c r="P2033" s="4" t="n">
        <v>1</v>
      </c>
      <c r="Q2033" s="4" t="n">
        <v>408.9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1367</t>
        </is>
      </c>
      <c r="B2034" s="3" t="inlineStr">
        <is>
          <t>제1종일반주거지역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41500</v>
      </c>
      <c r="G2034" s="4" t="n">
        <v>244</v>
      </c>
      <c r="H2034" s="4" t="n">
        <v>74</v>
      </c>
      <c r="I2034" s="5" t="n">
        <v>560.8</v>
      </c>
      <c r="J2034" s="5" t="n">
        <v>290</v>
      </c>
      <c r="K2034" s="3" t="inlineStr">
        <is>
          <t>급매 오송역 인근 일반주거지역 3거리 코너 각지 위치 좋은 대지입니다</t>
        </is>
      </c>
      <c r="L2034" s="6">
        <f>HYPERLINK("https://fin.land.naver.com/articles/2650741530", "매물Link")</f>
        <v/>
      </c>
      <c r="M2034" s="6">
        <f>HYPERLINK("https://map.naver.com/p/search/오송읍 봉산리 1367", "지도Link")</f>
        <v/>
      </c>
      <c r="N2034" s="6">
        <f>HYPERLINK("http://www.eum.go.kr/web/ar/lu/luLandDet.jsp?pnu=4311325031113670000&amp;isNoScr=script&amp;mode=search",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244.4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소로각지</t>
        </is>
      </c>
    </row>
    <row r="2035">
      <c r="A2035" s="3" t="inlineStr">
        <is>
          <t>오송읍 봉산리 1375</t>
        </is>
      </c>
      <c r="B2035" s="3" t="inlineStr">
        <is>
          <t>제1종일반주거지역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30000</v>
      </c>
      <c r="G2035" s="4" t="n">
        <v>239</v>
      </c>
      <c r="H2035" s="4" t="n">
        <v>72</v>
      </c>
      <c r="I2035" s="5" t="n">
        <v>416.7</v>
      </c>
      <c r="J2035" s="5" t="n">
        <v>207.9</v>
      </c>
      <c r="K2035" s="3" t="inlineStr">
        <is>
          <t>nan</t>
        </is>
      </c>
      <c r="L2035" s="6">
        <f>HYPERLINK("https://fin.land.naver.com/articles/2652150259", "매물Link")</f>
        <v/>
      </c>
      <c r="M2035" s="6">
        <f>HYPERLINK("https://map.naver.com/p/search/오송읍 봉산리 1375", "지도Link")</f>
        <v/>
      </c>
      <c r="N2035" s="6">
        <f>HYPERLINK("http://www.eum.go.kr/web/ar/lu/luLandDet.jsp?pnu=4311325031113750000&amp;isNoScr=script&amp;mode=search", "토지이음")</f>
        <v/>
      </c>
      <c r="O2035" s="3" t="inlineStr">
        <is>
          <t>뉴스</t>
        </is>
      </c>
      <c r="P2035" s="4" t="n">
        <v>3</v>
      </c>
      <c r="Q2035" s="4" t="n">
        <v>239.5</v>
      </c>
      <c r="R2035" s="3" t="inlineStr">
        <is>
          <t>지정되지않음</t>
        </is>
      </c>
      <c r="S2035" s="3" t="inlineStr">
        <is>
          <t>주거기타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봉산리 1375</t>
        </is>
      </c>
      <c r="B2036" s="3" t="inlineStr">
        <is>
          <t>제1종일반주거지역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30000</v>
      </c>
      <c r="G2036" s="4" t="n">
        <v>239</v>
      </c>
      <c r="H2036" s="4" t="n">
        <v>72</v>
      </c>
      <c r="I2036" s="5" t="n">
        <v>416.7</v>
      </c>
      <c r="J2036" s="5" t="n">
        <v>207.9</v>
      </c>
      <c r="K2036" s="3" t="inlineStr">
        <is>
          <t>오송역세권개발및오송3국가산단조성본격화에따른지가상승기대</t>
        </is>
      </c>
      <c r="L2036" s="6">
        <f>HYPERLINK("https://fin.land.naver.com/articles/2653984111", "매물Link")</f>
        <v/>
      </c>
      <c r="M2036" s="6">
        <f>HYPERLINK("https://map.naver.com/p/search/오송읍 봉산리 1375", "지도Link")</f>
        <v/>
      </c>
      <c r="N2036" s="6">
        <f>HYPERLINK("http://www.eum.go.kr/web/ar/lu/luLandDet.jsp?pnu=4311325031113750000&amp;isNoScr=script&amp;mode=search", "토지이음")</f>
        <v/>
      </c>
      <c r="O2036" s="3" t="inlineStr">
        <is>
          <t>오송스타</t>
        </is>
      </c>
      <c r="P2036" s="4" t="n">
        <v>1</v>
      </c>
      <c r="Q2036" s="4" t="n">
        <v>239.5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소로한면</t>
        </is>
      </c>
    </row>
    <row r="2037">
      <c r="A2037" s="3" t="inlineStr">
        <is>
          <t>오송읍 봉산리 1392</t>
        </is>
      </c>
      <c r="B2037" s="3" t="inlineStr">
        <is>
          <t>제1종일반주거지역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60000</v>
      </c>
      <c r="G2037" s="4" t="n">
        <v>246</v>
      </c>
      <c r="H2037" s="4" t="n">
        <v>74</v>
      </c>
      <c r="I2037" s="5" t="n">
        <v>810.8</v>
      </c>
      <c r="J2037" s="5" t="n">
        <v>250.2</v>
      </c>
      <c r="K2037" s="3" t="inlineStr">
        <is>
          <t>대로변 위치 좋은 코너 각지</t>
        </is>
      </c>
      <c r="L2037" s="6">
        <f>HYPERLINK("https://fin.land.naver.com/articles/2652529296", "매물Link")</f>
        <v/>
      </c>
      <c r="M2037" s="6">
        <f>HYPERLINK("https://map.naver.com/p/search/오송읍 봉산리 1392", "지도Link")</f>
        <v/>
      </c>
      <c r="N2037" s="6">
        <f>HYPERLINK("http://www.eum.go.kr/web/ar/lu/luLandDet.jsp?pnu=4311325031113920000&amp;isNoScr=script&amp;mode=search", "토지이음")</f>
        <v/>
      </c>
      <c r="O2037" s="3" t="inlineStr">
        <is>
          <t>광장</t>
        </is>
      </c>
      <c r="P2037" s="4" t="n">
        <v>1</v>
      </c>
      <c r="Q2037" s="4" t="n">
        <v>246.5</v>
      </c>
      <c r="R2037" s="3" t="inlineStr">
        <is>
          <t>지정되지않음</t>
        </is>
      </c>
      <c r="S2037" s="3" t="inlineStr">
        <is>
          <t>주상기타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소로각지</t>
        </is>
      </c>
    </row>
    <row r="2038">
      <c r="A2038" s="3" t="inlineStr">
        <is>
          <t>오송읍 봉산리 1415</t>
        </is>
      </c>
      <c r="B2038" s="3" t="inlineStr">
        <is>
          <t>제1종일반주거지역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42000</v>
      </c>
      <c r="G2038" s="4" t="n">
        <v>244</v>
      </c>
      <c r="H2038" s="4" t="n">
        <v>74</v>
      </c>
      <c r="I2038" s="5" t="n">
        <v>567.6</v>
      </c>
      <c r="J2038" s="5" t="n">
        <v>207.9</v>
      </c>
      <c r="K2038" s="3" t="inlineStr">
        <is>
          <t>오송2산단 상가 주택부지 입니다 남향</t>
        </is>
      </c>
      <c r="L2038" s="6">
        <f>HYPERLINK("https://fin.land.naver.com/articles/2654526332", "매물Link")</f>
        <v/>
      </c>
      <c r="M2038" s="6">
        <f>HYPERLINK("https://map.naver.com/p/search/오송읍 봉산리 1415", "지도Link")</f>
        <v/>
      </c>
      <c r="N2038" s="6">
        <f>HYPERLINK("http://www.eum.go.kr/web/ar/lu/luLandDet.jsp?pnu=4311325031114150000&amp;isNoScr=script&amp;mode=search", "토지이음")</f>
        <v/>
      </c>
      <c r="O2038" s="3" t="inlineStr">
        <is>
          <t>365</t>
        </is>
      </c>
      <c r="P2038" s="4" t="n">
        <v>1</v>
      </c>
      <c r="Q2038" s="4" t="n">
        <v>244</v>
      </c>
      <c r="R2038" s="3" t="inlineStr">
        <is>
          <t>지정되지않음</t>
        </is>
      </c>
      <c r="S2038" s="3" t="inlineStr">
        <is>
          <t>주거기타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소로한면</t>
        </is>
      </c>
    </row>
    <row r="2039">
      <c r="A2039" s="3" t="inlineStr">
        <is>
          <t>오송읍 봉산리 1419</t>
        </is>
      </c>
      <c r="B2039" s="3" t="inlineStr">
        <is>
          <t>제1종일반주거지역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45000</v>
      </c>
      <c r="G2039" s="4" t="n">
        <v>238</v>
      </c>
      <c r="H2039" s="4" t="n">
        <v>72</v>
      </c>
      <c r="I2039" s="5" t="n">
        <v>625</v>
      </c>
      <c r="J2039" s="5" t="n">
        <v>250.2</v>
      </c>
      <c r="K2039" s="3" t="inlineStr">
        <is>
          <t>오송2산단 다가구 건축 용도 삼면 각지 토지</t>
        </is>
      </c>
      <c r="L2039" s="6">
        <f>HYPERLINK("https://fin.land.naver.com/articles/2652705478", "매물Link")</f>
        <v/>
      </c>
      <c r="M2039" s="6">
        <f>HYPERLINK("https://map.naver.com/p/search/오송읍 봉산리 1419", "지도Link")</f>
        <v/>
      </c>
      <c r="N2039" s="6">
        <f>HYPERLINK("http://www.eum.go.kr/web/ar/lu/luLandDet.jsp?pnu=4311325031114190000&amp;isNoScr=script&amp;mode=search", "토지이음")</f>
        <v/>
      </c>
      <c r="O2039" s="3" t="inlineStr">
        <is>
          <t>365</t>
        </is>
      </c>
      <c r="P2039" s="4" t="n">
        <v>1</v>
      </c>
      <c r="Q2039" s="4" t="n">
        <v>238.1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소로각지</t>
        </is>
      </c>
    </row>
    <row r="2040">
      <c r="A2040" s="3" t="inlineStr">
        <is>
          <t>오송읍 봉산리 796</t>
        </is>
      </c>
      <c r="B2040" s="3" t="inlineStr">
        <is>
          <t>제1종일반주거지역</t>
        </is>
      </c>
      <c r="C2040" s="3" t="inlineStr">
        <is>
          <t>주차장</t>
        </is>
      </c>
      <c r="D2040" s="3" t="inlineStr">
        <is>
          <t>주차장</t>
        </is>
      </c>
      <c r="E2040" s="3" t="inlineStr">
        <is>
          <t>매매</t>
        </is>
      </c>
      <c r="F2040" s="4" t="n">
        <v>150000</v>
      </c>
      <c r="G2040" s="4" t="n">
        <v>1039</v>
      </c>
      <c r="H2040" s="4" t="n">
        <v>314</v>
      </c>
      <c r="I2040" s="5" t="n">
        <v>477.7</v>
      </c>
      <c r="J2040" s="5" t="n">
        <v>207.4</v>
      </c>
      <c r="K2040" s="3" t="inlineStr">
        <is>
          <t>아파트 학교옆 인프라좋고 편의시설주변 주차장용지로 모든업종가능</t>
        </is>
      </c>
      <c r="L2040" s="6">
        <f>HYPERLINK("https://fin.land.naver.com/articles/2653291885", "매물Link")</f>
        <v/>
      </c>
      <c r="M2040" s="6">
        <f>HYPERLINK("https://map.naver.com/p/search/오송읍 봉산리 796", "지도Link")</f>
        <v/>
      </c>
      <c r="N2040" s="6">
        <f>HYPERLINK("http://www.eum.go.kr/web/ar/lu/luLandDet.jsp?pnu=4311325031107960000&amp;isNoScr=script&amp;mode=search", "토지이음")</f>
        <v/>
      </c>
      <c r="O2040" s="3" t="inlineStr">
        <is>
          <t>하림</t>
        </is>
      </c>
      <c r="P2040" s="4" t="n">
        <v>1</v>
      </c>
      <c r="Q2040" s="4" t="n">
        <v>1039.2</v>
      </c>
      <c r="R2040" s="3" t="inlineStr">
        <is>
          <t>지정되지않음</t>
        </is>
      </c>
      <c r="S2040" s="3" t="inlineStr">
        <is>
          <t>주차장등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중로각지</t>
        </is>
      </c>
    </row>
    <row r="2041">
      <c r="A2041" s="3" t="inlineStr">
        <is>
          <t>오송읍 봉산리 841</t>
        </is>
      </c>
      <c r="B2041" s="3" t="inlineStr">
        <is>
          <t>제1종일반주거지역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38000</v>
      </c>
      <c r="G2041" s="4" t="n">
        <v>249</v>
      </c>
      <c r="H2041" s="4" t="n">
        <v>75</v>
      </c>
      <c r="I2041" s="5" t="n">
        <v>506.7</v>
      </c>
      <c r="J2041" s="5" t="n">
        <v>342.8</v>
      </c>
      <c r="K2041" s="3" t="inlineStr">
        <is>
          <t>대도로변 토지,상가 입점하기 좋은 위치</t>
        </is>
      </c>
      <c r="L2041" s="6">
        <f>HYPERLINK("https://fin.land.naver.com/articles/2652140009", "매물Link")</f>
        <v/>
      </c>
      <c r="M2041" s="6">
        <f>HYPERLINK("https://map.naver.com/p/search/오송읍 봉산리 841", "지도Link")</f>
        <v/>
      </c>
      <c r="N2041" s="6">
        <f>HYPERLINK("http://www.eum.go.kr/web/ar/lu/luLandDet.jsp?pnu=4311325031108410000&amp;isNoScr=script&amp;mode=search", "토지이음")</f>
        <v/>
      </c>
      <c r="O2041" s="3" t="inlineStr">
        <is>
          <t>오송2단지창조</t>
        </is>
      </c>
      <c r="P2041" s="4" t="n">
        <v>1</v>
      </c>
      <c r="Q2041" s="4" t="n">
        <v>249.4</v>
      </c>
      <c r="R2041" s="3" t="inlineStr">
        <is>
          <t>지정되지않음</t>
        </is>
      </c>
      <c r="S2041" s="3" t="inlineStr">
        <is>
          <t>주상기타</t>
        </is>
      </c>
      <c r="T2041" s="3" t="inlineStr">
        <is>
          <t>평지</t>
        </is>
      </c>
      <c r="U2041" s="3" t="inlineStr">
        <is>
          <t>정방형</t>
        </is>
      </c>
      <c r="V2041" s="3" t="inlineStr">
        <is>
          <t>중로각지</t>
        </is>
      </c>
    </row>
    <row r="2042">
      <c r="A2042" s="3" t="inlineStr">
        <is>
          <t>오송읍 봉산리 853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276</v>
      </c>
      <c r="H2042" s="4" t="n">
        <v>83</v>
      </c>
      <c r="I2042" s="5" t="n">
        <v>542.2</v>
      </c>
      <c r="J2042" s="5" t="n">
        <v>205.7</v>
      </c>
      <c r="K2042" s="3" t="inlineStr">
        <is>
          <t>솔미초 인근 다가구용 토지 매매</t>
        </is>
      </c>
      <c r="L2042" s="6">
        <f>HYPERLINK("https://fin.land.naver.com/articles/2650364095", "매물Link")</f>
        <v/>
      </c>
      <c r="M2042" s="6">
        <f>HYPERLINK("https://map.naver.com/p/search/오송읍 봉산리 853", "지도Link")</f>
        <v/>
      </c>
      <c r="N2042" s="6">
        <f>HYPERLINK("http://www.eum.go.kr/web/ar/lu/luLandDet.jsp?pnu=4311325031108530000&amp;isNoScr=script&amp;mode=search", "토지이음")</f>
        <v/>
      </c>
      <c r="O2042" s="3" t="inlineStr">
        <is>
          <t>광장</t>
        </is>
      </c>
      <c r="P2042" s="4" t="n">
        <v>1</v>
      </c>
      <c r="Q2042" s="4" t="n">
        <v>276.1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853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45000</v>
      </c>
      <c r="G2043" s="4" t="n">
        <v>276</v>
      </c>
      <c r="H2043" s="4" t="n">
        <v>83</v>
      </c>
      <c r="I2043" s="5" t="n">
        <v>542.2</v>
      </c>
      <c r="J2043" s="5" t="n">
        <v>205.7</v>
      </c>
      <c r="K2043" s="3" t="inlineStr">
        <is>
          <t>nan</t>
        </is>
      </c>
      <c r="L2043" s="6">
        <f>HYPERLINK("https://fin.land.naver.com/articles/2652690757", "매물Link")</f>
        <v/>
      </c>
      <c r="M2043" s="6">
        <f>HYPERLINK("https://map.naver.com/p/search/오송읍 봉산리 853", "지도Link")</f>
        <v/>
      </c>
      <c r="N2043" s="6">
        <f>HYPERLINK("http://www.eum.go.kr/web/ar/lu/luLandDet.jsp?pnu=4311325031108530000&amp;isNoScr=script&amp;mode=search", "토지이음")</f>
        <v/>
      </c>
      <c r="O2043" s="3" t="inlineStr">
        <is>
          <t>365</t>
        </is>
      </c>
      <c r="P2043" s="4" t="n">
        <v>1</v>
      </c>
      <c r="Q2043" s="4" t="n">
        <v>276.1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859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40000</v>
      </c>
      <c r="G2044" s="4" t="n">
        <v>280</v>
      </c>
      <c r="H2044" s="4" t="n">
        <v>85</v>
      </c>
      <c r="I2044" s="5" t="n">
        <v>470.6</v>
      </c>
      <c r="J2044" s="5" t="n">
        <v>205.7</v>
      </c>
      <c r="K2044" s="3" t="inlineStr">
        <is>
          <t>수익율 좋은 다가구주택 건축하여 건물주님 되어보기</t>
        </is>
      </c>
      <c r="L2044" s="6">
        <f>HYPERLINK("https://fin.land.naver.com/articles/2650859358", "매물Link")</f>
        <v/>
      </c>
      <c r="M2044" s="6">
        <f>HYPERLINK("https://map.naver.com/p/search/오송읍 봉산리 859", "지도Link")</f>
        <v/>
      </c>
      <c r="N2044" s="6">
        <f>HYPERLINK("http://www.eum.go.kr/web/ar/lu/luLandDet.jsp?pnu=4311325031108590000&amp;isNoScr=script&amp;mode=search", "토지이음")</f>
        <v/>
      </c>
      <c r="O2044" s="3" t="inlineStr">
        <is>
          <t>프로</t>
        </is>
      </c>
      <c r="P2044" s="4" t="n">
        <v>1</v>
      </c>
      <c r="Q2044" s="4" t="n">
        <v>280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872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39000</v>
      </c>
      <c r="G2045" s="4" t="n">
        <v>271</v>
      </c>
      <c r="H2045" s="4" t="n">
        <v>82</v>
      </c>
      <c r="I2045" s="5" t="n">
        <v>475.6</v>
      </c>
      <c r="J2045" s="5" t="n">
        <v>236</v>
      </c>
      <c r="K2045" s="3" t="inlineStr">
        <is>
          <t>수익율 좋은 다가구주택 건축하여 건물주님 되어보세요</t>
        </is>
      </c>
      <c r="L2045" s="6">
        <f>HYPERLINK("https://fin.land.naver.com/articles/2653487751", "매물Link")</f>
        <v/>
      </c>
      <c r="M2045" s="6">
        <f>HYPERLINK("https://map.naver.com/p/search/오송읍 봉산리 872", "지도Link")</f>
        <v/>
      </c>
      <c r="N2045" s="6">
        <f>HYPERLINK("http://www.eum.go.kr/web/ar/lu/luLandDet.jsp?pnu=4311325031108720000&amp;isNoScr=script&amp;mode=search", "토지이음")</f>
        <v/>
      </c>
      <c r="O2045" s="3" t="inlineStr">
        <is>
          <t>프로</t>
        </is>
      </c>
      <c r="P2045" s="4" t="n">
        <v>1</v>
      </c>
      <c r="Q2045" s="4" t="n">
        <v>271.2</v>
      </c>
      <c r="R2045" s="3" t="inlineStr">
        <is>
          <t>지정되지않음</t>
        </is>
      </c>
      <c r="S2045" s="3" t="inlineStr">
        <is>
          <t>주상기타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872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49000</v>
      </c>
      <c r="G2046" s="4" t="n">
        <v>271</v>
      </c>
      <c r="H2046" s="4" t="n">
        <v>82</v>
      </c>
      <c r="I2046" s="5" t="n">
        <v>597.6</v>
      </c>
      <c r="J2046" s="5" t="n">
        <v>236</v>
      </c>
      <c r="K2046" s="3" t="inlineStr">
        <is>
          <t>다가구주택용 대지, 임대세대 구성하기 좋은 면적</t>
        </is>
      </c>
      <c r="L2046" s="6">
        <f>HYPERLINK("https://fin.land.naver.com/articles/2651430081", "매물Link")</f>
        <v/>
      </c>
      <c r="M2046" s="6">
        <f>HYPERLINK("https://map.naver.com/p/search/오송읍 봉산리 872", "지도Link")</f>
        <v/>
      </c>
      <c r="N2046" s="6">
        <f>HYPERLINK("http://www.eum.go.kr/web/ar/lu/luLandDet.jsp?pnu=4311325031108720000&amp;isNoScr=script&amp;mode=search", "토지이음")</f>
        <v/>
      </c>
      <c r="O2046" s="3" t="inlineStr">
        <is>
          <t>광장</t>
        </is>
      </c>
      <c r="P2046" s="4" t="n">
        <v>1</v>
      </c>
      <c r="Q2046" s="4" t="n">
        <v>271.2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888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60000</v>
      </c>
      <c r="G2047" s="4" t="n">
        <v>252</v>
      </c>
      <c r="H2047" s="4" t="n">
        <v>76</v>
      </c>
      <c r="I2047" s="5" t="n">
        <v>789.5</v>
      </c>
      <c r="J2047" s="5" t="n">
        <v>291</v>
      </c>
      <c r="K2047" s="3" t="inlineStr">
        <is>
          <t>오송 철도국가산단 수혜 핵심 입지</t>
        </is>
      </c>
      <c r="L2047" s="6">
        <f>HYPERLINK("https://fin.land.naver.com/articles/2655160224", "매물Link")</f>
        <v/>
      </c>
      <c r="M2047" s="6">
        <f>HYPERLINK("https://map.naver.com/p/search/오송읍 봉산리 888", "지도Link")</f>
        <v/>
      </c>
      <c r="N2047" s="6">
        <f>HYPERLINK("http://www.eum.go.kr/web/ar/lu/luLandDet.jsp?pnu=4311325031108880000&amp;isNoScr=script&amp;mode=search", "토지이음")</f>
        <v/>
      </c>
      <c r="O2047" s="3" t="inlineStr">
        <is>
          <t>복덩이</t>
        </is>
      </c>
      <c r="P2047" s="4" t="n">
        <v>1</v>
      </c>
      <c r="Q2047" s="4" t="n">
        <v>252.1</v>
      </c>
      <c r="R2047" s="3" t="inlineStr">
        <is>
          <t>지정되지않음</t>
        </is>
      </c>
      <c r="S2047" s="3" t="inlineStr">
        <is>
          <t>주상기타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중로각지</t>
        </is>
      </c>
    </row>
    <row r="2048">
      <c r="A2048" s="3" t="inlineStr">
        <is>
          <t>오송읍 봉산리 949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40000</v>
      </c>
      <c r="G2048" s="4" t="n">
        <v>271</v>
      </c>
      <c r="H2048" s="4" t="n">
        <v>82</v>
      </c>
      <c r="I2048" s="5" t="n">
        <v>487.8</v>
      </c>
      <c r="J2048" s="5" t="n">
        <v>236</v>
      </c>
      <c r="K2048" s="3" t="inlineStr">
        <is>
          <t>수익율 좋은 다가구주택 건축하여 건물주님 되어보기</t>
        </is>
      </c>
      <c r="L2048" s="6">
        <f>HYPERLINK("https://fin.land.naver.com/articles/2653257663", "매물Link")</f>
        <v/>
      </c>
      <c r="M2048" s="6">
        <f>HYPERLINK("https://map.naver.com/p/search/오송읍 봉산리 949", "지도Link")</f>
        <v/>
      </c>
      <c r="N2048" s="6">
        <f>HYPERLINK("http://www.eum.go.kr/web/ar/lu/luLandDet.jsp?pnu=4311325031109490000&amp;isNoScr=script&amp;mode=search", "토지이음")</f>
        <v/>
      </c>
      <c r="O2048" s="3" t="inlineStr">
        <is>
          <t>프로</t>
        </is>
      </c>
      <c r="P2048" s="4" t="n">
        <v>2</v>
      </c>
      <c r="Q2048" s="4" t="n">
        <v>271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954</t>
        </is>
      </c>
      <c r="B2049" s="3" t="inlineStr">
        <is>
          <t>제1종일반주거지역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55000</v>
      </c>
      <c r="G2049" s="4" t="n">
        <v>265</v>
      </c>
      <c r="H2049" s="4" t="n">
        <v>80</v>
      </c>
      <c r="I2049" s="5" t="n">
        <v>687.5</v>
      </c>
      <c r="J2049" s="5" t="n">
        <v>257.5</v>
      </c>
      <c r="K2049" s="3" t="inlineStr">
        <is>
          <t>위치좋은 코너땅 입니다</t>
        </is>
      </c>
      <c r="L2049" s="6">
        <f>HYPERLINK("https://fin.land.naver.com/articles/2652109103", "매물Link")</f>
        <v/>
      </c>
      <c r="M2049" s="6">
        <f>HYPERLINK("https://map.naver.com/p/search/오송읍 봉산리 954", "지도Link")</f>
        <v/>
      </c>
      <c r="N2049" s="6">
        <f>HYPERLINK("http://www.eum.go.kr/web/ar/lu/luLandDet.jsp?pnu=4311325031109540000&amp;isNoScr=script&amp;mode=search", "토지이음")</f>
        <v/>
      </c>
      <c r="O2049" s="3" t="inlineStr">
        <is>
          <t>오송2단지창조</t>
        </is>
      </c>
      <c r="P2049" s="4" t="n">
        <v>1</v>
      </c>
      <c r="Q2049" s="4" t="n">
        <v>265.3</v>
      </c>
      <c r="R2049" s="3" t="inlineStr">
        <is>
          <t>지정되지않음</t>
        </is>
      </c>
      <c r="S2049" s="3" t="inlineStr">
        <is>
          <t>주상기타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소로각지</t>
        </is>
      </c>
    </row>
    <row r="2050">
      <c r="A2050" s="3" t="inlineStr">
        <is>
          <t>오송읍 봉산리 978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353000</v>
      </c>
      <c r="G2050" s="4" t="n">
        <v>1295</v>
      </c>
      <c r="H2050" s="4" t="n">
        <v>392</v>
      </c>
      <c r="I2050" s="5" t="n">
        <v>900.5</v>
      </c>
      <c r="J2050" s="5" t="n">
        <v>585.5</v>
      </c>
      <c r="K2050" s="3" t="inlineStr">
        <is>
          <t>오송읍 봉산리 상업용지 매매</t>
        </is>
      </c>
      <c r="L2050" s="6">
        <f>HYPERLINK("https://fin.land.naver.com/articles/2650259873", "매물Link")</f>
        <v/>
      </c>
      <c r="M2050" s="6">
        <f>HYPERLINK("https://map.naver.com/p/search/오송읍 봉산리 978", "지도Link")</f>
        <v/>
      </c>
      <c r="N2050" s="6">
        <f>HYPERLINK("http://www.eum.go.kr/web/ar/lu/luLandDet.jsp?pnu=4311325031109780000&amp;isNoScr=script&amp;mode=search", "토지이음")</f>
        <v/>
      </c>
      <c r="O2050" s="3" t="inlineStr">
        <is>
          <t>일등</t>
        </is>
      </c>
      <c r="P2050" s="4" t="n">
        <v>1</v>
      </c>
      <c r="Q2050" s="4" t="n">
        <v>1295.6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상봉리 114-3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25000</v>
      </c>
      <c r="G2051" s="4" t="n">
        <v>602</v>
      </c>
      <c r="H2051" s="4" t="n">
        <v>182</v>
      </c>
      <c r="I2051" s="5" t="n">
        <v>137.4</v>
      </c>
      <c r="J2051" s="5" t="n">
        <v>48.7</v>
      </c>
      <c r="K2051" s="3" t="inlineStr">
        <is>
          <t>오송읍 전원주택지 매매</t>
        </is>
      </c>
      <c r="L2051" s="6">
        <f>HYPERLINK("https://fin.land.naver.com/articles/2654267342", "매물Link")</f>
        <v/>
      </c>
      <c r="M2051" s="6">
        <f>HYPERLINK("https://map.naver.com/p/search/오송읍 상봉리 114-3", "지도Link")</f>
        <v/>
      </c>
      <c r="N2051" s="6">
        <f>HYPERLINK("http://www.eum.go.kr/web/ar/lu/luLandDet.jsp?pnu=4311325033101140003&amp;isNoScr=script&amp;mode=search", "토지이음")</f>
        <v/>
      </c>
      <c r="O2051" s="3" t="inlineStr">
        <is>
          <t>학사</t>
        </is>
      </c>
      <c r="P2051" s="4" t="n">
        <v>1</v>
      </c>
      <c r="Q2051" s="4" t="n">
        <v>602</v>
      </c>
      <c r="R2051" s="3" t="inlineStr">
        <is>
          <t>지정되지않음</t>
        </is>
      </c>
      <c r="S2051" s="3" t="inlineStr">
        <is>
          <t>주거나지</t>
        </is>
      </c>
      <c r="T2051" s="3" t="inlineStr">
        <is>
          <t>평지</t>
        </is>
      </c>
      <c r="U2051" s="3" t="inlineStr">
        <is>
          <t>사다리형</t>
        </is>
      </c>
      <c r="V2051" s="3" t="inlineStr">
        <is>
          <t>세로한면(가)</t>
        </is>
      </c>
    </row>
    <row r="2052">
      <c r="A2052" s="3" t="inlineStr">
        <is>
          <t>오송읍 상봉리 240-4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200000</v>
      </c>
      <c r="G2052" s="4" t="n">
        <v>1896</v>
      </c>
      <c r="H2052" s="4" t="n">
        <v>574</v>
      </c>
      <c r="I2052" s="5" t="n">
        <v>348.4</v>
      </c>
      <c r="J2052" s="5" t="n">
        <v>45</v>
      </c>
      <c r="K2052" s="3" t="inlineStr">
        <is>
          <t>2차선도로 및 3면이 포장도로에 접한 직사각형 모양의 계획관리지역의 전</t>
        </is>
      </c>
      <c r="L2052" s="6">
        <f>HYPERLINK("https://fin.land.naver.com/articles/2652183903", "매물Link")</f>
        <v/>
      </c>
      <c r="M2052" s="6">
        <f>HYPERLINK("https://map.naver.com/p/search/오송읍 상봉리 240-4", "지도Link")</f>
        <v/>
      </c>
      <c r="N2052" s="6">
        <f>HYPERLINK("http://www.eum.go.kr/web/ar/lu/luLandDet.jsp?pnu=4311325033102400004&amp;isNoScr=script&amp;mode=search", "토지이음")</f>
        <v/>
      </c>
      <c r="O2052" s="3" t="inlineStr">
        <is>
          <t>스마일세종</t>
        </is>
      </c>
      <c r="P2052" s="4" t="n">
        <v>1</v>
      </c>
      <c r="Q2052" s="4" t="n">
        <v>1896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소로한면</t>
        </is>
      </c>
    </row>
    <row r="2053">
      <c r="A2053" s="3" t="inlineStr">
        <is>
          <t>오송읍 상봉리 313</t>
        </is>
      </c>
      <c r="B2053" s="3" t="inlineStr">
        <is>
          <t>보전관리지역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40000</v>
      </c>
      <c r="G2053" s="4" t="n">
        <v>2615</v>
      </c>
      <c r="H2053" s="4" t="n">
        <v>791</v>
      </c>
      <c r="I2053" s="5" t="n">
        <v>50.6</v>
      </c>
      <c r="J2053" s="5" t="n">
        <v>10</v>
      </c>
      <c r="K2053" s="3" t="inlineStr">
        <is>
          <t>세종시 경계부근에 위치 전원주택 주말농지 추천</t>
        </is>
      </c>
      <c r="L2053" s="6">
        <f>HYPERLINK("https://fin.land.naver.com/articles/2652553807", "매물Link")</f>
        <v/>
      </c>
      <c r="M2053" s="6">
        <f>HYPERLINK("https://map.naver.com/p/search/오송읍 상봉리 313", "지도Link")</f>
        <v/>
      </c>
      <c r="N2053" s="6">
        <f>HYPERLINK("http://www.eum.go.kr/web/ar/lu/luLandDet.jsp?pnu=4311325033103130000&amp;isNoScr=script&amp;mode=search", "토지이음")</f>
        <v/>
      </c>
      <c r="O2053" s="3" t="inlineStr">
        <is>
          <t>복수지구</t>
        </is>
      </c>
      <c r="P2053" s="4" t="n">
        <v>1</v>
      </c>
      <c r="Q2053" s="4" t="n">
        <v>2615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오송읍 상봉리 415-1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26000</v>
      </c>
      <c r="G2054" s="4" t="n">
        <v>1230</v>
      </c>
      <c r="H2054" s="4" t="n">
        <v>372</v>
      </c>
      <c r="I2054" s="5" t="n">
        <v>69.90000000000001</v>
      </c>
      <c r="J2054" s="5" t="n">
        <v>22</v>
      </c>
      <c r="K2054" s="3" t="inlineStr">
        <is>
          <t>오송역과 오송제2생명과학단지 인근에 있는 대토용으로 좋은 논입니다</t>
        </is>
      </c>
      <c r="L2054" s="6">
        <f>HYPERLINK("https://fin.land.naver.com/articles/2655302555", "매물Link")</f>
        <v/>
      </c>
      <c r="M2054" s="6">
        <f>HYPERLINK("https://map.naver.com/p/search/오송읍 상봉리 415-1", "지도Link")</f>
        <v/>
      </c>
      <c r="N2054" s="6">
        <f>HYPERLINK("http://www.eum.go.kr/web/ar/lu/luLandDet.jsp?pnu=4311325033104150001&amp;isNoScr=script&amp;mode=search", "토지이음")</f>
        <v/>
      </c>
      <c r="O2054" s="3" t="inlineStr">
        <is>
          <t>스마일세종</t>
        </is>
      </c>
      <c r="P2054" s="4" t="n">
        <v>9</v>
      </c>
      <c r="Q2054" s="4" t="n">
        <v>1230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상봉리 415-1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26000</v>
      </c>
      <c r="G2055" s="4" t="n">
        <v>1230</v>
      </c>
      <c r="H2055" s="4" t="n">
        <v>372</v>
      </c>
      <c r="I2055" s="5" t="n">
        <v>69.90000000000001</v>
      </c>
      <c r="J2055" s="5" t="n">
        <v>22</v>
      </c>
      <c r="K2055" s="3" t="inlineStr">
        <is>
          <t>매가 조정하여 매2.6억원 오송 산단주변 농림지역 매매</t>
        </is>
      </c>
      <c r="L2055" s="6">
        <f>HYPERLINK("https://fin.land.naver.com/articles/2651395740", "매물Link")</f>
        <v/>
      </c>
      <c r="M2055" s="6">
        <f>HYPERLINK("https://map.naver.com/p/search/오송읍 상봉리 415-1", "지도Link")</f>
        <v/>
      </c>
      <c r="N2055" s="6">
        <f>HYPERLINK("http://www.eum.go.kr/web/ar/lu/luLandDet.jsp?pnu=4311325033104150001&amp;isNoScr=script&amp;mode=search", "토지이음")</f>
        <v/>
      </c>
      <c r="O2055" s="3" t="inlineStr">
        <is>
          <t>로데오상가</t>
        </is>
      </c>
      <c r="P2055" s="4" t="n">
        <v>1</v>
      </c>
      <c r="Q2055" s="4" t="n">
        <v>1230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상봉리 98-15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35500</v>
      </c>
      <c r="G2056" s="4" t="n">
        <v>1468</v>
      </c>
      <c r="H2056" s="4" t="n">
        <v>444</v>
      </c>
      <c r="I2056" s="5" t="n">
        <v>80</v>
      </c>
      <c r="J2056" s="5" t="n">
        <v>26.4</v>
      </c>
      <c r="K2056" s="3" t="inlineStr">
        <is>
          <t>신축, 경작, 투자하기 좋은 토지</t>
        </is>
      </c>
      <c r="L2056" s="6">
        <f>HYPERLINK("https://fin.land.naver.com/articles/2650650172", "매물Link")</f>
        <v/>
      </c>
      <c r="M2056" s="6">
        <f>HYPERLINK("https://map.naver.com/p/search/오송읍 상봉리 98-15", "지도Link")</f>
        <v/>
      </c>
      <c r="N2056" s="6">
        <f>HYPERLINK("http://www.eum.go.kr/web/ar/lu/luLandDet.jsp?pnu=4311325033100980015&amp;isNoScr=script&amp;mode=search", "토지이음")</f>
        <v/>
      </c>
      <c r="O2056" s="3" t="inlineStr">
        <is>
          <t>학정</t>
        </is>
      </c>
      <c r="P2056" s="4" t="n">
        <v>1</v>
      </c>
      <c r="Q2056" s="4" t="n">
        <v>1468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상봉리 산 49-1</t>
        </is>
      </c>
      <c r="B2057" s="3" t="inlineStr">
        <is>
          <t>농림지역</t>
        </is>
      </c>
      <c r="C2057" s="3" t="inlineStr">
        <is>
          <t>임야</t>
        </is>
      </c>
      <c r="D2057" s="3" t="inlineStr">
        <is>
          <t>임야</t>
        </is>
      </c>
      <c r="E2057" s="3" t="inlineStr">
        <is>
          <t>매매</t>
        </is>
      </c>
      <c r="F2057" s="4" t="n">
        <v>22000</v>
      </c>
      <c r="G2057" s="4" t="n">
        <v>29256</v>
      </c>
      <c r="H2057" s="4" t="n">
        <v>8850</v>
      </c>
      <c r="I2057" s="5" t="n">
        <v>2.5</v>
      </c>
      <c r="J2057" s="5" t="n">
        <v>2.4</v>
      </c>
      <c r="K2057" s="3" t="inlineStr">
        <is>
          <t>충북 청주 오송읍 상봉리 임야 매매</t>
        </is>
      </c>
      <c r="L2057" s="6">
        <f>HYPERLINK("https://fin.land.naver.com/articles/2652514401", "매물Link")</f>
        <v/>
      </c>
      <c r="M2057" s="6">
        <f>HYPERLINK("https://map.naver.com/p/search/오송읍 상봉리 산 49-1", "지도Link")</f>
        <v/>
      </c>
      <c r="N2057" s="6">
        <f>HYPERLINK("http://www.eum.go.kr/web/ar/lu/luLandDet.jsp?pnu=4311325033200490001&amp;isNoScr=script&amp;mode=search", "토지이음")</f>
        <v/>
      </c>
      <c r="O2057" s="3" t="inlineStr">
        <is>
          <t>리더</t>
        </is>
      </c>
      <c r="P2057" s="4" t="n">
        <v>1</v>
      </c>
      <c r="Q2057" s="4" t="n">
        <v>29256</v>
      </c>
      <c r="R2057" s="3" t="inlineStr">
        <is>
          <t>생산관리지역</t>
        </is>
      </c>
      <c r="S2057" s="3" t="inlineStr">
        <is>
          <t>자연림</t>
        </is>
      </c>
      <c r="T2057" s="3" t="inlineStr">
        <is>
          <t>완경사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오송읍 상정리 149-1</t>
        </is>
      </c>
      <c r="B2058" s="3" t="inlineStr">
        <is>
          <t>농림지역</t>
        </is>
      </c>
      <c r="C2058" s="3" t="inlineStr">
        <is>
          <t>창고용지</t>
        </is>
      </c>
      <c r="D2058" s="3" t="inlineStr">
        <is>
          <t>창고용지</t>
        </is>
      </c>
      <c r="E2058" s="3" t="inlineStr">
        <is>
          <t>매매</t>
        </is>
      </c>
      <c r="F2058" s="4" t="n">
        <v>91000</v>
      </c>
      <c r="G2058" s="4" t="n">
        <v>3028</v>
      </c>
      <c r="H2058" s="4" t="n">
        <v>916</v>
      </c>
      <c r="I2058" s="5" t="n">
        <v>99.3</v>
      </c>
      <c r="J2058" s="5" t="n">
        <v>27.4</v>
      </c>
      <c r="K2058" s="3" t="inlineStr">
        <is>
          <t>성토된 창고 용지와 창고용지와 답 매도</t>
        </is>
      </c>
      <c r="L2058" s="6">
        <f>HYPERLINK("https://fin.land.naver.com/articles/2651744349", "매물Link")</f>
        <v/>
      </c>
      <c r="M2058" s="6">
        <f>HYPERLINK("https://map.naver.com/p/search/오송읍 상정리 149-1", "지도Link")</f>
        <v/>
      </c>
      <c r="N2058" s="6">
        <f>HYPERLINK("http://www.eum.go.kr/web/ar/lu/luLandDet.jsp?pnu=4311325022101490001&amp;isNoScr=script&amp;mode=search", "토지이음")</f>
        <v/>
      </c>
      <c r="O2058" s="3" t="inlineStr">
        <is>
          <t>현담</t>
        </is>
      </c>
      <c r="P2058" s="4" t="n">
        <v>1</v>
      </c>
      <c r="Q2058" s="4" t="n">
        <v>660</v>
      </c>
      <c r="R2058" s="3" t="inlineStr">
        <is>
          <t>지정되지않음</t>
        </is>
      </c>
      <c r="S2058" s="3" t="inlineStr">
        <is>
          <t>답창고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세로한면(가)</t>
        </is>
      </c>
    </row>
    <row r="2059">
      <c r="A2059" s="3" t="inlineStr">
        <is>
          <t>오송읍 상정리 149-3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90000</v>
      </c>
      <c r="G2059" s="4" t="n">
        <v>3028</v>
      </c>
      <c r="H2059" s="4" t="n">
        <v>916</v>
      </c>
      <c r="I2059" s="5" t="n">
        <v>98.3</v>
      </c>
      <c r="J2059" s="5" t="n">
        <v>23</v>
      </c>
      <c r="K2059" s="3" t="inlineStr">
        <is>
          <t>현재 대지660m2, 창고128m2 임대중, 대토,투자추천</t>
        </is>
      </c>
      <c r="L2059" s="6">
        <f>HYPERLINK("https://fin.land.naver.com/articles/2651061331", "매물Link")</f>
        <v/>
      </c>
      <c r="M2059" s="6">
        <f>HYPERLINK("https://map.naver.com/p/search/오송읍 상정리 149-3", "지도Link")</f>
        <v/>
      </c>
      <c r="N2059" s="6">
        <f>HYPERLINK("http://www.eum.go.kr/web/ar/lu/luLandDet.jsp?pnu=4311325022101490003&amp;isNoScr=script&amp;mode=search", "토지이음")</f>
        <v/>
      </c>
      <c r="O2059" s="3" t="inlineStr">
        <is>
          <t>플러스자이합동</t>
        </is>
      </c>
      <c r="P2059" s="4" t="n">
        <v>1</v>
      </c>
      <c r="Q2059" s="4" t="n">
        <v>2368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부정형</t>
        </is>
      </c>
      <c r="V2059" s="3" t="inlineStr">
        <is>
          <t>세로한면(가)</t>
        </is>
      </c>
    </row>
    <row r="2060">
      <c r="A2060" s="3" t="inlineStr">
        <is>
          <t>오송읍 상정리 174-7</t>
        </is>
      </c>
      <c r="B2060" s="3" t="inlineStr">
        <is>
          <t>계획관리지역</t>
        </is>
      </c>
      <c r="C2060" s="3" t="inlineStr">
        <is>
          <t>전</t>
        </is>
      </c>
      <c r="D2060" s="3" t="inlineStr">
        <is>
          <t>전</t>
        </is>
      </c>
      <c r="E2060" s="3" t="inlineStr">
        <is>
          <t>매매</t>
        </is>
      </c>
      <c r="F2060" s="4" t="n">
        <v>80000</v>
      </c>
      <c r="G2060" s="4" t="n">
        <v>982</v>
      </c>
      <c r="H2060" s="4" t="n">
        <v>297</v>
      </c>
      <c r="I2060" s="5" t="n">
        <v>269.4</v>
      </c>
      <c r="J2060" s="5" t="n">
        <v>43.7</v>
      </c>
      <c r="K2060" s="3" t="inlineStr">
        <is>
          <t>순이네 보리밥 진입로 좌측 직사각형의 용도다양한 토지매매</t>
        </is>
      </c>
      <c r="L2060" s="6">
        <f>HYPERLINK("https://fin.land.naver.com/articles/2652102937", "매물Link")</f>
        <v/>
      </c>
      <c r="M2060" s="6">
        <f>HYPERLINK("https://map.naver.com/p/search/오송읍 상정리 174-7", "지도Link")</f>
        <v/>
      </c>
      <c r="N2060" s="6">
        <f>HYPERLINK("http://www.eum.go.kr/web/ar/lu/luLandDet.jsp?pnu=4311325022101740007&amp;isNoScr=script&amp;mode=search", "토지이음")</f>
        <v/>
      </c>
      <c r="O2060" s="3" t="inlineStr">
        <is>
          <t>오송k랜드</t>
        </is>
      </c>
      <c r="P2060" s="4" t="n">
        <v>1</v>
      </c>
      <c r="Q2060" s="4" t="n">
        <v>982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가로장방</t>
        </is>
      </c>
      <c r="V2060" s="3" t="inlineStr">
        <is>
          <t>소로한면</t>
        </is>
      </c>
    </row>
    <row r="2061">
      <c r="A2061" s="3" t="inlineStr">
        <is>
          <t>오송읍 상정리 189</t>
        </is>
      </c>
      <c r="B2061" s="3" t="inlineStr">
        <is>
          <t>계획관리지역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130000</v>
      </c>
      <c r="G2061" s="4" t="n">
        <v>1413</v>
      </c>
      <c r="H2061" s="4" t="n">
        <v>427</v>
      </c>
      <c r="I2061" s="5" t="n">
        <v>304.4</v>
      </c>
      <c r="J2061" s="5" t="n">
        <v>84.3</v>
      </c>
      <c r="K2061" s="3" t="inlineStr">
        <is>
          <t>오송읍 2차선 도로접한 계획관리 토지매매</t>
        </is>
      </c>
      <c r="L2061" s="6">
        <f>HYPERLINK("https://fin.land.naver.com/articles/2653388615", "매물Link")</f>
        <v/>
      </c>
      <c r="M2061" s="6">
        <f>HYPERLINK("https://map.naver.com/p/search/오송읍 상정리 189", "지도Link")</f>
        <v/>
      </c>
      <c r="N2061" s="6">
        <f>HYPERLINK("http://www.eum.go.kr/web/ar/lu/luLandDet.jsp?pnu=4311325022101890000&amp;isNoScr=script&amp;mode=search", "토지이음")</f>
        <v/>
      </c>
      <c r="O2061" s="3" t="inlineStr">
        <is>
          <t>대지</t>
        </is>
      </c>
      <c r="P2061" s="4" t="n">
        <v>1</v>
      </c>
      <c r="Q2061" s="4" t="n">
        <v>733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자루형</t>
        </is>
      </c>
      <c r="V2061" s="3" t="inlineStr">
        <is>
          <t>소로한면</t>
        </is>
      </c>
    </row>
    <row r="2062">
      <c r="A2062" s="3" t="inlineStr">
        <is>
          <t>오송읍 상정리 191-4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24600</v>
      </c>
      <c r="G2062" s="4" t="n">
        <v>367</v>
      </c>
      <c r="H2062" s="4" t="n">
        <v>111</v>
      </c>
      <c r="I2062" s="5" t="n">
        <v>221.6</v>
      </c>
      <c r="J2062" s="5" t="n">
        <v>83.59999999999999</v>
      </c>
      <c r="K2062" s="3" t="inlineStr">
        <is>
          <t>오송 1산단 생명과학단지 인근, 도로 옆, 건축가능, 투자가치 있음</t>
        </is>
      </c>
      <c r="L2062" s="6">
        <f>HYPERLINK("https://fin.land.naver.com/articles/2651744309", "매물Link")</f>
        <v/>
      </c>
      <c r="M2062" s="6">
        <f>HYPERLINK("https://map.naver.com/p/search/오송읍 상정리 191-4", "지도Link")</f>
        <v/>
      </c>
      <c r="N2062" s="6">
        <f>HYPERLINK("http://www.eum.go.kr/web/ar/lu/luLandDet.jsp?pnu=4311325022101910004&amp;isNoScr=script&amp;mode=search", "토지이음")</f>
        <v/>
      </c>
      <c r="O2062" s="3" t="inlineStr">
        <is>
          <t>현담</t>
        </is>
      </c>
      <c r="P2062" s="4" t="n">
        <v>1</v>
      </c>
      <c r="Q2062" s="4" t="n">
        <v>367</v>
      </c>
      <c r="R2062" s="3" t="inlineStr">
        <is>
          <t>지정되지않음</t>
        </is>
      </c>
      <c r="S2062" s="3" t="inlineStr">
        <is>
          <t>단독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상정리 261</t>
        </is>
      </c>
      <c r="B2063" s="3" t="inlineStr">
        <is>
          <t>농림지역</t>
        </is>
      </c>
      <c r="C2063" s="3" t="inlineStr">
        <is>
          <t>답</t>
        </is>
      </c>
      <c r="D2063" s="3" t="inlineStr">
        <is>
          <t>답</t>
        </is>
      </c>
      <c r="E2063" s="3" t="inlineStr">
        <is>
          <t>매매</t>
        </is>
      </c>
      <c r="F2063" s="4" t="n">
        <v>27000</v>
      </c>
      <c r="G2063" s="4" t="n">
        <v>1083</v>
      </c>
      <c r="H2063" s="4" t="n">
        <v>328</v>
      </c>
      <c r="I2063" s="5" t="n">
        <v>82.3</v>
      </c>
      <c r="J2063" s="5" t="n">
        <v>23.3</v>
      </c>
      <c r="K2063" s="3" t="inlineStr">
        <is>
          <t>농림지역</t>
        </is>
      </c>
      <c r="L2063" s="6">
        <f>HYPERLINK("https://fin.land.naver.com/articles/2654093040", "매물Link")</f>
        <v/>
      </c>
      <c r="M2063" s="6">
        <f>HYPERLINK("https://map.naver.com/p/search/오송읍 상정리 261", "지도Link")</f>
        <v/>
      </c>
      <c r="N2063" s="6">
        <f>HYPERLINK("http://www.eum.go.kr/web/ar/lu/luLandDet.jsp?pnu=4311325022102610000&amp;isNoScr=script&amp;mode=search", "토지이음")</f>
        <v/>
      </c>
      <c r="O2063" s="3" t="inlineStr">
        <is>
          <t>수풀림</t>
        </is>
      </c>
      <c r="P2063" s="4" t="n">
        <v>1</v>
      </c>
      <c r="Q2063" s="4" t="n">
        <v>1083</v>
      </c>
      <c r="R2063" s="3" t="inlineStr">
        <is>
          <t>지정되지않음</t>
        </is>
      </c>
      <c r="S2063" s="3" t="inlineStr">
        <is>
          <t>답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상정리 306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42000</v>
      </c>
      <c r="G2064" s="4" t="n">
        <v>1714</v>
      </c>
      <c r="H2064" s="4" t="n">
        <v>518</v>
      </c>
      <c r="I2064" s="5" t="n">
        <v>81.09999999999999</v>
      </c>
      <c r="J2064" s="5" t="n">
        <v>26.1</v>
      </c>
      <c r="K2064" s="3" t="inlineStr">
        <is>
          <t>농림지역 대토권 최적의 입지 농가 주택 가능한 토지 투자가치 뿜뿜</t>
        </is>
      </c>
      <c r="L2064" s="6">
        <f>HYPERLINK("https://fin.land.naver.com/articles/2654653039", "매물Link")</f>
        <v/>
      </c>
      <c r="M2064" s="6">
        <f>HYPERLINK("https://map.naver.com/p/search/오송읍 상정리 306", "지도Link")</f>
        <v/>
      </c>
      <c r="N2064" s="6">
        <f>HYPERLINK("http://www.eum.go.kr/web/ar/lu/luLandDet.jsp?pnu=4311325022103060000&amp;isNoScr=script&amp;mode=search",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1714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세로한면(불)</t>
        </is>
      </c>
    </row>
    <row r="2065">
      <c r="A2065" s="3" t="inlineStr">
        <is>
          <t>오송읍 상정리 337</t>
        </is>
      </c>
      <c r="B2065" s="3" t="inlineStr">
        <is>
          <t>계획관리지역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138000</v>
      </c>
      <c r="G2065" s="4" t="n">
        <v>2849</v>
      </c>
      <c r="H2065" s="4" t="n">
        <v>862</v>
      </c>
      <c r="I2065" s="5" t="n">
        <v>160.1</v>
      </c>
      <c r="J2065" s="5" t="n">
        <v>38.1</v>
      </c>
      <c r="K2065" s="3" t="inlineStr">
        <is>
          <t>2차선 코너도로접 화장품산단 인접 성토완료</t>
        </is>
      </c>
      <c r="L2065" s="6">
        <f>HYPERLINK("https://fin.land.naver.com/articles/2654059997", "매물Link")</f>
        <v/>
      </c>
      <c r="M2065" s="6">
        <f>HYPERLINK("https://map.naver.com/p/search/오송읍 상정리 337", "지도Link")</f>
        <v/>
      </c>
      <c r="N2065" s="6">
        <f>HYPERLINK("http://www.eum.go.kr/web/ar/lu/luLandDet.jsp?pnu=4311325022103370000&amp;isNoScr=script&amp;mode=search", "토지이음")</f>
        <v/>
      </c>
      <c r="O2065" s="3" t="inlineStr">
        <is>
          <t>플러스태양</t>
        </is>
      </c>
      <c r="P2065" s="4" t="n">
        <v>1</v>
      </c>
      <c r="Q2065" s="4" t="n">
        <v>2022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오송읍 상정리 337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150000</v>
      </c>
      <c r="G2066" s="4" t="n">
        <v>2849</v>
      </c>
      <c r="H2066" s="4" t="n">
        <v>862</v>
      </c>
      <c r="I2066" s="5" t="n">
        <v>174</v>
      </c>
      <c r="J2066" s="5" t="n">
        <v>38.1</v>
      </c>
      <c r="K2066" s="3" t="inlineStr">
        <is>
          <t>서울세종간 제2고속도로이용(오송ic) 2차 지방도접 입지 최고</t>
        </is>
      </c>
      <c r="L2066" s="6">
        <f>HYPERLINK("https://fin.land.naver.com/articles/2652103214", "매물Link")</f>
        <v/>
      </c>
      <c r="M2066" s="6">
        <f>HYPERLINK("https://map.naver.com/p/search/오송읍 상정리 337", "지도Link")</f>
        <v/>
      </c>
      <c r="N2066" s="6">
        <f>HYPERLINK("http://www.eum.go.kr/web/ar/lu/luLandDet.jsp?pnu=4311325022103370000&amp;isNoScr=script&amp;mode=search",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2022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부정형</t>
        </is>
      </c>
      <c r="V2066" s="3" t="inlineStr">
        <is>
          <t>세로한면(가)</t>
        </is>
      </c>
    </row>
    <row r="2067">
      <c r="A2067" s="3" t="inlineStr">
        <is>
          <t>오송읍 상정리 62-2</t>
        </is>
      </c>
      <c r="B2067" s="3" t="inlineStr">
        <is>
          <t>농림지역</t>
        </is>
      </c>
      <c r="C2067" s="3" t="inlineStr">
        <is>
          <t>전</t>
        </is>
      </c>
      <c r="D2067" s="3" t="inlineStr">
        <is>
          <t>전</t>
        </is>
      </c>
      <c r="E2067" s="3" t="inlineStr">
        <is>
          <t>매매</t>
        </is>
      </c>
      <c r="F2067" s="4" t="n">
        <v>58000</v>
      </c>
      <c r="G2067" s="4" t="n">
        <v>647</v>
      </c>
      <c r="H2067" s="4" t="n">
        <v>196</v>
      </c>
      <c r="I2067" s="5" t="n">
        <v>295.9</v>
      </c>
      <c r="J2067" s="5" t="n">
        <v>53.2</v>
      </c>
      <c r="K2067" s="3" t="inlineStr">
        <is>
          <t>농업용 주택부설창고</t>
        </is>
      </c>
      <c r="L2067" s="6">
        <f>HYPERLINK("https://fin.land.naver.com/articles/2650749483", "매물Link")</f>
        <v/>
      </c>
      <c r="M2067" s="6">
        <f>HYPERLINK("https://map.naver.com/p/search/오송읍 상정리 62-2", "지도Link")</f>
        <v/>
      </c>
      <c r="N2067" s="6">
        <f>HYPERLINK("http://www.eum.go.kr/web/ar/lu/luLandDet.jsp?pnu=4311325022100620002&amp;isNoScr=script&amp;mode=search", "토지이음")</f>
        <v/>
      </c>
      <c r="O2067" s="3" t="inlineStr">
        <is>
          <t>현담</t>
        </is>
      </c>
      <c r="P2067" s="4" t="n">
        <v>1</v>
      </c>
      <c r="Q2067" s="4" t="n">
        <v>647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소로한면</t>
        </is>
      </c>
    </row>
    <row r="2068">
      <c r="A2068" s="3" t="inlineStr">
        <is>
          <t>오송읍 상정리 669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34000</v>
      </c>
      <c r="G2068" s="4" t="n">
        <v>507</v>
      </c>
      <c r="H2068" s="4" t="n">
        <v>153</v>
      </c>
      <c r="I2068" s="5" t="n">
        <v>222.2</v>
      </c>
      <c r="J2068" s="5" t="n">
        <v>80.09999999999999</v>
      </c>
      <c r="K2068" s="3" t="inlineStr">
        <is>
          <t>오송 화장품단지옆 전원주택단지,  작은 전원주택과 507㎡의 대지</t>
        </is>
      </c>
      <c r="L2068" s="6">
        <f>HYPERLINK("https://fin.land.naver.com/articles/2652917534", "매물Link")</f>
        <v/>
      </c>
      <c r="M2068" s="6">
        <f>HYPERLINK("https://map.naver.com/p/search/오송읍 상정리 669", "지도Link")</f>
        <v/>
      </c>
      <c r="N2068" s="6">
        <f>HYPERLINK("http://www.eum.go.kr/web/ar/lu/luLandDet.jsp?pnu=4311325022106690000&amp;isNoScr=script&amp;mode=search",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507.1</v>
      </c>
      <c r="R2068" s="3" t="inlineStr">
        <is>
          <t>지정되지않음</t>
        </is>
      </c>
      <c r="S2068" s="3" t="inlineStr">
        <is>
          <t>주거나지</t>
        </is>
      </c>
      <c r="T2068" s="3" t="inlineStr">
        <is>
          <t>완경사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상정리 751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</v>
      </c>
      <c r="G2069" s="4" t="n">
        <v>535</v>
      </c>
      <c r="H2069" s="4" t="n">
        <v>162</v>
      </c>
      <c r="I2069" s="5" t="n">
        <v>185.2</v>
      </c>
      <c r="J2069" s="5" t="n">
        <v>80.09999999999999</v>
      </c>
      <c r="K2069" s="3" t="inlineStr">
        <is>
          <t>나만의 전원주택 생활을 꿈꾸는 분들께  적극추천.금액조율 가능</t>
        </is>
      </c>
      <c r="L2069" s="6">
        <f>HYPERLINK("https://fin.land.naver.com/articles/2655591687", "매물Link")</f>
        <v/>
      </c>
      <c r="M2069" s="6">
        <f>HYPERLINK("https://map.naver.com/p/search/오송읍 상정리 751", "지도Link")</f>
        <v/>
      </c>
      <c r="N2069" s="6">
        <f>HYPERLINK("http://www.eum.go.kr/web/ar/lu/luLandDet.jsp?pnu=4311325022107510000&amp;isNoScr=script&amp;mode=search", "토지이음")</f>
        <v/>
      </c>
      <c r="O2069" s="3" t="inlineStr">
        <is>
          <t>오송2단지창조</t>
        </is>
      </c>
      <c r="P2069" s="4" t="n">
        <v>3</v>
      </c>
      <c r="Q2069" s="4" t="n">
        <v>535</v>
      </c>
      <c r="R2069" s="3" t="inlineStr">
        <is>
          <t>지정되지않음</t>
        </is>
      </c>
      <c r="S2069" s="3" t="inlineStr">
        <is>
          <t>주거나지</t>
        </is>
      </c>
      <c r="T2069" s="3" t="inlineStr">
        <is>
          <t>완경사</t>
        </is>
      </c>
      <c r="U2069" s="3" t="inlineStr">
        <is>
          <t>가로장방</t>
        </is>
      </c>
      <c r="V2069" s="3" t="inlineStr">
        <is>
          <t>세로한면(가)</t>
        </is>
      </c>
    </row>
    <row r="2070">
      <c r="A2070" s="3" t="inlineStr">
        <is>
          <t>오송읍 상정리 751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29000</v>
      </c>
      <c r="G2070" s="4" t="n">
        <v>535</v>
      </c>
      <c r="H2070" s="4" t="n">
        <v>162</v>
      </c>
      <c r="I2070" s="5" t="n">
        <v>179</v>
      </c>
      <c r="J2070" s="5" t="n">
        <v>80.09999999999999</v>
      </c>
      <c r="K2070" s="3" t="inlineStr">
        <is>
          <t>오송의 1산단 인접지.식약처등 국책기관과 바이오 기관 인접지</t>
        </is>
      </c>
      <c r="L2070" s="6">
        <f>HYPERLINK("https://fin.land.naver.com/articles/2651657266", "매물Link")</f>
        <v/>
      </c>
      <c r="M2070" s="6">
        <f>HYPERLINK("https://map.naver.com/p/search/오송읍 상정리 751", "지도Link")</f>
        <v/>
      </c>
      <c r="N2070" s="6">
        <f>HYPERLINK("http://www.eum.go.kr/web/ar/lu/luLandDet.jsp?pnu=4311325022107510000&amp;isNoScr=script&amp;mode=search", "토지이음")</f>
        <v/>
      </c>
      <c r="O2070" s="3" t="inlineStr">
        <is>
          <t>하나로</t>
        </is>
      </c>
      <c r="P2070" s="4" t="n">
        <v>1</v>
      </c>
      <c r="Q2070" s="4" t="n">
        <v>535</v>
      </c>
      <c r="R2070" s="3" t="inlineStr">
        <is>
          <t>지정되지않음</t>
        </is>
      </c>
      <c r="S2070" s="3" t="inlineStr">
        <is>
          <t>주거나지</t>
        </is>
      </c>
      <c r="T2070" s="3" t="inlineStr">
        <is>
          <t>완경사</t>
        </is>
      </c>
      <c r="U2070" s="3" t="inlineStr">
        <is>
          <t>가로장방</t>
        </is>
      </c>
      <c r="V2070" s="3" t="inlineStr">
        <is>
          <t>세로한면(가)</t>
        </is>
      </c>
    </row>
    <row r="2071">
      <c r="A2071" s="3" t="inlineStr">
        <is>
          <t>오송읍 상정리 79</t>
        </is>
      </c>
      <c r="B2071" s="3" t="inlineStr">
        <is>
          <t>생산관리지역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32000</v>
      </c>
      <c r="G2071" s="4" t="n">
        <v>2383</v>
      </c>
      <c r="H2071" s="4" t="n">
        <v>721</v>
      </c>
      <c r="I2071" s="5" t="n">
        <v>44.4</v>
      </c>
      <c r="J2071" s="5" t="n">
        <v>18</v>
      </c>
      <c r="K2071" s="3" t="inlineStr">
        <is>
          <t>여유를 만끽할 수 있는 토지,  인근전원주택지 개발된 오송화장품 산단 옆</t>
        </is>
      </c>
      <c r="L2071" s="6">
        <f>HYPERLINK("https://fin.land.naver.com/articles/2655547755", "매물Link")</f>
        <v/>
      </c>
      <c r="M2071" s="6">
        <f>HYPERLINK("https://map.naver.com/p/search/오송읍 상정리 79", "지도Link")</f>
        <v/>
      </c>
      <c r="N2071" s="6">
        <f>HYPERLINK("http://www.eum.go.kr/web/ar/lu/luLandDet.jsp?pnu=4311325022100790000&amp;isNoScr=script&amp;mode=search", "토지이음")</f>
        <v/>
      </c>
      <c r="O2071" s="3" t="inlineStr">
        <is>
          <t>OK파라곤</t>
        </is>
      </c>
      <c r="P2071" s="4" t="n">
        <v>1</v>
      </c>
      <c r="Q2071" s="4" t="n">
        <v>2383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완경사</t>
        </is>
      </c>
      <c r="U2071" s="3" t="inlineStr">
        <is>
          <t>부정형</t>
        </is>
      </c>
      <c r="V2071" s="3" t="inlineStr">
        <is>
          <t>세로한면(불)</t>
        </is>
      </c>
    </row>
    <row r="2072">
      <c r="A2072" s="3" t="inlineStr">
        <is>
          <t>오송읍 상정리 산55-3</t>
        </is>
      </c>
      <c r="B2072" s="3" t="inlineStr">
        <is>
          <t>보전관리지역</t>
        </is>
      </c>
      <c r="C2072" s="3" t="inlineStr">
        <is>
          <t>임야</t>
        </is>
      </c>
      <c r="D2072" s="3" t="inlineStr">
        <is>
          <t>임야</t>
        </is>
      </c>
      <c r="E2072" s="3" t="inlineStr">
        <is>
          <t>매매</t>
        </is>
      </c>
      <c r="F2072" s="4" t="n">
        <v>30000</v>
      </c>
      <c r="G2072" s="4" t="n">
        <v>555</v>
      </c>
      <c r="H2072" s="4" t="n">
        <v>168</v>
      </c>
      <c r="I2072" s="5" t="n">
        <v>178.6</v>
      </c>
      <c r="J2072" s="5" t="n">
        <v>78.3</v>
      </c>
      <c r="K2072" s="3" t="inlineStr">
        <is>
          <t>도심과 가까운 마당있는 전원주택 짓기 딱 좋은땅.추천매물</t>
        </is>
      </c>
      <c r="L2072" s="6">
        <f>HYPERLINK("https://fin.land.naver.com/articles/2653493810", "매물Link")</f>
        <v/>
      </c>
      <c r="M2072" s="6">
        <f>HYPERLINK("https://map.naver.com/p/search/오송읍 상정리 산55-3", "지도Link")</f>
        <v/>
      </c>
      <c r="N2072" s="6">
        <f>HYPERLINK("http://www.eum.go.kr/web/ar/lu/luLandDet.jsp?pnu=4311325022200550003&amp;isNoScr=script&amp;mode=search", "토지이음")</f>
        <v/>
      </c>
      <c r="O2072" s="3" t="inlineStr">
        <is>
          <t>오송2단지창조</t>
        </is>
      </c>
      <c r="P2072" s="4" t="n">
        <v>2</v>
      </c>
      <c r="Q2072" s="4" t="n">
        <v>555</v>
      </c>
      <c r="R2072" s="3" t="inlineStr">
        <is>
          <t>지정되지않음</t>
        </is>
      </c>
      <c r="S2072" s="3" t="inlineStr">
        <is>
          <t>주거나지</t>
        </is>
      </c>
      <c r="T2072" s="3" t="inlineStr">
        <is>
          <t>완경사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서평리 127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153000</v>
      </c>
      <c r="G2073" s="4" t="n">
        <v>4225</v>
      </c>
      <c r="H2073" s="4" t="n">
        <v>1278</v>
      </c>
      <c r="I2073" s="5" t="n">
        <v>119.7</v>
      </c>
      <c r="J2073" s="5" t="n">
        <v>59.4</v>
      </c>
      <c r="K2073" s="3" t="inlineStr">
        <is>
          <t>오송제3국가산업단지 개발예정지 도로에 접한 토지</t>
        </is>
      </c>
      <c r="L2073" s="6">
        <f>HYPERLINK("https://fin.land.naver.com/articles/2655169475", "매물Link")</f>
        <v/>
      </c>
      <c r="M2073" s="6">
        <f>HYPERLINK("https://map.naver.com/p/search/오송읍 서평리 127", "지도Link")</f>
        <v/>
      </c>
      <c r="N2073" s="6">
        <f>HYPERLINK("http://www.eum.go.kr/web/ar/lu/luLandDet.jsp?pnu=4311325030101270000&amp;isNoScr=script&amp;mode=search", "토지이음")</f>
        <v/>
      </c>
      <c r="O2073" s="3" t="inlineStr">
        <is>
          <t>세종대박</t>
        </is>
      </c>
      <c r="P2073" s="4" t="n">
        <v>1</v>
      </c>
      <c r="Q2073" s="4" t="n">
        <v>4225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소로각지</t>
        </is>
      </c>
    </row>
    <row r="2074">
      <c r="A2074" s="3" t="inlineStr">
        <is>
          <t>오송읍 서평리 128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144000</v>
      </c>
      <c r="G2074" s="4" t="n">
        <v>3967</v>
      </c>
      <c r="H2074" s="4" t="n">
        <v>1200</v>
      </c>
      <c r="I2074" s="5" t="n">
        <v>120</v>
      </c>
      <c r="J2074" s="5" t="n">
        <v>55.5</v>
      </c>
      <c r="K2074" s="3" t="inlineStr">
        <is>
          <t>오송제3국가산업단지 개발예정지 도로에 접한 토지</t>
        </is>
      </c>
      <c r="L2074" s="6">
        <f>HYPERLINK("https://fin.land.naver.com/articles/2655257930", "매물Link")</f>
        <v/>
      </c>
      <c r="M2074" s="6">
        <f>HYPERLINK("https://map.naver.com/p/search/오송읍 서평리 128", "지도Link")</f>
        <v/>
      </c>
      <c r="N2074" s="6">
        <f>HYPERLINK("http://www.eum.go.kr/web/ar/lu/luLandDet.jsp?pnu=4311325030101280000&amp;isNoScr=script&amp;mode=search", "토지이음")</f>
        <v/>
      </c>
      <c r="O2074" s="3" t="inlineStr">
        <is>
          <t>세종대박</t>
        </is>
      </c>
      <c r="P2074" s="4" t="n">
        <v>2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서평리 129</t>
        </is>
      </c>
      <c r="B2075" s="3" t="inlineStr">
        <is>
          <t>농림지역</t>
        </is>
      </c>
      <c r="C2075" s="3" t="inlineStr">
        <is>
          <t>답</t>
        </is>
      </c>
      <c r="D2075" s="3" t="inlineStr">
        <is>
          <t>답</t>
        </is>
      </c>
      <c r="E2075" s="3" t="inlineStr">
        <is>
          <t>매매</t>
        </is>
      </c>
      <c r="F2075" s="4" t="n">
        <v>170000</v>
      </c>
      <c r="G2075" s="4" t="n">
        <v>5088</v>
      </c>
      <c r="H2075" s="4" t="n">
        <v>1539</v>
      </c>
      <c r="I2075" s="5" t="n">
        <v>110.5</v>
      </c>
      <c r="J2075" s="5" t="n">
        <v>55.5</v>
      </c>
      <c r="K2075" s="3" t="inlineStr">
        <is>
          <t>오송 제3생명과학 국가산업단지 인근토지, 2차선도로에 접함,두필지,절충</t>
        </is>
      </c>
      <c r="L2075" s="6">
        <f>HYPERLINK("https://fin.land.naver.com/articles/2651207738", "매물Link")</f>
        <v/>
      </c>
      <c r="M2075" s="6">
        <f>HYPERLINK("https://map.naver.com/p/search/오송읍 서평리 129", "지도Link")</f>
        <v/>
      </c>
      <c r="N2075" s="6">
        <f>HYPERLINK("http://www.eum.go.kr/web/ar/lu/luLandDet.jsp?pnu=4311325030101290000&amp;isNoScr=script&amp;mode=search", "토지이음")</f>
        <v/>
      </c>
      <c r="O2075" s="3" t="inlineStr">
        <is>
          <t>금호무소</t>
        </is>
      </c>
      <c r="P2075" s="4" t="n">
        <v>1</v>
      </c>
      <c r="Q2075" s="4" t="n">
        <v>4116</v>
      </c>
      <c r="R2075" s="3" t="inlineStr">
        <is>
          <t>지정되지않음</t>
        </is>
      </c>
      <c r="S2075" s="3" t="inlineStr">
        <is>
          <t>답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서평리 129</t>
        </is>
      </c>
      <c r="B2076" s="3" t="inlineStr">
        <is>
          <t>농림지역</t>
        </is>
      </c>
      <c r="C2076" s="3" t="inlineStr">
        <is>
          <t>답</t>
        </is>
      </c>
      <c r="D2076" s="3" t="inlineStr">
        <is>
          <t>답</t>
        </is>
      </c>
      <c r="E2076" s="3" t="inlineStr">
        <is>
          <t>매매</t>
        </is>
      </c>
      <c r="F2076" s="4" t="n">
        <v>170000</v>
      </c>
      <c r="G2076" s="4" t="n">
        <v>5088</v>
      </c>
      <c r="H2076" s="4" t="n">
        <v>1539</v>
      </c>
      <c r="I2076" s="5" t="n">
        <v>110.5</v>
      </c>
      <c r="J2076" s="5" t="n">
        <v>55.5</v>
      </c>
      <c r="K2076" s="3" t="inlineStr">
        <is>
          <t>오송3산단 배후지 및 토지거래허가 해제로 지가 상승중인 유망 투자지역</t>
        </is>
      </c>
      <c r="L2076" s="6">
        <f>HYPERLINK("https://fin.land.naver.com/articles/2653326517", "매물Link")</f>
        <v/>
      </c>
      <c r="M2076" s="6">
        <f>HYPERLINK("https://map.naver.com/p/search/오송읍 서평리 129", "지도Link")</f>
        <v/>
      </c>
      <c r="N2076" s="6">
        <f>HYPERLINK("http://www.eum.go.kr/web/ar/lu/luLandDet.jsp?pnu=4311325030101290000&amp;isNoScr=script&amp;mode=search", "토지이음")</f>
        <v/>
      </c>
      <c r="O2076" s="3" t="inlineStr">
        <is>
          <t>청주모충사모1/2LH트릴로채명성</t>
        </is>
      </c>
      <c r="P2076" s="4" t="n">
        <v>1</v>
      </c>
      <c r="Q2076" s="4" t="n">
        <v>4116</v>
      </c>
      <c r="R2076" s="3" t="inlineStr">
        <is>
          <t>지정되지않음</t>
        </is>
      </c>
      <c r="S2076" s="3" t="inlineStr">
        <is>
          <t>답</t>
        </is>
      </c>
      <c r="T2076" s="3" t="inlineStr">
        <is>
          <t>평지</t>
        </is>
      </c>
      <c r="U2076" s="3" t="inlineStr">
        <is>
          <t>세로장방</t>
        </is>
      </c>
      <c r="V2076" s="3" t="inlineStr">
        <is>
          <t>소로한면</t>
        </is>
      </c>
    </row>
    <row r="2077">
      <c r="A2077" s="3" t="inlineStr">
        <is>
          <t>오송읍 서평리 131</t>
        </is>
      </c>
      <c r="B2077" s="3" t="inlineStr">
        <is>
          <t>농림지역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140000</v>
      </c>
      <c r="G2077" s="4" t="n">
        <v>4076</v>
      </c>
      <c r="H2077" s="4" t="n">
        <v>1233</v>
      </c>
      <c r="I2077" s="5" t="n">
        <v>113.5</v>
      </c>
      <c r="J2077" s="5" t="n">
        <v>55.5</v>
      </c>
      <c r="K2077" s="3" t="inlineStr">
        <is>
          <t>2차선 지방도변 농지로 오송3산업단지 인접지</t>
        </is>
      </c>
      <c r="L2077" s="6">
        <f>HYPERLINK("https://fin.land.naver.com/articles/2655312166", "매물Link")</f>
        <v/>
      </c>
      <c r="M2077" s="6">
        <f>HYPERLINK("https://map.naver.com/p/search/오송읍 서평리 131", "지도Link")</f>
        <v/>
      </c>
      <c r="N2077" s="6">
        <f>HYPERLINK("http://www.eum.go.kr/web/ar/lu/luLandDet.jsp?pnu=4311325030101310000&amp;isNoScr=script&amp;mode=search", "토지이음")</f>
        <v/>
      </c>
      <c r="O2077" s="3" t="inlineStr">
        <is>
          <t>오송k랜드</t>
        </is>
      </c>
      <c r="P2077" s="4" t="n">
        <v>1</v>
      </c>
      <c r="Q2077" s="4" t="n">
        <v>4076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소로한면</t>
        </is>
      </c>
    </row>
    <row r="2078">
      <c r="A2078" s="3" t="inlineStr">
        <is>
          <t>오송읍 서평리 180-6</t>
        </is>
      </c>
      <c r="B2078" s="3" t="inlineStr">
        <is>
          <t>농림지역</t>
        </is>
      </c>
      <c r="C2078" s="3" t="inlineStr">
        <is>
          <t>창고용지</t>
        </is>
      </c>
      <c r="D2078" s="3" t="inlineStr">
        <is>
          <t>답</t>
        </is>
      </c>
      <c r="E2078" s="3" t="inlineStr">
        <is>
          <t>매매</t>
        </is>
      </c>
      <c r="F2078" s="4" t="n">
        <v>360000</v>
      </c>
      <c r="G2078" s="4" t="n">
        <v>2866</v>
      </c>
      <c r="H2078" s="4" t="n">
        <v>867</v>
      </c>
      <c r="I2078" s="5" t="n">
        <v>415.2</v>
      </c>
      <c r="J2078" s="5" t="n">
        <v>128.3</v>
      </c>
      <c r="K2078" s="3" t="inlineStr">
        <is>
          <t>매물 특징</t>
        </is>
      </c>
      <c r="L2078" s="6">
        <f>HYPERLINK("https://fin.land.naver.com/articles/2653143304", "매물Link")</f>
        <v/>
      </c>
      <c r="M2078" s="6">
        <f>HYPERLINK("https://map.naver.com/p/search/오송읍 서평리 180-6", "지도Link")</f>
        <v/>
      </c>
      <c r="N2078" s="6">
        <f>HYPERLINK("http://www.eum.go.kr/web/ar/lu/luLandDet.jsp?pnu=4311325030101800006&amp;isNoScr=script&amp;mode=search", "토지이음")</f>
        <v/>
      </c>
      <c r="O2078" s="3" t="inlineStr">
        <is>
          <t>오송궁평마을</t>
        </is>
      </c>
      <c r="P2078" s="4" t="n">
        <v>1</v>
      </c>
      <c r="Q2078" s="4" t="n">
        <v>769</v>
      </c>
      <c r="R2078" s="3" t="inlineStr">
        <is>
          <t>지정되지않음</t>
        </is>
      </c>
      <c r="S2078" s="3" t="inlineStr">
        <is>
          <t>답창고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광대로한면</t>
        </is>
      </c>
    </row>
    <row r="2079">
      <c r="A2079" s="3" t="inlineStr">
        <is>
          <t>오송읍 서평리 180-6</t>
        </is>
      </c>
      <c r="B2079" s="3" t="inlineStr">
        <is>
          <t>농림지역</t>
        </is>
      </c>
      <c r="C2079" s="3" t="inlineStr">
        <is>
          <t>창고용지</t>
        </is>
      </c>
      <c r="D2079" s="3" t="inlineStr">
        <is>
          <t>창고용지</t>
        </is>
      </c>
      <c r="E2079" s="3" t="inlineStr">
        <is>
          <t>매매</t>
        </is>
      </c>
      <c r="F2079" s="4" t="n">
        <v>360000</v>
      </c>
      <c r="G2079" s="4" t="n">
        <v>2866</v>
      </c>
      <c r="H2079" s="4" t="n">
        <v>867</v>
      </c>
      <c r="I2079" s="5" t="n">
        <v>415.2</v>
      </c>
      <c r="J2079" s="5" t="n">
        <v>128.3</v>
      </c>
      <c r="K2079" s="3" t="inlineStr">
        <is>
          <t>오송제3산업단지 도로변 토지</t>
        </is>
      </c>
      <c r="L2079" s="6">
        <f>HYPERLINK("https://fin.land.naver.com/articles/2655257725", "매물Link")</f>
        <v/>
      </c>
      <c r="M2079" s="6">
        <f>HYPERLINK("https://map.naver.com/p/search/오송읍 서평리 180-6", "지도Link")</f>
        <v/>
      </c>
      <c r="N2079" s="6">
        <f>HYPERLINK("http://www.eum.go.kr/web/ar/lu/luLandDet.jsp?pnu=4311325030101800006&amp;isNoScr=script&amp;mode=search", "토지이음")</f>
        <v/>
      </c>
      <c r="O2079" s="3" t="inlineStr">
        <is>
          <t>세종대박</t>
        </is>
      </c>
      <c r="P2079" s="4" t="n">
        <v>2</v>
      </c>
      <c r="Q2079" s="4" t="n">
        <v>769</v>
      </c>
      <c r="R2079" s="3" t="inlineStr">
        <is>
          <t>지정되지않음</t>
        </is>
      </c>
      <c r="S2079" s="3" t="inlineStr">
        <is>
          <t>답창고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광대로한면</t>
        </is>
      </c>
    </row>
    <row r="2080">
      <c r="A2080" s="3" t="inlineStr">
        <is>
          <t>오송읍 서평리 183-2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115000</v>
      </c>
      <c r="G2080" s="4" t="n">
        <v>3977</v>
      </c>
      <c r="H2080" s="4" t="n">
        <v>1203</v>
      </c>
      <c r="I2080" s="5" t="n">
        <v>95.59999999999999</v>
      </c>
      <c r="J2080" s="5" t="n">
        <v>51.4</v>
      </c>
      <c r="K2080" s="3" t="inlineStr">
        <is>
          <t>3산단 인근물건중 단연  최고의 위치,가격, 투자 추천물건</t>
        </is>
      </c>
      <c r="L2080" s="6">
        <f>HYPERLINK("https://fin.land.naver.com/articles/2652104069", "매물Link")</f>
        <v/>
      </c>
      <c r="M2080" s="6">
        <f>HYPERLINK("https://map.naver.com/p/search/오송읍 서평리 183-2", "지도Link")</f>
        <v/>
      </c>
      <c r="N2080" s="6">
        <f>HYPERLINK("http://www.eum.go.kr/web/ar/lu/luLandDet.jsp?pnu=4311325030101830002&amp;isNoScr=script&amp;mode=search", "토지이음")</f>
        <v/>
      </c>
      <c r="O2080" s="3" t="inlineStr">
        <is>
          <t>오송k랜드</t>
        </is>
      </c>
      <c r="P2080" s="4" t="n">
        <v>1</v>
      </c>
      <c r="Q2080" s="4" t="n">
        <v>3977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서평리 196-3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86100</v>
      </c>
      <c r="G2081" s="4" t="n">
        <v>2033</v>
      </c>
      <c r="H2081" s="4" t="n">
        <v>615</v>
      </c>
      <c r="I2081" s="5" t="n">
        <v>140</v>
      </c>
      <c r="J2081" s="5" t="n">
        <v>54.7</v>
      </c>
      <c r="K2081" s="3" t="inlineStr">
        <is>
          <t>오송제3산업단지인근 도로접한 토지</t>
        </is>
      </c>
      <c r="L2081" s="6">
        <f>HYPERLINK("https://fin.land.naver.com/articles/2655086091", "매물Link")</f>
        <v/>
      </c>
      <c r="M2081" s="6">
        <f>HYPERLINK("https://map.naver.com/p/search/오송읍 서평리 196-3", "지도Link")</f>
        <v/>
      </c>
      <c r="N2081" s="6">
        <f>HYPERLINK("http://www.eum.go.kr/web/ar/lu/luLandDet.jsp?pnu=4311325030101960003&amp;isNoScr=script&amp;mode=search", "토지이음")</f>
        <v/>
      </c>
      <c r="O2081" s="3" t="inlineStr">
        <is>
          <t>세종대박</t>
        </is>
      </c>
      <c r="P2081" s="4" t="n">
        <v>2</v>
      </c>
      <c r="Q2081" s="4" t="n">
        <v>2033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서평리 210-1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44700</v>
      </c>
      <c r="G2082" s="4" t="n">
        <v>1477</v>
      </c>
      <c r="H2082" s="4" t="n">
        <v>447</v>
      </c>
      <c r="I2082" s="5" t="n">
        <v>100</v>
      </c>
      <c r="J2082" s="5" t="n">
        <v>54.7</v>
      </c>
      <c r="K2082" s="3" t="inlineStr">
        <is>
          <t>nan</t>
        </is>
      </c>
      <c r="L2082" s="6">
        <f>HYPERLINK("https://fin.land.naver.com/articles/2653731006", "매물Link")</f>
        <v/>
      </c>
      <c r="M2082" s="6">
        <f>HYPERLINK("https://map.naver.com/p/search/오송읍 서평리 210-1", "지도Link")</f>
        <v/>
      </c>
      <c r="N2082" s="6">
        <f>HYPERLINK("http://www.eum.go.kr/web/ar/lu/luLandDet.jsp?pnu=4311325030102100001&amp;isNoScr=script&amp;mode=search", "토지이음")</f>
        <v/>
      </c>
      <c r="O2082" s="3" t="inlineStr">
        <is>
          <t>세종큰길</t>
        </is>
      </c>
      <c r="P2082" s="4" t="n">
        <v>1</v>
      </c>
      <c r="Q2082" s="4" t="n">
        <v>1373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서평리 214-10</t>
        </is>
      </c>
      <c r="B2083" s="3" t="inlineStr">
        <is>
          <t>농림지역</t>
        </is>
      </c>
      <c r="C2083" s="3" t="inlineStr">
        <is>
          <t>과수원</t>
        </is>
      </c>
      <c r="D2083" s="3" t="inlineStr">
        <is>
          <t>과수원</t>
        </is>
      </c>
      <c r="E2083" s="3" t="inlineStr">
        <is>
          <t>매매</t>
        </is>
      </c>
      <c r="F2083" s="4" t="n">
        <v>198720</v>
      </c>
      <c r="G2083" s="4" t="n">
        <v>4564</v>
      </c>
      <c r="H2083" s="4" t="n">
        <v>1381</v>
      </c>
      <c r="I2083" s="5" t="n">
        <v>143.9</v>
      </c>
      <c r="J2083" s="5" t="n">
        <v>54.7</v>
      </c>
      <c r="K2083" s="3" t="inlineStr">
        <is>
          <t>오송3산단 배후지, 토지거래허가 해제로 대토용지로 지가상승 유망 투자지역</t>
        </is>
      </c>
      <c r="L2083" s="6">
        <f>HYPERLINK("https://fin.land.naver.com/articles/2650412996", "매물Link")</f>
        <v/>
      </c>
      <c r="M2083" s="6">
        <f>HYPERLINK("https://map.naver.com/p/search/오송읍 서평리 214-10", "지도Link")</f>
        <v/>
      </c>
      <c r="N2083" s="6">
        <f>HYPERLINK("http://www.eum.go.kr/web/ar/lu/luLandDet.jsp?pnu=4311325030102140010&amp;isNoScr=script&amp;mode=search", "토지이음")</f>
        <v/>
      </c>
      <c r="O2083" s="3" t="inlineStr">
        <is>
          <t>청주모충사모1/2LH트릴로채명성</t>
        </is>
      </c>
      <c r="P2083" s="4" t="n">
        <v>1</v>
      </c>
      <c r="Q2083" s="4" t="n">
        <v>4213</v>
      </c>
      <c r="R2083" s="3" t="inlineStr">
        <is>
          <t>지정되지않음</t>
        </is>
      </c>
      <c r="S2083" s="3" t="inlineStr">
        <is>
          <t>과수원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소로한면</t>
        </is>
      </c>
    </row>
    <row r="2084">
      <c r="A2084" s="3" t="inlineStr">
        <is>
          <t>오송읍 서평리 214-4</t>
        </is>
      </c>
      <c r="B2084" s="3" t="inlineStr">
        <is>
          <t>농림지역</t>
        </is>
      </c>
      <c r="C2084" s="3" t="inlineStr">
        <is>
          <t>전</t>
        </is>
      </c>
      <c r="D2084" s="3" t="inlineStr">
        <is>
          <t>과수원</t>
        </is>
      </c>
      <c r="E2084" s="3" t="inlineStr">
        <is>
          <t>매매</t>
        </is>
      </c>
      <c r="F2084" s="4" t="n">
        <v>122000</v>
      </c>
      <c r="G2084" s="4" t="n">
        <v>3080</v>
      </c>
      <c r="H2084" s="4" t="n">
        <v>932</v>
      </c>
      <c r="I2084" s="5" t="n">
        <v>130.9</v>
      </c>
      <c r="J2084" s="5" t="n">
        <v>54.7</v>
      </c>
      <c r="K2084" s="3" t="inlineStr">
        <is>
          <t>2차선 도로접한 토지</t>
        </is>
      </c>
      <c r="L2084" s="6">
        <f>HYPERLINK("https://fin.land.naver.com/articles/2650856660", "매물Link")</f>
        <v/>
      </c>
      <c r="M2084" s="6">
        <f>HYPERLINK("https://map.naver.com/p/search/오송읍 서평리 214-4", "지도Link")</f>
        <v/>
      </c>
      <c r="N2084" s="6">
        <f>HYPERLINK("http://www.eum.go.kr/web/ar/lu/luLandDet.jsp?pnu=4311325030102140004&amp;isNoScr=script&amp;mode=search", "토지이음")</f>
        <v/>
      </c>
      <c r="O2084" s="3" t="inlineStr">
        <is>
          <t>세종대박</t>
        </is>
      </c>
      <c r="P2084" s="4" t="n">
        <v>1</v>
      </c>
      <c r="Q2084" s="4" t="n">
        <v>3080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서평리 281-1</t>
        </is>
      </c>
      <c r="B2085" s="3" t="inlineStr">
        <is>
          <t>농림지역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105000</v>
      </c>
      <c r="G2085" s="4" t="n">
        <v>2827</v>
      </c>
      <c r="H2085" s="4" t="n">
        <v>855</v>
      </c>
      <c r="I2085" s="5" t="n">
        <v>122.8</v>
      </c>
      <c r="J2085" s="5" t="n">
        <v>29.5</v>
      </c>
      <c r="K2085" s="3" t="inlineStr">
        <is>
          <t>하우스시설이 완비된 토지,주변 토지와 일괄 매매</t>
        </is>
      </c>
      <c r="L2085" s="6">
        <f>HYPERLINK("https://fin.land.naver.com/articles/2653865751", "매물Link")</f>
        <v/>
      </c>
      <c r="M2085" s="6">
        <f>HYPERLINK("https://map.naver.com/p/search/오송읍 서평리 281-1", "지도Link")</f>
        <v/>
      </c>
      <c r="N2085" s="6">
        <f>HYPERLINK("http://www.eum.go.kr/web/ar/lu/luLandDet.jsp?pnu=4311325030102810001&amp;isNoScr=script&amp;mode=search", "토지이음")</f>
        <v/>
      </c>
      <c r="O2085" s="3" t="inlineStr">
        <is>
          <t>오송2단지창조</t>
        </is>
      </c>
      <c r="P2085" s="4" t="n">
        <v>1</v>
      </c>
      <c r="Q2085" s="4" t="n">
        <v>2827</v>
      </c>
      <c r="R2085" s="3" t="inlineStr">
        <is>
          <t>지정되지않음</t>
        </is>
      </c>
      <c r="S2085" s="3" t="inlineStr">
        <is>
          <t>답</t>
        </is>
      </c>
      <c r="T2085" s="3" t="inlineStr">
        <is>
          <t>평지</t>
        </is>
      </c>
      <c r="U2085" s="3" t="inlineStr">
        <is>
          <t>사다리형</t>
        </is>
      </c>
      <c r="V2085" s="3" t="inlineStr">
        <is>
          <t>세로한면(가)</t>
        </is>
      </c>
    </row>
    <row r="2086">
      <c r="A2086" s="3" t="inlineStr">
        <is>
          <t>오송읍 서평리 296-4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42000</v>
      </c>
      <c r="G2086" s="4" t="n">
        <v>2340</v>
      </c>
      <c r="H2086" s="4" t="n">
        <v>708</v>
      </c>
      <c r="I2086" s="5" t="n">
        <v>59.3</v>
      </c>
      <c r="J2086" s="5" t="n">
        <v>29.5</v>
      </c>
      <c r="K2086" s="3" t="inlineStr">
        <is>
          <t>오송3산업단지 공용수용지 인근가격대비 최적의 대토 투자용 토지임</t>
        </is>
      </c>
      <c r="L2086" s="6">
        <f>HYPERLINK("https://fin.land.naver.com/articles/2652103543", "매물Link")</f>
        <v/>
      </c>
      <c r="M2086" s="6">
        <f>HYPERLINK("https://map.naver.com/p/search/오송읍 서평리 296-4", "지도Link")</f>
        <v/>
      </c>
      <c r="N2086" s="6">
        <f>HYPERLINK("http://www.eum.go.kr/web/ar/lu/luLandDet.jsp?pnu=4311325030102960004&amp;isNoScr=script&amp;mode=search", "토지이음")</f>
        <v/>
      </c>
      <c r="O2086" s="3" t="inlineStr">
        <is>
          <t>오송k랜드</t>
        </is>
      </c>
      <c r="P2086" s="4" t="n">
        <v>1</v>
      </c>
      <c r="Q2086" s="4" t="n">
        <v>2340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세로한면(가)</t>
        </is>
      </c>
    </row>
    <row r="2087">
      <c r="A2087" s="3" t="inlineStr">
        <is>
          <t>오송읍 서평리 356</t>
        </is>
      </c>
      <c r="B2087" s="3" t="inlineStr">
        <is>
          <t>농림지역</t>
        </is>
      </c>
      <c r="C2087" s="3" t="inlineStr">
        <is>
          <t>창고용지</t>
        </is>
      </c>
      <c r="D2087" s="3" t="inlineStr">
        <is>
          <t>창고용지</t>
        </is>
      </c>
      <c r="E2087" s="3" t="inlineStr">
        <is>
          <t>매매</t>
        </is>
      </c>
      <c r="F2087" s="4" t="n">
        <v>120000</v>
      </c>
      <c r="G2087" s="4" t="n">
        <v>2423</v>
      </c>
      <c r="H2087" s="4" t="n">
        <v>733</v>
      </c>
      <c r="I2087" s="5" t="n">
        <v>163.7</v>
      </c>
      <c r="J2087" s="5" t="n">
        <v>49.6</v>
      </c>
      <c r="K2087" s="3" t="inlineStr">
        <is>
          <t>오송제3산업단지 인근 2차선도로에 접한 창고 및 과수원 급매합니다</t>
        </is>
      </c>
      <c r="L2087" s="6">
        <f>HYPERLINK("https://fin.land.naver.com/articles/2653607197", "매물Link")</f>
        <v/>
      </c>
      <c r="M2087" s="6">
        <f>HYPERLINK("https://map.naver.com/p/search/오송읍 서평리 356", "지도Link")</f>
        <v/>
      </c>
      <c r="N2087" s="6">
        <f>HYPERLINK("http://www.eum.go.kr/web/ar/lu/luLandDet.jsp?pnu=4311325030103560000&amp;isNoScr=script&amp;mode=search", "토지이음")</f>
        <v/>
      </c>
      <c r="O2087" s="3" t="inlineStr">
        <is>
          <t>스마일세종</t>
        </is>
      </c>
      <c r="P2087" s="4" t="n">
        <v>3</v>
      </c>
      <c r="Q2087" s="4" t="n">
        <v>900</v>
      </c>
      <c r="R2087" s="3" t="inlineStr">
        <is>
          <t>지정되지않음</t>
        </is>
      </c>
      <c r="S2087" s="3" t="inlineStr">
        <is>
          <t>답창고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소로한면</t>
        </is>
      </c>
    </row>
    <row r="2088">
      <c r="A2088" s="3" t="inlineStr">
        <is>
          <t>오송읍 서평리 356</t>
        </is>
      </c>
      <c r="B2088" s="3" t="inlineStr">
        <is>
          <t>농림지역</t>
        </is>
      </c>
      <c r="C2088" s="3" t="inlineStr">
        <is>
          <t>창고용지</t>
        </is>
      </c>
      <c r="D2088" s="3" t="inlineStr">
        <is>
          <t>답</t>
        </is>
      </c>
      <c r="E2088" s="3" t="inlineStr">
        <is>
          <t>매매</t>
        </is>
      </c>
      <c r="F2088" s="4" t="n">
        <v>110000</v>
      </c>
      <c r="G2088" s="4" t="n">
        <v>2423</v>
      </c>
      <c r="H2088" s="4" t="n">
        <v>733</v>
      </c>
      <c r="I2088" s="5" t="n">
        <v>150.1</v>
      </c>
      <c r="J2088" s="5" t="n">
        <v>49.6</v>
      </c>
      <c r="K2088" s="3" t="inlineStr">
        <is>
          <t>2차선도로접한3필지일괄매매,창고는 현재 임대중,그리고 복숭아밭으로이용중</t>
        </is>
      </c>
      <c r="L2088" s="6">
        <f>HYPERLINK("https://fin.land.naver.com/articles/2652138120", "매물Link")</f>
        <v/>
      </c>
      <c r="M2088" s="6">
        <f>HYPERLINK("https://map.naver.com/p/search/오송읍 서평리 356", "지도Link")</f>
        <v/>
      </c>
      <c r="N2088" s="6">
        <f>HYPERLINK("http://www.eum.go.kr/web/ar/lu/luLandDet.jsp?pnu=4311325030103560000&amp;isNoScr=script&amp;mode=search", "토지이음")</f>
        <v/>
      </c>
      <c r="O2088" s="3" t="inlineStr">
        <is>
          <t>담뜰</t>
        </is>
      </c>
      <c r="P2088" s="4" t="n">
        <v>1</v>
      </c>
      <c r="Q2088" s="4" t="n">
        <v>900</v>
      </c>
      <c r="R2088" s="3" t="inlineStr">
        <is>
          <t>지정되지않음</t>
        </is>
      </c>
      <c r="S2088" s="3" t="inlineStr">
        <is>
          <t>답창고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소로한면</t>
        </is>
      </c>
    </row>
    <row r="2089">
      <c r="A2089" s="3" t="inlineStr">
        <is>
          <t>오송읍 서평리 381-8</t>
        </is>
      </c>
      <c r="B2089" s="3" t="inlineStr">
        <is>
          <t>생산관리지역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124000</v>
      </c>
      <c r="G2089" s="4" t="n">
        <v>4100</v>
      </c>
      <c r="H2089" s="4" t="n">
        <v>1240</v>
      </c>
      <c r="I2089" s="5" t="n">
        <v>100</v>
      </c>
      <c r="J2089" s="5" t="n">
        <v>39.1</v>
      </c>
      <c r="K2089" s="3" t="inlineStr">
        <is>
          <t>nan</t>
        </is>
      </c>
      <c r="L2089" s="6">
        <f>HYPERLINK("https://fin.land.naver.com/articles/2651729251", "매물Link")</f>
        <v/>
      </c>
      <c r="M2089" s="6">
        <f>HYPERLINK("https://map.naver.com/p/search/오송읍 서평리 381-8", "지도Link")</f>
        <v/>
      </c>
      <c r="N2089" s="6">
        <f>HYPERLINK("http://www.eum.go.kr/web/ar/lu/luLandDet.jsp?pnu=4311325030103810008&amp;isNoScr=script&amp;mode=search", "토지이음")</f>
        <v/>
      </c>
      <c r="O2089" s="3" t="inlineStr">
        <is>
          <t>세종땅전문</t>
        </is>
      </c>
      <c r="P2089" s="4" t="n">
        <v>1</v>
      </c>
      <c r="Q2089" s="4" t="n">
        <v>4100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세로한면(불)</t>
        </is>
      </c>
    </row>
    <row r="2090">
      <c r="A2090" s="3" t="inlineStr">
        <is>
          <t>오송읍 서평리 56-9</t>
        </is>
      </c>
      <c r="B2090" s="3" t="inlineStr">
        <is>
          <t>계획관리지역</t>
        </is>
      </c>
      <c r="C2090" s="3" t="inlineStr">
        <is>
          <t>전</t>
        </is>
      </c>
      <c r="D2090" s="3" t="inlineStr">
        <is>
          <t>전</t>
        </is>
      </c>
      <c r="E2090" s="3" t="inlineStr">
        <is>
          <t>매매</t>
        </is>
      </c>
      <c r="F2090" s="4" t="n">
        <v>57400</v>
      </c>
      <c r="G2090" s="4" t="n">
        <v>542</v>
      </c>
      <c r="H2090" s="4" t="n">
        <v>164</v>
      </c>
      <c r="I2090" s="5" t="n">
        <v>350</v>
      </c>
      <c r="J2090" s="5" t="n">
        <v>195.9</v>
      </c>
      <c r="K2090" s="3" t="inlineStr">
        <is>
          <t>오송읍 서평리 주거개발진흥지구내 다가구 .상가.상가주택등 신축 추천</t>
        </is>
      </c>
      <c r="L2090" s="6">
        <f>HYPERLINK("https://fin.land.naver.com/articles/2655086997", "매물Link")</f>
        <v/>
      </c>
      <c r="M2090" s="6">
        <f>HYPERLINK("https://map.naver.com/p/search/오송읍 서평리 56-9", "지도Link")</f>
        <v/>
      </c>
      <c r="N2090" s="6">
        <f>HYPERLINK("http://www.eum.go.kr/web/ar/lu/luLandDet.jsp?pnu=4311325030100560009&amp;isNoScr=script&amp;mode=search", "토지이음")</f>
        <v/>
      </c>
      <c r="O2090" s="3" t="inlineStr">
        <is>
          <t>그린</t>
        </is>
      </c>
      <c r="P2090" s="4" t="n">
        <v>1</v>
      </c>
      <c r="Q2090" s="4" t="n">
        <v>542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부정형</t>
        </is>
      </c>
      <c r="V2090" s="3" t="inlineStr">
        <is>
          <t>중로한면</t>
        </is>
      </c>
    </row>
    <row r="2091">
      <c r="A2091" s="3" t="inlineStr">
        <is>
          <t>오송읍 서평리 664-97</t>
        </is>
      </c>
      <c r="B2091" s="3" t="inlineStr">
        <is>
          <t>농림지역</t>
        </is>
      </c>
      <c r="C2091" s="3" t="inlineStr">
        <is>
          <t>전</t>
        </is>
      </c>
      <c r="D2091" s="3" t="inlineStr">
        <is>
          <t>전</t>
        </is>
      </c>
      <c r="E2091" s="3" t="inlineStr">
        <is>
          <t>매매</t>
        </is>
      </c>
      <c r="F2091" s="4" t="n">
        <v>23000</v>
      </c>
      <c r="G2091" s="4" t="n">
        <v>591</v>
      </c>
      <c r="H2091" s="4" t="n">
        <v>179</v>
      </c>
      <c r="I2091" s="5" t="n">
        <v>128.5</v>
      </c>
      <c r="J2091" s="5" t="n">
        <v>38</v>
      </c>
      <c r="K2091" s="3" t="inlineStr">
        <is>
          <t>도로접한 토지</t>
        </is>
      </c>
      <c r="L2091" s="6">
        <f>HYPERLINK("https://fin.land.naver.com/articles/2650856659", "매물Link")</f>
        <v/>
      </c>
      <c r="M2091" s="6">
        <f>HYPERLINK("https://map.naver.com/p/search/오송읍 서평리 664-97", "지도Link")</f>
        <v/>
      </c>
      <c r="N2091" s="6">
        <f>HYPERLINK("http://www.eum.go.kr/web/ar/lu/luLandDet.jsp?pnu=4311325030106640097&amp;isNoScr=script&amp;mode=search", "토지이음")</f>
        <v/>
      </c>
      <c r="O2091" s="3" t="inlineStr">
        <is>
          <t>세종대박</t>
        </is>
      </c>
      <c r="P2091" s="4" t="n">
        <v>1</v>
      </c>
      <c r="Q2091" s="4" t="n">
        <v>591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서평리 80</t>
        </is>
      </c>
      <c r="B2092" s="3" t="inlineStr">
        <is>
          <t>농림지역</t>
        </is>
      </c>
      <c r="C2092" s="3" t="inlineStr">
        <is>
          <t>답</t>
        </is>
      </c>
      <c r="D2092" s="3" t="inlineStr">
        <is>
          <t>대</t>
        </is>
      </c>
      <c r="E2092" s="3" t="inlineStr">
        <is>
          <t>매매</t>
        </is>
      </c>
      <c r="F2092" s="4" t="n">
        <v>100000</v>
      </c>
      <c r="G2092" s="4" t="n">
        <v>4548</v>
      </c>
      <c r="H2092" s="4" t="n">
        <v>1376</v>
      </c>
      <c r="I2092" s="5" t="n">
        <v>72.7</v>
      </c>
      <c r="J2092" s="5" t="n">
        <v>36.9</v>
      </c>
      <c r="K2092" s="3" t="inlineStr">
        <is>
          <t>nan</t>
        </is>
      </c>
      <c r="L2092" s="6">
        <f>HYPERLINK("https://fin.land.naver.com/articles/2654025226", "매물Link")</f>
        <v/>
      </c>
      <c r="M2092" s="6">
        <f>HYPERLINK("https://map.naver.com/p/search/오송읍 서평리 80", "지도Link")</f>
        <v/>
      </c>
      <c r="N2092" s="6">
        <f>HYPERLINK("http://www.eum.go.kr/web/ar/lu/luLandDet.jsp?pnu=4311325030100800000&amp;isNoScr=script&amp;mode=search", "토지이음")</f>
        <v/>
      </c>
      <c r="O2092" s="3" t="inlineStr">
        <is>
          <t>오송랜드</t>
        </is>
      </c>
      <c r="P2092" s="4" t="n">
        <v>1</v>
      </c>
      <c r="Q2092" s="4" t="n">
        <v>3848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세로한면(가)</t>
        </is>
      </c>
    </row>
    <row r="2093">
      <c r="A2093" s="3" t="inlineStr">
        <is>
          <t>오송읍 서평리 88-1</t>
        </is>
      </c>
      <c r="B2093" s="3" t="inlineStr">
        <is>
          <t>농림지역</t>
        </is>
      </c>
      <c r="C2093" s="3" t="inlineStr">
        <is>
          <t>전</t>
        </is>
      </c>
      <c r="D2093" s="3" t="inlineStr">
        <is>
          <t>전</t>
        </is>
      </c>
      <c r="E2093" s="3" t="inlineStr">
        <is>
          <t>매매</t>
        </is>
      </c>
      <c r="F2093" s="4" t="n">
        <v>39000</v>
      </c>
      <c r="G2093" s="4" t="n">
        <v>1289</v>
      </c>
      <c r="H2093" s="4" t="n">
        <v>390</v>
      </c>
      <c r="I2093" s="5" t="n">
        <v>100</v>
      </c>
      <c r="J2093" s="5" t="n">
        <v>38.8</v>
      </c>
      <c r="K2093" s="3" t="inlineStr">
        <is>
          <t>농사짓기 좋은 우량 농지 매매</t>
        </is>
      </c>
      <c r="L2093" s="6">
        <f>HYPERLINK("https://fin.land.naver.com/articles/2655174151", "매물Link")</f>
        <v/>
      </c>
      <c r="M2093" s="6">
        <f>HYPERLINK("https://map.naver.com/p/search/오송읍 서평리 88-1", "지도Link")</f>
        <v/>
      </c>
      <c r="N2093" s="6">
        <f>HYPERLINK("http://www.eum.go.kr/web/ar/lu/luLandDet.jsp?pnu=4311325030100880001&amp;isNoScr=script&amp;mode=search", "토지이음")</f>
        <v/>
      </c>
      <c r="O2093" s="3" t="inlineStr">
        <is>
          <t>오송2단지창조</t>
        </is>
      </c>
      <c r="P2093" s="4" t="n">
        <v>1</v>
      </c>
      <c r="Q2093" s="4" t="n">
        <v>1289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세로각지(가)</t>
        </is>
      </c>
    </row>
    <row r="2094">
      <c r="A2094" s="3" t="inlineStr">
        <is>
          <t>오송읍 서평리 88-2</t>
        </is>
      </c>
      <c r="B2094" s="3" t="inlineStr">
        <is>
          <t>농림지역</t>
        </is>
      </c>
      <c r="C2094" s="3" t="inlineStr">
        <is>
          <t>전</t>
        </is>
      </c>
      <c r="D2094" s="3" t="inlineStr">
        <is>
          <t>전</t>
        </is>
      </c>
      <c r="E2094" s="3" t="inlineStr">
        <is>
          <t>매매</t>
        </is>
      </c>
      <c r="F2094" s="4" t="n">
        <v>80700</v>
      </c>
      <c r="G2094" s="4" t="n">
        <v>2668</v>
      </c>
      <c r="H2094" s="4" t="n">
        <v>807</v>
      </c>
      <c r="I2094" s="5" t="n">
        <v>100</v>
      </c>
      <c r="J2094" s="5" t="n">
        <v>37.3</v>
      </c>
      <c r="K2094" s="3" t="inlineStr">
        <is>
          <t>경지정리 완료 농기계 진입 편리, 바로 농사 가능한 우량 농지 매매</t>
        </is>
      </c>
      <c r="L2094" s="6">
        <f>HYPERLINK("https://fin.land.naver.com/articles/2655173861", "매물Link")</f>
        <v/>
      </c>
      <c r="M2094" s="6">
        <f>HYPERLINK("https://map.naver.com/p/search/오송읍 서평리 88-2", "지도Link")</f>
        <v/>
      </c>
      <c r="N2094" s="6">
        <f>HYPERLINK("http://www.eum.go.kr/web/ar/lu/luLandDet.jsp?pnu=4311325030100880002&amp;isNoScr=script&amp;mode=search", "토지이음")</f>
        <v/>
      </c>
      <c r="O2094" s="3" t="inlineStr">
        <is>
          <t>오송2단지창조</t>
        </is>
      </c>
      <c r="P2094" s="4" t="n">
        <v>1</v>
      </c>
      <c r="Q2094" s="4" t="n">
        <v>2668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세로한면(가)</t>
        </is>
      </c>
    </row>
    <row r="2095">
      <c r="A2095" s="3" t="inlineStr">
        <is>
          <t>오송읍 서평리 94-2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57300</v>
      </c>
      <c r="G2095" s="4" t="n">
        <v>1975</v>
      </c>
      <c r="H2095" s="4" t="n">
        <v>597</v>
      </c>
      <c r="I2095" s="5" t="n">
        <v>96</v>
      </c>
      <c r="J2095" s="5" t="n">
        <v>54.7</v>
      </c>
      <c r="K2095" s="3" t="inlineStr">
        <is>
          <t>오송제3산업단지(27.하반기 보상예정)인접하고 4차로 확장예정도로접함.</t>
        </is>
      </c>
      <c r="L2095" s="6">
        <f>HYPERLINK("https://fin.land.naver.com/articles/2650557460", "매물Link")</f>
        <v/>
      </c>
      <c r="M2095" s="6">
        <f>HYPERLINK("https://map.naver.com/p/search/오송읍 서평리 94-2", "지도Link")</f>
        <v/>
      </c>
      <c r="N2095" s="6">
        <f>HYPERLINK("http://www.eum.go.kr/web/ar/lu/luLandDet.jsp?pnu=4311325030100940002&amp;isNoScr=script&amp;mode=search", "토지이음")</f>
        <v/>
      </c>
      <c r="O2095" s="3" t="inlineStr">
        <is>
          <t>오송k랜드</t>
        </is>
      </c>
      <c r="P2095" s="4" t="n">
        <v>1</v>
      </c>
      <c r="Q2095" s="4" t="n">
        <v>1975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소로한면</t>
        </is>
      </c>
    </row>
    <row r="2096">
      <c r="A2096" s="3" t="inlineStr">
        <is>
          <t>오송읍 서평리 96-2</t>
        </is>
      </c>
      <c r="B2096" s="3" t="inlineStr">
        <is>
          <t>농림지역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106600</v>
      </c>
      <c r="G2096" s="4" t="n">
        <v>2710</v>
      </c>
      <c r="H2096" s="4" t="n">
        <v>820</v>
      </c>
      <c r="I2096" s="5" t="n">
        <v>130</v>
      </c>
      <c r="J2096" s="5" t="n">
        <v>54.7</v>
      </c>
      <c r="K2096" s="3" t="inlineStr">
        <is>
          <t>오송국가산업단지 보건의료국책기관 오송역세권 지역이 인근지역에 위치</t>
        </is>
      </c>
      <c r="L2096" s="6">
        <f>HYPERLINK("https://fin.land.naver.com/articles/2655690112", "매물Link")</f>
        <v/>
      </c>
      <c r="M2096" s="6">
        <f>HYPERLINK("https://map.naver.com/p/search/오송읍 서평리 96-2", "지도Link")</f>
        <v/>
      </c>
      <c r="N2096" s="6">
        <f>HYPERLINK("http://www.eum.go.kr/web/ar/lu/luLandDet.jsp?pnu=4311325030100960002&amp;isNoScr=script&amp;mode=search", "토지이음")</f>
        <v/>
      </c>
      <c r="O2096" s="3" t="inlineStr">
        <is>
          <t>오송랜드</t>
        </is>
      </c>
      <c r="P2096" s="4" t="n">
        <v>1</v>
      </c>
      <c r="Q2096" s="4" t="n">
        <v>5290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세로장방</t>
        </is>
      </c>
      <c r="V2096" s="3" t="inlineStr">
        <is>
          <t>소로한면</t>
        </is>
      </c>
    </row>
    <row r="2097">
      <c r="A2097" s="3" t="inlineStr">
        <is>
          <t>오송읍 쌍청리 107-1</t>
        </is>
      </c>
      <c r="B2097" s="3" t="inlineStr">
        <is>
          <t>계획관리지역</t>
        </is>
      </c>
      <c r="C2097" s="3" t="inlineStr">
        <is>
          <t>임야</t>
        </is>
      </c>
      <c r="D2097" s="3" t="inlineStr">
        <is>
          <t>임야</t>
        </is>
      </c>
      <c r="E2097" s="3" t="inlineStr">
        <is>
          <t>매매</t>
        </is>
      </c>
      <c r="F2097" s="4" t="n">
        <v>210000</v>
      </c>
      <c r="G2097" s="4" t="n">
        <v>7659</v>
      </c>
      <c r="H2097" s="4" t="n">
        <v>2317</v>
      </c>
      <c r="I2097" s="5" t="n">
        <v>90.59999999999999</v>
      </c>
      <c r="J2097" s="5" t="n">
        <v>23.8</v>
      </c>
      <c r="K2097" s="3" t="inlineStr">
        <is>
          <t>nan</t>
        </is>
      </c>
      <c r="L2097" s="6">
        <f>HYPERLINK("https://fin.land.naver.com/articles/2654622065", "매물Link")</f>
        <v/>
      </c>
      <c r="M2097" s="6">
        <f>HYPERLINK("https://map.naver.com/p/search/오송읍 쌍청리 107-1", "지도Link")</f>
        <v/>
      </c>
      <c r="N2097" s="6">
        <f>HYPERLINK("http://www.eum.go.kr/web/ar/lu/luLandDet.jsp?pnu=4311325024101070001&amp;isNoScr=script&amp;mode=search", "토지이음")</f>
        <v/>
      </c>
      <c r="O2097" s="3" t="inlineStr">
        <is>
          <t>프렌즈</t>
        </is>
      </c>
      <c r="P2097" s="4" t="n">
        <v>1</v>
      </c>
      <c r="Q2097" s="4" t="n">
        <v>4268</v>
      </c>
      <c r="R2097" s="3" t="inlineStr">
        <is>
          <t>지정되지않음</t>
        </is>
      </c>
      <c r="S2097" s="3" t="inlineStr">
        <is>
          <t>자연림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맹지</t>
        </is>
      </c>
    </row>
    <row r="2098">
      <c r="A2098" s="3" t="inlineStr">
        <is>
          <t>오송읍 쌍청리 108-1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공장용지</t>
        </is>
      </c>
      <c r="E2098" s="3" t="inlineStr">
        <is>
          <t>매매</t>
        </is>
      </c>
      <c r="F2098" s="4" t="n">
        <v>145000</v>
      </c>
      <c r="G2098" s="4" t="n">
        <v>2382</v>
      </c>
      <c r="H2098" s="4" t="n">
        <v>721</v>
      </c>
      <c r="I2098" s="5" t="n">
        <v>201.1</v>
      </c>
      <c r="J2098" s="5" t="n">
        <v>70.09999999999999</v>
      </c>
      <c r="K2098" s="3" t="inlineStr">
        <is>
          <t>nan</t>
        </is>
      </c>
      <c r="L2098" s="6">
        <f>HYPERLINK("https://fin.land.naver.com/articles/2653729537", "매물Link")</f>
        <v/>
      </c>
      <c r="M2098" s="6">
        <f>HYPERLINK("https://map.naver.com/p/search/오송읍 쌍청리 108-1", "지도Link")</f>
        <v/>
      </c>
      <c r="N2098" s="6">
        <f>HYPERLINK("http://www.eum.go.kr/web/ar/lu/luLandDet.jsp?pnu=4311325024101080001&amp;isNoScr=script&amp;mode=search", "토지이음")</f>
        <v/>
      </c>
      <c r="O2098" s="3" t="inlineStr">
        <is>
          <t>세종큰길</t>
        </is>
      </c>
      <c r="P2098" s="4" t="n">
        <v>1</v>
      </c>
      <c r="Q2098" s="4" t="n">
        <v>456</v>
      </c>
      <c r="R2098" s="3" t="inlineStr">
        <is>
          <t>지정되지않음</t>
        </is>
      </c>
      <c r="S2098" s="3" t="inlineStr">
        <is>
          <t>공업용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세로한면(가)</t>
        </is>
      </c>
    </row>
    <row r="2099">
      <c r="A2099" s="3" t="inlineStr">
        <is>
          <t>오송읍 쌍청리 108-31</t>
        </is>
      </c>
      <c r="B2099" s="3" t="inlineStr">
        <is>
          <t>계획관리지역</t>
        </is>
      </c>
      <c r="C2099" s="3" t="inlineStr">
        <is>
          <t>공장용지</t>
        </is>
      </c>
      <c r="D2099" s="3" t="inlineStr">
        <is>
          <t>공장용지</t>
        </is>
      </c>
      <c r="E2099" s="3" t="inlineStr">
        <is>
          <t>매매</t>
        </is>
      </c>
      <c r="F2099" s="4" t="n">
        <v>30800</v>
      </c>
      <c r="G2099" s="4" t="n">
        <v>566</v>
      </c>
      <c r="H2099" s="4" t="n">
        <v>171</v>
      </c>
      <c r="I2099" s="5" t="n">
        <v>180.1</v>
      </c>
      <c r="J2099" s="5" t="n">
        <v>61</v>
      </c>
      <c r="K2099" s="3" t="inlineStr">
        <is>
          <t>접근성 좋은 토지,활용하기 좋은 토지 입니다</t>
        </is>
      </c>
      <c r="L2099" s="6">
        <f>HYPERLINK("https://fin.land.naver.com/articles/2652264870", "매물Link")</f>
        <v/>
      </c>
      <c r="M2099" s="6">
        <f>HYPERLINK("https://map.naver.com/p/search/오송읍 쌍청리 108-31", "지도Link")</f>
        <v/>
      </c>
      <c r="N2099" s="6">
        <f>HYPERLINK("http://www.eum.go.kr/web/ar/lu/luLandDet.jsp?pnu=4311325024101080031&amp;isNoScr=script&amp;mode=search", "토지이음")</f>
        <v/>
      </c>
      <c r="O2099" s="3" t="inlineStr">
        <is>
          <t>오송2단지창조</t>
        </is>
      </c>
      <c r="P2099" s="4" t="n">
        <v>1</v>
      </c>
      <c r="Q2099" s="4" t="n">
        <v>566</v>
      </c>
      <c r="R2099" s="3" t="inlineStr">
        <is>
          <t>지정되지않음</t>
        </is>
      </c>
      <c r="S2099" s="3" t="inlineStr">
        <is>
          <t>공업나지</t>
        </is>
      </c>
      <c r="T2099" s="3" t="inlineStr">
        <is>
          <t>완경사</t>
        </is>
      </c>
      <c r="U2099" s="3" t="inlineStr">
        <is>
          <t>사다리형</t>
        </is>
      </c>
      <c r="V2099" s="3" t="inlineStr">
        <is>
          <t>세로한면(가)</t>
        </is>
      </c>
    </row>
    <row r="2100">
      <c r="A2100" s="3" t="inlineStr">
        <is>
          <t>오송읍 쌍청리 117-16</t>
        </is>
      </c>
      <c r="B2100" s="3" t="inlineStr">
        <is>
          <t>계획관리지역</t>
        </is>
      </c>
      <c r="C2100" s="3" t="inlineStr">
        <is>
          <t>임야</t>
        </is>
      </c>
      <c r="D2100" s="3" t="inlineStr">
        <is>
          <t>임야</t>
        </is>
      </c>
      <c r="E2100" s="3" t="inlineStr">
        <is>
          <t>매매</t>
        </is>
      </c>
      <c r="F2100" s="4" t="n">
        <v>100000</v>
      </c>
      <c r="G2100" s="4" t="n">
        <v>1701</v>
      </c>
      <c r="H2100" s="4" t="n">
        <v>515</v>
      </c>
      <c r="I2100" s="5" t="n">
        <v>194.2</v>
      </c>
      <c r="J2100" s="5" t="n">
        <v>59.3</v>
      </c>
      <c r="K2100" s="3" t="inlineStr">
        <is>
          <t>오송신도시의 계획관리지역으로 투자가치가 좋음</t>
        </is>
      </c>
      <c r="L2100" s="6">
        <f>HYPERLINK("https://fin.land.naver.com/articles/2653540623", "매물Link")</f>
        <v/>
      </c>
      <c r="M2100" s="6">
        <f>HYPERLINK("https://map.naver.com/p/search/오송읍 쌍청리 117-16", "지도Link")</f>
        <v/>
      </c>
      <c r="N2100" s="6">
        <f>HYPERLINK("http://www.eum.go.kr/web/ar/lu/luLandDet.jsp?pnu=4311325024101170016&amp;isNoScr=script&amp;mode=search", "토지이음")</f>
        <v/>
      </c>
      <c r="O2100" s="3" t="inlineStr">
        <is>
          <t>가람</t>
        </is>
      </c>
      <c r="P2100" s="4" t="n">
        <v>1</v>
      </c>
      <c r="Q2100" s="4" t="n">
        <v>1701</v>
      </c>
      <c r="R2100" s="3" t="inlineStr">
        <is>
          <t>지정되지않음</t>
        </is>
      </c>
      <c r="S2100" s="3" t="inlineStr">
        <is>
          <t>전기타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세로한면(가)</t>
        </is>
      </c>
    </row>
    <row r="2101">
      <c r="A2101" s="3" t="inlineStr">
        <is>
          <t>오송읍 쌍청리 124-3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23100</v>
      </c>
      <c r="G2101" s="4" t="n">
        <v>362</v>
      </c>
      <c r="H2101" s="4" t="n">
        <v>110</v>
      </c>
      <c r="I2101" s="5" t="n">
        <v>210</v>
      </c>
      <c r="J2101" s="5" t="n">
        <v>69</v>
      </c>
      <c r="K2101" s="3" t="inlineStr">
        <is>
          <t>오송 제1 생명과학단지 내주변 토지 매매</t>
        </is>
      </c>
      <c r="L2101" s="6">
        <f>HYPERLINK("https://fin.land.naver.com/articles/2654526681", "매물Link")</f>
        <v/>
      </c>
      <c r="M2101" s="6">
        <f>HYPERLINK("https://map.naver.com/p/search/오송읍 쌍청리 124-3", "지도Link")</f>
        <v/>
      </c>
      <c r="N2101" s="6">
        <f>HYPERLINK("http://www.eum.go.kr/web/ar/lu/luLandDet.jsp?pnu=4311325024101240003&amp;isNoScr=script&amp;mode=search", "토지이음")</f>
        <v/>
      </c>
      <c r="O2101" s="3" t="inlineStr">
        <is>
          <t>365</t>
        </is>
      </c>
      <c r="P2101" s="4" t="n">
        <v>1</v>
      </c>
      <c r="Q2101" s="4" t="n">
        <v>362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쌍청리 165-3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53000</v>
      </c>
      <c r="G2102" s="4" t="n">
        <v>751</v>
      </c>
      <c r="H2102" s="4" t="n">
        <v>227</v>
      </c>
      <c r="I2102" s="5" t="n">
        <v>233.5</v>
      </c>
      <c r="J2102" s="5" t="n">
        <v>48.6</v>
      </c>
      <c r="K2102" s="3" t="inlineStr">
        <is>
          <t>매매. 임대. 2가지 선택지 임대 임차인 원하면 근린생활시설 신축</t>
        </is>
      </c>
      <c r="L2102" s="6">
        <f>HYPERLINK("https://fin.land.naver.com/articles/2651280466", "매물Link")</f>
        <v/>
      </c>
      <c r="M2102" s="6">
        <f>HYPERLINK("https://map.naver.com/p/search/오송읍 쌍청리 165-3", "지도Link")</f>
        <v/>
      </c>
      <c r="N2102" s="6">
        <f>HYPERLINK("http://www.eum.go.kr/web/ar/lu/luLandDet.jsp?pnu=4311325024101650003&amp;isNoScr=script&amp;mode=search", "토지이음")</f>
        <v/>
      </c>
      <c r="O2102" s="3" t="inlineStr">
        <is>
          <t>오송퍼스트영웅</t>
        </is>
      </c>
      <c r="P2102" s="4" t="n">
        <v>1</v>
      </c>
      <c r="Q2102" s="4" t="n">
        <v>751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부정형</t>
        </is>
      </c>
      <c r="V2102" s="3" t="inlineStr">
        <is>
          <t>세로한면(가)</t>
        </is>
      </c>
    </row>
    <row r="2103">
      <c r="A2103" s="3" t="inlineStr">
        <is>
          <t>오송읍 쌍청리 29-1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53500</v>
      </c>
      <c r="G2103" s="4" t="n">
        <v>2266</v>
      </c>
      <c r="H2103" s="4" t="n">
        <v>685</v>
      </c>
      <c r="I2103" s="5" t="n">
        <v>78.09999999999999</v>
      </c>
      <c r="J2103" s="5" t="n">
        <v>31.9</v>
      </c>
      <c r="K2103" s="3" t="inlineStr">
        <is>
          <t>대한제지 인근 오송역 근거리 농림지역 토지 급매  도로접함  대토에 적합</t>
        </is>
      </c>
      <c r="L2103" s="6">
        <f>HYPERLINK("https://fin.land.naver.com/articles/2654653082", "매물Link")</f>
        <v/>
      </c>
      <c r="M2103" s="6">
        <f>HYPERLINK("https://map.naver.com/p/search/오송읍 쌍청리 29-1", "지도Link")</f>
        <v/>
      </c>
      <c r="N2103" s="6">
        <f>HYPERLINK("http://www.eum.go.kr/web/ar/lu/luLandDet.jsp?pnu=4311325024100290001&amp;isNoScr=script&amp;mode=search", "토지이음")</f>
        <v/>
      </c>
      <c r="O2103" s="3" t="inlineStr">
        <is>
          <t>오송퍼스트영웅</t>
        </is>
      </c>
      <c r="P2103" s="4" t="n">
        <v>1</v>
      </c>
      <c r="Q2103" s="4" t="n">
        <v>2266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쌍청리 317-7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118000</v>
      </c>
      <c r="G2104" s="4" t="n">
        <v>1297</v>
      </c>
      <c r="H2104" s="4" t="n">
        <v>392</v>
      </c>
      <c r="I2104" s="5" t="n">
        <v>301</v>
      </c>
      <c r="J2104" s="5" t="n">
        <v>111.3</v>
      </c>
      <c r="K2104" s="3" t="inlineStr">
        <is>
          <t>식약청인접한 2차선 지방도접 사옥부지 또는 근생 용지 추천물건</t>
        </is>
      </c>
      <c r="L2104" s="6">
        <f>HYPERLINK("https://fin.land.naver.com/articles/2654114599", "매물Link")</f>
        <v/>
      </c>
      <c r="M2104" s="6">
        <f>HYPERLINK("https://map.naver.com/p/search/오송읍 쌍청리 317-7", "지도Link")</f>
        <v/>
      </c>
      <c r="N2104" s="6">
        <f>HYPERLINK("http://www.eum.go.kr/web/ar/lu/luLandDet.jsp?pnu=4311325024103170007&amp;isNoScr=script&amp;mode=search", "토지이음")</f>
        <v/>
      </c>
      <c r="O2104" s="3" t="inlineStr">
        <is>
          <t>오송k랜드</t>
        </is>
      </c>
      <c r="P2104" s="4" t="n">
        <v>1</v>
      </c>
      <c r="Q2104" s="4" t="n">
        <v>441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가로장방</t>
        </is>
      </c>
      <c r="V2104" s="3" t="inlineStr">
        <is>
          <t>소로한면</t>
        </is>
      </c>
    </row>
    <row r="2105">
      <c r="A2105" s="3" t="inlineStr">
        <is>
          <t>오송읍 쌍청리 429-4</t>
        </is>
      </c>
      <c r="B2105" s="3" t="inlineStr">
        <is>
          <t>농림지역</t>
        </is>
      </c>
      <c r="C2105" s="3" t="inlineStr">
        <is>
          <t>과수원</t>
        </is>
      </c>
      <c r="D2105" s="3" t="inlineStr">
        <is>
          <t>과수원</t>
        </is>
      </c>
      <c r="E2105" s="3" t="inlineStr">
        <is>
          <t>매매</t>
        </is>
      </c>
      <c r="F2105" s="4" t="n">
        <v>73800</v>
      </c>
      <c r="G2105" s="4" t="n">
        <v>2440</v>
      </c>
      <c r="H2105" s="4" t="n">
        <v>738</v>
      </c>
      <c r="I2105" s="5" t="n">
        <v>100</v>
      </c>
      <c r="J2105" s="5" t="n">
        <v>35.7</v>
      </c>
      <c r="K2105" s="3" t="inlineStr">
        <is>
          <t>꿀배 꿀사과 전용 과수원 정사각으로 예쁜땅 오송의 최적의 투자 요충지</t>
        </is>
      </c>
      <c r="L2105" s="6">
        <f>HYPERLINK("https://fin.land.naver.com/articles/2651743273", "매물Link")</f>
        <v/>
      </c>
      <c r="M2105" s="6">
        <f>HYPERLINK("https://map.naver.com/p/search/오송읍 쌍청리 429-4", "지도Link")</f>
        <v/>
      </c>
      <c r="N2105" s="6">
        <f>HYPERLINK("http://www.eum.go.kr/web/ar/lu/luLandDet.jsp?pnu=4311325024104290004&amp;isNoScr=script&amp;mode=search",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2440</v>
      </c>
      <c r="R2105" s="3" t="inlineStr">
        <is>
          <t>지정되지않음</t>
        </is>
      </c>
      <c r="S2105" s="3" t="inlineStr">
        <is>
          <t>과수원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쌍청리 451-2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80000</v>
      </c>
      <c r="G2106" s="4" t="n">
        <v>3273</v>
      </c>
      <c r="H2106" s="4" t="n">
        <v>990</v>
      </c>
      <c r="I2106" s="5" t="n">
        <v>80.8</v>
      </c>
      <c r="J2106" s="5" t="n">
        <v>35.7</v>
      </c>
      <c r="K2106" s="3" t="inlineStr">
        <is>
          <t>투자가치있는 곳에 위치한 토지</t>
        </is>
      </c>
      <c r="L2106" s="6">
        <f>HYPERLINK("https://fin.land.naver.com/articles/2650865239", "매물Link")</f>
        <v/>
      </c>
      <c r="M2106" s="6">
        <f>HYPERLINK("https://map.naver.com/p/search/오송읍 쌍청리 451-2", "지도Link")</f>
        <v/>
      </c>
      <c r="N2106" s="6">
        <f>HYPERLINK("http://www.eum.go.kr/web/ar/lu/luLandDet.jsp?pnu=4311325024104510002&amp;isNoScr=script&amp;mode=search", "토지이음")</f>
        <v/>
      </c>
      <c r="O2106" s="3" t="inlineStr">
        <is>
          <t>굿모닝</t>
        </is>
      </c>
      <c r="P2106" s="4" t="n">
        <v>1</v>
      </c>
      <c r="Q2106" s="4" t="n">
        <v>3273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세로한면(가)</t>
        </is>
      </c>
    </row>
    <row r="2107">
      <c r="A2107" s="3" t="inlineStr">
        <is>
          <t>오송읍 쌍청리 454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121200</v>
      </c>
      <c r="G2107" s="4" t="n">
        <v>4000</v>
      </c>
      <c r="H2107" s="4" t="n">
        <v>1210</v>
      </c>
      <c r="I2107" s="5" t="n">
        <v>100.2</v>
      </c>
      <c r="J2107" s="5" t="n">
        <v>35.7</v>
      </c>
      <c r="K2107" s="3" t="inlineStr">
        <is>
          <t>오송읍 쌍청리에 있는 토지로 현재 답으로 이용중임</t>
        </is>
      </c>
      <c r="L2107" s="6">
        <f>HYPERLINK("https://fin.land.naver.com/articles/2652419853", "매물Link")</f>
        <v/>
      </c>
      <c r="M2107" s="6">
        <f>HYPERLINK("https://map.naver.com/p/search/오송읍 쌍청리 454", "지도Link")</f>
        <v/>
      </c>
      <c r="N2107" s="6">
        <f>HYPERLINK("http://www.eum.go.kr/web/ar/lu/luLandDet.jsp?pnu=4311325024104540000&amp;isNoScr=script&amp;mode=search", "토지이음")</f>
        <v/>
      </c>
      <c r="O2107" s="3" t="inlineStr">
        <is>
          <t>산성</t>
        </is>
      </c>
      <c r="P2107" s="4" t="n">
        <v>1</v>
      </c>
      <c r="Q2107" s="4" t="n">
        <v>4000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세로한면(가)</t>
        </is>
      </c>
    </row>
    <row r="2108">
      <c r="A2108" s="3" t="inlineStr">
        <is>
          <t>오송읍 쌍청리 463</t>
        </is>
      </c>
      <c r="B2108" s="3" t="inlineStr">
        <is>
          <t>농림지역</t>
        </is>
      </c>
      <c r="C2108" s="3" t="inlineStr">
        <is>
          <t>과수원</t>
        </is>
      </c>
      <c r="D2108" s="3" t="inlineStr">
        <is>
          <t>과수원</t>
        </is>
      </c>
      <c r="E2108" s="3" t="inlineStr">
        <is>
          <t>매매</t>
        </is>
      </c>
      <c r="F2108" s="4" t="n">
        <v>105000</v>
      </c>
      <c r="G2108" s="4" t="n">
        <v>4182</v>
      </c>
      <c r="H2108" s="4" t="n">
        <v>1265</v>
      </c>
      <c r="I2108" s="5" t="n">
        <v>83</v>
      </c>
      <c r="J2108" s="5" t="n">
        <v>35.7</v>
      </c>
      <c r="K2108" s="3" t="inlineStr">
        <is>
          <t>nan</t>
        </is>
      </c>
      <c r="L2108" s="6">
        <f>HYPERLINK("https://fin.land.naver.com/articles/2654653133", "매물Link")</f>
        <v/>
      </c>
      <c r="M2108" s="6">
        <f>HYPERLINK("https://map.naver.com/p/search/오송읍 쌍청리 463", "지도Link")</f>
        <v/>
      </c>
      <c r="N2108" s="6">
        <f>HYPERLINK("http://www.eum.go.kr/web/ar/lu/luLandDet.jsp?pnu=4311325024104630000&amp;isNoScr=script&amp;mode=search",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4182</v>
      </c>
      <c r="R2108" s="3" t="inlineStr">
        <is>
          <t>지정되지않음</t>
        </is>
      </c>
      <c r="S2108" s="3" t="inlineStr">
        <is>
          <t>과수원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세로한면(가)</t>
        </is>
      </c>
    </row>
    <row r="2109">
      <c r="A2109" s="3" t="inlineStr">
        <is>
          <t>오송읍 쌍청리 498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180000</v>
      </c>
      <c r="G2109" s="4" t="n">
        <v>2188</v>
      </c>
      <c r="H2109" s="4" t="n">
        <v>662</v>
      </c>
      <c r="I2109" s="5" t="n">
        <v>271.9</v>
      </c>
      <c r="J2109" s="5" t="n">
        <v>67.5</v>
      </c>
      <c r="K2109" s="3" t="inlineStr">
        <is>
          <t>오송과학단지 인접하고 2차선도로에 접한 용도 다양성 우위</t>
        </is>
      </c>
      <c r="L2109" s="6">
        <f>HYPERLINK("https://fin.land.naver.com/articles/2655312723", "매물Link")</f>
        <v/>
      </c>
      <c r="M2109" s="6">
        <f>HYPERLINK("https://map.naver.com/p/search/오송읍 쌍청리 498", "지도Link")</f>
        <v/>
      </c>
      <c r="N2109" s="6">
        <f>HYPERLINK("http://www.eum.go.kr/web/ar/lu/luLandDet.jsp?pnu=4311325024104980000&amp;isNoScr=script&amp;mode=search",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2099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자루형</t>
        </is>
      </c>
      <c r="V2109" s="3" t="inlineStr">
        <is>
          <t>세로한면(불)</t>
        </is>
      </c>
    </row>
    <row r="2110">
      <c r="A2110" s="3" t="inlineStr">
        <is>
          <t>오송읍 쌍청리 498</t>
        </is>
      </c>
      <c r="B2110" s="3" t="inlineStr">
        <is>
          <t>계획관리지역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172000</v>
      </c>
      <c r="G2110" s="4" t="n">
        <v>2188</v>
      </c>
      <c r="H2110" s="4" t="n">
        <v>662</v>
      </c>
      <c r="I2110" s="5" t="n">
        <v>259.8</v>
      </c>
      <c r="J2110" s="5" t="n">
        <v>67.5</v>
      </c>
      <c r="K2110" s="3" t="inlineStr">
        <is>
          <t>계획관리 성장관리 계획 구역 오송역 인근 오스크 컨벤션 오픈 중</t>
        </is>
      </c>
      <c r="L2110" s="6">
        <f>HYPERLINK("https://fin.land.naver.com/articles/2651280120", "매물Link")</f>
        <v/>
      </c>
      <c r="M2110" s="6">
        <f>HYPERLINK("https://map.naver.com/p/search/오송읍 쌍청리 498", "지도Link")</f>
        <v/>
      </c>
      <c r="N2110" s="6">
        <f>HYPERLINK("http://www.eum.go.kr/web/ar/lu/luLandDet.jsp?pnu=4311325024104980000&amp;isNoScr=script&amp;mode=search", "토지이음")</f>
        <v/>
      </c>
      <c r="O2110" s="3" t="inlineStr">
        <is>
          <t>오송퍼스트영웅</t>
        </is>
      </c>
      <c r="P2110" s="4" t="n">
        <v>1</v>
      </c>
      <c r="Q2110" s="4" t="n">
        <v>2099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자루형</t>
        </is>
      </c>
      <c r="V2110" s="3" t="inlineStr">
        <is>
          <t>세로한면(불)</t>
        </is>
      </c>
    </row>
    <row r="2111">
      <c r="A2111" s="3" t="inlineStr">
        <is>
          <t>오송읍 쌍청리 539-2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30000</v>
      </c>
      <c r="G2111" s="4" t="n">
        <v>4122</v>
      </c>
      <c r="H2111" s="4" t="n">
        <v>1247</v>
      </c>
      <c r="I2111" s="5" t="n">
        <v>24.1</v>
      </c>
      <c r="J2111" s="5" t="n">
        <v>18</v>
      </c>
      <c r="K2111" s="3" t="inlineStr">
        <is>
          <t>오송읍 쌍청리 농지 급매 농지원부 대토 투자 장기보유등 추천</t>
        </is>
      </c>
      <c r="L2111" s="6">
        <f>HYPERLINK("https://fin.land.naver.com/articles/2651258350", "매물Link")</f>
        <v/>
      </c>
      <c r="M2111" s="6">
        <f>HYPERLINK("https://map.naver.com/p/search/오송읍 쌍청리 539-2", "지도Link")</f>
        <v/>
      </c>
      <c r="N2111" s="6">
        <f>HYPERLINK("http://www.eum.go.kr/web/ar/lu/luLandDet.jsp?pnu=4311325024105390002&amp;isNoScr=script&amp;mode=search", "토지이음")</f>
        <v/>
      </c>
      <c r="O2111" s="3" t="inlineStr">
        <is>
          <t>그린</t>
        </is>
      </c>
      <c r="P2111" s="4" t="n">
        <v>1</v>
      </c>
      <c r="Q2111" s="4" t="n">
        <v>2208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가로장방</t>
        </is>
      </c>
      <c r="V2111" s="3" t="inlineStr">
        <is>
          <t>맹지</t>
        </is>
      </c>
    </row>
    <row r="2112">
      <c r="A2112" s="3" t="inlineStr">
        <is>
          <t>오송읍 쌍청리 8-1</t>
        </is>
      </c>
      <c r="B2112" s="3" t="inlineStr">
        <is>
          <t>생산관리지역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61000</v>
      </c>
      <c r="G2112" s="4" t="n">
        <v>1613</v>
      </c>
      <c r="H2112" s="4" t="n">
        <v>488</v>
      </c>
      <c r="I2112" s="5" t="n">
        <v>125</v>
      </c>
      <c r="J2112" s="5" t="n">
        <v>46.5</v>
      </c>
      <c r="K2112" s="3" t="inlineStr">
        <is>
          <t>2차선 도로접  분할매매 가능</t>
        </is>
      </c>
      <c r="L2112" s="6">
        <f>HYPERLINK("https://fin.land.naver.com/articles/2650758461", "매물Link")</f>
        <v/>
      </c>
      <c r="M2112" s="6">
        <f>HYPERLINK("https://map.naver.com/p/search/오송읍 쌍청리 8-1", "지도Link")</f>
        <v/>
      </c>
      <c r="N2112" s="6">
        <f>HYPERLINK("http://www.eum.go.kr/web/ar/lu/luLandDet.jsp?pnu=4311325024100080001&amp;isNoScr=script&amp;mode=search", "토지이음")</f>
        <v/>
      </c>
      <c r="O2112" s="3" t="inlineStr">
        <is>
          <t>김창수</t>
        </is>
      </c>
      <c r="P2112" s="4" t="n">
        <v>1</v>
      </c>
      <c r="Q2112" s="4" t="n">
        <v>1613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연제리 527-1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88000</v>
      </c>
      <c r="G2113" s="4" t="n">
        <v>1825</v>
      </c>
      <c r="H2113" s="4" t="n">
        <v>552</v>
      </c>
      <c r="I2113" s="5" t="n">
        <v>159.4</v>
      </c>
      <c r="J2113" s="5" t="n">
        <v>59.4</v>
      </c>
      <c r="K2113" s="3" t="inlineStr">
        <is>
          <t>지금 잡아야 할 핵심 입지 매물</t>
        </is>
      </c>
      <c r="L2113" s="6">
        <f>HYPERLINK("https://fin.land.naver.com/articles/2651283863", "매물Link")</f>
        <v/>
      </c>
      <c r="M2113" s="6">
        <f>HYPERLINK("https://map.naver.com/p/search/오송읍 연제리 527-1", "지도Link")</f>
        <v/>
      </c>
      <c r="N2113" s="6">
        <f>HYPERLINK("http://www.eum.go.kr/web/ar/lu/luLandDet.jsp?pnu=4311325026105270001&amp;isNoScr=script&amp;mode=search", "토지이음")</f>
        <v/>
      </c>
      <c r="O2113" s="3" t="inlineStr">
        <is>
          <t>오송퍼스트영웅</t>
        </is>
      </c>
      <c r="P2113" s="4" t="n">
        <v>1</v>
      </c>
      <c r="Q2113" s="4" t="n">
        <v>1825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연제리 540-20</t>
        </is>
      </c>
      <c r="B2114" s="3" t="inlineStr">
        <is>
          <t>계획관리지역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300000</v>
      </c>
      <c r="G2114" s="4" t="n">
        <v>1608</v>
      </c>
      <c r="H2114" s="4" t="n">
        <v>486</v>
      </c>
      <c r="I2114" s="5" t="n">
        <v>617.3</v>
      </c>
      <c r="J2114" s="5" t="n">
        <v>189.7</v>
      </c>
      <c r="K2114" s="3" t="inlineStr">
        <is>
          <t>오송 내 최고의 위치 호수공원 품은 토지로서 미래가치 높은 토지</t>
        </is>
      </c>
      <c r="L2114" s="6">
        <f>HYPERLINK("https://fin.land.naver.com/articles/2651576082", "매물Link")</f>
        <v/>
      </c>
      <c r="M2114" s="6">
        <f>HYPERLINK("https://map.naver.com/p/search/오송읍 연제리 540-20", "지도Link")</f>
        <v/>
      </c>
      <c r="N2114" s="6">
        <f>HYPERLINK("http://www.eum.go.kr/web/ar/lu/luLandDet.jsp?pnu=4311325026105400020&amp;isNoScr=script&amp;mode=search", "토지이음")</f>
        <v/>
      </c>
      <c r="O2114" s="3" t="inlineStr">
        <is>
          <t>여기로</t>
        </is>
      </c>
      <c r="P2114" s="4" t="n">
        <v>1</v>
      </c>
      <c r="Q2114" s="4" t="n">
        <v>1332</v>
      </c>
      <c r="R2114" s="3" t="inlineStr">
        <is>
          <t>지정되지않음</t>
        </is>
      </c>
      <c r="S2114" s="3" t="inlineStr">
        <is>
          <t>상업용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연제리 540-37</t>
        </is>
      </c>
      <c r="B2115" s="3" t="inlineStr">
        <is>
          <t>계획관리지역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70000</v>
      </c>
      <c r="G2115" s="4" t="n">
        <v>500</v>
      </c>
      <c r="H2115" s="4" t="n">
        <v>151</v>
      </c>
      <c r="I2115" s="5" t="n">
        <v>463.6</v>
      </c>
      <c r="J2115" s="5" t="n">
        <v>161.4</v>
      </c>
      <c r="K2115" s="3" t="inlineStr">
        <is>
          <t>호수공원 인접, 다용도 건축 가능,가격협의 가능</t>
        </is>
      </c>
      <c r="L2115" s="6">
        <f>HYPERLINK("https://fin.land.naver.com/articles/2651622199", "매물Link")</f>
        <v/>
      </c>
      <c r="M2115" s="6">
        <f>HYPERLINK("https://map.naver.com/p/search/오송읍 연제리 540-37", "지도Link")</f>
        <v/>
      </c>
      <c r="N2115" s="6">
        <f>HYPERLINK("http://www.eum.go.kr/web/ar/lu/luLandDet.jsp?pnu=4311325026105400037&amp;isNoScr=script&amp;mode=search", "토지이음")</f>
        <v/>
      </c>
      <c r="O2115" s="3" t="inlineStr">
        <is>
          <t>테크노힐데스한빛사무소</t>
        </is>
      </c>
      <c r="P2115" s="4" t="n">
        <v>1</v>
      </c>
      <c r="Q2115" s="4" t="n">
        <v>500</v>
      </c>
      <c r="R2115" s="3" t="inlineStr">
        <is>
          <t>지정되지않음</t>
        </is>
      </c>
      <c r="S2115" s="3" t="inlineStr">
        <is>
          <t>주상나지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연제리 664-2</t>
        </is>
      </c>
      <c r="B2116" s="3" t="inlineStr">
        <is>
          <t>준공업지역</t>
        </is>
      </c>
      <c r="C2116" s="3" t="inlineStr">
        <is>
          <t>대</t>
        </is>
      </c>
      <c r="D2116" s="3" t="inlineStr">
        <is>
          <t>대</t>
        </is>
      </c>
      <c r="E2116" s="3" t="inlineStr">
        <is>
          <t>매매</t>
        </is>
      </c>
      <c r="F2116" s="4" t="n">
        <v>2000000</v>
      </c>
      <c r="G2116" s="4" t="n">
        <v>9917</v>
      </c>
      <c r="H2116" s="4" t="n">
        <v>3000</v>
      </c>
      <c r="I2116" s="5" t="n">
        <v>666.7</v>
      </c>
      <c r="J2116" s="5" t="n">
        <v>199.2</v>
      </c>
      <c r="K2116" s="3" t="inlineStr">
        <is>
          <t>현재 가치는 물론 오송 개발과 산업 인프라 확장에 따른 미래가치까지 기대</t>
        </is>
      </c>
      <c r="L2116" s="6">
        <f>HYPERLINK("https://fin.land.naver.com/articles/2650115117", "매물Link")</f>
        <v/>
      </c>
      <c r="M2116" s="6">
        <f>HYPERLINK("https://map.naver.com/p/search/오송읍 연제리 664-2", "지도Link")</f>
        <v/>
      </c>
      <c r="N2116" s="6">
        <f>HYPERLINK("http://www.eum.go.kr/web/ar/lu/luLandDet.jsp?pnu=4311325026106640002&amp;isNoScr=script&amp;mode=search", "토지이음")</f>
        <v/>
      </c>
      <c r="O2116" s="3" t="inlineStr">
        <is>
          <t>대한</t>
        </is>
      </c>
      <c r="P2116" s="4" t="n">
        <v>1</v>
      </c>
      <c r="Q2116" s="4" t="n">
        <v>4958.7</v>
      </c>
      <c r="R2116" s="3" t="inlineStr">
        <is>
          <t>지정되지않음</t>
        </is>
      </c>
      <c r="S2116" s="3" t="inlineStr">
        <is>
          <t>상업용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중로한면</t>
        </is>
      </c>
    </row>
    <row r="2117">
      <c r="A2117" s="3" t="inlineStr">
        <is>
          <t>오송읍 연제리 668</t>
        </is>
      </c>
      <c r="B2117" s="3" t="inlineStr">
        <is>
          <t>일반상업지역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820000</v>
      </c>
      <c r="G2117" s="4" t="n">
        <v>1593</v>
      </c>
      <c r="H2117" s="4" t="n">
        <v>482</v>
      </c>
      <c r="I2117" s="5" t="n">
        <v>1701.2</v>
      </c>
      <c r="J2117" s="5" t="n">
        <v>619.8</v>
      </c>
      <c r="K2117" s="3" t="inlineStr">
        <is>
          <t>외1필지 호텔이나 오피스텔로 투자 적합</t>
        </is>
      </c>
      <c r="L2117" s="6">
        <f>HYPERLINK("https://fin.land.naver.com/articles/2650139636", "매물Link")</f>
        <v/>
      </c>
      <c r="M2117" s="6">
        <f>HYPERLINK("https://map.naver.com/p/search/오송읍 연제리 668", "지도Link")</f>
        <v/>
      </c>
      <c r="N2117" s="6">
        <f>HYPERLINK("http://www.eum.go.kr/web/ar/lu/luLandDet.jsp?pnu=4311325026106680000&amp;isNoScr=script&amp;mode=search", "토지이음")</f>
        <v/>
      </c>
      <c r="O2117" s="3" t="inlineStr">
        <is>
          <t>옥산하늘채 주식회사</t>
        </is>
      </c>
      <c r="P2117" s="4" t="n">
        <v>1</v>
      </c>
      <c r="Q2117" s="4" t="n">
        <v>803.1</v>
      </c>
      <c r="R2117" s="3" t="inlineStr">
        <is>
          <t>지정되지않음</t>
        </is>
      </c>
      <c r="S2117" s="3" t="inlineStr">
        <is>
          <t>상업나지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광대소각</t>
        </is>
      </c>
    </row>
    <row r="2118">
      <c r="A2118" s="3" t="inlineStr">
        <is>
          <t>오송읍 연제리 668</t>
        </is>
      </c>
      <c r="B2118" s="3" t="inlineStr">
        <is>
          <t>일반상업지역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820000</v>
      </c>
      <c r="G2118" s="4" t="n">
        <v>1593</v>
      </c>
      <c r="H2118" s="4" t="n">
        <v>482</v>
      </c>
      <c r="I2118" s="5" t="n">
        <v>1701.2</v>
      </c>
      <c r="J2118" s="5" t="n">
        <v>619.8</v>
      </c>
      <c r="K2118" s="3" t="inlineStr">
        <is>
          <t>nan</t>
        </is>
      </c>
      <c r="L2118" s="6">
        <f>HYPERLINK("https://fin.land.naver.com/articles/2651794517", "매물Link")</f>
        <v/>
      </c>
      <c r="M2118" s="6">
        <f>HYPERLINK("https://map.naver.com/p/search/오송읍 연제리 668", "지도Link")</f>
        <v/>
      </c>
      <c r="N2118" s="6">
        <f>HYPERLINK("http://www.eum.go.kr/web/ar/lu/luLandDet.jsp?pnu=4311325026106680000&amp;isNoScr=script&amp;mode=search", "토지이음")</f>
        <v/>
      </c>
      <c r="O2118" s="3" t="inlineStr">
        <is>
          <t>바른</t>
        </is>
      </c>
      <c r="P2118" s="4" t="n">
        <v>1</v>
      </c>
      <c r="Q2118" s="4" t="n">
        <v>803.1</v>
      </c>
      <c r="R2118" s="3" t="inlineStr">
        <is>
          <t>지정되지않음</t>
        </is>
      </c>
      <c r="S2118" s="3" t="inlineStr">
        <is>
          <t>상업나지</t>
        </is>
      </c>
      <c r="T2118" s="3" t="inlineStr">
        <is>
          <t>평지</t>
        </is>
      </c>
      <c r="U2118" s="3" t="inlineStr">
        <is>
          <t>가로장방</t>
        </is>
      </c>
      <c r="V2118" s="3" t="inlineStr">
        <is>
          <t>광대소각</t>
        </is>
      </c>
    </row>
    <row r="2119">
      <c r="A2119" s="3" t="inlineStr">
        <is>
          <t>오송읍 연제리 692</t>
        </is>
      </c>
      <c r="B2119" s="3" t="inlineStr">
        <is>
          <t>일반상업지역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135000</v>
      </c>
      <c r="G2119" s="4" t="n">
        <v>593</v>
      </c>
      <c r="H2119" s="4" t="n">
        <v>179</v>
      </c>
      <c r="I2119" s="5" t="n">
        <v>754.2</v>
      </c>
      <c r="J2119" s="5" t="n">
        <v>301.3</v>
      </c>
      <c r="K2119" s="3" t="inlineStr">
        <is>
          <t>nan</t>
        </is>
      </c>
      <c r="L2119" s="6">
        <f>HYPERLINK("https://fin.land.naver.com/articles/2654375790", "매물Link")</f>
        <v/>
      </c>
      <c r="M2119" s="6">
        <f>HYPERLINK("https://map.naver.com/p/search/오송읍 연제리 692", "지도Link")</f>
        <v/>
      </c>
      <c r="N2119" s="6">
        <f>HYPERLINK("http://www.eum.go.kr/web/ar/lu/luLandDet.jsp?pnu=4311325026106920000&amp;isNoScr=script&amp;mode=search", "토지이음")</f>
        <v/>
      </c>
      <c r="O2119" s="3" t="inlineStr">
        <is>
          <t>오송퍼스트영웅</t>
        </is>
      </c>
      <c r="P2119" s="4" t="n">
        <v>1</v>
      </c>
      <c r="Q2119" s="4" t="n">
        <v>593.3</v>
      </c>
      <c r="R2119" s="3" t="inlineStr">
        <is>
          <t>지정되지않음</t>
        </is>
      </c>
      <c r="S2119" s="3" t="inlineStr">
        <is>
          <t>상업나지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광대소각</t>
        </is>
      </c>
    </row>
    <row r="2120">
      <c r="A2120" s="3" t="inlineStr">
        <is>
          <t>오송읍 연제리 703</t>
        </is>
      </c>
      <c r="B2120" s="3" t="inlineStr">
        <is>
          <t>일반상업지역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270000</v>
      </c>
      <c r="G2120" s="4" t="n">
        <v>690</v>
      </c>
      <c r="H2120" s="4" t="n">
        <v>209</v>
      </c>
      <c r="I2120" s="5" t="n">
        <v>1291.9</v>
      </c>
      <c r="J2120" s="5" t="n">
        <v>809.3</v>
      </c>
      <c r="K2120" s="3" t="inlineStr">
        <is>
          <t>일반 상업지역, 상업 나지</t>
        </is>
      </c>
      <c r="L2120" s="6">
        <f>HYPERLINK("https://fin.land.naver.com/articles/2653363832", "매물Link")</f>
        <v/>
      </c>
      <c r="M2120" s="6">
        <f>HYPERLINK("https://map.naver.com/p/search/오송읍 연제리 703", "지도Link")</f>
        <v/>
      </c>
      <c r="N2120" s="6">
        <f>HYPERLINK("http://www.eum.go.kr/web/ar/lu/luLandDet.jsp?pnu=4311325026107030000&amp;isNoScr=script&amp;mode=search", "토지이음")</f>
        <v/>
      </c>
      <c r="O2120" s="3" t="inlineStr">
        <is>
          <t>딜  중개</t>
        </is>
      </c>
      <c r="P2120" s="4" t="n">
        <v>1</v>
      </c>
      <c r="Q2120" s="4" t="n">
        <v>690.3</v>
      </c>
      <c r="R2120" s="3" t="inlineStr">
        <is>
          <t>지정되지않음</t>
        </is>
      </c>
      <c r="S2120" s="3" t="inlineStr">
        <is>
          <t>상업나지</t>
        </is>
      </c>
      <c r="T2120" s="3" t="inlineStr">
        <is>
          <t>평지</t>
        </is>
      </c>
      <c r="U2120" s="3" t="inlineStr">
        <is>
          <t>세로장방</t>
        </is>
      </c>
      <c r="V2120" s="3" t="inlineStr">
        <is>
          <t>광대소각</t>
        </is>
      </c>
    </row>
    <row r="2121">
      <c r="A2121" s="3" t="inlineStr">
        <is>
          <t>오송읍 연제리 산24-15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140000</v>
      </c>
      <c r="G2121" s="4" t="n">
        <v>1076</v>
      </c>
      <c r="H2121" s="4" t="n">
        <v>325</v>
      </c>
      <c r="I2121" s="5" t="n">
        <v>430.8</v>
      </c>
      <c r="J2121" s="5" t="n">
        <v>16.8</v>
      </c>
      <c r="K2121" s="3" t="inlineStr">
        <is>
          <t>호수공원뷰,미래상승가치높은</t>
        </is>
      </c>
      <c r="L2121" s="6">
        <f>HYPERLINK("https://fin.land.naver.com/articles/2651124726", "매물Link")</f>
        <v/>
      </c>
      <c r="M2121" s="6">
        <f>HYPERLINK("https://map.naver.com/p/search/오송읍 연제리 산24-15", "지도Link")</f>
        <v/>
      </c>
      <c r="N2121" s="6">
        <f>HYPERLINK("http://www.eum.go.kr/web/ar/lu/luLandDet.jsp?pnu=4311325026200240015&amp;isNoScr=script&amp;mode=search", "토지이음")</f>
        <v/>
      </c>
      <c r="O2121" s="3" t="inlineStr">
        <is>
          <t>노블</t>
        </is>
      </c>
      <c r="P2121" s="4" t="n">
        <v>1</v>
      </c>
      <c r="Q2121" s="4" t="n">
        <v>1076</v>
      </c>
      <c r="R2121" s="3" t="inlineStr">
        <is>
          <t>지정되지않음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세로한면(불)</t>
        </is>
      </c>
    </row>
    <row r="2122">
      <c r="A2122" s="3" t="inlineStr">
        <is>
          <t>오송읍 오송리 146-29</t>
        </is>
      </c>
      <c r="B2122" s="3" t="inlineStr">
        <is>
          <t>계획관리지역</t>
        </is>
      </c>
      <c r="C2122" s="3" t="inlineStr">
        <is>
          <t>대</t>
        </is>
      </c>
      <c r="D2122" s="3" t="inlineStr">
        <is>
          <t>대</t>
        </is>
      </c>
      <c r="E2122" s="3" t="inlineStr">
        <is>
          <t>매매</t>
        </is>
      </c>
      <c r="F2122" s="4" t="n">
        <v>85000</v>
      </c>
      <c r="G2122" s="4" t="n">
        <v>372</v>
      </c>
      <c r="H2122" s="4" t="n">
        <v>113</v>
      </c>
      <c r="I2122" s="5" t="n">
        <v>752.2</v>
      </c>
      <c r="J2122" s="5" t="n">
        <v>166.3</v>
      </c>
      <c r="K2122" s="3" t="inlineStr">
        <is>
          <t>흥덕구 오송읍 오송역 부근에 위치한 대지로 향후 지가 상승 예상됨</t>
        </is>
      </c>
      <c r="L2122" s="6">
        <f>HYPERLINK("https://fin.land.naver.com/articles/2652419828", "매물Link")</f>
        <v/>
      </c>
      <c r="M2122" s="6">
        <f>HYPERLINK("https://map.naver.com/p/search/오송읍 오송리 146-29", "지도Link")</f>
        <v/>
      </c>
      <c r="N2122" s="6">
        <f>HYPERLINK("http://www.eum.go.kr/web/ar/lu/luLandDet.jsp?pnu=4311325028101460029&amp;isNoScr=script&amp;mode=search", "토지이음")</f>
        <v/>
      </c>
      <c r="O2122" s="3" t="inlineStr">
        <is>
          <t>산성</t>
        </is>
      </c>
      <c r="P2122" s="4" t="n">
        <v>1</v>
      </c>
      <c r="Q2122" s="4" t="n">
        <v>372</v>
      </c>
      <c r="R2122" s="3" t="inlineStr">
        <is>
          <t>지정되지않음</t>
        </is>
      </c>
      <c r="S2122" s="3" t="inlineStr">
        <is>
          <t>단독</t>
        </is>
      </c>
      <c r="T2122" s="3" t="inlineStr">
        <is>
          <t>평지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오송읍 오송리 206-3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96000</v>
      </c>
      <c r="G2123" s="4" t="n">
        <v>635</v>
      </c>
      <c r="H2123" s="4" t="n">
        <v>192</v>
      </c>
      <c r="I2123" s="5" t="n">
        <v>500</v>
      </c>
      <c r="J2123" s="5" t="n">
        <v>159.6</v>
      </c>
      <c r="K2123" s="3" t="inlineStr">
        <is>
          <t>힐스테이트 오송역퍼스트 앞 토지 매매</t>
        </is>
      </c>
      <c r="L2123" s="6">
        <f>HYPERLINK("https://fin.land.naver.com/articles/2654525718", "매물Link")</f>
        <v/>
      </c>
      <c r="M2123" s="6">
        <f>HYPERLINK("https://map.naver.com/p/search/오송읍 오송리 206-3", "지도Link")</f>
        <v/>
      </c>
      <c r="N2123" s="6">
        <f>HYPERLINK("http://www.eum.go.kr/web/ar/lu/luLandDet.jsp?pnu=4311325028102060003&amp;isNoScr=script&amp;mode=search", "토지이음")</f>
        <v/>
      </c>
      <c r="O2123" s="3" t="inlineStr">
        <is>
          <t>365</t>
        </is>
      </c>
      <c r="P2123" s="4" t="n">
        <v>1</v>
      </c>
      <c r="Q2123" s="4" t="n">
        <v>295</v>
      </c>
      <c r="R2123" s="3" t="inlineStr">
        <is>
          <t>지정되지않음</t>
        </is>
      </c>
      <c r="S2123" s="3" t="inlineStr">
        <is>
          <t>단독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세로각지(가)</t>
        </is>
      </c>
    </row>
    <row r="2124">
      <c r="A2124" s="3" t="inlineStr">
        <is>
          <t>오송읍 오송리 242-2</t>
        </is>
      </c>
      <c r="B2124" s="3" t="inlineStr">
        <is>
          <t>계획관리지역</t>
        </is>
      </c>
      <c r="C2124" s="3" t="inlineStr">
        <is>
          <t>주유소용지</t>
        </is>
      </c>
      <c r="D2124" s="3" t="inlineStr">
        <is>
          <t>주유소용지</t>
        </is>
      </c>
      <c r="E2124" s="3" t="inlineStr">
        <is>
          <t>매매</t>
        </is>
      </c>
      <c r="F2124" s="4" t="n">
        <v>245000</v>
      </c>
      <c r="G2124" s="4" t="n">
        <v>810</v>
      </c>
      <c r="H2124" s="4" t="n">
        <v>245</v>
      </c>
      <c r="I2124" s="5" t="n">
        <v>1000</v>
      </c>
      <c r="J2124" s="5" t="n">
        <v>313.2</v>
      </c>
      <c r="K2124" s="3" t="inlineStr">
        <is>
          <t>6차선변 주유소현 휴업중 매매</t>
        </is>
      </c>
      <c r="L2124" s="6">
        <f>HYPERLINK("https://fin.land.naver.com/articles/2654551158", "매물Link")</f>
        <v/>
      </c>
      <c r="M2124" s="6">
        <f>HYPERLINK("https://map.naver.com/p/search/오송읍 오송리 242-2", "지도Link")</f>
        <v/>
      </c>
      <c r="N2124" s="6">
        <f>HYPERLINK("http://www.eum.go.kr/web/ar/lu/luLandDet.jsp?pnu=4311325028102420002&amp;isNoScr=script&amp;mode=search", "토지이음")</f>
        <v/>
      </c>
      <c r="O2124" s="3" t="inlineStr">
        <is>
          <t>한국토지중개</t>
        </is>
      </c>
      <c r="P2124" s="4" t="n">
        <v>1</v>
      </c>
      <c r="Q2124" s="4" t="n">
        <v>810</v>
      </c>
      <c r="R2124" s="3" t="inlineStr">
        <is>
          <t>지정되지않음</t>
        </is>
      </c>
      <c r="S2124" s="3" t="inlineStr">
        <is>
          <t>주상용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광대로한면</t>
        </is>
      </c>
    </row>
    <row r="2125">
      <c r="A2125" s="3" t="inlineStr">
        <is>
          <t>오송읍 오송리 242-2</t>
        </is>
      </c>
      <c r="B2125" s="3" t="inlineStr">
        <is>
          <t>계획관리지역</t>
        </is>
      </c>
      <c r="C2125" s="3" t="inlineStr">
        <is>
          <t>주유소용지</t>
        </is>
      </c>
      <c r="D2125" s="3" t="inlineStr">
        <is>
          <t>주유소용지</t>
        </is>
      </c>
      <c r="E2125" s="3" t="inlineStr">
        <is>
          <t>매매</t>
        </is>
      </c>
      <c r="F2125" s="4" t="n">
        <v>250000</v>
      </c>
      <c r="G2125" s="4" t="n">
        <v>809</v>
      </c>
      <c r="H2125" s="4" t="n">
        <v>245</v>
      </c>
      <c r="I2125" s="5" t="n">
        <v>1020.4</v>
      </c>
      <c r="J2125" s="5" t="n">
        <v>313.2</v>
      </c>
      <c r="K2125" s="3" t="inlineStr">
        <is>
          <t>배후시장 탄탄한 6차선 대로변 토지</t>
        </is>
      </c>
      <c r="L2125" s="6">
        <f>HYPERLINK("https://fin.land.naver.com/articles/2651523803", "매물Link")</f>
        <v/>
      </c>
      <c r="M2125" s="6">
        <f>HYPERLINK("https://map.naver.com/p/search/오송읍 오송리 242-2", "지도Link")</f>
        <v/>
      </c>
      <c r="N2125" s="6">
        <f>HYPERLINK("http://www.eum.go.kr/web/ar/lu/luLandDet.jsp?pnu=4311325028102420002&amp;isNoScr=script&amp;mode=search", "토지이음")</f>
        <v/>
      </c>
      <c r="O2125" s="3" t="inlineStr">
        <is>
          <t>한국토지중개</t>
        </is>
      </c>
      <c r="P2125" s="4" t="n">
        <v>1</v>
      </c>
      <c r="Q2125" s="4" t="n">
        <v>810</v>
      </c>
      <c r="R2125" s="3" t="inlineStr">
        <is>
          <t>지정되지않음</t>
        </is>
      </c>
      <c r="S2125" s="3" t="inlineStr">
        <is>
          <t>주상용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광대로한면</t>
        </is>
      </c>
    </row>
    <row r="2126">
      <c r="A2126" s="3" t="inlineStr">
        <is>
          <t>오송읍 오송리 245-4</t>
        </is>
      </c>
      <c r="B2126" s="3" t="inlineStr">
        <is>
          <t>계획관리지역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120000</v>
      </c>
      <c r="G2126" s="4" t="n">
        <v>976</v>
      </c>
      <c r="H2126" s="4" t="n">
        <v>295</v>
      </c>
      <c r="I2126" s="5" t="n">
        <v>406.8</v>
      </c>
      <c r="J2126" s="5" t="n">
        <v>103.7</v>
      </c>
      <c r="K2126" s="3" t="inlineStr">
        <is>
          <t>오송3리 오송천주교회와 3산산단 경계부의 사업용 토지</t>
        </is>
      </c>
      <c r="L2126" s="6">
        <f>HYPERLINK("https://fin.land.naver.com/articles/2655313631", "매물Link")</f>
        <v/>
      </c>
      <c r="M2126" s="6">
        <f>HYPERLINK("https://map.naver.com/p/search/오송읍 오송리 245-4", "지도Link")</f>
        <v/>
      </c>
      <c r="N2126" s="6">
        <f>HYPERLINK("http://www.eum.go.kr/web/ar/lu/luLandDet.jsp?pnu=4311325028102450004&amp;isNoScr=script&amp;mode=search",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700</v>
      </c>
      <c r="R2126" s="3" t="inlineStr">
        <is>
          <t>지정되지않음</t>
        </is>
      </c>
      <c r="S2126" s="3" t="inlineStr">
        <is>
          <t>답기타</t>
        </is>
      </c>
      <c r="T2126" s="3" t="inlineStr">
        <is>
          <t>평지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오송읍 오송리 246-52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150000</v>
      </c>
      <c r="G2127" s="4" t="n">
        <v>911</v>
      </c>
      <c r="H2127" s="4" t="n">
        <v>276</v>
      </c>
      <c r="I2127" s="5" t="n">
        <v>543.5</v>
      </c>
      <c r="J2127" s="5" t="n">
        <v>163.6</v>
      </c>
      <c r="K2127" s="3" t="inlineStr">
        <is>
          <t>현재 나대지 3산단개발 호재로 투자가치 최고의땅</t>
        </is>
      </c>
      <c r="L2127" s="6">
        <f>HYPERLINK("https://fin.land.naver.com/articles/2651378175", "매물Link")</f>
        <v/>
      </c>
      <c r="M2127" s="6">
        <f>HYPERLINK("https://map.naver.com/p/search/오송읍 오송리 246-52", "지도Link")</f>
        <v/>
      </c>
      <c r="N2127" s="6">
        <f>HYPERLINK("http://www.eum.go.kr/web/ar/lu/luLandDet.jsp?pnu=4311325028102460052&amp;isNoScr=script&amp;mode=search", "토지이음")</f>
        <v/>
      </c>
      <c r="O2127" s="3" t="inlineStr">
        <is>
          <t>오송올래</t>
        </is>
      </c>
      <c r="P2127" s="4" t="n">
        <v>1</v>
      </c>
      <c r="Q2127" s="4" t="n">
        <v>667</v>
      </c>
      <c r="R2127" s="3" t="inlineStr">
        <is>
          <t>지정되지않음</t>
        </is>
      </c>
      <c r="S2127" s="3" t="inlineStr">
        <is>
          <t>공업용</t>
        </is>
      </c>
      <c r="T2127" s="3" t="inlineStr">
        <is>
          <t>평지</t>
        </is>
      </c>
      <c r="U2127" s="3" t="inlineStr">
        <is>
          <t>사다리형</t>
        </is>
      </c>
      <c r="V2127" s="3" t="inlineStr">
        <is>
          <t>세로한면(가)</t>
        </is>
      </c>
    </row>
    <row r="2128">
      <c r="A2128" s="3" t="inlineStr">
        <is>
          <t>오송읍 오송리 246-53</t>
        </is>
      </c>
      <c r="B2128" s="3" t="inlineStr">
        <is>
          <t>계획관리지역</t>
        </is>
      </c>
      <c r="C2128" s="3" t="inlineStr">
        <is>
          <t>전</t>
        </is>
      </c>
      <c r="D2128" s="3" t="inlineStr">
        <is>
          <t>전</t>
        </is>
      </c>
      <c r="E2128" s="3" t="inlineStr">
        <is>
          <t>매매</t>
        </is>
      </c>
      <c r="F2128" s="4" t="n">
        <v>330000</v>
      </c>
      <c r="G2128" s="4" t="n">
        <v>2011</v>
      </c>
      <c r="H2128" s="4" t="n">
        <v>608</v>
      </c>
      <c r="I2128" s="5" t="n">
        <v>542.8</v>
      </c>
      <c r="J2128" s="5" t="n">
        <v>110.3</v>
      </c>
      <c r="K2128" s="3" t="inlineStr">
        <is>
          <t>오송농협 36국도인접 계획관리지역,  실사업용 추천물건
오송제3산단 경</t>
        </is>
      </c>
      <c r="L2128" s="6">
        <f>HYPERLINK("https://fin.land.naver.com/articles/2655314466", "매물Link")</f>
        <v/>
      </c>
      <c r="M2128" s="6">
        <f>HYPERLINK("https://map.naver.com/p/search/오송읍 오송리 246-53", "지도Link")</f>
        <v/>
      </c>
      <c r="N2128" s="6">
        <f>HYPERLINK("http://www.eum.go.kr/web/ar/lu/luLandDet.jsp?pnu=4311325028102460053&amp;isNoScr=script&amp;mode=search", "토지이음")</f>
        <v/>
      </c>
      <c r="O2128" s="3" t="inlineStr">
        <is>
          <t>오송k랜드</t>
        </is>
      </c>
      <c r="P2128" s="4" t="n">
        <v>1</v>
      </c>
      <c r="Q2128" s="4" t="n">
        <v>2011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오송읍 오송리 60-104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70000</v>
      </c>
      <c r="G2129" s="4" t="n">
        <v>286</v>
      </c>
      <c r="H2129" s="4" t="n">
        <v>87</v>
      </c>
      <c r="I2129" s="5" t="n">
        <v>804.6</v>
      </c>
      <c r="J2129" s="5" t="n">
        <v>234</v>
      </c>
      <c r="K2129" s="3" t="inlineStr">
        <is>
          <t>힐스테이트 맞은편 대 매매</t>
        </is>
      </c>
      <c r="L2129" s="6">
        <f>HYPERLINK("https://fin.land.naver.com/articles/2655277664", "매물Link")</f>
        <v/>
      </c>
      <c r="M2129" s="6">
        <f>HYPERLINK("https://map.naver.com/p/search/오송읍 오송리 60-104", "지도Link")</f>
        <v/>
      </c>
      <c r="N2129" s="6">
        <f>HYPERLINK("http://www.eum.go.kr/web/ar/lu/luLandDet.jsp?pnu=4311325028100600104&amp;isNoScr=script&amp;mode=search", "토지이음")</f>
        <v/>
      </c>
      <c r="O2129" s="3" t="inlineStr">
        <is>
          <t>광장</t>
        </is>
      </c>
      <c r="P2129" s="4" t="n">
        <v>1</v>
      </c>
      <c r="Q2129" s="4" t="n">
        <v>286</v>
      </c>
      <c r="R2129" s="3" t="inlineStr">
        <is>
          <t>지정되지않음</t>
        </is>
      </c>
      <c r="S2129" s="3" t="inlineStr">
        <is>
          <t>단독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오송읍 정중리 206-5</t>
        </is>
      </c>
      <c r="B2130" s="3" t="inlineStr">
        <is>
          <t>계획관리지역</t>
        </is>
      </c>
      <c r="C2130" s="3" t="inlineStr">
        <is>
          <t>전</t>
        </is>
      </c>
      <c r="D2130" s="3" t="inlineStr">
        <is>
          <t>전</t>
        </is>
      </c>
      <c r="E2130" s="3" t="inlineStr">
        <is>
          <t>매매</t>
        </is>
      </c>
      <c r="F2130" s="4" t="n">
        <v>15000</v>
      </c>
      <c r="G2130" s="4" t="n">
        <v>278</v>
      </c>
      <c r="H2130" s="4" t="n">
        <v>84</v>
      </c>
      <c r="I2130" s="5" t="n">
        <v>178.6</v>
      </c>
      <c r="J2130" s="5" t="n">
        <v>62.7</v>
      </c>
      <c r="K2130" s="3" t="inlineStr">
        <is>
          <t>강추 매물 계획관리지역, 땅 소액투자, 미래가치성 좋음</t>
        </is>
      </c>
      <c r="L2130" s="6">
        <f>HYPERLINK("https://fin.land.naver.com/articles/2650556418", "매물Link")</f>
        <v/>
      </c>
      <c r="M2130" s="6">
        <f>HYPERLINK("https://map.naver.com/p/search/오송읍 정중리 206-5", "지도Link")</f>
        <v/>
      </c>
      <c r="N2130" s="6">
        <f>HYPERLINK("http://www.eum.go.kr/web/ar/lu/luLandDet.jsp?pnu=4311325032102060005&amp;isNoScr=script&amp;mode=search", "토지이음")</f>
        <v/>
      </c>
      <c r="O2130" s="3" t="inlineStr">
        <is>
          <t>현담</t>
        </is>
      </c>
      <c r="P2130" s="4" t="n">
        <v>1</v>
      </c>
      <c r="Q2130" s="4" t="n">
        <v>278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정중리 317-1</t>
        </is>
      </c>
      <c r="B2131" s="3" t="inlineStr">
        <is>
          <t>농림지역</t>
        </is>
      </c>
      <c r="C2131" s="3" t="inlineStr">
        <is>
          <t>잡종지</t>
        </is>
      </c>
      <c r="D2131" s="3" t="inlineStr">
        <is>
          <t>잡종지</t>
        </is>
      </c>
      <c r="E2131" s="3" t="inlineStr">
        <is>
          <t>매매</t>
        </is>
      </c>
      <c r="F2131" s="4" t="n">
        <v>180000</v>
      </c>
      <c r="G2131" s="4" t="n">
        <v>11497</v>
      </c>
      <c r="H2131" s="4" t="n">
        <v>3478</v>
      </c>
      <c r="I2131" s="5" t="n">
        <v>51.8</v>
      </c>
      <c r="J2131" s="5" t="n">
        <v>25.2</v>
      </c>
      <c r="K2131" s="3" t="inlineStr">
        <is>
          <t>오송KTX역 및 오송바이오2산단 인근  2차선 도로접한 창고 및 토지</t>
        </is>
      </c>
      <c r="L2131" s="6">
        <f>HYPERLINK("https://fin.land.naver.com/articles/2652679648", "매물Link")</f>
        <v/>
      </c>
      <c r="M2131" s="6">
        <f>HYPERLINK("https://map.naver.com/p/search/오송읍 정중리 317-1", "지도Link")</f>
        <v/>
      </c>
      <c r="N2131" s="6">
        <f>HYPERLINK("http://www.eum.go.kr/web/ar/lu/luLandDet.jsp?pnu=4311325032103170001&amp;isNoScr=script&amp;mode=search", "토지이음")</f>
        <v/>
      </c>
      <c r="O2131" s="3" t="inlineStr">
        <is>
          <t>번영</t>
        </is>
      </c>
      <c r="P2131" s="4" t="n">
        <v>1</v>
      </c>
      <c r="Q2131" s="4" t="n">
        <v>237</v>
      </c>
      <c r="R2131" s="3" t="inlineStr">
        <is>
          <t>지정되지않음</t>
        </is>
      </c>
      <c r="S2131" s="3" t="inlineStr">
        <is>
          <t>답창고</t>
        </is>
      </c>
      <c r="T2131" s="3" t="inlineStr">
        <is>
          <t>평지</t>
        </is>
      </c>
      <c r="U2131" s="3" t="inlineStr">
        <is>
          <t>부정형</t>
        </is>
      </c>
      <c r="V2131" s="3" t="inlineStr">
        <is>
          <t>세로한면(가)</t>
        </is>
      </c>
    </row>
    <row r="2132">
      <c r="A2132" s="3" t="inlineStr">
        <is>
          <t>오송읍 정중리 569-1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25000</v>
      </c>
      <c r="G2132" s="4" t="n">
        <v>171</v>
      </c>
      <c r="H2132" s="4" t="n">
        <v>52</v>
      </c>
      <c r="I2132" s="5" t="n">
        <v>480.8</v>
      </c>
      <c r="J2132" s="5" t="n">
        <v>138.1</v>
      </c>
      <c r="K2132" s="3" t="inlineStr">
        <is>
          <t>구옥있는 2필지 함께 매도예정입니다.</t>
        </is>
      </c>
      <c r="L2132" s="6">
        <f>HYPERLINK("https://fin.land.naver.com/articles/2653268033", "매물Link")</f>
        <v/>
      </c>
      <c r="M2132" s="6">
        <f>HYPERLINK("https://map.naver.com/p/search/오송읍 정중리 569-1", "지도Link")</f>
        <v/>
      </c>
      <c r="N2132" s="6">
        <f>HYPERLINK("http://www.eum.go.kr/web/ar/lu/luLandDet.jsp?pnu=4311325032105690001&amp;isNoScr=script&amp;mode=search", "토지이음")</f>
        <v/>
      </c>
      <c r="O2132" s="3" t="inlineStr">
        <is>
          <t>프로</t>
        </is>
      </c>
      <c r="P2132" s="4" t="n">
        <v>1</v>
      </c>
      <c r="Q2132" s="4" t="n">
        <v>142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정중리 634</t>
        </is>
      </c>
      <c r="B2133" s="3" t="inlineStr">
        <is>
          <t>일반공업지역</t>
        </is>
      </c>
      <c r="C2133" s="3" t="inlineStr">
        <is>
          <t>공장용지</t>
        </is>
      </c>
      <c r="D2133" s="3" t="inlineStr">
        <is>
          <t>공장용지</t>
        </is>
      </c>
      <c r="E2133" s="3" t="inlineStr">
        <is>
          <t>매매</t>
        </is>
      </c>
      <c r="F2133" s="4" t="n">
        <v>1416100</v>
      </c>
      <c r="G2133" s="4" t="n">
        <v>27537</v>
      </c>
      <c r="H2133" s="4" t="n">
        <v>8330</v>
      </c>
      <c r="I2133" s="5" t="n">
        <v>170</v>
      </c>
      <c r="J2133" s="5" t="n">
        <v>74.40000000000001</v>
      </c>
      <c r="K2133" s="3" t="inlineStr">
        <is>
          <t>nan</t>
        </is>
      </c>
      <c r="L2133" s="6">
        <f>HYPERLINK("https://fin.land.naver.com/articles/2653126420", "매물Link")</f>
        <v/>
      </c>
      <c r="M2133" s="6">
        <f>HYPERLINK("https://map.naver.com/p/search/오송읍 정중리 634", "지도Link")</f>
        <v/>
      </c>
      <c r="N2133" s="6">
        <f>HYPERLINK("http://www.eum.go.kr/web/ar/lu/luLandDet.jsp?pnu=4311325032106340000&amp;isNoScr=script&amp;mode=search", "토지이음")</f>
        <v/>
      </c>
      <c r="O2133" s="3" t="inlineStr">
        <is>
          <t>스마트랜드</t>
        </is>
      </c>
      <c r="P2133" s="4" t="n">
        <v>1</v>
      </c>
      <c r="Q2133" s="4" t="n">
        <v>27537.3</v>
      </c>
      <c r="R2133" s="3" t="inlineStr">
        <is>
          <t>지정되지않음</t>
        </is>
      </c>
      <c r="S2133" s="3" t="inlineStr">
        <is>
          <t>공업기타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광대소각</t>
        </is>
      </c>
    </row>
    <row r="2134">
      <c r="A2134" s="3" t="inlineStr">
        <is>
          <t>오송읍 정중리 698</t>
        </is>
      </c>
      <c r="B2134" s="3" t="inlineStr">
        <is>
          <t>준공업지역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220000</v>
      </c>
      <c r="G2134" s="4" t="n">
        <v>660</v>
      </c>
      <c r="H2134" s="4" t="n">
        <v>200</v>
      </c>
      <c r="I2134" s="5" t="n">
        <v>1100</v>
      </c>
      <c r="J2134" s="5" t="n">
        <v>361</v>
      </c>
      <c r="K2134" s="3" t="inlineStr">
        <is>
          <t>오송2산단 대형평수 음식점 학원 가능한 토지</t>
        </is>
      </c>
      <c r="L2134" s="6">
        <f>HYPERLINK("https://fin.land.naver.com/articles/2652527577", "매물Link")</f>
        <v/>
      </c>
      <c r="M2134" s="6">
        <f>HYPERLINK("https://map.naver.com/p/search/오송읍 정중리 698", "지도Link")</f>
        <v/>
      </c>
      <c r="N2134" s="6">
        <f>HYPERLINK("http://www.eum.go.kr/web/ar/lu/luLandDet.jsp?pnu=4311325032106980000&amp;isNoScr=script&amp;mode=search", "토지이음")</f>
        <v/>
      </c>
      <c r="O2134" s="3" t="inlineStr">
        <is>
          <t>오송명품</t>
        </is>
      </c>
      <c r="P2134" s="4" t="n">
        <v>1</v>
      </c>
      <c r="Q2134" s="4" t="n">
        <v>660</v>
      </c>
      <c r="R2134" s="3" t="inlineStr">
        <is>
          <t>지정되지않음</t>
        </is>
      </c>
      <c r="S2134" s="3" t="inlineStr">
        <is>
          <t>상업기타</t>
        </is>
      </c>
      <c r="T2134" s="3" t="inlineStr">
        <is>
          <t>평지</t>
        </is>
      </c>
      <c r="U2134" s="3" t="inlineStr">
        <is>
          <t>가로장방</t>
        </is>
      </c>
      <c r="V2134" s="3" t="inlineStr">
        <is>
          <t>중로각지</t>
        </is>
      </c>
    </row>
    <row r="2135">
      <c r="A2135" s="3" t="inlineStr">
        <is>
          <t>오송읍 정중리 699</t>
        </is>
      </c>
      <c r="B2135" s="3" t="inlineStr">
        <is>
          <t>준공업지역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152000</v>
      </c>
      <c r="G2135" s="4" t="n">
        <v>678</v>
      </c>
      <c r="H2135" s="4" t="n">
        <v>205</v>
      </c>
      <c r="I2135" s="5" t="n">
        <v>741.5</v>
      </c>
      <c r="J2135" s="5" t="n">
        <v>361</v>
      </c>
      <c r="K2135" s="3" t="inlineStr">
        <is>
          <t>대형평수 음식점 사무실 학원 추천자리</t>
        </is>
      </c>
      <c r="L2135" s="6">
        <f>HYPERLINK("https://fin.land.naver.com/articles/2652527439", "매물Link")</f>
        <v/>
      </c>
      <c r="M2135" s="6">
        <f>HYPERLINK("https://map.naver.com/p/search/오송읍 정중리 699", "지도Link")</f>
        <v/>
      </c>
      <c r="N2135" s="6">
        <f>HYPERLINK("http://www.eum.go.kr/web/ar/lu/luLandDet.jsp?pnu=4311325032106990000&amp;isNoScr=script&amp;mode=search", "토지이음")</f>
        <v/>
      </c>
      <c r="O2135" s="3" t="inlineStr">
        <is>
          <t>오송명품</t>
        </is>
      </c>
      <c r="P2135" s="4" t="n">
        <v>1</v>
      </c>
      <c r="Q2135" s="4" t="n">
        <v>678.2</v>
      </c>
      <c r="R2135" s="3" t="inlineStr">
        <is>
          <t>지정되지않음</t>
        </is>
      </c>
      <c r="S2135" s="3" t="inlineStr">
        <is>
          <t>상업기타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중로각지</t>
        </is>
      </c>
    </row>
    <row r="2136">
      <c r="A2136" s="3" t="inlineStr">
        <is>
          <t>오송읍 정중리 704</t>
        </is>
      </c>
      <c r="B2136" s="3" t="inlineStr">
        <is>
          <t>준공업지역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140000</v>
      </c>
      <c r="G2136" s="4" t="n">
        <v>548</v>
      </c>
      <c r="H2136" s="4" t="n">
        <v>166</v>
      </c>
      <c r="I2136" s="5" t="n">
        <v>843.4</v>
      </c>
      <c r="J2136" s="5" t="n">
        <v>347.1</v>
      </c>
      <c r="K2136" s="3" t="inlineStr">
        <is>
          <t>급매, 오송 국민체육센터 인근 토지 매매</t>
        </is>
      </c>
      <c r="L2136" s="6">
        <f>HYPERLINK("https://fin.land.naver.com/articles/2653824329", "매물Link")</f>
        <v/>
      </c>
      <c r="M2136" s="6">
        <f>HYPERLINK("https://map.naver.com/p/search/오송읍 정중리 704", "지도Link")</f>
        <v/>
      </c>
      <c r="N2136" s="6">
        <f>HYPERLINK("http://www.eum.go.kr/web/ar/lu/luLandDet.jsp?pnu=4311325032107040000&amp;isNoScr=script&amp;mode=search", "토지이음")</f>
        <v/>
      </c>
      <c r="O2136" s="3" t="inlineStr">
        <is>
          <t>광장</t>
        </is>
      </c>
      <c r="P2136" s="4" t="n">
        <v>1</v>
      </c>
      <c r="Q2136" s="4" t="n">
        <v>548.8</v>
      </c>
      <c r="R2136" s="3" t="inlineStr">
        <is>
          <t>지정되지않음</t>
        </is>
      </c>
      <c r="S2136" s="3" t="inlineStr">
        <is>
          <t>상업기타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중로각지</t>
        </is>
      </c>
    </row>
    <row r="2137">
      <c r="A2137" s="3" t="inlineStr">
        <is>
          <t>오송읍 정중리 704</t>
        </is>
      </c>
      <c r="B2137" s="3" t="inlineStr">
        <is>
          <t>준공업지역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166000</v>
      </c>
      <c r="G2137" s="4" t="n">
        <v>548</v>
      </c>
      <c r="H2137" s="4" t="n">
        <v>166</v>
      </c>
      <c r="I2137" s="5" t="n">
        <v>1000</v>
      </c>
      <c r="J2137" s="5" t="n">
        <v>347.1</v>
      </c>
      <c r="K2137" s="3" t="inlineStr">
        <is>
          <t>오송 2산단 지원시설용지  아파트 인접한 대로변 토지 근생 건물등 가능</t>
        </is>
      </c>
      <c r="L2137" s="6">
        <f>HYPERLINK("https://fin.land.naver.com/articles/2652625205", "매물Link")</f>
        <v/>
      </c>
      <c r="M2137" s="6">
        <f>HYPERLINK("https://map.naver.com/p/search/오송읍 정중리 704", "지도Link")</f>
        <v/>
      </c>
      <c r="N2137" s="6">
        <f>HYPERLINK("http://www.eum.go.kr/web/ar/lu/luLandDet.jsp?pnu=4311325032107040000&amp;isNoScr=script&amp;mode=search", "토지이음")</f>
        <v/>
      </c>
      <c r="O2137" s="3" t="inlineStr">
        <is>
          <t>더원</t>
        </is>
      </c>
      <c r="P2137" s="4" t="n">
        <v>3</v>
      </c>
      <c r="Q2137" s="4" t="n">
        <v>548.8</v>
      </c>
      <c r="R2137" s="3" t="inlineStr">
        <is>
          <t>지정되지않음</t>
        </is>
      </c>
      <c r="S2137" s="3" t="inlineStr">
        <is>
          <t>상업기타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중로각지</t>
        </is>
      </c>
    </row>
    <row r="2138">
      <c r="A2138" s="3" t="inlineStr">
        <is>
          <t>오송읍 정중리 707</t>
        </is>
      </c>
      <c r="B2138" s="3" t="inlineStr">
        <is>
          <t>준공업지역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380000</v>
      </c>
      <c r="G2138" s="4" t="n">
        <v>1143</v>
      </c>
      <c r="H2138" s="4" t="n">
        <v>346</v>
      </c>
      <c r="I2138" s="5" t="n">
        <v>1098.3</v>
      </c>
      <c r="J2138" s="5" t="n">
        <v>407.6</v>
      </c>
      <c r="K2138" s="3" t="inlineStr">
        <is>
          <t>4차선 메인 코너토지 대단지아파트들을 끼고있음</t>
        </is>
      </c>
      <c r="L2138" s="6">
        <f>HYPERLINK("https://fin.land.naver.com/articles/2652380240", "매물Link")</f>
        <v/>
      </c>
      <c r="M2138" s="6">
        <f>HYPERLINK("https://map.naver.com/p/search/오송읍 정중리 707", "지도Link")</f>
        <v/>
      </c>
      <c r="N2138" s="6">
        <f>HYPERLINK("http://www.eum.go.kr/web/ar/lu/luLandDet.jsp?pnu=4311325032107070000&amp;isNoScr=script&amp;mode=search", "토지이음")</f>
        <v/>
      </c>
      <c r="O2138" s="3" t="inlineStr">
        <is>
          <t>조은</t>
        </is>
      </c>
      <c r="P2138" s="4" t="n">
        <v>1</v>
      </c>
      <c r="Q2138" s="4" t="n">
        <v>558.8</v>
      </c>
      <c r="R2138" s="3" t="inlineStr">
        <is>
          <t>지정되지않음</t>
        </is>
      </c>
      <c r="S2138" s="3" t="inlineStr">
        <is>
          <t>상업기타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광대소각</t>
        </is>
      </c>
    </row>
    <row r="2139">
      <c r="A2139" s="3" t="inlineStr">
        <is>
          <t>오송읍 정중리 707</t>
        </is>
      </c>
      <c r="B2139" s="3" t="inlineStr">
        <is>
          <t>준공업지역</t>
        </is>
      </c>
      <c r="C2139" s="3" t="inlineStr">
        <is>
          <t>대</t>
        </is>
      </c>
      <c r="D2139" s="3" t="inlineStr">
        <is>
          <t>대</t>
        </is>
      </c>
      <c r="E2139" s="3" t="inlineStr">
        <is>
          <t>매매</t>
        </is>
      </c>
      <c r="F2139" s="4" t="n">
        <v>380000</v>
      </c>
      <c r="G2139" s="4" t="n">
        <v>1143</v>
      </c>
      <c r="H2139" s="4" t="n">
        <v>346</v>
      </c>
      <c r="I2139" s="5" t="n">
        <v>1098.3</v>
      </c>
      <c r="J2139" s="5" t="n">
        <v>407.6</v>
      </c>
      <c r="K2139" s="3" t="inlineStr">
        <is>
          <t>대로변토지매매 도시지역 대단지아파트인접</t>
        </is>
      </c>
      <c r="L2139" s="6">
        <f>HYPERLINK("https://fin.land.naver.com/articles/2653366604", "매물Link")</f>
        <v/>
      </c>
      <c r="M2139" s="6">
        <f>HYPERLINK("https://map.naver.com/p/search/오송읍 정중리 707", "지도Link")</f>
        <v/>
      </c>
      <c r="N2139" s="6">
        <f>HYPERLINK("http://www.eum.go.kr/web/ar/lu/luLandDet.jsp?pnu=4311325032107070000&amp;isNoScr=script&amp;mode=search", "토지이음")</f>
        <v/>
      </c>
      <c r="O2139" s="3" t="inlineStr">
        <is>
          <t>오송원</t>
        </is>
      </c>
      <c r="P2139" s="4" t="n">
        <v>1</v>
      </c>
      <c r="Q2139" s="4" t="n">
        <v>558.8</v>
      </c>
      <c r="R2139" s="3" t="inlineStr">
        <is>
          <t>지정되지않음</t>
        </is>
      </c>
      <c r="S2139" s="3" t="inlineStr">
        <is>
          <t>상업기타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광대소각</t>
        </is>
      </c>
    </row>
    <row r="2140">
      <c r="A2140" s="3" t="inlineStr">
        <is>
          <t>오송읍 정중리 707</t>
        </is>
      </c>
      <c r="B2140" s="3" t="inlineStr">
        <is>
          <t>준공업지역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218000</v>
      </c>
      <c r="G2140" s="4" t="n">
        <v>1143</v>
      </c>
      <c r="H2140" s="4" t="n">
        <v>346</v>
      </c>
      <c r="I2140" s="5" t="n">
        <v>630.1</v>
      </c>
      <c r="J2140" s="5" t="n">
        <v>407.6</v>
      </c>
      <c r="K2140" s="3" t="inlineStr">
        <is>
          <t>코너땅,현재나대지,지원시설용지</t>
        </is>
      </c>
      <c r="L2140" s="6">
        <f>HYPERLINK("https://fin.land.naver.com/articles/2653153996", "매물Link")</f>
        <v/>
      </c>
      <c r="M2140" s="6">
        <f>HYPERLINK("https://map.naver.com/p/search/오송읍 정중리 707", "지도Link")</f>
        <v/>
      </c>
      <c r="N2140" s="6">
        <f>HYPERLINK("http://www.eum.go.kr/web/ar/lu/luLandDet.jsp?pnu=4311325032107070000&amp;isNoScr=script&amp;mode=search", "토지이음")</f>
        <v/>
      </c>
      <c r="O2140" s="3" t="inlineStr">
        <is>
          <t>오송올래</t>
        </is>
      </c>
      <c r="P2140" s="4" t="n">
        <v>1</v>
      </c>
      <c r="Q2140" s="4" t="n">
        <v>558.8</v>
      </c>
      <c r="R2140" s="3" t="inlineStr">
        <is>
          <t>지정되지않음</t>
        </is>
      </c>
      <c r="S2140" s="3" t="inlineStr">
        <is>
          <t>상업기타</t>
        </is>
      </c>
      <c r="T2140" s="3" t="inlineStr">
        <is>
          <t>평지</t>
        </is>
      </c>
      <c r="U2140" s="3" t="inlineStr">
        <is>
          <t>가로장방</t>
        </is>
      </c>
      <c r="V2140" s="3" t="inlineStr">
        <is>
          <t>광대소각</t>
        </is>
      </c>
    </row>
    <row r="2141">
      <c r="A2141" s="3" t="inlineStr">
        <is>
          <t>오송읍 정중리 707</t>
        </is>
      </c>
      <c r="B2141" s="3" t="inlineStr">
        <is>
          <t>준공업지역</t>
        </is>
      </c>
      <c r="C2141" s="3" t="inlineStr">
        <is>
          <t>대</t>
        </is>
      </c>
      <c r="D2141" s="3" t="inlineStr">
        <is>
          <t>대</t>
        </is>
      </c>
      <c r="E2141" s="3" t="inlineStr">
        <is>
          <t>매매</t>
        </is>
      </c>
      <c r="F2141" s="4" t="n">
        <v>380000</v>
      </c>
      <c r="G2141" s="4" t="n">
        <v>1143</v>
      </c>
      <c r="H2141" s="4" t="n">
        <v>346</v>
      </c>
      <c r="I2141" s="5" t="n">
        <v>1098.3</v>
      </c>
      <c r="J2141" s="5" t="n">
        <v>407.6</v>
      </c>
      <c r="K2141" s="3" t="inlineStr">
        <is>
          <t>산업단지 시작 코너 자리, 아파트 세대 배후.</t>
        </is>
      </c>
      <c r="L2141" s="6">
        <f>HYPERLINK("https://fin.land.naver.com/articles/2652526004", "매물Link")</f>
        <v/>
      </c>
      <c r="M2141" s="6">
        <f>HYPERLINK("https://map.naver.com/p/search/오송읍 정중리 707", "지도Link")</f>
        <v/>
      </c>
      <c r="N2141" s="6">
        <f>HYPERLINK("http://www.eum.go.kr/web/ar/lu/luLandDet.jsp?pnu=4311325032107070000&amp;isNoScr=script&amp;mode=search", "토지이음")</f>
        <v/>
      </c>
      <c r="O2141" s="3" t="inlineStr">
        <is>
          <t>대한민국</t>
        </is>
      </c>
      <c r="P2141" s="4" t="n">
        <v>1</v>
      </c>
      <c r="Q2141" s="4" t="n">
        <v>558.8</v>
      </c>
      <c r="R2141" s="3" t="inlineStr">
        <is>
          <t>지정되지않음</t>
        </is>
      </c>
      <c r="S2141" s="3" t="inlineStr">
        <is>
          <t>상업기타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광대소각</t>
        </is>
      </c>
    </row>
    <row r="2142">
      <c r="A2142" s="3" t="inlineStr">
        <is>
          <t>오송읍 정중리 707</t>
        </is>
      </c>
      <c r="B2142" s="3" t="inlineStr">
        <is>
          <t>준공업지역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380000</v>
      </c>
      <c r="G2142" s="4" t="n">
        <v>1143</v>
      </c>
      <c r="H2142" s="4" t="n">
        <v>346</v>
      </c>
      <c r="I2142" s="5" t="n">
        <v>1098.3</v>
      </c>
      <c r="J2142" s="5" t="n">
        <v>407.6</v>
      </c>
      <c r="K2142" s="3" t="inlineStr">
        <is>
          <t>오송 2산단 사거리 코너자리 지원시설용지</t>
        </is>
      </c>
      <c r="L2142" s="6">
        <f>HYPERLINK("https://fin.land.naver.com/articles/2653176360", "매물Link")</f>
        <v/>
      </c>
      <c r="M2142" s="6">
        <f>HYPERLINK("https://map.naver.com/p/search/오송읍 정중리 707", "지도Link")</f>
        <v/>
      </c>
      <c r="N2142" s="6">
        <f>HYPERLINK("http://www.eum.go.kr/web/ar/lu/luLandDet.jsp?pnu=4311325032107070000&amp;isNoScr=script&amp;mode=search", "토지이음")</f>
        <v/>
      </c>
      <c r="O2142" s="3" t="inlineStr">
        <is>
          <t>아임</t>
        </is>
      </c>
      <c r="P2142" s="4" t="n">
        <v>3</v>
      </c>
      <c r="Q2142" s="4" t="n">
        <v>558.8</v>
      </c>
      <c r="R2142" s="3" t="inlineStr">
        <is>
          <t>지정되지않음</t>
        </is>
      </c>
      <c r="S2142" s="3" t="inlineStr">
        <is>
          <t>상업기타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광대소각</t>
        </is>
      </c>
    </row>
    <row r="2143">
      <c r="A2143" s="3" t="inlineStr">
        <is>
          <t>오송읍 정중리 755</t>
        </is>
      </c>
      <c r="B2143" s="3" t="inlineStr">
        <is>
          <t>준공업지역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240000</v>
      </c>
      <c r="G2143" s="4" t="n">
        <v>668</v>
      </c>
      <c r="H2143" s="4" t="n">
        <v>202</v>
      </c>
      <c r="I2143" s="5" t="n">
        <v>1188.1</v>
      </c>
      <c r="J2143" s="5" t="n">
        <v>361</v>
      </c>
      <c r="K2143" s="3" t="inlineStr">
        <is>
          <t>오송2산단내 지원시설용지,바로앞 아파트대단지 입주예정,</t>
        </is>
      </c>
      <c r="L2143" s="6">
        <f>HYPERLINK("https://fin.land.naver.com/articles/2651054162", "매물Link")</f>
        <v/>
      </c>
      <c r="M2143" s="6">
        <f>HYPERLINK("https://map.naver.com/p/search/오송읍 정중리 755", "지도Link")</f>
        <v/>
      </c>
      <c r="N2143" s="6">
        <f>HYPERLINK("http://www.eum.go.kr/web/ar/lu/luLandDet.jsp?pnu=4311325032107550000&amp;isNoScr=script&amp;mode=search", "토지이음")</f>
        <v/>
      </c>
      <c r="O2143" s="3" t="inlineStr">
        <is>
          <t>담뜰</t>
        </is>
      </c>
      <c r="P2143" s="4" t="n">
        <v>1</v>
      </c>
      <c r="Q2143" s="4" t="n">
        <v>668.8</v>
      </c>
      <c r="R2143" s="3" t="inlineStr">
        <is>
          <t>지정되지않음</t>
        </is>
      </c>
      <c r="S2143" s="3" t="inlineStr">
        <is>
          <t>상업기타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중로각지</t>
        </is>
      </c>
    </row>
    <row r="2144">
      <c r="A2144" s="3" t="inlineStr">
        <is>
          <t>오송읍 정중리 768</t>
        </is>
      </c>
      <c r="B2144" s="3" t="inlineStr">
        <is>
          <t>준공업지역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105000</v>
      </c>
      <c r="G2144" s="4" t="n">
        <v>590</v>
      </c>
      <c r="H2144" s="4" t="n">
        <v>178</v>
      </c>
      <c r="I2144" s="5" t="n">
        <v>589.9</v>
      </c>
      <c r="J2144" s="5" t="n">
        <v>256.4</v>
      </c>
      <c r="K2144" s="3" t="inlineStr">
        <is>
          <t>nan</t>
        </is>
      </c>
      <c r="L2144" s="6">
        <f>HYPERLINK("https://fin.land.naver.com/articles/2651733349", "매물Link")</f>
        <v/>
      </c>
      <c r="M2144" s="6">
        <f>HYPERLINK("https://map.naver.com/p/search/오송읍 정중리 768", "지도Link")</f>
        <v/>
      </c>
      <c r="N2144" s="6">
        <f>HYPERLINK("http://www.eum.go.kr/web/ar/lu/luLandDet.jsp?pnu=4311325032107680000&amp;isNoScr=script&amp;mode=search", "토지이음")</f>
        <v/>
      </c>
      <c r="O2144" s="3" t="inlineStr">
        <is>
          <t>동행사무소</t>
        </is>
      </c>
      <c r="P2144" s="4" t="n">
        <v>1</v>
      </c>
      <c r="Q2144" s="4" t="n">
        <v>590.3</v>
      </c>
      <c r="R2144" s="3" t="inlineStr">
        <is>
          <t>지정되지않음</t>
        </is>
      </c>
      <c r="S2144" s="3" t="inlineStr">
        <is>
          <t>상업나지</t>
        </is>
      </c>
      <c r="T2144" s="3" t="inlineStr">
        <is>
          <t>평지</t>
        </is>
      </c>
      <c r="U2144" s="3" t="inlineStr">
        <is>
          <t>정방형</t>
        </is>
      </c>
      <c r="V2144" s="3" t="inlineStr">
        <is>
          <t>중로한면</t>
        </is>
      </c>
    </row>
    <row r="2145">
      <c r="A2145" s="3" t="inlineStr">
        <is>
          <t>오송읍 정중리 768</t>
        </is>
      </c>
      <c r="B2145" s="3" t="inlineStr">
        <is>
          <t>준공업지역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143000</v>
      </c>
      <c r="G2145" s="4" t="n">
        <v>590</v>
      </c>
      <c r="H2145" s="4" t="n">
        <v>178</v>
      </c>
      <c r="I2145" s="5" t="n">
        <v>803.4</v>
      </c>
      <c r="J2145" s="5" t="n">
        <v>256.4</v>
      </c>
      <c r="K2145" s="3" t="inlineStr">
        <is>
          <t>신도시 대단지아파트인접  지원시설용지</t>
        </is>
      </c>
      <c r="L2145" s="6">
        <f>HYPERLINK("https://fin.land.naver.com/articles/2651351013", "매물Link")</f>
        <v/>
      </c>
      <c r="M2145" s="6">
        <f>HYPERLINK("https://map.naver.com/p/search/오송읍 정중리 768", "지도Link")</f>
        <v/>
      </c>
      <c r="N2145" s="6">
        <f>HYPERLINK("http://www.eum.go.kr/web/ar/lu/luLandDet.jsp?pnu=4311325032107680000&amp;isNoScr=script&amp;mode=search", "토지이음")</f>
        <v/>
      </c>
      <c r="O2145" s="3" t="inlineStr">
        <is>
          <t>오송원</t>
        </is>
      </c>
      <c r="P2145" s="4" t="n">
        <v>1</v>
      </c>
      <c r="Q2145" s="4" t="n">
        <v>590.3</v>
      </c>
      <c r="R2145" s="3" t="inlineStr">
        <is>
          <t>지정되지않음</t>
        </is>
      </c>
      <c r="S2145" s="3" t="inlineStr">
        <is>
          <t>상업나지</t>
        </is>
      </c>
      <c r="T2145" s="3" t="inlineStr">
        <is>
          <t>평지</t>
        </is>
      </c>
      <c r="U2145" s="3" t="inlineStr">
        <is>
          <t>정방형</t>
        </is>
      </c>
      <c r="V2145" s="3" t="inlineStr">
        <is>
          <t>중로한면</t>
        </is>
      </c>
    </row>
    <row r="2146">
      <c r="A2146" s="3" t="inlineStr">
        <is>
          <t>오송읍 정중리 768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125000</v>
      </c>
      <c r="G2146" s="4" t="n">
        <v>590</v>
      </c>
      <c r="H2146" s="4" t="n">
        <v>178</v>
      </c>
      <c r="I2146" s="5" t="n">
        <v>702.2</v>
      </c>
      <c r="J2146" s="5" t="n">
        <v>256.4</v>
      </c>
      <c r="K2146" s="3" t="inlineStr">
        <is>
          <t>지원시설용지 매매</t>
        </is>
      </c>
      <c r="L2146" s="6">
        <f>HYPERLINK("https://fin.land.naver.com/articles/2652685303", "매물Link")</f>
        <v/>
      </c>
      <c r="M2146" s="6">
        <f>HYPERLINK("https://map.naver.com/p/search/오송읍 정중리 768", "지도Link")</f>
        <v/>
      </c>
      <c r="N2146" s="6">
        <f>HYPERLINK("http://www.eum.go.kr/web/ar/lu/luLandDet.jsp?pnu=4311325032107680000&amp;isNoScr=script&amp;mode=search", "토지이음")</f>
        <v/>
      </c>
      <c r="O2146" s="3" t="inlineStr">
        <is>
          <t>대한민국</t>
        </is>
      </c>
      <c r="P2146" s="4" t="n">
        <v>1</v>
      </c>
      <c r="Q2146" s="4" t="n">
        <v>590.3</v>
      </c>
      <c r="R2146" s="3" t="inlineStr">
        <is>
          <t>지정되지않음</t>
        </is>
      </c>
      <c r="S2146" s="3" t="inlineStr">
        <is>
          <t>상업나지</t>
        </is>
      </c>
      <c r="T2146" s="3" t="inlineStr">
        <is>
          <t>평지</t>
        </is>
      </c>
      <c r="U2146" s="3" t="inlineStr">
        <is>
          <t>정방형</t>
        </is>
      </c>
      <c r="V2146" s="3" t="inlineStr">
        <is>
          <t>중로한면</t>
        </is>
      </c>
    </row>
    <row r="2147">
      <c r="A2147" s="3" t="inlineStr">
        <is>
          <t>오송읍 정중리 768</t>
        </is>
      </c>
      <c r="B2147" s="3" t="inlineStr">
        <is>
          <t>준공업지역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125000</v>
      </c>
      <c r="G2147" s="4" t="n">
        <v>590</v>
      </c>
      <c r="H2147" s="4" t="n">
        <v>178</v>
      </c>
      <c r="I2147" s="5" t="n">
        <v>702.2</v>
      </c>
      <c r="J2147" s="5" t="n">
        <v>256.4</v>
      </c>
      <c r="K2147" s="3" t="inlineStr">
        <is>
          <t>오송2산단내 지원시설용지 급매, 바로앞 대단지 아파트,가격조율가능</t>
        </is>
      </c>
      <c r="L2147" s="6">
        <f>HYPERLINK("https://fin.land.naver.com/articles/2654853566", "매물Link")</f>
        <v/>
      </c>
      <c r="M2147" s="6">
        <f>HYPERLINK("https://map.naver.com/p/search/오송읍 정중리 768", "지도Link")</f>
        <v/>
      </c>
      <c r="N2147" s="6">
        <f>HYPERLINK("http://www.eum.go.kr/web/ar/lu/luLandDet.jsp?pnu=4311325032107680000&amp;isNoScr=script&amp;mode=search", "토지이음")</f>
        <v/>
      </c>
      <c r="O2147" s="3" t="inlineStr">
        <is>
          <t>담뜰</t>
        </is>
      </c>
      <c r="P2147" s="4" t="n">
        <v>6</v>
      </c>
      <c r="Q2147" s="4" t="n">
        <v>590.3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정방형</t>
        </is>
      </c>
      <c r="V2147" s="3" t="inlineStr">
        <is>
          <t>중로한면</t>
        </is>
      </c>
    </row>
    <row r="2148">
      <c r="A2148" s="3" t="inlineStr">
        <is>
          <t>오송읍 정중리 773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95000</v>
      </c>
      <c r="G2148" s="4" t="n">
        <v>580</v>
      </c>
      <c r="H2148" s="4" t="n">
        <v>175</v>
      </c>
      <c r="I2148" s="5" t="n">
        <v>542.9</v>
      </c>
      <c r="J2148" s="5" t="n">
        <v>258.9</v>
      </c>
      <c r="K2148" s="3" t="inlineStr">
        <is>
          <t>저렴한기회 지원시설용지 차량진출입 용이한 근생상가 추천</t>
        </is>
      </c>
      <c r="L2148" s="6">
        <f>HYPERLINK("https://fin.land.naver.com/articles/2650862161", "매물Link")</f>
        <v/>
      </c>
      <c r="M2148" s="6">
        <f>HYPERLINK("https://map.naver.com/p/search/오송읍 정중리 773", "지도Link")</f>
        <v/>
      </c>
      <c r="N2148" s="6">
        <f>HYPERLINK("http://www.eum.go.kr/web/ar/lu/luLandDet.jsp?pnu=4311325032107730000&amp;isNoScr=script&amp;mode=search", "토지이음")</f>
        <v/>
      </c>
      <c r="O2148" s="3" t="inlineStr">
        <is>
          <t>프로</t>
        </is>
      </c>
      <c r="P2148" s="4" t="n">
        <v>1</v>
      </c>
      <c r="Q2148" s="4" t="n">
        <v>580.4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정방형</t>
        </is>
      </c>
      <c r="V2148" s="3" t="inlineStr">
        <is>
          <t>중로각지</t>
        </is>
      </c>
    </row>
    <row r="2149">
      <c r="A2149" s="3" t="inlineStr">
        <is>
          <t>오송읍 정중리 산13-1</t>
        </is>
      </c>
      <c r="B2149" s="3" t="inlineStr">
        <is>
          <t>계획관리지역</t>
        </is>
      </c>
      <c r="C2149" s="3" t="inlineStr">
        <is>
          <t>임야</t>
        </is>
      </c>
      <c r="D2149" s="3" t="inlineStr">
        <is>
          <t>임야</t>
        </is>
      </c>
      <c r="E2149" s="3" t="inlineStr">
        <is>
          <t>매매</t>
        </is>
      </c>
      <c r="F2149" s="4" t="n">
        <v>120000</v>
      </c>
      <c r="G2149" s="4" t="n">
        <v>6437</v>
      </c>
      <c r="H2149" s="4" t="n">
        <v>1947</v>
      </c>
      <c r="I2149" s="5" t="n">
        <v>61.6</v>
      </c>
      <c r="J2149" s="5" t="n">
        <v>16.7</v>
      </c>
      <c r="K2149" s="3" t="inlineStr">
        <is>
          <t>nan</t>
        </is>
      </c>
      <c r="L2149" s="6">
        <f>HYPERLINK("https://fin.land.naver.com/articles/2653265945", "매물Link")</f>
        <v/>
      </c>
      <c r="M2149" s="6">
        <f>HYPERLINK("https://map.naver.com/p/search/오송읍 정중리 산13-1", "지도Link")</f>
        <v/>
      </c>
      <c r="N2149" s="6">
        <f>HYPERLINK("http://www.eum.go.kr/web/ar/lu/luLandDet.jsp?pnu=4311325032200130001&amp;isNoScr=script&amp;mode=search", "토지이음")</f>
        <v/>
      </c>
      <c r="O2149" s="3" t="inlineStr">
        <is>
          <t>프로</t>
        </is>
      </c>
      <c r="P2149" s="4" t="n">
        <v>1</v>
      </c>
      <c r="Q2149" s="4" t="n">
        <v>6437</v>
      </c>
      <c r="R2149" s="3" t="inlineStr">
        <is>
          <t>지정되지않음</t>
        </is>
      </c>
      <c r="S2149" s="3" t="inlineStr">
        <is>
          <t>자연림</t>
        </is>
      </c>
      <c r="T2149" s="3" t="inlineStr">
        <is>
          <t>완경사</t>
        </is>
      </c>
      <c r="U2149" s="3" t="inlineStr">
        <is>
          <t>부정형</t>
        </is>
      </c>
      <c r="V2149" s="3" t="inlineStr">
        <is>
          <t>세로한면(불)</t>
        </is>
      </c>
    </row>
    <row r="2150">
      <c r="A2150" s="3" t="inlineStr">
        <is>
          <t>오송읍 호계리 143-1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39845</v>
      </c>
      <c r="G2150" s="4" t="n">
        <v>2026</v>
      </c>
      <c r="H2150" s="4" t="n">
        <v>613</v>
      </c>
      <c r="I2150" s="5" t="n">
        <v>65</v>
      </c>
      <c r="J2150" s="5" t="n">
        <v>30.4</v>
      </c>
      <c r="K2150" s="3" t="inlineStr">
        <is>
          <t>도로에 접해 주말농장 최상, 개발호재 핫한 오송시 위치 투자가치 최상</t>
        </is>
      </c>
      <c r="L2150" s="6">
        <f>HYPERLINK("https://fin.land.naver.com/articles/2650397039", "매물Link")</f>
        <v/>
      </c>
      <c r="M2150" s="6">
        <f>HYPERLINK("https://map.naver.com/p/search/오송읍 호계리 143-1", "지도Link")</f>
        <v/>
      </c>
      <c r="N2150" s="6">
        <f>HYPERLINK("http://www.eum.go.kr/web/ar/lu/luLandDet.jsp?pnu=4311325021101430001&amp;isNoScr=script&amp;mode=search", "토지이음")</f>
        <v/>
      </c>
      <c r="O2150" s="3" t="inlineStr">
        <is>
          <t>대한</t>
        </is>
      </c>
      <c r="P2150" s="4" t="n">
        <v>1</v>
      </c>
      <c r="Q2150" s="4" t="n">
        <v>2059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호계리 152-1</t>
        </is>
      </c>
      <c r="B2151" s="3" t="inlineStr">
        <is>
          <t>계획관리지역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53500</v>
      </c>
      <c r="G2151" s="4" t="n">
        <v>1359</v>
      </c>
      <c r="H2151" s="4" t="n">
        <v>411</v>
      </c>
      <c r="I2151" s="5" t="n">
        <v>130.2</v>
      </c>
      <c r="J2151" s="5" t="n">
        <v>39.1</v>
      </c>
      <c r="K2151" s="3" t="inlineStr">
        <is>
          <t>급매, 시세 대비 매우 저렴, 4미터 도로에 접하고 있는 계획관리 토지</t>
        </is>
      </c>
      <c r="L2151" s="6">
        <f>HYPERLINK("https://fin.land.naver.com/articles/2653224458", "매물Link")</f>
        <v/>
      </c>
      <c r="M2151" s="6">
        <f>HYPERLINK("https://map.naver.com/p/search/오송읍 호계리 152-1", "지도Link")</f>
        <v/>
      </c>
      <c r="N2151" s="6">
        <f>HYPERLINK("http://www.eum.go.kr/web/ar/lu/luLandDet.jsp?pnu=4311325021101520001&amp;isNoScr=script&amp;mode=search", "토지이음")</f>
        <v/>
      </c>
      <c r="O2151" s="3" t="inlineStr">
        <is>
          <t>제이</t>
        </is>
      </c>
      <c r="P2151" s="4" t="n">
        <v>1</v>
      </c>
      <c r="Q2151" s="4" t="n">
        <v>962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세로각지(가)</t>
        </is>
      </c>
    </row>
    <row r="2152">
      <c r="A2152" s="3" t="inlineStr">
        <is>
          <t>오송읍 호계리 153-1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53500</v>
      </c>
      <c r="G2152" s="4" t="n">
        <v>1359</v>
      </c>
      <c r="H2152" s="4" t="n">
        <v>411</v>
      </c>
      <c r="I2152" s="5" t="n">
        <v>130.2</v>
      </c>
      <c r="J2152" s="5" t="n">
        <v>40.1</v>
      </c>
      <c r="K2152" s="3" t="inlineStr">
        <is>
          <t>4M도로에 접함 투자및 공장추천 2필지</t>
        </is>
      </c>
      <c r="L2152" s="6">
        <f>HYPERLINK("https://fin.land.naver.com/articles/2650428790", "매물Link")</f>
        <v/>
      </c>
      <c r="M2152" s="6">
        <f>HYPERLINK("https://map.naver.com/p/search/오송읍 호계리 153-1", "지도Link")</f>
        <v/>
      </c>
      <c r="N2152" s="6">
        <f>HYPERLINK("http://www.eum.go.kr/web/ar/lu/luLandDet.jsp?pnu=4311325021101530001&amp;isNoScr=script&amp;mode=search", "토지이음")</f>
        <v/>
      </c>
      <c r="O2152" s="3" t="inlineStr">
        <is>
          <t>플러스태양</t>
        </is>
      </c>
      <c r="P2152" s="4" t="n">
        <v>1</v>
      </c>
      <c r="Q2152" s="4" t="n">
        <v>397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오송읍 호계리 155-1</t>
        </is>
      </c>
      <c r="B2153" s="3" t="inlineStr">
        <is>
          <t>계획관리지역</t>
        </is>
      </c>
      <c r="C2153" s="3" t="inlineStr">
        <is>
          <t>답</t>
        </is>
      </c>
      <c r="D2153" s="3" t="inlineStr">
        <is>
          <t>답</t>
        </is>
      </c>
      <c r="E2153" s="3" t="inlineStr">
        <is>
          <t>매매</t>
        </is>
      </c>
      <c r="F2153" s="4" t="n">
        <v>195800</v>
      </c>
      <c r="G2153" s="4" t="n">
        <v>2943</v>
      </c>
      <c r="H2153" s="4" t="n">
        <v>890</v>
      </c>
      <c r="I2153" s="5" t="n">
        <v>220</v>
      </c>
      <c r="J2153" s="5" t="n">
        <v>38.1</v>
      </c>
      <c r="K2153" s="3" t="inlineStr">
        <is>
          <t>오송읍, 호계리, 계획관리지역, 5m 도로 접한 토지</t>
        </is>
      </c>
      <c r="L2153" s="6">
        <f>HYPERLINK("https://fin.land.naver.com/articles/2652670142", "매물Link")</f>
        <v/>
      </c>
      <c r="M2153" s="6">
        <f>HYPERLINK("https://map.naver.com/p/search/오송읍 호계리 155-1", "지도Link")</f>
        <v/>
      </c>
      <c r="N2153" s="6">
        <f>HYPERLINK("http://www.eum.go.kr/web/ar/lu/luLandDet.jsp?pnu=4311325021101550001&amp;isNoScr=script&amp;mode=search", "토지이음")</f>
        <v/>
      </c>
      <c r="O2153" s="3" t="inlineStr">
        <is>
          <t>올바른</t>
        </is>
      </c>
      <c r="P2153" s="4" t="n">
        <v>1</v>
      </c>
      <c r="Q2153" s="4" t="n">
        <v>2943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부정형</t>
        </is>
      </c>
      <c r="V2153" s="3" t="inlineStr">
        <is>
          <t>세로한면(가)</t>
        </is>
      </c>
    </row>
    <row r="2154">
      <c r="A2154" s="3" t="inlineStr">
        <is>
          <t>오송읍 호계리 224-2</t>
        </is>
      </c>
      <c r="B2154" s="3" t="inlineStr">
        <is>
          <t>생산관리지역</t>
        </is>
      </c>
      <c r="C2154" s="3" t="inlineStr">
        <is>
          <t>답</t>
        </is>
      </c>
      <c r="D2154" s="3" t="inlineStr">
        <is>
          <t>답</t>
        </is>
      </c>
      <c r="E2154" s="3" t="inlineStr">
        <is>
          <t>매매</t>
        </is>
      </c>
      <c r="F2154" s="4" t="n">
        <v>49000</v>
      </c>
      <c r="G2154" s="4" t="n">
        <v>899</v>
      </c>
      <c r="H2154" s="4" t="n">
        <v>272</v>
      </c>
      <c r="I2154" s="5" t="n">
        <v>180.1</v>
      </c>
      <c r="J2154" s="5" t="n">
        <v>51.1</v>
      </c>
      <c r="K2154" s="3" t="inlineStr">
        <is>
          <t>2 배의 가치 2 배의 넓은 땅 사용 가능 토지  생산 관리 지역</t>
        </is>
      </c>
      <c r="L2154" s="6">
        <f>HYPERLINK("https://fin.land.naver.com/articles/2654653071", "매물Link")</f>
        <v/>
      </c>
      <c r="M2154" s="6">
        <f>HYPERLINK("https://map.naver.com/p/search/오송읍 호계리 224-2", "지도Link")</f>
        <v/>
      </c>
      <c r="N2154" s="6">
        <f>HYPERLINK("http://www.eum.go.kr/web/ar/lu/luLandDet.jsp?pnu=4311325021102240002&amp;isNoScr=script&amp;mode=search", "토지이음")</f>
        <v/>
      </c>
      <c r="O2154" s="3" t="inlineStr">
        <is>
          <t>오송퍼스트영웅</t>
        </is>
      </c>
      <c r="P2154" s="4" t="n">
        <v>1</v>
      </c>
      <c r="Q2154" s="4" t="n">
        <v>899</v>
      </c>
      <c r="R2154" s="3" t="inlineStr">
        <is>
          <t>지정되지않음</t>
        </is>
      </c>
      <c r="S2154" s="3" t="inlineStr">
        <is>
          <t>답기타</t>
        </is>
      </c>
      <c r="T2154" s="3" t="inlineStr">
        <is>
          <t>평지</t>
        </is>
      </c>
      <c r="U2154" s="3" t="inlineStr">
        <is>
          <t>세로장방</t>
        </is>
      </c>
      <c r="V2154" s="3" t="inlineStr">
        <is>
          <t>중로한면</t>
        </is>
      </c>
    </row>
    <row r="2155">
      <c r="A2155" s="3" t="inlineStr">
        <is>
          <t>오송읍 호계리 230-3</t>
        </is>
      </c>
      <c r="B2155" s="3" t="inlineStr">
        <is>
          <t>농림지역</t>
        </is>
      </c>
      <c r="C2155" s="3" t="inlineStr">
        <is>
          <t>답</t>
        </is>
      </c>
      <c r="D2155" s="3" t="inlineStr">
        <is>
          <t>답</t>
        </is>
      </c>
      <c r="E2155" s="3" t="inlineStr">
        <is>
          <t>매매</t>
        </is>
      </c>
      <c r="F2155" s="4" t="n">
        <v>29000</v>
      </c>
      <c r="G2155" s="4" t="n">
        <v>1595</v>
      </c>
      <c r="H2155" s="4" t="n">
        <v>482</v>
      </c>
      <c r="I2155" s="5" t="n">
        <v>60.2</v>
      </c>
      <c r="J2155" s="5" t="n">
        <v>32.4</v>
      </c>
      <c r="K2155" s="3" t="inlineStr">
        <is>
          <t>호계리 토지 매매.</t>
        </is>
      </c>
      <c r="L2155" s="6">
        <f>HYPERLINK("https://fin.land.naver.com/articles/2652685771", "매물Link")</f>
        <v/>
      </c>
      <c r="M2155" s="6">
        <f>HYPERLINK("https://map.naver.com/p/search/오송읍 호계리 230-3", "지도Link")</f>
        <v/>
      </c>
      <c r="N2155" s="6">
        <f>HYPERLINK("http://www.eum.go.kr/web/ar/lu/luLandDet.jsp?pnu=4311325021102300003&amp;isNoScr=script&amp;mode=search", "토지이음")</f>
        <v/>
      </c>
      <c r="O2155" s="3" t="inlineStr">
        <is>
          <t>대한민국</t>
        </is>
      </c>
      <c r="P2155" s="4" t="n">
        <v>1</v>
      </c>
      <c r="Q2155" s="4" t="n">
        <v>1595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소로한면</t>
        </is>
      </c>
    </row>
    <row r="2156">
      <c r="A2156" s="3" t="inlineStr">
        <is>
          <t>오송읍 호계리 3-2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90400</v>
      </c>
      <c r="G2156" s="4" t="n">
        <v>1494</v>
      </c>
      <c r="H2156" s="4" t="n">
        <v>452</v>
      </c>
      <c r="I2156" s="5" t="n">
        <v>200</v>
      </c>
      <c r="J2156" s="5" t="n">
        <v>33.6</v>
      </c>
      <c r="K2156" s="3" t="inlineStr">
        <is>
          <t>공장이나 창고부지 적격</t>
        </is>
      </c>
      <c r="L2156" s="6">
        <f>HYPERLINK("https://fin.land.naver.com/articles/2652471712", "매물Link")</f>
        <v/>
      </c>
      <c r="M2156" s="6">
        <f>HYPERLINK("https://map.naver.com/p/search/오송읍 호계리 3-2", "지도Link")</f>
        <v/>
      </c>
      <c r="N2156" s="6">
        <f>HYPERLINK("http://www.eum.go.kr/web/ar/lu/luLandDet.jsp?pnu=4311325021100030002&amp;isNoScr=script&amp;mode=search", "토지이음")</f>
        <v/>
      </c>
      <c r="O2156" s="3" t="inlineStr">
        <is>
          <t>천석</t>
        </is>
      </c>
      <c r="P2156" s="4" t="n">
        <v>1</v>
      </c>
      <c r="Q2156" s="4" t="n">
        <v>1494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사다리형</t>
        </is>
      </c>
      <c r="V2156" s="3" t="inlineStr">
        <is>
          <t>맹지</t>
        </is>
      </c>
    </row>
    <row r="2157">
      <c r="A2157" s="3" t="inlineStr">
        <is>
          <t>오송읍 호계리 50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90000</v>
      </c>
      <c r="G2157" s="4" t="n">
        <v>1927</v>
      </c>
      <c r="H2157" s="4" t="n">
        <v>583</v>
      </c>
      <c r="I2157" s="5" t="n">
        <v>154.4</v>
      </c>
      <c r="J2157" s="5" t="n">
        <v>40.1</v>
      </c>
      <c r="K2157" s="3" t="inlineStr">
        <is>
          <t>오송읍 호계리 산과 인접한 전원주택부지</t>
        </is>
      </c>
      <c r="L2157" s="6">
        <f>HYPERLINK("https://fin.land.naver.com/articles/2654451662", "매물Link")</f>
        <v/>
      </c>
      <c r="M2157" s="6">
        <f>HYPERLINK("https://map.naver.com/p/search/오송읍 호계리 50", "지도Link")</f>
        <v/>
      </c>
      <c r="N2157" s="6">
        <f>HYPERLINK("http://www.eum.go.kr/web/ar/lu/luLandDet.jsp?pnu=4311325021100500000&amp;isNoScr=script&amp;mode=search", "토지이음")</f>
        <v/>
      </c>
      <c r="O2157" s="3" t="inlineStr">
        <is>
          <t>새벽무소</t>
        </is>
      </c>
      <c r="P2157" s="4" t="n">
        <v>1</v>
      </c>
      <c r="Q2157" s="4" t="n">
        <v>1927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금암리 119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266000</v>
      </c>
      <c r="G2158" s="4" t="n">
        <v>4407</v>
      </c>
      <c r="H2158" s="4" t="n">
        <v>1333</v>
      </c>
      <c r="I2158" s="5" t="n">
        <v>199.5</v>
      </c>
      <c r="J2158" s="5" t="n">
        <v>74.7</v>
      </c>
      <c r="K2158" s="3" t="inlineStr">
        <is>
          <t>진입로가 우수하며, 민원 걱정 없는 매물임.</t>
        </is>
      </c>
      <c r="L2158" s="6">
        <f>HYPERLINK("https://fin.land.naver.com/articles/2650450926", "매물Link")</f>
        <v/>
      </c>
      <c r="M2158" s="6">
        <f>HYPERLINK("https://map.naver.com/p/search/장군면 금암리 119", "지도Link")</f>
        <v/>
      </c>
      <c r="N2158" s="6">
        <f>HYPERLINK("http://www.eum.go.kr/web/ar/lu/luLandDet.jsp?pnu=3611035025101190000&amp;isNoScr=script&amp;mode=search", "토지이음")</f>
        <v/>
      </c>
      <c r="O2158" s="3" t="inlineStr">
        <is>
          <t>세종제일</t>
        </is>
      </c>
      <c r="P2158" s="4" t="n">
        <v>1</v>
      </c>
      <c r="Q2158" s="4" t="n">
        <v>1633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장군면 금암리 119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99000</v>
      </c>
      <c r="G2159" s="4" t="n">
        <v>1633</v>
      </c>
      <c r="H2159" s="4" t="n">
        <v>494</v>
      </c>
      <c r="I2159" s="5" t="n">
        <v>200.4</v>
      </c>
      <c r="J2159" s="5" t="n">
        <v>74.7</v>
      </c>
      <c r="K2159" s="3" t="inlineStr">
        <is>
          <t>도로접 위치 최상 투자 실사용 추천 본필지 외 2필지 총 3필지</t>
        </is>
      </c>
      <c r="L2159" s="6">
        <f>HYPERLINK("https://fin.land.naver.com/articles/2654757397", "매물Link")</f>
        <v/>
      </c>
      <c r="M2159" s="6">
        <f>HYPERLINK("https://map.naver.com/p/search/장군면 금암리 119", "지도Link")</f>
        <v/>
      </c>
      <c r="N2159" s="6">
        <f>HYPERLINK("http://www.eum.go.kr/web/ar/lu/luLandDet.jsp?pnu=3611035025101190000&amp;isNoScr=script&amp;mode=search", "토지이음")</f>
        <v/>
      </c>
      <c r="O2159" s="3" t="inlineStr">
        <is>
          <t>세종동인</t>
        </is>
      </c>
      <c r="P2159" s="4" t="n">
        <v>1</v>
      </c>
      <c r="Q2159" s="4" t="n">
        <v>1633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금암리 120</t>
        </is>
      </c>
      <c r="B2160" s="3" t="inlineStr">
        <is>
          <t>계획관리지역</t>
        </is>
      </c>
      <c r="C2160" s="3" t="inlineStr">
        <is>
          <t>전</t>
        </is>
      </c>
      <c r="D2160" s="3" t="inlineStr">
        <is>
          <t>전</t>
        </is>
      </c>
      <c r="E2160" s="3" t="inlineStr">
        <is>
          <t>매매</t>
        </is>
      </c>
      <c r="F2160" s="4" t="n">
        <v>266000</v>
      </c>
      <c r="G2160" s="4" t="n">
        <v>4407</v>
      </c>
      <c r="H2160" s="4" t="n">
        <v>1333</v>
      </c>
      <c r="I2160" s="5" t="n">
        <v>199.5</v>
      </c>
      <c r="J2160" s="5" t="n">
        <v>78.5</v>
      </c>
      <c r="K2160" s="3" t="inlineStr">
        <is>
          <t>금강조망, 접근성 및 향좋은 계획관리지역 토지매매</t>
        </is>
      </c>
      <c r="L2160" s="6">
        <f>HYPERLINK("https://fin.land.naver.com/articles/2655593198", "매물Link")</f>
        <v/>
      </c>
      <c r="M2160" s="6">
        <f>HYPERLINK("https://map.naver.com/p/search/장군면 금암리 120", "지도Link")</f>
        <v/>
      </c>
      <c r="N2160" s="6">
        <f>HYPERLINK("http://www.eum.go.kr/web/ar/lu/luLandDet.jsp?pnu=3611035025101200000&amp;isNoScr=script&amp;mode=search", "토지이음")</f>
        <v/>
      </c>
      <c r="O2160" s="3" t="inlineStr">
        <is>
          <t>금화랜드</t>
        </is>
      </c>
      <c r="P2160" s="4" t="n">
        <v>1</v>
      </c>
      <c r="Q2160" s="4" t="n">
        <v>1057</v>
      </c>
      <c r="R2160" s="3" t="inlineStr">
        <is>
          <t>지정되지않음</t>
        </is>
      </c>
      <c r="S2160" s="3" t="inlineStr">
        <is>
          <t>전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금암리 132-45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142000</v>
      </c>
      <c r="G2161" s="4" t="n">
        <v>587</v>
      </c>
      <c r="H2161" s="4" t="n">
        <v>178</v>
      </c>
      <c r="I2161" s="5" t="n">
        <v>797.8</v>
      </c>
      <c r="J2161" s="5" t="n">
        <v>12.9</v>
      </c>
      <c r="K2161" s="3" t="inlineStr">
        <is>
          <t>금강의 물줄기를 바로 눈앞에서 즐길 수 있는 귀한 매물</t>
        </is>
      </c>
      <c r="L2161" s="6">
        <f>HYPERLINK("https://fin.land.naver.com/articles/2651702714", "매물Link")</f>
        <v/>
      </c>
      <c r="M2161" s="6">
        <f>HYPERLINK("https://map.naver.com/p/search/장군면 금암리 132-45", "지도Link")</f>
        <v/>
      </c>
      <c r="N2161" s="6">
        <f>HYPERLINK("http://www.eum.go.kr/web/ar/lu/luLandDet.jsp?pnu=3611035025101320045&amp;isNoScr=script&amp;mode=search", "토지이음")</f>
        <v/>
      </c>
      <c r="O2161" s="3" t="inlineStr">
        <is>
          <t>세종제일</t>
        </is>
      </c>
      <c r="P2161" s="4" t="n">
        <v>1</v>
      </c>
      <c r="Q2161" s="4" t="n">
        <v>587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중로한면</t>
        </is>
      </c>
    </row>
    <row r="2162">
      <c r="A2162" s="3" t="inlineStr">
        <is>
          <t>장군면 금암리 136-1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440000</v>
      </c>
      <c r="G2162" s="4" t="n">
        <v>4166</v>
      </c>
      <c r="H2162" s="4" t="n">
        <v>1260</v>
      </c>
      <c r="I2162" s="5" t="n">
        <v>349.2</v>
      </c>
      <c r="J2162" s="5" t="n">
        <v>131.9</v>
      </c>
      <c r="K2162" s="3" t="inlineStr">
        <is>
          <t>계획관리지역 접근성 및 주차장 넓은 근린생활시설용 건물매매</t>
        </is>
      </c>
      <c r="L2162" s="6">
        <f>HYPERLINK("https://fin.land.naver.com/articles/2654802750", "매물Link")</f>
        <v/>
      </c>
      <c r="M2162" s="6">
        <f>HYPERLINK("https://map.naver.com/p/search/장군면 금암리 136-1", "지도Link")</f>
        <v/>
      </c>
      <c r="N2162" s="6">
        <f>HYPERLINK("http://www.eum.go.kr/web/ar/lu/luLandDet.jsp?pnu=3611035025101360001&amp;isNoScr=script&amp;mode=search", "토지이음")</f>
        <v/>
      </c>
      <c r="O2162" s="3" t="inlineStr">
        <is>
          <t>금화랜드</t>
        </is>
      </c>
      <c r="P2162" s="4" t="n">
        <v>1</v>
      </c>
      <c r="Q2162" s="4" t="n">
        <v>1937</v>
      </c>
      <c r="R2162" s="3" t="inlineStr">
        <is>
          <t>지정되지않음</t>
        </is>
      </c>
      <c r="S2162" s="3" t="inlineStr">
        <is>
          <t>주상기타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소로한면</t>
        </is>
      </c>
    </row>
    <row r="2163">
      <c r="A2163" s="3" t="inlineStr">
        <is>
          <t>장군면 금암리 151-5</t>
        </is>
      </c>
      <c r="B2163" s="3" t="inlineStr">
        <is>
          <t>계획관리지역</t>
        </is>
      </c>
      <c r="C2163" s="3" t="inlineStr">
        <is>
          <t>목장용지</t>
        </is>
      </c>
      <c r="D2163" s="3" t="inlineStr">
        <is>
          <t>목장용지</t>
        </is>
      </c>
      <c r="E2163" s="3" t="inlineStr">
        <is>
          <t>매매</t>
        </is>
      </c>
      <c r="F2163" s="4" t="n">
        <v>25000</v>
      </c>
      <c r="G2163" s="4" t="n">
        <v>294</v>
      </c>
      <c r="H2163" s="4" t="n">
        <v>89</v>
      </c>
      <c r="I2163" s="5" t="n">
        <v>280.9</v>
      </c>
      <c r="J2163" s="5" t="n">
        <v>97.5</v>
      </c>
      <c r="K2163" s="3" t="inlineStr">
        <is>
          <t>계획관리지역, 도로지분포함 , 세종시10분이내 추천매매</t>
        </is>
      </c>
      <c r="L2163" s="6">
        <f>HYPERLINK("https://fin.land.naver.com/articles/2652095398", "매물Link")</f>
        <v/>
      </c>
      <c r="M2163" s="6">
        <f>HYPERLINK("https://map.naver.com/p/search/장군면 금암리 151-5", "지도Link")</f>
        <v/>
      </c>
      <c r="N2163" s="6">
        <f>HYPERLINK("http://www.eum.go.kr/web/ar/lu/luLandDet.jsp?pnu=3611035025101510005&amp;isNoScr=script&amp;mode=search", "토지이음")</f>
        <v/>
      </c>
      <c r="O2163" s="3" t="inlineStr">
        <is>
          <t>Home</t>
        </is>
      </c>
      <c r="P2163" s="4" t="n">
        <v>1</v>
      </c>
      <c r="Q2163" s="4" t="n">
        <v>294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금암리 231</t>
        </is>
      </c>
      <c r="B2164" s="3" t="inlineStr">
        <is>
          <t>계획관리지역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150000</v>
      </c>
      <c r="G2164" s="4" t="n">
        <v>4516</v>
      </c>
      <c r="H2164" s="4" t="n">
        <v>1366</v>
      </c>
      <c r="I2164" s="5" t="n">
        <v>109.8</v>
      </c>
      <c r="J2164" s="5" t="n">
        <v>71</v>
      </c>
      <c r="K2164" s="3" t="inlineStr">
        <is>
          <t>금액 조절 돼요 관심있으시면 전화주세요</t>
        </is>
      </c>
      <c r="L2164" s="6">
        <f>HYPERLINK("https://fin.land.naver.com/articles/2651502677", "매물Link")</f>
        <v/>
      </c>
      <c r="M2164" s="6">
        <f>HYPERLINK("https://map.naver.com/p/search/장군면 금암리 231", "지도Link")</f>
        <v/>
      </c>
      <c r="N2164" s="6">
        <f>HYPERLINK("http://www.eum.go.kr/web/ar/lu/luLandDet.jsp?pnu=3611035025102310000&amp;isNoScr=script&amp;mode=search", "토지이음")</f>
        <v/>
      </c>
      <c r="O2164" s="3" t="inlineStr">
        <is>
          <t>행복한푸르지오</t>
        </is>
      </c>
      <c r="P2164" s="4" t="n">
        <v>1</v>
      </c>
      <c r="Q2164" s="4" t="n">
        <v>1711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평지</t>
        </is>
      </c>
      <c r="U2164" s="3" t="inlineStr">
        <is>
          <t>사다리형</t>
        </is>
      </c>
      <c r="V2164" s="3" t="inlineStr">
        <is>
          <t>세로한면(불)</t>
        </is>
      </c>
    </row>
    <row r="2165">
      <c r="A2165" s="3" t="inlineStr">
        <is>
          <t>장군면 금암리 236-2</t>
        </is>
      </c>
      <c r="B2165" s="3" t="inlineStr">
        <is>
          <t>계획관리지역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150000</v>
      </c>
      <c r="G2165" s="4" t="n">
        <v>4537</v>
      </c>
      <c r="H2165" s="4" t="n">
        <v>1372</v>
      </c>
      <c r="I2165" s="5" t="n">
        <v>109.3</v>
      </c>
      <c r="J2165" s="5" t="n">
        <v>85.90000000000001</v>
      </c>
      <c r="K2165" s="3" t="inlineStr">
        <is>
          <t>장군면 금암리 2차선변 옆 대형 계획관리 토지, 영상대 가는길, 급매</t>
        </is>
      </c>
      <c r="L2165" s="6">
        <f>HYPERLINK("https://fin.land.naver.com/articles/2650534141", "매물Link")</f>
        <v/>
      </c>
      <c r="M2165" s="6">
        <f>HYPERLINK("https://map.naver.com/p/search/장군면 금암리 236-2", "지도Link")</f>
        <v/>
      </c>
      <c r="N2165" s="6">
        <f>HYPERLINK("http://www.eum.go.kr/web/ar/lu/luLandDet.jsp?pnu=3611035025102360002&amp;isNoScr=script&amp;mode=search", "토지이음")</f>
        <v/>
      </c>
      <c r="O2165" s="3" t="inlineStr">
        <is>
          <t>스카이</t>
        </is>
      </c>
      <c r="P2165" s="4" t="n">
        <v>1</v>
      </c>
      <c r="Q2165" s="4" t="n">
        <v>2595</v>
      </c>
      <c r="R2165" s="3" t="inlineStr">
        <is>
          <t>지정되지않음</t>
        </is>
      </c>
      <c r="S2165" s="3" t="inlineStr">
        <is>
          <t>답</t>
        </is>
      </c>
      <c r="T2165" s="3" t="inlineStr">
        <is>
          <t>평지</t>
        </is>
      </c>
      <c r="U2165" s="3" t="inlineStr">
        <is>
          <t>부정형</t>
        </is>
      </c>
      <c r="V2165" s="3" t="inlineStr">
        <is>
          <t>소로한면</t>
        </is>
      </c>
    </row>
    <row r="2166">
      <c r="A2166" s="3" t="inlineStr">
        <is>
          <t>장군면 금암리 274-23</t>
        </is>
      </c>
      <c r="B2166" s="3" t="inlineStr">
        <is>
          <t>농림지역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270000</v>
      </c>
      <c r="G2166" s="4" t="n">
        <v>4628</v>
      </c>
      <c r="H2166" s="4" t="n">
        <v>1400</v>
      </c>
      <c r="I2166" s="5" t="n">
        <v>192.9</v>
      </c>
      <c r="J2166" s="5" t="n">
        <v>3.9</v>
      </c>
      <c r="K2166" s="3" t="inlineStr">
        <is>
          <t>세종시 공공시설복합단지 인근 최고의 조망을 자랑하는 임야</t>
        </is>
      </c>
      <c r="L2166" s="6">
        <f>HYPERLINK("https://fin.land.naver.com/articles/2650447465", "매물Link")</f>
        <v/>
      </c>
      <c r="M2166" s="6">
        <f>HYPERLINK("https://map.naver.com/p/search/장군면 금암리 274-23", "지도Link")</f>
        <v/>
      </c>
      <c r="N2166" s="6">
        <f>HYPERLINK("http://www.eum.go.kr/web/ar/lu/luLandDet.jsp?pnu=3611035025102740023&amp;isNoScr=script&amp;mode=search", "토지이음")</f>
        <v/>
      </c>
      <c r="O2166" s="3" t="inlineStr">
        <is>
          <t>세종제일</t>
        </is>
      </c>
      <c r="P2166" s="4" t="n">
        <v>1</v>
      </c>
      <c r="Q2166" s="4" t="n">
        <v>3977</v>
      </c>
      <c r="R2166" s="3" t="inlineStr">
        <is>
          <t>지정되지않음</t>
        </is>
      </c>
      <c r="S2166" s="3" t="inlineStr">
        <is>
          <t>자연림</t>
        </is>
      </c>
      <c r="T2166" s="3" t="inlineStr">
        <is>
          <t>완경사</t>
        </is>
      </c>
      <c r="U2166" s="3" t="inlineStr">
        <is>
          <t>부정형</t>
        </is>
      </c>
      <c r="V2166" s="3" t="inlineStr">
        <is>
          <t>맹지</t>
        </is>
      </c>
    </row>
    <row r="2167">
      <c r="A2167" s="3" t="inlineStr">
        <is>
          <t>장군면 금암리 274-29</t>
        </is>
      </c>
      <c r="B2167" s="3" t="inlineStr">
        <is>
          <t>보전관리지역</t>
        </is>
      </c>
      <c r="C2167" s="3" t="inlineStr">
        <is>
          <t>공장용지</t>
        </is>
      </c>
      <c r="D2167" s="3" t="inlineStr">
        <is>
          <t>공장용지</t>
        </is>
      </c>
      <c r="E2167" s="3" t="inlineStr">
        <is>
          <t>매매</t>
        </is>
      </c>
      <c r="F2167" s="4" t="n">
        <v>77300</v>
      </c>
      <c r="G2167" s="4" t="n">
        <v>639</v>
      </c>
      <c r="H2167" s="4" t="n">
        <v>193</v>
      </c>
      <c r="I2167" s="5" t="n">
        <v>400.5</v>
      </c>
      <c r="J2167" s="5" t="n">
        <v>56.7</v>
      </c>
      <c r="K2167" s="3" t="inlineStr">
        <is>
          <t>공공시설복합단지에 접.  정남향의 금강 조망 최고.</t>
        </is>
      </c>
      <c r="L2167" s="6">
        <f>HYPERLINK("https://fin.land.naver.com/articles/2653412851", "매물Link")</f>
        <v/>
      </c>
      <c r="M2167" s="6">
        <f>HYPERLINK("https://map.naver.com/p/search/장군면 금암리 274-29", "지도Link")</f>
        <v/>
      </c>
      <c r="N2167" s="6">
        <f>HYPERLINK("http://www.eum.go.kr/web/ar/lu/luLandDet.jsp?pnu=3611035025102740029&amp;isNoScr=script&amp;mode=search", "토지이음")</f>
        <v/>
      </c>
      <c r="O2167" s="3" t="inlineStr">
        <is>
          <t>세종제일</t>
        </is>
      </c>
      <c r="P2167" s="4" t="n">
        <v>1</v>
      </c>
      <c r="Q2167" s="4" t="n">
        <v>557</v>
      </c>
      <c r="R2167" s="3" t="inlineStr">
        <is>
          <t>지정되지않음</t>
        </is>
      </c>
      <c r="S2167" s="3" t="inlineStr">
        <is>
          <t>공업용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금암리 274-31</t>
        </is>
      </c>
      <c r="B2168" s="3" t="inlineStr">
        <is>
          <t>보전관리지역</t>
        </is>
      </c>
      <c r="C2168" s="3" t="inlineStr">
        <is>
          <t>공장용지</t>
        </is>
      </c>
      <c r="D2168" s="3" t="inlineStr">
        <is>
          <t>공장용지</t>
        </is>
      </c>
      <c r="E2168" s="3" t="inlineStr">
        <is>
          <t>매매</t>
        </is>
      </c>
      <c r="F2168" s="4" t="n">
        <v>170000</v>
      </c>
      <c r="G2168" s="4" t="n">
        <v>1138</v>
      </c>
      <c r="H2168" s="4" t="n">
        <v>344</v>
      </c>
      <c r="I2168" s="5" t="n">
        <v>494.2</v>
      </c>
      <c r="J2168" s="5" t="n">
        <v>56.7</v>
      </c>
      <c r="K2168" s="3" t="inlineStr">
        <is>
          <t>공공시설복합단지에 바로 접한 최고의 조망이 보장되는 자리</t>
        </is>
      </c>
      <c r="L2168" s="6">
        <f>HYPERLINK("https://fin.land.naver.com/articles/2654194319", "매물Link")</f>
        <v/>
      </c>
      <c r="M2168" s="6">
        <f>HYPERLINK("https://map.naver.com/p/search/장군면 금암리 274-31", "지도Link")</f>
        <v/>
      </c>
      <c r="N2168" s="6">
        <f>HYPERLINK("http://www.eum.go.kr/web/ar/lu/luLandDet.jsp?pnu=3611035025102740031&amp;isNoScr=script&amp;mode=search", "토지이음")</f>
        <v/>
      </c>
      <c r="O2168" s="3" t="inlineStr">
        <is>
          <t>세종제일</t>
        </is>
      </c>
      <c r="P2168" s="4" t="n">
        <v>1</v>
      </c>
      <c r="Q2168" s="4" t="n">
        <v>992</v>
      </c>
      <c r="R2168" s="3" t="inlineStr">
        <is>
          <t>지정되지않음</t>
        </is>
      </c>
      <c r="S2168" s="3" t="inlineStr">
        <is>
          <t>공업용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금암리 274-35</t>
        </is>
      </c>
      <c r="B2169" s="3" t="inlineStr">
        <is>
          <t>보전관리지역</t>
        </is>
      </c>
      <c r="C2169" s="3" t="inlineStr">
        <is>
          <t>공장용지</t>
        </is>
      </c>
      <c r="D2169" s="3" t="inlineStr">
        <is>
          <t>공장용지</t>
        </is>
      </c>
      <c r="E2169" s="3" t="inlineStr">
        <is>
          <t>매매</t>
        </is>
      </c>
      <c r="F2169" s="4" t="n">
        <v>82000</v>
      </c>
      <c r="G2169" s="4" t="n">
        <v>677</v>
      </c>
      <c r="H2169" s="4" t="n">
        <v>205</v>
      </c>
      <c r="I2169" s="5" t="n">
        <v>400</v>
      </c>
      <c r="J2169" s="5" t="n">
        <v>56.7</v>
      </c>
      <c r="K2169" s="3" t="inlineStr">
        <is>
          <t>공공시설복합단지 바로 인접.  약간 높은 지대로 금강 조망 좋음.</t>
        </is>
      </c>
      <c r="L2169" s="6">
        <f>HYPERLINK("https://fin.land.naver.com/articles/2650449060", "매물Link")</f>
        <v/>
      </c>
      <c r="M2169" s="6">
        <f>HYPERLINK("https://map.naver.com/p/search/장군면 금암리 274-35", "지도Link")</f>
        <v/>
      </c>
      <c r="N2169" s="6">
        <f>HYPERLINK("http://www.eum.go.kr/web/ar/lu/luLandDet.jsp?pnu=3611035025102740035&amp;isNoScr=script&amp;mode=search", "토지이음")</f>
        <v/>
      </c>
      <c r="O2169" s="3" t="inlineStr">
        <is>
          <t>세종제일</t>
        </is>
      </c>
      <c r="P2169" s="4" t="n">
        <v>1</v>
      </c>
      <c r="Q2169" s="4" t="n">
        <v>548</v>
      </c>
      <c r="R2169" s="3" t="inlineStr">
        <is>
          <t>지정되지않음</t>
        </is>
      </c>
      <c r="S2169" s="3" t="inlineStr">
        <is>
          <t>공업용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금암리 274-5</t>
        </is>
      </c>
      <c r="B2170" s="3" t="inlineStr">
        <is>
          <t>보전관리지역</t>
        </is>
      </c>
      <c r="C2170" s="3" t="inlineStr">
        <is>
          <t>공장용지</t>
        </is>
      </c>
      <c r="D2170" s="3" t="inlineStr">
        <is>
          <t>공장용지</t>
        </is>
      </c>
      <c r="E2170" s="3" t="inlineStr">
        <is>
          <t>매매</t>
        </is>
      </c>
      <c r="F2170" s="4" t="n">
        <v>86000</v>
      </c>
      <c r="G2170" s="4" t="n">
        <v>711</v>
      </c>
      <c r="H2170" s="4" t="n">
        <v>215</v>
      </c>
      <c r="I2170" s="5" t="n">
        <v>400</v>
      </c>
      <c r="J2170" s="5" t="n">
        <v>56.7</v>
      </c>
      <c r="K2170" s="3" t="inlineStr">
        <is>
          <t>공공시설복합단지에 접한 정남향 부지.</t>
        </is>
      </c>
      <c r="L2170" s="6">
        <f>HYPERLINK("https://fin.land.naver.com/articles/2653413633", "매물Link")</f>
        <v/>
      </c>
      <c r="M2170" s="6">
        <f>HYPERLINK("https://map.naver.com/p/search/장군면 금암리 274-5", "지도Link")</f>
        <v/>
      </c>
      <c r="N2170" s="6">
        <f>HYPERLINK("http://www.eum.go.kr/web/ar/lu/luLandDet.jsp?pnu=3611035025102740005&amp;isNoScr=script&amp;mode=search", "토지이음")</f>
        <v/>
      </c>
      <c r="O2170" s="3" t="inlineStr">
        <is>
          <t>세종제일</t>
        </is>
      </c>
      <c r="P2170" s="4" t="n">
        <v>1</v>
      </c>
      <c r="Q2170" s="4" t="n">
        <v>620</v>
      </c>
      <c r="R2170" s="3" t="inlineStr">
        <is>
          <t>지정되지않음</t>
        </is>
      </c>
      <c r="S2170" s="3" t="inlineStr">
        <is>
          <t>공업용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금암리 274-54</t>
        </is>
      </c>
      <c r="B2171" s="3" t="inlineStr">
        <is>
          <t>보전관리지역</t>
        </is>
      </c>
      <c r="C2171" s="3" t="inlineStr">
        <is>
          <t>공장용지</t>
        </is>
      </c>
      <c r="D2171" s="3" t="inlineStr">
        <is>
          <t>공장용지</t>
        </is>
      </c>
      <c r="E2171" s="3" t="inlineStr">
        <is>
          <t>매매</t>
        </is>
      </c>
      <c r="F2171" s="4" t="n">
        <v>940000</v>
      </c>
      <c r="G2171" s="4" t="n">
        <v>7768</v>
      </c>
      <c r="H2171" s="4" t="n">
        <v>2350</v>
      </c>
      <c r="I2171" s="5" t="n">
        <v>400</v>
      </c>
      <c r="J2171" s="5" t="n">
        <v>56.7</v>
      </c>
      <c r="K2171" s="3" t="inlineStr">
        <is>
          <t>금강, 산림박물관 등이 한눈에 내려다보이는 최고의 조망</t>
        </is>
      </c>
      <c r="L2171" s="6">
        <f>HYPERLINK("https://fin.land.naver.com/articles/2654194653", "매물Link")</f>
        <v/>
      </c>
      <c r="M2171" s="6">
        <f>HYPERLINK("https://map.naver.com/p/search/장군면 금암리 274-54", "지도Link")</f>
        <v/>
      </c>
      <c r="N2171" s="6">
        <f>HYPERLINK("http://www.eum.go.kr/web/ar/lu/luLandDet.jsp?pnu=3611035025102740054&amp;isNoScr=script&amp;mode=search", "토지이음")</f>
        <v/>
      </c>
      <c r="O2171" s="3" t="inlineStr">
        <is>
          <t>세종제일</t>
        </is>
      </c>
      <c r="P2171" s="4" t="n">
        <v>1</v>
      </c>
      <c r="Q2171" s="4" t="n">
        <v>629</v>
      </c>
      <c r="R2171" s="3" t="inlineStr">
        <is>
          <t>지정되지않음</t>
        </is>
      </c>
      <c r="S2171" s="3" t="inlineStr">
        <is>
          <t>공업용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금암리 275-2</t>
        </is>
      </c>
      <c r="B2172" s="3" t="inlineStr">
        <is>
          <t>생산관리지역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84000</v>
      </c>
      <c r="G2172" s="4" t="n">
        <v>659</v>
      </c>
      <c r="H2172" s="4" t="n">
        <v>199</v>
      </c>
      <c r="I2172" s="5" t="n">
        <v>422.1</v>
      </c>
      <c r="J2172" s="5" t="n">
        <v>63.7</v>
      </c>
      <c r="K2172" s="3" t="inlineStr">
        <is>
          <t>공공시설복합단지 도로에 바로 접한 근생 최적지</t>
        </is>
      </c>
      <c r="L2172" s="6">
        <f>HYPERLINK("https://fin.land.naver.com/articles/2653414213", "매물Link")</f>
        <v/>
      </c>
      <c r="M2172" s="6">
        <f>HYPERLINK("https://map.naver.com/p/search/장군면 금암리 275-2", "지도Link")</f>
        <v/>
      </c>
      <c r="N2172" s="6">
        <f>HYPERLINK("http://www.eum.go.kr/web/ar/lu/luLandDet.jsp?pnu=3611035025102750002&amp;isNoScr=script&amp;mode=search", "토지이음")</f>
        <v/>
      </c>
      <c r="O2172" s="3" t="inlineStr">
        <is>
          <t>세종제일</t>
        </is>
      </c>
      <c r="P2172" s="4" t="n">
        <v>1</v>
      </c>
      <c r="Q2172" s="4" t="n">
        <v>659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세로한면(가)</t>
        </is>
      </c>
    </row>
    <row r="2173">
      <c r="A2173" s="3" t="inlineStr">
        <is>
          <t>장군면 금암리 280</t>
        </is>
      </c>
      <c r="B2173" s="3" t="inlineStr">
        <is>
          <t>생산관리지역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470000</v>
      </c>
      <c r="G2173" s="4" t="n">
        <v>2810</v>
      </c>
      <c r="H2173" s="4" t="n">
        <v>850</v>
      </c>
      <c r="I2173" s="5" t="n">
        <v>552.9</v>
      </c>
      <c r="J2173" s="5" t="n">
        <v>59.7</v>
      </c>
      <c r="K2173" s="3" t="inlineStr">
        <is>
          <t>금강, 산림박물관, 공공시설복합단지가 한눈에 내려다 보이는 최고 조망</t>
        </is>
      </c>
      <c r="L2173" s="6">
        <f>HYPERLINK("https://fin.land.naver.com/articles/2650452096", "매물Link")</f>
        <v/>
      </c>
      <c r="M2173" s="6">
        <f>HYPERLINK("https://map.naver.com/p/search/장군면 금암리 280", "지도Link")</f>
        <v/>
      </c>
      <c r="N2173" s="6">
        <f>HYPERLINK("http://www.eum.go.kr/web/ar/lu/luLandDet.jsp?pnu=3611035025102800000&amp;isNoScr=script&amp;mode=search", "토지이음")</f>
        <v/>
      </c>
      <c r="O2173" s="3" t="inlineStr">
        <is>
          <t>세종제일</t>
        </is>
      </c>
      <c r="P2173" s="4" t="n">
        <v>1</v>
      </c>
      <c r="Q2173" s="4" t="n">
        <v>2674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세로한면(불)</t>
        </is>
      </c>
    </row>
    <row r="2174">
      <c r="A2174" s="3" t="inlineStr">
        <is>
          <t>장군면 금암리 281-15</t>
        </is>
      </c>
      <c r="B2174" s="3" t="inlineStr">
        <is>
          <t>보전관리지역</t>
        </is>
      </c>
      <c r="C2174" s="3" t="inlineStr">
        <is>
          <t>유원지</t>
        </is>
      </c>
      <c r="D2174" s="3" t="inlineStr">
        <is>
          <t>유원지</t>
        </is>
      </c>
      <c r="E2174" s="3" t="inlineStr">
        <is>
          <t>매매</t>
        </is>
      </c>
      <c r="F2174" s="4" t="n">
        <v>90415</v>
      </c>
      <c r="G2174" s="4" t="n">
        <v>1107</v>
      </c>
      <c r="H2174" s="4" t="n">
        <v>335</v>
      </c>
      <c r="I2174" s="5" t="n">
        <v>269.9</v>
      </c>
      <c r="J2174" s="5" t="n">
        <v>126.6</v>
      </c>
      <c r="K2174" s="3" t="inlineStr">
        <is>
          <t>급매, 334p, 불티교 인접, 건물 별도, 토지 통매</t>
        </is>
      </c>
      <c r="L2174" s="6">
        <f>HYPERLINK("https://fin.land.naver.com/articles/2652940384", "매물Link")</f>
        <v/>
      </c>
      <c r="M2174" s="6">
        <f>HYPERLINK("https://map.naver.com/p/search/장군면 금암리 281-15", "지도Link")</f>
        <v/>
      </c>
      <c r="N2174" s="6">
        <f>HYPERLINK("http://www.eum.go.kr/web/ar/lu/luLandDet.jsp?pnu=3611035025102810015&amp;isNoScr=script&amp;mode=search", "토지이음")</f>
        <v/>
      </c>
      <c r="O2174" s="3" t="inlineStr">
        <is>
          <t>지금힐스</t>
        </is>
      </c>
      <c r="P2174" s="4" t="n">
        <v>1</v>
      </c>
      <c r="Q2174" s="4" t="n">
        <v>420</v>
      </c>
      <c r="R2174" s="3" t="inlineStr">
        <is>
          <t>농림지역</t>
        </is>
      </c>
      <c r="S2174" s="3" t="inlineStr">
        <is>
          <t>업무용</t>
        </is>
      </c>
      <c r="T2174" s="3" t="inlineStr">
        <is>
          <t>완경사</t>
        </is>
      </c>
      <c r="U2174" s="3" t="inlineStr">
        <is>
          <t>부정형</t>
        </is>
      </c>
      <c r="V2174" s="3" t="inlineStr">
        <is>
          <t>소로각지</t>
        </is>
      </c>
    </row>
    <row r="2175">
      <c r="A2175" s="3" t="inlineStr">
        <is>
          <t>장군면 금암리 281-23</t>
        </is>
      </c>
      <c r="B2175" s="3" t="inlineStr">
        <is>
          <t>보전관리지역</t>
        </is>
      </c>
      <c r="C2175" s="3" t="inlineStr">
        <is>
          <t>임야</t>
        </is>
      </c>
      <c r="D2175" s="3" t="inlineStr">
        <is>
          <t>임야</t>
        </is>
      </c>
      <c r="E2175" s="3" t="inlineStr">
        <is>
          <t>매매</t>
        </is>
      </c>
      <c r="F2175" s="4" t="n">
        <v>25000</v>
      </c>
      <c r="G2175" s="4" t="n">
        <v>332</v>
      </c>
      <c r="H2175" s="4" t="n">
        <v>100</v>
      </c>
      <c r="I2175" s="5" t="n">
        <v>250</v>
      </c>
      <c r="J2175" s="5" t="n">
        <v>63.6</v>
      </c>
      <c r="K2175" s="3" t="inlineStr">
        <is>
          <t>금강조망 가능한 근생부지</t>
        </is>
      </c>
      <c r="L2175" s="6">
        <f>HYPERLINK("https://fin.land.naver.com/articles/2653411911", "매물Link")</f>
        <v/>
      </c>
      <c r="M2175" s="6">
        <f>HYPERLINK("https://map.naver.com/p/search/장군면 금암리 281-23", "지도Link")</f>
        <v/>
      </c>
      <c r="N2175" s="6">
        <f>HYPERLINK("http://www.eum.go.kr/web/ar/lu/luLandDet.jsp?pnu=3611035025102810023&amp;isNoScr=script&amp;mode=search", "토지이음")</f>
        <v/>
      </c>
      <c r="O2175" s="3" t="inlineStr">
        <is>
          <t>세종제일</t>
        </is>
      </c>
      <c r="P2175" s="4" t="n">
        <v>1</v>
      </c>
      <c r="Q2175" s="4" t="n">
        <v>332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완경사</t>
        </is>
      </c>
      <c r="U2175" s="3" t="inlineStr">
        <is>
          <t>부정형</t>
        </is>
      </c>
      <c r="V2175" s="3" t="inlineStr">
        <is>
          <t>소로한면</t>
        </is>
      </c>
    </row>
    <row r="2176">
      <c r="A2176" s="3" t="inlineStr">
        <is>
          <t>장군면 금암리 281-33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전</t>
        </is>
      </c>
      <c r="E2176" s="3" t="inlineStr">
        <is>
          <t>매매</t>
        </is>
      </c>
      <c r="F2176" s="4" t="n">
        <v>108700</v>
      </c>
      <c r="G2176" s="4" t="n">
        <v>654</v>
      </c>
      <c r="H2176" s="4" t="n">
        <v>198</v>
      </c>
      <c r="I2176" s="5" t="n">
        <v>549</v>
      </c>
      <c r="J2176" s="5" t="n">
        <v>116</v>
      </c>
      <c r="K2176" s="3" t="inlineStr">
        <is>
          <t>세종시 공공시설복합단지 정문 바로 앞</t>
        </is>
      </c>
      <c r="L2176" s="6">
        <f>HYPERLINK("https://fin.land.naver.com/articles/2651702680", "매물Link")</f>
        <v/>
      </c>
      <c r="M2176" s="6">
        <f>HYPERLINK("https://map.naver.com/p/search/장군면 금암리 281-33", "지도Link")</f>
        <v/>
      </c>
      <c r="N2176" s="6">
        <f>HYPERLINK("http://www.eum.go.kr/web/ar/lu/luLandDet.jsp?pnu=3611035025102810033&amp;isNoScr=script&amp;mode=search", "토지이음")</f>
        <v/>
      </c>
      <c r="O2176" s="3" t="inlineStr">
        <is>
          <t>세종제일</t>
        </is>
      </c>
      <c r="P2176" s="4" t="n">
        <v>1</v>
      </c>
      <c r="Q2176" s="4" t="n">
        <v>136</v>
      </c>
      <c r="R2176" s="3" t="inlineStr">
        <is>
          <t>농림지역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부정형</t>
        </is>
      </c>
      <c r="V2176" s="3" t="inlineStr">
        <is>
          <t>소로한면</t>
        </is>
      </c>
    </row>
    <row r="2177">
      <c r="A2177" s="3" t="inlineStr">
        <is>
          <t>장군면 금암리 283-115</t>
        </is>
      </c>
      <c r="B2177" s="3" t="inlineStr">
        <is>
          <t>농림지역</t>
        </is>
      </c>
      <c r="C2177" s="3" t="inlineStr">
        <is>
          <t>임야</t>
        </is>
      </c>
      <c r="D2177" s="3" t="inlineStr">
        <is>
          <t>임야</t>
        </is>
      </c>
      <c r="E2177" s="3" t="inlineStr">
        <is>
          <t>매매</t>
        </is>
      </c>
      <c r="F2177" s="4" t="n">
        <v>11000</v>
      </c>
      <c r="G2177" s="4" t="n">
        <v>153</v>
      </c>
      <c r="H2177" s="4" t="n">
        <v>46</v>
      </c>
      <c r="I2177" s="5" t="n">
        <v>239.1</v>
      </c>
      <c r="J2177" s="5" t="n">
        <v>39.7</v>
      </c>
      <c r="K2177" s="3" t="inlineStr">
        <is>
          <t>nan</t>
        </is>
      </c>
      <c r="L2177" s="6">
        <f>HYPERLINK("https://fin.land.naver.com/articles/2654420087", "매물Link")</f>
        <v/>
      </c>
      <c r="M2177" s="6">
        <f>HYPERLINK("https://map.naver.com/p/search/장군면 금암리 283-115", "지도Link")</f>
        <v/>
      </c>
      <c r="N2177" s="6">
        <f>HYPERLINK("http://www.eum.go.kr/web/ar/lu/luLandDet.jsp?pnu=3611035025102830115&amp;isNoScr=script&amp;mode=search",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153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소로한면</t>
        </is>
      </c>
    </row>
    <row r="2178">
      <c r="A2178" s="3" t="inlineStr">
        <is>
          <t>장군면 금암리 283-116</t>
        </is>
      </c>
      <c r="B2178" s="3" t="inlineStr">
        <is>
          <t>농림지역</t>
        </is>
      </c>
      <c r="C2178" s="3" t="inlineStr">
        <is>
          <t>임야</t>
        </is>
      </c>
      <c r="D2178" s="3" t="inlineStr">
        <is>
          <t>임야</t>
        </is>
      </c>
      <c r="E2178" s="3" t="inlineStr">
        <is>
          <t>매매</t>
        </is>
      </c>
      <c r="F2178" s="4" t="n">
        <v>4300</v>
      </c>
      <c r="G2178" s="4" t="n">
        <v>61</v>
      </c>
      <c r="H2178" s="4" t="n">
        <v>18</v>
      </c>
      <c r="I2178" s="5" t="n">
        <v>238.9</v>
      </c>
      <c r="J2178" s="5" t="n">
        <v>39.7</v>
      </c>
      <c r="K2178" s="3" t="inlineStr">
        <is>
          <t>nan</t>
        </is>
      </c>
      <c r="L2178" s="6">
        <f>HYPERLINK("https://fin.land.naver.com/articles/2654419667", "매물Link")</f>
        <v/>
      </c>
      <c r="M2178" s="6">
        <f>HYPERLINK("https://map.naver.com/p/search/장군면 금암리 283-116", "지도Link")</f>
        <v/>
      </c>
      <c r="N2178" s="6">
        <f>HYPERLINK("http://www.eum.go.kr/web/ar/lu/luLandDet.jsp?pnu=3611035025102830116&amp;isNoScr=script&amp;mode=search", "토지이음")</f>
        <v/>
      </c>
      <c r="O2178" s="3" t="inlineStr">
        <is>
          <t>그래그</t>
        </is>
      </c>
      <c r="P2178" s="4" t="n">
        <v>1</v>
      </c>
      <c r="Q2178" s="4" t="n">
        <v>61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소로한면</t>
        </is>
      </c>
    </row>
    <row r="2179">
      <c r="A2179" s="3" t="inlineStr">
        <is>
          <t>장군면 금암리 283-138</t>
        </is>
      </c>
      <c r="B2179" s="3" t="inlineStr">
        <is>
          <t>계획관리지역</t>
        </is>
      </c>
      <c r="C2179" s="3" t="inlineStr">
        <is>
          <t>임야</t>
        </is>
      </c>
      <c r="D2179" s="3" t="inlineStr">
        <is>
          <t>임야</t>
        </is>
      </c>
      <c r="E2179" s="3" t="inlineStr">
        <is>
          <t>매매</t>
        </is>
      </c>
      <c r="F2179" s="4" t="n">
        <v>98000</v>
      </c>
      <c r="G2179" s="4" t="n">
        <v>737</v>
      </c>
      <c r="H2179" s="4" t="n">
        <v>223</v>
      </c>
      <c r="I2179" s="5" t="n">
        <v>439.5</v>
      </c>
      <c r="J2179" s="5" t="n">
        <v>184.3</v>
      </c>
      <c r="K2179" s="3" t="inlineStr">
        <is>
          <t>금암리 청벽마을에 있는 조망 좋은 계획관리지역의 신축 전원주택입니다</t>
        </is>
      </c>
      <c r="L2179" s="6">
        <f>HYPERLINK("https://fin.land.naver.com/articles/2651946238", "매물Link")</f>
        <v/>
      </c>
      <c r="M2179" s="6">
        <f>HYPERLINK("https://map.naver.com/p/search/장군면 금암리 283-138", "지도Link")</f>
        <v/>
      </c>
      <c r="N2179" s="6">
        <f>HYPERLINK("http://www.eum.go.kr/web/ar/lu/luLandDet.jsp?pnu=3611035025102830138&amp;isNoScr=script&amp;mode=search", "토지이음")</f>
        <v/>
      </c>
      <c r="O2179" s="3" t="inlineStr">
        <is>
          <t>스마일세종</t>
        </is>
      </c>
      <c r="P2179" s="4" t="n">
        <v>1</v>
      </c>
      <c r="Q2179" s="4" t="n">
        <v>737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금암리 283-154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42000</v>
      </c>
      <c r="G2180" s="4" t="n">
        <v>737</v>
      </c>
      <c r="H2180" s="4" t="n">
        <v>223</v>
      </c>
      <c r="I2180" s="5" t="n">
        <v>188.3</v>
      </c>
      <c r="J2180" s="5" t="n">
        <v>184.3</v>
      </c>
      <c r="K2180" s="3" t="inlineStr">
        <is>
          <t>첫마을에서 들어오는 금강의 물줄기가 한눈에 보이는 최고의 조망</t>
        </is>
      </c>
      <c r="L2180" s="6">
        <f>HYPERLINK("https://fin.land.naver.com/articles/2653412659", "매물Link")</f>
        <v/>
      </c>
      <c r="M2180" s="6">
        <f>HYPERLINK("https://map.naver.com/p/search/장군면 금암리 283-154", "지도Link")</f>
        <v/>
      </c>
      <c r="N2180" s="6">
        <f>HYPERLINK("http://www.eum.go.kr/web/ar/lu/luLandDet.jsp?pnu=3611035025102830154&amp;isNoScr=script&amp;mode=search",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710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가로장방</t>
        </is>
      </c>
      <c r="V2180" s="3" t="inlineStr">
        <is>
          <t>세로한면(가)</t>
        </is>
      </c>
    </row>
    <row r="2181">
      <c r="A2181" s="3" t="inlineStr">
        <is>
          <t>장군면 금암리 283-18</t>
        </is>
      </c>
      <c r="B2181" s="3" t="inlineStr">
        <is>
          <t>보전관리지역</t>
        </is>
      </c>
      <c r="C2181" s="3" t="inlineStr">
        <is>
          <t>임야</t>
        </is>
      </c>
      <c r="D2181" s="3" t="inlineStr">
        <is>
          <t>임야</t>
        </is>
      </c>
      <c r="E2181" s="3" t="inlineStr">
        <is>
          <t>매매</t>
        </is>
      </c>
      <c r="F2181" s="4" t="n">
        <v>58000</v>
      </c>
      <c r="G2181" s="4" t="n">
        <v>826</v>
      </c>
      <c r="H2181" s="4" t="n">
        <v>250</v>
      </c>
      <c r="I2181" s="5" t="n">
        <v>232</v>
      </c>
      <c r="J2181" s="5" t="n">
        <v>140</v>
      </c>
      <c r="K2181" s="3" t="inlineStr">
        <is>
          <t>금강이 내려다보이는 안정적인 조망</t>
        </is>
      </c>
      <c r="L2181" s="6">
        <f>HYPERLINK("https://fin.land.naver.com/articles/2653412485", "매물Link")</f>
        <v/>
      </c>
      <c r="M2181" s="6">
        <f>HYPERLINK("https://map.naver.com/p/search/장군면 금암리 283-18", "지도Link")</f>
        <v/>
      </c>
      <c r="N2181" s="6">
        <f>HYPERLINK("http://www.eum.go.kr/web/ar/lu/luLandDet.jsp?pnu=3611035025102830018&amp;isNoScr=script&amp;mode=search",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612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283-18</t>
        </is>
      </c>
      <c r="B2182" s="3" t="inlineStr">
        <is>
          <t>보전관리지역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43000</v>
      </c>
      <c r="G2182" s="4" t="n">
        <v>612</v>
      </c>
      <c r="H2182" s="4" t="n">
        <v>185</v>
      </c>
      <c r="I2182" s="5" t="n">
        <v>232.4</v>
      </c>
      <c r="J2182" s="5" t="n">
        <v>140</v>
      </c>
      <c r="K2182" s="3" t="inlineStr">
        <is>
          <t>nan</t>
        </is>
      </c>
      <c r="L2182" s="6">
        <f>HYPERLINK("https://fin.land.naver.com/articles/2654419973", "매물Link")</f>
        <v/>
      </c>
      <c r="M2182" s="6">
        <f>HYPERLINK("https://map.naver.com/p/search/장군면 금암리 283-18", "지도Link")</f>
        <v/>
      </c>
      <c r="N2182" s="6">
        <f>HYPERLINK("http://www.eum.go.kr/web/ar/lu/luLandDet.jsp?pnu=3611035025102830018&amp;isNoScr=script&amp;mode=search", "토지이음")</f>
        <v/>
      </c>
      <c r="O2182" s="3" t="inlineStr">
        <is>
          <t>그래그</t>
        </is>
      </c>
      <c r="P2182" s="4" t="n">
        <v>1</v>
      </c>
      <c r="Q2182" s="4" t="n">
        <v>612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금암리 283-5</t>
        </is>
      </c>
      <c r="B2183" s="3" t="inlineStr">
        <is>
          <t>생산관리지역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43000</v>
      </c>
      <c r="G2183" s="4" t="n">
        <v>512</v>
      </c>
      <c r="H2183" s="4" t="n">
        <v>155</v>
      </c>
      <c r="I2183" s="5" t="n">
        <v>277.4</v>
      </c>
      <c r="J2183" s="5" t="n">
        <v>58</v>
      </c>
      <c r="K2183" s="3" t="inlineStr">
        <is>
          <t>공공시설복합단지에 가깝고, 금강 조망 가능함.</t>
        </is>
      </c>
      <c r="L2183" s="6">
        <f>HYPERLINK("https://fin.land.naver.com/articles/2653412271", "매물Link")</f>
        <v/>
      </c>
      <c r="M2183" s="6">
        <f>HYPERLINK("https://map.naver.com/p/search/장군면 금암리 283-5", "지도Link")</f>
        <v/>
      </c>
      <c r="N2183" s="6">
        <f>HYPERLINK("http://www.eum.go.kr/web/ar/lu/luLandDet.jsp?pnu=3611035025102830005&amp;isNoScr=script&amp;mode=search",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512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금암리 288</t>
        </is>
      </c>
      <c r="B2184" s="3" t="inlineStr">
        <is>
          <t>생산관리지역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814500</v>
      </c>
      <c r="G2184" s="4" t="n">
        <v>1496</v>
      </c>
      <c r="H2184" s="4" t="n">
        <v>453</v>
      </c>
      <c r="I2184" s="5" t="n">
        <v>1798</v>
      </c>
      <c r="J2184" s="5" t="n">
        <v>188.8</v>
      </c>
      <c r="K2184" s="3" t="inlineStr">
        <is>
          <t>세종시 공공시설복합단지 정문 앞</t>
        </is>
      </c>
      <c r="L2184" s="6">
        <f>HYPERLINK("https://fin.land.naver.com/articles/2655617302", "매물Link")</f>
        <v/>
      </c>
      <c r="M2184" s="6">
        <f>HYPERLINK("https://map.naver.com/p/search/장군면 금암리 288", "지도Link")</f>
        <v/>
      </c>
      <c r="N2184" s="6">
        <f>HYPERLINK("http://www.eum.go.kr/web/ar/lu/luLandDet.jsp?pnu=3611035025102880000&amp;isNoScr=script&amp;mode=search", "토지이음")</f>
        <v/>
      </c>
      <c r="O2184" s="3" t="inlineStr">
        <is>
          <t>세종제일</t>
        </is>
      </c>
      <c r="P2184" s="4" t="n">
        <v>1</v>
      </c>
      <c r="Q2184" s="4" t="n">
        <v>1000</v>
      </c>
      <c r="R2184" s="3" t="inlineStr">
        <is>
          <t>지정되지않음</t>
        </is>
      </c>
      <c r="S2184" s="3" t="inlineStr">
        <is>
          <t>상업용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소로한면</t>
        </is>
      </c>
    </row>
    <row r="2185">
      <c r="A2185" s="3" t="inlineStr">
        <is>
          <t>장군면 금암리 288-2</t>
        </is>
      </c>
      <c r="B2185" s="3" t="inlineStr">
        <is>
          <t>생산관리지역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320000</v>
      </c>
      <c r="G2185" s="4" t="n">
        <v>1515</v>
      </c>
      <c r="H2185" s="4" t="n">
        <v>458</v>
      </c>
      <c r="I2185" s="5" t="n">
        <v>698.7</v>
      </c>
      <c r="J2185" s="5" t="n">
        <v>74</v>
      </c>
      <c r="K2185" s="3" t="inlineStr">
        <is>
          <t>세종시 공공시설복합단지 정문 바로 앞</t>
        </is>
      </c>
      <c r="L2185" s="6">
        <f>HYPERLINK("https://fin.land.naver.com/articles/2650449612", "매물Link")</f>
        <v/>
      </c>
      <c r="M2185" s="6">
        <f>HYPERLINK("https://map.naver.com/p/search/장군면 금암리 288-2", "지도Link")</f>
        <v/>
      </c>
      <c r="N2185" s="6">
        <f>HYPERLINK("http://www.eum.go.kr/web/ar/lu/luLandDet.jsp?pnu=3611035025102880002&amp;isNoScr=script&amp;mode=search",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1460</v>
      </c>
      <c r="R2185" s="3" t="inlineStr">
        <is>
          <t>지정되지않음</t>
        </is>
      </c>
      <c r="S2185" s="3" t="inlineStr">
        <is>
          <t>전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세로한면(불)</t>
        </is>
      </c>
    </row>
    <row r="2186">
      <c r="A2186" s="3" t="inlineStr">
        <is>
          <t>장군면 금암리 300-13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236800</v>
      </c>
      <c r="G2186" s="4" t="n">
        <v>980</v>
      </c>
      <c r="H2186" s="4" t="n">
        <v>296</v>
      </c>
      <c r="I2186" s="5" t="n">
        <v>800</v>
      </c>
      <c r="J2186" s="5" t="n">
        <v>188.1</v>
      </c>
      <c r="K2186" s="3" t="inlineStr">
        <is>
          <t>금강뷰 대로변 앞 위치좋은 농협교육원 바로옆 카페 식당 근생 건축</t>
        </is>
      </c>
      <c r="L2186" s="6">
        <f>HYPERLINK("https://fin.land.naver.com/articles/2650425478", "매물Link")</f>
        <v/>
      </c>
      <c r="M2186" s="6">
        <f>HYPERLINK("https://map.naver.com/p/search/장군면 금암리 300-13", "지도Link")</f>
        <v/>
      </c>
      <c r="N2186" s="6">
        <f>HYPERLINK("http://www.eum.go.kr/web/ar/lu/luLandDet.jsp?pnu=3611035025103000013&amp;isNoScr=script&amp;mode=search", "토지이음")</f>
        <v/>
      </c>
      <c r="O2186" s="3" t="inlineStr">
        <is>
          <t>나침반</t>
        </is>
      </c>
      <c r="P2186" s="4" t="n">
        <v>1</v>
      </c>
      <c r="Q2186" s="4" t="n">
        <v>737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사다리형</t>
        </is>
      </c>
      <c r="V2186" s="3" t="inlineStr">
        <is>
          <t>세로한면(가)</t>
        </is>
      </c>
    </row>
    <row r="2187">
      <c r="A2187" s="3" t="inlineStr">
        <is>
          <t>장군면 금암리 300-2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90000</v>
      </c>
      <c r="G2187" s="4" t="n">
        <v>847</v>
      </c>
      <c r="H2187" s="4" t="n">
        <v>256</v>
      </c>
      <c r="I2187" s="5" t="n">
        <v>351.6</v>
      </c>
      <c r="J2187" s="5" t="n">
        <v>50.7</v>
      </c>
      <c r="K2187" s="3" t="inlineStr">
        <is>
          <t>공공시설복합단지 인접.  금강 조망</t>
        </is>
      </c>
      <c r="L2187" s="6">
        <f>HYPERLINK("https://fin.land.naver.com/articles/2653413995", "매물Link")</f>
        <v/>
      </c>
      <c r="M2187" s="6">
        <f>HYPERLINK("https://map.naver.com/p/search/장군면 금암리 300-2", "지도Link")</f>
        <v/>
      </c>
      <c r="N2187" s="6">
        <f>HYPERLINK("http://www.eum.go.kr/web/ar/lu/luLandDet.jsp?pnu=3611035025103000002&amp;isNoScr=script&amp;mode=search", "토지이음")</f>
        <v/>
      </c>
      <c r="O2187" s="3" t="inlineStr">
        <is>
          <t>세종제일</t>
        </is>
      </c>
      <c r="P2187" s="4" t="n">
        <v>1</v>
      </c>
      <c r="Q2187" s="4" t="n">
        <v>847</v>
      </c>
      <c r="R2187" s="3" t="inlineStr">
        <is>
          <t>지정되지않음</t>
        </is>
      </c>
      <c r="S2187" s="3" t="inlineStr">
        <is>
          <t>토지임야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소로한면</t>
        </is>
      </c>
    </row>
    <row r="2188">
      <c r="A2188" s="3" t="inlineStr">
        <is>
          <t>장군면 금암리 300-23</t>
        </is>
      </c>
      <c r="B2188" s="3" t="inlineStr">
        <is>
          <t>계획관리지역</t>
        </is>
      </c>
      <c r="C2188" s="3" t="inlineStr">
        <is>
          <t>대</t>
        </is>
      </c>
      <c r="D2188" s="3" t="inlineStr">
        <is>
          <t>대</t>
        </is>
      </c>
      <c r="E2188" s="3" t="inlineStr">
        <is>
          <t>매매</t>
        </is>
      </c>
      <c r="F2188" s="4" t="n">
        <v>80000</v>
      </c>
      <c r="G2188" s="4" t="n">
        <v>737</v>
      </c>
      <c r="H2188" s="4" t="n">
        <v>223</v>
      </c>
      <c r="I2188" s="5" t="n">
        <v>358.7</v>
      </c>
      <c r="J2188" s="5" t="n">
        <v>184.3</v>
      </c>
      <c r="K2188" s="3" t="inlineStr">
        <is>
          <t>세종시에서 금강이 내려다 보이는 단독주택단지 내 위치</t>
        </is>
      </c>
      <c r="L2188" s="6">
        <f>HYPERLINK("https://fin.land.naver.com/articles/2653526965", "매물Link")</f>
        <v/>
      </c>
      <c r="M2188" s="6">
        <f>HYPERLINK("https://map.naver.com/p/search/장군면 금암리 300-23", "지도Link")</f>
        <v/>
      </c>
      <c r="N2188" s="6">
        <f>HYPERLINK("http://www.eum.go.kr/web/ar/lu/luLandDet.jsp?pnu=3611035025103000023&amp;isNoScr=script&amp;mode=search", "토지이음")</f>
        <v/>
      </c>
      <c r="O2188" s="3" t="inlineStr">
        <is>
          <t>정직한한국</t>
        </is>
      </c>
      <c r="P2188" s="4" t="n">
        <v>1</v>
      </c>
      <c r="Q2188" s="4" t="n">
        <v>737</v>
      </c>
      <c r="R2188" s="3" t="inlineStr">
        <is>
          <t>지정되지않음</t>
        </is>
      </c>
      <c r="S2188" s="3" t="inlineStr">
        <is>
          <t>단독</t>
        </is>
      </c>
      <c r="T2188" s="3" t="inlineStr">
        <is>
          <t>완경사</t>
        </is>
      </c>
      <c r="U2188" s="3" t="inlineStr">
        <is>
          <t>가로장방</t>
        </is>
      </c>
      <c r="V2188" s="3" t="inlineStr">
        <is>
          <t>세로한면(가)</t>
        </is>
      </c>
    </row>
    <row r="2189">
      <c r="A2189" s="3" t="inlineStr">
        <is>
          <t>장군면 금암리 302-15</t>
        </is>
      </c>
      <c r="B2189" s="3" t="inlineStr">
        <is>
          <t>계획관리지역</t>
        </is>
      </c>
      <c r="C2189" s="3" t="inlineStr">
        <is>
          <t>대</t>
        </is>
      </c>
      <c r="D2189" s="3" t="inlineStr">
        <is>
          <t>대</t>
        </is>
      </c>
      <c r="E2189" s="3" t="inlineStr">
        <is>
          <t>매매</t>
        </is>
      </c>
      <c r="F2189" s="4" t="n">
        <v>72000</v>
      </c>
      <c r="G2189" s="4" t="n">
        <v>603</v>
      </c>
      <c r="H2189" s="4" t="n">
        <v>182</v>
      </c>
      <c r="I2189" s="5" t="n">
        <v>395.6</v>
      </c>
      <c r="J2189" s="5" t="n">
        <v>196.4</v>
      </c>
      <c r="K2189" s="3" t="inlineStr">
        <is>
          <t>금강뷰 대로변 전원 주택지 매매 추천</t>
        </is>
      </c>
      <c r="L2189" s="6">
        <f>HYPERLINK("https://fin.land.naver.com/articles/2654772609", "매물Link")</f>
        <v/>
      </c>
      <c r="M2189" s="6">
        <f>HYPERLINK("https://map.naver.com/p/search/장군면 금암리 302-15", "지도Link")</f>
        <v/>
      </c>
      <c r="N2189" s="6">
        <f>HYPERLINK("http://www.eum.go.kr/web/ar/lu/luLandDet.jsp?pnu=3611035025103020015&amp;isNoScr=script&amp;mode=search", "토지이음")</f>
        <v/>
      </c>
      <c r="O2189" s="3" t="inlineStr">
        <is>
          <t>광장(프라자)</t>
        </is>
      </c>
      <c r="P2189" s="4" t="n">
        <v>1</v>
      </c>
      <c r="Q2189" s="4" t="n">
        <v>603</v>
      </c>
      <c r="R2189" s="3" t="inlineStr">
        <is>
          <t>지정되지않음</t>
        </is>
      </c>
      <c r="S2189" s="3" t="inlineStr">
        <is>
          <t>주거나지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금암리 302-16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68000</v>
      </c>
      <c r="G2190" s="4" t="n">
        <v>599</v>
      </c>
      <c r="H2190" s="4" t="n">
        <v>181</v>
      </c>
      <c r="I2190" s="5" t="n">
        <v>375.7</v>
      </c>
      <c r="J2190" s="5" t="n">
        <v>202.6</v>
      </c>
      <c r="K2190" s="3" t="inlineStr">
        <is>
          <t>불티교 앞 전원마을에 위치한 택지, 계획관리, 자연취락지구</t>
        </is>
      </c>
      <c r="L2190" s="6">
        <f>HYPERLINK("https://fin.land.naver.com/articles/2655389459", "매물Link")</f>
        <v/>
      </c>
      <c r="M2190" s="6">
        <f>HYPERLINK("https://map.naver.com/p/search/장군면 금암리 302-16", "지도Link")</f>
        <v/>
      </c>
      <c r="N2190" s="6">
        <f>HYPERLINK("http://www.eum.go.kr/web/ar/lu/luLandDet.jsp?pnu=3611035025103020016&amp;isNoScr=script&amp;mode=search", "토지이음")</f>
        <v/>
      </c>
      <c r="O2190" s="3" t="inlineStr">
        <is>
          <t>the다올</t>
        </is>
      </c>
      <c r="P2190" s="4" t="n">
        <v>1</v>
      </c>
      <c r="Q2190" s="4" t="n">
        <v>599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금암리 302-52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95000</v>
      </c>
      <c r="G2191" s="4" t="n">
        <v>710</v>
      </c>
      <c r="H2191" s="4" t="n">
        <v>215</v>
      </c>
      <c r="I2191" s="5" t="n">
        <v>441.9</v>
      </c>
      <c r="J2191" s="5" t="n">
        <v>200.6</v>
      </c>
      <c r="K2191" s="3" t="inlineStr">
        <is>
          <t>전망좋은 전원주택 단지 배산임수</t>
        </is>
      </c>
      <c r="L2191" s="6">
        <f>HYPERLINK("https://fin.land.naver.com/articles/2650128502", "매물Link")</f>
        <v/>
      </c>
      <c r="M2191" s="6">
        <f>HYPERLINK("https://map.naver.com/p/search/장군면 금암리 302-52", "지도Link")</f>
        <v/>
      </c>
      <c r="N2191" s="6">
        <f>HYPERLINK("http://www.eum.go.kr/web/ar/lu/luLandDet.jsp?pnu=3611035025103020052&amp;isNoScr=script&amp;mode=search", "토지이음")</f>
        <v/>
      </c>
      <c r="O2191" s="3" t="inlineStr">
        <is>
          <t>나릿재OK</t>
        </is>
      </c>
      <c r="P2191" s="4" t="n">
        <v>1</v>
      </c>
      <c r="Q2191" s="4" t="n">
        <v>710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314-113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45000</v>
      </c>
      <c r="G2192" s="4" t="n">
        <v>436</v>
      </c>
      <c r="H2192" s="4" t="n">
        <v>132</v>
      </c>
      <c r="I2192" s="5" t="n">
        <v>340.9</v>
      </c>
      <c r="J2192" s="5" t="n">
        <v>200.6</v>
      </c>
      <c r="K2192" s="3" t="inlineStr">
        <is>
          <t>급매,청벽마을 단독전원주택지, 청벽의 절경과 금강 뷰가 좋은 전원주택지</t>
        </is>
      </c>
      <c r="L2192" s="6">
        <f>HYPERLINK("https://fin.land.naver.com/articles/2653861102", "매물Link")</f>
        <v/>
      </c>
      <c r="M2192" s="6">
        <f>HYPERLINK("https://map.naver.com/p/search/장군면 금암리 314-113", "지도Link")</f>
        <v/>
      </c>
      <c r="N2192" s="6">
        <f>HYPERLINK("http://www.eum.go.kr/web/ar/lu/luLandDet.jsp?pnu=3611035025103140113&amp;isNoScr=script&amp;mode=search", "토지이음")</f>
        <v/>
      </c>
      <c r="O2192" s="3" t="inlineStr">
        <is>
          <t>고운맘</t>
        </is>
      </c>
      <c r="P2192" s="4" t="n">
        <v>1</v>
      </c>
      <c r="Q2192" s="4" t="n">
        <v>436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314-59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75000</v>
      </c>
      <c r="G2193" s="4" t="n">
        <v>531</v>
      </c>
      <c r="H2193" s="4" t="n">
        <v>161</v>
      </c>
      <c r="I2193" s="5" t="n">
        <v>465.8</v>
      </c>
      <c r="J2193" s="5" t="n">
        <v>200.6</v>
      </c>
      <c r="K2193" s="3" t="inlineStr">
        <is>
          <t>세종시에서 금강이 내려다 보이는 전원주택단지에 위치한 2층 단독주택</t>
        </is>
      </c>
      <c r="L2193" s="6">
        <f>HYPERLINK("https://fin.land.naver.com/articles/2653527111", "매물Link")</f>
        <v/>
      </c>
      <c r="M2193" s="6">
        <f>HYPERLINK("https://map.naver.com/p/search/장군면 금암리 314-59", "지도Link")</f>
        <v/>
      </c>
      <c r="N2193" s="6">
        <f>HYPERLINK("http://www.eum.go.kr/web/ar/lu/luLandDet.jsp?pnu=3611035025103140059&amp;isNoScr=script&amp;mode=search", "토지이음")</f>
        <v/>
      </c>
      <c r="O2193" s="3" t="inlineStr">
        <is>
          <t>정직한한국</t>
        </is>
      </c>
      <c r="P2193" s="4" t="n">
        <v>1</v>
      </c>
      <c r="Q2193" s="4" t="n">
        <v>531</v>
      </c>
      <c r="R2193" s="3" t="inlineStr">
        <is>
          <t>지정되지않음</t>
        </is>
      </c>
      <c r="S2193" s="3" t="inlineStr">
        <is>
          <t>단독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314-64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56000</v>
      </c>
      <c r="G2194" s="4" t="n">
        <v>525</v>
      </c>
      <c r="H2194" s="4" t="n">
        <v>159</v>
      </c>
      <c r="I2194" s="5" t="n">
        <v>352.2</v>
      </c>
      <c r="J2194" s="5" t="n">
        <v>204.6</v>
      </c>
      <c r="K2194" s="3" t="inlineStr">
        <is>
          <t>금암리 전원마을 모양좋은 전원주택지, 전망좋아요</t>
        </is>
      </c>
      <c r="L2194" s="6">
        <f>HYPERLINK("https://fin.land.naver.com/articles/2651561536", "매물Link")</f>
        <v/>
      </c>
      <c r="M2194" s="6">
        <f>HYPERLINK("https://map.naver.com/p/search/장군면 금암리 314-64", "지도Link")</f>
        <v/>
      </c>
      <c r="N2194" s="6">
        <f>HYPERLINK("http://www.eum.go.kr/web/ar/lu/luLandDet.jsp?pnu=3611035025103140064&amp;isNoScr=script&amp;mode=search", "토지이음")</f>
        <v/>
      </c>
      <c r="O2194" s="3" t="inlineStr">
        <is>
          <t>부엉이</t>
        </is>
      </c>
      <c r="P2194" s="4" t="n">
        <v>1</v>
      </c>
      <c r="Q2194" s="4" t="n">
        <v>525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세로각지(가)</t>
        </is>
      </c>
    </row>
    <row r="2195">
      <c r="A2195" s="3" t="inlineStr">
        <is>
          <t>장군면 금암리 331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550000</v>
      </c>
      <c r="G2195" s="4" t="n">
        <v>3203</v>
      </c>
      <c r="H2195" s="4" t="n">
        <v>969</v>
      </c>
      <c r="I2195" s="5" t="n">
        <v>567.6</v>
      </c>
      <c r="J2195" s="5" t="n">
        <v>90</v>
      </c>
      <c r="K2195" s="3" t="inlineStr">
        <is>
          <t>세종시 장군면 금암리 대형평수 위치 좋은 계획관리 토지</t>
        </is>
      </c>
      <c r="L2195" s="6">
        <f>HYPERLINK("https://fin.land.naver.com/articles/2653813158", "매물Link")</f>
        <v/>
      </c>
      <c r="M2195" s="6">
        <f>HYPERLINK("https://map.naver.com/p/search/장군면 금암리 331", "지도Link")</f>
        <v/>
      </c>
      <c r="N2195" s="6">
        <f>HYPERLINK("http://www.eum.go.kr/web/ar/lu/luLandDet.jsp?pnu=3611035025103310000&amp;isNoScr=script&amp;mode=search", "토지이음")</f>
        <v/>
      </c>
      <c r="O2195" s="3" t="inlineStr">
        <is>
          <t>뉴스카이</t>
        </is>
      </c>
      <c r="P2195" s="4" t="n">
        <v>1</v>
      </c>
      <c r="Q2195" s="4" t="n">
        <v>1233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금암리 367-26</t>
        </is>
      </c>
      <c r="B2196" s="3" t="inlineStr">
        <is>
          <t>생산관리지역</t>
        </is>
      </c>
      <c r="C2196" s="3" t="inlineStr">
        <is>
          <t>임야</t>
        </is>
      </c>
      <c r="D2196" s="3" t="inlineStr">
        <is>
          <t>대</t>
        </is>
      </c>
      <c r="E2196" s="3" t="inlineStr">
        <is>
          <t>매매</t>
        </is>
      </c>
      <c r="F2196" s="4" t="n">
        <v>48000</v>
      </c>
      <c r="G2196" s="4" t="n">
        <v>556</v>
      </c>
      <c r="H2196" s="4" t="n">
        <v>168</v>
      </c>
      <c r="I2196" s="5" t="n">
        <v>285.7</v>
      </c>
      <c r="J2196" s="5" t="n">
        <v>168.2</v>
      </c>
      <c r="K2196" s="3" t="inlineStr">
        <is>
          <t>벙커 주차장을 만들수 있는 대지, 뷰가 나오는 택지입니다. 전화주셔요</t>
        </is>
      </c>
      <c r="L2196" s="6">
        <f>HYPERLINK("https://fin.land.naver.com/articles/2655687744", "매물Link")</f>
        <v/>
      </c>
      <c r="M2196" s="6">
        <f>HYPERLINK("https://map.naver.com/p/search/장군면 금암리 367-26", "지도Link")</f>
        <v/>
      </c>
      <c r="N2196" s="6">
        <f>HYPERLINK("http://www.eum.go.kr/web/ar/lu/luLandDet.jsp?pnu=3611035025103670026&amp;isNoScr=script&amp;mode=search", "토지이음")</f>
        <v/>
      </c>
      <c r="O2196" s="3" t="inlineStr">
        <is>
          <t>최무연</t>
        </is>
      </c>
      <c r="P2196" s="4" t="n">
        <v>1</v>
      </c>
      <c r="Q2196" s="4" t="n">
        <v>500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367-3</t>
        </is>
      </c>
      <c r="B2197" s="3" t="inlineStr">
        <is>
          <t>생산관리지역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57000</v>
      </c>
      <c r="G2197" s="4" t="n">
        <v>764</v>
      </c>
      <c r="H2197" s="4" t="n">
        <v>231</v>
      </c>
      <c r="I2197" s="5" t="n">
        <v>246.8</v>
      </c>
      <c r="J2197" s="5" t="n">
        <v>34.7</v>
      </c>
      <c r="K2197" s="3" t="inlineStr">
        <is>
          <t>금암리 전원 마을, 금강 조망권 좋은 토지, 배산임수 , 투자 적합,</t>
        </is>
      </c>
      <c r="L2197" s="6">
        <f>HYPERLINK("https://fin.land.naver.com/articles/2654093543", "매물Link")</f>
        <v/>
      </c>
      <c r="M2197" s="6">
        <f>HYPERLINK("https://map.naver.com/p/search/장군면 금암리 367-3", "지도Link")</f>
        <v/>
      </c>
      <c r="N2197" s="6">
        <f>HYPERLINK("http://www.eum.go.kr/web/ar/lu/luLandDet.jsp?pnu=3611035025103670003&amp;isNoScr=script&amp;mode=search", "토지이음")</f>
        <v/>
      </c>
      <c r="O2197" s="3" t="inlineStr">
        <is>
          <t>세종</t>
        </is>
      </c>
      <c r="P2197" s="4" t="n">
        <v>1</v>
      </c>
      <c r="Q2197" s="4" t="n">
        <v>764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세로한면(불)</t>
        </is>
      </c>
    </row>
    <row r="2198">
      <c r="A2198" s="3" t="inlineStr">
        <is>
          <t>장군면 금암리 378-28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60000</v>
      </c>
      <c r="G2198" s="4" t="n">
        <v>628</v>
      </c>
      <c r="H2198" s="4" t="n">
        <v>190</v>
      </c>
      <c r="I2198" s="5" t="n">
        <v>315.8</v>
      </c>
      <c r="J2198" s="5" t="n">
        <v>223.6</v>
      </c>
      <c r="K2198" s="3" t="inlineStr">
        <is>
          <t>계획관리지역, 전원주택지, 도로연접, 세종시15분이내</t>
        </is>
      </c>
      <c r="L2198" s="6">
        <f>HYPERLINK("https://fin.land.naver.com/articles/2651951147", "매물Link")</f>
        <v/>
      </c>
      <c r="M2198" s="6">
        <f>HYPERLINK("https://map.naver.com/p/search/장군면 금암리 378-28", "지도Link")</f>
        <v/>
      </c>
      <c r="N2198" s="6">
        <f>HYPERLINK("http://www.eum.go.kr/web/ar/lu/luLandDet.jsp?pnu=3611035025103780028&amp;isNoScr=script&amp;mode=search", "토지이음")</f>
        <v/>
      </c>
      <c r="O2198" s="3" t="inlineStr">
        <is>
          <t>Home</t>
        </is>
      </c>
      <c r="P2198" s="4" t="n">
        <v>1</v>
      </c>
      <c r="Q2198" s="4" t="n">
        <v>470</v>
      </c>
      <c r="R2198" s="3" t="inlineStr">
        <is>
          <t>지정되지않음</t>
        </is>
      </c>
      <c r="S2198" s="3" t="inlineStr">
        <is>
          <t>주거나지</t>
        </is>
      </c>
      <c r="T2198" s="3" t="inlineStr">
        <is>
          <t>완경사</t>
        </is>
      </c>
      <c r="U2198" s="3" t="inlineStr">
        <is>
          <t>가로장방</t>
        </is>
      </c>
      <c r="V2198" s="3" t="inlineStr">
        <is>
          <t>소로각지</t>
        </is>
      </c>
    </row>
    <row r="2199">
      <c r="A2199" s="3" t="inlineStr">
        <is>
          <t>장군면 금암리 378-28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대</t>
        </is>
      </c>
      <c r="E2199" s="3" t="inlineStr">
        <is>
          <t>매매</t>
        </is>
      </c>
      <c r="F2199" s="4" t="n">
        <v>52000</v>
      </c>
      <c r="G2199" s="4" t="n">
        <v>470</v>
      </c>
      <c r="H2199" s="4" t="n">
        <v>142</v>
      </c>
      <c r="I2199" s="5" t="n">
        <v>366.2</v>
      </c>
      <c r="J2199" s="5" t="n">
        <v>223.6</v>
      </c>
      <c r="K2199" s="3" t="inlineStr">
        <is>
          <t>공주가는길농협연수원근처,전원주택즉시건축가능,첫마을에서10분지대가높고좋아요</t>
        </is>
      </c>
      <c r="L2199" s="6">
        <f>HYPERLINK("https://fin.land.naver.com/articles/2653891318", "매물Link")</f>
        <v/>
      </c>
      <c r="M2199" s="6">
        <f>HYPERLINK("https://map.naver.com/p/search/장군면 금암리 378-28", "지도Link")</f>
        <v/>
      </c>
      <c r="N2199" s="6">
        <f>HYPERLINK("http://www.eum.go.kr/web/ar/lu/luLandDet.jsp?pnu=3611035025103780028&amp;isNoScr=script&amp;mode=search", "토지이음")</f>
        <v/>
      </c>
      <c r="O2199" s="3" t="inlineStr">
        <is>
          <t>신대륙</t>
        </is>
      </c>
      <c r="P2199" s="4" t="n">
        <v>1</v>
      </c>
      <c r="Q2199" s="4" t="n">
        <v>470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가로장방</t>
        </is>
      </c>
      <c r="V2199" s="3" t="inlineStr">
        <is>
          <t>소로각지</t>
        </is>
      </c>
    </row>
    <row r="2200">
      <c r="A2200" s="3" t="inlineStr">
        <is>
          <t>장군면 금암리 378-35</t>
        </is>
      </c>
      <c r="B2200" s="3" t="inlineStr">
        <is>
          <t>보전관리지역</t>
        </is>
      </c>
      <c r="C2200" s="3" t="inlineStr">
        <is>
          <t>임야</t>
        </is>
      </c>
      <c r="D2200" s="3" t="inlineStr">
        <is>
          <t>임야</t>
        </is>
      </c>
      <c r="E2200" s="3" t="inlineStr">
        <is>
          <t>매매</t>
        </is>
      </c>
      <c r="F2200" s="4" t="n">
        <v>85000</v>
      </c>
      <c r="G2200" s="4" t="n">
        <v>701</v>
      </c>
      <c r="H2200" s="4" t="n">
        <v>212</v>
      </c>
      <c r="I2200" s="5" t="n">
        <v>400.9</v>
      </c>
      <c r="J2200" s="5" t="n">
        <v>196.2</v>
      </c>
      <c r="K2200" s="3" t="inlineStr">
        <is>
          <t>장군면 풍경채마을, 시야가 탁 트인 명품 필지 매매</t>
        </is>
      </c>
      <c r="L2200" s="6">
        <f>HYPERLINK("https://fin.land.naver.com/articles/2654242545", "매물Link")</f>
        <v/>
      </c>
      <c r="M2200" s="6">
        <f>HYPERLINK("https://map.naver.com/p/search/장군면 금암리 378-35", "지도Link")</f>
        <v/>
      </c>
      <c r="N2200" s="6">
        <f>HYPERLINK("http://www.eum.go.kr/web/ar/lu/luLandDet.jsp?pnu=3611035025103780035&amp;isNoScr=script&amp;mode=search", "토지이음")</f>
        <v/>
      </c>
      <c r="O2200" s="3" t="inlineStr">
        <is>
          <t>미스터홈즈강남지사</t>
        </is>
      </c>
      <c r="P2200" s="4" t="n">
        <v>1</v>
      </c>
      <c r="Q2200" s="4" t="n">
        <v>582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금암리 378-44</t>
        </is>
      </c>
      <c r="B2201" s="3" t="inlineStr">
        <is>
          <t>보전관리지역</t>
        </is>
      </c>
      <c r="C2201" s="3" t="inlineStr">
        <is>
          <t>임야</t>
        </is>
      </c>
      <c r="D2201" s="3" t="inlineStr">
        <is>
          <t>임야</t>
        </is>
      </c>
      <c r="E2201" s="3" t="inlineStr">
        <is>
          <t>매매</t>
        </is>
      </c>
      <c r="F2201" s="4" t="n">
        <v>100000</v>
      </c>
      <c r="G2201" s="4" t="n">
        <v>885</v>
      </c>
      <c r="H2201" s="4" t="n">
        <v>268</v>
      </c>
      <c r="I2201" s="5" t="n">
        <v>373.1</v>
      </c>
      <c r="J2201" s="5" t="n">
        <v>128.7</v>
      </c>
      <c r="K2201" s="3" t="inlineStr">
        <is>
          <t>금강이 잘 보이는 청벽 전원주택부지로 택지개발 완료한 급매물입니다.</t>
        </is>
      </c>
      <c r="L2201" s="6">
        <f>HYPERLINK("https://fin.land.naver.com/articles/2651478021", "매물Link")</f>
        <v/>
      </c>
      <c r="M2201" s="6">
        <f>HYPERLINK("https://map.naver.com/p/search/장군면 금암리 378-44", "지도Link")</f>
        <v/>
      </c>
      <c r="N2201" s="6">
        <f>HYPERLINK("http://www.eum.go.kr/web/ar/lu/luLandDet.jsp?pnu=3611035025103780044&amp;isNoScr=script&amp;mode=search", "토지이음")</f>
        <v/>
      </c>
      <c r="O2201" s="3" t="inlineStr">
        <is>
          <t>스마일세종</t>
        </is>
      </c>
      <c r="P2201" s="4" t="n">
        <v>1</v>
      </c>
      <c r="Q2201" s="4" t="n">
        <v>725</v>
      </c>
      <c r="R2201" s="3" t="inlineStr">
        <is>
          <t>지정되지않음</t>
        </is>
      </c>
      <c r="S2201" s="3" t="inlineStr">
        <is>
          <t>전기타</t>
        </is>
      </c>
      <c r="T2201" s="3" t="inlineStr">
        <is>
          <t>완경사</t>
        </is>
      </c>
      <c r="U2201" s="3" t="inlineStr">
        <is>
          <t>세로장방</t>
        </is>
      </c>
      <c r="V2201" s="3" t="inlineStr">
        <is>
          <t>세로한면(가)</t>
        </is>
      </c>
    </row>
    <row r="2202">
      <c r="A2202" s="3" t="inlineStr">
        <is>
          <t>장군면 금암리 40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기타</t>
        </is>
      </c>
      <c r="E2202" s="3" t="inlineStr">
        <is>
          <t>매매</t>
        </is>
      </c>
      <c r="F2202" s="4" t="n">
        <v>2020960</v>
      </c>
      <c r="G2202" s="4" t="n">
        <v>42052</v>
      </c>
      <c r="H2202" s="4" t="n">
        <v>12721</v>
      </c>
      <c r="I2202" s="5" t="n">
        <v>158.9</v>
      </c>
      <c r="J2202" s="5" t="n">
        <v>69.2</v>
      </c>
      <c r="K2202" s="3" t="inlineStr">
        <is>
          <t>세종시초입 전원주택 또는 요양원개발에 적합 총11필지</t>
        </is>
      </c>
      <c r="L2202" s="6">
        <f>HYPERLINK("https://fin.land.naver.com/articles/2655019598", "매물Link")</f>
        <v/>
      </c>
      <c r="M2202" s="6">
        <f>HYPERLINK("https://map.naver.com/p/search/장군면 금암리 40", "지도Link")</f>
        <v/>
      </c>
      <c r="N2202" s="6">
        <f>HYPERLINK("http://www.eum.go.kr/web/ar/lu/luLandDet.jsp?pnu=3611035025100400000&amp;isNoScr=script&amp;mode=search", "토지이음")</f>
        <v/>
      </c>
      <c r="O2202" s="3" t="inlineStr">
        <is>
          <t>바다하리</t>
        </is>
      </c>
      <c r="P2202" s="4" t="n">
        <v>1</v>
      </c>
      <c r="Q2202" s="4" t="n">
        <v>1210</v>
      </c>
      <c r="R2202" s="3" t="inlineStr">
        <is>
          <t>지정되지않음</t>
        </is>
      </c>
      <c r="S2202" s="3" t="inlineStr">
        <is>
          <t>전축사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금암리 500-1</t>
        </is>
      </c>
      <c r="B2203" s="3" t="inlineStr">
        <is>
          <t>계획관리지역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40000</v>
      </c>
      <c r="G2203" s="4" t="n">
        <v>763</v>
      </c>
      <c r="H2203" s="4" t="n">
        <v>231</v>
      </c>
      <c r="I2203" s="5" t="n">
        <v>173.2</v>
      </c>
      <c r="J2203" s="5" t="n">
        <v>36.7</v>
      </c>
      <c r="K2203" s="3" t="inlineStr">
        <is>
          <t>위치좋고 투자하기 좋은 위치 전원주택 강추</t>
        </is>
      </c>
      <c r="L2203" s="6">
        <f>HYPERLINK("https://fin.land.naver.com/articles/2651979873", "매물Link")</f>
        <v/>
      </c>
      <c r="M2203" s="6">
        <f>HYPERLINK("https://map.naver.com/p/search/장군면 금암리 500-1", "지도Link")</f>
        <v/>
      </c>
      <c r="N2203" s="6">
        <f>HYPERLINK("http://www.eum.go.kr/web/ar/lu/luLandDet.jsp?pnu=3611035025105000001&amp;isNoScr=script&amp;mode=search", "토지이음")</f>
        <v/>
      </c>
      <c r="O2203" s="3" t="inlineStr">
        <is>
          <t>은성</t>
        </is>
      </c>
      <c r="P2203" s="4" t="n">
        <v>1</v>
      </c>
      <c r="Q2203" s="4" t="n">
        <v>763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세로한면(가)</t>
        </is>
      </c>
    </row>
    <row r="2204">
      <c r="A2204" s="3" t="inlineStr">
        <is>
          <t>장군면 금암리 86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전</t>
        </is>
      </c>
      <c r="E2204" s="3" t="inlineStr">
        <is>
          <t>매매</t>
        </is>
      </c>
      <c r="F2204" s="4" t="n">
        <v>15000</v>
      </c>
      <c r="G2204" s="4" t="n">
        <v>912</v>
      </c>
      <c r="H2204" s="4" t="n">
        <v>276</v>
      </c>
      <c r="I2204" s="5" t="n">
        <v>54.3</v>
      </c>
      <c r="J2204" s="5" t="n">
        <v>34.6</v>
      </c>
      <c r="K2204" s="3" t="inlineStr">
        <is>
          <t>공지지가9600만 대전에서  가까운주말농장이나 전원주택  국유지 사용가능</t>
        </is>
      </c>
      <c r="L2204" s="6">
        <f>HYPERLINK("https://fin.land.naver.com/articles/2652409167", "매물Link")</f>
        <v/>
      </c>
      <c r="M2204" s="6">
        <f>HYPERLINK("https://map.naver.com/p/search/장군면 금암리 86", "지도Link")</f>
        <v/>
      </c>
      <c r="N2204" s="6">
        <f>HYPERLINK("http://www.eum.go.kr/web/ar/lu/luLandDet.jsp?pnu=3611035025100860000&amp;isNoScr=script&amp;mode=search", "토지이음")</f>
        <v/>
      </c>
      <c r="O2204" s="3" t="inlineStr">
        <is>
          <t>엔터수진</t>
        </is>
      </c>
      <c r="P2204" s="4" t="n">
        <v>1</v>
      </c>
      <c r="Q2204" s="4" t="n">
        <v>912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금암리 89-1</t>
        </is>
      </c>
      <c r="B2205" s="3" t="inlineStr">
        <is>
          <t>계획관리지역</t>
        </is>
      </c>
      <c r="C2205" s="3" t="inlineStr">
        <is>
          <t>답</t>
        </is>
      </c>
      <c r="D2205" s="3" t="inlineStr">
        <is>
          <t>답</t>
        </is>
      </c>
      <c r="E2205" s="3" t="inlineStr">
        <is>
          <t>매매</t>
        </is>
      </c>
      <c r="F2205" s="4" t="n">
        <v>50000</v>
      </c>
      <c r="G2205" s="4" t="n">
        <v>1000</v>
      </c>
      <c r="H2205" s="4" t="n">
        <v>302</v>
      </c>
      <c r="I2205" s="5" t="n">
        <v>165.6</v>
      </c>
      <c r="J2205" s="5" t="n">
        <v>71</v>
      </c>
      <c r="K2205" s="3" t="inlineStr">
        <is>
          <t>세종시 이마트에서 차로 10분거리인 토지임.</t>
        </is>
      </c>
      <c r="L2205" s="6">
        <f>HYPERLINK("https://fin.land.naver.com/articles/2653572183", "매물Link")</f>
        <v/>
      </c>
      <c r="M2205" s="6">
        <f>HYPERLINK("https://map.naver.com/p/search/장군면 금암리 89-1", "지도Link")</f>
        <v/>
      </c>
      <c r="N2205" s="6">
        <f>HYPERLINK("http://www.eum.go.kr/web/ar/lu/luLandDet.jsp?pnu=3611035025100890001&amp;isNoScr=script&amp;mode=search", "토지이음")</f>
        <v/>
      </c>
      <c r="O2205" s="3" t="inlineStr">
        <is>
          <t>에이원</t>
        </is>
      </c>
      <c r="P2205" s="4" t="n">
        <v>1</v>
      </c>
      <c r="Q2205" s="4" t="n">
        <v>1000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113-51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48000</v>
      </c>
      <c r="G2206" s="4" t="n">
        <v>401</v>
      </c>
      <c r="H2206" s="4" t="n">
        <v>121</v>
      </c>
      <c r="I2206" s="5" t="n">
        <v>396.7</v>
      </c>
      <c r="J2206" s="5" t="n">
        <v>233.8</v>
      </c>
      <c r="K2206" s="3" t="inlineStr">
        <is>
          <t>장군면 대교리 개발된 계획관리 토지, 장군면소재지, 신도시 인근, 건축용</t>
        </is>
      </c>
      <c r="L2206" s="6">
        <f>HYPERLINK("https://fin.land.naver.com/articles/2654029944", "매물Link")</f>
        <v/>
      </c>
      <c r="M2206" s="6">
        <f>HYPERLINK("https://map.naver.com/p/search/장군면 대교리 113-51", "지도Link")</f>
        <v/>
      </c>
      <c r="N2206" s="6">
        <f>HYPERLINK("http://www.eum.go.kr/web/ar/lu/luLandDet.jsp?pnu=3611035023101130051&amp;isNoScr=script&amp;mode=search", "토지이음")</f>
        <v/>
      </c>
      <c r="O2206" s="3" t="inlineStr">
        <is>
          <t>스카이</t>
        </is>
      </c>
      <c r="P2206" s="4" t="n">
        <v>1</v>
      </c>
      <c r="Q2206" s="4" t="n">
        <v>282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세로각지(가)</t>
        </is>
      </c>
    </row>
    <row r="2207">
      <c r="A2207" s="3" t="inlineStr">
        <is>
          <t>장군면 대교리 113-57</t>
        </is>
      </c>
      <c r="B2207" s="3" t="inlineStr">
        <is>
          <t>계획관리지역</t>
        </is>
      </c>
      <c r="C2207" s="3" t="inlineStr">
        <is>
          <t>전</t>
        </is>
      </c>
      <c r="D2207" s="3" t="inlineStr">
        <is>
          <t>임야</t>
        </is>
      </c>
      <c r="E2207" s="3" t="inlineStr">
        <is>
          <t>매매</t>
        </is>
      </c>
      <c r="F2207" s="4" t="n">
        <v>46000</v>
      </c>
      <c r="G2207" s="4" t="n">
        <v>380</v>
      </c>
      <c r="H2207" s="4" t="n">
        <v>115</v>
      </c>
      <c r="I2207" s="5" t="n">
        <v>400</v>
      </c>
      <c r="J2207" s="5" t="n">
        <v>249.9</v>
      </c>
      <c r="K2207" s="3" t="inlineStr">
        <is>
          <t>장군면 대교리 개발된 계획관리 토지, 장군면소재지, 신도시 인근, 건축용</t>
        </is>
      </c>
      <c r="L2207" s="6">
        <f>HYPERLINK("https://fin.land.naver.com/articles/2654029890", "매물Link")</f>
        <v/>
      </c>
      <c r="M2207" s="6">
        <f>HYPERLINK("https://map.naver.com/p/search/장군면 대교리 113-57", "지도Link")</f>
        <v/>
      </c>
      <c r="N2207" s="6">
        <f>HYPERLINK("http://www.eum.go.kr/web/ar/lu/luLandDet.jsp?pnu=3611035023101130057&amp;isNoScr=script&amp;mode=search", "토지이음")</f>
        <v/>
      </c>
      <c r="O2207" s="3" t="inlineStr">
        <is>
          <t>스카이</t>
        </is>
      </c>
      <c r="P2207" s="4" t="n">
        <v>1</v>
      </c>
      <c r="Q2207" s="4" t="n">
        <v>294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125-30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34000</v>
      </c>
      <c r="G2208" s="4" t="n">
        <v>330</v>
      </c>
      <c r="H2208" s="4" t="n">
        <v>100</v>
      </c>
      <c r="I2208" s="5" t="n">
        <v>340</v>
      </c>
      <c r="J2208" s="5" t="n">
        <v>144.5</v>
      </c>
      <c r="K2208" s="3" t="inlineStr">
        <is>
          <t>모양 반듯한 대지. 위치 좋고 생활권 접근성 위치 굿.</t>
        </is>
      </c>
      <c r="L2208" s="6">
        <f>HYPERLINK("https://fin.land.naver.com/articles/2651329533", "매물Link")</f>
        <v/>
      </c>
      <c r="M2208" s="6">
        <f>HYPERLINK("https://map.naver.com/p/search/장군면 대교리 125-30", "지도Link")</f>
        <v/>
      </c>
      <c r="N2208" s="6">
        <f>HYPERLINK("http://www.eum.go.kr/web/ar/lu/luLandDet.jsp?pnu=3611035023101250030&amp;isNoScr=script&amp;mode=search", "토지이음")</f>
        <v/>
      </c>
      <c r="O2208" s="3" t="inlineStr">
        <is>
          <t>세종올리브</t>
        </is>
      </c>
      <c r="P2208" s="4" t="n">
        <v>1</v>
      </c>
      <c r="Q2208" s="4" t="n">
        <v>330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125-54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50000</v>
      </c>
      <c r="G2209" s="4" t="n">
        <v>447</v>
      </c>
      <c r="H2209" s="4" t="n">
        <v>135</v>
      </c>
      <c r="I2209" s="5" t="n">
        <v>370.4</v>
      </c>
      <c r="J2209" s="5" t="n">
        <v>144.5</v>
      </c>
      <c r="K2209" s="3" t="inlineStr">
        <is>
          <t>장군면 전원주택지 ,위치좋고 뷰가 최상,가락마을 9단지 근처.가격조율가.</t>
        </is>
      </c>
      <c r="L2209" s="6">
        <f>HYPERLINK("https://fin.land.naver.com/articles/2650960709", "매물Link")</f>
        <v/>
      </c>
      <c r="M2209" s="6">
        <f>HYPERLINK("https://map.naver.com/p/search/장군면 대교리 125-54", "지도Link")</f>
        <v/>
      </c>
      <c r="N2209" s="6">
        <f>HYPERLINK("http://www.eum.go.kr/web/ar/lu/luLandDet.jsp?pnu=3611035023101250054&amp;isNoScr=script&amp;mode=search", "토지이음")</f>
        <v/>
      </c>
      <c r="O2209" s="3" t="inlineStr">
        <is>
          <t>우미</t>
        </is>
      </c>
      <c r="P2209" s="4" t="n">
        <v>1</v>
      </c>
      <c r="Q2209" s="4" t="n">
        <v>447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125-57</t>
        </is>
      </c>
      <c r="B2210" s="3" t="inlineStr">
        <is>
          <t>보전관리지역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46000</v>
      </c>
      <c r="G2210" s="4" t="n">
        <v>330</v>
      </c>
      <c r="H2210" s="4" t="n">
        <v>100</v>
      </c>
      <c r="I2210" s="5" t="n">
        <v>460</v>
      </c>
      <c r="J2210" s="5" t="n">
        <v>144.5</v>
      </c>
      <c r="K2210" s="3" t="inlineStr">
        <is>
          <t>nan</t>
        </is>
      </c>
      <c r="L2210" s="6">
        <f>HYPERLINK("https://fin.land.naver.com/articles/2653143525", "매물Link")</f>
        <v/>
      </c>
      <c r="M2210" s="6">
        <f>HYPERLINK("https://map.naver.com/p/search/장군면 대교리 125-57", "지도Link")</f>
        <v/>
      </c>
      <c r="N2210" s="6">
        <f>HYPERLINK("http://www.eum.go.kr/web/ar/lu/luLandDet.jsp?pnu=3611035023101250057&amp;isNoScr=script&amp;mode=search", "토지이음")</f>
        <v/>
      </c>
      <c r="O2210" s="3" t="inlineStr">
        <is>
          <t>세종다정랜드</t>
        </is>
      </c>
      <c r="P2210" s="4" t="n">
        <v>1</v>
      </c>
      <c r="Q2210" s="4" t="n">
        <v>330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126-12</t>
        </is>
      </c>
      <c r="B2211" s="3" t="inlineStr">
        <is>
          <t>보전관리지역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75000</v>
      </c>
      <c r="G2211" s="4" t="n">
        <v>646</v>
      </c>
      <c r="H2211" s="4" t="n">
        <v>195</v>
      </c>
      <c r="I2211" s="5" t="n">
        <v>384.6</v>
      </c>
      <c r="J2211" s="5" t="n">
        <v>175.3</v>
      </c>
      <c r="K2211" s="3" t="inlineStr">
        <is>
          <t>조망좋은 행복도시인접 전원주택부지</t>
        </is>
      </c>
      <c r="L2211" s="6">
        <f>HYPERLINK("https://fin.land.naver.com/articles/2655159099", "매물Link")</f>
        <v/>
      </c>
      <c r="M2211" s="6">
        <f>HYPERLINK("https://map.naver.com/p/search/장군면 대교리 126-12", "지도Link")</f>
        <v/>
      </c>
      <c r="N2211" s="6">
        <f>HYPERLINK("http://www.eum.go.kr/web/ar/lu/luLandDet.jsp?pnu=3611035023101260012&amp;isNoScr=script&amp;mode=search", "토지이음")</f>
        <v/>
      </c>
      <c r="O2211" s="3" t="inlineStr">
        <is>
          <t>인서</t>
        </is>
      </c>
      <c r="P2211" s="4" t="n">
        <v>1</v>
      </c>
      <c r="Q2211" s="4" t="n">
        <v>450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대교리 126-40</t>
        </is>
      </c>
      <c r="B2212" s="3" t="inlineStr">
        <is>
          <t>보전관리지역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82000</v>
      </c>
      <c r="G2212" s="4" t="n">
        <v>645</v>
      </c>
      <c r="H2212" s="4" t="n">
        <v>195</v>
      </c>
      <c r="I2212" s="5" t="n">
        <v>420.5</v>
      </c>
      <c r="J2212" s="5" t="n">
        <v>175.3</v>
      </c>
      <c r="K2212" s="3" t="inlineStr">
        <is>
          <t>잘 조성된 전원주택부지 편의시설 바로 옆 행복도시생활권</t>
        </is>
      </c>
      <c r="L2212" s="6">
        <f>HYPERLINK("https://fin.land.naver.com/articles/2654670333", "매물Link")</f>
        <v/>
      </c>
      <c r="M2212" s="6">
        <f>HYPERLINK("https://map.naver.com/p/search/장군면 대교리 126-40", "지도Link")</f>
        <v/>
      </c>
      <c r="N2212" s="6">
        <f>HYPERLINK("http://www.eum.go.kr/web/ar/lu/luLandDet.jsp?pnu=3611035023101260040&amp;isNoScr=script&amp;mode=search", "토지이음")</f>
        <v/>
      </c>
      <c r="O2212" s="3" t="inlineStr">
        <is>
          <t>하임</t>
        </is>
      </c>
      <c r="P2212" s="4" t="n">
        <v>1</v>
      </c>
      <c r="Q2212" s="4" t="n">
        <v>450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대교리 132</t>
        </is>
      </c>
      <c r="B2213" s="3" t="inlineStr">
        <is>
          <t>계획관리지역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1050000</v>
      </c>
      <c r="G2213" s="4" t="n">
        <v>5513</v>
      </c>
      <c r="H2213" s="4" t="n">
        <v>1668</v>
      </c>
      <c r="I2213" s="5" t="n">
        <v>629.5</v>
      </c>
      <c r="J2213" s="5" t="n">
        <v>186.7</v>
      </c>
      <c r="K2213" s="3" t="inlineStr">
        <is>
          <t>고운동 대단위아파트단지 3분거리 계획관리지역 땅</t>
        </is>
      </c>
      <c r="L2213" s="6">
        <f>HYPERLINK("https://fin.land.naver.com/articles/2653539235", "매물Link")</f>
        <v/>
      </c>
      <c r="M2213" s="6">
        <f>HYPERLINK("https://map.naver.com/p/search/장군면 대교리 132", "지도Link")</f>
        <v/>
      </c>
      <c r="N2213" s="6">
        <f>HYPERLINK("http://www.eum.go.kr/web/ar/lu/luLandDet.jsp?pnu=3611035023101320000&amp;isNoScr=script&amp;mode=search", "토지이음")</f>
        <v/>
      </c>
      <c r="O2213" s="3" t="inlineStr">
        <is>
          <t>세종천지</t>
        </is>
      </c>
      <c r="P2213" s="4" t="n">
        <v>3</v>
      </c>
      <c r="Q2213" s="4" t="n">
        <v>5513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소로한면</t>
        </is>
      </c>
    </row>
    <row r="2214">
      <c r="A2214" s="3" t="inlineStr">
        <is>
          <t>장군면 대교리 147-39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72500</v>
      </c>
      <c r="G2214" s="4" t="n">
        <v>826</v>
      </c>
      <c r="H2214" s="4" t="n">
        <v>250</v>
      </c>
      <c r="I2214" s="5" t="n">
        <v>290</v>
      </c>
      <c r="J2214" s="5" t="n">
        <v>177.5</v>
      </c>
      <c r="K2214" s="3" t="inlineStr">
        <is>
          <t>고운동 접근성 좋은 대지</t>
        </is>
      </c>
      <c r="L2214" s="6">
        <f>HYPERLINK("https://fin.land.naver.com/articles/2652747167", "매물Link")</f>
        <v/>
      </c>
      <c r="M2214" s="6">
        <f>HYPERLINK("https://map.naver.com/p/search/장군면 대교리 147-39", "지도Link")</f>
        <v/>
      </c>
      <c r="N2214" s="6">
        <f>HYPERLINK("http://www.eum.go.kr/web/ar/lu/luLandDet.jsp?pnu=3611035023101470039&amp;isNoScr=script&amp;mode=search", "토지이음")</f>
        <v/>
      </c>
      <c r="O2214" s="3" t="inlineStr">
        <is>
          <t>세종로또</t>
        </is>
      </c>
      <c r="P2214" s="4" t="n">
        <v>1</v>
      </c>
      <c r="Q2214" s="4" t="n">
        <v>659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147-53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51000</v>
      </c>
      <c r="G2215" s="4" t="n">
        <v>667</v>
      </c>
      <c r="H2215" s="4" t="n">
        <v>202</v>
      </c>
      <c r="I2215" s="5" t="n">
        <v>252.5</v>
      </c>
      <c r="J2215" s="5" t="n">
        <v>177.5</v>
      </c>
      <c r="K2215" s="3" t="inlineStr">
        <is>
          <t>고운풍경채마을 위치 좋은 전원 주택지 입니다</t>
        </is>
      </c>
      <c r="L2215" s="6">
        <f>HYPERLINK("https://fin.land.naver.com/articles/2650424672", "매물Link")</f>
        <v/>
      </c>
      <c r="M2215" s="6">
        <f>HYPERLINK("https://map.naver.com/p/search/장군면 대교리 147-53", "지도Link")</f>
        <v/>
      </c>
      <c r="N2215" s="6">
        <f>HYPERLINK("http://www.eum.go.kr/web/ar/lu/luLandDet.jsp?pnu=3611035023101470053&amp;isNoScr=script&amp;mode=search", "토지이음")</f>
        <v/>
      </c>
      <c r="O2215" s="3" t="inlineStr">
        <is>
          <t>세종공주원탑</t>
        </is>
      </c>
      <c r="P2215" s="4" t="n">
        <v>1</v>
      </c>
      <c r="Q2215" s="4" t="n">
        <v>667</v>
      </c>
      <c r="R2215" s="3" t="inlineStr">
        <is>
          <t>지정되지않음</t>
        </is>
      </c>
      <c r="S2215" s="3" t="inlineStr">
        <is>
          <t>주거나지</t>
        </is>
      </c>
      <c r="T2215" s="3" t="inlineStr">
        <is>
          <t>완경사</t>
        </is>
      </c>
      <c r="U2215" s="3" t="inlineStr">
        <is>
          <t>사다리형</t>
        </is>
      </c>
      <c r="V2215" s="3" t="inlineStr">
        <is>
          <t>세로한면(가)</t>
        </is>
      </c>
    </row>
    <row r="2216">
      <c r="A2216" s="3" t="inlineStr">
        <is>
          <t>장군면 대교리 169-21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25000</v>
      </c>
      <c r="G2216" s="4" t="n">
        <v>167</v>
      </c>
      <c r="H2216" s="4" t="n">
        <v>51</v>
      </c>
      <c r="I2216" s="5" t="n">
        <v>490.2</v>
      </c>
      <c r="J2216" s="5" t="n">
        <v>252.6</v>
      </c>
      <c r="K2216" s="3" t="inlineStr">
        <is>
          <t>행복도시 최인접대지로 인기좋은땅</t>
        </is>
      </c>
      <c r="L2216" s="6">
        <f>HYPERLINK("https://fin.land.naver.com/articles/2652288273", "매물Link")</f>
        <v/>
      </c>
      <c r="M2216" s="6">
        <f>HYPERLINK("https://map.naver.com/p/search/장군면 대교리 169-21", "지도Link")</f>
        <v/>
      </c>
      <c r="N2216" s="6">
        <f>HYPERLINK("http://www.eum.go.kr/web/ar/lu/luLandDet.jsp?pnu=3611035023101690021&amp;isNoScr=script&amp;mode=search", "토지이음")</f>
        <v/>
      </c>
      <c r="O2216" s="3" t="inlineStr">
        <is>
          <t>모닝스타</t>
        </is>
      </c>
      <c r="P2216" s="4" t="n">
        <v>1</v>
      </c>
      <c r="Q2216" s="4" t="n">
        <v>167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대교리 172-24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45000</v>
      </c>
      <c r="G2217" s="4" t="n">
        <v>644</v>
      </c>
      <c r="H2217" s="4" t="n">
        <v>195</v>
      </c>
      <c r="I2217" s="5" t="n">
        <v>230.8</v>
      </c>
      <c r="J2217" s="5" t="n">
        <v>174.1</v>
      </c>
      <c r="K2217" s="3" t="inlineStr">
        <is>
          <t>대교리전원주택지,서세종IC,세종시5분내진입가능,총4필지</t>
        </is>
      </c>
      <c r="L2217" s="6">
        <f>HYPERLINK("https://fin.land.naver.com/articles/2655512661", "매물Link")</f>
        <v/>
      </c>
      <c r="M2217" s="6">
        <f>HYPERLINK("https://map.naver.com/p/search/장군면 대교리 172-24", "지도Link")</f>
        <v/>
      </c>
      <c r="N2217" s="6">
        <f>HYPERLINK("http://www.eum.go.kr/web/ar/lu/luLandDet.jsp?pnu=3611035023101720024&amp;isNoScr=script&amp;mode=search", "토지이음")</f>
        <v/>
      </c>
      <c r="O2217" s="3" t="inlineStr">
        <is>
          <t>부자마을</t>
        </is>
      </c>
      <c r="P2217" s="4" t="n">
        <v>1</v>
      </c>
      <c r="Q2217" s="4" t="n">
        <v>576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172-28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37400</v>
      </c>
      <c r="G2218" s="4" t="n">
        <v>618</v>
      </c>
      <c r="H2218" s="4" t="n">
        <v>187</v>
      </c>
      <c r="I2218" s="5" t="n">
        <v>200</v>
      </c>
      <c r="J2218" s="5" t="n">
        <v>154.6</v>
      </c>
      <c r="K2218" s="3" t="inlineStr">
        <is>
          <t>도심인근전원주택지,서세종ic5분,정부청사15분,도로접</t>
        </is>
      </c>
      <c r="L2218" s="6">
        <f>HYPERLINK("https://fin.land.naver.com/articles/2650425299", "매물Link")</f>
        <v/>
      </c>
      <c r="M2218" s="6">
        <f>HYPERLINK("https://map.naver.com/p/search/장군면 대교리 172-28", "지도Link")</f>
        <v/>
      </c>
      <c r="N2218" s="6">
        <f>HYPERLINK("http://www.eum.go.kr/web/ar/lu/luLandDet.jsp?pnu=3611035023101720028&amp;isNoScr=script&amp;mode=search", "토지이음")</f>
        <v/>
      </c>
      <c r="O2218" s="3" t="inlineStr">
        <is>
          <t>힐스테이트행복</t>
        </is>
      </c>
      <c r="P2218" s="4" t="n">
        <v>1</v>
      </c>
      <c r="Q2218" s="4" t="n">
        <v>302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세로한면(불)</t>
        </is>
      </c>
    </row>
    <row r="2219">
      <c r="A2219" s="3" t="inlineStr">
        <is>
          <t>장군면 대교리 227-16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100000</v>
      </c>
      <c r="G2219" s="4" t="n">
        <v>1361</v>
      </c>
      <c r="H2219" s="4" t="n">
        <v>412</v>
      </c>
      <c r="I2219" s="5" t="n">
        <v>242.7</v>
      </c>
      <c r="J2219" s="5" t="n">
        <v>151.2</v>
      </c>
      <c r="K2219" s="3" t="inlineStr">
        <is>
          <t>신도시 1km 거리 명품택지 이니지오, 넓은평수에 상단 위치 최상 전망</t>
        </is>
      </c>
      <c r="L2219" s="6">
        <f>HYPERLINK("https://fin.land.naver.com/articles/2651035112", "매물Link")</f>
        <v/>
      </c>
      <c r="M2219" s="6">
        <f>HYPERLINK("https://map.naver.com/p/search/장군면 대교리 227-16", "지도Link")</f>
        <v/>
      </c>
      <c r="N2219" s="6">
        <f>HYPERLINK("http://www.eum.go.kr/web/ar/lu/luLandDet.jsp?pnu=3611035023102270016&amp;isNoScr=script&amp;mode=search", "토지이음")</f>
        <v/>
      </c>
      <c r="O2219" s="3" t="inlineStr">
        <is>
          <t>온뜰</t>
        </is>
      </c>
      <c r="P2219" s="4" t="n">
        <v>1</v>
      </c>
      <c r="Q2219" s="4" t="n">
        <v>892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227-16</t>
        </is>
      </c>
      <c r="B2220" s="3" t="inlineStr">
        <is>
          <t>보전관리지역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100000</v>
      </c>
      <c r="G2220" s="4" t="n">
        <v>892</v>
      </c>
      <c r="H2220" s="4" t="n">
        <v>270</v>
      </c>
      <c r="I2220" s="5" t="n">
        <v>370.4</v>
      </c>
      <c r="J2220" s="5" t="n">
        <v>151.2</v>
      </c>
      <c r="K2220" s="3" t="inlineStr">
        <is>
          <t>가격네고가능,2차선도로접,세종시근접,건축허가 난토지.단독주택지로 추천</t>
        </is>
      </c>
      <c r="L2220" s="6">
        <f>HYPERLINK("https://fin.land.naver.com/articles/2653280505", "매물Link")</f>
        <v/>
      </c>
      <c r="M2220" s="6">
        <f>HYPERLINK("https://map.naver.com/p/search/장군면 대교리 227-16", "지도Link")</f>
        <v/>
      </c>
      <c r="N2220" s="6">
        <f>HYPERLINK("http://www.eum.go.kr/web/ar/lu/luLandDet.jsp?pnu=3611035023102270016&amp;isNoScr=script&amp;mode=search", "토지이음")</f>
        <v/>
      </c>
      <c r="O2220" s="3" t="inlineStr">
        <is>
          <t>담뜰</t>
        </is>
      </c>
      <c r="P2220" s="4" t="n">
        <v>1</v>
      </c>
      <c r="Q2220" s="4" t="n">
        <v>892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227-7</t>
        </is>
      </c>
      <c r="B2221" s="3" t="inlineStr">
        <is>
          <t>보전관리지역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151200</v>
      </c>
      <c r="G2221" s="4" t="n">
        <v>823</v>
      </c>
      <c r="H2221" s="4" t="n">
        <v>249</v>
      </c>
      <c r="I2221" s="5" t="n">
        <v>607.2</v>
      </c>
      <c r="J2221" s="5" t="n">
        <v>151.2</v>
      </c>
      <c r="K2221" s="3" t="inlineStr">
        <is>
          <t>세종 장군면 대교리 실속형 대지 매매</t>
        </is>
      </c>
      <c r="L2221" s="6">
        <f>HYPERLINK("https://fin.land.naver.com/articles/2653143482", "매물Link")</f>
        <v/>
      </c>
      <c r="M2221" s="6">
        <f>HYPERLINK("https://map.naver.com/p/search/장군면 대교리 227-7", "지도Link")</f>
        <v/>
      </c>
      <c r="N2221" s="6">
        <f>HYPERLINK("http://www.eum.go.kr/web/ar/lu/luLandDet.jsp?pnu=3611035023102270007&amp;isNoScr=script&amp;mode=search", "토지이음")</f>
        <v/>
      </c>
      <c r="O2221" s="3" t="inlineStr">
        <is>
          <t>세종몽땅</t>
        </is>
      </c>
      <c r="P2221" s="4" t="n">
        <v>1</v>
      </c>
      <c r="Q2221" s="4" t="n">
        <v>823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228-17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70000</v>
      </c>
      <c r="G2222" s="4" t="n">
        <v>807</v>
      </c>
      <c r="H2222" s="4" t="n">
        <v>244</v>
      </c>
      <c r="I2222" s="5" t="n">
        <v>286.9</v>
      </c>
      <c r="J2222" s="5" t="n">
        <v>151.2</v>
      </c>
      <c r="K2222" s="3" t="inlineStr">
        <is>
          <t>2차선 도로접한 대지  매매,세종시 고운동 근접</t>
        </is>
      </c>
      <c r="L2222" s="6">
        <f>HYPERLINK("https://fin.land.naver.com/articles/2654855546", "매물Link")</f>
        <v/>
      </c>
      <c r="M2222" s="6">
        <f>HYPERLINK("https://map.naver.com/p/search/장군면 대교리 228-17", "지도Link")</f>
        <v/>
      </c>
      <c r="N2222" s="6">
        <f>HYPERLINK("http://www.eum.go.kr/web/ar/lu/luLandDet.jsp?pnu=3611035023102280017&amp;isNoScr=script&amp;mode=search", "토지이음")</f>
        <v/>
      </c>
      <c r="O2222" s="3" t="inlineStr">
        <is>
          <t>담뜰</t>
        </is>
      </c>
      <c r="P2222" s="4" t="n">
        <v>1</v>
      </c>
      <c r="Q2222" s="4" t="n">
        <v>807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228-20</t>
        </is>
      </c>
      <c r="B2223" s="3" t="inlineStr">
        <is>
          <t>보전관리지역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106700</v>
      </c>
      <c r="G2223" s="4" t="n">
        <v>801</v>
      </c>
      <c r="H2223" s="4" t="n">
        <v>242</v>
      </c>
      <c r="I2223" s="5" t="n">
        <v>440.9</v>
      </c>
      <c r="J2223" s="5" t="n">
        <v>151.2</v>
      </c>
      <c r="K2223" s="3" t="inlineStr">
        <is>
          <t>이니지오 단독주택지 전원주택 단독주택 찾는분</t>
        </is>
      </c>
      <c r="L2223" s="6">
        <f>HYPERLINK("https://fin.land.naver.com/articles/2655683046", "매물Link")</f>
        <v/>
      </c>
      <c r="M2223" s="6">
        <f>HYPERLINK("https://map.naver.com/p/search/장군면 대교리 228-20", "지도Link")</f>
        <v/>
      </c>
      <c r="N2223" s="6">
        <f>HYPERLINK("http://www.eum.go.kr/web/ar/lu/luLandDet.jsp?pnu=3611035023102280020&amp;isNoScr=script&amp;mode=search", "토지이음")</f>
        <v/>
      </c>
      <c r="O2223" s="3" t="inlineStr">
        <is>
          <t>세종몽땅</t>
        </is>
      </c>
      <c r="P2223" s="4" t="n">
        <v>1</v>
      </c>
      <c r="Q2223" s="4" t="n">
        <v>801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대교리 228-24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60000</v>
      </c>
      <c r="G2224" s="4" t="n">
        <v>853</v>
      </c>
      <c r="H2224" s="4" t="n">
        <v>258</v>
      </c>
      <c r="I2224" s="5" t="n">
        <v>232.6</v>
      </c>
      <c r="J2224" s="5" t="n">
        <v>151.2</v>
      </c>
      <c r="K2224" s="3" t="inlineStr">
        <is>
          <t>전원주택지 이니지오 입구에 위치한 모양 좋은 땅  전용 면적 기준</t>
        </is>
      </c>
      <c r="L2224" s="6">
        <f>HYPERLINK("https://fin.land.naver.com/articles/2650424833", "매물Link")</f>
        <v/>
      </c>
      <c r="M2224" s="6">
        <f>HYPERLINK("https://map.naver.com/p/search/장군면 대교리 228-24", "지도Link")</f>
        <v/>
      </c>
      <c r="N2224" s="6">
        <f>HYPERLINK("http://www.eum.go.kr/web/ar/lu/luLandDet.jsp?pnu=3611035023102280024&amp;isNoScr=script&amp;mode=search", "토지이음")</f>
        <v/>
      </c>
      <c r="O2224" s="3" t="inlineStr">
        <is>
          <t>세종공주원탑</t>
        </is>
      </c>
      <c r="P2224" s="4" t="n">
        <v>1</v>
      </c>
      <c r="Q2224" s="4" t="n">
        <v>853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228-32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1328</v>
      </c>
      <c r="H2225" s="4" t="n">
        <v>402</v>
      </c>
      <c r="I2225" s="5" t="n">
        <v>186.6</v>
      </c>
      <c r="J2225" s="5" t="n">
        <v>151.2</v>
      </c>
      <c r="K2225" s="3" t="inlineStr">
        <is>
          <t>초급매,지대가 높은 공원연접 조망권뷰최상,넓은평수,명품이니지오 택지</t>
        </is>
      </c>
      <c r="L2225" s="6">
        <f>HYPERLINK("https://fin.land.naver.com/articles/2653853857", "매물Link")</f>
        <v/>
      </c>
      <c r="M2225" s="6">
        <f>HYPERLINK("https://map.naver.com/p/search/장군면 대교리 228-32", "지도Link")</f>
        <v/>
      </c>
      <c r="N2225" s="6">
        <f>HYPERLINK("http://www.eum.go.kr/web/ar/lu/luLandDet.jsp?pnu=3611035023102280032&amp;isNoScr=script&amp;mode=search", "토지이음")</f>
        <v/>
      </c>
      <c r="O2225" s="3" t="inlineStr">
        <is>
          <t>고운맘</t>
        </is>
      </c>
      <c r="P2225" s="4" t="n">
        <v>1</v>
      </c>
      <c r="Q2225" s="4" t="n">
        <v>875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228-32</t>
        </is>
      </c>
      <c r="B2226" s="3" t="inlineStr">
        <is>
          <t>보전관리지역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75000</v>
      </c>
      <c r="G2226" s="4" t="n">
        <v>876</v>
      </c>
      <c r="H2226" s="4" t="n">
        <v>265</v>
      </c>
      <c r="I2226" s="5" t="n">
        <v>283</v>
      </c>
      <c r="J2226" s="5" t="n">
        <v>151.2</v>
      </c>
      <c r="K2226" s="3" t="inlineStr">
        <is>
          <t>nan</t>
        </is>
      </c>
      <c r="L2226" s="6">
        <f>HYPERLINK("https://fin.land.naver.com/articles/2654942200", "매물Link")</f>
        <v/>
      </c>
      <c r="M2226" s="6">
        <f>HYPERLINK("https://map.naver.com/p/search/장군면 대교리 228-32", "지도Link")</f>
        <v/>
      </c>
      <c r="N2226" s="6">
        <f>HYPERLINK("http://www.eum.go.kr/web/ar/lu/luLandDet.jsp?pnu=3611035023102280032&amp;isNoScr=script&amp;mode=search", "토지이음")</f>
        <v/>
      </c>
      <c r="O2226" s="3" t="inlineStr">
        <is>
          <t>세종신한</t>
        </is>
      </c>
      <c r="P2226" s="4" t="n">
        <v>1</v>
      </c>
      <c r="Q2226" s="4" t="n">
        <v>875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228-83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110000</v>
      </c>
      <c r="G2227" s="4" t="n">
        <v>823</v>
      </c>
      <c r="H2227" s="4" t="n">
        <v>249</v>
      </c>
      <c r="I2227" s="5" t="n">
        <v>441.8</v>
      </c>
      <c r="J2227" s="5" t="n">
        <v>151.2</v>
      </c>
      <c r="K2227" s="3" t="inlineStr">
        <is>
          <t>이니지오 단독주택지</t>
        </is>
      </c>
      <c r="L2227" s="6">
        <f>HYPERLINK("https://fin.land.naver.com/articles/2655208593", "매물Link")</f>
        <v/>
      </c>
      <c r="M2227" s="6">
        <f>HYPERLINK("https://map.naver.com/p/search/장군면 대교리 228-83", "지도Link")</f>
        <v/>
      </c>
      <c r="N2227" s="6">
        <f>HYPERLINK("http://www.eum.go.kr/web/ar/lu/luLandDet.jsp?pnu=3611035023102280083&amp;isNoScr=script&amp;mode=search", "토지이음")</f>
        <v/>
      </c>
      <c r="O2227" s="3" t="inlineStr">
        <is>
          <t>세종몽땅</t>
        </is>
      </c>
      <c r="P2227" s="4" t="n">
        <v>1</v>
      </c>
      <c r="Q2227" s="4" t="n">
        <v>823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253-1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205000</v>
      </c>
      <c r="G2228" s="4" t="n">
        <v>16958</v>
      </c>
      <c r="H2228" s="4" t="n">
        <v>5130</v>
      </c>
      <c r="I2228" s="5" t="n">
        <v>40</v>
      </c>
      <c r="J2228" s="5" t="n">
        <v>10.1</v>
      </c>
      <c r="K2228" s="3" t="inlineStr">
        <is>
          <t>임야 , 면적 5,130P, 단독주택, 노유자시설 가능</t>
        </is>
      </c>
      <c r="L2228" s="6">
        <f>HYPERLINK("https://fin.land.naver.com/articles/2650421440", "매물Link")</f>
        <v/>
      </c>
      <c r="M2228" s="6">
        <f>HYPERLINK("https://map.naver.com/p/search/장군면 대교리 253-1", "지도Link")</f>
        <v/>
      </c>
      <c r="N2228" s="6">
        <f>HYPERLINK("http://www.eum.go.kr/web/ar/lu/luLandDet.jsp?pnu=3611035023102530001&amp;isNoScr=script&amp;mode=search", "토지이음")</f>
        <v/>
      </c>
      <c r="O2228" s="3" t="inlineStr">
        <is>
          <t>승리</t>
        </is>
      </c>
      <c r="P2228" s="4" t="n">
        <v>1</v>
      </c>
      <c r="Q2228" s="4" t="n">
        <v>16958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세로한면(불)</t>
        </is>
      </c>
    </row>
    <row r="2229">
      <c r="A2229" s="3" t="inlineStr">
        <is>
          <t>장군면 대교리 253-3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35000</v>
      </c>
      <c r="G2229" s="4" t="n">
        <v>5124</v>
      </c>
      <c r="H2229" s="4" t="n">
        <v>1550</v>
      </c>
      <c r="I2229" s="5" t="n">
        <v>22.6</v>
      </c>
      <c r="J2229" s="5" t="n">
        <v>9.6</v>
      </c>
      <c r="K2229" s="3" t="inlineStr">
        <is>
          <t>세종시 임야를 찾으시면 추천해요</t>
        </is>
      </c>
      <c r="L2229" s="6">
        <f>HYPERLINK("https://fin.land.naver.com/articles/2651561327", "매물Link")</f>
        <v/>
      </c>
      <c r="M2229" s="6">
        <f>HYPERLINK("https://map.naver.com/p/search/장군면 대교리 253-3", "지도Link")</f>
        <v/>
      </c>
      <c r="N2229" s="6">
        <f>HYPERLINK("http://www.eum.go.kr/web/ar/lu/luLandDet.jsp?pnu=3611035023102530003&amp;isNoScr=script&amp;mode=search", "토지이음")</f>
        <v/>
      </c>
      <c r="O2229" s="3" t="inlineStr">
        <is>
          <t>숭어리탑</t>
        </is>
      </c>
      <c r="P2229" s="4" t="n">
        <v>1</v>
      </c>
      <c r="Q2229" s="4" t="n">
        <v>5124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323-10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35300</v>
      </c>
      <c r="G2230" s="4" t="n">
        <v>595</v>
      </c>
      <c r="H2230" s="4" t="n">
        <v>180</v>
      </c>
      <c r="I2230" s="5" t="n">
        <v>196.1</v>
      </c>
      <c r="J2230" s="5" t="n">
        <v>101.2</v>
      </c>
      <c r="K2230" s="3" t="inlineStr">
        <is>
          <t>전원주택 단지 조성된 곳</t>
        </is>
      </c>
      <c r="L2230" s="6">
        <f>HYPERLINK("https://fin.land.naver.com/articles/2650150442", "매물Link")</f>
        <v/>
      </c>
      <c r="M2230" s="6">
        <f>HYPERLINK("https://map.naver.com/p/search/장군면 대교리 323-10", "지도Link")</f>
        <v/>
      </c>
      <c r="N2230" s="6">
        <f>HYPERLINK("http://www.eum.go.kr/web/ar/lu/luLandDet.jsp?pnu=3611035023103230010&amp;isNoScr=script&amp;mode=search", "토지이음")</f>
        <v/>
      </c>
      <c r="O2230" s="3" t="inlineStr">
        <is>
          <t>나릿재OK</t>
        </is>
      </c>
      <c r="P2230" s="4" t="n">
        <v>1</v>
      </c>
      <c r="Q2230" s="4" t="n">
        <v>595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335-71</t>
        </is>
      </c>
      <c r="B2231" s="3" t="inlineStr">
        <is>
          <t>보전관리지역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40000</v>
      </c>
      <c r="G2231" s="4" t="n">
        <v>567</v>
      </c>
      <c r="H2231" s="4" t="n">
        <v>172</v>
      </c>
      <c r="I2231" s="5" t="n">
        <v>232.6</v>
      </c>
      <c r="J2231" s="5" t="n">
        <v>113.2</v>
      </c>
      <c r="K2231" s="3" t="inlineStr">
        <is>
          <t>급매,지대가 높아 막힘없는 조망권뷰 최상, 김종서장군묘소 인접</t>
        </is>
      </c>
      <c r="L2231" s="6">
        <f>HYPERLINK("https://fin.land.naver.com/articles/2653221852", "매물Link")</f>
        <v/>
      </c>
      <c r="M2231" s="6">
        <f>HYPERLINK("https://map.naver.com/p/search/장군면 대교리 335-71", "지도Link")</f>
        <v/>
      </c>
      <c r="N2231" s="6">
        <f>HYPERLINK("http://www.eum.go.kr/web/ar/lu/luLandDet.jsp?pnu=3611035023103350071&amp;isNoScr=script&amp;mode=search", "토지이음")</f>
        <v/>
      </c>
      <c r="O2231" s="3" t="inlineStr">
        <is>
          <t>고운맘</t>
        </is>
      </c>
      <c r="P2231" s="4" t="n">
        <v>1</v>
      </c>
      <c r="Q2231" s="4" t="n">
        <v>567</v>
      </c>
      <c r="R2231" s="3" t="inlineStr">
        <is>
          <t>생산관리지역</t>
        </is>
      </c>
      <c r="S2231" s="3" t="inlineStr">
        <is>
          <t>단독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대교리 335-8</t>
        </is>
      </c>
      <c r="B2232" s="3" t="inlineStr">
        <is>
          <t>생산관리지역</t>
        </is>
      </c>
      <c r="C2232" s="3" t="inlineStr">
        <is>
          <t>목장용지</t>
        </is>
      </c>
      <c r="D2232" s="3" t="inlineStr">
        <is>
          <t>목장용지</t>
        </is>
      </c>
      <c r="E2232" s="3" t="inlineStr">
        <is>
          <t>매매</t>
        </is>
      </c>
      <c r="F2232" s="4" t="n">
        <v>30000</v>
      </c>
      <c r="G2232" s="4" t="n">
        <v>442</v>
      </c>
      <c r="H2232" s="4" t="n">
        <v>134</v>
      </c>
      <c r="I2232" s="5" t="n">
        <v>223.9</v>
      </c>
      <c r="J2232" s="5" t="n">
        <v>117.7</v>
      </c>
      <c r="K2232" s="3" t="inlineStr">
        <is>
          <t>투자가치높은 지역 . 전기,수도 시설 건축허가되어있음,</t>
        </is>
      </c>
      <c r="L2232" s="6">
        <f>HYPERLINK("https://fin.land.naver.com/articles/2650359980", "매물Link")</f>
        <v/>
      </c>
      <c r="M2232" s="6">
        <f>HYPERLINK("https://map.naver.com/p/search/장군면 대교리 335-8", "지도Link")</f>
        <v/>
      </c>
      <c r="N2232" s="6">
        <f>HYPERLINK("http://www.eum.go.kr/web/ar/lu/luLandDet.jsp?pnu=3611035023103350008&amp;isNoScr=script&amp;mode=search", "토지이음")</f>
        <v/>
      </c>
      <c r="O2232" s="3" t="inlineStr">
        <is>
          <t>보람뜰</t>
        </is>
      </c>
      <c r="P2232" s="4" t="n">
        <v>1</v>
      </c>
      <c r="Q2232" s="4" t="n">
        <v>442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대교리 335-8</t>
        </is>
      </c>
      <c r="B2233" s="3" t="inlineStr">
        <is>
          <t>생산관리지역</t>
        </is>
      </c>
      <c r="C2233" s="3" t="inlineStr">
        <is>
          <t>목장용지</t>
        </is>
      </c>
      <c r="D2233" s="3" t="inlineStr">
        <is>
          <t>목장용지</t>
        </is>
      </c>
      <c r="E2233" s="3" t="inlineStr">
        <is>
          <t>매매</t>
        </is>
      </c>
      <c r="F2233" s="4" t="n">
        <v>30000</v>
      </c>
      <c r="G2233" s="4" t="n">
        <v>442</v>
      </c>
      <c r="H2233" s="4" t="n">
        <v>134</v>
      </c>
      <c r="I2233" s="5" t="n">
        <v>223.9</v>
      </c>
      <c r="J2233" s="5" t="n">
        <v>117.7</v>
      </c>
      <c r="K2233" s="3" t="inlineStr">
        <is>
          <t>허가된 가설 건축물 수도 이입 텃 밭으로 이용 해누리 마을 초입</t>
        </is>
      </c>
      <c r="L2233" s="6">
        <f>HYPERLINK("https://fin.land.naver.com/articles/2651414014", "매물Link")</f>
        <v/>
      </c>
      <c r="M2233" s="6">
        <f>HYPERLINK("https://map.naver.com/p/search/장군면 대교리 335-8", "지도Link")</f>
        <v/>
      </c>
      <c r="N2233" s="6">
        <f>HYPERLINK("http://www.eum.go.kr/web/ar/lu/luLandDet.jsp?pnu=3611035023103350008&amp;isNoScr=script&amp;mode=search", "토지이음")</f>
        <v/>
      </c>
      <c r="O2233" s="3" t="inlineStr">
        <is>
          <t>세종공주원탑</t>
        </is>
      </c>
      <c r="P2233" s="4" t="n">
        <v>1</v>
      </c>
      <c r="Q2233" s="4" t="n">
        <v>442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336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전</t>
        </is>
      </c>
      <c r="E2234" s="3" t="inlineStr">
        <is>
          <t>매매</t>
        </is>
      </c>
      <c r="F2234" s="4" t="n">
        <v>75000</v>
      </c>
      <c r="G2234" s="4" t="n">
        <v>1484</v>
      </c>
      <c r="H2234" s="4" t="n">
        <v>449</v>
      </c>
      <c r="I2234" s="5" t="n">
        <v>167</v>
      </c>
      <c r="J2234" s="5" t="n">
        <v>53.4</v>
      </c>
      <c r="K2234" s="3" t="inlineStr">
        <is>
          <t>김종서장군묘지인근 개발및투자하기 좋은토지</t>
        </is>
      </c>
      <c r="L2234" s="6">
        <f>HYPERLINK("https://fin.land.naver.com/articles/2652293198", "매물Link")</f>
        <v/>
      </c>
      <c r="M2234" s="6">
        <f>HYPERLINK("https://map.naver.com/p/search/장군면 대교리 336", "지도Link")</f>
        <v/>
      </c>
      <c r="N2234" s="6">
        <f>HYPERLINK("http://www.eum.go.kr/web/ar/lu/luLandDet.jsp?pnu=3611035023103360000&amp;isNoScr=script&amp;mode=search", "토지이음")</f>
        <v/>
      </c>
      <c r="O2234" s="3" t="inlineStr">
        <is>
          <t>세종강남</t>
        </is>
      </c>
      <c r="P2234" s="4" t="n">
        <v>1</v>
      </c>
      <c r="Q2234" s="4" t="n">
        <v>1484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세로한면(불)</t>
        </is>
      </c>
    </row>
    <row r="2235">
      <c r="A2235" s="3" t="inlineStr">
        <is>
          <t>장군면 대교리 338-3</t>
        </is>
      </c>
      <c r="B2235" s="3" t="inlineStr">
        <is>
          <t>계획관리지역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60000</v>
      </c>
      <c r="G2235" s="4" t="n">
        <v>579</v>
      </c>
      <c r="H2235" s="4" t="n">
        <v>175</v>
      </c>
      <c r="I2235" s="5" t="n">
        <v>342.9</v>
      </c>
      <c r="J2235" s="5" t="n">
        <v>142.9</v>
      </c>
      <c r="K2235" s="3" t="inlineStr">
        <is>
          <t>해누리 전원마을 입구 계획관리 토지매매</t>
        </is>
      </c>
      <c r="L2235" s="6">
        <f>HYPERLINK("https://fin.land.naver.com/articles/2652025581", "매물Link")</f>
        <v/>
      </c>
      <c r="M2235" s="6">
        <f>HYPERLINK("https://map.naver.com/p/search/장군면 대교리 338-3", "지도Link")</f>
        <v/>
      </c>
      <c r="N2235" s="6">
        <f>HYPERLINK("http://www.eum.go.kr/web/ar/lu/luLandDet.jsp?pnu=3611035023103380003&amp;isNoScr=script&amp;mode=search", "토지이음")</f>
        <v/>
      </c>
      <c r="O2235" s="3" t="inlineStr">
        <is>
          <t>에이스</t>
        </is>
      </c>
      <c r="P2235" s="4" t="n">
        <v>1</v>
      </c>
      <c r="Q2235" s="4" t="n">
        <v>561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338-6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50000</v>
      </c>
      <c r="G2236" s="4" t="n">
        <v>660</v>
      </c>
      <c r="H2236" s="4" t="n">
        <v>200</v>
      </c>
      <c r="I2236" s="5" t="n">
        <v>250</v>
      </c>
      <c r="J2236" s="5" t="n">
        <v>104.3</v>
      </c>
      <c r="K2236" s="3" t="inlineStr">
        <is>
          <t>대교리 잘조성된 전원주택지</t>
        </is>
      </c>
      <c r="L2236" s="6">
        <f>HYPERLINK("https://fin.land.naver.com/articles/2653836335", "매물Link")</f>
        <v/>
      </c>
      <c r="M2236" s="6">
        <f>HYPERLINK("https://map.naver.com/p/search/장군면 대교리 338-6", "지도Link")</f>
        <v/>
      </c>
      <c r="N2236" s="6">
        <f>HYPERLINK("http://www.eum.go.kr/web/ar/lu/luLandDet.jsp?pnu=3611035023103380006&amp;isNoScr=script&amp;mode=search", "토지이음")</f>
        <v/>
      </c>
      <c r="O2236" s="3" t="inlineStr">
        <is>
          <t>세종천지</t>
        </is>
      </c>
      <c r="P2236" s="4" t="n">
        <v>1</v>
      </c>
      <c r="Q2236" s="4" t="n">
        <v>660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세로한면(가)</t>
        </is>
      </c>
    </row>
    <row r="2237">
      <c r="A2237" s="3" t="inlineStr">
        <is>
          <t>장군면 대교리 347</t>
        </is>
      </c>
      <c r="B2237" s="3" t="inlineStr">
        <is>
          <t>농림지역</t>
        </is>
      </c>
      <c r="C2237" s="3" t="inlineStr">
        <is>
          <t>전</t>
        </is>
      </c>
      <c r="D2237" s="3" t="inlineStr">
        <is>
          <t>전</t>
        </is>
      </c>
      <c r="E2237" s="3" t="inlineStr">
        <is>
          <t>매매</t>
        </is>
      </c>
      <c r="F2237" s="4" t="n">
        <v>17000</v>
      </c>
      <c r="G2237" s="4" t="n">
        <v>671</v>
      </c>
      <c r="H2237" s="4" t="n">
        <v>203</v>
      </c>
      <c r="I2237" s="5" t="n">
        <v>83.7</v>
      </c>
      <c r="J2237" s="5" t="n">
        <v>31</v>
      </c>
      <c r="K2237" s="3" t="inlineStr">
        <is>
          <t>신도시인접 주말농장 등등 인접지 토지 같이 매매가능</t>
        </is>
      </c>
      <c r="L2237" s="6">
        <f>HYPERLINK("https://fin.land.naver.com/articles/2653051728", "매물Link")</f>
        <v/>
      </c>
      <c r="M2237" s="6">
        <f>HYPERLINK("https://map.naver.com/p/search/장군면 대교리 347", "지도Link")</f>
        <v/>
      </c>
      <c r="N2237" s="6">
        <f>HYPERLINK("http://www.eum.go.kr/web/ar/lu/luLandDet.jsp?pnu=3611035023103470000&amp;isNoScr=script&amp;mode=search", "토지이음")</f>
        <v/>
      </c>
      <c r="O2237" s="3" t="inlineStr">
        <is>
          <t>세종강남</t>
        </is>
      </c>
      <c r="P2237" s="4" t="n">
        <v>1</v>
      </c>
      <c r="Q2237" s="4" t="n">
        <v>671</v>
      </c>
      <c r="R2237" s="3" t="inlineStr">
        <is>
          <t>지정되지않음</t>
        </is>
      </c>
      <c r="S2237" s="3" t="inlineStr">
        <is>
          <t>전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맹지</t>
        </is>
      </c>
    </row>
    <row r="2238">
      <c r="A2238" s="3" t="inlineStr">
        <is>
          <t>장군면 대교리 348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30200</v>
      </c>
      <c r="G2238" s="4" t="n">
        <v>499</v>
      </c>
      <c r="H2238" s="4" t="n">
        <v>151</v>
      </c>
      <c r="I2238" s="5" t="n">
        <v>200</v>
      </c>
      <c r="J2238" s="5" t="n">
        <v>35.3</v>
      </c>
      <c r="K2238" s="3" t="inlineStr">
        <is>
          <t>지대가 높아 뷰가 좋은 위치,한옥주택 및 김종서장군묘소 인접,4필지 매매</t>
        </is>
      </c>
      <c r="L2238" s="6">
        <f>HYPERLINK("https://fin.land.naver.com/articles/2655577711", "매물Link")</f>
        <v/>
      </c>
      <c r="M2238" s="6">
        <f>HYPERLINK("https://map.naver.com/p/search/장군면 대교리 348", "지도Link")</f>
        <v/>
      </c>
      <c r="N2238" s="6">
        <f>HYPERLINK("http://www.eum.go.kr/web/ar/lu/luLandDet.jsp?pnu=3611035023103480000&amp;isNoScr=script&amp;mode=search", "토지이음")</f>
        <v/>
      </c>
      <c r="O2238" s="3" t="inlineStr">
        <is>
          <t>고운맘</t>
        </is>
      </c>
      <c r="P2238" s="4" t="n">
        <v>1</v>
      </c>
      <c r="Q2238" s="4" t="n">
        <v>499</v>
      </c>
      <c r="R2238" s="3" t="inlineStr">
        <is>
          <t>지정되지않음</t>
        </is>
      </c>
      <c r="S2238" s="3" t="inlineStr">
        <is>
          <t>전기타</t>
        </is>
      </c>
      <c r="T2238" s="3" t="inlineStr">
        <is>
          <t>평지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대교리 348</t>
        </is>
      </c>
      <c r="B2239" s="3" t="inlineStr">
        <is>
          <t>농림지역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47000</v>
      </c>
      <c r="G2239" s="4" t="n">
        <v>499</v>
      </c>
      <c r="H2239" s="4" t="n">
        <v>151</v>
      </c>
      <c r="I2239" s="5" t="n">
        <v>311.3</v>
      </c>
      <c r="J2239" s="5" t="n">
        <v>35.3</v>
      </c>
      <c r="K2239" s="3" t="inlineStr">
        <is>
          <t>가격조정가능</t>
        </is>
      </c>
      <c r="L2239" s="6">
        <f>HYPERLINK("https://fin.land.naver.com/articles/2652479249", "매물Link")</f>
        <v/>
      </c>
      <c r="M2239" s="6">
        <f>HYPERLINK("https://map.naver.com/p/search/장군면 대교리 348", "지도Link")</f>
        <v/>
      </c>
      <c r="N2239" s="6">
        <f>HYPERLINK("http://www.eum.go.kr/web/ar/lu/luLandDet.jsp?pnu=3611035023103480000&amp;isNoScr=script&amp;mode=search", "토지이음")</f>
        <v/>
      </c>
      <c r="O2239" s="3" t="inlineStr">
        <is>
          <t>그래그</t>
        </is>
      </c>
      <c r="P2239" s="4" t="n">
        <v>2</v>
      </c>
      <c r="Q2239" s="4" t="n">
        <v>499</v>
      </c>
      <c r="R2239" s="3" t="inlineStr">
        <is>
          <t>지정되지않음</t>
        </is>
      </c>
      <c r="S2239" s="3" t="inlineStr">
        <is>
          <t>전기타</t>
        </is>
      </c>
      <c r="T2239" s="3" t="inlineStr">
        <is>
          <t>평지</t>
        </is>
      </c>
      <c r="U2239" s="3" t="inlineStr">
        <is>
          <t>부정형</t>
        </is>
      </c>
      <c r="V2239" s="3" t="inlineStr">
        <is>
          <t>세로한면(가)</t>
        </is>
      </c>
    </row>
    <row r="2240">
      <c r="A2240" s="3" t="inlineStr">
        <is>
          <t>장군면 대교리 348-1</t>
        </is>
      </c>
      <c r="B2240" s="3" t="inlineStr">
        <is>
          <t>농림지역</t>
        </is>
      </c>
      <c r="C2240" s="3" t="inlineStr">
        <is>
          <t>전</t>
        </is>
      </c>
      <c r="D2240" s="3" t="inlineStr">
        <is>
          <t>대</t>
        </is>
      </c>
      <c r="E2240" s="3" t="inlineStr">
        <is>
          <t>매매</t>
        </is>
      </c>
      <c r="F2240" s="4" t="n">
        <v>28000</v>
      </c>
      <c r="G2240" s="4" t="n">
        <v>516</v>
      </c>
      <c r="H2240" s="4" t="n">
        <v>156</v>
      </c>
      <c r="I2240" s="5" t="n">
        <v>179.5</v>
      </c>
      <c r="J2240" s="5" t="n">
        <v>35.3</v>
      </c>
      <c r="K2240" s="3" t="inlineStr">
        <is>
          <t>근생부지허가난 토지,가격조율</t>
        </is>
      </c>
      <c r="L2240" s="6">
        <f>HYPERLINK("https://fin.land.naver.com/articles/2654851939", "매물Link")</f>
        <v/>
      </c>
      <c r="M2240" s="6">
        <f>HYPERLINK("https://map.naver.com/p/search/장군면 대교리 348-1", "지도Link")</f>
        <v/>
      </c>
      <c r="N2240" s="6">
        <f>HYPERLINK("http://www.eum.go.kr/web/ar/lu/luLandDet.jsp?pnu=3611035023103480001&amp;isNoScr=script&amp;mode=search", "토지이음")</f>
        <v/>
      </c>
      <c r="O2240" s="3" t="inlineStr">
        <is>
          <t>담뜰</t>
        </is>
      </c>
      <c r="P2240" s="4" t="n">
        <v>2</v>
      </c>
      <c r="Q2240" s="4" t="n">
        <v>516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평지</t>
        </is>
      </c>
      <c r="U2240" s="3" t="inlineStr">
        <is>
          <t>부정형</t>
        </is>
      </c>
      <c r="V2240" s="3" t="inlineStr">
        <is>
          <t>세로한면(가)</t>
        </is>
      </c>
    </row>
    <row r="2241">
      <c r="A2241" s="3" t="inlineStr">
        <is>
          <t>장군면 대교리 348-4</t>
        </is>
      </c>
      <c r="B2241" s="3" t="inlineStr">
        <is>
          <t>농림지역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39000</v>
      </c>
      <c r="G2241" s="4" t="n">
        <v>710</v>
      </c>
      <c r="H2241" s="4" t="n">
        <v>215</v>
      </c>
      <c r="I2241" s="5" t="n">
        <v>181.4</v>
      </c>
      <c r="J2241" s="5" t="n">
        <v>35.3</v>
      </c>
      <c r="K2241" s="3" t="inlineStr">
        <is>
          <t>가격조정가능</t>
        </is>
      </c>
      <c r="L2241" s="6">
        <f>HYPERLINK("https://fin.land.naver.com/articles/2654384477", "매물Link")</f>
        <v/>
      </c>
      <c r="M2241" s="6">
        <f>HYPERLINK("https://map.naver.com/p/search/장군면 대교리 348-4", "지도Link")</f>
        <v/>
      </c>
      <c r="N2241" s="6">
        <f>HYPERLINK("http://www.eum.go.kr/web/ar/lu/luLandDet.jsp?pnu=3611035023103480004&amp;isNoScr=script&amp;mode=search", "토지이음")</f>
        <v/>
      </c>
      <c r="O2241" s="3" t="inlineStr">
        <is>
          <t>그래그</t>
        </is>
      </c>
      <c r="P2241" s="4" t="n">
        <v>1</v>
      </c>
      <c r="Q2241" s="4" t="n">
        <v>710</v>
      </c>
      <c r="R2241" s="3" t="inlineStr">
        <is>
          <t>지정되지않음</t>
        </is>
      </c>
      <c r="S2241" s="3" t="inlineStr">
        <is>
          <t>전기타</t>
        </is>
      </c>
      <c r="T2241" s="3" t="inlineStr">
        <is>
          <t>평지</t>
        </is>
      </c>
      <c r="U2241" s="3" t="inlineStr">
        <is>
          <t>부정형</t>
        </is>
      </c>
      <c r="V2241" s="3" t="inlineStr">
        <is>
          <t>세로한면(가)</t>
        </is>
      </c>
    </row>
    <row r="2242">
      <c r="A2242" s="3" t="inlineStr">
        <is>
          <t>장군면 대교리 348-6</t>
        </is>
      </c>
      <c r="B2242" s="3" t="inlineStr">
        <is>
          <t>농림지역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28000</v>
      </c>
      <c r="G2242" s="4" t="n">
        <v>511</v>
      </c>
      <c r="H2242" s="4" t="n">
        <v>155</v>
      </c>
      <c r="I2242" s="5" t="n">
        <v>180.6</v>
      </c>
      <c r="J2242" s="5" t="n">
        <v>35.3</v>
      </c>
      <c r="K2242" s="3" t="inlineStr">
        <is>
          <t>가격조정가능</t>
        </is>
      </c>
      <c r="L2242" s="6">
        <f>HYPERLINK("https://fin.land.naver.com/articles/2652481467", "매물Link")</f>
        <v/>
      </c>
      <c r="M2242" s="6">
        <f>HYPERLINK("https://map.naver.com/p/search/장군면 대교리 348-6", "지도Link")</f>
        <v/>
      </c>
      <c r="N2242" s="6">
        <f>HYPERLINK("http://www.eum.go.kr/web/ar/lu/luLandDet.jsp?pnu=3611035023103480006&amp;isNoScr=script&amp;mode=search",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511</v>
      </c>
      <c r="R2242" s="3" t="inlineStr">
        <is>
          <t>지정되지않음</t>
        </is>
      </c>
      <c r="S2242" s="3" t="inlineStr">
        <is>
          <t>전기타</t>
        </is>
      </c>
      <c r="T2242" s="3" t="inlineStr">
        <is>
          <t>평지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349-1</t>
        </is>
      </c>
      <c r="B2243" s="3" t="inlineStr">
        <is>
          <t>농림지역</t>
        </is>
      </c>
      <c r="C2243" s="3" t="inlineStr">
        <is>
          <t>목장용지</t>
        </is>
      </c>
      <c r="D2243" s="3" t="inlineStr">
        <is>
          <t>목장용지</t>
        </is>
      </c>
      <c r="E2243" s="3" t="inlineStr">
        <is>
          <t>매매</t>
        </is>
      </c>
      <c r="F2243" s="4" t="n">
        <v>54000</v>
      </c>
      <c r="G2243" s="4" t="n">
        <v>636</v>
      </c>
      <c r="H2243" s="4" t="n">
        <v>192</v>
      </c>
      <c r="I2243" s="5" t="n">
        <v>281.2</v>
      </c>
      <c r="J2243" s="5" t="n">
        <v>40.2</v>
      </c>
      <c r="K2243" s="3" t="inlineStr">
        <is>
          <t>공유지분포함216P 목장용지 진입도로유 투자가치최고 적극조율</t>
        </is>
      </c>
      <c r="L2243" s="6">
        <f>HYPERLINK("https://fin.land.naver.com/articles/2651200267", "매물Link")</f>
        <v/>
      </c>
      <c r="M2243" s="6">
        <f>HYPERLINK("https://map.naver.com/p/search/장군면 대교리 349-1", "지도Link")</f>
        <v/>
      </c>
      <c r="N2243" s="6">
        <f>HYPERLINK("http://www.eum.go.kr/web/ar/lu/luLandDet.jsp?pnu=3611035023103490001&amp;isNoScr=script&amp;mode=search", "토지이음")</f>
        <v/>
      </c>
      <c r="O2243" s="3" t="inlineStr">
        <is>
          <t>세종대왕</t>
        </is>
      </c>
      <c r="P2243" s="4" t="n">
        <v>1</v>
      </c>
      <c r="Q2243" s="4" t="n">
        <v>636</v>
      </c>
      <c r="R2243" s="3" t="inlineStr">
        <is>
          <t>지정되지않음</t>
        </is>
      </c>
      <c r="S2243" s="3" t="inlineStr">
        <is>
          <t>전축사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349-5</t>
        </is>
      </c>
      <c r="B2244" s="3" t="inlineStr">
        <is>
          <t>농림지역</t>
        </is>
      </c>
      <c r="C2244" s="3" t="inlineStr">
        <is>
          <t>목장용지</t>
        </is>
      </c>
      <c r="D2244" s="3" t="inlineStr">
        <is>
          <t>목장용지</t>
        </is>
      </c>
      <c r="E2244" s="3" t="inlineStr">
        <is>
          <t>매매</t>
        </is>
      </c>
      <c r="F2244" s="4" t="n">
        <v>56000</v>
      </c>
      <c r="G2244" s="4" t="n">
        <v>663</v>
      </c>
      <c r="H2244" s="4" t="n">
        <v>201</v>
      </c>
      <c r="I2244" s="5" t="n">
        <v>278.6</v>
      </c>
      <c r="J2244" s="5" t="n">
        <v>40.2</v>
      </c>
      <c r="K2244" s="3" t="inlineStr">
        <is>
          <t>공유지분포함224P 목장용지 진입도로유 투자가치최고 적극조율</t>
        </is>
      </c>
      <c r="L2244" s="6">
        <f>HYPERLINK("https://fin.land.naver.com/articles/2651199778", "매물Link")</f>
        <v/>
      </c>
      <c r="M2244" s="6">
        <f>HYPERLINK("https://map.naver.com/p/search/장군면 대교리 349-5", "지도Link")</f>
        <v/>
      </c>
      <c r="N2244" s="6">
        <f>HYPERLINK("http://www.eum.go.kr/web/ar/lu/luLandDet.jsp?pnu=3611035023103490005&amp;isNoScr=script&amp;mode=search", "토지이음")</f>
        <v/>
      </c>
      <c r="O2244" s="3" t="inlineStr">
        <is>
          <t>세종대왕</t>
        </is>
      </c>
      <c r="P2244" s="4" t="n">
        <v>1</v>
      </c>
      <c r="Q2244" s="4" t="n">
        <v>663</v>
      </c>
      <c r="R2244" s="3" t="inlineStr">
        <is>
          <t>지정되지않음</t>
        </is>
      </c>
      <c r="S2244" s="3" t="inlineStr">
        <is>
          <t>전축사</t>
        </is>
      </c>
      <c r="T2244" s="3" t="inlineStr">
        <is>
          <t>평지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354</t>
        </is>
      </c>
      <c r="B2245" s="3" t="inlineStr">
        <is>
          <t>농림지역</t>
        </is>
      </c>
      <c r="C2245" s="3" t="inlineStr">
        <is>
          <t>전</t>
        </is>
      </c>
      <c r="D2245" s="3" t="inlineStr">
        <is>
          <t>전</t>
        </is>
      </c>
      <c r="E2245" s="3" t="inlineStr">
        <is>
          <t>매매</t>
        </is>
      </c>
      <c r="F2245" s="4" t="n">
        <v>120000</v>
      </c>
      <c r="G2245" s="4" t="n">
        <v>2261</v>
      </c>
      <c r="H2245" s="4" t="n">
        <v>684</v>
      </c>
      <c r="I2245" s="5" t="n">
        <v>175.4</v>
      </c>
      <c r="J2245" s="5" t="n">
        <v>35.3</v>
      </c>
      <c r="K2245" s="3" t="inlineStr">
        <is>
          <t>nan</t>
        </is>
      </c>
      <c r="L2245" s="6">
        <f>HYPERLINK("https://fin.land.naver.com/articles/2655691176", "매물Link")</f>
        <v/>
      </c>
      <c r="M2245" s="6">
        <f>HYPERLINK("https://map.naver.com/p/search/장군면 대교리 354", "지도Link")</f>
        <v/>
      </c>
      <c r="N2245" s="6">
        <f>HYPERLINK("http://www.eum.go.kr/web/ar/lu/luLandDet.jsp?pnu=3611035023103540000&amp;isNoScr=script&amp;mode=search", "토지이음")</f>
        <v/>
      </c>
      <c r="O2245" s="3" t="inlineStr">
        <is>
          <t>다온</t>
        </is>
      </c>
      <c r="P2245" s="4" t="n">
        <v>1</v>
      </c>
      <c r="Q2245" s="4" t="n">
        <v>2261</v>
      </c>
      <c r="R2245" s="3" t="inlineStr">
        <is>
          <t>지정되지않음</t>
        </is>
      </c>
      <c r="S2245" s="3" t="inlineStr">
        <is>
          <t>전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대교리 370-22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50000</v>
      </c>
      <c r="G2246" s="4" t="n">
        <v>647</v>
      </c>
      <c r="H2246" s="4" t="n">
        <v>196</v>
      </c>
      <c r="I2246" s="5" t="n">
        <v>255.1</v>
      </c>
      <c r="J2246" s="5" t="n">
        <v>153.3</v>
      </c>
      <c r="K2246" s="3" t="inlineStr">
        <is>
          <t>급매,코너각지,조망권뷰 최상,김종서장군묘소 인접,가격조정가능</t>
        </is>
      </c>
      <c r="L2246" s="6">
        <f>HYPERLINK("https://fin.land.naver.com/articles/2654645725", "매물Link")</f>
        <v/>
      </c>
      <c r="M2246" s="6">
        <f>HYPERLINK("https://map.naver.com/p/search/장군면 대교리 370-22", "지도Link")</f>
        <v/>
      </c>
      <c r="N2246" s="6">
        <f>HYPERLINK("http://www.eum.go.kr/web/ar/lu/luLandDet.jsp?pnu=3611035023103700022&amp;isNoScr=script&amp;mode=search",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490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소로한면</t>
        </is>
      </c>
    </row>
    <row r="2247">
      <c r="A2247" s="3" t="inlineStr">
        <is>
          <t>장군면 대교리 370-23</t>
        </is>
      </c>
      <c r="B2247" s="3" t="inlineStr">
        <is>
          <t>보전관리지역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35000</v>
      </c>
      <c r="G2247" s="4" t="n">
        <v>470</v>
      </c>
      <c r="H2247" s="4" t="n">
        <v>142</v>
      </c>
      <c r="I2247" s="5" t="n">
        <v>246.5</v>
      </c>
      <c r="J2247" s="5" t="n">
        <v>153.3</v>
      </c>
      <c r="K2247" s="3" t="inlineStr">
        <is>
          <t>초급매,지대가 높아 뷰가 좋은 위치,김종서장군묘소인접,코너</t>
        </is>
      </c>
      <c r="L2247" s="6">
        <f>HYPERLINK("https://fin.land.naver.com/articles/2653857048", "매물Link")</f>
        <v/>
      </c>
      <c r="M2247" s="6">
        <f>HYPERLINK("https://map.naver.com/p/search/장군면 대교리 370-23", "지도Link")</f>
        <v/>
      </c>
      <c r="N2247" s="6">
        <f>HYPERLINK("http://www.eum.go.kr/web/ar/lu/luLandDet.jsp?pnu=3611035023103700023&amp;isNoScr=script&amp;mode=search", "토지이음")</f>
        <v/>
      </c>
      <c r="O2247" s="3" t="inlineStr">
        <is>
          <t>고운맘</t>
        </is>
      </c>
      <c r="P2247" s="4" t="n">
        <v>1</v>
      </c>
      <c r="Q2247" s="4" t="n">
        <v>470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소로한면</t>
        </is>
      </c>
    </row>
    <row r="2248">
      <c r="A2248" s="3" t="inlineStr">
        <is>
          <t>장군면 대교리 370-23</t>
        </is>
      </c>
      <c r="B2248" s="3" t="inlineStr">
        <is>
          <t>보전관리지역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35000</v>
      </c>
      <c r="G2248" s="4" t="n">
        <v>470</v>
      </c>
      <c r="H2248" s="4" t="n">
        <v>142</v>
      </c>
      <c r="I2248" s="5" t="n">
        <v>246.5</v>
      </c>
      <c r="J2248" s="5" t="n">
        <v>153.3</v>
      </c>
      <c r="K2248" s="3" t="inlineStr">
        <is>
          <t>nan</t>
        </is>
      </c>
      <c r="L2248" s="6">
        <f>HYPERLINK("https://fin.land.naver.com/articles/2651584502", "매물Link")</f>
        <v/>
      </c>
      <c r="M2248" s="6">
        <f>HYPERLINK("https://map.naver.com/p/search/장군면 대교리 370-23", "지도Link")</f>
        <v/>
      </c>
      <c r="N2248" s="6">
        <f>HYPERLINK("http://www.eum.go.kr/web/ar/lu/luLandDet.jsp?pnu=3611035023103700023&amp;isNoScr=script&amp;mode=search", "토지이음")</f>
        <v/>
      </c>
      <c r="O2248" s="3" t="inlineStr">
        <is>
          <t>세종몽땅</t>
        </is>
      </c>
      <c r="P2248" s="4" t="n">
        <v>1</v>
      </c>
      <c r="Q2248" s="4" t="n">
        <v>470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소로한면</t>
        </is>
      </c>
    </row>
    <row r="2249">
      <c r="A2249" s="3" t="inlineStr">
        <is>
          <t>장군면 대교리 370-56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40000</v>
      </c>
      <c r="G2249" s="4" t="n">
        <v>540</v>
      </c>
      <c r="H2249" s="4" t="n">
        <v>163</v>
      </c>
      <c r="I2249" s="5" t="n">
        <v>245.4</v>
      </c>
      <c r="J2249" s="5" t="n">
        <v>153.3</v>
      </c>
      <c r="K2249" s="3" t="inlineStr">
        <is>
          <t>급매,지대가 높아 뷰가 좋은 위치,김종서장군묘소인접,코너각지</t>
        </is>
      </c>
      <c r="L2249" s="6">
        <f>HYPERLINK("https://fin.land.naver.com/articles/2650449674", "매물Link")</f>
        <v/>
      </c>
      <c r="M2249" s="6">
        <f>HYPERLINK("https://map.naver.com/p/search/장군면 대교리 370-56", "지도Link")</f>
        <v/>
      </c>
      <c r="N2249" s="6">
        <f>HYPERLINK("http://www.eum.go.kr/web/ar/lu/luLandDet.jsp?pnu=3611035023103700056&amp;isNoScr=script&amp;mode=search",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540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대교리 370-56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45000</v>
      </c>
      <c r="G2250" s="4" t="n">
        <v>540</v>
      </c>
      <c r="H2250" s="4" t="n">
        <v>163</v>
      </c>
      <c r="I2250" s="5" t="n">
        <v>276.1</v>
      </c>
      <c r="J2250" s="5" t="n">
        <v>153.3</v>
      </c>
      <c r="K2250" s="3" t="inlineStr">
        <is>
          <t>nan</t>
        </is>
      </c>
      <c r="L2250" s="6">
        <f>HYPERLINK("https://fin.land.naver.com/articles/2652480617", "매물Link")</f>
        <v/>
      </c>
      <c r="M2250" s="6">
        <f>HYPERLINK("https://map.naver.com/p/search/장군면 대교리 370-56", "지도Link")</f>
        <v/>
      </c>
      <c r="N2250" s="6">
        <f>HYPERLINK("http://www.eum.go.kr/web/ar/lu/luLandDet.jsp?pnu=3611035023103700056&amp;isNoScr=script&amp;mode=search", "토지이음")</f>
        <v/>
      </c>
      <c r="O2250" s="3" t="inlineStr">
        <is>
          <t>그래그</t>
        </is>
      </c>
      <c r="P2250" s="4" t="n">
        <v>2</v>
      </c>
      <c r="Q2250" s="4" t="n">
        <v>540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소로한면</t>
        </is>
      </c>
    </row>
    <row r="2251">
      <c r="A2251" s="3" t="inlineStr">
        <is>
          <t>장군면 대교리 370-56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50000</v>
      </c>
      <c r="G2251" s="4" t="n">
        <v>715</v>
      </c>
      <c r="H2251" s="4" t="n">
        <v>216</v>
      </c>
      <c r="I2251" s="5" t="n">
        <v>231.5</v>
      </c>
      <c r="J2251" s="5" t="n">
        <v>153.3</v>
      </c>
      <c r="K2251" s="3" t="inlineStr">
        <is>
          <t>세종그르노블 단독주택지</t>
        </is>
      </c>
      <c r="L2251" s="6">
        <f>HYPERLINK("https://fin.land.naver.com/articles/2652350731", "매물Link")</f>
        <v/>
      </c>
      <c r="M2251" s="6">
        <f>HYPERLINK("https://map.naver.com/p/search/장군면 대교리 370-56", "지도Link")</f>
        <v/>
      </c>
      <c r="N2251" s="6">
        <f>HYPERLINK("http://www.eum.go.kr/web/ar/lu/luLandDet.jsp?pnu=3611035023103700056&amp;isNoScr=script&amp;mode=search",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540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대교리 379-1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221500</v>
      </c>
      <c r="G2252" s="4" t="n">
        <v>2092</v>
      </c>
      <c r="H2252" s="4" t="n">
        <v>633</v>
      </c>
      <c r="I2252" s="5" t="n">
        <v>349.9</v>
      </c>
      <c r="J2252" s="5" t="n">
        <v>55.7</v>
      </c>
      <c r="K2252" s="3" t="inlineStr">
        <is>
          <t>카페 등 근생 강추 다양한 용도로 가능(김종서 테마공원 입구)</t>
        </is>
      </c>
      <c r="L2252" s="6">
        <f>HYPERLINK("https://fin.land.naver.com/articles/2653340163", "매물Link")</f>
        <v/>
      </c>
      <c r="M2252" s="6">
        <f>HYPERLINK("https://map.naver.com/p/search/장군면 대교리 379-1", "지도Link")</f>
        <v/>
      </c>
      <c r="N2252" s="6">
        <f>HYPERLINK("http://www.eum.go.kr/web/ar/lu/luLandDet.jsp?pnu=3611035023103790001&amp;isNoScr=script&amp;mode=search", "토지이음")</f>
        <v/>
      </c>
      <c r="O2252" s="3" t="inlineStr">
        <is>
          <t>상상</t>
        </is>
      </c>
      <c r="P2252" s="4" t="n">
        <v>1</v>
      </c>
      <c r="Q2252" s="4" t="n">
        <v>2092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부정형</t>
        </is>
      </c>
      <c r="V2252" s="3" t="inlineStr">
        <is>
          <t>세로한면(불)</t>
        </is>
      </c>
    </row>
    <row r="2253">
      <c r="A2253" s="3" t="inlineStr">
        <is>
          <t>장군면 대교리 403-10</t>
        </is>
      </c>
      <c r="B2253" s="3" t="inlineStr">
        <is>
          <t>계획관리지역</t>
        </is>
      </c>
      <c r="C2253" s="3" t="inlineStr">
        <is>
          <t>임야</t>
        </is>
      </c>
      <c r="D2253" s="3" t="inlineStr">
        <is>
          <t>임야</t>
        </is>
      </c>
      <c r="E2253" s="3" t="inlineStr">
        <is>
          <t>매매</t>
        </is>
      </c>
      <c r="F2253" s="4" t="n">
        <v>61000</v>
      </c>
      <c r="G2253" s="4" t="n">
        <v>873</v>
      </c>
      <c r="H2253" s="4" t="n">
        <v>264</v>
      </c>
      <c r="I2253" s="5" t="n">
        <v>231.1</v>
      </c>
      <c r="J2253" s="5" t="n">
        <v>137.3</v>
      </c>
      <c r="K2253" s="3" t="inlineStr">
        <is>
          <t>세종시 인접한 전원주택지</t>
        </is>
      </c>
      <c r="L2253" s="6">
        <f>HYPERLINK("https://fin.land.naver.com/articles/2654279727", "매물Link")</f>
        <v/>
      </c>
      <c r="M2253" s="6">
        <f>HYPERLINK("https://map.naver.com/p/search/장군면 대교리 403-10", "지도Link")</f>
        <v/>
      </c>
      <c r="N2253" s="6">
        <f>HYPERLINK("http://www.eum.go.kr/web/ar/lu/luLandDet.jsp?pnu=3611035023104030010&amp;isNoScr=script&amp;mode=search", "토지이음")</f>
        <v/>
      </c>
      <c r="O2253" s="3" t="inlineStr">
        <is>
          <t>바다하리</t>
        </is>
      </c>
      <c r="P2253" s="4" t="n">
        <v>1</v>
      </c>
      <c r="Q2253" s="4" t="n">
        <v>873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403-13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37000</v>
      </c>
      <c r="G2254" s="4" t="n">
        <v>506</v>
      </c>
      <c r="H2254" s="4" t="n">
        <v>153</v>
      </c>
      <c r="I2254" s="5" t="n">
        <v>241.8</v>
      </c>
      <c r="J2254" s="5" t="n">
        <v>102.1</v>
      </c>
      <c r="K2254" s="3" t="inlineStr">
        <is>
          <t>급매.세종 생활권 가까워 투자가치와 활용도 높은 토지</t>
        </is>
      </c>
      <c r="L2254" s="6">
        <f>HYPERLINK("https://fin.land.naver.com/articles/2655600208", "매물Link")</f>
        <v/>
      </c>
      <c r="M2254" s="6">
        <f>HYPERLINK("https://map.naver.com/p/search/장군면 대교리 403-13", "지도Link")</f>
        <v/>
      </c>
      <c r="N2254" s="6">
        <f>HYPERLINK("http://www.eum.go.kr/web/ar/lu/luLandDet.jsp?pnu=3611035023104030013&amp;isNoScr=script&amp;mode=search", "토지이음")</f>
        <v/>
      </c>
      <c r="O2254" s="3" t="inlineStr">
        <is>
          <t>가치잇는</t>
        </is>
      </c>
      <c r="P2254" s="4" t="n">
        <v>2</v>
      </c>
      <c r="Q2254" s="4" t="n">
        <v>506</v>
      </c>
      <c r="R2254" s="3" t="inlineStr">
        <is>
          <t>지정되지않음</t>
        </is>
      </c>
      <c r="S2254" s="3" t="inlineStr">
        <is>
          <t>전기타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403-13</t>
        </is>
      </c>
      <c r="B2255" s="3" t="inlineStr">
        <is>
          <t>보전관리지역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37000</v>
      </c>
      <c r="G2255" s="4" t="n">
        <v>506</v>
      </c>
      <c r="H2255" s="4" t="n">
        <v>153</v>
      </c>
      <c r="I2255" s="5" t="n">
        <v>241.8</v>
      </c>
      <c r="J2255" s="5" t="n">
        <v>102.1</v>
      </c>
      <c r="K2255" s="3" t="inlineStr">
        <is>
          <t>세종 신도심부근  접근성 좋음, 투자가치 높음</t>
        </is>
      </c>
      <c r="L2255" s="6">
        <f>HYPERLINK("https://fin.land.naver.com/articles/2653866297", "매물Link")</f>
        <v/>
      </c>
      <c r="M2255" s="6">
        <f>HYPERLINK("https://map.naver.com/p/search/장군면 대교리 403-13", "지도Link")</f>
        <v/>
      </c>
      <c r="N2255" s="6">
        <f>HYPERLINK("http://www.eum.go.kr/web/ar/lu/luLandDet.jsp?pnu=3611035023104030013&amp;isNoScr=script&amp;mode=search", "토지이음")</f>
        <v/>
      </c>
      <c r="O2255" s="3" t="inlineStr">
        <is>
          <t>세종제일</t>
        </is>
      </c>
      <c r="P2255" s="4" t="n">
        <v>1</v>
      </c>
      <c r="Q2255" s="4" t="n">
        <v>506</v>
      </c>
      <c r="R2255" s="3" t="inlineStr">
        <is>
          <t>지정되지않음</t>
        </is>
      </c>
      <c r="S2255" s="3" t="inlineStr">
        <is>
          <t>전기타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406-2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17500</v>
      </c>
      <c r="G2256" s="4" t="n">
        <v>276</v>
      </c>
      <c r="H2256" s="4" t="n">
        <v>83</v>
      </c>
      <c r="I2256" s="5" t="n">
        <v>210.8</v>
      </c>
      <c r="J2256" s="5" t="n">
        <v>141.6</v>
      </c>
      <c r="K2256" s="3" t="inlineStr">
        <is>
          <t>주말농장 으로 활용하셔도 되요</t>
        </is>
      </c>
      <c r="L2256" s="6">
        <f>HYPERLINK("https://fin.land.naver.com/articles/2652096528", "매물Link")</f>
        <v/>
      </c>
      <c r="M2256" s="6">
        <f>HYPERLINK("https://map.naver.com/p/search/장군면 대교리 406-2", "지도Link")</f>
        <v/>
      </c>
      <c r="N2256" s="6">
        <f>HYPERLINK("http://www.eum.go.kr/web/ar/lu/luLandDet.jsp?pnu=3611035023104060002&amp;isNoScr=script&amp;mode=search", "토지이음")</f>
        <v/>
      </c>
      <c r="O2256" s="3" t="inlineStr">
        <is>
          <t>지호주식회사</t>
        </is>
      </c>
      <c r="P2256" s="4" t="n">
        <v>1</v>
      </c>
      <c r="Q2256" s="4" t="n">
        <v>276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420-11</t>
        </is>
      </c>
      <c r="B2257" s="3" t="inlineStr">
        <is>
          <t>농림지역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137000</v>
      </c>
      <c r="G2257" s="4" t="n">
        <v>4097</v>
      </c>
      <c r="H2257" s="4" t="n">
        <v>1239</v>
      </c>
      <c r="I2257" s="5" t="n">
        <v>110.6</v>
      </c>
      <c r="J2257" s="5" t="n">
        <v>40.7</v>
      </c>
      <c r="K2257" s="3" t="inlineStr">
        <is>
          <t>대교리 도로에접한 농림지 답</t>
        </is>
      </c>
      <c r="L2257" s="6">
        <f>HYPERLINK("https://fin.land.naver.com/articles/2650047620", "매물Link")</f>
        <v/>
      </c>
      <c r="M2257" s="6">
        <f>HYPERLINK("https://map.naver.com/p/search/장군면 대교리 420-11", "지도Link")</f>
        <v/>
      </c>
      <c r="N2257" s="6">
        <f>HYPERLINK("http://www.eum.go.kr/web/ar/lu/luLandDet.jsp?pnu=3611035023104200011&amp;isNoScr=script&amp;mode=search", "토지이음")</f>
        <v/>
      </c>
      <c r="O2257" s="3" t="inlineStr">
        <is>
          <t>세종천지</t>
        </is>
      </c>
      <c r="P2257" s="4" t="n">
        <v>1</v>
      </c>
      <c r="Q2257" s="4" t="n">
        <v>3001</v>
      </c>
      <c r="R2257" s="3" t="inlineStr">
        <is>
          <t>지정되지않음</t>
        </is>
      </c>
      <c r="S2257" s="3" t="inlineStr">
        <is>
          <t>답</t>
        </is>
      </c>
      <c r="T2257" s="3" t="inlineStr">
        <is>
          <t>평지</t>
        </is>
      </c>
      <c r="U2257" s="3" t="inlineStr">
        <is>
          <t>가로장방</t>
        </is>
      </c>
      <c r="V2257" s="3" t="inlineStr">
        <is>
          <t>세로한면(가)</t>
        </is>
      </c>
    </row>
    <row r="2258">
      <c r="A2258" s="3" t="inlineStr">
        <is>
          <t>장군면 대교리 433-13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109000</v>
      </c>
      <c r="G2258" s="4" t="n">
        <v>1803</v>
      </c>
      <c r="H2258" s="4" t="n">
        <v>545</v>
      </c>
      <c r="I2258" s="5" t="n">
        <v>200</v>
      </c>
      <c r="J2258" s="5" t="n">
        <v>44.7</v>
      </c>
      <c r="K2258" s="3" t="inlineStr">
        <is>
          <t>김종서장군 역사테마공원 인근 도로에 2면 접한 토지</t>
        </is>
      </c>
      <c r="L2258" s="6">
        <f>HYPERLINK("https://fin.land.naver.com/articles/2652100664", "매물Link")</f>
        <v/>
      </c>
      <c r="M2258" s="6">
        <f>HYPERLINK("https://map.naver.com/p/search/장군면 대교리 433-13", "지도Link")</f>
        <v/>
      </c>
      <c r="N2258" s="6">
        <f>HYPERLINK("http://www.eum.go.kr/web/ar/lu/luLandDet.jsp?pnu=3611035023104330013&amp;isNoScr=script&amp;mode=search", "토지이음")</f>
        <v/>
      </c>
      <c r="O2258" s="3" t="inlineStr">
        <is>
          <t>미스터홈즈강남지사</t>
        </is>
      </c>
      <c r="P2258" s="4" t="n">
        <v>1</v>
      </c>
      <c r="Q2258" s="4" t="n">
        <v>1803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정방형</t>
        </is>
      </c>
      <c r="V2258" s="3" t="inlineStr">
        <is>
          <t>세로각지(가)</t>
        </is>
      </c>
    </row>
    <row r="2259">
      <c r="A2259" s="3" t="inlineStr">
        <is>
          <t>장군면 대교리 437</t>
        </is>
      </c>
      <c r="B2259" s="3" t="inlineStr">
        <is>
          <t>계획관리지역</t>
        </is>
      </c>
      <c r="C2259" s="3" t="inlineStr">
        <is>
          <t>목장용지</t>
        </is>
      </c>
      <c r="D2259" s="3" t="inlineStr">
        <is>
          <t>목장용지</t>
        </is>
      </c>
      <c r="E2259" s="3" t="inlineStr">
        <is>
          <t>매매</t>
        </is>
      </c>
      <c r="F2259" s="4" t="n">
        <v>247000</v>
      </c>
      <c r="G2259" s="4" t="n">
        <v>2731</v>
      </c>
      <c r="H2259" s="4" t="n">
        <v>826</v>
      </c>
      <c r="I2259" s="5" t="n">
        <v>299</v>
      </c>
      <c r="J2259" s="5" t="n">
        <v>88.40000000000001</v>
      </c>
      <c r="K2259" s="3" t="inlineStr">
        <is>
          <t>대형베이커리카페 음식점 전원주택등 추천</t>
        </is>
      </c>
      <c r="L2259" s="6">
        <f>HYPERLINK("https://fin.land.naver.com/articles/2655286295", "매물Link")</f>
        <v/>
      </c>
      <c r="M2259" s="6">
        <f>HYPERLINK("https://map.naver.com/p/search/장군면 대교리 437", "지도Link")</f>
        <v/>
      </c>
      <c r="N2259" s="6">
        <f>HYPERLINK("http://www.eum.go.kr/web/ar/lu/luLandDet.jsp?pnu=3611035023104370000&amp;isNoScr=script&amp;mode=search", "토지이음")</f>
        <v/>
      </c>
      <c r="O2259" s="3" t="inlineStr">
        <is>
          <t>경민</t>
        </is>
      </c>
      <c r="P2259" s="4" t="n">
        <v>2</v>
      </c>
      <c r="Q2259" s="4" t="n">
        <v>2731</v>
      </c>
      <c r="R2259" s="3" t="inlineStr">
        <is>
          <t>지정되지않음</t>
        </is>
      </c>
      <c r="S2259" s="3" t="inlineStr">
        <is>
          <t>답축사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451-9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31000</v>
      </c>
      <c r="G2260" s="4" t="n">
        <v>1977</v>
      </c>
      <c r="H2260" s="4" t="n">
        <v>598</v>
      </c>
      <c r="I2260" s="5" t="n">
        <v>51.8</v>
      </c>
      <c r="J2260" s="5" t="n">
        <v>27.2</v>
      </c>
      <c r="K2260" s="3" t="inlineStr">
        <is>
          <t>조절가능 세종시 임야를 찾으시면 연락주세요</t>
        </is>
      </c>
      <c r="L2260" s="6">
        <f>HYPERLINK("https://fin.land.naver.com/articles/2654335677", "매물Link")</f>
        <v/>
      </c>
      <c r="M2260" s="6">
        <f>HYPERLINK("https://map.naver.com/p/search/장군면 대교리 451-9", "지도Link")</f>
        <v/>
      </c>
      <c r="N2260" s="6">
        <f>HYPERLINK("http://www.eum.go.kr/web/ar/lu/luLandDet.jsp?pnu=3611035023104510009&amp;isNoScr=script&amp;mode=search", "토지이음")</f>
        <v/>
      </c>
      <c r="O2260" s="3" t="inlineStr">
        <is>
          <t>숭어리탑</t>
        </is>
      </c>
      <c r="P2260" s="4" t="n">
        <v>1</v>
      </c>
      <c r="Q2260" s="4" t="n">
        <v>1977</v>
      </c>
      <c r="R2260" s="3" t="inlineStr">
        <is>
          <t>지정되지않음</t>
        </is>
      </c>
      <c r="S2260" s="3" t="inlineStr">
        <is>
          <t>자연림</t>
        </is>
      </c>
      <c r="T2260" s="3" t="inlineStr">
        <is>
          <t>완경사</t>
        </is>
      </c>
      <c r="U2260" s="3" t="inlineStr">
        <is>
          <t>부정형</t>
        </is>
      </c>
      <c r="V2260" s="3" t="inlineStr">
        <is>
          <t>맹지</t>
        </is>
      </c>
    </row>
    <row r="2261">
      <c r="A2261" s="3" t="inlineStr">
        <is>
          <t>장군면 대교리 462-9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28000</v>
      </c>
      <c r="G2261" s="4" t="n">
        <v>827</v>
      </c>
      <c r="H2261" s="4" t="n">
        <v>250</v>
      </c>
      <c r="I2261" s="5" t="n">
        <v>112</v>
      </c>
      <c r="J2261" s="5" t="n">
        <v>27</v>
      </c>
      <c r="K2261" s="3" t="inlineStr">
        <is>
          <t>nan</t>
        </is>
      </c>
      <c r="L2261" s="6">
        <f>HYPERLINK("https://fin.land.naver.com/articles/2652747768", "매물Link")</f>
        <v/>
      </c>
      <c r="M2261" s="6">
        <f>HYPERLINK("https://map.naver.com/p/search/장군면 대교리 462-9", "지도Link")</f>
        <v/>
      </c>
      <c r="N2261" s="6">
        <f>HYPERLINK("http://www.eum.go.kr/web/ar/lu/luLandDet.jsp?pnu=3611035023104620009&amp;isNoScr=script&amp;mode=search", "토지이음")</f>
        <v/>
      </c>
      <c r="O2261" s="3" t="inlineStr">
        <is>
          <t>세종대평</t>
        </is>
      </c>
      <c r="P2261" s="4" t="n">
        <v>1</v>
      </c>
      <c r="Q2261" s="4" t="n">
        <v>827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자루형</t>
        </is>
      </c>
      <c r="V2261" s="3" t="inlineStr">
        <is>
          <t>맹지</t>
        </is>
      </c>
    </row>
    <row r="2262">
      <c r="A2262" s="3" t="inlineStr">
        <is>
          <t>장군면 대교리 463-3</t>
        </is>
      </c>
      <c r="B2262" s="3" t="inlineStr">
        <is>
          <t>농림지역</t>
        </is>
      </c>
      <c r="C2262" s="3" t="inlineStr">
        <is>
          <t>답</t>
        </is>
      </c>
      <c r="D2262" s="3" t="inlineStr">
        <is>
          <t>답</t>
        </is>
      </c>
      <c r="E2262" s="3" t="inlineStr">
        <is>
          <t>매매</t>
        </is>
      </c>
      <c r="F2262" s="4" t="n">
        <v>170000</v>
      </c>
      <c r="G2262" s="4" t="n">
        <v>3666</v>
      </c>
      <c r="H2262" s="4" t="n">
        <v>1109</v>
      </c>
      <c r="I2262" s="5" t="n">
        <v>153.3</v>
      </c>
      <c r="J2262" s="5" t="n">
        <v>68.5</v>
      </c>
      <c r="K2262" s="3" t="inlineStr">
        <is>
          <t>급매. 도로 연접. 세종 행복도시 2분.</t>
        </is>
      </c>
      <c r="L2262" s="6">
        <f>HYPERLINK("https://fin.land.naver.com/articles/2651225583", "매물Link")</f>
        <v/>
      </c>
      <c r="M2262" s="6">
        <f>HYPERLINK("https://map.naver.com/p/search/장군면 대교리 463-3", "지도Link")</f>
        <v/>
      </c>
      <c r="N2262" s="6">
        <f>HYPERLINK("http://www.eum.go.kr/web/ar/lu/luLandDet.jsp?pnu=3611035023104630003&amp;isNoScr=script&amp;mode=search", "토지이음")</f>
        <v/>
      </c>
      <c r="O2262" s="3" t="inlineStr">
        <is>
          <t>법조연합은온</t>
        </is>
      </c>
      <c r="P2262" s="4" t="n">
        <v>1</v>
      </c>
      <c r="Q2262" s="4" t="n">
        <v>3666</v>
      </c>
      <c r="R2262" s="3" t="inlineStr">
        <is>
          <t>지정되지않음</t>
        </is>
      </c>
      <c r="S2262" s="3" t="inlineStr">
        <is>
          <t>답</t>
        </is>
      </c>
      <c r="T2262" s="3" t="inlineStr">
        <is>
          <t>평지</t>
        </is>
      </c>
      <c r="U2262" s="3" t="inlineStr">
        <is>
          <t>세로장방</t>
        </is>
      </c>
      <c r="V2262" s="3" t="inlineStr">
        <is>
          <t>소로한면</t>
        </is>
      </c>
    </row>
    <row r="2263">
      <c r="A2263" s="3" t="inlineStr">
        <is>
          <t>장군면 대교리 478-2</t>
        </is>
      </c>
      <c r="B2263" s="3" t="inlineStr">
        <is>
          <t>농림지역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78650</v>
      </c>
      <c r="G2263" s="4" t="n">
        <v>2363</v>
      </c>
      <c r="H2263" s="4" t="n">
        <v>715</v>
      </c>
      <c r="I2263" s="5" t="n">
        <v>110</v>
      </c>
      <c r="J2263" s="5" t="n">
        <v>45.1</v>
      </c>
      <c r="K2263" s="3" t="inlineStr">
        <is>
          <t>2면도로접함 개발호재많음 농가주택가능</t>
        </is>
      </c>
      <c r="L2263" s="6">
        <f>HYPERLINK("https://fin.land.naver.com/articles/2654883002", "매물Link")</f>
        <v/>
      </c>
      <c r="M2263" s="6">
        <f>HYPERLINK("https://map.naver.com/p/search/장군면 대교리 478-2", "지도Link")</f>
        <v/>
      </c>
      <c r="N2263" s="6">
        <f>HYPERLINK("http://www.eum.go.kr/web/ar/lu/luLandDet.jsp?pnu=3611035023104780002&amp;isNoScr=script&amp;mode=search", "토지이음")</f>
        <v/>
      </c>
      <c r="O2263" s="3" t="inlineStr">
        <is>
          <t>세종마당</t>
        </is>
      </c>
      <c r="P2263" s="4" t="n">
        <v>1</v>
      </c>
      <c r="Q2263" s="4" t="n">
        <v>2363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평지</t>
        </is>
      </c>
      <c r="U2263" s="3" t="inlineStr">
        <is>
          <t>세로장방</t>
        </is>
      </c>
      <c r="V2263" s="3" t="inlineStr">
        <is>
          <t>세로각지(가)</t>
        </is>
      </c>
    </row>
    <row r="2264">
      <c r="A2264" s="3" t="inlineStr">
        <is>
          <t>장군면 대교리 478-3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82000</v>
      </c>
      <c r="G2264" s="4" t="n">
        <v>2363</v>
      </c>
      <c r="H2264" s="4" t="n">
        <v>715</v>
      </c>
      <c r="I2264" s="5" t="n">
        <v>114.7</v>
      </c>
      <c r="J2264" s="5" t="n">
        <v>44.6</v>
      </c>
      <c r="K2264" s="3" t="inlineStr">
        <is>
          <t>농림지역 농가주택가능 개발호재지역</t>
        </is>
      </c>
      <c r="L2264" s="6">
        <f>HYPERLINK("https://fin.land.naver.com/articles/2651982067", "매물Link")</f>
        <v/>
      </c>
      <c r="M2264" s="6">
        <f>HYPERLINK("https://map.naver.com/p/search/장군면 대교리 478-3", "지도Link")</f>
        <v/>
      </c>
      <c r="N2264" s="6">
        <f>HYPERLINK("http://www.eum.go.kr/web/ar/lu/luLandDet.jsp?pnu=3611035023104780003&amp;isNoScr=script&amp;mode=search", "토지이음")</f>
        <v/>
      </c>
      <c r="O2264" s="3" t="inlineStr">
        <is>
          <t>세종마당</t>
        </is>
      </c>
      <c r="P2264" s="4" t="n">
        <v>2</v>
      </c>
      <c r="Q2264" s="4" t="n">
        <v>2467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대교리 479-3</t>
        </is>
      </c>
      <c r="B2265" s="3" t="inlineStr">
        <is>
          <t>농림지역</t>
        </is>
      </c>
      <c r="C2265" s="3" t="inlineStr">
        <is>
          <t>답</t>
        </is>
      </c>
      <c r="D2265" s="3" t="inlineStr">
        <is>
          <t>답</t>
        </is>
      </c>
      <c r="E2265" s="3" t="inlineStr">
        <is>
          <t>매매</t>
        </is>
      </c>
      <c r="F2265" s="4" t="n">
        <v>110000</v>
      </c>
      <c r="G2265" s="4" t="n">
        <v>3637</v>
      </c>
      <c r="H2265" s="4" t="n">
        <v>1100</v>
      </c>
      <c r="I2265" s="5" t="n">
        <v>100</v>
      </c>
      <c r="J2265" s="5" t="n">
        <v>43.2</v>
      </c>
      <c r="K2265" s="3" t="inlineStr">
        <is>
          <t>전원주택 및 투자, 대토, 다용도</t>
        </is>
      </c>
      <c r="L2265" s="6">
        <f>HYPERLINK("https://fin.land.naver.com/articles/2652276228", "매물Link")</f>
        <v/>
      </c>
      <c r="M2265" s="6">
        <f>HYPERLINK("https://map.naver.com/p/search/장군면 대교리 479-3", "지도Link")</f>
        <v/>
      </c>
      <c r="N2265" s="6">
        <f>HYPERLINK("http://www.eum.go.kr/web/ar/lu/luLandDet.jsp?pnu=3611035023104790003&amp;isNoScr=script&amp;mode=search",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3637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평지</t>
        </is>
      </c>
      <c r="U2265" s="3" t="inlineStr">
        <is>
          <t>정방형</t>
        </is>
      </c>
      <c r="V2265" s="3" t="inlineStr">
        <is>
          <t>세로한면(가)</t>
        </is>
      </c>
    </row>
    <row r="2266">
      <c r="A2266" s="3" t="inlineStr">
        <is>
          <t>장군면 대교리 483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87000</v>
      </c>
      <c r="G2266" s="4" t="n">
        <v>1597</v>
      </c>
      <c r="H2266" s="4" t="n">
        <v>483</v>
      </c>
      <c r="I2266" s="5" t="n">
        <v>180.1</v>
      </c>
      <c r="J2266" s="5" t="n">
        <v>84.90000000000001</v>
      </c>
      <c r="K2266" s="3" t="inlineStr">
        <is>
          <t>대교리 계획관리지역 토지매매</t>
        </is>
      </c>
      <c r="L2266" s="6">
        <f>HYPERLINK("https://fin.land.naver.com/articles/2652026105", "매물Link")</f>
        <v/>
      </c>
      <c r="M2266" s="6">
        <f>HYPERLINK("https://map.naver.com/p/search/장군면 대교리 483", "지도Link")</f>
        <v/>
      </c>
      <c r="N2266" s="6">
        <f>HYPERLINK("http://www.eum.go.kr/web/ar/lu/luLandDet.jsp?pnu=3611035023104830000&amp;isNoScr=script&amp;mode=search", "토지이음")</f>
        <v/>
      </c>
      <c r="O2266" s="3" t="inlineStr">
        <is>
          <t>에이스</t>
        </is>
      </c>
      <c r="P2266" s="4" t="n">
        <v>1</v>
      </c>
      <c r="Q2266" s="4" t="n">
        <v>1597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부정형</t>
        </is>
      </c>
      <c r="V2266" s="3" t="inlineStr">
        <is>
          <t>세로한면(불)</t>
        </is>
      </c>
    </row>
    <row r="2267">
      <c r="A2267" s="3" t="inlineStr">
        <is>
          <t>장군면 대교리 507-1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200000</v>
      </c>
      <c r="G2267" s="4" t="n">
        <v>3891</v>
      </c>
      <c r="H2267" s="4" t="n">
        <v>1177</v>
      </c>
      <c r="I2267" s="5" t="n">
        <v>169.9</v>
      </c>
      <c r="J2267" s="5" t="n">
        <v>91.40000000000001</v>
      </c>
      <c r="K2267" s="3" t="inlineStr">
        <is>
          <t>명성공인, 대교리 계획관리 추천 매물</t>
        </is>
      </c>
      <c r="L2267" s="6">
        <f>HYPERLINK("https://fin.land.naver.com/articles/2653841780", "매물Link")</f>
        <v/>
      </c>
      <c r="M2267" s="6">
        <f>HYPERLINK("https://map.naver.com/p/search/장군면 대교리 507-1", "지도Link")</f>
        <v/>
      </c>
      <c r="N2267" s="6">
        <f>HYPERLINK("http://www.eum.go.kr/web/ar/lu/luLandDet.jsp?pnu=3611035023105070001&amp;isNoScr=script&amp;mode=search", "토지이음")</f>
        <v/>
      </c>
      <c r="O2267" s="3" t="inlineStr">
        <is>
          <t>명성</t>
        </is>
      </c>
      <c r="P2267" s="4" t="n">
        <v>1</v>
      </c>
      <c r="Q2267" s="4" t="n">
        <v>1267</v>
      </c>
      <c r="R2267" s="3" t="inlineStr">
        <is>
          <t>지정되지않음</t>
        </is>
      </c>
      <c r="S2267" s="3" t="inlineStr">
        <is>
          <t>답</t>
        </is>
      </c>
      <c r="T2267" s="3" t="inlineStr">
        <is>
          <t>완경사</t>
        </is>
      </c>
      <c r="U2267" s="3" t="inlineStr">
        <is>
          <t>정방형</t>
        </is>
      </c>
      <c r="V2267" s="3" t="inlineStr">
        <is>
          <t>세로한면(가)</t>
        </is>
      </c>
    </row>
    <row r="2268">
      <c r="A2268" s="3" t="inlineStr">
        <is>
          <t>장군면 대교리 508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답</t>
        </is>
      </c>
      <c r="E2268" s="3" t="inlineStr">
        <is>
          <t>매매</t>
        </is>
      </c>
      <c r="F2268" s="4" t="n">
        <v>230000</v>
      </c>
      <c r="G2268" s="4" t="n">
        <v>3891</v>
      </c>
      <c r="H2268" s="4" t="n">
        <v>1177</v>
      </c>
      <c r="I2268" s="5" t="n">
        <v>195.4</v>
      </c>
      <c r="J2268" s="5" t="n">
        <v>72.7</v>
      </c>
      <c r="K2268" s="3" t="inlineStr">
        <is>
          <t>생명나무,행복도시인접.세종정부청사 15분거리</t>
        </is>
      </c>
      <c r="L2268" s="6">
        <f>HYPERLINK("https://fin.land.naver.com/articles/2650737337", "매물Link")</f>
        <v/>
      </c>
      <c r="M2268" s="6">
        <f>HYPERLINK("https://map.naver.com/p/search/장군면 대교리 508", "지도Link")</f>
        <v/>
      </c>
      <c r="N2268" s="6">
        <f>HYPERLINK("http://www.eum.go.kr/web/ar/lu/luLandDet.jsp?pnu=3611035023105080000&amp;isNoScr=script&amp;mode=search", "토지이음")</f>
        <v/>
      </c>
      <c r="O2268" s="3" t="inlineStr">
        <is>
          <t>생명나무</t>
        </is>
      </c>
      <c r="P2268" s="4" t="n">
        <v>1</v>
      </c>
      <c r="Q2268" s="4" t="n">
        <v>483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완경사</t>
        </is>
      </c>
      <c r="U2268" s="3" t="inlineStr">
        <is>
          <t>부정형</t>
        </is>
      </c>
      <c r="V2268" s="3" t="inlineStr">
        <is>
          <t>맹지</t>
        </is>
      </c>
    </row>
    <row r="2269">
      <c r="A2269" s="3" t="inlineStr">
        <is>
          <t>장군면 대교리 510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115250</v>
      </c>
      <c r="G2269" s="4" t="n">
        <v>1524</v>
      </c>
      <c r="H2269" s="4" t="n">
        <v>461</v>
      </c>
      <c r="I2269" s="5" t="n">
        <v>250</v>
      </c>
      <c r="J2269" s="5" t="n">
        <v>105.7</v>
      </c>
      <c r="K2269" s="3" t="inlineStr">
        <is>
          <t>돈이 필요 하셔서 급매도를 원하십니다  정말 좋은 땅</t>
        </is>
      </c>
      <c r="L2269" s="6">
        <f>HYPERLINK("https://fin.land.naver.com/articles/2651902425", "매물Link")</f>
        <v/>
      </c>
      <c r="M2269" s="6">
        <f>HYPERLINK("https://map.naver.com/p/search/장군면 대교리 510", "지도Link")</f>
        <v/>
      </c>
      <c r="N2269" s="6">
        <f>HYPERLINK("http://www.eum.go.kr/web/ar/lu/luLandDet.jsp?pnu=3611035023105100000&amp;isNoScr=script&amp;mode=search", "토지이음")</f>
        <v/>
      </c>
      <c r="O2269" s="3" t="inlineStr">
        <is>
          <t>세종골드삼성</t>
        </is>
      </c>
      <c r="P2269" s="4" t="n">
        <v>2</v>
      </c>
      <c r="Q2269" s="4" t="n">
        <v>1524</v>
      </c>
      <c r="R2269" s="3" t="inlineStr">
        <is>
          <t>지정되지않음</t>
        </is>
      </c>
      <c r="S2269" s="3" t="inlineStr">
        <is>
          <t>전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524-2</t>
        </is>
      </c>
      <c r="B2270" s="3" t="inlineStr">
        <is>
          <t>농림지역</t>
        </is>
      </c>
      <c r="C2270" s="3" t="inlineStr">
        <is>
          <t>답</t>
        </is>
      </c>
      <c r="D2270" s="3" t="inlineStr">
        <is>
          <t>답</t>
        </is>
      </c>
      <c r="E2270" s="3" t="inlineStr">
        <is>
          <t>매매</t>
        </is>
      </c>
      <c r="F2270" s="4" t="n">
        <v>62700</v>
      </c>
      <c r="G2270" s="4" t="n">
        <v>1884</v>
      </c>
      <c r="H2270" s="4" t="n">
        <v>570</v>
      </c>
      <c r="I2270" s="5" t="n">
        <v>110</v>
      </c>
      <c r="J2270" s="5" t="n">
        <v>50.4</v>
      </c>
      <c r="K2270" s="3" t="inlineStr">
        <is>
          <t>급매 금액내림 대토강추 꼭 매도하려고 하는 농지입니다. 농업진흥구역.</t>
        </is>
      </c>
      <c r="L2270" s="6">
        <f>HYPERLINK("https://fin.land.naver.com/articles/2651154319", "매물Link")</f>
        <v/>
      </c>
      <c r="M2270" s="6">
        <f>HYPERLINK("https://map.naver.com/p/search/장군면 대교리 524-2", "지도Link")</f>
        <v/>
      </c>
      <c r="N2270" s="6">
        <f>HYPERLINK("http://www.eum.go.kr/web/ar/lu/luLandDet.jsp?pnu=3611035023105240002&amp;isNoScr=script&amp;mode=search", "토지이음")</f>
        <v/>
      </c>
      <c r="O2270" s="3" t="inlineStr">
        <is>
          <t>미스터홈즈강남지사</t>
        </is>
      </c>
      <c r="P2270" s="4" t="n">
        <v>1</v>
      </c>
      <c r="Q2270" s="4" t="n">
        <v>1884</v>
      </c>
      <c r="R2270" s="3" t="inlineStr">
        <is>
          <t>지정되지않음</t>
        </is>
      </c>
      <c r="S2270" s="3" t="inlineStr">
        <is>
          <t>답</t>
        </is>
      </c>
      <c r="T2270" s="3" t="inlineStr">
        <is>
          <t>평지</t>
        </is>
      </c>
      <c r="U2270" s="3" t="inlineStr">
        <is>
          <t>세로장방</t>
        </is>
      </c>
      <c r="V2270" s="3" t="inlineStr">
        <is>
          <t>세로각지(가)</t>
        </is>
      </c>
    </row>
    <row r="2271">
      <c r="A2271" s="3" t="inlineStr">
        <is>
          <t>장군면 대교리 634-7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244500</v>
      </c>
      <c r="G2271" s="4" t="n">
        <v>1617</v>
      </c>
      <c r="H2271" s="4" t="n">
        <v>489</v>
      </c>
      <c r="I2271" s="5" t="n">
        <v>500</v>
      </c>
      <c r="J2271" s="5" t="n">
        <v>216</v>
      </c>
      <c r="K2271" s="3" t="inlineStr">
        <is>
          <t>대교천변 토지</t>
        </is>
      </c>
      <c r="L2271" s="6">
        <f>HYPERLINK("https://fin.land.naver.com/articles/2652271264", "매물Link")</f>
        <v/>
      </c>
      <c r="M2271" s="6">
        <f>HYPERLINK("https://map.naver.com/p/search/장군면 대교리 634-7", "지도Link")</f>
        <v/>
      </c>
      <c r="N2271" s="6">
        <f>HYPERLINK("http://www.eum.go.kr/web/ar/lu/luLandDet.jsp?pnu=3611035023106340007&amp;isNoScr=script&amp;mode=search", "토지이음")</f>
        <v/>
      </c>
      <c r="O2271" s="3" t="inlineStr">
        <is>
          <t>새땅</t>
        </is>
      </c>
      <c r="P2271" s="4" t="n">
        <v>1</v>
      </c>
      <c r="Q2271" s="4" t="n">
        <v>767</v>
      </c>
      <c r="R2271" s="3" t="inlineStr">
        <is>
          <t>지정되지않음</t>
        </is>
      </c>
      <c r="S2271" s="3" t="inlineStr">
        <is>
          <t>주거기타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74-25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120000</v>
      </c>
      <c r="G2272" s="4" t="n">
        <v>2981</v>
      </c>
      <c r="H2272" s="4" t="n">
        <v>902</v>
      </c>
      <c r="I2272" s="5" t="n">
        <v>133</v>
      </c>
      <c r="J2272" s="5" t="n">
        <v>106.8</v>
      </c>
      <c r="K2272" s="3" t="inlineStr">
        <is>
          <t>신도시가 내려다 보이는 국사봉마을 전원주택단지 마천루 토지</t>
        </is>
      </c>
      <c r="L2272" s="6">
        <f>HYPERLINK("https://fin.land.naver.com/articles/2654547440", "매물Link")</f>
        <v/>
      </c>
      <c r="M2272" s="6">
        <f>HYPERLINK("https://map.naver.com/p/search/장군면 대교리 74-25", "지도Link")</f>
        <v/>
      </c>
      <c r="N2272" s="6">
        <f>HYPERLINK("http://www.eum.go.kr/web/ar/lu/luLandDet.jsp?pnu=3611035023100740025&amp;isNoScr=script&amp;mode=search", "토지이음")</f>
        <v/>
      </c>
      <c r="O2272" s="3" t="inlineStr">
        <is>
          <t>온뜰</t>
        </is>
      </c>
      <c r="P2272" s="4" t="n">
        <v>2</v>
      </c>
      <c r="Q2272" s="4" t="n">
        <v>1523</v>
      </c>
      <c r="R2272" s="3" t="inlineStr">
        <is>
          <t>농림지역</t>
        </is>
      </c>
      <c r="S2272" s="3" t="inlineStr">
        <is>
          <t>단독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74-27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43000</v>
      </c>
      <c r="G2273" s="4" t="n">
        <v>472</v>
      </c>
      <c r="H2273" s="4" t="n">
        <v>143</v>
      </c>
      <c r="I2273" s="5" t="n">
        <v>300.7</v>
      </c>
      <c r="J2273" s="5" t="n">
        <v>107.7</v>
      </c>
      <c r="K2273" s="3" t="inlineStr">
        <is>
          <t>nan</t>
        </is>
      </c>
      <c r="L2273" s="6">
        <f>HYPERLINK("https://fin.land.naver.com/articles/2652149349", "매물Link")</f>
        <v/>
      </c>
      <c r="M2273" s="6">
        <f>HYPERLINK("https://map.naver.com/p/search/장군면 대교리 74-27", "지도Link")</f>
        <v/>
      </c>
      <c r="N2273" s="6">
        <f>HYPERLINK("http://www.eum.go.kr/web/ar/lu/luLandDet.jsp?pnu=3611035023100740027&amp;isNoScr=script&amp;mode=search", "토지이음")</f>
        <v/>
      </c>
      <c r="O2273" s="3" t="inlineStr">
        <is>
          <t>해들일번지</t>
        </is>
      </c>
      <c r="P2273" s="4" t="n">
        <v>1</v>
      </c>
      <c r="Q2273" s="4" t="n">
        <v>430</v>
      </c>
      <c r="R2273" s="3" t="inlineStr">
        <is>
          <t>지정되지않음</t>
        </is>
      </c>
      <c r="S2273" s="3" t="inlineStr">
        <is>
          <t>단독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74-42</t>
        </is>
      </c>
      <c r="B2274" s="3" t="inlineStr">
        <is>
          <t>보전관리지역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55000</v>
      </c>
      <c r="G2274" s="4" t="n">
        <v>1934</v>
      </c>
      <c r="H2274" s="4" t="n">
        <v>585</v>
      </c>
      <c r="I2274" s="5" t="n">
        <v>94</v>
      </c>
      <c r="J2274" s="5" t="n">
        <v>33.3</v>
      </c>
      <c r="K2274" s="3" t="inlineStr">
        <is>
          <t>세종신도시 고운동과  1.2km 떨어진 토지매매</t>
        </is>
      </c>
      <c r="L2274" s="6">
        <f>HYPERLINK("https://fin.land.naver.com/articles/2654514669", "매물Link")</f>
        <v/>
      </c>
      <c r="M2274" s="6">
        <f>HYPERLINK("https://map.naver.com/p/search/장군면 대교리 74-42", "지도Link")</f>
        <v/>
      </c>
      <c r="N2274" s="6">
        <f>HYPERLINK("http://www.eum.go.kr/web/ar/lu/luLandDet.jsp?pnu=3611035023100740042&amp;isNoScr=script&amp;mode=search", "토지이음")</f>
        <v/>
      </c>
      <c r="O2274" s="3" t="inlineStr">
        <is>
          <t>비전</t>
        </is>
      </c>
      <c r="P2274" s="4" t="n">
        <v>1</v>
      </c>
      <c r="Q2274" s="4" t="n">
        <v>1934</v>
      </c>
      <c r="R2274" s="3" t="inlineStr">
        <is>
          <t>지정되지않음</t>
        </is>
      </c>
      <c r="S2274" s="3" t="inlineStr">
        <is>
          <t>자연림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74-53</t>
        </is>
      </c>
      <c r="B2275" s="3" t="inlineStr">
        <is>
          <t>보전관리지역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18000</v>
      </c>
      <c r="G2275" s="4" t="n">
        <v>661</v>
      </c>
      <c r="H2275" s="4" t="n">
        <v>200</v>
      </c>
      <c r="I2275" s="5" t="n">
        <v>90</v>
      </c>
      <c r="J2275" s="5" t="n">
        <v>34.3</v>
      </c>
      <c r="K2275" s="3" t="inlineStr">
        <is>
          <t>세종시 고운동 근접 단독주택지 급매,주변에 단독주택 마을 있음</t>
        </is>
      </c>
      <c r="L2275" s="6">
        <f>HYPERLINK("https://fin.land.naver.com/articles/2654851244", "매물Link")</f>
        <v/>
      </c>
      <c r="M2275" s="6">
        <f>HYPERLINK("https://map.naver.com/p/search/장군면 대교리 74-53", "지도Link")</f>
        <v/>
      </c>
      <c r="N2275" s="6">
        <f>HYPERLINK("http://www.eum.go.kr/web/ar/lu/luLandDet.jsp?pnu=3611035023100740053&amp;isNoScr=script&amp;mode=search", "토지이음")</f>
        <v/>
      </c>
      <c r="O2275" s="3" t="inlineStr">
        <is>
          <t>담뜰</t>
        </is>
      </c>
      <c r="P2275" s="4" t="n">
        <v>1</v>
      </c>
      <c r="Q2275" s="4" t="n">
        <v>661</v>
      </c>
      <c r="R2275" s="3" t="inlineStr">
        <is>
          <t>지정되지않음</t>
        </is>
      </c>
      <c r="S2275" s="3" t="inlineStr">
        <is>
          <t>자연림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대교리 78-3</t>
        </is>
      </c>
      <c r="B2276" s="3" t="inlineStr">
        <is>
          <t>생산관리지역</t>
        </is>
      </c>
      <c r="C2276" s="3" t="inlineStr">
        <is>
          <t>전</t>
        </is>
      </c>
      <c r="D2276" s="3" t="inlineStr">
        <is>
          <t>대</t>
        </is>
      </c>
      <c r="E2276" s="3" t="inlineStr">
        <is>
          <t>매매</t>
        </is>
      </c>
      <c r="F2276" s="4" t="n">
        <v>79000</v>
      </c>
      <c r="G2276" s="4" t="n">
        <v>1051</v>
      </c>
      <c r="H2276" s="4" t="n">
        <v>318</v>
      </c>
      <c r="I2276" s="5" t="n">
        <v>248.4</v>
      </c>
      <c r="J2276" s="5" t="n">
        <v>64.40000000000001</v>
      </c>
      <c r="K2276" s="3" t="inlineStr">
        <is>
          <t>nan</t>
        </is>
      </c>
      <c r="L2276" s="6">
        <f>HYPERLINK("https://fin.land.naver.com/articles/2654947595", "매물Link")</f>
        <v/>
      </c>
      <c r="M2276" s="6">
        <f>HYPERLINK("https://map.naver.com/p/search/장군면 대교리 78-3", "지도Link")</f>
        <v/>
      </c>
      <c r="N2276" s="6">
        <f>HYPERLINK("http://www.eum.go.kr/web/ar/lu/luLandDet.jsp?pnu=3611035023100780003&amp;isNoScr=script&amp;mode=search", "토지이음")</f>
        <v/>
      </c>
      <c r="O2276" s="3" t="inlineStr">
        <is>
          <t>세종신한</t>
        </is>
      </c>
      <c r="P2276" s="4" t="n">
        <v>1</v>
      </c>
      <c r="Q2276" s="4" t="n">
        <v>827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맹지</t>
        </is>
      </c>
    </row>
    <row r="2277">
      <c r="A2277" s="3" t="inlineStr">
        <is>
          <t>장군면 대교리 79-139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65000</v>
      </c>
      <c r="G2277" s="4" t="n">
        <v>891</v>
      </c>
      <c r="H2277" s="4" t="n">
        <v>270</v>
      </c>
      <c r="I2277" s="5" t="n">
        <v>240.7</v>
      </c>
      <c r="J2277" s="5" t="n">
        <v>157.2</v>
      </c>
      <c r="K2277" s="3" t="inlineStr">
        <is>
          <t>장군면 대교리 전망 좋은 남향 전원주택부지 매매</t>
        </is>
      </c>
      <c r="L2277" s="6">
        <f>HYPERLINK("https://fin.land.naver.com/articles/2654896550", "매물Link")</f>
        <v/>
      </c>
      <c r="M2277" s="6">
        <f>HYPERLINK("https://map.naver.com/p/search/장군면 대교리 79-139", "지도Link")</f>
        <v/>
      </c>
      <c r="N2277" s="6">
        <f>HYPERLINK("http://www.eum.go.kr/web/ar/lu/luLandDet.jsp?pnu=3611035023100790139&amp;isNoScr=script&amp;mode=search", "토지이음")</f>
        <v/>
      </c>
      <c r="O2277" s="3" t="inlineStr">
        <is>
          <t>비전</t>
        </is>
      </c>
      <c r="P2277" s="4" t="n">
        <v>1</v>
      </c>
      <c r="Q2277" s="4" t="n">
        <v>660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정방형</t>
        </is>
      </c>
      <c r="V2277" s="3" t="inlineStr">
        <is>
          <t>세로한면(가)</t>
        </is>
      </c>
    </row>
    <row r="2278">
      <c r="A2278" s="3" t="inlineStr">
        <is>
          <t>장군면 대교리 79-163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42000</v>
      </c>
      <c r="G2278" s="4" t="n">
        <v>557</v>
      </c>
      <c r="H2278" s="4" t="n">
        <v>168</v>
      </c>
      <c r="I2278" s="5" t="n">
        <v>250</v>
      </c>
      <c r="J2278" s="5" t="n">
        <v>157.2</v>
      </c>
      <c r="K2278" s="3" t="inlineStr">
        <is>
          <t>급매, 전망 뷰 최상, 안정감 있는 대교리 전원주택지 즉시 건축가능</t>
        </is>
      </c>
      <c r="L2278" s="6">
        <f>HYPERLINK("https://fin.land.naver.com/articles/2653860181", "매물Link")</f>
        <v/>
      </c>
      <c r="M2278" s="6">
        <f>HYPERLINK("https://map.naver.com/p/search/장군면 대교리 79-163", "지도Link")</f>
        <v/>
      </c>
      <c r="N2278" s="6">
        <f>HYPERLINK("http://www.eum.go.kr/web/ar/lu/luLandDet.jsp?pnu=3611035023100790163&amp;isNoScr=script&amp;mode=search",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413</v>
      </c>
      <c r="R2278" s="3" t="inlineStr">
        <is>
          <t>지정되지않음</t>
        </is>
      </c>
      <c r="S2278" s="3" t="inlineStr">
        <is>
          <t>주거기타</t>
        </is>
      </c>
      <c r="T2278" s="3" t="inlineStr">
        <is>
          <t>완경사</t>
        </is>
      </c>
      <c r="U2278" s="3" t="inlineStr">
        <is>
          <t>가로장방</t>
        </is>
      </c>
      <c r="V2278" s="3" t="inlineStr">
        <is>
          <t>세로한면(가)</t>
        </is>
      </c>
    </row>
    <row r="2279">
      <c r="A2279" s="3" t="inlineStr">
        <is>
          <t>장군면 대교리 79-177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530</v>
      </c>
      <c r="H2279" s="4" t="n">
        <v>160</v>
      </c>
      <c r="I2279" s="5" t="n">
        <v>312.5</v>
      </c>
      <c r="J2279" s="5" t="n">
        <v>157.2</v>
      </c>
      <c r="K2279" s="3" t="inlineStr">
        <is>
          <t>대 660㎡, 단독전원주택, 보전관리지역.</t>
        </is>
      </c>
      <c r="L2279" s="6">
        <f>HYPERLINK("https://fin.land.naver.com/articles/2654666088", "매물Link")</f>
        <v/>
      </c>
      <c r="M2279" s="6">
        <f>HYPERLINK("https://map.naver.com/p/search/장군면 대교리 79-177", "지도Link")</f>
        <v/>
      </c>
      <c r="N2279" s="6">
        <f>HYPERLINK("http://www.eum.go.kr/web/ar/lu/luLandDet.jsp?pnu=3611035023100790177&amp;isNoScr=script&amp;mode=search", "토지이음")</f>
        <v/>
      </c>
      <c r="O2279" s="3" t="inlineStr">
        <is>
          <t>가결</t>
        </is>
      </c>
      <c r="P2279" s="4" t="n">
        <v>1</v>
      </c>
      <c r="Q2279" s="4" t="n">
        <v>530</v>
      </c>
      <c r="R2279" s="3" t="inlineStr">
        <is>
          <t>지정되지않음</t>
        </is>
      </c>
      <c r="S2279" s="3" t="inlineStr">
        <is>
          <t>주거기타</t>
        </is>
      </c>
      <c r="T2279" s="3" t="inlineStr">
        <is>
          <t>완경사</t>
        </is>
      </c>
      <c r="U2279" s="3" t="inlineStr">
        <is>
          <t>정방형</t>
        </is>
      </c>
      <c r="V2279" s="3" t="inlineStr">
        <is>
          <t>세로한면(가)</t>
        </is>
      </c>
    </row>
    <row r="2280">
      <c r="A2280" s="3" t="inlineStr">
        <is>
          <t>장군면 대교리 79-38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44000</v>
      </c>
      <c r="G2280" s="4" t="n">
        <v>714</v>
      </c>
      <c r="H2280" s="4" t="n">
        <v>216</v>
      </c>
      <c r="I2280" s="5" t="n">
        <v>203.7</v>
      </c>
      <c r="J2280" s="5" t="n">
        <v>157.2</v>
      </c>
      <c r="K2280" s="3" t="inlineStr">
        <is>
          <t>토목공사 완료된 전원주택단지,건축가능</t>
        </is>
      </c>
      <c r="L2280" s="6">
        <f>HYPERLINK("https://fin.land.naver.com/articles/2655032763", "매물Link")</f>
        <v/>
      </c>
      <c r="M2280" s="6">
        <f>HYPERLINK("https://map.naver.com/p/search/장군면 대교리 79-38", "지도Link")</f>
        <v/>
      </c>
      <c r="N2280" s="6">
        <f>HYPERLINK("http://www.eum.go.kr/web/ar/lu/luLandDet.jsp?pnu=3611035023100790038&amp;isNoScr=script&amp;mode=search", "토지이음")</f>
        <v/>
      </c>
      <c r="O2280" s="3" t="inlineStr">
        <is>
          <t>세종대박</t>
        </is>
      </c>
      <c r="P2280" s="4" t="n">
        <v>1</v>
      </c>
      <c r="Q2280" s="4" t="n">
        <v>580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세로장방</t>
        </is>
      </c>
      <c r="V2280" s="3" t="inlineStr">
        <is>
          <t>세로한면(가)</t>
        </is>
      </c>
    </row>
    <row r="2281">
      <c r="A2281" s="3" t="inlineStr">
        <is>
          <t>장군면 대교리 79-38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45000</v>
      </c>
      <c r="G2281" s="4" t="n">
        <v>714</v>
      </c>
      <c r="H2281" s="4" t="n">
        <v>216</v>
      </c>
      <c r="I2281" s="5" t="n">
        <v>208.3</v>
      </c>
      <c r="J2281" s="5" t="n">
        <v>157.2</v>
      </c>
      <c r="K2281" s="3" t="inlineStr">
        <is>
          <t>전망 최고 대교리 전원주택부지 사두실분 추후건축 가능</t>
        </is>
      </c>
      <c r="L2281" s="6">
        <f>HYPERLINK("https://fin.land.naver.com/articles/2652599666", "매물Link")</f>
        <v/>
      </c>
      <c r="M2281" s="6">
        <f>HYPERLINK("https://map.naver.com/p/search/장군면 대교리 79-38", "지도Link")</f>
        <v/>
      </c>
      <c r="N2281" s="6">
        <f>HYPERLINK("http://www.eum.go.kr/web/ar/lu/luLandDet.jsp?pnu=3611035023100790038&amp;isNoScr=script&amp;mode=search", "토지이음")</f>
        <v/>
      </c>
      <c r="O2281" s="3" t="inlineStr">
        <is>
          <t>로데오상가</t>
        </is>
      </c>
      <c r="P2281" s="4" t="n">
        <v>1</v>
      </c>
      <c r="Q2281" s="4" t="n">
        <v>580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대교리 79-38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580</v>
      </c>
      <c r="H2282" s="4" t="n">
        <v>175</v>
      </c>
      <c r="I2282" s="5" t="n">
        <v>257.1</v>
      </c>
      <c r="J2282" s="5" t="n">
        <v>157.2</v>
      </c>
      <c r="K2282" s="3" t="inlineStr">
        <is>
          <t>초초급매,조망권뷰 최상,지대가 높은 전원주택지 즉시 건축가능</t>
        </is>
      </c>
      <c r="L2282" s="6">
        <f>HYPERLINK("https://fin.land.naver.com/articles/2650946434", "매물Link")</f>
        <v/>
      </c>
      <c r="M2282" s="6">
        <f>HYPERLINK("https://map.naver.com/p/search/장군면 대교리 79-38", "지도Link")</f>
        <v/>
      </c>
      <c r="N2282" s="6">
        <f>HYPERLINK("http://www.eum.go.kr/web/ar/lu/luLandDet.jsp?pnu=3611035023100790038&amp;isNoScr=script&amp;mode=search", "토지이음")</f>
        <v/>
      </c>
      <c r="O2282" s="3" t="inlineStr">
        <is>
          <t>고운맘</t>
        </is>
      </c>
      <c r="P2282" s="4" t="n">
        <v>1</v>
      </c>
      <c r="Q2282" s="4" t="n">
        <v>580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대교리 79-52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45000</v>
      </c>
      <c r="G2283" s="4" t="n">
        <v>58548</v>
      </c>
      <c r="H2283" s="4" t="n">
        <v>17711</v>
      </c>
      <c r="I2283" s="5" t="n">
        <v>2.5</v>
      </c>
      <c r="J2283" s="5" t="n">
        <v>157.2</v>
      </c>
      <c r="K2283" s="3" t="inlineStr">
        <is>
          <t>조율가능추천매물  바로 집지으실수있는 정남향 전원주택지</t>
        </is>
      </c>
      <c r="L2283" s="6">
        <f>HYPERLINK("https://fin.land.naver.com/articles/2651913485", "매물Link")</f>
        <v/>
      </c>
      <c r="M2283" s="6">
        <f>HYPERLINK("https://map.naver.com/p/search/장군면 대교리 79-52", "지도Link")</f>
        <v/>
      </c>
      <c r="N2283" s="6">
        <f>HYPERLINK("http://www.eum.go.kr/web/ar/lu/luLandDet.jsp?pnu=3611035023100790052&amp;isNoScr=script&amp;mode=search", "토지이음")</f>
        <v/>
      </c>
      <c r="O2283" s="3" t="inlineStr">
        <is>
          <t>세종대승</t>
        </is>
      </c>
      <c r="P2283" s="4" t="n">
        <v>1</v>
      </c>
      <c r="Q2283" s="4" t="n">
        <v>585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대교리 84</t>
        </is>
      </c>
      <c r="B2284" s="3" t="inlineStr">
        <is>
          <t>생산관리지역</t>
        </is>
      </c>
      <c r="C2284" s="3" t="inlineStr">
        <is>
          <t>답</t>
        </is>
      </c>
      <c r="D2284" s="3" t="inlineStr">
        <is>
          <t>전</t>
        </is>
      </c>
      <c r="E2284" s="3" t="inlineStr">
        <is>
          <t>매매</t>
        </is>
      </c>
      <c r="F2284" s="4" t="n">
        <v>180000</v>
      </c>
      <c r="G2284" s="4" t="n">
        <v>2447</v>
      </c>
      <c r="H2284" s="4" t="n">
        <v>740</v>
      </c>
      <c r="I2284" s="5" t="n">
        <v>243.2</v>
      </c>
      <c r="J2284" s="5" t="n">
        <v>66.90000000000001</v>
      </c>
      <c r="K2284" s="3" t="inlineStr">
        <is>
          <t>고운동 아파트에서 10분거리에 있는곳  전원주택지가 많고 카폐도 많음.</t>
        </is>
      </c>
      <c r="L2284" s="6">
        <f>HYPERLINK("https://fin.land.naver.com/articles/2653181672", "매물Link")</f>
        <v/>
      </c>
      <c r="M2284" s="6">
        <f>HYPERLINK("https://map.naver.com/p/search/장군면 대교리 84", "지도Link")</f>
        <v/>
      </c>
      <c r="N2284" s="6">
        <f>HYPERLINK("http://www.eum.go.kr/web/ar/lu/luLandDet.jsp?pnu=3611035023100840000&amp;isNoScr=script&amp;mode=search", "토지이음")</f>
        <v/>
      </c>
      <c r="O2284" s="3" t="inlineStr">
        <is>
          <t>에이원</t>
        </is>
      </c>
      <c r="P2284" s="4" t="n">
        <v>1</v>
      </c>
      <c r="Q2284" s="4" t="n">
        <v>377</v>
      </c>
      <c r="R2284" s="3" t="inlineStr">
        <is>
          <t>지정되지않음</t>
        </is>
      </c>
      <c r="S2284" s="3" t="inlineStr">
        <is>
          <t>답</t>
        </is>
      </c>
      <c r="T2284" s="3" t="inlineStr">
        <is>
          <t>완경사</t>
        </is>
      </c>
      <c r="U2284" s="3" t="inlineStr">
        <is>
          <t>부정형</t>
        </is>
      </c>
      <c r="V2284" s="3" t="inlineStr">
        <is>
          <t>맹지</t>
        </is>
      </c>
    </row>
    <row r="2285">
      <c r="A2285" s="3" t="inlineStr">
        <is>
          <t>장군면 대교리 89-1</t>
        </is>
      </c>
      <c r="B2285" s="3" t="inlineStr">
        <is>
          <t>생산관리지역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217000</v>
      </c>
      <c r="G2285" s="4" t="n">
        <v>5984</v>
      </c>
      <c r="H2285" s="4" t="n">
        <v>1810</v>
      </c>
      <c r="I2285" s="5" t="n">
        <v>119.9</v>
      </c>
      <c r="J2285" s="5" t="n">
        <v>49</v>
      </c>
      <c r="K2285" s="3" t="inlineStr">
        <is>
          <t>세종신도시 인접한 대교리 생산관리 3필지 급매, 투자가치 최상</t>
        </is>
      </c>
      <c r="L2285" s="6">
        <f>HYPERLINK("https://fin.land.naver.com/articles/2651033104", "매물Link")</f>
        <v/>
      </c>
      <c r="M2285" s="6">
        <f>HYPERLINK("https://map.naver.com/p/search/장군면 대교리 89-1", "지도Link")</f>
        <v/>
      </c>
      <c r="N2285" s="6">
        <f>HYPERLINK("http://www.eum.go.kr/web/ar/lu/luLandDet.jsp?pnu=3611035023100890001&amp;isNoScr=script&amp;mode=search", "토지이음")</f>
        <v/>
      </c>
      <c r="O2285" s="3" t="inlineStr">
        <is>
          <t>온뜰</t>
        </is>
      </c>
      <c r="P2285" s="4" t="n">
        <v>1</v>
      </c>
      <c r="Q2285" s="4" t="n">
        <v>3296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급경사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대교리 산12-6</t>
        </is>
      </c>
      <c r="B2286" s="3" t="inlineStr">
        <is>
          <t>계획관리지역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20000</v>
      </c>
      <c r="G2286" s="4" t="n">
        <v>209</v>
      </c>
      <c r="H2286" s="4" t="n">
        <v>63</v>
      </c>
      <c r="I2286" s="5" t="n">
        <v>317.5</v>
      </c>
      <c r="J2286" s="5" t="n">
        <v>183.1</v>
      </c>
      <c r="K2286" s="3" t="inlineStr">
        <is>
          <t>계획관리지역으로서 투자하기 좋은땅입니다</t>
        </is>
      </c>
      <c r="L2286" s="6">
        <f>HYPERLINK("https://fin.land.naver.com/articles/2650494592", "매물Link")</f>
        <v/>
      </c>
      <c r="M2286" s="6">
        <f>HYPERLINK("https://map.naver.com/p/search/장군면 대교리 산12-6", "지도Link")</f>
        <v/>
      </c>
      <c r="N2286" s="6">
        <f>HYPERLINK("http://www.eum.go.kr/web/ar/lu/luLandDet.jsp?pnu=3611035023200120006&amp;isNoScr=script&amp;mode=search", "토지이음")</f>
        <v/>
      </c>
      <c r="O2286" s="3" t="inlineStr">
        <is>
          <t>스마일</t>
        </is>
      </c>
      <c r="P2286" s="4" t="n">
        <v>1</v>
      </c>
      <c r="Q2286" s="4" t="n">
        <v>209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산34-1</t>
        </is>
      </c>
      <c r="B2287" s="3" t="inlineStr">
        <is>
          <t>계획관리지역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62000</v>
      </c>
      <c r="G2287" s="4" t="n">
        <v>896</v>
      </c>
      <c r="H2287" s="4" t="n">
        <v>271</v>
      </c>
      <c r="I2287" s="5" t="n">
        <v>228.8</v>
      </c>
      <c r="J2287" s="5" t="n">
        <v>45.9</v>
      </c>
      <c r="K2287" s="3" t="inlineStr">
        <is>
          <t>해누리 전원마을 입구 계획관리지역 토지 급매</t>
        </is>
      </c>
      <c r="L2287" s="6">
        <f>HYPERLINK("https://fin.land.naver.com/articles/2652027011", "매물Link")</f>
        <v/>
      </c>
      <c r="M2287" s="6">
        <f>HYPERLINK("https://map.naver.com/p/search/장군면 대교리 산34-1", "지도Link")</f>
        <v/>
      </c>
      <c r="N2287" s="6">
        <f>HYPERLINK("http://www.eum.go.kr/web/ar/lu/luLandDet.jsp?pnu=3611035023200340001&amp;isNoScr=script&amp;mode=search", "토지이음")</f>
        <v/>
      </c>
      <c r="O2287" s="3" t="inlineStr">
        <is>
          <t>에이스</t>
        </is>
      </c>
      <c r="P2287" s="4" t="n">
        <v>1</v>
      </c>
      <c r="Q2287" s="4" t="n">
        <v>896</v>
      </c>
      <c r="R2287" s="3" t="inlineStr">
        <is>
          <t>지정되지않음</t>
        </is>
      </c>
      <c r="S2287" s="3" t="inlineStr">
        <is>
          <t>자연림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대교리 산46-45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676200</v>
      </c>
      <c r="G2288" s="4" t="n">
        <v>44707</v>
      </c>
      <c r="H2288" s="4" t="n">
        <v>13524</v>
      </c>
      <c r="I2288" s="5" t="n">
        <v>50</v>
      </c>
      <c r="J2288" s="5" t="n">
        <v>9.5</v>
      </c>
      <c r="K2288" s="3" t="inlineStr">
        <is>
          <t>김종서장군 테마공원 인근 낮은 야산 도로 접 위치 최상 전원주택지 등</t>
        </is>
      </c>
      <c r="L2288" s="6">
        <f>HYPERLINK("https://fin.land.naver.com/articles/2655405938", "매물Link")</f>
        <v/>
      </c>
      <c r="M2288" s="6">
        <f>HYPERLINK("https://map.naver.com/p/search/장군면 대교리 산46-45", "지도Link")</f>
        <v/>
      </c>
      <c r="N2288" s="6">
        <f>HYPERLINK("http://www.eum.go.kr/web/ar/lu/luLandDet.jsp?pnu=3611035023200460045&amp;isNoScr=script&amp;mode=search", "토지이음")</f>
        <v/>
      </c>
      <c r="O2288" s="3" t="inlineStr">
        <is>
          <t>세종시해냄공인</t>
        </is>
      </c>
      <c r="P2288" s="4" t="n">
        <v>1</v>
      </c>
      <c r="Q2288" s="4" t="n">
        <v>44707</v>
      </c>
      <c r="R2288" s="3" t="inlineStr">
        <is>
          <t>지정되지않음</t>
        </is>
      </c>
      <c r="S2288" s="3" t="inlineStr">
        <is>
          <t>자연림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맹지</t>
        </is>
      </c>
    </row>
    <row r="2289">
      <c r="A2289" s="3" t="inlineStr">
        <is>
          <t>장군면 도계리 149-3</t>
        </is>
      </c>
      <c r="B2289" s="3" t="inlineStr">
        <is>
          <t>계획관리지역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61800</v>
      </c>
      <c r="G2289" s="4" t="n">
        <v>551</v>
      </c>
      <c r="H2289" s="4" t="n">
        <v>167</v>
      </c>
      <c r="I2289" s="5" t="n">
        <v>370.1</v>
      </c>
      <c r="J2289" s="5" t="n">
        <v>225.3</v>
      </c>
      <c r="K2289" s="3" t="inlineStr">
        <is>
          <t>다가구 빌라 짓기에 좋은 토지입니다.</t>
        </is>
      </c>
      <c r="L2289" s="6">
        <f>HYPERLINK("https://fin.land.naver.com/articles/2652097927", "매물Link")</f>
        <v/>
      </c>
      <c r="M2289" s="6">
        <f>HYPERLINK("https://map.naver.com/p/search/장군면 도계리 149-3", "지도Link")</f>
        <v/>
      </c>
      <c r="N2289" s="6">
        <f>HYPERLINK("http://www.eum.go.kr/web/ar/lu/luLandDet.jsp?pnu=3611035021101490003&amp;isNoScr=script&amp;mode=search", "토지이음")</f>
        <v/>
      </c>
      <c r="O2289" s="3" t="inlineStr">
        <is>
          <t>미스터홈즈강남지사</t>
        </is>
      </c>
      <c r="P2289" s="4" t="n">
        <v>1</v>
      </c>
      <c r="Q2289" s="4" t="n">
        <v>424</v>
      </c>
      <c r="R2289" s="3" t="inlineStr">
        <is>
          <t>지정되지않음</t>
        </is>
      </c>
      <c r="S2289" s="3" t="inlineStr">
        <is>
          <t>단독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도계리 156-13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100000</v>
      </c>
      <c r="G2290" s="4" t="n">
        <v>325</v>
      </c>
      <c r="H2290" s="4" t="n">
        <v>98</v>
      </c>
      <c r="I2290" s="5" t="n">
        <v>1020.4</v>
      </c>
      <c r="J2290" s="5" t="n">
        <v>425.5</v>
      </c>
      <c r="K2290" s="3" t="inlineStr">
        <is>
          <t>장군면 투자, 농협 앞, 월세수익</t>
        </is>
      </c>
      <c r="L2290" s="6">
        <f>HYPERLINK("https://fin.land.naver.com/articles/2654032900", "매물Link")</f>
        <v/>
      </c>
      <c r="M2290" s="6">
        <f>HYPERLINK("https://map.naver.com/p/search/장군면 도계리 156-13", "지도Link")</f>
        <v/>
      </c>
      <c r="N2290" s="6">
        <f>HYPERLINK("http://www.eum.go.kr/web/ar/lu/luLandDet.jsp?pnu=3611035021101560013&amp;isNoScr=script&amp;mode=search", "토지이음")</f>
        <v/>
      </c>
      <c r="O2290" s="3" t="inlineStr">
        <is>
          <t>한뜰금빛</t>
        </is>
      </c>
      <c r="P2290" s="4" t="n">
        <v>1</v>
      </c>
      <c r="Q2290" s="4" t="n">
        <v>325</v>
      </c>
      <c r="R2290" s="3" t="inlineStr">
        <is>
          <t>지정되지않음</t>
        </is>
      </c>
      <c r="S2290" s="3" t="inlineStr">
        <is>
          <t>주상용</t>
        </is>
      </c>
      <c r="T2290" s="3" t="inlineStr">
        <is>
          <t>평지</t>
        </is>
      </c>
      <c r="U2290" s="3" t="inlineStr">
        <is>
          <t>정방형</t>
        </is>
      </c>
      <c r="V2290" s="3" t="inlineStr">
        <is>
          <t>소로한면</t>
        </is>
      </c>
    </row>
    <row r="2291">
      <c r="A2291" s="3" t="inlineStr">
        <is>
          <t>장군면 도계리 170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70000</v>
      </c>
      <c r="G2291" s="4" t="n">
        <v>334</v>
      </c>
      <c r="H2291" s="4" t="n">
        <v>101</v>
      </c>
      <c r="I2291" s="5" t="n">
        <v>693.1</v>
      </c>
      <c r="J2291" s="5" t="n">
        <v>314.4</v>
      </c>
      <c r="K2291" s="3" t="inlineStr">
        <is>
          <t>장군면사무소 근처 중심상권이 형성된 지역으로 상가 건축에 최상</t>
        </is>
      </c>
      <c r="L2291" s="6">
        <f>HYPERLINK("https://fin.land.naver.com/articles/2652979992", "매물Link")</f>
        <v/>
      </c>
      <c r="M2291" s="6">
        <f>HYPERLINK("https://map.naver.com/p/search/장군면 도계리 170", "지도Link")</f>
        <v/>
      </c>
      <c r="N2291" s="6">
        <f>HYPERLINK("http://www.eum.go.kr/web/ar/lu/luLandDet.jsp?pnu=3611035021101700000&amp;isNoScr=script&amp;mode=search", "토지이음")</f>
        <v/>
      </c>
      <c r="O2291" s="3" t="inlineStr">
        <is>
          <t>온누리</t>
        </is>
      </c>
      <c r="P2291" s="4" t="n">
        <v>1</v>
      </c>
      <c r="Q2291" s="4" t="n">
        <v>334</v>
      </c>
      <c r="R2291" s="3" t="inlineStr">
        <is>
          <t>지정되지않음</t>
        </is>
      </c>
      <c r="S2291" s="3" t="inlineStr">
        <is>
          <t>단독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도계리 185</t>
        </is>
      </c>
      <c r="B2292" s="3" t="inlineStr">
        <is>
          <t>계획관리지역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2800000</v>
      </c>
      <c r="G2292" s="4" t="n">
        <v>32393</v>
      </c>
      <c r="H2292" s="4" t="n">
        <v>9799</v>
      </c>
      <c r="I2292" s="5" t="n">
        <v>285.7</v>
      </c>
      <c r="J2292" s="5" t="n">
        <v>104.7</v>
      </c>
      <c r="K2292" s="3" t="inlineStr">
        <is>
          <t>세종시 서세종IC, 제2경부고속도로 IC 인근으로 사옥, 물류창고 외</t>
        </is>
      </c>
      <c r="L2292" s="6">
        <f>HYPERLINK("https://fin.land.naver.com/articles/2651724328", "매물Link")</f>
        <v/>
      </c>
      <c r="M2292" s="6">
        <f>HYPERLINK("https://map.naver.com/p/search/장군면 도계리 185", "지도Link")</f>
        <v/>
      </c>
      <c r="N2292" s="6">
        <f>HYPERLINK("http://www.eum.go.kr/web/ar/lu/luLandDet.jsp?pnu=3611035021101850000&amp;isNoScr=script&amp;mode=search", "토지이음")</f>
        <v/>
      </c>
      <c r="O2292" s="3" t="inlineStr">
        <is>
          <t>세종태양</t>
        </is>
      </c>
      <c r="P2292" s="4" t="n">
        <v>1</v>
      </c>
      <c r="Q2292" s="4" t="n">
        <v>27950</v>
      </c>
      <c r="R2292" s="3" t="inlineStr">
        <is>
          <t>지정되지않음</t>
        </is>
      </c>
      <c r="S2292" s="3" t="inlineStr">
        <is>
          <t>과수원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세로한면(가)</t>
        </is>
      </c>
    </row>
    <row r="2293">
      <c r="A2293" s="3" t="inlineStr">
        <is>
          <t>장군면 도계리 188</t>
        </is>
      </c>
      <c r="B2293" s="3" t="inlineStr">
        <is>
          <t>계획관리지역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280000</v>
      </c>
      <c r="G2293" s="4" t="n">
        <v>1864</v>
      </c>
      <c r="H2293" s="4" t="n">
        <v>564</v>
      </c>
      <c r="I2293" s="5" t="n">
        <v>496.5</v>
      </c>
      <c r="J2293" s="5" t="n">
        <v>132.6</v>
      </c>
      <c r="K2293" s="3" t="inlineStr">
        <is>
          <t>다목적 토지</t>
        </is>
      </c>
      <c r="L2293" s="6">
        <f>HYPERLINK("https://fin.land.naver.com/articles/2652695023", "매물Link")</f>
        <v/>
      </c>
      <c r="M2293" s="6">
        <f>HYPERLINK("https://map.naver.com/p/search/장군면 도계리 188", "지도Link")</f>
        <v/>
      </c>
      <c r="N2293" s="6">
        <f>HYPERLINK("http://www.eum.go.kr/web/ar/lu/luLandDet.jsp?pnu=3611035021101880000&amp;isNoScr=script&amp;mode=search", "토지이음")</f>
        <v/>
      </c>
      <c r="O2293" s="3" t="inlineStr">
        <is>
          <t>새땅</t>
        </is>
      </c>
      <c r="P2293" s="4" t="n">
        <v>1</v>
      </c>
      <c r="Q2293" s="4" t="n">
        <v>1864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도계리 201</t>
        </is>
      </c>
      <c r="B2294" s="3" t="inlineStr">
        <is>
          <t>계획관리지역</t>
        </is>
      </c>
      <c r="C2294" s="3" t="inlineStr">
        <is>
          <t>전</t>
        </is>
      </c>
      <c r="D2294" s="3" t="inlineStr">
        <is>
          <t>전</t>
        </is>
      </c>
      <c r="E2294" s="3" t="inlineStr">
        <is>
          <t>매매</t>
        </is>
      </c>
      <c r="F2294" s="4" t="n">
        <v>85000</v>
      </c>
      <c r="G2294" s="4" t="n">
        <v>747</v>
      </c>
      <c r="H2294" s="4" t="n">
        <v>226</v>
      </c>
      <c r="I2294" s="5" t="n">
        <v>376.1</v>
      </c>
      <c r="J2294" s="5" t="n">
        <v>122.9</v>
      </c>
      <c r="K2294" s="3" t="inlineStr">
        <is>
          <t>장군면 요지에 위치 발전 가능성 매우 높은 땅 저렴한 가격</t>
        </is>
      </c>
      <c r="L2294" s="6">
        <f>HYPERLINK("https://fin.land.naver.com/articles/2653546097", "매물Link")</f>
        <v/>
      </c>
      <c r="M2294" s="6">
        <f>HYPERLINK("https://map.naver.com/p/search/장군면 도계리 201", "지도Link")</f>
        <v/>
      </c>
      <c r="N2294" s="6">
        <f>HYPERLINK("http://www.eum.go.kr/web/ar/lu/luLandDet.jsp?pnu=3611035021102010000&amp;isNoScr=script&amp;mode=search", "토지이음")</f>
        <v/>
      </c>
      <c r="O2294" s="3" t="inlineStr">
        <is>
          <t>세종공주원탑</t>
        </is>
      </c>
      <c r="P2294" s="4" t="n">
        <v>2</v>
      </c>
      <c r="Q2294" s="4" t="n">
        <v>747</v>
      </c>
      <c r="R2294" s="3" t="inlineStr">
        <is>
          <t>지정되지않음</t>
        </is>
      </c>
      <c r="S2294" s="3" t="inlineStr">
        <is>
          <t>전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도계리 202-3</t>
        </is>
      </c>
      <c r="B2295" s="3" t="inlineStr">
        <is>
          <t>계획관리지역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64200</v>
      </c>
      <c r="G2295" s="4" t="n">
        <v>393</v>
      </c>
      <c r="H2295" s="4" t="n">
        <v>119</v>
      </c>
      <c r="I2295" s="5" t="n">
        <v>539.5</v>
      </c>
      <c r="J2295" s="5" t="n">
        <v>239.9</v>
      </c>
      <c r="K2295" s="3" t="inlineStr">
        <is>
          <t>장군면사무소 근처 중심상권이 형성된 지역으로 상가 및 다가구주택지</t>
        </is>
      </c>
      <c r="L2295" s="6">
        <f>HYPERLINK("https://fin.land.naver.com/articles/2652999708", "매물Link")</f>
        <v/>
      </c>
      <c r="M2295" s="6">
        <f>HYPERLINK("https://map.naver.com/p/search/장군면 도계리 202-3", "지도Link")</f>
        <v/>
      </c>
      <c r="N2295" s="6">
        <f>HYPERLINK("http://www.eum.go.kr/web/ar/lu/luLandDet.jsp?pnu=3611035021102020003&amp;isNoScr=script&amp;mode=search", "토지이음")</f>
        <v/>
      </c>
      <c r="O2295" s="3" t="inlineStr">
        <is>
          <t>온누리</t>
        </is>
      </c>
      <c r="P2295" s="4" t="n">
        <v>2</v>
      </c>
      <c r="Q2295" s="4" t="n">
        <v>393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평지</t>
        </is>
      </c>
      <c r="U2295" s="3" t="inlineStr">
        <is>
          <t>사다리형</t>
        </is>
      </c>
      <c r="V2295" s="3" t="inlineStr">
        <is>
          <t>세로각지(가)</t>
        </is>
      </c>
    </row>
    <row r="2296">
      <c r="A2296" s="3" t="inlineStr">
        <is>
          <t>장군면 도계리 218-1</t>
        </is>
      </c>
      <c r="B2296" s="3" t="inlineStr">
        <is>
          <t>계획관리지역</t>
        </is>
      </c>
      <c r="C2296" s="3" t="inlineStr">
        <is>
          <t>전</t>
        </is>
      </c>
      <c r="D2296" s="3" t="inlineStr">
        <is>
          <t>전</t>
        </is>
      </c>
      <c r="E2296" s="3" t="inlineStr">
        <is>
          <t>매매</t>
        </is>
      </c>
      <c r="F2296" s="4" t="n">
        <v>23000</v>
      </c>
      <c r="G2296" s="4" t="n">
        <v>229</v>
      </c>
      <c r="H2296" s="4" t="n">
        <v>69</v>
      </c>
      <c r="I2296" s="5" t="n">
        <v>333.3</v>
      </c>
      <c r="J2296" s="5" t="n">
        <v>145</v>
      </c>
      <c r="K2296" s="3" t="inlineStr">
        <is>
          <t>지구단위계획구역의 도로와 현황상 도로에 접한 계획관리지역의 전입니다</t>
        </is>
      </c>
      <c r="L2296" s="6">
        <f>HYPERLINK("https://fin.land.naver.com/articles/2654777186", "매물Link")</f>
        <v/>
      </c>
      <c r="M2296" s="6">
        <f>HYPERLINK("https://map.naver.com/p/search/장군면 도계리 218-1", "지도Link")</f>
        <v/>
      </c>
      <c r="N2296" s="6">
        <f>HYPERLINK("http://www.eum.go.kr/web/ar/lu/luLandDet.jsp?pnu=3611035021102180001&amp;isNoScr=script&amp;mode=search",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229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평지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도계리 223-2</t>
        </is>
      </c>
      <c r="B2297" s="3" t="inlineStr">
        <is>
          <t>계획관리지역</t>
        </is>
      </c>
      <c r="C2297" s="3" t="inlineStr">
        <is>
          <t>대</t>
        </is>
      </c>
      <c r="D2297" s="3" t="inlineStr">
        <is>
          <t>대</t>
        </is>
      </c>
      <c r="E2297" s="3" t="inlineStr">
        <is>
          <t>매매</t>
        </is>
      </c>
      <c r="F2297" s="4" t="n">
        <v>40475</v>
      </c>
      <c r="G2297" s="4" t="n">
        <v>446</v>
      </c>
      <c r="H2297" s="4" t="n">
        <v>135</v>
      </c>
      <c r="I2297" s="5" t="n">
        <v>299.8</v>
      </c>
      <c r="J2297" s="5" t="n">
        <v>227.6</v>
      </c>
      <c r="K2297" s="3" t="inlineStr">
        <is>
          <t>도계리 주택 요충지</t>
        </is>
      </c>
      <c r="L2297" s="6">
        <f>HYPERLINK("https://fin.land.naver.com/articles/2654870379", "매물Link")</f>
        <v/>
      </c>
      <c r="M2297" s="6">
        <f>HYPERLINK("https://map.naver.com/p/search/장군면 도계리 223-2", "지도Link")</f>
        <v/>
      </c>
      <c r="N2297" s="6">
        <f>HYPERLINK("http://www.eum.go.kr/web/ar/lu/luLandDet.jsp?pnu=3611035021102230002&amp;isNoScr=script&amp;mode=search", "토지이음")</f>
        <v/>
      </c>
      <c r="O2297" s="3" t="inlineStr">
        <is>
          <t>원조대박</t>
        </is>
      </c>
      <c r="P2297" s="4" t="n">
        <v>1</v>
      </c>
      <c r="Q2297" s="4" t="n">
        <v>446</v>
      </c>
      <c r="R2297" s="3" t="inlineStr">
        <is>
          <t>지정되지않음</t>
        </is>
      </c>
      <c r="S2297" s="3" t="inlineStr">
        <is>
          <t>단독</t>
        </is>
      </c>
      <c r="T2297" s="3" t="inlineStr">
        <is>
          <t>평지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도계리 226-2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43000</v>
      </c>
      <c r="G2298" s="4" t="n">
        <v>325</v>
      </c>
      <c r="H2298" s="4" t="n">
        <v>98</v>
      </c>
      <c r="I2298" s="5" t="n">
        <v>438.8</v>
      </c>
      <c r="J2298" s="5" t="n">
        <v>207.8</v>
      </c>
      <c r="K2298" s="3" t="inlineStr">
        <is>
          <t>정말 좋은 입지 주변 환경 좋습니다 미래 가치는 현장을 보시면 느껴집니다</t>
        </is>
      </c>
      <c r="L2298" s="6">
        <f>HYPERLINK("https://fin.land.naver.com/articles/2654209495", "매물Link")</f>
        <v/>
      </c>
      <c r="M2298" s="6">
        <f>HYPERLINK("https://map.naver.com/p/search/장군면 도계리 226-2", "지도Link")</f>
        <v/>
      </c>
      <c r="N2298" s="6">
        <f>HYPERLINK("http://www.eum.go.kr/web/ar/lu/luLandDet.jsp?pnu=3611035021102260002&amp;isNoScr=script&amp;mode=search", "토지이음")</f>
        <v/>
      </c>
      <c r="O2298" s="3" t="inlineStr">
        <is>
          <t>세종시삼성래미안</t>
        </is>
      </c>
      <c r="P2298" s="4" t="n">
        <v>2</v>
      </c>
      <c r="Q2298" s="4" t="n">
        <v>325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평지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도계리 282-32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33000</v>
      </c>
      <c r="G2299" s="4" t="n">
        <v>570</v>
      </c>
      <c r="H2299" s="4" t="n">
        <v>172</v>
      </c>
      <c r="I2299" s="5" t="n">
        <v>191.9</v>
      </c>
      <c r="J2299" s="5" t="n">
        <v>122.1</v>
      </c>
      <c r="K2299" s="3" t="inlineStr">
        <is>
          <t>전원주택용지로 좋음</t>
        </is>
      </c>
      <c r="L2299" s="6">
        <f>HYPERLINK("https://fin.land.naver.com/articles/2654330702", "매물Link")</f>
        <v/>
      </c>
      <c r="M2299" s="6">
        <f>HYPERLINK("https://map.naver.com/p/search/장군면 도계리 282-32", "지도Link")</f>
        <v/>
      </c>
      <c r="N2299" s="6">
        <f>HYPERLINK("http://www.eum.go.kr/web/ar/lu/luLandDet.jsp?pnu=3611035021102820032&amp;isNoScr=script&amp;mode=search", "토지이음")</f>
        <v/>
      </c>
      <c r="O2299" s="3" t="inlineStr">
        <is>
          <t>링크</t>
        </is>
      </c>
      <c r="P2299" s="4" t="n">
        <v>2</v>
      </c>
      <c r="Q2299" s="4" t="n">
        <v>570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도계리 282-32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33000</v>
      </c>
      <c r="G2300" s="4" t="n">
        <v>570</v>
      </c>
      <c r="H2300" s="4" t="n">
        <v>172</v>
      </c>
      <c r="I2300" s="5" t="n">
        <v>191.9</v>
      </c>
      <c r="J2300" s="5" t="n">
        <v>122.1</v>
      </c>
      <c r="K2300" s="3" t="inlineStr">
        <is>
          <t>급매,도계리  도로접 조망권 뷰 최상 파인빌리지  전원주택지 투자용 추천</t>
        </is>
      </c>
      <c r="L2300" s="6">
        <f>HYPERLINK("https://fin.land.naver.com/articles/2650447413", "매물Link")</f>
        <v/>
      </c>
      <c r="M2300" s="6">
        <f>HYPERLINK("https://map.naver.com/p/search/장군면 도계리 282-32", "지도Link")</f>
        <v/>
      </c>
      <c r="N2300" s="6">
        <f>HYPERLINK("http://www.eum.go.kr/web/ar/lu/luLandDet.jsp?pnu=3611035021102820032&amp;isNoScr=script&amp;mode=search", "토지이음")</f>
        <v/>
      </c>
      <c r="O2300" s="3" t="inlineStr">
        <is>
          <t>고운맘</t>
        </is>
      </c>
      <c r="P2300" s="4" t="n">
        <v>1</v>
      </c>
      <c r="Q2300" s="4" t="n">
        <v>570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사다리형</t>
        </is>
      </c>
      <c r="V2300" s="3" t="inlineStr">
        <is>
          <t>세로한면(가)</t>
        </is>
      </c>
    </row>
    <row r="2301">
      <c r="A2301" s="3" t="inlineStr">
        <is>
          <t>장군면 도계리 29-4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76000</v>
      </c>
      <c r="G2301" s="4" t="n">
        <v>743</v>
      </c>
      <c r="H2301" s="4" t="n">
        <v>225</v>
      </c>
      <c r="I2301" s="5" t="n">
        <v>337.8</v>
      </c>
      <c r="J2301" s="5" t="n">
        <v>182.8</v>
      </c>
      <c r="K2301" s="3" t="inlineStr">
        <is>
          <t>도계지구 12m계획 도로에 접하고 있고 계획관리 대지로 미래가치 최상</t>
        </is>
      </c>
      <c r="L2301" s="6">
        <f>HYPERLINK("https://fin.land.naver.com/articles/2655655599", "매물Link")</f>
        <v/>
      </c>
      <c r="M2301" s="6">
        <f>HYPERLINK("https://map.naver.com/p/search/장군면 도계리 29-4", "지도Link")</f>
        <v/>
      </c>
      <c r="N2301" s="6">
        <f>HYPERLINK("http://www.eum.go.kr/web/ar/lu/luLandDet.jsp?pnu=3611035021100290004&amp;isNoScr=script&amp;mode=search", "토지이음")</f>
        <v/>
      </c>
      <c r="O2301" s="3" t="inlineStr">
        <is>
          <t>온뜰</t>
        </is>
      </c>
      <c r="P2301" s="4" t="n">
        <v>1</v>
      </c>
      <c r="Q2301" s="4" t="n">
        <v>743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도계리 326-1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26080</v>
      </c>
      <c r="G2302" s="4" t="n">
        <v>1077</v>
      </c>
      <c r="H2302" s="4" t="n">
        <v>326</v>
      </c>
      <c r="I2302" s="5" t="n">
        <v>80</v>
      </c>
      <c r="J2302" s="5" t="n">
        <v>51.5</v>
      </c>
      <c r="K2302" s="3" t="inlineStr">
        <is>
          <t>도계리 투자 위치 좋은 땅</t>
        </is>
      </c>
      <c r="L2302" s="6">
        <f>HYPERLINK("https://fin.land.naver.com/articles/2653496843", "매물Link")</f>
        <v/>
      </c>
      <c r="M2302" s="6">
        <f>HYPERLINK("https://map.naver.com/p/search/장군면 도계리 326-1", "지도Link")</f>
        <v/>
      </c>
      <c r="N2302" s="6">
        <f>HYPERLINK("http://www.eum.go.kr/web/ar/lu/luLandDet.jsp?pnu=3611035021103260001&amp;isNoScr=script&amp;mode=search", "토지이음")</f>
        <v/>
      </c>
      <c r="O2302" s="3" t="inlineStr">
        <is>
          <t>상상</t>
        </is>
      </c>
      <c r="P2302" s="4" t="n">
        <v>1</v>
      </c>
      <c r="Q2302" s="4" t="n">
        <v>1077</v>
      </c>
      <c r="R2302" s="3" t="inlineStr">
        <is>
          <t>지정되지않음</t>
        </is>
      </c>
      <c r="S2302" s="3" t="inlineStr">
        <is>
          <t>전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도계리 346-1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62000</v>
      </c>
      <c r="G2303" s="4" t="n">
        <v>2922</v>
      </c>
      <c r="H2303" s="4" t="n">
        <v>884</v>
      </c>
      <c r="I2303" s="5" t="n">
        <v>70.09999999999999</v>
      </c>
      <c r="J2303" s="5" t="n">
        <v>53.5</v>
      </c>
      <c r="K2303" s="3" t="inlineStr">
        <is>
          <t>세종 장군면 도계리 영농확대 추천 농지</t>
        </is>
      </c>
      <c r="L2303" s="6">
        <f>HYPERLINK("https://fin.land.naver.com/articles/2655207833", "매물Link")</f>
        <v/>
      </c>
      <c r="M2303" s="6">
        <f>HYPERLINK("https://map.naver.com/p/search/장군면 도계리 346-1", "지도Link")</f>
        <v/>
      </c>
      <c r="N2303" s="6">
        <f>HYPERLINK("http://www.eum.go.kr/web/ar/lu/luLandDet.jsp?pnu=3611035021103460001&amp;isNoScr=script&amp;mode=search", "토지이음")</f>
        <v/>
      </c>
      <c r="O2303" s="3" t="inlineStr">
        <is>
          <t>세종몽땅</t>
        </is>
      </c>
      <c r="P2303" s="4" t="n">
        <v>1</v>
      </c>
      <c r="Q2303" s="4" t="n">
        <v>2922</v>
      </c>
      <c r="R2303" s="3" t="inlineStr">
        <is>
          <t>보전관리지역</t>
        </is>
      </c>
      <c r="S2303" s="3" t="inlineStr">
        <is>
          <t>전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세로각지(가)</t>
        </is>
      </c>
    </row>
    <row r="2304">
      <c r="A2304" s="3" t="inlineStr">
        <is>
          <t>장군면 도계리 346-1</t>
        </is>
      </c>
      <c r="B2304" s="3" t="inlineStr">
        <is>
          <t>농림지역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61873</v>
      </c>
      <c r="G2304" s="4" t="n">
        <v>2922</v>
      </c>
      <c r="H2304" s="4" t="n">
        <v>884</v>
      </c>
      <c r="I2304" s="5" t="n">
        <v>70</v>
      </c>
      <c r="J2304" s="5" t="n">
        <v>53.5</v>
      </c>
      <c r="K2304" s="3" t="inlineStr">
        <is>
          <t>세종시 저렴한 농지</t>
        </is>
      </c>
      <c r="L2304" s="6">
        <f>HYPERLINK("https://fin.land.naver.com/articles/2653497070", "매물Link")</f>
        <v/>
      </c>
      <c r="M2304" s="6">
        <f>HYPERLINK("https://map.naver.com/p/search/장군면 도계리 346-1", "지도Link")</f>
        <v/>
      </c>
      <c r="N2304" s="6">
        <f>HYPERLINK("http://www.eum.go.kr/web/ar/lu/luLandDet.jsp?pnu=3611035021103460001&amp;isNoScr=script&amp;mode=search", "토지이음")</f>
        <v/>
      </c>
      <c r="O2304" s="3" t="inlineStr">
        <is>
          <t>상상</t>
        </is>
      </c>
      <c r="P2304" s="4" t="n">
        <v>1</v>
      </c>
      <c r="Q2304" s="4" t="n">
        <v>2922</v>
      </c>
      <c r="R2304" s="3" t="inlineStr">
        <is>
          <t>보전관리지역</t>
        </is>
      </c>
      <c r="S2304" s="3" t="inlineStr">
        <is>
          <t>전</t>
        </is>
      </c>
      <c r="T2304" s="3" t="inlineStr">
        <is>
          <t>평지</t>
        </is>
      </c>
      <c r="U2304" s="3" t="inlineStr">
        <is>
          <t>세로장방</t>
        </is>
      </c>
      <c r="V2304" s="3" t="inlineStr">
        <is>
          <t>세로각지(가)</t>
        </is>
      </c>
    </row>
    <row r="2305">
      <c r="A2305" s="3" t="inlineStr">
        <is>
          <t>장군면 도계리 349-2</t>
        </is>
      </c>
      <c r="B2305" s="3" t="inlineStr">
        <is>
          <t>보전관리지역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33000</v>
      </c>
      <c r="G2305" s="4" t="n">
        <v>1087</v>
      </c>
      <c r="H2305" s="4" t="n">
        <v>329</v>
      </c>
      <c r="I2305" s="5" t="n">
        <v>100.3</v>
      </c>
      <c r="J2305" s="5" t="n">
        <v>43.6</v>
      </c>
      <c r="K2305" s="3" t="inlineStr">
        <is>
          <t>급매 연계필지와함께가능</t>
        </is>
      </c>
      <c r="L2305" s="6">
        <f>HYPERLINK("https://fin.land.naver.com/articles/2651373967", "매물Link")</f>
        <v/>
      </c>
      <c r="M2305" s="6">
        <f>HYPERLINK("https://map.naver.com/p/search/장군면 도계리 349-2", "지도Link")</f>
        <v/>
      </c>
      <c r="N2305" s="6">
        <f>HYPERLINK("http://www.eum.go.kr/web/ar/lu/luLandDet.jsp?pnu=3611035021103490002&amp;isNoScr=script&amp;mode=search", "토지이음")</f>
        <v/>
      </c>
      <c r="O2305" s="3" t="inlineStr">
        <is>
          <t>세종중흥S클래스</t>
        </is>
      </c>
      <c r="P2305" s="4" t="n">
        <v>1</v>
      </c>
      <c r="Q2305" s="4" t="n">
        <v>1087</v>
      </c>
      <c r="R2305" s="3" t="inlineStr">
        <is>
          <t>지정되지않음</t>
        </is>
      </c>
      <c r="S2305" s="3" t="inlineStr">
        <is>
          <t>전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맹지</t>
        </is>
      </c>
    </row>
    <row r="2306">
      <c r="A2306" s="3" t="inlineStr">
        <is>
          <t>장군면 도계리 349-3</t>
        </is>
      </c>
      <c r="B2306" s="3" t="inlineStr">
        <is>
          <t>생산관리지역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76000</v>
      </c>
      <c r="G2306" s="4" t="n">
        <v>2486</v>
      </c>
      <c r="H2306" s="4" t="n">
        <v>752</v>
      </c>
      <c r="I2306" s="5" t="n">
        <v>101.1</v>
      </c>
      <c r="J2306" s="5" t="n">
        <v>57.2</v>
      </c>
      <c r="K2306" s="3" t="inlineStr">
        <is>
          <t>급매 세종포천고속도로인접 토지</t>
        </is>
      </c>
      <c r="L2306" s="6">
        <f>HYPERLINK("https://fin.land.naver.com/articles/2651373900", "매물Link")</f>
        <v/>
      </c>
      <c r="M2306" s="6">
        <f>HYPERLINK("https://map.naver.com/p/search/장군면 도계리 349-3", "지도Link")</f>
        <v/>
      </c>
      <c r="N2306" s="6">
        <f>HYPERLINK("http://www.eum.go.kr/web/ar/lu/luLandDet.jsp?pnu=3611035021103490003&amp;isNoScr=script&amp;mode=search", "토지이음")</f>
        <v/>
      </c>
      <c r="O2306" s="3" t="inlineStr">
        <is>
          <t>세종중흥S클래스</t>
        </is>
      </c>
      <c r="P2306" s="4" t="n">
        <v>1</v>
      </c>
      <c r="Q2306" s="4" t="n">
        <v>2486</v>
      </c>
      <c r="R2306" s="3" t="inlineStr">
        <is>
          <t>보전관리지역</t>
        </is>
      </c>
      <c r="S2306" s="3" t="inlineStr">
        <is>
          <t>답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도계리 351-6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52500</v>
      </c>
      <c r="G2307" s="4" t="n">
        <v>1157</v>
      </c>
      <c r="H2307" s="4" t="n">
        <v>350</v>
      </c>
      <c r="I2307" s="5" t="n">
        <v>150</v>
      </c>
      <c r="J2307" s="5" t="n">
        <v>37.9</v>
      </c>
      <c r="K2307" s="3" t="inlineStr">
        <is>
          <t>현임야상태, 토목공상완료후인도</t>
        </is>
      </c>
      <c r="L2307" s="6">
        <f>HYPERLINK("https://fin.land.naver.com/articles/2652729514", "매물Link")</f>
        <v/>
      </c>
      <c r="M2307" s="6">
        <f>HYPERLINK("https://map.naver.com/p/search/장군면 도계리 351-6", "지도Link")</f>
        <v/>
      </c>
      <c r="N2307" s="6">
        <f>HYPERLINK("http://www.eum.go.kr/web/ar/lu/luLandDet.jsp?pnu=3611035021103510006&amp;isNoScr=script&amp;mode=search", "토지이음")</f>
        <v/>
      </c>
      <c r="O2307" s="3" t="inlineStr">
        <is>
          <t>대박</t>
        </is>
      </c>
      <c r="P2307" s="4" t="n">
        <v>1</v>
      </c>
      <c r="Q2307" s="4" t="n">
        <v>1157</v>
      </c>
      <c r="R2307" s="3" t="inlineStr">
        <is>
          <t>지정되지않음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도계리 355-18</t>
        </is>
      </c>
      <c r="B2308" s="3" t="inlineStr">
        <is>
          <t>생산관리지역</t>
        </is>
      </c>
      <c r="C2308" s="3" t="inlineStr">
        <is>
          <t>과수원</t>
        </is>
      </c>
      <c r="D2308" s="3" t="inlineStr">
        <is>
          <t>과수원</t>
        </is>
      </c>
      <c r="E2308" s="3" t="inlineStr">
        <is>
          <t>매매</t>
        </is>
      </c>
      <c r="F2308" s="4" t="n">
        <v>101500</v>
      </c>
      <c r="G2308" s="4" t="n">
        <v>990</v>
      </c>
      <c r="H2308" s="4" t="n">
        <v>299</v>
      </c>
      <c r="I2308" s="5" t="n">
        <v>339.5</v>
      </c>
      <c r="J2308" s="5" t="n">
        <v>57.6</v>
      </c>
      <c r="K2308" s="3" t="inlineStr">
        <is>
          <t>ktx세종역세종ic예정지인근,접근성좋음.세종청사20분.21필지가능</t>
        </is>
      </c>
      <c r="L2308" s="6">
        <f>HYPERLINK("https://fin.land.naver.com/articles/2651737390", "매물Link")</f>
        <v/>
      </c>
      <c r="M2308" s="6">
        <f>HYPERLINK("https://map.naver.com/p/search/장군면 도계리 355-18", "지도Link")</f>
        <v/>
      </c>
      <c r="N2308" s="6">
        <f>HYPERLINK("http://www.eum.go.kr/web/ar/lu/luLandDet.jsp?pnu=3611035021103550018&amp;isNoScr=script&amp;mode=search", "토지이음")</f>
        <v/>
      </c>
      <c r="O2308" s="3" t="inlineStr">
        <is>
          <t>온담</t>
        </is>
      </c>
      <c r="P2308" s="4" t="n">
        <v>1</v>
      </c>
      <c r="Q2308" s="4" t="n">
        <v>990</v>
      </c>
      <c r="R2308" s="3" t="inlineStr">
        <is>
          <t>지정되지않음</t>
        </is>
      </c>
      <c r="S2308" s="3" t="inlineStr">
        <is>
          <t>과수원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도계리 391-5</t>
        </is>
      </c>
      <c r="B2309" s="3" t="inlineStr">
        <is>
          <t>농림지역</t>
        </is>
      </c>
      <c r="C2309" s="3" t="inlineStr">
        <is>
          <t>답</t>
        </is>
      </c>
      <c r="D2309" s="3" t="inlineStr">
        <is>
          <t>답</t>
        </is>
      </c>
      <c r="E2309" s="3" t="inlineStr">
        <is>
          <t>매매</t>
        </is>
      </c>
      <c r="F2309" s="4" t="n">
        <v>99600</v>
      </c>
      <c r="G2309" s="4" t="n">
        <v>2196</v>
      </c>
      <c r="H2309" s="4" t="n">
        <v>664</v>
      </c>
      <c r="I2309" s="5" t="n">
        <v>150</v>
      </c>
      <c r="J2309" s="5" t="n">
        <v>36.4</v>
      </c>
      <c r="K2309" s="3" t="inlineStr">
        <is>
          <t>nan</t>
        </is>
      </c>
      <c r="L2309" s="6">
        <f>HYPERLINK("https://fin.land.naver.com/articles/2652692144", "매물Link")</f>
        <v/>
      </c>
      <c r="M2309" s="6">
        <f>HYPERLINK("https://map.naver.com/p/search/장군면 도계리 391-5", "지도Link")</f>
        <v/>
      </c>
      <c r="N2309" s="6">
        <f>HYPERLINK("http://www.eum.go.kr/web/ar/lu/luLandDet.jsp?pnu=3611035021103910005&amp;isNoScr=script&amp;mode=search", "토지이음")</f>
        <v/>
      </c>
      <c r="O2309" s="3" t="inlineStr">
        <is>
          <t>새땅</t>
        </is>
      </c>
      <c r="P2309" s="4" t="n">
        <v>1</v>
      </c>
      <c r="Q2309" s="4" t="n">
        <v>1866.8</v>
      </c>
      <c r="R2309" s="3" t="inlineStr">
        <is>
          <t>지정되지않음</t>
        </is>
      </c>
      <c r="S2309" s="3" t="inlineStr">
        <is>
          <t>답</t>
        </is>
      </c>
      <c r="T2309" s="3" t="inlineStr">
        <is>
          <t>평지</t>
        </is>
      </c>
      <c r="U2309" s="3" t="inlineStr">
        <is>
          <t>세로장방</t>
        </is>
      </c>
      <c r="V2309" s="3" t="inlineStr">
        <is>
          <t>세로각지(가)</t>
        </is>
      </c>
    </row>
    <row r="2310">
      <c r="A2310" s="3" t="inlineStr">
        <is>
          <t>장군면 도계리 44-5</t>
        </is>
      </c>
      <c r="B2310" s="3" t="inlineStr">
        <is>
          <t>계획관리지역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68000</v>
      </c>
      <c r="G2310" s="4" t="n">
        <v>366</v>
      </c>
      <c r="H2310" s="4" t="n">
        <v>111</v>
      </c>
      <c r="I2310" s="5" t="n">
        <v>612.6</v>
      </c>
      <c r="J2310" s="5" t="n">
        <v>230.4</v>
      </c>
      <c r="K2310" s="3" t="inlineStr">
        <is>
          <t>상가. 카페 건축 최적</t>
        </is>
      </c>
      <c r="L2310" s="6">
        <f>HYPERLINK("https://fin.land.naver.com/articles/2652688315", "매물Link")</f>
        <v/>
      </c>
      <c r="M2310" s="6">
        <f>HYPERLINK("https://map.naver.com/p/search/장군면 도계리 44-5", "지도Link")</f>
        <v/>
      </c>
      <c r="N2310" s="6">
        <f>HYPERLINK("http://www.eum.go.kr/web/ar/lu/luLandDet.jsp?pnu=3611035021100440005&amp;isNoScr=script&amp;mode=search", "토지이음")</f>
        <v/>
      </c>
      <c r="O2310" s="3" t="inlineStr">
        <is>
          <t>새땅</t>
        </is>
      </c>
      <c r="P2310" s="4" t="n">
        <v>1</v>
      </c>
      <c r="Q2310" s="4" t="n">
        <v>366</v>
      </c>
      <c r="R2310" s="3" t="inlineStr">
        <is>
          <t>지정되지않음</t>
        </is>
      </c>
      <c r="S2310" s="3" t="inlineStr">
        <is>
          <t>단독</t>
        </is>
      </c>
      <c r="T2310" s="3" t="inlineStr">
        <is>
          <t>평지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도계리 85-1</t>
        </is>
      </c>
      <c r="B2311" s="3" t="inlineStr">
        <is>
          <t>농림지역</t>
        </is>
      </c>
      <c r="C2311" s="3" t="inlineStr">
        <is>
          <t>답</t>
        </is>
      </c>
      <c r="D2311" s="3" t="inlineStr">
        <is>
          <t>답</t>
        </is>
      </c>
      <c r="E2311" s="3" t="inlineStr">
        <is>
          <t>매매</t>
        </is>
      </c>
      <c r="F2311" s="4" t="n">
        <v>172600</v>
      </c>
      <c r="G2311" s="4" t="n">
        <v>3085</v>
      </c>
      <c r="H2311" s="4" t="n">
        <v>933</v>
      </c>
      <c r="I2311" s="5" t="n">
        <v>185</v>
      </c>
      <c r="J2311" s="5" t="n">
        <v>65.2</v>
      </c>
      <c r="K2311" s="3" t="inlineStr">
        <is>
          <t>답.농지경작용.관리잘해온농지로 투자용으로도추천</t>
        </is>
      </c>
      <c r="L2311" s="6">
        <f>HYPERLINK("https://fin.land.naver.com/articles/2650570794", "매물Link")</f>
        <v/>
      </c>
      <c r="M2311" s="6">
        <f>HYPERLINK("https://map.naver.com/p/search/장군면 도계리 85-1", "지도Link")</f>
        <v/>
      </c>
      <c r="N2311" s="6">
        <f>HYPERLINK("http://www.eum.go.kr/web/ar/lu/luLandDet.jsp?pnu=3611035021100850001&amp;isNoScr=script&amp;mode=search", "토지이음")</f>
        <v/>
      </c>
      <c r="O2311" s="3" t="inlineStr">
        <is>
          <t>고운온빛</t>
        </is>
      </c>
      <c r="P2311" s="4" t="n">
        <v>1</v>
      </c>
      <c r="Q2311" s="4" t="n">
        <v>3085</v>
      </c>
      <c r="R2311" s="3" t="inlineStr">
        <is>
          <t>지정되지않음</t>
        </is>
      </c>
      <c r="S2311" s="3" t="inlineStr">
        <is>
          <t>답</t>
        </is>
      </c>
      <c r="T2311" s="3" t="inlineStr">
        <is>
          <t>평지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도계리 85-3</t>
        </is>
      </c>
      <c r="B2312" s="3" t="inlineStr">
        <is>
          <t>농림지역</t>
        </is>
      </c>
      <c r="C2312" s="3" t="inlineStr">
        <is>
          <t>답</t>
        </is>
      </c>
      <c r="D2312" s="3" t="inlineStr">
        <is>
          <t>답</t>
        </is>
      </c>
      <c r="E2312" s="3" t="inlineStr">
        <is>
          <t>매매</t>
        </is>
      </c>
      <c r="F2312" s="4" t="n">
        <v>108780</v>
      </c>
      <c r="G2312" s="4" t="n">
        <v>1943</v>
      </c>
      <c r="H2312" s="4" t="n">
        <v>588</v>
      </c>
      <c r="I2312" s="5" t="n">
        <v>185</v>
      </c>
      <c r="J2312" s="5" t="n">
        <v>65.90000000000001</v>
      </c>
      <c r="K2312" s="3" t="inlineStr">
        <is>
          <t>nan</t>
        </is>
      </c>
      <c r="L2312" s="6">
        <f>HYPERLINK("https://fin.land.naver.com/articles/2655278158", "매물Link")</f>
        <v/>
      </c>
      <c r="M2312" s="6">
        <f>HYPERLINK("https://map.naver.com/p/search/장군면 도계리 85-3", "지도Link")</f>
        <v/>
      </c>
      <c r="N2312" s="6">
        <f>HYPERLINK("http://www.eum.go.kr/web/ar/lu/luLandDet.jsp?pnu=3611035021100850003&amp;isNoScr=script&amp;mode=search", "토지이음")</f>
        <v/>
      </c>
      <c r="O2312" s="3" t="inlineStr">
        <is>
          <t>강변</t>
        </is>
      </c>
      <c r="P2312" s="4" t="n">
        <v>1</v>
      </c>
      <c r="Q2312" s="4" t="n">
        <v>1945</v>
      </c>
      <c r="R2312" s="3" t="inlineStr">
        <is>
          <t>지정되지않음</t>
        </is>
      </c>
      <c r="S2312" s="3" t="inlineStr">
        <is>
          <t>답</t>
        </is>
      </c>
      <c r="T2312" s="3" t="inlineStr">
        <is>
          <t>평지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도계리 90-1</t>
        </is>
      </c>
      <c r="B2313" s="3" t="inlineStr">
        <is>
          <t>계획관리지역</t>
        </is>
      </c>
      <c r="C2313" s="3" t="inlineStr">
        <is>
          <t>전</t>
        </is>
      </c>
      <c r="D2313" s="3" t="inlineStr">
        <is>
          <t>전</t>
        </is>
      </c>
      <c r="E2313" s="3" t="inlineStr">
        <is>
          <t>매매</t>
        </is>
      </c>
      <c r="F2313" s="4" t="n">
        <v>75000</v>
      </c>
      <c r="G2313" s="4" t="n">
        <v>331</v>
      </c>
      <c r="H2313" s="4" t="n">
        <v>100</v>
      </c>
      <c r="I2313" s="5" t="n">
        <v>750</v>
      </c>
      <c r="J2313" s="5" t="n">
        <v>235.6</v>
      </c>
      <c r="K2313" s="3" t="inlineStr">
        <is>
          <t>장군면 서부농협 근접한 2차선 통행량 많은 도로옆 토지</t>
        </is>
      </c>
      <c r="L2313" s="6">
        <f>HYPERLINK("https://fin.land.naver.com/articles/2654426933", "매물Link")</f>
        <v/>
      </c>
      <c r="M2313" s="6">
        <f>HYPERLINK("https://map.naver.com/p/search/장군면 도계리 90-1", "지도Link")</f>
        <v/>
      </c>
      <c r="N2313" s="6">
        <f>HYPERLINK("http://www.eum.go.kr/web/ar/lu/luLandDet.jsp?pnu=3611035021100900001&amp;isNoScr=script&amp;mode=search", "토지이음")</f>
        <v/>
      </c>
      <c r="O2313" s="3" t="inlineStr">
        <is>
          <t>발품</t>
        </is>
      </c>
      <c r="P2313" s="4" t="n">
        <v>3</v>
      </c>
      <c r="Q2313" s="4" t="n">
        <v>331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소로한면</t>
        </is>
      </c>
    </row>
    <row r="2314">
      <c r="A2314" s="3" t="inlineStr">
        <is>
          <t>장군면 도계리 90-1</t>
        </is>
      </c>
      <c r="B2314" s="3" t="inlineStr">
        <is>
          <t>계획관리지역</t>
        </is>
      </c>
      <c r="C2314" s="3" t="inlineStr">
        <is>
          <t>전</t>
        </is>
      </c>
      <c r="D2314" s="3" t="inlineStr">
        <is>
          <t>전</t>
        </is>
      </c>
      <c r="E2314" s="3" t="inlineStr">
        <is>
          <t>매매</t>
        </is>
      </c>
      <c r="F2314" s="4" t="n">
        <v>75000</v>
      </c>
      <c r="G2314" s="4" t="n">
        <v>331</v>
      </c>
      <c r="H2314" s="4" t="n">
        <v>100</v>
      </c>
      <c r="I2314" s="5" t="n">
        <v>750</v>
      </c>
      <c r="J2314" s="5" t="n">
        <v>235.6</v>
      </c>
      <c r="K2314" s="3" t="inlineStr">
        <is>
          <t>지구단위계획구역 2차선도로 계획관리지역 알토란토지,다용도사용가능</t>
        </is>
      </c>
      <c r="L2314" s="6">
        <f>HYPERLINK("https://fin.land.naver.com/articles/2655304107", "매물Link")</f>
        <v/>
      </c>
      <c r="M2314" s="6">
        <f>HYPERLINK("https://map.naver.com/p/search/장군면 도계리 90-1", "지도Link")</f>
        <v/>
      </c>
      <c r="N2314" s="6">
        <f>HYPERLINK("http://www.eum.go.kr/web/ar/lu/luLandDet.jsp?pnu=3611035021100900001&amp;isNoScr=script&amp;mode=search",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331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소로한면</t>
        </is>
      </c>
    </row>
    <row r="2315">
      <c r="A2315" s="3" t="inlineStr">
        <is>
          <t>장군면 도계리 90-8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230000</v>
      </c>
      <c r="G2315" s="4" t="n">
        <v>1086</v>
      </c>
      <c r="H2315" s="4" t="n">
        <v>329</v>
      </c>
      <c r="I2315" s="5" t="n">
        <v>699.1</v>
      </c>
      <c r="J2315" s="5" t="n">
        <v>230.3</v>
      </c>
      <c r="K2315" s="3" t="inlineStr">
        <is>
          <t>세종시 최고의 투자처,대형 커피숍,대형 음식점 ,회사사옥건축 추천</t>
        </is>
      </c>
      <c r="L2315" s="6">
        <f>HYPERLINK("https://fin.land.naver.com/articles/2653886310", "매물Link")</f>
        <v/>
      </c>
      <c r="M2315" s="6">
        <f>HYPERLINK("https://map.naver.com/p/search/장군면 도계리 90-8", "지도Link")</f>
        <v/>
      </c>
      <c r="N2315" s="6">
        <f>HYPERLINK("http://www.eum.go.kr/web/ar/lu/luLandDet.jsp?pnu=3611035021100900008&amp;isNoScr=script&amp;mode=search", "토지이음")</f>
        <v/>
      </c>
      <c r="O2315" s="3" t="inlineStr">
        <is>
          <t>세종공주제일</t>
        </is>
      </c>
      <c r="P2315" s="4" t="n">
        <v>1</v>
      </c>
      <c r="Q2315" s="4" t="n">
        <v>166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소로한면</t>
        </is>
      </c>
    </row>
    <row r="2316">
      <c r="A2316" s="3" t="inlineStr">
        <is>
          <t>장군면 도계리 산 2-9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99000</v>
      </c>
      <c r="G2316" s="4" t="n">
        <v>4959</v>
      </c>
      <c r="H2316" s="4" t="n">
        <v>1500</v>
      </c>
      <c r="I2316" s="5" t="n">
        <v>66</v>
      </c>
      <c r="J2316" s="5" t="n">
        <v>37.3</v>
      </c>
      <c r="K2316" s="3" t="inlineStr">
        <is>
          <t>도로접한 임야</t>
        </is>
      </c>
      <c r="L2316" s="6">
        <f>HYPERLINK("https://fin.land.naver.com/articles/2655058756", "매물Link")</f>
        <v/>
      </c>
      <c r="M2316" s="6">
        <f>HYPERLINK("https://map.naver.com/p/search/장군면 도계리 산 2-9", "지도Link")</f>
        <v/>
      </c>
      <c r="N2316" s="6">
        <f>HYPERLINK("http://www.eum.go.kr/web/ar/lu/luLandDet.jsp?pnu=3611035021200020009&amp;isNoScr=script&amp;mode=search", "토지이음")</f>
        <v/>
      </c>
      <c r="O2316" s="3" t="inlineStr">
        <is>
          <t>세종대박</t>
        </is>
      </c>
      <c r="P2316" s="4" t="n">
        <v>2</v>
      </c>
      <c r="Q2316" s="4" t="n">
        <v>4959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부정형</t>
        </is>
      </c>
      <c r="V2316" s="3" t="inlineStr">
        <is>
          <t>세로한면(가)</t>
        </is>
      </c>
    </row>
    <row r="2317">
      <c r="A2317" s="3" t="inlineStr">
        <is>
          <t>장군면 봉안리 12</t>
        </is>
      </c>
      <c r="B2317" s="3" t="inlineStr">
        <is>
          <t>계획관리지역</t>
        </is>
      </c>
      <c r="C2317" s="3" t="inlineStr">
        <is>
          <t>답</t>
        </is>
      </c>
      <c r="D2317" s="3" t="inlineStr">
        <is>
          <t>답</t>
        </is>
      </c>
      <c r="E2317" s="3" t="inlineStr">
        <is>
          <t>매매</t>
        </is>
      </c>
      <c r="F2317" s="4" t="n">
        <v>400000</v>
      </c>
      <c r="G2317" s="4" t="n">
        <v>6608</v>
      </c>
      <c r="H2317" s="4" t="n">
        <v>1999</v>
      </c>
      <c r="I2317" s="5" t="n">
        <v>200.1</v>
      </c>
      <c r="J2317" s="5" t="n">
        <v>137.5</v>
      </c>
      <c r="K2317" s="3" t="inlineStr">
        <is>
          <t>계획관리토지</t>
        </is>
      </c>
      <c r="L2317" s="6">
        <f>HYPERLINK("https://fin.land.naver.com/articles/2651704292", "매물Link")</f>
        <v/>
      </c>
      <c r="M2317" s="6">
        <f>HYPERLINK("https://map.naver.com/p/search/장군면 봉안리 12", "지도Link")</f>
        <v/>
      </c>
      <c r="N2317" s="6">
        <f>HYPERLINK("http://www.eum.go.kr/web/ar/lu/luLandDet.jsp?pnu=3611035024100120000&amp;isNoScr=script&amp;mode=search", "토지이음")</f>
        <v/>
      </c>
      <c r="O2317" s="3" t="inlineStr">
        <is>
          <t>형제</t>
        </is>
      </c>
      <c r="P2317" s="4" t="n">
        <v>1</v>
      </c>
      <c r="Q2317" s="4" t="n">
        <v>6608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세로한면(가)</t>
        </is>
      </c>
    </row>
    <row r="2318">
      <c r="A2318" s="3" t="inlineStr">
        <is>
          <t>장군면 봉안리 16</t>
        </is>
      </c>
      <c r="B2318" s="3" t="inlineStr">
        <is>
          <t>계획관리지역</t>
        </is>
      </c>
      <c r="C2318" s="3" t="inlineStr">
        <is>
          <t>전</t>
        </is>
      </c>
      <c r="D2318" s="3" t="inlineStr">
        <is>
          <t>전</t>
        </is>
      </c>
      <c r="E2318" s="3" t="inlineStr">
        <is>
          <t>매매</t>
        </is>
      </c>
      <c r="F2318" s="4" t="n">
        <v>240000</v>
      </c>
      <c r="G2318" s="4" t="n">
        <v>2631</v>
      </c>
      <c r="H2318" s="4" t="n">
        <v>796</v>
      </c>
      <c r="I2318" s="5" t="n">
        <v>301.5</v>
      </c>
      <c r="J2318" s="5" t="n">
        <v>140.4</v>
      </c>
      <c r="K2318" s="3" t="inlineStr">
        <is>
          <t>nan</t>
        </is>
      </c>
      <c r="L2318" s="6">
        <f>HYPERLINK("https://fin.land.naver.com/articles/2652613829", "매물Link")</f>
        <v/>
      </c>
      <c r="M2318" s="6">
        <f>HYPERLINK("https://map.naver.com/p/search/장군면 봉안리 16", "지도Link")</f>
        <v/>
      </c>
      <c r="N2318" s="6">
        <f>HYPERLINK("http://www.eum.go.kr/web/ar/lu/luLandDet.jsp?pnu=3611035024100160000&amp;isNoScr=script&amp;mode=search", "토지이음")</f>
        <v/>
      </c>
      <c r="O2318" s="3" t="inlineStr">
        <is>
          <t>세종</t>
        </is>
      </c>
      <c r="P2318" s="4" t="n">
        <v>1</v>
      </c>
      <c r="Q2318" s="4" t="n">
        <v>2631</v>
      </c>
      <c r="R2318" s="3" t="inlineStr">
        <is>
          <t>지정되지않음</t>
        </is>
      </c>
      <c r="S2318" s="3" t="inlineStr">
        <is>
          <t>전</t>
        </is>
      </c>
      <c r="T2318" s="3" t="inlineStr">
        <is>
          <t>완경사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봉안리 198</t>
        </is>
      </c>
      <c r="B2319" s="3" t="inlineStr">
        <is>
          <t>계획관리지역</t>
        </is>
      </c>
      <c r="C2319" s="3" t="inlineStr">
        <is>
          <t>잡종지</t>
        </is>
      </c>
      <c r="D2319" s="3" t="inlineStr">
        <is>
          <t>잡종지</t>
        </is>
      </c>
      <c r="E2319" s="3" t="inlineStr">
        <is>
          <t>매매</t>
        </is>
      </c>
      <c r="F2319" s="4" t="n">
        <v>750000</v>
      </c>
      <c r="G2319" s="4" t="n">
        <v>1886</v>
      </c>
      <c r="H2319" s="4" t="n">
        <v>571</v>
      </c>
      <c r="I2319" s="5" t="n">
        <v>1313.5</v>
      </c>
      <c r="J2319" s="5" t="n">
        <v>231.9</v>
      </c>
      <c r="K2319" s="3" t="inlineStr">
        <is>
          <t>nan</t>
        </is>
      </c>
      <c r="L2319" s="6">
        <f>HYPERLINK("https://fin.land.naver.com/articles/2654182137", "매물Link")</f>
        <v/>
      </c>
      <c r="M2319" s="6">
        <f>HYPERLINK("https://map.naver.com/p/search/장군면 봉안리 198", "지도Link")</f>
        <v/>
      </c>
      <c r="N2319" s="6">
        <f>HYPERLINK("http://www.eum.go.kr/web/ar/lu/luLandDet.jsp?pnu=3611035024101980000&amp;isNoScr=script&amp;mode=search", "토지이음")</f>
        <v/>
      </c>
      <c r="O2319" s="3" t="inlineStr">
        <is>
          <t>다온</t>
        </is>
      </c>
      <c r="P2319" s="4" t="n">
        <v>1</v>
      </c>
      <c r="Q2319" s="4" t="n">
        <v>901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201-41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60000</v>
      </c>
      <c r="G2320" s="4" t="n">
        <v>567</v>
      </c>
      <c r="H2320" s="4" t="n">
        <v>172</v>
      </c>
      <c r="I2320" s="5" t="n">
        <v>348.8</v>
      </c>
      <c r="J2320" s="5" t="n">
        <v>271.6</v>
      </c>
      <c r="K2320" s="3" t="inlineStr">
        <is>
          <t>nan</t>
        </is>
      </c>
      <c r="L2320" s="6">
        <f>HYPERLINK("https://fin.land.naver.com/articles/2652795048", "매물Link")</f>
        <v/>
      </c>
      <c r="M2320" s="6">
        <f>HYPERLINK("https://map.naver.com/p/search/장군면 봉안리 201-41", "지도Link")</f>
        <v/>
      </c>
      <c r="N2320" s="6">
        <f>HYPERLINK("http://www.eum.go.kr/web/ar/lu/luLandDet.jsp?pnu=3611035024102010041&amp;isNoScr=script&amp;mode=search", "토지이음")</f>
        <v/>
      </c>
      <c r="O2320" s="3" t="inlineStr">
        <is>
          <t>강아지풀</t>
        </is>
      </c>
      <c r="P2320" s="4" t="n">
        <v>2</v>
      </c>
      <c r="Q2320" s="4" t="n">
        <v>567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201-41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70000</v>
      </c>
      <c r="G2321" s="4" t="n">
        <v>567</v>
      </c>
      <c r="H2321" s="4" t="n">
        <v>172</v>
      </c>
      <c r="I2321" s="5" t="n">
        <v>407</v>
      </c>
      <c r="J2321" s="5" t="n">
        <v>271.6</v>
      </c>
      <c r="K2321" s="3" t="inlineStr">
        <is>
          <t>초급매,계획관리,단독주택,사무실,카페,식당,물류택배창고 등 다목적용도가능</t>
        </is>
      </c>
      <c r="L2321" s="6">
        <f>HYPERLINK("https://fin.land.naver.com/articles/2653222306", "매물Link")</f>
        <v/>
      </c>
      <c r="M2321" s="6">
        <f>HYPERLINK("https://map.naver.com/p/search/장군면 봉안리 201-41", "지도Link")</f>
        <v/>
      </c>
      <c r="N2321" s="6">
        <f>HYPERLINK("http://www.eum.go.kr/web/ar/lu/luLandDet.jsp?pnu=3611035024102010041&amp;isNoScr=script&amp;mode=search", "토지이음")</f>
        <v/>
      </c>
      <c r="O2321" s="3" t="inlineStr">
        <is>
          <t>고운맘</t>
        </is>
      </c>
      <c r="P2321" s="4" t="n">
        <v>1</v>
      </c>
      <c r="Q2321" s="4" t="n">
        <v>567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201-60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203167</v>
      </c>
      <c r="G2322" s="4" t="n">
        <v>1429</v>
      </c>
      <c r="H2322" s="4" t="n">
        <v>432</v>
      </c>
      <c r="I2322" s="5" t="n">
        <v>470.3</v>
      </c>
      <c r="J2322" s="5" t="n">
        <v>97.3</v>
      </c>
      <c r="K2322" s="3" t="inlineStr">
        <is>
          <t>급매,신도시 최단거리푸드타운 접, 건축인허가 득한 토지,조율가</t>
        </is>
      </c>
      <c r="L2322" s="6">
        <f>HYPERLINK("https://fin.land.naver.com/articles/2654553694", "매물Link")</f>
        <v/>
      </c>
      <c r="M2322" s="6">
        <f>HYPERLINK("https://map.naver.com/p/search/장군면 봉안리 201-60", "지도Link")</f>
        <v/>
      </c>
      <c r="N2322" s="6">
        <f>HYPERLINK("http://www.eum.go.kr/web/ar/lu/luLandDet.jsp?pnu=3611035024102010060&amp;isNoScr=script&amp;mode=search", "토지이음")</f>
        <v/>
      </c>
      <c r="O2322" s="3" t="inlineStr">
        <is>
          <t>바로그</t>
        </is>
      </c>
      <c r="P2322" s="4" t="n">
        <v>1</v>
      </c>
      <c r="Q2322" s="4" t="n">
        <v>735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세로장방</t>
        </is>
      </c>
      <c r="V2322" s="3" t="inlineStr">
        <is>
          <t>세로한면(가)</t>
        </is>
      </c>
    </row>
    <row r="2323">
      <c r="A2323" s="3" t="inlineStr">
        <is>
          <t>장군면 봉안리 202-1</t>
        </is>
      </c>
      <c r="B2323" s="3" t="inlineStr">
        <is>
          <t>계획관리지역</t>
        </is>
      </c>
      <c r="C2323" s="3" t="inlineStr">
        <is>
          <t>전</t>
        </is>
      </c>
      <c r="D2323" s="3" t="inlineStr">
        <is>
          <t>전</t>
        </is>
      </c>
      <c r="E2323" s="3" t="inlineStr">
        <is>
          <t>매매</t>
        </is>
      </c>
      <c r="F2323" s="4" t="n">
        <v>90400</v>
      </c>
      <c r="G2323" s="4" t="n">
        <v>767</v>
      </c>
      <c r="H2323" s="4" t="n">
        <v>232</v>
      </c>
      <c r="I2323" s="5" t="n">
        <v>389.7</v>
      </c>
      <c r="J2323" s="5" t="n">
        <v>119.4</v>
      </c>
      <c r="K2323" s="3" t="inlineStr">
        <is>
          <t>가격조율 가능,세종시 근접, 다세대 주택 부지,전원주택부지 추천</t>
        </is>
      </c>
      <c r="L2323" s="6">
        <f>HYPERLINK("https://fin.land.naver.com/articles/2654854230", "매물Link")</f>
        <v/>
      </c>
      <c r="M2323" s="6">
        <f>HYPERLINK("https://map.naver.com/p/search/장군면 봉안리 202-1", "지도Link")</f>
        <v/>
      </c>
      <c r="N2323" s="6">
        <f>HYPERLINK("http://www.eum.go.kr/web/ar/lu/luLandDet.jsp?pnu=3611035024102020001&amp;isNoScr=script&amp;mode=search", "토지이음")</f>
        <v/>
      </c>
      <c r="O2323" s="3" t="inlineStr">
        <is>
          <t>담뜰</t>
        </is>
      </c>
      <c r="P2323" s="4" t="n">
        <v>1</v>
      </c>
      <c r="Q2323" s="4" t="n">
        <v>767</v>
      </c>
      <c r="R2323" s="3" t="inlineStr">
        <is>
          <t>지정되지않음</t>
        </is>
      </c>
      <c r="S2323" s="3" t="inlineStr">
        <is>
          <t>전</t>
        </is>
      </c>
      <c r="T2323" s="3" t="inlineStr">
        <is>
          <t>완경사</t>
        </is>
      </c>
      <c r="U2323" s="3" t="inlineStr">
        <is>
          <t>부정형</t>
        </is>
      </c>
      <c r="V2323" s="3" t="inlineStr">
        <is>
          <t>세로한면(가)</t>
        </is>
      </c>
    </row>
    <row r="2324">
      <c r="A2324" s="3" t="inlineStr">
        <is>
          <t>장군면 봉안리 209-7</t>
        </is>
      </c>
      <c r="B2324" s="3" t="inlineStr">
        <is>
          <t>보전관리지역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131000</v>
      </c>
      <c r="G2324" s="4" t="n">
        <v>865</v>
      </c>
      <c r="H2324" s="4" t="n">
        <v>262</v>
      </c>
      <c r="I2324" s="5" t="n">
        <v>500</v>
      </c>
      <c r="J2324" s="5" t="n">
        <v>175.3</v>
      </c>
      <c r="K2324" s="3" t="inlineStr">
        <is>
          <t>현재 주택임</t>
        </is>
      </c>
      <c r="L2324" s="6">
        <f>HYPERLINK("https://fin.land.naver.com/articles/2651002094", "매물Link")</f>
        <v/>
      </c>
      <c r="M2324" s="6">
        <f>HYPERLINK("https://map.naver.com/p/search/장군면 봉안리 209-7", "지도Link")</f>
        <v/>
      </c>
      <c r="N2324" s="6">
        <f>HYPERLINK("http://www.eum.go.kr/web/ar/lu/luLandDet.jsp?pnu=3611035024102090007&amp;isNoScr=script&amp;mode=search", "토지이음")</f>
        <v/>
      </c>
      <c r="O2324" s="3" t="inlineStr">
        <is>
          <t>노은밸리</t>
        </is>
      </c>
      <c r="P2324" s="4" t="n">
        <v>1</v>
      </c>
      <c r="Q2324" s="4" t="n">
        <v>710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213-3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29200</v>
      </c>
      <c r="G2325" s="4" t="n">
        <v>216</v>
      </c>
      <c r="H2325" s="4" t="n">
        <v>65</v>
      </c>
      <c r="I2325" s="5" t="n">
        <v>449.2</v>
      </c>
      <c r="J2325" s="5" t="n">
        <v>254.8</v>
      </c>
      <c r="K2325" s="3" t="inlineStr">
        <is>
          <t>봉안리 아담한 주택지</t>
        </is>
      </c>
      <c r="L2325" s="6">
        <f>HYPERLINK("https://fin.land.naver.com/articles/2651783401", "매물Link")</f>
        <v/>
      </c>
      <c r="M2325" s="6">
        <f>HYPERLINK("https://map.naver.com/p/search/장군면 봉안리 213-3", "지도Link")</f>
        <v/>
      </c>
      <c r="N2325" s="6">
        <f>HYPERLINK("http://www.eum.go.kr/web/ar/lu/luLandDet.jsp?pnu=3611035024102130003&amp;isNoScr=script&amp;mode=search", "토지이음")</f>
        <v/>
      </c>
      <c r="O2325" s="3" t="inlineStr">
        <is>
          <t>세종천지</t>
        </is>
      </c>
      <c r="P2325" s="4" t="n">
        <v>1</v>
      </c>
      <c r="Q2325" s="4" t="n">
        <v>216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봉안리 216-12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65000</v>
      </c>
      <c r="G2326" s="4" t="n">
        <v>755</v>
      </c>
      <c r="H2326" s="4" t="n">
        <v>228</v>
      </c>
      <c r="I2326" s="5" t="n">
        <v>285.1</v>
      </c>
      <c r="J2326" s="5" t="n">
        <v>239.6</v>
      </c>
      <c r="K2326" s="3" t="inlineStr">
        <is>
          <t>급매,건축허가 득한 조망좋은 계획관리 토지,카페자리로 추천</t>
        </is>
      </c>
      <c r="L2326" s="6">
        <f>HYPERLINK("https://fin.land.naver.com/articles/2654808521", "매물Link")</f>
        <v/>
      </c>
      <c r="M2326" s="6">
        <f>HYPERLINK("https://map.naver.com/p/search/장군면 봉안리 216-12", "지도Link")</f>
        <v/>
      </c>
      <c r="N2326" s="6">
        <f>HYPERLINK("http://www.eum.go.kr/web/ar/lu/luLandDet.jsp?pnu=3611035024102160012&amp;isNoScr=script&amp;mode=search", "토지이음")</f>
        <v/>
      </c>
      <c r="O2326" s="3" t="inlineStr">
        <is>
          <t>가치잇는</t>
        </is>
      </c>
      <c r="P2326" s="4" t="n">
        <v>3</v>
      </c>
      <c r="Q2326" s="4" t="n">
        <v>755</v>
      </c>
      <c r="R2326" s="3" t="inlineStr">
        <is>
          <t>지정되지않음</t>
        </is>
      </c>
      <c r="S2326" s="3" t="inlineStr">
        <is>
          <t>주거나지</t>
        </is>
      </c>
      <c r="T2326" s="3" t="inlineStr">
        <is>
          <t>완경사</t>
        </is>
      </c>
      <c r="U2326" s="3" t="inlineStr">
        <is>
          <t>사다리형</t>
        </is>
      </c>
      <c r="V2326" s="3" t="inlineStr">
        <is>
          <t>세로한면(가)</t>
        </is>
      </c>
    </row>
    <row r="2327">
      <c r="A2327" s="3" t="inlineStr">
        <is>
          <t>장군면 봉안리 216-12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65000</v>
      </c>
      <c r="G2327" s="4" t="n">
        <v>755</v>
      </c>
      <c r="H2327" s="4" t="n">
        <v>228</v>
      </c>
      <c r="I2327" s="5" t="n">
        <v>285.1</v>
      </c>
      <c r="J2327" s="5" t="n">
        <v>239.6</v>
      </c>
      <c r="K2327" s="3" t="inlineStr">
        <is>
          <t>급매,도로접한 계획관리,지대 높은 전원주택지,투자가치 상승 기대되는 토지</t>
        </is>
      </c>
      <c r="L2327" s="6">
        <f>HYPERLINK("https://fin.land.naver.com/articles/2651453500", "매물Link")</f>
        <v/>
      </c>
      <c r="M2327" s="6">
        <f>HYPERLINK("https://map.naver.com/p/search/장군면 봉안리 216-12", "지도Link")</f>
        <v/>
      </c>
      <c r="N2327" s="6">
        <f>HYPERLINK("http://www.eum.go.kr/web/ar/lu/luLandDet.jsp?pnu=3611035024102160012&amp;isNoScr=script&amp;mode=search", "토지이음")</f>
        <v/>
      </c>
      <c r="O2327" s="3" t="inlineStr">
        <is>
          <t>고운맘</t>
        </is>
      </c>
      <c r="P2327" s="4" t="n">
        <v>1</v>
      </c>
      <c r="Q2327" s="4" t="n">
        <v>755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세로한면(가)</t>
        </is>
      </c>
    </row>
    <row r="2328">
      <c r="A2328" s="3" t="inlineStr">
        <is>
          <t>장군면 봉안리 216-12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65000</v>
      </c>
      <c r="G2328" s="4" t="n">
        <v>768</v>
      </c>
      <c r="H2328" s="4" t="n">
        <v>232</v>
      </c>
      <c r="I2328" s="5" t="n">
        <v>280.2</v>
      </c>
      <c r="J2328" s="5" t="n">
        <v>239.6</v>
      </c>
      <c r="K2328" s="3" t="inlineStr">
        <is>
          <t>도로지분 포함, 건축허가되어 있는 가치있는 토지에 투자하세요</t>
        </is>
      </c>
      <c r="L2328" s="6">
        <f>HYPERLINK("https://fin.land.naver.com/articles/2655207829", "매물Link")</f>
        <v/>
      </c>
      <c r="M2328" s="6">
        <f>HYPERLINK("https://map.naver.com/p/search/장군면 봉안리 216-12", "지도Link")</f>
        <v/>
      </c>
      <c r="N2328" s="6">
        <f>HYPERLINK("http://www.eum.go.kr/web/ar/lu/luLandDet.jsp?pnu=3611035024102160012&amp;isNoScr=script&amp;mode=search", "토지이음")</f>
        <v/>
      </c>
      <c r="O2328" s="3" t="inlineStr">
        <is>
          <t>수자인시티</t>
        </is>
      </c>
      <c r="P2328" s="4" t="n">
        <v>2</v>
      </c>
      <c r="Q2328" s="4" t="n">
        <v>755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봉안리 216-20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120000</v>
      </c>
      <c r="G2329" s="4" t="n">
        <v>855</v>
      </c>
      <c r="H2329" s="4" t="n">
        <v>259</v>
      </c>
      <c r="I2329" s="5" t="n">
        <v>463.3</v>
      </c>
      <c r="J2329" s="5" t="n">
        <v>239.6</v>
      </c>
      <c r="K2329" s="3" t="inlineStr">
        <is>
          <t>사진0, 신도심권과  가깝고 개발이 진행되고 있는 세종시 택지용도 매매</t>
        </is>
      </c>
      <c r="L2329" s="6">
        <f>HYPERLINK("https://fin.land.naver.com/articles/2650815732", "매물Link")</f>
        <v/>
      </c>
      <c r="M2329" s="6">
        <f>HYPERLINK("https://map.naver.com/p/search/장군면 봉안리 216-20", "지도Link")</f>
        <v/>
      </c>
      <c r="N2329" s="6">
        <f>HYPERLINK("http://www.eum.go.kr/web/ar/lu/luLandDet.jsp?pnu=3611035024102160020&amp;isNoScr=script&amp;mode=search", "토지이음")</f>
        <v/>
      </c>
      <c r="O2329" s="3" t="inlineStr">
        <is>
          <t>비전</t>
        </is>
      </c>
      <c r="P2329" s="4" t="n">
        <v>1</v>
      </c>
      <c r="Q2329" s="4" t="n">
        <v>855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완경사</t>
        </is>
      </c>
      <c r="U2329" s="3" t="inlineStr">
        <is>
          <t>세로장방</t>
        </is>
      </c>
      <c r="V2329" s="3" t="inlineStr">
        <is>
          <t>세로한면(가)</t>
        </is>
      </c>
    </row>
    <row r="2330">
      <c r="A2330" s="3" t="inlineStr">
        <is>
          <t>장군면 봉안리 216-24</t>
        </is>
      </c>
      <c r="B2330" s="3" t="inlineStr">
        <is>
          <t>계획관리지역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70000</v>
      </c>
      <c r="G2330" s="4" t="n">
        <v>678</v>
      </c>
      <c r="H2330" s="4" t="n">
        <v>205</v>
      </c>
      <c r="I2330" s="5" t="n">
        <v>341.5</v>
      </c>
      <c r="J2330" s="5" t="n">
        <v>336.9</v>
      </c>
      <c r="K2330" s="3" t="inlineStr">
        <is>
          <t>지대 높은 조망권뷰최상 전원주택지,고운.다정동5분거리,투자가치상승</t>
        </is>
      </c>
      <c r="L2330" s="6">
        <f>HYPERLINK("https://fin.land.naver.com/articles/2655575994", "매물Link")</f>
        <v/>
      </c>
      <c r="M2330" s="6">
        <f>HYPERLINK("https://map.naver.com/p/search/장군면 봉안리 216-24", "지도Link")</f>
        <v/>
      </c>
      <c r="N2330" s="6">
        <f>HYPERLINK("http://www.eum.go.kr/web/ar/lu/luLandDet.jsp?pnu=3611035024102160024&amp;isNoScr=script&amp;mode=search", "토지이음")</f>
        <v/>
      </c>
      <c r="O2330" s="3" t="inlineStr">
        <is>
          <t>고운맘</t>
        </is>
      </c>
      <c r="P2330" s="4" t="n">
        <v>1</v>
      </c>
      <c r="Q2330" s="4" t="n">
        <v>678</v>
      </c>
      <c r="R2330" s="3" t="inlineStr">
        <is>
          <t>지정되지않음</t>
        </is>
      </c>
      <c r="S2330" s="3" t="inlineStr">
        <is>
          <t>주상용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세로각지(가)</t>
        </is>
      </c>
    </row>
    <row r="2331">
      <c r="A2331" s="3" t="inlineStr">
        <is>
          <t>장군면 봉안리 22-100</t>
        </is>
      </c>
      <c r="B2331" s="3" t="inlineStr">
        <is>
          <t>보전관리지역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35000</v>
      </c>
      <c r="G2331" s="4" t="n">
        <v>333</v>
      </c>
      <c r="H2331" s="4" t="n">
        <v>101</v>
      </c>
      <c r="I2331" s="5" t="n">
        <v>346.5</v>
      </c>
      <c r="J2331" s="5" t="n">
        <v>208.8</v>
      </c>
      <c r="K2331" s="3" t="inlineStr">
        <is>
          <t>전망좋고 세종행복도시 생활권 누릴 수 있는 전원주택지 매도</t>
        </is>
      </c>
      <c r="L2331" s="6">
        <f>HYPERLINK("https://fin.land.naver.com/articles/2650288757", "매물Link")</f>
        <v/>
      </c>
      <c r="M2331" s="6">
        <f>HYPERLINK("https://map.naver.com/p/search/장군면 봉안리 22-100", "지도Link")</f>
        <v/>
      </c>
      <c r="N2331" s="6">
        <f>HYPERLINK("http://www.eum.go.kr/web/ar/lu/luLandDet.jsp?pnu=3611035024100220100&amp;isNoScr=script&amp;mode=search", "토지이음")</f>
        <v/>
      </c>
      <c r="O2331" s="3" t="inlineStr">
        <is>
          <t>번영</t>
        </is>
      </c>
      <c r="P2331" s="4" t="n">
        <v>1</v>
      </c>
      <c r="Q2331" s="4" t="n">
        <v>333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소로한면</t>
        </is>
      </c>
    </row>
    <row r="2332">
      <c r="A2332" s="3" t="inlineStr">
        <is>
          <t>장군면 봉안리 22-112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38000</v>
      </c>
      <c r="G2332" s="4" t="n">
        <v>310</v>
      </c>
      <c r="H2332" s="4" t="n">
        <v>94</v>
      </c>
      <c r="I2332" s="5" t="n">
        <v>404.3</v>
      </c>
      <c r="J2332" s="5" t="n">
        <v>212.5</v>
      </c>
      <c r="K2332" s="3" t="inlineStr">
        <is>
          <t>세종시 접한 전원주택지 , 기반시설 완</t>
        </is>
      </c>
      <c r="L2332" s="6">
        <f>HYPERLINK("https://fin.land.naver.com/articles/2651677545", "매물Link")</f>
        <v/>
      </c>
      <c r="M2332" s="6">
        <f>HYPERLINK("https://map.naver.com/p/search/장군면 봉안리 22-112", "지도Link")</f>
        <v/>
      </c>
      <c r="N2332" s="6">
        <f>HYPERLINK("http://www.eum.go.kr/web/ar/lu/luLandDet.jsp?pnu=3611035024100220112&amp;isNoScr=script&amp;mode=search", "토지이음")</f>
        <v/>
      </c>
      <c r="O2332" s="3" t="inlineStr">
        <is>
          <t>세종태양</t>
        </is>
      </c>
      <c r="P2332" s="4" t="n">
        <v>1</v>
      </c>
      <c r="Q2332" s="4" t="n">
        <v>255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소로한면</t>
        </is>
      </c>
    </row>
    <row r="2333">
      <c r="A2333" s="3" t="inlineStr">
        <is>
          <t>장군면 봉안리 22-171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40000</v>
      </c>
      <c r="G2333" s="4" t="n">
        <v>339</v>
      </c>
      <c r="H2333" s="4" t="n">
        <v>103</v>
      </c>
      <c r="I2333" s="5" t="n">
        <v>388.3</v>
      </c>
      <c r="J2333" s="5" t="n">
        <v>210.5</v>
      </c>
      <c r="K2333" s="3" t="inlineStr">
        <is>
          <t>전원주택부지로 도로에 접하여 있으며,다정동 아파트에 인접해 있어요</t>
        </is>
      </c>
      <c r="L2333" s="6">
        <f>HYPERLINK("https://fin.land.naver.com/articles/2655698000", "매물Link")</f>
        <v/>
      </c>
      <c r="M2333" s="6">
        <f>HYPERLINK("https://map.naver.com/p/search/장군면 봉안리 22-171", "지도Link")</f>
        <v/>
      </c>
      <c r="N2333" s="6">
        <f>HYPERLINK("http://www.eum.go.kr/web/ar/lu/luLandDet.jsp?pnu=3611035024100220171&amp;isNoScr=script&amp;mode=search", "토지이음")</f>
        <v/>
      </c>
      <c r="O2333" s="3" t="inlineStr">
        <is>
          <t>송림탑</t>
        </is>
      </c>
      <c r="P2333" s="4" t="n">
        <v>1</v>
      </c>
      <c r="Q2333" s="4" t="n">
        <v>339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세로장방</t>
        </is>
      </c>
      <c r="V2333" s="3" t="inlineStr">
        <is>
          <t>세로각지(가)</t>
        </is>
      </c>
    </row>
    <row r="2334">
      <c r="A2334" s="3" t="inlineStr">
        <is>
          <t>장군면 봉안리 22-215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56000</v>
      </c>
      <c r="G2334" s="4" t="n">
        <v>347</v>
      </c>
      <c r="H2334" s="4" t="n">
        <v>105</v>
      </c>
      <c r="I2334" s="5" t="n">
        <v>533.3</v>
      </c>
      <c r="J2334" s="5" t="n">
        <v>194.2</v>
      </c>
      <c r="K2334" s="3" t="inlineStr">
        <is>
          <t>nan</t>
        </is>
      </c>
      <c r="L2334" s="6">
        <f>HYPERLINK("https://fin.land.naver.com/articles/2653247350", "매물Link")</f>
        <v/>
      </c>
      <c r="M2334" s="6">
        <f>HYPERLINK("https://map.naver.com/p/search/장군면 봉안리 22-215", "지도Link")</f>
        <v/>
      </c>
      <c r="N2334" s="6">
        <f>HYPERLINK("http://www.eum.go.kr/web/ar/lu/luLandDet.jsp?pnu=3611035024100220215&amp;isNoScr=script&amp;mode=search", "토지이음")</f>
        <v/>
      </c>
      <c r="O2334" s="3" t="inlineStr">
        <is>
          <t>다정가온아리</t>
        </is>
      </c>
      <c r="P2334" s="4" t="n">
        <v>1</v>
      </c>
      <c r="Q2334" s="4" t="n">
        <v>187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22-245</t>
        </is>
      </c>
      <c r="B2335" s="3" t="inlineStr">
        <is>
          <t>보전관리지역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40000</v>
      </c>
      <c r="G2335" s="4" t="n">
        <v>330</v>
      </c>
      <c r="H2335" s="4" t="n">
        <v>100</v>
      </c>
      <c r="I2335" s="5" t="n">
        <v>400</v>
      </c>
      <c r="J2335" s="5" t="n">
        <v>218.8</v>
      </c>
      <c r="K2335" s="3" t="inlineStr">
        <is>
          <t>nan</t>
        </is>
      </c>
      <c r="L2335" s="6">
        <f>HYPERLINK("https://fin.land.naver.com/articles/2653654392", "매물Link")</f>
        <v/>
      </c>
      <c r="M2335" s="6">
        <f>HYPERLINK("https://map.naver.com/p/search/장군면 봉안리 22-245", "지도Link")</f>
        <v/>
      </c>
      <c r="N2335" s="6">
        <f>HYPERLINK("http://www.eum.go.kr/web/ar/lu/luLandDet.jsp?pnu=3611035024100220245&amp;isNoScr=script&amp;mode=search", "토지이음")</f>
        <v/>
      </c>
      <c r="O2335" s="3" t="inlineStr">
        <is>
          <t>세종몽땅</t>
        </is>
      </c>
      <c r="P2335" s="4" t="n">
        <v>1</v>
      </c>
      <c r="Q2335" s="4" t="n">
        <v>320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소로한면</t>
        </is>
      </c>
    </row>
    <row r="2336">
      <c r="A2336" s="3" t="inlineStr">
        <is>
          <t>장군면 봉안리 22-67</t>
        </is>
      </c>
      <c r="B2336" s="3" t="inlineStr">
        <is>
          <t>보전관리지역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39500</v>
      </c>
      <c r="G2336" s="4" t="n">
        <v>321</v>
      </c>
      <c r="H2336" s="4" t="n">
        <v>97</v>
      </c>
      <c r="I2336" s="5" t="n">
        <v>407.2</v>
      </c>
      <c r="J2336" s="5" t="n">
        <v>194.2</v>
      </c>
      <c r="K2336" s="3" t="inlineStr">
        <is>
          <t>nan</t>
        </is>
      </c>
      <c r="L2336" s="6">
        <f>HYPERLINK("https://fin.land.naver.com/articles/2651596314", "매물Link")</f>
        <v/>
      </c>
      <c r="M2336" s="6">
        <f>HYPERLINK("https://map.naver.com/p/search/장군면 봉안리 22-67", "지도Link")</f>
        <v/>
      </c>
      <c r="N2336" s="6">
        <f>HYPERLINK("http://www.eum.go.kr/web/ar/lu/luLandDet.jsp?pnu=3611035024100220067&amp;isNoScr=script&amp;mode=search",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321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완경사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봉안리 22-71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45000</v>
      </c>
      <c r="G2337" s="4" t="n">
        <v>323</v>
      </c>
      <c r="H2337" s="4" t="n">
        <v>98</v>
      </c>
      <c r="I2337" s="5" t="n">
        <v>459.2</v>
      </c>
      <c r="J2337" s="5" t="n">
        <v>194.2</v>
      </c>
      <c r="K2337" s="3" t="inlineStr">
        <is>
          <t>프라우드힐 단독주택지</t>
        </is>
      </c>
      <c r="L2337" s="6">
        <f>HYPERLINK("https://fin.land.naver.com/articles/2652349234", "매물Link")</f>
        <v/>
      </c>
      <c r="M2337" s="6">
        <f>HYPERLINK("https://map.naver.com/p/search/장군면 봉안리 22-71", "지도Link")</f>
        <v/>
      </c>
      <c r="N2337" s="6">
        <f>HYPERLINK("http://www.eum.go.kr/web/ar/lu/luLandDet.jsp?pnu=3611035024100220071&amp;isNoScr=script&amp;mode=search", "토지이음")</f>
        <v/>
      </c>
      <c r="O2337" s="3" t="inlineStr">
        <is>
          <t>세종몽땅</t>
        </is>
      </c>
      <c r="P2337" s="4" t="n">
        <v>1</v>
      </c>
      <c r="Q2337" s="4" t="n">
        <v>323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봉안리 22-71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38000</v>
      </c>
      <c r="G2338" s="4" t="n">
        <v>398</v>
      </c>
      <c r="H2338" s="4" t="n">
        <v>120</v>
      </c>
      <c r="I2338" s="5" t="n">
        <v>316.7</v>
      </c>
      <c r="J2338" s="5" t="n">
        <v>194.2</v>
      </c>
      <c r="K2338" s="3" t="inlineStr">
        <is>
          <t>급매,행복마을 프라우드힐,다정동 인접,벙커형 주차장가능,저렴한 택지</t>
        </is>
      </c>
      <c r="L2338" s="6">
        <f>HYPERLINK("https://fin.land.naver.com/articles/2650851587", "매물Link")</f>
        <v/>
      </c>
      <c r="M2338" s="6">
        <f>HYPERLINK("https://map.naver.com/p/search/장군면 봉안리 22-71", "지도Link")</f>
        <v/>
      </c>
      <c r="N2338" s="6">
        <f>HYPERLINK("http://www.eum.go.kr/web/ar/lu/luLandDet.jsp?pnu=3611035024100220071&amp;isNoScr=script&amp;mode=search",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323</v>
      </c>
      <c r="R2338" s="3" t="inlineStr">
        <is>
          <t>지정되지않음</t>
        </is>
      </c>
      <c r="S2338" s="3" t="inlineStr">
        <is>
          <t>주거나지</t>
        </is>
      </c>
      <c r="T2338" s="3" t="inlineStr">
        <is>
          <t>완경사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봉안리 22-71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대</t>
        </is>
      </c>
      <c r="E2339" s="3" t="inlineStr">
        <is>
          <t>매매</t>
        </is>
      </c>
      <c r="F2339" s="4" t="n">
        <v>45000</v>
      </c>
      <c r="G2339" s="4" t="n">
        <v>323</v>
      </c>
      <c r="H2339" s="4" t="n">
        <v>98</v>
      </c>
      <c r="I2339" s="5" t="n">
        <v>459.2</v>
      </c>
      <c r="J2339" s="5" t="n">
        <v>194.2</v>
      </c>
      <c r="K2339" s="3" t="inlineStr">
        <is>
          <t>생명나무,장군면 프라우드힐 타운하우스 .행복도시 근접거리있어요</t>
        </is>
      </c>
      <c r="L2339" s="6">
        <f>HYPERLINK("https://fin.land.naver.com/articles/2655216556", "매물Link")</f>
        <v/>
      </c>
      <c r="M2339" s="6">
        <f>HYPERLINK("https://map.naver.com/p/search/장군면 봉안리 22-71", "지도Link")</f>
        <v/>
      </c>
      <c r="N2339" s="6">
        <f>HYPERLINK("http://www.eum.go.kr/web/ar/lu/luLandDet.jsp?pnu=3611035024100220071&amp;isNoScr=script&amp;mode=search", "토지이음")</f>
        <v/>
      </c>
      <c r="O2339" s="3" t="inlineStr">
        <is>
          <t>생명나무</t>
        </is>
      </c>
      <c r="P2339" s="4" t="n">
        <v>3</v>
      </c>
      <c r="Q2339" s="4" t="n">
        <v>323</v>
      </c>
      <c r="R2339" s="3" t="inlineStr">
        <is>
          <t>지정되지않음</t>
        </is>
      </c>
      <c r="S2339" s="3" t="inlineStr">
        <is>
          <t>주거나지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봉안리 22-74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45000</v>
      </c>
      <c r="G2340" s="4" t="n">
        <v>323</v>
      </c>
      <c r="H2340" s="4" t="n">
        <v>98</v>
      </c>
      <c r="I2340" s="5" t="n">
        <v>459.2</v>
      </c>
      <c r="J2340" s="5" t="n">
        <v>194.2</v>
      </c>
      <c r="K2340" s="3" t="inlineStr">
        <is>
          <t>세종 행복도심 대전 공주 중심, 도보 5분 생활권 속 쾌적한 단독주택</t>
        </is>
      </c>
      <c r="L2340" s="6">
        <f>HYPERLINK("https://fin.land.naver.com/articles/2650574028", "매물Link")</f>
        <v/>
      </c>
      <c r="M2340" s="6">
        <f>HYPERLINK("https://map.naver.com/p/search/장군면 봉안리 22-74", "지도Link")</f>
        <v/>
      </c>
      <c r="N2340" s="6">
        <f>HYPERLINK("http://www.eum.go.kr/web/ar/lu/luLandDet.jsp?pnu=3611035024100220074&amp;isNoScr=script&amp;mode=search",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323</v>
      </c>
      <c r="R2340" s="3" t="inlineStr">
        <is>
          <t>지정되지않음</t>
        </is>
      </c>
      <c r="S2340" s="3" t="inlineStr">
        <is>
          <t>주거나지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봉안리 22-95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40000</v>
      </c>
      <c r="G2341" s="4" t="n">
        <v>333</v>
      </c>
      <c r="H2341" s="4" t="n">
        <v>101</v>
      </c>
      <c r="I2341" s="5" t="n">
        <v>396</v>
      </c>
      <c r="J2341" s="5" t="n">
        <v>224.5</v>
      </c>
      <c r="K2341" s="3" t="inlineStr">
        <is>
          <t>전망 좋고 세종행복도시 생활권 누릴 수 있는 전원주택지 매도</t>
        </is>
      </c>
      <c r="L2341" s="6">
        <f>HYPERLINK("https://fin.land.naver.com/articles/2650289099", "매물Link")</f>
        <v/>
      </c>
      <c r="M2341" s="6">
        <f>HYPERLINK("https://map.naver.com/p/search/장군면 봉안리 22-95", "지도Link")</f>
        <v/>
      </c>
      <c r="N2341" s="6">
        <f>HYPERLINK("http://www.eum.go.kr/web/ar/lu/luLandDet.jsp?pnu=3611035024100220095&amp;isNoScr=script&amp;mode=search", "토지이음")</f>
        <v/>
      </c>
      <c r="O2341" s="3" t="inlineStr">
        <is>
          <t>번영</t>
        </is>
      </c>
      <c r="P2341" s="4" t="n">
        <v>1</v>
      </c>
      <c r="Q2341" s="4" t="n">
        <v>333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소로한면</t>
        </is>
      </c>
    </row>
    <row r="2342">
      <c r="A2342" s="3" t="inlineStr">
        <is>
          <t>장군면 봉안리 233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32000</v>
      </c>
      <c r="G2342" s="4" t="n">
        <v>873</v>
      </c>
      <c r="H2342" s="4" t="n">
        <v>264</v>
      </c>
      <c r="I2342" s="5" t="n">
        <v>121.2</v>
      </c>
      <c r="J2342" s="5" t="n">
        <v>115.7</v>
      </c>
      <c r="K2342" s="3" t="inlineStr">
        <is>
          <t>계획관리지역, 급매</t>
        </is>
      </c>
      <c r="L2342" s="6">
        <f>HYPERLINK("https://fin.land.naver.com/articles/2655607927", "매물Link")</f>
        <v/>
      </c>
      <c r="M2342" s="6">
        <f>HYPERLINK("https://map.naver.com/p/search/장군면 봉안리 233", "지도Link")</f>
        <v/>
      </c>
      <c r="N2342" s="6">
        <f>HYPERLINK("http://www.eum.go.kr/web/ar/lu/luLandDet.jsp?pnu=3611035024102330000&amp;isNoScr=script&amp;mode=search", "토지이음")</f>
        <v/>
      </c>
      <c r="O2342" s="3" t="inlineStr">
        <is>
          <t>세종엘리트</t>
        </is>
      </c>
      <c r="P2342" s="4" t="n">
        <v>1</v>
      </c>
      <c r="Q2342" s="4" t="n">
        <v>873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봉안리 25-5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220000</v>
      </c>
      <c r="G2343" s="4" t="n">
        <v>1455</v>
      </c>
      <c r="H2343" s="4" t="n">
        <v>440</v>
      </c>
      <c r="I2343" s="5" t="n">
        <v>500</v>
      </c>
      <c r="J2343" s="5" t="n">
        <v>147.7</v>
      </c>
      <c r="K2343" s="3" t="inlineStr">
        <is>
          <t>카페.사무실등 다용도 활용이 가능한 넉넉한 부지. 전망 굿</t>
        </is>
      </c>
      <c r="L2343" s="6">
        <f>HYPERLINK("https://fin.land.naver.com/articles/2650708655", "매물Link")</f>
        <v/>
      </c>
      <c r="M2343" s="6">
        <f>HYPERLINK("https://map.naver.com/p/search/장군면 봉안리 25-5", "지도Link")</f>
        <v/>
      </c>
      <c r="N2343" s="6">
        <f>HYPERLINK("http://www.eum.go.kr/web/ar/lu/luLandDet.jsp?pnu=3611035024100250005&amp;isNoScr=script&amp;mode=search", "토지이음")</f>
        <v/>
      </c>
      <c r="O2343" s="3" t="inlineStr">
        <is>
          <t>해마루</t>
        </is>
      </c>
      <c r="P2343" s="4" t="n">
        <v>1</v>
      </c>
      <c r="Q2343" s="4" t="n">
        <v>1455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완경사</t>
        </is>
      </c>
      <c r="U2343" s="3" t="inlineStr">
        <is>
          <t>세로장방</t>
        </is>
      </c>
      <c r="V2343" s="3" t="inlineStr">
        <is>
          <t>세로한면(가)</t>
        </is>
      </c>
    </row>
    <row r="2344">
      <c r="A2344" s="3" t="inlineStr">
        <is>
          <t>장군면 봉안리 25-5</t>
        </is>
      </c>
      <c r="B2344" s="3" t="inlineStr">
        <is>
          <t>계획관리지역</t>
        </is>
      </c>
      <c r="C2344" s="3" t="inlineStr">
        <is>
          <t>전</t>
        </is>
      </c>
      <c r="D2344" s="3" t="inlineStr">
        <is>
          <t>전</t>
        </is>
      </c>
      <c r="E2344" s="3" t="inlineStr">
        <is>
          <t>매매</t>
        </is>
      </c>
      <c r="F2344" s="4" t="n">
        <v>198000</v>
      </c>
      <c r="G2344" s="4" t="n">
        <v>1455</v>
      </c>
      <c r="H2344" s="4" t="n">
        <v>440</v>
      </c>
      <c r="I2344" s="5" t="n">
        <v>450</v>
      </c>
      <c r="J2344" s="5" t="n">
        <v>147.7</v>
      </c>
      <c r="K2344" s="3" t="inlineStr">
        <is>
          <t>세종시2생활권 바로옆 계획관리지역 전</t>
        </is>
      </c>
      <c r="L2344" s="6">
        <f>HYPERLINK("https://fin.land.naver.com/articles/2650896765", "매물Link")</f>
        <v/>
      </c>
      <c r="M2344" s="6">
        <f>HYPERLINK("https://map.naver.com/p/search/장군면 봉안리 25-5", "지도Link")</f>
        <v/>
      </c>
      <c r="N2344" s="6">
        <f>HYPERLINK("http://www.eum.go.kr/web/ar/lu/luLandDet.jsp?pnu=3611035024100250005&amp;isNoScr=script&amp;mode=search", "토지이음")</f>
        <v/>
      </c>
      <c r="O2344" s="3" t="inlineStr">
        <is>
          <t>세종천지</t>
        </is>
      </c>
      <c r="P2344" s="4" t="n">
        <v>1</v>
      </c>
      <c r="Q2344" s="4" t="n">
        <v>1455</v>
      </c>
      <c r="R2344" s="3" t="inlineStr">
        <is>
          <t>지정되지않음</t>
        </is>
      </c>
      <c r="S2344" s="3" t="inlineStr">
        <is>
          <t>전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봉안리 25-6</t>
        </is>
      </c>
      <c r="B2345" s="3" t="inlineStr">
        <is>
          <t>계획관리지역</t>
        </is>
      </c>
      <c r="C2345" s="3" t="inlineStr">
        <is>
          <t>전</t>
        </is>
      </c>
      <c r="D2345" s="3" t="inlineStr">
        <is>
          <t>전</t>
        </is>
      </c>
      <c r="E2345" s="3" t="inlineStr">
        <is>
          <t>매매</t>
        </is>
      </c>
      <c r="F2345" s="4" t="n">
        <v>158000</v>
      </c>
      <c r="G2345" s="4" t="n">
        <v>1157</v>
      </c>
      <c r="H2345" s="4" t="n">
        <v>350</v>
      </c>
      <c r="I2345" s="5" t="n">
        <v>451.4</v>
      </c>
      <c r="J2345" s="5" t="n">
        <v>147.7</v>
      </c>
      <c r="K2345" s="3" t="inlineStr">
        <is>
          <t>세종시2생활권 바로옆 계획관리지역 전</t>
        </is>
      </c>
      <c r="L2345" s="6">
        <f>HYPERLINK("https://fin.land.naver.com/articles/2650698708", "매물Link")</f>
        <v/>
      </c>
      <c r="M2345" s="6">
        <f>HYPERLINK("https://map.naver.com/p/search/장군면 봉안리 25-6", "지도Link")</f>
        <v/>
      </c>
      <c r="N2345" s="6">
        <f>HYPERLINK("http://www.eum.go.kr/web/ar/lu/luLandDet.jsp?pnu=3611035024100250006&amp;isNoScr=script&amp;mode=search", "토지이음")</f>
        <v/>
      </c>
      <c r="O2345" s="3" t="inlineStr">
        <is>
          <t>세종천지</t>
        </is>
      </c>
      <c r="P2345" s="4" t="n">
        <v>1</v>
      </c>
      <c r="Q2345" s="4" t="n">
        <v>1157</v>
      </c>
      <c r="R2345" s="3" t="inlineStr">
        <is>
          <t>지정되지않음</t>
        </is>
      </c>
      <c r="S2345" s="3" t="inlineStr">
        <is>
          <t>전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봉안리 250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160000</v>
      </c>
      <c r="G2346" s="4" t="n">
        <v>1964</v>
      </c>
      <c r="H2346" s="4" t="n">
        <v>594</v>
      </c>
      <c r="I2346" s="5" t="n">
        <v>269.4</v>
      </c>
      <c r="J2346" s="5" t="n">
        <v>146.3</v>
      </c>
      <c r="K2346" s="3" t="inlineStr">
        <is>
          <t>조율가능 진입로길게접함 카페 음식점 창고 다용도</t>
        </is>
      </c>
      <c r="L2346" s="6">
        <f>HYPERLINK("https://fin.land.naver.com/articles/2653067576", "매물Link")</f>
        <v/>
      </c>
      <c r="M2346" s="6">
        <f>HYPERLINK("https://map.naver.com/p/search/장군면 봉안리 250", "지도Link")</f>
        <v/>
      </c>
      <c r="N2346" s="6">
        <f>HYPERLINK("http://www.eum.go.kr/web/ar/lu/luLandDet.jsp?pnu=3611035024102500000&amp;isNoScr=script&amp;mode=search", "토지이음")</f>
        <v/>
      </c>
      <c r="O2346" s="3" t="inlineStr">
        <is>
          <t>세종스타</t>
        </is>
      </c>
      <c r="P2346" s="4" t="n">
        <v>2</v>
      </c>
      <c r="Q2346" s="4" t="n">
        <v>1964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봉안리 255-2</t>
        </is>
      </c>
      <c r="B2347" s="3" t="inlineStr">
        <is>
          <t>계획관리지역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69000</v>
      </c>
      <c r="G2347" s="4" t="n">
        <v>780</v>
      </c>
      <c r="H2347" s="4" t="n">
        <v>236</v>
      </c>
      <c r="I2347" s="5" t="n">
        <v>292.4</v>
      </c>
      <c r="J2347" s="5" t="n">
        <v>239.6</v>
      </c>
      <c r="K2347" s="3" t="inlineStr">
        <is>
          <t>장군면 봉안리 6m도로접한 근린상가적지</t>
        </is>
      </c>
      <c r="L2347" s="6">
        <f>HYPERLINK("https://fin.land.naver.com/articles/2652945883", "매물Link")</f>
        <v/>
      </c>
      <c r="M2347" s="6">
        <f>HYPERLINK("https://map.naver.com/p/search/장군면 봉안리 255-2", "지도Link")</f>
        <v/>
      </c>
      <c r="N2347" s="6">
        <f>HYPERLINK("http://www.eum.go.kr/web/ar/lu/luLandDet.jsp?pnu=3611035024102550002&amp;isNoScr=script&amp;mode=search", "토지이음")</f>
        <v/>
      </c>
      <c r="O2347" s="3" t="inlineStr">
        <is>
          <t>세종천지</t>
        </is>
      </c>
      <c r="P2347" s="4" t="n">
        <v>1</v>
      </c>
      <c r="Q2347" s="4" t="n">
        <v>584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봉안리 269-1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2700000</v>
      </c>
      <c r="G2348" s="4" t="n">
        <v>77796</v>
      </c>
      <c r="H2348" s="4" t="n">
        <v>23533</v>
      </c>
      <c r="I2348" s="5" t="n">
        <v>114.7</v>
      </c>
      <c r="J2348" s="5" t="n">
        <v>42.6</v>
      </c>
      <c r="K2348" s="3" t="inlineStr">
        <is>
          <t>2차선접,나즈막한 야산,세종시인접</t>
        </is>
      </c>
      <c r="L2348" s="6">
        <f>HYPERLINK("https://fin.land.naver.com/articles/2652956966", "매물Link")</f>
        <v/>
      </c>
      <c r="M2348" s="6">
        <f>HYPERLINK("https://map.naver.com/p/search/장군면 봉안리 269-1", "지도Link")</f>
        <v/>
      </c>
      <c r="N2348" s="6">
        <f>HYPERLINK("http://www.eum.go.kr/web/ar/lu/luLandDet.jsp?pnu=3611035024102690001&amp;isNoScr=script&amp;mode=search", "토지이음")</f>
        <v/>
      </c>
      <c r="O2348" s="3" t="inlineStr">
        <is>
          <t>좋은터</t>
        </is>
      </c>
      <c r="P2348" s="4" t="n">
        <v>2</v>
      </c>
      <c r="Q2348" s="4" t="n">
        <v>76431</v>
      </c>
      <c r="R2348" s="3" t="inlineStr">
        <is>
          <t>지정되지않음</t>
        </is>
      </c>
      <c r="S2348" s="3" t="inlineStr">
        <is>
          <t>자연림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봉안리 269-6</t>
        </is>
      </c>
      <c r="B2349" s="3" t="inlineStr">
        <is>
          <t>보전관리지역</t>
        </is>
      </c>
      <c r="C2349" s="3" t="inlineStr">
        <is>
          <t>대</t>
        </is>
      </c>
      <c r="D2349" s="3" t="inlineStr">
        <is>
          <t>대</t>
        </is>
      </c>
      <c r="E2349" s="3" t="inlineStr">
        <is>
          <t>매매</t>
        </is>
      </c>
      <c r="F2349" s="4" t="n">
        <v>250000</v>
      </c>
      <c r="G2349" s="4" t="n">
        <v>2090</v>
      </c>
      <c r="H2349" s="4" t="n">
        <v>632</v>
      </c>
      <c r="I2349" s="5" t="n">
        <v>395.6</v>
      </c>
      <c r="J2349" s="5" t="n">
        <v>289.5</v>
      </c>
      <c r="K2349" s="3" t="inlineStr">
        <is>
          <t>고운동 5분거리, 단층 건물 두동 임대중</t>
        </is>
      </c>
      <c r="L2349" s="6">
        <f>HYPERLINK("https://fin.land.naver.com/articles/2651159946", "매물Link")</f>
        <v/>
      </c>
      <c r="M2349" s="6">
        <f>HYPERLINK("https://map.naver.com/p/search/장군면 봉안리 269-6", "지도Link")</f>
        <v/>
      </c>
      <c r="N2349" s="6">
        <f>HYPERLINK("http://www.eum.go.kr/web/ar/lu/luLandDet.jsp?pnu=3611035024102690006&amp;isNoScr=script&amp;mode=search",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2090</v>
      </c>
      <c r="R2349" s="3" t="inlineStr">
        <is>
          <t>지정되지않음</t>
        </is>
      </c>
      <c r="S2349" s="3" t="inlineStr">
        <is>
          <t>상업용</t>
        </is>
      </c>
      <c r="T2349" s="3" t="inlineStr">
        <is>
          <t>평지</t>
        </is>
      </c>
      <c r="U2349" s="3" t="inlineStr">
        <is>
          <t>사다리형</t>
        </is>
      </c>
      <c r="V2349" s="3" t="inlineStr">
        <is>
          <t>소로한면</t>
        </is>
      </c>
    </row>
    <row r="2350">
      <c r="A2350" s="3" t="inlineStr">
        <is>
          <t>장군면 봉안리 28-2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95000</v>
      </c>
      <c r="G2350" s="4" t="n">
        <v>658</v>
      </c>
      <c r="H2350" s="4" t="n">
        <v>199</v>
      </c>
      <c r="I2350" s="5" t="n">
        <v>477.4</v>
      </c>
      <c r="J2350" s="5" t="n">
        <v>172.6</v>
      </c>
      <c r="K2350" s="3" t="inlineStr">
        <is>
          <t>급매,도로접 계획관리지역 조망권뷰 최상, 알토란 토지 매매,투자용 추천</t>
        </is>
      </c>
      <c r="L2350" s="6">
        <f>HYPERLINK("https://fin.land.naver.com/articles/2653433301", "매물Link")</f>
        <v/>
      </c>
      <c r="M2350" s="6">
        <f>HYPERLINK("https://map.naver.com/p/search/장군면 봉안리 28-2", "지도Link")</f>
        <v/>
      </c>
      <c r="N2350" s="6">
        <f>HYPERLINK("http://www.eum.go.kr/web/ar/lu/luLandDet.jsp?pnu=3611035024100280002&amp;isNoScr=script&amp;mode=search", "토지이음")</f>
        <v/>
      </c>
      <c r="O2350" s="3" t="inlineStr">
        <is>
          <t>고운맘</t>
        </is>
      </c>
      <c r="P2350" s="4" t="n">
        <v>1</v>
      </c>
      <c r="Q2350" s="4" t="n">
        <v>658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봉안리 282-1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150000</v>
      </c>
      <c r="G2351" s="4" t="n">
        <v>1636</v>
      </c>
      <c r="H2351" s="4" t="n">
        <v>495</v>
      </c>
      <c r="I2351" s="5" t="n">
        <v>303</v>
      </c>
      <c r="J2351" s="5" t="n">
        <v>104.1</v>
      </c>
      <c r="K2351" s="3" t="inlineStr">
        <is>
          <t>전원주택 최적지농막포함</t>
        </is>
      </c>
      <c r="L2351" s="6">
        <f>HYPERLINK("https://fin.land.naver.com/articles/2651569617", "매물Link")</f>
        <v/>
      </c>
      <c r="M2351" s="6">
        <f>HYPERLINK("https://map.naver.com/p/search/장군면 봉안리 282-1", "지도Link")</f>
        <v/>
      </c>
      <c r="N2351" s="6">
        <f>HYPERLINK("http://www.eum.go.kr/web/ar/lu/luLandDet.jsp?pnu=3611035024102820001&amp;isNoScr=script&amp;mode=search", "토지이음")</f>
        <v/>
      </c>
      <c r="O2351" s="3" t="inlineStr">
        <is>
          <t>몰리브</t>
        </is>
      </c>
      <c r="P2351" s="4" t="n">
        <v>1</v>
      </c>
      <c r="Q2351" s="4" t="n">
        <v>1636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세로한면(불)</t>
        </is>
      </c>
    </row>
    <row r="2352">
      <c r="A2352" s="3" t="inlineStr">
        <is>
          <t>장군면 봉안리 287-2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190000</v>
      </c>
      <c r="G2352" s="4" t="n">
        <v>4637</v>
      </c>
      <c r="H2352" s="4" t="n">
        <v>1403</v>
      </c>
      <c r="I2352" s="5" t="n">
        <v>135.4</v>
      </c>
      <c r="J2352" s="5" t="n">
        <v>174.2</v>
      </c>
      <c r="K2352" s="3" t="inlineStr">
        <is>
          <t>장군면 봉안리 계획관리 잡종지 매매</t>
        </is>
      </c>
      <c r="L2352" s="6">
        <f>HYPERLINK("https://fin.land.naver.com/articles/2653974780", "매물Link")</f>
        <v/>
      </c>
      <c r="M2352" s="6">
        <f>HYPERLINK("https://map.naver.com/p/search/장군면 봉안리 287-2", "지도Link")</f>
        <v/>
      </c>
      <c r="N2352" s="6">
        <f>HYPERLINK("http://www.eum.go.kr/web/ar/lu/luLandDet.jsp?pnu=3611035024102870002&amp;isNoScr=script&amp;mode=search", "토지이음")</f>
        <v/>
      </c>
      <c r="O2352" s="3" t="inlineStr">
        <is>
          <t>갤러리</t>
        </is>
      </c>
      <c r="P2352" s="4" t="n">
        <v>1</v>
      </c>
      <c r="Q2352" s="4" t="n">
        <v>3931</v>
      </c>
      <c r="R2352" s="3" t="inlineStr">
        <is>
          <t>지정되지않음</t>
        </is>
      </c>
      <c r="S2352" s="3" t="inlineStr">
        <is>
          <t>전</t>
        </is>
      </c>
      <c r="T2352" s="3" t="inlineStr">
        <is>
          <t>완경사</t>
        </is>
      </c>
      <c r="U2352" s="3" t="inlineStr">
        <is>
          <t>부정형</t>
        </is>
      </c>
      <c r="V2352" s="3" t="inlineStr">
        <is>
          <t>세로한면(불)</t>
        </is>
      </c>
    </row>
    <row r="2353">
      <c r="A2353" s="3" t="inlineStr">
        <is>
          <t>장군면 봉안리 287-2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190000</v>
      </c>
      <c r="G2353" s="4" t="n">
        <v>4356</v>
      </c>
      <c r="H2353" s="4" t="n">
        <v>1318</v>
      </c>
      <c r="I2353" s="5" t="n">
        <v>144.2</v>
      </c>
      <c r="J2353" s="5" t="n">
        <v>174.2</v>
      </c>
      <c r="K2353" s="3" t="inlineStr">
        <is>
          <t>공시지가로 매매하는 장군면 봉안리 계획관리지역 잡종지 급매합니다</t>
        </is>
      </c>
      <c r="L2353" s="6">
        <f>HYPERLINK("https://fin.land.naver.com/articles/2655557008", "매물Link")</f>
        <v/>
      </c>
      <c r="M2353" s="6">
        <f>HYPERLINK("https://map.naver.com/p/search/장군면 봉안리 287-2", "지도Link")</f>
        <v/>
      </c>
      <c r="N2353" s="6">
        <f>HYPERLINK("http://www.eum.go.kr/web/ar/lu/luLandDet.jsp?pnu=3611035024102870002&amp;isNoScr=script&amp;mode=search", "토지이음")</f>
        <v/>
      </c>
      <c r="O2353" s="3" t="inlineStr">
        <is>
          <t>스마일세종</t>
        </is>
      </c>
      <c r="P2353" s="4" t="n">
        <v>1</v>
      </c>
      <c r="Q2353" s="4" t="n">
        <v>3931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세로한면(불)</t>
        </is>
      </c>
    </row>
    <row r="2354">
      <c r="A2354" s="3" t="inlineStr">
        <is>
          <t>장군면 봉안리 295-11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65000</v>
      </c>
      <c r="G2354" s="4" t="n">
        <v>663</v>
      </c>
      <c r="H2354" s="4" t="n">
        <v>201</v>
      </c>
      <c r="I2354" s="5" t="n">
        <v>323.4</v>
      </c>
      <c r="J2354" s="5" t="n">
        <v>180.1</v>
      </c>
      <c r="K2354" s="3" t="inlineStr">
        <is>
          <t>세종시 경계지역 계획관리지역 급매 저렴한 땅</t>
        </is>
      </c>
      <c r="L2354" s="6">
        <f>HYPERLINK("https://fin.land.naver.com/articles/2653496935", "매물Link")</f>
        <v/>
      </c>
      <c r="M2354" s="6">
        <f>HYPERLINK("https://map.naver.com/p/search/장군면 봉안리 295-11", "지도Link")</f>
        <v/>
      </c>
      <c r="N2354" s="6">
        <f>HYPERLINK("http://www.eum.go.kr/web/ar/lu/luLandDet.jsp?pnu=3611035024102950011&amp;isNoScr=script&amp;mode=search", "토지이음")</f>
        <v/>
      </c>
      <c r="O2354" s="3" t="inlineStr">
        <is>
          <t>상상</t>
        </is>
      </c>
      <c r="P2354" s="4" t="n">
        <v>1</v>
      </c>
      <c r="Q2354" s="4" t="n">
        <v>537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봉안리 306-2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150000</v>
      </c>
      <c r="G2355" s="4" t="n">
        <v>1133</v>
      </c>
      <c r="H2355" s="4" t="n">
        <v>343</v>
      </c>
      <c r="I2355" s="5" t="n">
        <v>437.3</v>
      </c>
      <c r="J2355" s="5" t="n">
        <v>96.3</v>
      </c>
      <c r="K2355" s="3" t="inlineStr">
        <is>
          <t>세종 건설지역 초인접 봉안리 상권 활성화된 토지</t>
        </is>
      </c>
      <c r="L2355" s="6">
        <f>HYPERLINK("https://fin.land.naver.com/articles/2652417766", "매물Link")</f>
        <v/>
      </c>
      <c r="M2355" s="6">
        <f>HYPERLINK("https://map.naver.com/p/search/장군면 봉안리 306-2", "지도Link")</f>
        <v/>
      </c>
      <c r="N2355" s="6">
        <f>HYPERLINK("http://www.eum.go.kr/web/ar/lu/luLandDet.jsp?pnu=3611035024103060002&amp;isNoScr=script&amp;mode=search", "토지이음")</f>
        <v/>
      </c>
      <c r="O2355" s="3" t="inlineStr">
        <is>
          <t>강나루</t>
        </is>
      </c>
      <c r="P2355" s="4" t="n">
        <v>1</v>
      </c>
      <c r="Q2355" s="4" t="n">
        <v>1133</v>
      </c>
      <c r="R2355" s="3" t="inlineStr">
        <is>
          <t>지정되지않음</t>
        </is>
      </c>
      <c r="S2355" s="3" t="inlineStr">
        <is>
          <t>토지임야</t>
        </is>
      </c>
      <c r="T2355" s="3" t="inlineStr">
        <is>
          <t>완경사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봉안리 324-4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56700</v>
      </c>
      <c r="G2356" s="4" t="n">
        <v>535</v>
      </c>
      <c r="H2356" s="4" t="n">
        <v>162</v>
      </c>
      <c r="I2356" s="5" t="n">
        <v>350</v>
      </c>
      <c r="J2356" s="5" t="n">
        <v>190.1</v>
      </c>
      <c r="K2356" s="3" t="inlineStr">
        <is>
          <t>지대가 높아 전망이 좋고, 도로 접면도 70m 이상 나오는 계획관리지역</t>
        </is>
      </c>
      <c r="L2356" s="6">
        <f>HYPERLINK("https://fin.land.naver.com/articles/2652985142", "매물Link")</f>
        <v/>
      </c>
      <c r="M2356" s="6">
        <f>HYPERLINK("https://map.naver.com/p/search/장군면 봉안리 324-4", "지도Link")</f>
        <v/>
      </c>
      <c r="N2356" s="6">
        <f>HYPERLINK("http://www.eum.go.kr/web/ar/lu/luLandDet.jsp?pnu=3611035024103240004&amp;isNoScr=script&amp;mode=search", "토지이음")</f>
        <v/>
      </c>
      <c r="O2356" s="3" t="inlineStr">
        <is>
          <t>스마일세종</t>
        </is>
      </c>
      <c r="P2356" s="4" t="n">
        <v>1</v>
      </c>
      <c r="Q2356" s="4" t="n">
        <v>1609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봉안리 329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1281600</v>
      </c>
      <c r="G2357" s="4" t="n">
        <v>5295</v>
      </c>
      <c r="H2357" s="4" t="n">
        <v>1602</v>
      </c>
      <c r="I2357" s="5" t="n">
        <v>800</v>
      </c>
      <c r="J2357" s="5" t="n">
        <v>497.5</v>
      </c>
      <c r="K2357" s="3" t="inlineStr">
        <is>
          <t>대형상가 개발부지 I 주변 개발에 따른 향후 투자 기대</t>
        </is>
      </c>
      <c r="L2357" s="6">
        <f>HYPERLINK("https://fin.land.naver.com/articles/2655482475", "매물Link")</f>
        <v/>
      </c>
      <c r="M2357" s="6">
        <f>HYPERLINK("https://map.naver.com/p/search/장군면 봉안리 329", "지도Link")</f>
        <v/>
      </c>
      <c r="N2357" s="6">
        <f>HYPERLINK("http://www.eum.go.kr/web/ar/lu/luLandDet.jsp?pnu=3611035024103290000&amp;isNoScr=script&amp;mode=search", "토지이음")</f>
        <v/>
      </c>
      <c r="O2357" s="3" t="inlineStr">
        <is>
          <t>다복  사무소</t>
        </is>
      </c>
      <c r="P2357" s="4" t="n">
        <v>1</v>
      </c>
      <c r="Q2357" s="4" t="n">
        <v>865</v>
      </c>
      <c r="R2357" s="3" t="inlineStr">
        <is>
          <t>지정되지않음</t>
        </is>
      </c>
      <c r="S2357" s="3" t="inlineStr">
        <is>
          <t>상업용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358-1</t>
        </is>
      </c>
      <c r="B2358" s="3" t="inlineStr">
        <is>
          <t>농림지역</t>
        </is>
      </c>
      <c r="C2358" s="3" t="inlineStr">
        <is>
          <t>답</t>
        </is>
      </c>
      <c r="D2358" s="3" t="inlineStr">
        <is>
          <t>답</t>
        </is>
      </c>
      <c r="E2358" s="3" t="inlineStr">
        <is>
          <t>매매</t>
        </is>
      </c>
      <c r="F2358" s="4" t="n">
        <v>230000</v>
      </c>
      <c r="G2358" s="4" t="n">
        <v>3045</v>
      </c>
      <c r="H2358" s="4" t="n">
        <v>921</v>
      </c>
      <c r="I2358" s="5" t="n">
        <v>249.7</v>
      </c>
      <c r="J2358" s="5" t="n">
        <v>58.1</v>
      </c>
      <c r="K2358" s="3" t="inlineStr">
        <is>
          <t>장군면 봉안교차로 인근 현재  밭으로 사용중 창고추천</t>
        </is>
      </c>
      <c r="L2358" s="6">
        <f>HYPERLINK("https://fin.land.naver.com/articles/2654898583", "매물Link")</f>
        <v/>
      </c>
      <c r="M2358" s="6">
        <f>HYPERLINK("https://map.naver.com/p/search/장군면 봉안리 358-1", "지도Link")</f>
        <v/>
      </c>
      <c r="N2358" s="6">
        <f>HYPERLINK("http://www.eum.go.kr/web/ar/lu/luLandDet.jsp?pnu=3611035024103580001&amp;isNoScr=script&amp;mode=search", "토지이음")</f>
        <v/>
      </c>
      <c r="O2358" s="3" t="inlineStr">
        <is>
          <t>플러스자이합동</t>
        </is>
      </c>
      <c r="P2358" s="4" t="n">
        <v>1</v>
      </c>
      <c r="Q2358" s="4" t="n">
        <v>3045</v>
      </c>
      <c r="R2358" s="3" t="inlineStr">
        <is>
          <t>지정되지않음</t>
        </is>
      </c>
      <c r="S2358" s="3" t="inlineStr">
        <is>
          <t>답</t>
        </is>
      </c>
      <c r="T2358" s="3" t="inlineStr">
        <is>
          <t>평지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363-2</t>
        </is>
      </c>
      <c r="B2359" s="3" t="inlineStr">
        <is>
          <t>농림지역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194000</v>
      </c>
      <c r="G2359" s="4" t="n">
        <v>1604</v>
      </c>
      <c r="H2359" s="4" t="n">
        <v>485</v>
      </c>
      <c r="I2359" s="5" t="n">
        <v>400</v>
      </c>
      <c r="J2359" s="5" t="n">
        <v>58.7</v>
      </c>
      <c r="K2359" s="3" t="inlineStr">
        <is>
          <t>봉안 교차로 인접</t>
        </is>
      </c>
      <c r="L2359" s="6">
        <f>HYPERLINK("https://fin.land.naver.com/articles/2652284051", "매물Link")</f>
        <v/>
      </c>
      <c r="M2359" s="6">
        <f>HYPERLINK("https://map.naver.com/p/search/장군면 봉안리 363-2", "지도Link")</f>
        <v/>
      </c>
      <c r="N2359" s="6">
        <f>HYPERLINK("http://www.eum.go.kr/web/ar/lu/luLandDet.jsp?pnu=3611035024103630002&amp;isNoScr=script&amp;mode=search",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1604</v>
      </c>
      <c r="R2359" s="3" t="inlineStr">
        <is>
          <t>지정되지않음</t>
        </is>
      </c>
      <c r="S2359" s="3" t="inlineStr">
        <is>
          <t>답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4-15</t>
        </is>
      </c>
      <c r="B2360" s="3" t="inlineStr">
        <is>
          <t>생산관리지역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53000</v>
      </c>
      <c r="G2360" s="4" t="n">
        <v>951</v>
      </c>
      <c r="H2360" s="4" t="n">
        <v>288</v>
      </c>
      <c r="I2360" s="5" t="n">
        <v>184</v>
      </c>
      <c r="J2360" s="5" t="n">
        <v>119.4</v>
      </c>
      <c r="K2360" s="3" t="inlineStr">
        <is>
          <t>세종 신도시 접근성과 뷰가 좋은 택지조성지 매매</t>
        </is>
      </c>
      <c r="L2360" s="6">
        <f>HYPERLINK("https://fin.land.naver.com/articles/2650189060", "매물Link")</f>
        <v/>
      </c>
      <c r="M2360" s="6">
        <f>HYPERLINK("https://map.naver.com/p/search/장군면 봉안리 4-15", "지도Link")</f>
        <v/>
      </c>
      <c r="N2360" s="6">
        <f>HYPERLINK("http://www.eum.go.kr/web/ar/lu/luLandDet.jsp?pnu=3611035024100040015&amp;isNoScr=script&amp;mode=search", "토지이음")</f>
        <v/>
      </c>
      <c r="O2360" s="3" t="inlineStr">
        <is>
          <t>세종비전행정사</t>
        </is>
      </c>
      <c r="P2360" s="4" t="n">
        <v>1</v>
      </c>
      <c r="Q2360" s="4" t="n">
        <v>951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4-20</t>
        </is>
      </c>
      <c r="B2361" s="3" t="inlineStr">
        <is>
          <t>생산관리지역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49000</v>
      </c>
      <c r="G2361" s="4" t="n">
        <v>1157</v>
      </c>
      <c r="H2361" s="4" t="n">
        <v>350</v>
      </c>
      <c r="I2361" s="5" t="n">
        <v>140</v>
      </c>
      <c r="J2361" s="5" t="n">
        <v>121.9</v>
      </c>
      <c r="K2361" s="3" t="inlineStr">
        <is>
          <t>nan</t>
        </is>
      </c>
      <c r="L2361" s="6">
        <f>HYPERLINK("https://fin.land.naver.com/articles/2653570365", "매물Link")</f>
        <v/>
      </c>
      <c r="M2361" s="6">
        <f>HYPERLINK("https://map.naver.com/p/search/장군면 봉안리 4-20", "지도Link")</f>
        <v/>
      </c>
      <c r="N2361" s="6">
        <f>HYPERLINK("http://www.eum.go.kr/web/ar/lu/luLandDet.jsp?pnu=3611035024100040020&amp;isNoScr=script&amp;mode=search", "토지이음")</f>
        <v/>
      </c>
      <c r="O2361" s="3" t="inlineStr">
        <is>
          <t>보람최고</t>
        </is>
      </c>
      <c r="P2361" s="4" t="n">
        <v>1</v>
      </c>
      <c r="Q2361" s="4" t="n">
        <v>976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4-20</t>
        </is>
      </c>
      <c r="B2362" s="3" t="inlineStr">
        <is>
          <t>생산관리지역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14000</v>
      </c>
      <c r="G2362" s="4" t="n">
        <v>367</v>
      </c>
      <c r="H2362" s="4" t="n">
        <v>111</v>
      </c>
      <c r="I2362" s="5" t="n">
        <v>126.1</v>
      </c>
      <c r="J2362" s="5" t="n">
        <v>121.9</v>
      </c>
      <c r="K2362" s="3" t="inlineStr">
        <is>
          <t>급매 , 분할매매, 120만원p, 도로지분 12p 포함, 주말농장 추천</t>
        </is>
      </c>
      <c r="L2362" s="6">
        <f>HYPERLINK("https://fin.land.naver.com/articles/2650991301", "매물Link")</f>
        <v/>
      </c>
      <c r="M2362" s="6">
        <f>HYPERLINK("https://map.naver.com/p/search/장군면 봉안리 4-20", "지도Link")</f>
        <v/>
      </c>
      <c r="N2362" s="6">
        <f>HYPERLINK("http://www.eum.go.kr/web/ar/lu/luLandDet.jsp?pnu=3611035024100040020&amp;isNoScr=script&amp;mode=search", "토지이음")</f>
        <v/>
      </c>
      <c r="O2362" s="3" t="inlineStr">
        <is>
          <t>수자인시티</t>
        </is>
      </c>
      <c r="P2362" s="4" t="n">
        <v>2</v>
      </c>
      <c r="Q2362" s="4" t="n">
        <v>976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봉안리 4-20</t>
        </is>
      </c>
      <c r="B2363" s="3" t="inlineStr">
        <is>
          <t>생산관리지역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42000</v>
      </c>
      <c r="G2363" s="4" t="n">
        <v>1157</v>
      </c>
      <c r="H2363" s="4" t="n">
        <v>350</v>
      </c>
      <c r="I2363" s="5" t="n">
        <v>120</v>
      </c>
      <c r="J2363" s="5" t="n">
        <v>121.9</v>
      </c>
      <c r="K2363" s="3" t="inlineStr">
        <is>
          <t>급매 행복도시인접한전원주택지 분할매매가능 도로지분포함</t>
        </is>
      </c>
      <c r="L2363" s="6">
        <f>HYPERLINK("https://fin.land.naver.com/articles/2654842048", "매물Link")</f>
        <v/>
      </c>
      <c r="M2363" s="6">
        <f>HYPERLINK("https://map.naver.com/p/search/장군면 봉안리 4-20", "지도Link")</f>
        <v/>
      </c>
      <c r="N2363" s="6">
        <f>HYPERLINK("http://www.eum.go.kr/web/ar/lu/luLandDet.jsp?pnu=3611035024100040020&amp;isNoScr=script&amp;mode=search", "토지이음")</f>
        <v/>
      </c>
      <c r="O2363" s="3" t="inlineStr">
        <is>
          <t>레몬</t>
        </is>
      </c>
      <c r="P2363" s="4" t="n">
        <v>1</v>
      </c>
      <c r="Q2363" s="4" t="n">
        <v>976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봉안리 4-21</t>
        </is>
      </c>
      <c r="B2364" s="3" t="inlineStr">
        <is>
          <t>생산관리지역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25000</v>
      </c>
      <c r="G2364" s="4" t="n">
        <v>912</v>
      </c>
      <c r="H2364" s="4" t="n">
        <v>276</v>
      </c>
      <c r="I2364" s="5" t="n">
        <v>90.59999999999999</v>
      </c>
      <c r="J2364" s="5" t="n">
        <v>121.9</v>
      </c>
      <c r="K2364" s="3" t="inlineStr">
        <is>
          <t>세종 도심 10분대, 하천 조망 갗춘 진입로 지분 포함 자연형 토지</t>
        </is>
      </c>
      <c r="L2364" s="6">
        <f>HYPERLINK("https://fin.land.naver.com/articles/2655034179", "매물Link")</f>
        <v/>
      </c>
      <c r="M2364" s="6">
        <f>HYPERLINK("https://map.naver.com/p/search/장군면 봉안리 4-21", "지도Link")</f>
        <v/>
      </c>
      <c r="N2364" s="6">
        <f>HYPERLINK("http://www.eum.go.kr/web/ar/lu/luLandDet.jsp?pnu=3611035024100040021&amp;isNoScr=script&amp;mode=search", "토지이음")</f>
        <v/>
      </c>
      <c r="O2364" s="3" t="inlineStr">
        <is>
          <t>세종소담황금</t>
        </is>
      </c>
      <c r="P2364" s="4" t="n">
        <v>1</v>
      </c>
      <c r="Q2364" s="4" t="n">
        <v>815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봉안리 4-21</t>
        </is>
      </c>
      <c r="B2365" s="3" t="inlineStr">
        <is>
          <t>생산관리지역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25000</v>
      </c>
      <c r="G2365" s="4" t="n">
        <v>815</v>
      </c>
      <c r="H2365" s="4" t="n">
        <v>247</v>
      </c>
      <c r="I2365" s="5" t="n">
        <v>101.2</v>
      </c>
      <c r="J2365" s="5" t="n">
        <v>121.9</v>
      </c>
      <c r="K2365" s="3" t="inlineStr">
        <is>
          <t>세종 이마트와 코스트코가 인근에 있는 전원주택 부지매매</t>
        </is>
      </c>
      <c r="L2365" s="6">
        <f>HYPERLINK("https://fin.land.naver.com/articles/2652418435", "매물Link")</f>
        <v/>
      </c>
      <c r="M2365" s="6">
        <f>HYPERLINK("https://map.naver.com/p/search/장군면 봉안리 4-21", "지도Link")</f>
        <v/>
      </c>
      <c r="N2365" s="6">
        <f>HYPERLINK("http://www.eum.go.kr/web/ar/lu/luLandDet.jsp?pnu=3611035024100040021&amp;isNoScr=script&amp;mode=search", "토지이음")</f>
        <v/>
      </c>
      <c r="O2365" s="3" t="inlineStr">
        <is>
          <t>비전</t>
        </is>
      </c>
      <c r="P2365" s="4" t="n">
        <v>1</v>
      </c>
      <c r="Q2365" s="4" t="n">
        <v>815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봉안리 4-38</t>
        </is>
      </c>
      <c r="B2366" s="3" t="inlineStr">
        <is>
          <t>생산관리지역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35000</v>
      </c>
      <c r="G2366" s="4" t="n">
        <v>878</v>
      </c>
      <c r="H2366" s="4" t="n">
        <v>266</v>
      </c>
      <c r="I2366" s="5" t="n">
        <v>131.6</v>
      </c>
      <c r="J2366" s="5" t="n">
        <v>75.09999999999999</v>
      </c>
      <c r="K2366" s="3" t="inlineStr">
        <is>
          <t>세종 신도시 인접 대교천 뷰가 있는 전원주택지 매매</t>
        </is>
      </c>
      <c r="L2366" s="6">
        <f>HYPERLINK("https://fin.land.naver.com/articles/2650189284", "매물Link")</f>
        <v/>
      </c>
      <c r="M2366" s="6">
        <f>HYPERLINK("https://map.naver.com/p/search/장군면 봉안리 4-38", "지도Link")</f>
        <v/>
      </c>
      <c r="N2366" s="6">
        <f>HYPERLINK("http://www.eum.go.kr/web/ar/lu/luLandDet.jsp?pnu=3611035024100040038&amp;isNoScr=script&amp;mode=search", "토지이음")</f>
        <v/>
      </c>
      <c r="O2366" s="3" t="inlineStr">
        <is>
          <t>세종비전행정사</t>
        </is>
      </c>
      <c r="P2366" s="4" t="n">
        <v>1</v>
      </c>
      <c r="Q2366" s="4" t="n">
        <v>878</v>
      </c>
      <c r="R2366" s="3" t="inlineStr">
        <is>
          <t>지정되지않음</t>
        </is>
      </c>
      <c r="S2366" s="3" t="inlineStr">
        <is>
          <t>전기타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봉안리 445-1</t>
        </is>
      </c>
      <c r="B2367" s="3" t="inlineStr">
        <is>
          <t>계획관리지역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112400</v>
      </c>
      <c r="G2367" s="4" t="n">
        <v>929</v>
      </c>
      <c r="H2367" s="4" t="n">
        <v>281</v>
      </c>
      <c r="I2367" s="5" t="n">
        <v>400</v>
      </c>
      <c r="J2367" s="5" t="n">
        <v>309</v>
      </c>
      <c r="K2367" s="3" t="inlineStr">
        <is>
          <t>세종시 장군면 도로접한 대지</t>
        </is>
      </c>
      <c r="L2367" s="6">
        <f>HYPERLINK("https://fin.land.naver.com/articles/2651784772", "매물Link")</f>
        <v/>
      </c>
      <c r="M2367" s="6">
        <f>HYPERLINK("https://map.naver.com/p/search/장군면 봉안리 445-1", "지도Link")</f>
        <v/>
      </c>
      <c r="N2367" s="6">
        <f>HYPERLINK("http://www.eum.go.kr/web/ar/lu/luLandDet.jsp?pnu=3611035024104450001&amp;isNoScr=script&amp;mode=search", "토지이음")</f>
        <v/>
      </c>
      <c r="O2367" s="3" t="inlineStr">
        <is>
          <t>세종천지</t>
        </is>
      </c>
      <c r="P2367" s="4" t="n">
        <v>1</v>
      </c>
      <c r="Q2367" s="4" t="n">
        <v>607</v>
      </c>
      <c r="R2367" s="3" t="inlineStr">
        <is>
          <t>지정되지않음</t>
        </is>
      </c>
      <c r="S2367" s="3" t="inlineStr">
        <is>
          <t>단독</t>
        </is>
      </c>
      <c r="T2367" s="3" t="inlineStr">
        <is>
          <t>평지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봉안리 447-15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91300</v>
      </c>
      <c r="G2368" s="4" t="n">
        <v>2012</v>
      </c>
      <c r="H2368" s="4" t="n">
        <v>609</v>
      </c>
      <c r="I2368" s="5" t="n">
        <v>149.9</v>
      </c>
      <c r="J2368" s="5" t="n">
        <v>41.1</v>
      </c>
      <c r="K2368" s="3" t="inlineStr">
        <is>
          <t>세종 장군면 봉안리 장기보유 추천 임야 매매</t>
        </is>
      </c>
      <c r="L2368" s="6">
        <f>HYPERLINK("https://fin.land.naver.com/articles/2652347318", "매물Link")</f>
        <v/>
      </c>
      <c r="M2368" s="6">
        <f>HYPERLINK("https://map.naver.com/p/search/장군면 봉안리 447-15", "지도Link")</f>
        <v/>
      </c>
      <c r="N2368" s="6">
        <f>HYPERLINK("http://www.eum.go.kr/web/ar/lu/luLandDet.jsp?pnu=3611035024104470015&amp;isNoScr=script&amp;mode=search",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2012</v>
      </c>
      <c r="R2368" s="3" t="inlineStr">
        <is>
          <t>지정되지않음</t>
        </is>
      </c>
      <c r="S2368" s="3" t="inlineStr">
        <is>
          <t>토지임야</t>
        </is>
      </c>
      <c r="T2368" s="3" t="inlineStr">
        <is>
          <t>완경사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봉안리 447-16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79000</v>
      </c>
      <c r="G2369" s="4" t="n">
        <v>1734</v>
      </c>
      <c r="H2369" s="4" t="n">
        <v>525</v>
      </c>
      <c r="I2369" s="5" t="n">
        <v>150.5</v>
      </c>
      <c r="J2369" s="5" t="n">
        <v>41.5</v>
      </c>
      <c r="K2369" s="3" t="inlineStr">
        <is>
          <t>세종 장군면 봉안리 장기보유 추천 임야</t>
        </is>
      </c>
      <c r="L2369" s="6">
        <f>HYPERLINK("https://fin.land.naver.com/articles/2652346274", "매물Link")</f>
        <v/>
      </c>
      <c r="M2369" s="6">
        <f>HYPERLINK("https://map.naver.com/p/search/장군면 봉안리 447-16", "지도Link")</f>
        <v/>
      </c>
      <c r="N2369" s="6">
        <f>HYPERLINK("http://www.eum.go.kr/web/ar/lu/luLandDet.jsp?pnu=3611035024104470016&amp;isNoScr=script&amp;mode=search", "토지이음")</f>
        <v/>
      </c>
      <c r="O2369" s="3" t="inlineStr">
        <is>
          <t>세종몽땅</t>
        </is>
      </c>
      <c r="P2369" s="4" t="n">
        <v>1</v>
      </c>
      <c r="Q2369" s="4" t="n">
        <v>1734</v>
      </c>
      <c r="R2369" s="3" t="inlineStr">
        <is>
          <t>지정되지않음</t>
        </is>
      </c>
      <c r="S2369" s="3" t="inlineStr">
        <is>
          <t>토지임야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봉안리 447-6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90000</v>
      </c>
      <c r="G2370" s="4" t="n">
        <v>1983</v>
      </c>
      <c r="H2370" s="4" t="n">
        <v>600</v>
      </c>
      <c r="I2370" s="5" t="n">
        <v>150</v>
      </c>
      <c r="J2370" s="5" t="n">
        <v>46.6</v>
      </c>
      <c r="K2370" s="3" t="inlineStr">
        <is>
          <t>세종시 장군면 토지 매매</t>
        </is>
      </c>
      <c r="L2370" s="6">
        <f>HYPERLINK("https://fin.land.naver.com/articles/2652351410", "매물Link")</f>
        <v/>
      </c>
      <c r="M2370" s="6">
        <f>HYPERLINK("https://map.naver.com/p/search/장군면 봉안리 447-6", "지도Link")</f>
        <v/>
      </c>
      <c r="N2370" s="6">
        <f>HYPERLINK("http://www.eum.go.kr/web/ar/lu/luLandDet.jsp?pnu=3611035024104470006&amp;isNoScr=script&amp;mode=search",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1983</v>
      </c>
      <c r="R2370" s="3" t="inlineStr">
        <is>
          <t>지정되지않음</t>
        </is>
      </c>
      <c r="S2370" s="3" t="inlineStr">
        <is>
          <t>토지임야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소로한면</t>
        </is>
      </c>
    </row>
    <row r="2371">
      <c r="A2371" s="3" t="inlineStr">
        <is>
          <t>장군면 봉안리 451-26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36000</v>
      </c>
      <c r="G2371" s="4" t="n">
        <v>393</v>
      </c>
      <c r="H2371" s="4" t="n">
        <v>119</v>
      </c>
      <c r="I2371" s="5" t="n">
        <v>302.5</v>
      </c>
      <c r="J2371" s="5" t="n">
        <v>203.4</v>
      </c>
      <c r="K2371" s="3" t="inlineStr">
        <is>
          <t>봉안리 잘조성된 전원주택지</t>
        </is>
      </c>
      <c r="L2371" s="6">
        <f>HYPERLINK("https://fin.land.naver.com/articles/2654061366", "매물Link")</f>
        <v/>
      </c>
      <c r="M2371" s="6">
        <f>HYPERLINK("https://map.naver.com/p/search/장군면 봉안리 451-26", "지도Link")</f>
        <v/>
      </c>
      <c r="N2371" s="6">
        <f>HYPERLINK("http://www.eum.go.kr/web/ar/lu/luLandDet.jsp?pnu=3611035024104510026&amp;isNoScr=script&amp;mode=search", "토지이음")</f>
        <v/>
      </c>
      <c r="O2371" s="3" t="inlineStr">
        <is>
          <t>세종천지</t>
        </is>
      </c>
      <c r="P2371" s="4" t="n">
        <v>1</v>
      </c>
      <c r="Q2371" s="4" t="n">
        <v>393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세로각지(가)</t>
        </is>
      </c>
    </row>
    <row r="2372">
      <c r="A2372" s="3" t="inlineStr">
        <is>
          <t>장군면 봉안리 46-8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400000</v>
      </c>
      <c r="G2372" s="4" t="n">
        <v>6893</v>
      </c>
      <c r="H2372" s="4" t="n">
        <v>2085</v>
      </c>
      <c r="I2372" s="5" t="n">
        <v>191.8</v>
      </c>
      <c r="J2372" s="5" t="n">
        <v>109.6</v>
      </c>
      <c r="K2372" s="3" t="inlineStr">
        <is>
          <t>세종 장군면 봉안리 임야 15필지 약 2,085p, 일괄.분할매매 협의</t>
        </is>
      </c>
      <c r="L2372" s="6">
        <f>HYPERLINK("https://fin.land.naver.com/articles/2652377190", "매물Link")</f>
        <v/>
      </c>
      <c r="M2372" s="6">
        <f>HYPERLINK("https://map.naver.com/p/search/장군면 봉안리 46-8", "지도Link")</f>
        <v/>
      </c>
      <c r="N2372" s="6">
        <f>HYPERLINK("http://www.eum.go.kr/web/ar/lu/luLandDet.jsp?pnu=3611035024100460008&amp;isNoScr=script&amp;mode=search", "토지이음")</f>
        <v/>
      </c>
      <c r="O2372" s="3" t="inlineStr">
        <is>
          <t>월드</t>
        </is>
      </c>
      <c r="P2372" s="4" t="n">
        <v>1</v>
      </c>
      <c r="Q2372" s="4" t="n">
        <v>667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봉안리 465-7</t>
        </is>
      </c>
      <c r="B2373" s="3" t="inlineStr">
        <is>
          <t>계획관리지역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355500</v>
      </c>
      <c r="G2373" s="4" t="n">
        <v>2352</v>
      </c>
      <c r="H2373" s="4" t="n">
        <v>711</v>
      </c>
      <c r="I2373" s="5" t="n">
        <v>500</v>
      </c>
      <c r="J2373" s="5" t="n">
        <v>110.1</v>
      </c>
      <c r="K2373" s="3" t="inlineStr">
        <is>
          <t>봉안리 2차선 도로에 접한땅</t>
        </is>
      </c>
      <c r="L2373" s="6">
        <f>HYPERLINK("https://fin.land.naver.com/articles/2652185776", "매물Link")</f>
        <v/>
      </c>
      <c r="M2373" s="6">
        <f>HYPERLINK("https://map.naver.com/p/search/장군면 봉안리 465-7", "지도Link")</f>
        <v/>
      </c>
      <c r="N2373" s="6">
        <f>HYPERLINK("http://www.eum.go.kr/web/ar/lu/luLandDet.jsp?pnu=3611035024104650007&amp;isNoScr=script&amp;mode=search", "토지이음")</f>
        <v/>
      </c>
      <c r="O2373" s="3" t="inlineStr">
        <is>
          <t>세종천지</t>
        </is>
      </c>
      <c r="P2373" s="4" t="n">
        <v>1</v>
      </c>
      <c r="Q2373" s="4" t="n">
        <v>2352</v>
      </c>
      <c r="R2373" s="3" t="inlineStr">
        <is>
          <t>지정되지않음</t>
        </is>
      </c>
      <c r="S2373" s="3" t="inlineStr">
        <is>
          <t>답</t>
        </is>
      </c>
      <c r="T2373" s="3" t="inlineStr">
        <is>
          <t>평지</t>
        </is>
      </c>
      <c r="U2373" s="3" t="inlineStr">
        <is>
          <t>사다리형</t>
        </is>
      </c>
      <c r="V2373" s="3" t="inlineStr">
        <is>
          <t>소로각지</t>
        </is>
      </c>
    </row>
    <row r="2374">
      <c r="A2374" s="3" t="inlineStr">
        <is>
          <t>장군면 봉안리 48-1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78750</v>
      </c>
      <c r="G2374" s="4" t="n">
        <v>744</v>
      </c>
      <c r="H2374" s="4" t="n">
        <v>225</v>
      </c>
      <c r="I2374" s="5" t="n">
        <v>350</v>
      </c>
      <c r="J2374" s="5" t="n">
        <v>140.4</v>
      </c>
      <c r="K2374" s="3" t="inlineStr">
        <is>
          <t>세종정부청사 5분거리 계획관리지역 전</t>
        </is>
      </c>
      <c r="L2374" s="6">
        <f>HYPERLINK("https://fin.land.naver.com/articles/2654064068", "매물Link")</f>
        <v/>
      </c>
      <c r="M2374" s="6">
        <f>HYPERLINK("https://map.naver.com/p/search/장군면 봉안리 48-1", "지도Link")</f>
        <v/>
      </c>
      <c r="N2374" s="6">
        <f>HYPERLINK("http://www.eum.go.kr/web/ar/lu/luLandDet.jsp?pnu=3611035024100480001&amp;isNoScr=script&amp;mode=search", "토지이음")</f>
        <v/>
      </c>
      <c r="O2374" s="3" t="inlineStr">
        <is>
          <t>세종천지</t>
        </is>
      </c>
      <c r="P2374" s="4" t="n">
        <v>1</v>
      </c>
      <c r="Q2374" s="4" t="n">
        <v>744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57-4</t>
        </is>
      </c>
      <c r="B2375" s="3" t="inlineStr">
        <is>
          <t>계획관리지역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2098000</v>
      </c>
      <c r="G2375" s="4" t="n">
        <v>17348</v>
      </c>
      <c r="H2375" s="4" t="n">
        <v>5248</v>
      </c>
      <c r="I2375" s="5" t="n">
        <v>399.8</v>
      </c>
      <c r="J2375" s="5" t="n">
        <v>85.5</v>
      </c>
      <c r="K2375" s="3" t="inlineStr">
        <is>
          <t>nan</t>
        </is>
      </c>
      <c r="L2375" s="6">
        <f>HYPERLINK("https://fin.land.naver.com/articles/2655414672", "매물Link")</f>
        <v/>
      </c>
      <c r="M2375" s="6">
        <f>HYPERLINK("https://map.naver.com/p/search/장군면 봉안리 57-4", "지도Link")</f>
        <v/>
      </c>
      <c r="N2375" s="6">
        <f>HYPERLINK("http://www.eum.go.kr/web/ar/lu/luLandDet.jsp?pnu=3611035024100570004&amp;isNoScr=script&amp;mode=search", "토지이음")</f>
        <v/>
      </c>
      <c r="O2375" s="3" t="inlineStr">
        <is>
          <t>위례오늘</t>
        </is>
      </c>
      <c r="P2375" s="4" t="n">
        <v>1</v>
      </c>
      <c r="Q2375" s="4" t="n">
        <v>17348</v>
      </c>
      <c r="R2375" s="3" t="inlineStr">
        <is>
          <t>보전관리지역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575-3</t>
        </is>
      </c>
      <c r="B2376" s="3" t="inlineStr">
        <is>
          <t>계획관리지역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66000</v>
      </c>
      <c r="G2376" s="4" t="n">
        <v>624</v>
      </c>
      <c r="H2376" s="4" t="n">
        <v>189</v>
      </c>
      <c r="I2376" s="5" t="n">
        <v>349.2</v>
      </c>
      <c r="J2376" s="5" t="n">
        <v>128.8</v>
      </c>
      <c r="K2376" s="3" t="inlineStr">
        <is>
          <t>고운동 세종힐데스하임에서 직선 약 300m 떨어진 곳에 위치</t>
        </is>
      </c>
      <c r="L2376" s="6">
        <f>HYPERLINK("https://fin.land.naver.com/articles/2654069864", "매물Link")</f>
        <v/>
      </c>
      <c r="M2376" s="6">
        <f>HYPERLINK("https://map.naver.com/p/search/장군면 봉안리 575-3", "지도Link")</f>
        <v/>
      </c>
      <c r="N2376" s="6">
        <f>HYPERLINK("http://www.eum.go.kr/web/ar/lu/luLandDet.jsp?pnu=3611035024105750003&amp;isNoScr=script&amp;mode=search", "토지이음")</f>
        <v/>
      </c>
      <c r="O2376" s="3" t="inlineStr">
        <is>
          <t>태성</t>
        </is>
      </c>
      <c r="P2376" s="4" t="n">
        <v>2</v>
      </c>
      <c r="Q2376" s="4" t="n">
        <v>582</v>
      </c>
      <c r="R2376" s="3" t="inlineStr">
        <is>
          <t>지정되지않음</t>
        </is>
      </c>
      <c r="S2376" s="3" t="inlineStr">
        <is>
          <t>전기타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575-9</t>
        </is>
      </c>
      <c r="B2377" s="3" t="inlineStr">
        <is>
          <t>계획관리지역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85000</v>
      </c>
      <c r="G2377" s="4" t="n">
        <v>732</v>
      </c>
      <c r="H2377" s="4" t="n">
        <v>221</v>
      </c>
      <c r="I2377" s="5" t="n">
        <v>384.6</v>
      </c>
      <c r="J2377" s="5" t="n">
        <v>128.8</v>
      </c>
      <c r="K2377" s="3" t="inlineStr">
        <is>
          <t>계획관리,단독주택,사무실,카페,식당,물류택배창고 등 다목적용도 가능</t>
        </is>
      </c>
      <c r="L2377" s="6">
        <f>HYPERLINK("https://fin.land.naver.com/articles/2653435156", "매물Link")</f>
        <v/>
      </c>
      <c r="M2377" s="6">
        <f>HYPERLINK("https://map.naver.com/p/search/장군면 봉안리 575-9", "지도Link")</f>
        <v/>
      </c>
      <c r="N2377" s="6">
        <f>HYPERLINK("http://www.eum.go.kr/web/ar/lu/luLandDet.jsp?pnu=3611035024105750009&amp;isNoScr=script&amp;mode=search", "토지이음")</f>
        <v/>
      </c>
      <c r="O2377" s="3" t="inlineStr">
        <is>
          <t>고운맘</t>
        </is>
      </c>
      <c r="P2377" s="4" t="n">
        <v>1</v>
      </c>
      <c r="Q2377" s="4" t="n">
        <v>636</v>
      </c>
      <c r="R2377" s="3" t="inlineStr">
        <is>
          <t>지정되지않음</t>
        </is>
      </c>
      <c r="S2377" s="3" t="inlineStr">
        <is>
          <t>전기타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575-9</t>
        </is>
      </c>
      <c r="B2378" s="3" t="inlineStr">
        <is>
          <t>계획관리지역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85000</v>
      </c>
      <c r="G2378" s="4" t="n">
        <v>732</v>
      </c>
      <c r="H2378" s="4" t="n">
        <v>221</v>
      </c>
      <c r="I2378" s="5" t="n">
        <v>384.6</v>
      </c>
      <c r="J2378" s="5" t="n">
        <v>128.8</v>
      </c>
      <c r="K2378" s="3" t="inlineStr">
        <is>
          <t>도로접 투자용 전원주택부지 생활형체험농장 부지 지목 임야</t>
        </is>
      </c>
      <c r="L2378" s="6">
        <f>HYPERLINK("https://fin.land.naver.com/articles/2652729633", "매물Link")</f>
        <v/>
      </c>
      <c r="M2378" s="6">
        <f>HYPERLINK("https://map.naver.com/p/search/장군면 봉안리 575-9", "지도Link")</f>
        <v/>
      </c>
      <c r="N2378" s="6">
        <f>HYPERLINK("http://www.eum.go.kr/web/ar/lu/luLandDet.jsp?pnu=3611035024105750009&amp;isNoScr=script&amp;mode=search", "토지이음")</f>
        <v/>
      </c>
      <c r="O2378" s="3" t="inlineStr">
        <is>
          <t>세종이룸</t>
        </is>
      </c>
      <c r="P2378" s="4" t="n">
        <v>1</v>
      </c>
      <c r="Q2378" s="4" t="n">
        <v>636</v>
      </c>
      <c r="R2378" s="3" t="inlineStr">
        <is>
          <t>지정되지않음</t>
        </is>
      </c>
      <c r="S2378" s="3" t="inlineStr">
        <is>
          <t>전기타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575-9</t>
        </is>
      </c>
      <c r="B2379" s="3" t="inlineStr">
        <is>
          <t>계획관리지역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85000</v>
      </c>
      <c r="G2379" s="4" t="n">
        <v>732</v>
      </c>
      <c r="H2379" s="4" t="n">
        <v>221</v>
      </c>
      <c r="I2379" s="5" t="n">
        <v>384.6</v>
      </c>
      <c r="J2379" s="5" t="n">
        <v>128.8</v>
      </c>
      <c r="K2379" s="3" t="inlineStr">
        <is>
          <t>접근성과 다양한 활용도,투자와 실사용 모두 만족할 토지</t>
        </is>
      </c>
      <c r="L2379" s="6">
        <f>HYPERLINK("https://fin.land.naver.com/articles/2654181308", "매물Link")</f>
        <v/>
      </c>
      <c r="M2379" s="6">
        <f>HYPERLINK("https://map.naver.com/p/search/장군면 봉안리 575-9", "지도Link")</f>
        <v/>
      </c>
      <c r="N2379" s="6">
        <f>HYPERLINK("http://www.eum.go.kr/web/ar/lu/luLandDet.jsp?pnu=3611035024105750009&amp;isNoScr=script&amp;mode=search", "토지이음")</f>
        <v/>
      </c>
      <c r="O2379" s="3" t="inlineStr">
        <is>
          <t>가치잇는</t>
        </is>
      </c>
      <c r="P2379" s="4" t="n">
        <v>2</v>
      </c>
      <c r="Q2379" s="4" t="n">
        <v>636</v>
      </c>
      <c r="R2379" s="3" t="inlineStr">
        <is>
          <t>지정되지않음</t>
        </is>
      </c>
      <c r="S2379" s="3" t="inlineStr">
        <is>
          <t>전기타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65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200000</v>
      </c>
      <c r="G2380" s="4" t="n">
        <v>1742</v>
      </c>
      <c r="H2380" s="4" t="n">
        <v>527</v>
      </c>
      <c r="I2380" s="5" t="n">
        <v>379.5</v>
      </c>
      <c r="J2380" s="5" t="n">
        <v>140.4</v>
      </c>
      <c r="K2380" s="3" t="inlineStr">
        <is>
          <t>봉안리 도로접한 토지매매</t>
        </is>
      </c>
      <c r="L2380" s="6">
        <f>HYPERLINK("https://fin.land.naver.com/articles/2650911299", "매물Link")</f>
        <v/>
      </c>
      <c r="M2380" s="6">
        <f>HYPERLINK("https://map.naver.com/p/search/장군면 봉안리 65", "지도Link")</f>
        <v/>
      </c>
      <c r="N2380" s="6">
        <f>HYPERLINK("http://www.eum.go.kr/web/ar/lu/luLandDet.jsp?pnu=3611035024100650000&amp;isNoScr=script&amp;mode=search", "토지이음")</f>
        <v/>
      </c>
      <c r="O2380" s="3" t="inlineStr">
        <is>
          <t>연합</t>
        </is>
      </c>
      <c r="P2380" s="4" t="n">
        <v>1</v>
      </c>
      <c r="Q2380" s="4" t="n">
        <v>790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66-9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35000</v>
      </c>
      <c r="G2381" s="4" t="n">
        <v>577</v>
      </c>
      <c r="H2381" s="4" t="n">
        <v>175</v>
      </c>
      <c r="I2381" s="5" t="n">
        <v>200</v>
      </c>
      <c r="J2381" s="5" t="n">
        <v>152.1</v>
      </c>
      <c r="K2381" s="3" t="inlineStr">
        <is>
          <t>행정복합도시에 인접한 부근에 위치한 전원주택지임</t>
        </is>
      </c>
      <c r="L2381" s="6">
        <f>HYPERLINK("https://fin.land.naver.com/articles/2652112134", "매물Link")</f>
        <v/>
      </c>
      <c r="M2381" s="6">
        <f>HYPERLINK("https://map.naver.com/p/search/장군면 봉안리 66-9", "지도Link")</f>
        <v/>
      </c>
      <c r="N2381" s="6">
        <f>HYPERLINK("http://www.eum.go.kr/web/ar/lu/luLandDet.jsp?pnu=3611035024100660009&amp;isNoScr=script&amp;mode=search", "토지이음")</f>
        <v/>
      </c>
      <c r="O2381" s="3" t="inlineStr">
        <is>
          <t>교차로</t>
        </is>
      </c>
      <c r="P2381" s="4" t="n">
        <v>1</v>
      </c>
      <c r="Q2381" s="4" t="n">
        <v>516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봉안리 84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369000</v>
      </c>
      <c r="G2382" s="4" t="n">
        <v>4060</v>
      </c>
      <c r="H2382" s="4" t="n">
        <v>1228</v>
      </c>
      <c r="I2382" s="5" t="n">
        <v>300.5</v>
      </c>
      <c r="J2382" s="5" t="n">
        <v>170.9</v>
      </c>
      <c r="K2382" s="3" t="inlineStr">
        <is>
          <t>장군면 전,답으로 구성된 계획관리토지,도로접함,</t>
        </is>
      </c>
      <c r="L2382" s="6">
        <f>HYPERLINK("https://fin.land.naver.com/articles/2651054045", "매물Link")</f>
        <v/>
      </c>
      <c r="M2382" s="6">
        <f>HYPERLINK("https://map.naver.com/p/search/장군면 봉안리 84", "지도Link")</f>
        <v/>
      </c>
      <c r="N2382" s="6">
        <f>HYPERLINK("http://www.eum.go.kr/web/ar/lu/luLandDet.jsp?pnu=3611035024100840000&amp;isNoScr=script&amp;mode=search", "토지이음")</f>
        <v/>
      </c>
      <c r="O2382" s="3" t="inlineStr">
        <is>
          <t>담뜰</t>
        </is>
      </c>
      <c r="P2382" s="4" t="n">
        <v>1</v>
      </c>
      <c r="Q2382" s="4" t="n">
        <v>2840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세로각지(가)</t>
        </is>
      </c>
    </row>
    <row r="2383">
      <c r="A2383" s="3" t="inlineStr">
        <is>
          <t>장군면 봉안리 98-1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1250000</v>
      </c>
      <c r="G2383" s="4" t="n">
        <v>16522</v>
      </c>
      <c r="H2383" s="4" t="n">
        <v>4998</v>
      </c>
      <c r="I2383" s="5" t="n">
        <v>250.1</v>
      </c>
      <c r="J2383" s="5" t="n">
        <v>62</v>
      </c>
      <c r="K2383" s="3" t="inlineStr">
        <is>
          <t>지대높고 접근성좋고 도로사정좋은 올계획관리 토지매매합니다</t>
        </is>
      </c>
      <c r="L2383" s="6">
        <f>HYPERLINK("https://fin.land.naver.com/articles/2650346174", "매물Link")</f>
        <v/>
      </c>
      <c r="M2383" s="6">
        <f>HYPERLINK("https://map.naver.com/p/search/장군면 봉안리 98-1", "지도Link")</f>
        <v/>
      </c>
      <c r="N2383" s="6">
        <f>HYPERLINK("http://www.eum.go.kr/web/ar/lu/luLandDet.jsp?pnu=3611035024100980001&amp;isNoScr=script&amp;mode=search", "토지이음")</f>
        <v/>
      </c>
      <c r="O2383" s="3" t="inlineStr">
        <is>
          <t>복댕이</t>
        </is>
      </c>
      <c r="P2383" s="4" t="n">
        <v>1</v>
      </c>
      <c r="Q2383" s="4" t="n">
        <v>8315</v>
      </c>
      <c r="R2383" s="3" t="inlineStr">
        <is>
          <t>지정되지않음</t>
        </is>
      </c>
      <c r="S2383" s="3" t="inlineStr">
        <is>
          <t>토지임야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세로한면(불)</t>
        </is>
      </c>
    </row>
    <row r="2384">
      <c r="A2384" s="3" t="inlineStr">
        <is>
          <t>장군면 봉안리 98-1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2500000</v>
      </c>
      <c r="G2384" s="4" t="n">
        <v>16522</v>
      </c>
      <c r="H2384" s="4" t="n">
        <v>4998</v>
      </c>
      <c r="I2384" s="5" t="n">
        <v>500.2</v>
      </c>
      <c r="J2384" s="5" t="n">
        <v>62</v>
      </c>
      <c r="K2384" s="3" t="inlineStr">
        <is>
          <t>계획관리지역, 임야 250억 매매, 대출 가능</t>
        </is>
      </c>
      <c r="L2384" s="6">
        <f>HYPERLINK("https://fin.land.naver.com/articles/2655598347", "매물Link")</f>
        <v/>
      </c>
      <c r="M2384" s="6">
        <f>HYPERLINK("https://map.naver.com/p/search/장군면 봉안리 98-1", "지도Link")</f>
        <v/>
      </c>
      <c r="N2384" s="6">
        <f>HYPERLINK("http://www.eum.go.kr/web/ar/lu/luLandDet.jsp?pnu=3611035024100980001&amp;isNoScr=script&amp;mode=search", "토지이음")</f>
        <v/>
      </c>
      <c r="O2384" s="3" t="inlineStr">
        <is>
          <t>케이에스</t>
        </is>
      </c>
      <c r="P2384" s="4" t="n">
        <v>1</v>
      </c>
      <c r="Q2384" s="4" t="n">
        <v>8315</v>
      </c>
      <c r="R2384" s="3" t="inlineStr">
        <is>
          <t>지정되지않음</t>
        </is>
      </c>
      <c r="S2384" s="3" t="inlineStr">
        <is>
          <t>토지임야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98-1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1300000</v>
      </c>
      <c r="G2385" s="4" t="n">
        <v>16522</v>
      </c>
      <c r="H2385" s="4" t="n">
        <v>4998</v>
      </c>
      <c r="I2385" s="5" t="n">
        <v>260.1</v>
      </c>
      <c r="J2385" s="5" t="n">
        <v>62</v>
      </c>
      <c r="K2385" s="3" t="inlineStr">
        <is>
          <t>장군면 봉안리 시행부지 및 개발용 임야</t>
        </is>
      </c>
      <c r="L2385" s="6">
        <f>HYPERLINK("https://fin.land.naver.com/articles/2650511029", "매물Link")</f>
        <v/>
      </c>
      <c r="M2385" s="6">
        <f>HYPERLINK("https://map.naver.com/p/search/장군면 봉안리 98-1", "지도Link")</f>
        <v/>
      </c>
      <c r="N2385" s="6">
        <f>HYPERLINK("http://www.eum.go.kr/web/ar/lu/luLandDet.jsp?pnu=3611035024100980001&amp;isNoScr=script&amp;mode=search", "토지이음")</f>
        <v/>
      </c>
      <c r="O2385" s="3" t="inlineStr">
        <is>
          <t>스카이</t>
        </is>
      </c>
      <c r="P2385" s="4" t="n">
        <v>1</v>
      </c>
      <c r="Q2385" s="4" t="n">
        <v>8315</v>
      </c>
      <c r="R2385" s="3" t="inlineStr">
        <is>
          <t>지정되지않음</t>
        </is>
      </c>
      <c r="S2385" s="3" t="inlineStr">
        <is>
          <t>토지임야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산20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90000</v>
      </c>
      <c r="G2386" s="4" t="n">
        <v>1004</v>
      </c>
      <c r="H2386" s="4" t="n">
        <v>304</v>
      </c>
      <c r="I2386" s="5" t="n">
        <v>296.1</v>
      </c>
      <c r="J2386" s="5" t="n">
        <v>76.59999999999999</v>
      </c>
      <c r="K2386" s="3" t="inlineStr">
        <is>
          <t>세종시내가 한눈에 보이는 봉안리 마을포장도로에 접한 계획관리지역의 야산</t>
        </is>
      </c>
      <c r="L2386" s="6">
        <f>HYPERLINK("https://fin.land.naver.com/articles/2652185193", "매물Link")</f>
        <v/>
      </c>
      <c r="M2386" s="6">
        <f>HYPERLINK("https://map.naver.com/p/search/장군면 봉안리 산20", "지도Link")</f>
        <v/>
      </c>
      <c r="N2386" s="6">
        <f>HYPERLINK("http://www.eum.go.kr/web/ar/lu/luLandDet.jsp?pnu=3611035024200200000&amp;isNoScr=script&amp;mode=search", "토지이음")</f>
        <v/>
      </c>
      <c r="O2386" s="3" t="inlineStr">
        <is>
          <t>스마일세종</t>
        </is>
      </c>
      <c r="P2386" s="4" t="n">
        <v>1</v>
      </c>
      <c r="Q2386" s="4" t="n">
        <v>829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맹지</t>
        </is>
      </c>
    </row>
    <row r="2387">
      <c r="A2387" s="3" t="inlineStr">
        <is>
          <t>장군면 봉안리 산27-4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308000</v>
      </c>
      <c r="G2387" s="4" t="n">
        <v>2264</v>
      </c>
      <c r="H2387" s="4" t="n">
        <v>685</v>
      </c>
      <c r="I2387" s="5" t="n">
        <v>449.6</v>
      </c>
      <c r="J2387" s="5" t="n">
        <v>42.3</v>
      </c>
      <c r="K2387" s="3" t="inlineStr">
        <is>
          <t>틔인 남향전망.근린생활시설,커피숍,식당,어린이집,종교체육시설등 추천</t>
        </is>
      </c>
      <c r="L2387" s="6">
        <f>HYPERLINK("https://fin.land.naver.com/articles/2650564150", "매물Link")</f>
        <v/>
      </c>
      <c r="M2387" s="6">
        <f>HYPERLINK("https://map.naver.com/p/search/장군면 봉안리 산27-4", "지도Link")</f>
        <v/>
      </c>
      <c r="N2387" s="6">
        <f>HYPERLINK("http://www.eum.go.kr/web/ar/lu/luLandDet.jsp?pnu=3611035024200270004&amp;isNoScr=script&amp;mode=search", "토지이음")</f>
        <v/>
      </c>
      <c r="O2387" s="3" t="inlineStr">
        <is>
          <t>노은밸리</t>
        </is>
      </c>
      <c r="P2387" s="4" t="n">
        <v>1</v>
      </c>
      <c r="Q2387" s="4" t="n">
        <v>1653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산학리 105-1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33000</v>
      </c>
      <c r="G2388" s="4" t="n">
        <v>578</v>
      </c>
      <c r="H2388" s="4" t="n">
        <v>175</v>
      </c>
      <c r="I2388" s="5" t="n">
        <v>188.6</v>
      </c>
      <c r="J2388" s="5" t="n">
        <v>40.8</v>
      </c>
      <c r="K2388" s="3" t="inlineStr">
        <is>
          <t>모양좋은 계획관리 토지,6m도로접, 행복도시 반경 15분이내거리</t>
        </is>
      </c>
      <c r="L2388" s="6">
        <f>HYPERLINK("https://fin.land.naver.com/articles/2653506205", "매물Link")</f>
        <v/>
      </c>
      <c r="M2388" s="6">
        <f>HYPERLINK("https://map.naver.com/p/search/장군면 산학리 105-1", "지도Link")</f>
        <v/>
      </c>
      <c r="N2388" s="6">
        <f>HYPERLINK("http://www.eum.go.kr/web/ar/lu/luLandDet.jsp?pnu=3611035028101050001&amp;isNoScr=script&amp;mode=search", "토지이음")</f>
        <v/>
      </c>
      <c r="O2388" s="3" t="inlineStr">
        <is>
          <t>세종복댕이</t>
        </is>
      </c>
      <c r="P2388" s="4" t="n">
        <v>1</v>
      </c>
      <c r="Q2388" s="4" t="n">
        <v>507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산학리 105-4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39000</v>
      </c>
      <c r="G2389" s="4" t="n">
        <v>495</v>
      </c>
      <c r="H2389" s="4" t="n">
        <v>150</v>
      </c>
      <c r="I2389" s="5" t="n">
        <v>260</v>
      </c>
      <c r="J2389" s="5" t="n">
        <v>65.59999999999999</v>
      </c>
      <c r="K2389" s="3" t="inlineStr">
        <is>
          <t>급매,근생단독건물,월세나오는 건물</t>
        </is>
      </c>
      <c r="L2389" s="6">
        <f>HYPERLINK("https://fin.land.naver.com/articles/2650912295", "매물Link")</f>
        <v/>
      </c>
      <c r="M2389" s="6">
        <f>HYPERLINK("https://map.naver.com/p/search/장군면 산학리 105-4", "지도Link")</f>
        <v/>
      </c>
      <c r="N2389" s="6">
        <f>HYPERLINK("http://www.eum.go.kr/web/ar/lu/luLandDet.jsp?pnu=3611035028101050004&amp;isNoScr=script&amp;mode=search", "토지이음")</f>
        <v/>
      </c>
      <c r="O2389" s="3" t="inlineStr">
        <is>
          <t>세종복댕이</t>
        </is>
      </c>
      <c r="P2389" s="4" t="n">
        <v>1</v>
      </c>
      <c r="Q2389" s="4" t="n">
        <v>412</v>
      </c>
      <c r="R2389" s="3" t="inlineStr">
        <is>
          <t>지정되지않음</t>
        </is>
      </c>
      <c r="S2389" s="3" t="inlineStr">
        <is>
          <t>주거기타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산학리 115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45000</v>
      </c>
      <c r="G2390" s="4" t="n">
        <v>902</v>
      </c>
      <c r="H2390" s="4" t="n">
        <v>273</v>
      </c>
      <c r="I2390" s="5" t="n">
        <v>164.8</v>
      </c>
      <c r="J2390" s="5" t="n">
        <v>64.90000000000001</v>
      </c>
      <c r="K2390" s="3" t="inlineStr">
        <is>
          <t>장군면 산학리 대지272.8p 계획관리,자연취락, 주택,근생 추천</t>
        </is>
      </c>
      <c r="L2390" s="6">
        <f>HYPERLINK("https://fin.land.naver.com/articles/2655580935", "매물Link")</f>
        <v/>
      </c>
      <c r="M2390" s="6">
        <f>HYPERLINK("https://map.naver.com/p/search/장군면 산학리 115", "지도Link")</f>
        <v/>
      </c>
      <c r="N2390" s="6">
        <f>HYPERLINK("http://www.eum.go.kr/web/ar/lu/luLandDet.jsp?pnu=3611035028101150000&amp;isNoScr=script&amp;mode=search", "토지이음")</f>
        <v/>
      </c>
      <c r="O2390" s="3" t="inlineStr">
        <is>
          <t>큰손매교역</t>
        </is>
      </c>
      <c r="P2390" s="4" t="n">
        <v>1</v>
      </c>
      <c r="Q2390" s="4" t="n">
        <v>902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사다리형</t>
        </is>
      </c>
      <c r="V2390" s="3" t="inlineStr">
        <is>
          <t>세로한면(불)</t>
        </is>
      </c>
    </row>
    <row r="2391">
      <c r="A2391" s="3" t="inlineStr">
        <is>
          <t>장군면 산학리 118</t>
        </is>
      </c>
      <c r="B2391" s="3" t="inlineStr">
        <is>
          <t>계획관리지역</t>
        </is>
      </c>
      <c r="C2391" s="3" t="inlineStr">
        <is>
          <t>목장용지</t>
        </is>
      </c>
      <c r="D2391" s="3" t="inlineStr">
        <is>
          <t>목장용지</t>
        </is>
      </c>
      <c r="E2391" s="3" t="inlineStr">
        <is>
          <t>매매</t>
        </is>
      </c>
      <c r="F2391" s="4" t="n">
        <v>19800</v>
      </c>
      <c r="G2391" s="4" t="n">
        <v>225</v>
      </c>
      <c r="H2391" s="4" t="n">
        <v>68</v>
      </c>
      <c r="I2391" s="5" t="n">
        <v>291.2</v>
      </c>
      <c r="J2391" s="5" t="n">
        <v>44</v>
      </c>
      <c r="K2391" s="3" t="inlineStr">
        <is>
          <t>도로접해 있고 지대가 높아 단독 주택지로 추천</t>
        </is>
      </c>
      <c r="L2391" s="6">
        <f>HYPERLINK("https://fin.land.naver.com/articles/2653426073", "매물Link")</f>
        <v/>
      </c>
      <c r="M2391" s="6">
        <f>HYPERLINK("https://map.naver.com/p/search/장군면 산학리 118", "지도Link")</f>
        <v/>
      </c>
      <c r="N2391" s="6">
        <f>HYPERLINK("http://www.eum.go.kr/web/ar/lu/luLandDet.jsp?pnu=3611035028101180000&amp;isNoScr=script&amp;mode=search", "토지이음")</f>
        <v/>
      </c>
      <c r="O2391" s="3" t="inlineStr">
        <is>
          <t>담뜰</t>
        </is>
      </c>
      <c r="P2391" s="4" t="n">
        <v>1</v>
      </c>
      <c r="Q2391" s="4" t="n">
        <v>225</v>
      </c>
      <c r="R2391" s="3" t="inlineStr">
        <is>
          <t>지정되지않음</t>
        </is>
      </c>
      <c r="S2391" s="3" t="inlineStr">
        <is>
          <t>답축사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산학리 139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290000</v>
      </c>
      <c r="G2392" s="4" t="n">
        <v>892</v>
      </c>
      <c r="H2392" s="4" t="n">
        <v>270</v>
      </c>
      <c r="I2392" s="5" t="n">
        <v>1074.1</v>
      </c>
      <c r="J2392" s="5" t="n">
        <v>249.7</v>
      </c>
      <c r="K2392" s="3" t="inlineStr">
        <is>
          <t>도로접 주차공간 갖춘 2층 근생 일괄매매</t>
        </is>
      </c>
      <c r="L2392" s="6">
        <f>HYPERLINK("https://fin.land.naver.com/articles/2655072231", "매물Link")</f>
        <v/>
      </c>
      <c r="M2392" s="6">
        <f>HYPERLINK("https://map.naver.com/p/search/장군면 산학리 139", "지도Link")</f>
        <v/>
      </c>
      <c r="N2392" s="6">
        <f>HYPERLINK("http://www.eum.go.kr/web/ar/lu/luLandDet.jsp?pnu=3611035028101390000&amp;isNoScr=script&amp;mode=search", "토지이음")</f>
        <v/>
      </c>
      <c r="O2392" s="3" t="inlineStr">
        <is>
          <t>세종소담황금</t>
        </is>
      </c>
      <c r="P2392" s="4" t="n">
        <v>1</v>
      </c>
      <c r="Q2392" s="4" t="n">
        <v>896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소로한면</t>
        </is>
      </c>
    </row>
    <row r="2393">
      <c r="A2393" s="3" t="inlineStr">
        <is>
          <t>장군면 산학리 140-12</t>
        </is>
      </c>
      <c r="B2393" s="3" t="inlineStr">
        <is>
          <t>계획관리지역</t>
        </is>
      </c>
      <c r="C2393" s="3" t="inlineStr">
        <is>
          <t>잡종지</t>
        </is>
      </c>
      <c r="D2393" s="3" t="inlineStr">
        <is>
          <t>대</t>
        </is>
      </c>
      <c r="E2393" s="3" t="inlineStr">
        <is>
          <t>매매</t>
        </is>
      </c>
      <c r="F2393" s="4" t="n">
        <v>700000</v>
      </c>
      <c r="G2393" s="4" t="n">
        <v>6807</v>
      </c>
      <c r="H2393" s="4" t="n">
        <v>2059</v>
      </c>
      <c r="I2393" s="5" t="n">
        <v>340</v>
      </c>
      <c r="J2393" s="5" t="n">
        <v>172.3</v>
      </c>
      <c r="K2393" s="3" t="inlineStr">
        <is>
          <t>26개 필지로 구성</t>
        </is>
      </c>
      <c r="L2393" s="6">
        <f>HYPERLINK("https://fin.land.naver.com/articles/2653353127", "매물Link")</f>
        <v/>
      </c>
      <c r="M2393" s="6">
        <f>HYPERLINK("https://map.naver.com/p/search/장군면 산학리 140-12", "지도Link")</f>
        <v/>
      </c>
      <c r="N2393" s="6">
        <f>HYPERLINK("http://www.eum.go.kr/web/ar/lu/luLandDet.jsp?pnu=3611035028101400012&amp;isNoScr=script&amp;mode=search", "토지이음")</f>
        <v/>
      </c>
      <c r="O2393" s="3" t="inlineStr">
        <is>
          <t>황제</t>
        </is>
      </c>
      <c r="P2393" s="4" t="n">
        <v>1</v>
      </c>
      <c r="Q2393" s="4" t="n">
        <v>287</v>
      </c>
      <c r="R2393" s="3" t="inlineStr">
        <is>
          <t>지정되지않음</t>
        </is>
      </c>
      <c r="S2393" s="3" t="inlineStr">
        <is>
          <t>단독</t>
        </is>
      </c>
      <c r="T2393" s="3" t="inlineStr">
        <is>
          <t>평지</t>
        </is>
      </c>
      <c r="U2393" s="3" t="inlineStr">
        <is>
          <t>가로장방</t>
        </is>
      </c>
      <c r="V2393" s="3" t="inlineStr">
        <is>
          <t>세로한면(가)</t>
        </is>
      </c>
    </row>
    <row r="2394">
      <c r="A2394" s="3" t="inlineStr">
        <is>
          <t>장군면 산학리 173-4</t>
        </is>
      </c>
      <c r="B2394" s="3" t="inlineStr">
        <is>
          <t>농림지역</t>
        </is>
      </c>
      <c r="C2394" s="3" t="inlineStr">
        <is>
          <t>잡종지</t>
        </is>
      </c>
      <c r="D2394" s="3" t="inlineStr">
        <is>
          <t>잡종지</t>
        </is>
      </c>
      <c r="E2394" s="3" t="inlineStr">
        <is>
          <t>매매</t>
        </is>
      </c>
      <c r="F2394" s="4" t="n">
        <v>265000</v>
      </c>
      <c r="G2394" s="4" t="n">
        <v>2915</v>
      </c>
      <c r="H2394" s="4" t="n">
        <v>882</v>
      </c>
      <c r="I2394" s="5" t="n">
        <v>300.5</v>
      </c>
      <c r="J2394" s="5" t="n">
        <v>59.2</v>
      </c>
      <c r="K2394" s="3" t="inlineStr">
        <is>
          <t>잡종지,서세종ic인접.세종청사4km.농업진흥구역.농업관련판매시설 가능</t>
        </is>
      </c>
      <c r="L2394" s="6">
        <f>HYPERLINK("https://fin.land.naver.com/articles/2651737405", "매물Link")</f>
        <v/>
      </c>
      <c r="M2394" s="6">
        <f>HYPERLINK("https://map.naver.com/p/search/장군면 산학리 173-4", "지도Link")</f>
        <v/>
      </c>
      <c r="N2394" s="6">
        <f>HYPERLINK("http://www.eum.go.kr/web/ar/lu/luLandDet.jsp?pnu=3611035028101730004&amp;isNoScr=script&amp;mode=search", "토지이음")</f>
        <v/>
      </c>
      <c r="O2394" s="3" t="inlineStr">
        <is>
          <t>온담</t>
        </is>
      </c>
      <c r="P2394" s="4" t="n">
        <v>1</v>
      </c>
      <c r="Q2394" s="4" t="n">
        <v>2915</v>
      </c>
      <c r="R2394" s="3" t="inlineStr">
        <is>
          <t>지정되지않음</t>
        </is>
      </c>
      <c r="S2394" s="3" t="inlineStr">
        <is>
          <t>답기타</t>
        </is>
      </c>
      <c r="T2394" s="3" t="inlineStr">
        <is>
          <t>평지</t>
        </is>
      </c>
      <c r="U2394" s="3" t="inlineStr">
        <is>
          <t>가로장방</t>
        </is>
      </c>
      <c r="V2394" s="3" t="inlineStr">
        <is>
          <t>소로각지</t>
        </is>
      </c>
    </row>
    <row r="2395">
      <c r="A2395" s="3" t="inlineStr">
        <is>
          <t>장군면 산학리 192-2</t>
        </is>
      </c>
      <c r="B2395" s="3" t="inlineStr">
        <is>
          <t>농림지역</t>
        </is>
      </c>
      <c r="C2395" s="3" t="inlineStr">
        <is>
          <t>답</t>
        </is>
      </c>
      <c r="D2395" s="3" t="inlineStr">
        <is>
          <t>답</t>
        </is>
      </c>
      <c r="E2395" s="3" t="inlineStr">
        <is>
          <t>매매</t>
        </is>
      </c>
      <c r="F2395" s="4" t="n">
        <v>137000</v>
      </c>
      <c r="G2395" s="4" t="n">
        <v>3025</v>
      </c>
      <c r="H2395" s="4" t="n">
        <v>915</v>
      </c>
      <c r="I2395" s="5" t="n">
        <v>149.7</v>
      </c>
      <c r="J2395" s="5" t="n">
        <v>47.4</v>
      </c>
      <c r="K2395" s="3" t="inlineStr">
        <is>
          <t>대토로 추천하는 포장도로 접한 농림지역 농지입니다.</t>
        </is>
      </c>
      <c r="L2395" s="6">
        <f>HYPERLINK("https://fin.land.naver.com/articles/2652100354", "매물Link")</f>
        <v/>
      </c>
      <c r="M2395" s="6">
        <f>HYPERLINK("https://map.naver.com/p/search/장군면 산학리 192-2", "지도Link")</f>
        <v/>
      </c>
      <c r="N2395" s="6">
        <f>HYPERLINK("http://www.eum.go.kr/web/ar/lu/luLandDet.jsp?pnu=3611035028101920002&amp;isNoScr=script&amp;mode=search", "토지이음")</f>
        <v/>
      </c>
      <c r="O2395" s="3" t="inlineStr">
        <is>
          <t>미스터홈즈강남지사</t>
        </is>
      </c>
      <c r="P2395" s="4" t="n">
        <v>1</v>
      </c>
      <c r="Q2395" s="4" t="n">
        <v>3025</v>
      </c>
      <c r="R2395" s="3" t="inlineStr">
        <is>
          <t>지정되지않음</t>
        </is>
      </c>
      <c r="S2395" s="3" t="inlineStr">
        <is>
          <t>답</t>
        </is>
      </c>
      <c r="T2395" s="3" t="inlineStr">
        <is>
          <t>평지</t>
        </is>
      </c>
      <c r="U2395" s="3" t="inlineStr">
        <is>
          <t>세로장방</t>
        </is>
      </c>
      <c r="V2395" s="3" t="inlineStr">
        <is>
          <t>세로한면(가)</t>
        </is>
      </c>
    </row>
    <row r="2396">
      <c r="A2396" s="3" t="inlineStr">
        <is>
          <t>장군면 산학리 196-2</t>
        </is>
      </c>
      <c r="B2396" s="3" t="inlineStr">
        <is>
          <t>농림지역</t>
        </is>
      </c>
      <c r="C2396" s="3" t="inlineStr">
        <is>
          <t>답</t>
        </is>
      </c>
      <c r="D2396" s="3" t="inlineStr">
        <is>
          <t>답</t>
        </is>
      </c>
      <c r="E2396" s="3" t="inlineStr">
        <is>
          <t>매매</t>
        </is>
      </c>
      <c r="F2396" s="4" t="n">
        <v>146000</v>
      </c>
      <c r="G2396" s="4" t="n">
        <v>4825</v>
      </c>
      <c r="H2396" s="4" t="n">
        <v>1460</v>
      </c>
      <c r="I2396" s="5" t="n">
        <v>100</v>
      </c>
      <c r="J2396" s="5" t="n">
        <v>47.4</v>
      </c>
      <c r="K2396" s="3" t="inlineStr">
        <is>
          <t>세종시 농지매매</t>
        </is>
      </c>
      <c r="L2396" s="6">
        <f>HYPERLINK("https://fin.land.naver.com/articles/2652868806", "매물Link")</f>
        <v/>
      </c>
      <c r="M2396" s="6">
        <f>HYPERLINK("https://map.naver.com/p/search/장군면 산학리 196-2", "지도Link")</f>
        <v/>
      </c>
      <c r="N2396" s="6">
        <f>HYPERLINK("http://www.eum.go.kr/web/ar/lu/luLandDet.jsp?pnu=3611035028101960002&amp;isNoScr=script&amp;mode=search",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1780</v>
      </c>
      <c r="R2396" s="3" t="inlineStr">
        <is>
          <t>지정되지않음</t>
        </is>
      </c>
      <c r="S2396" s="3" t="inlineStr">
        <is>
          <t>답</t>
        </is>
      </c>
      <c r="T2396" s="3" t="inlineStr">
        <is>
          <t>평지</t>
        </is>
      </c>
      <c r="U2396" s="3" t="inlineStr">
        <is>
          <t>세로장방</t>
        </is>
      </c>
      <c r="V2396" s="3" t="inlineStr">
        <is>
          <t>세로한면(가)</t>
        </is>
      </c>
    </row>
    <row r="2397">
      <c r="A2397" s="3" t="inlineStr">
        <is>
          <t>장군면 산학리 200-2</t>
        </is>
      </c>
      <c r="B2397" s="3" t="inlineStr">
        <is>
          <t>농림지역</t>
        </is>
      </c>
      <c r="C2397" s="3" t="inlineStr">
        <is>
          <t>답</t>
        </is>
      </c>
      <c r="D2397" s="3" t="inlineStr">
        <is>
          <t>답</t>
        </is>
      </c>
      <c r="E2397" s="3" t="inlineStr">
        <is>
          <t>매매</t>
        </is>
      </c>
      <c r="F2397" s="4" t="n">
        <v>89400</v>
      </c>
      <c r="G2397" s="4" t="n">
        <v>2955</v>
      </c>
      <c r="H2397" s="4" t="n">
        <v>894</v>
      </c>
      <c r="I2397" s="5" t="n">
        <v>100</v>
      </c>
      <c r="J2397" s="5" t="n">
        <v>47.4</v>
      </c>
      <c r="K2397" s="3" t="inlineStr">
        <is>
          <t>행복도시 인접 금액좋은 농림지역 답.</t>
        </is>
      </c>
      <c r="L2397" s="6">
        <f>HYPERLINK("https://fin.land.naver.com/articles/2654272985", "매물Link")</f>
        <v/>
      </c>
      <c r="M2397" s="6">
        <f>HYPERLINK("https://map.naver.com/p/search/장군면 산학리 200-2", "지도Link")</f>
        <v/>
      </c>
      <c r="N2397" s="6">
        <f>HYPERLINK("http://www.eum.go.kr/web/ar/lu/luLandDet.jsp?pnu=3611035028102000002&amp;isNoScr=script&amp;mode=search", "토지이음")</f>
        <v/>
      </c>
      <c r="O2397" s="3" t="inlineStr">
        <is>
          <t>미스터홈즈강남지사</t>
        </is>
      </c>
      <c r="P2397" s="4" t="n">
        <v>2</v>
      </c>
      <c r="Q2397" s="4" t="n">
        <v>2955</v>
      </c>
      <c r="R2397" s="3" t="inlineStr">
        <is>
          <t>지정되지않음</t>
        </is>
      </c>
      <c r="S2397" s="3" t="inlineStr">
        <is>
          <t>답</t>
        </is>
      </c>
      <c r="T2397" s="3" t="inlineStr">
        <is>
          <t>평지</t>
        </is>
      </c>
      <c r="U2397" s="3" t="inlineStr">
        <is>
          <t>세로장방</t>
        </is>
      </c>
      <c r="V2397" s="3" t="inlineStr">
        <is>
          <t>세로한면(가)</t>
        </is>
      </c>
    </row>
    <row r="2398">
      <c r="A2398" s="3" t="inlineStr">
        <is>
          <t>장군면 산학리 228-2</t>
        </is>
      </c>
      <c r="B2398" s="3" t="inlineStr">
        <is>
          <t>농림지역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45595</v>
      </c>
      <c r="G2398" s="4" t="n">
        <v>2740</v>
      </c>
      <c r="H2398" s="4" t="n">
        <v>829</v>
      </c>
      <c r="I2398" s="5" t="n">
        <v>55</v>
      </c>
      <c r="J2398" s="5" t="n">
        <v>47.8</v>
      </c>
      <c r="K2398" s="3" t="inlineStr">
        <is>
          <t>세종시에 연접한 급매물건</t>
        </is>
      </c>
      <c r="L2398" s="6">
        <f>HYPERLINK("https://fin.land.naver.com/articles/2653340440", "매물Link")</f>
        <v/>
      </c>
      <c r="M2398" s="6">
        <f>HYPERLINK("https://map.naver.com/p/search/장군면 산학리 228-2", "지도Link")</f>
        <v/>
      </c>
      <c r="N2398" s="6">
        <f>HYPERLINK("http://www.eum.go.kr/web/ar/lu/luLandDet.jsp?pnu=3611035028102280002&amp;isNoScr=script&amp;mode=search", "토지이음")</f>
        <v/>
      </c>
      <c r="O2398" s="3" t="inlineStr">
        <is>
          <t>상상</t>
        </is>
      </c>
      <c r="P2398" s="4" t="n">
        <v>2</v>
      </c>
      <c r="Q2398" s="4" t="n">
        <v>2740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세로장방</t>
        </is>
      </c>
      <c r="V2398" s="3" t="inlineStr">
        <is>
          <t>세로한면(가)</t>
        </is>
      </c>
    </row>
    <row r="2399">
      <c r="A2399" s="3" t="inlineStr">
        <is>
          <t>장군면 산학리 289-2</t>
        </is>
      </c>
      <c r="B2399" s="3" t="inlineStr">
        <is>
          <t>계획관리지역</t>
        </is>
      </c>
      <c r="C2399" s="3" t="inlineStr">
        <is>
          <t>대</t>
        </is>
      </c>
      <c r="D2399" s="3" t="inlineStr">
        <is>
          <t>대</t>
        </is>
      </c>
      <c r="E2399" s="3" t="inlineStr">
        <is>
          <t>매매</t>
        </is>
      </c>
      <c r="F2399" s="4" t="n">
        <v>75000</v>
      </c>
      <c r="G2399" s="4" t="n">
        <v>1204</v>
      </c>
      <c r="H2399" s="4" t="n">
        <v>364</v>
      </c>
      <c r="I2399" s="5" t="n">
        <v>206</v>
      </c>
      <c r="J2399" s="5" t="n">
        <v>142.9</v>
      </c>
      <c r="K2399" s="3" t="inlineStr">
        <is>
          <t>2차선 도로접한 토지매매</t>
        </is>
      </c>
      <c r="L2399" s="6">
        <f>HYPERLINK("https://fin.land.naver.com/articles/2652868616", "매물Link")</f>
        <v/>
      </c>
      <c r="M2399" s="6">
        <f>HYPERLINK("https://map.naver.com/p/search/장군면 산학리 289-2", "지도Link")</f>
        <v/>
      </c>
      <c r="N2399" s="6">
        <f>HYPERLINK("http://www.eum.go.kr/web/ar/lu/luLandDet.jsp?pnu=3611035028102890002&amp;isNoScr=script&amp;mode=search",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132</v>
      </c>
      <c r="R2399" s="3" t="inlineStr">
        <is>
          <t>지정되지않음</t>
        </is>
      </c>
      <c r="S2399" s="3" t="inlineStr">
        <is>
          <t>주거기타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세로한면(불)</t>
        </is>
      </c>
    </row>
    <row r="2400">
      <c r="A2400" s="3" t="inlineStr">
        <is>
          <t>장군면 산학리 348-1</t>
        </is>
      </c>
      <c r="B2400" s="3" t="inlineStr">
        <is>
          <t>계획관리지역</t>
        </is>
      </c>
      <c r="C2400" s="3" t="inlineStr">
        <is>
          <t>전</t>
        </is>
      </c>
      <c r="D2400" s="3" t="inlineStr">
        <is>
          <t>전</t>
        </is>
      </c>
      <c r="E2400" s="3" t="inlineStr">
        <is>
          <t>매매</t>
        </is>
      </c>
      <c r="F2400" s="4" t="n">
        <v>20000</v>
      </c>
      <c r="G2400" s="4" t="n">
        <v>336</v>
      </c>
      <c r="H2400" s="4" t="n">
        <v>102</v>
      </c>
      <c r="I2400" s="5" t="n">
        <v>196.1</v>
      </c>
      <c r="J2400" s="5" t="n">
        <v>85.09999999999999</v>
      </c>
      <c r="K2400" s="3" t="inlineStr">
        <is>
          <t>세종시 인근 계획관리 토지로 근린상가, 창고, 식당부지로 개발가능한 땅</t>
        </is>
      </c>
      <c r="L2400" s="6">
        <f>HYPERLINK("https://fin.land.naver.com/articles/2654295906", "매물Link")</f>
        <v/>
      </c>
      <c r="M2400" s="6">
        <f>HYPERLINK("https://map.naver.com/p/search/장군면 산학리 348-1", "지도Link")</f>
        <v/>
      </c>
      <c r="N2400" s="6">
        <f>HYPERLINK("http://www.eum.go.kr/web/ar/lu/luLandDet.jsp?pnu=3611035028103480001&amp;isNoScr=script&amp;mode=search", "토지이음")</f>
        <v/>
      </c>
      <c r="O2400" s="3" t="inlineStr">
        <is>
          <t>신한국</t>
        </is>
      </c>
      <c r="P2400" s="4" t="n">
        <v>1</v>
      </c>
      <c r="Q2400" s="4" t="n">
        <v>107</v>
      </c>
      <c r="R2400" s="3" t="inlineStr">
        <is>
          <t>지정되지않음</t>
        </is>
      </c>
      <c r="S2400" s="3" t="inlineStr">
        <is>
          <t>전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산학리 351</t>
        </is>
      </c>
      <c r="B2401" s="3" t="inlineStr">
        <is>
          <t>계획관리지역</t>
        </is>
      </c>
      <c r="C2401" s="3" t="inlineStr">
        <is>
          <t>답</t>
        </is>
      </c>
      <c r="D2401" s="3" t="inlineStr">
        <is>
          <t>답</t>
        </is>
      </c>
      <c r="E2401" s="3" t="inlineStr">
        <is>
          <t>매매</t>
        </is>
      </c>
      <c r="F2401" s="4" t="n">
        <v>150000</v>
      </c>
      <c r="G2401" s="4" t="n">
        <v>4963</v>
      </c>
      <c r="H2401" s="4" t="n">
        <v>1501</v>
      </c>
      <c r="I2401" s="5" t="n">
        <v>99.90000000000001</v>
      </c>
      <c r="J2401" s="5" t="n">
        <v>31.4</v>
      </c>
      <c r="K2401" s="3" t="inlineStr">
        <is>
          <t>세종시 최인접 토지</t>
        </is>
      </c>
      <c r="L2401" s="6">
        <f>HYPERLINK("https://fin.land.naver.com/articles/2652260810", "매물Link")</f>
        <v/>
      </c>
      <c r="M2401" s="6">
        <f>HYPERLINK("https://map.naver.com/p/search/장군면 산학리 351", "지도Link")</f>
        <v/>
      </c>
      <c r="N2401" s="6">
        <f>HYPERLINK("http://www.eum.go.kr/web/ar/lu/luLandDet.jsp?pnu=3611035028103510000&amp;isNoScr=script&amp;mode=search", "토지이음")</f>
        <v/>
      </c>
      <c r="O2401" s="3" t="inlineStr">
        <is>
          <t>새땅</t>
        </is>
      </c>
      <c r="P2401" s="4" t="n">
        <v>1</v>
      </c>
      <c r="Q2401" s="4" t="n">
        <v>585</v>
      </c>
      <c r="R2401" s="3" t="inlineStr">
        <is>
          <t>지정되지않음</t>
        </is>
      </c>
      <c r="S2401" s="3" t="inlineStr">
        <is>
          <t>전</t>
        </is>
      </c>
      <c r="T2401" s="3" t="inlineStr">
        <is>
          <t>완경사</t>
        </is>
      </c>
      <c r="U2401" s="3" t="inlineStr">
        <is>
          <t>가로장방</t>
        </is>
      </c>
      <c r="V2401" s="3" t="inlineStr">
        <is>
          <t>맹지</t>
        </is>
      </c>
    </row>
    <row r="2402">
      <c r="A2402" s="3" t="inlineStr">
        <is>
          <t>장군면 산학리 393</t>
        </is>
      </c>
      <c r="B2402" s="3" t="inlineStr">
        <is>
          <t>생산관리지역</t>
        </is>
      </c>
      <c r="C2402" s="3" t="inlineStr">
        <is>
          <t>전</t>
        </is>
      </c>
      <c r="D2402" s="3" t="inlineStr">
        <is>
          <t>전</t>
        </is>
      </c>
      <c r="E2402" s="3" t="inlineStr">
        <is>
          <t>매매</t>
        </is>
      </c>
      <c r="F2402" s="4" t="n">
        <v>18000</v>
      </c>
      <c r="G2402" s="4" t="n">
        <v>783</v>
      </c>
      <c r="H2402" s="4" t="n">
        <v>237</v>
      </c>
      <c r="I2402" s="5" t="n">
        <v>75.90000000000001</v>
      </c>
      <c r="J2402" s="5" t="n">
        <v>34</v>
      </c>
      <c r="K2402" s="3" t="inlineStr">
        <is>
          <t>장군면 산학리 도로에길게접한 전</t>
        </is>
      </c>
      <c r="L2402" s="6">
        <f>HYPERLINK("https://fin.land.naver.com/articles/2653835305", "매물Link")</f>
        <v/>
      </c>
      <c r="M2402" s="6">
        <f>HYPERLINK("https://map.naver.com/p/search/장군면 산학리 393", "지도Link")</f>
        <v/>
      </c>
      <c r="N2402" s="6">
        <f>HYPERLINK("http://www.eum.go.kr/web/ar/lu/luLandDet.jsp?pnu=3611035028103930000&amp;isNoScr=script&amp;mode=search", "토지이음")</f>
        <v/>
      </c>
      <c r="O2402" s="3" t="inlineStr">
        <is>
          <t>세종천지</t>
        </is>
      </c>
      <c r="P2402" s="4" t="n">
        <v>1</v>
      </c>
      <c r="Q2402" s="4" t="n">
        <v>783</v>
      </c>
      <c r="R2402" s="3" t="inlineStr">
        <is>
          <t>지정되지않음</t>
        </is>
      </c>
      <c r="S2402" s="3" t="inlineStr">
        <is>
          <t>전</t>
        </is>
      </c>
      <c r="T2402" s="3" t="inlineStr">
        <is>
          <t>평지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산학리 397</t>
        </is>
      </c>
      <c r="B2403" s="3" t="inlineStr">
        <is>
          <t>계획관리지역</t>
        </is>
      </c>
      <c r="C2403" s="3" t="inlineStr">
        <is>
          <t>전</t>
        </is>
      </c>
      <c r="D2403" s="3" t="inlineStr">
        <is>
          <t>대</t>
        </is>
      </c>
      <c r="E2403" s="3" t="inlineStr">
        <is>
          <t>매매</t>
        </is>
      </c>
      <c r="F2403" s="4" t="n">
        <v>25000</v>
      </c>
      <c r="G2403" s="4" t="n">
        <v>774</v>
      </c>
      <c r="H2403" s="4" t="n">
        <v>234</v>
      </c>
      <c r="I2403" s="5" t="n">
        <v>106.8</v>
      </c>
      <c r="J2403" s="5" t="n">
        <v>45</v>
      </c>
      <c r="K2403" s="3" t="inlineStr">
        <is>
          <t>도심과 가까우면서도 조용, 청정지역</t>
        </is>
      </c>
      <c r="L2403" s="6">
        <f>HYPERLINK("https://fin.land.naver.com/articles/2652683134", "매물Link")</f>
        <v/>
      </c>
      <c r="M2403" s="6">
        <f>HYPERLINK("https://map.naver.com/p/search/장군면 산학리 397", "지도Link")</f>
        <v/>
      </c>
      <c r="N2403" s="6">
        <f>HYPERLINK("http://www.eum.go.kr/web/ar/lu/luLandDet.jsp?pnu=3611035028103970000&amp;isNoScr=script&amp;mode=search", "토지이음")</f>
        <v/>
      </c>
      <c r="O2403" s="3" t="inlineStr">
        <is>
          <t>새땅</t>
        </is>
      </c>
      <c r="P2403" s="4" t="n">
        <v>1</v>
      </c>
      <c r="Q2403" s="4" t="n">
        <v>774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산학리 456-1</t>
        </is>
      </c>
      <c r="B2404" s="3" t="inlineStr">
        <is>
          <t>생산관리지역</t>
        </is>
      </c>
      <c r="C2404" s="3" t="inlineStr">
        <is>
          <t>전</t>
        </is>
      </c>
      <c r="D2404" s="3" t="inlineStr">
        <is>
          <t>대</t>
        </is>
      </c>
      <c r="E2404" s="3" t="inlineStr">
        <is>
          <t>매매</t>
        </is>
      </c>
      <c r="F2404" s="4" t="n">
        <v>16000</v>
      </c>
      <c r="G2404" s="4" t="n">
        <v>2062</v>
      </c>
      <c r="H2404" s="4" t="n">
        <v>624</v>
      </c>
      <c r="I2404" s="5" t="n">
        <v>25.6</v>
      </c>
      <c r="J2404" s="5" t="n">
        <v>24.2</v>
      </c>
      <c r="K2404" s="3" t="inlineStr">
        <is>
          <t>nan</t>
        </is>
      </c>
      <c r="L2404" s="6">
        <f>HYPERLINK("https://fin.land.naver.com/articles/2650862819", "매물Link")</f>
        <v/>
      </c>
      <c r="M2404" s="6">
        <f>HYPERLINK("https://map.naver.com/p/search/장군면 산학리 456-1", "지도Link")</f>
        <v/>
      </c>
      <c r="N2404" s="6">
        <f>HYPERLINK("http://www.eum.go.kr/web/ar/lu/luLandDet.jsp?pnu=3611035028104560001&amp;isNoScr=script&amp;mode=search", "토지이음")</f>
        <v/>
      </c>
      <c r="O2404" s="3" t="inlineStr">
        <is>
          <t>새시대</t>
        </is>
      </c>
      <c r="P2404" s="4" t="n">
        <v>1</v>
      </c>
      <c r="Q2404" s="4" t="n">
        <v>922</v>
      </c>
      <c r="R2404" s="3" t="inlineStr">
        <is>
          <t>지정되지않음</t>
        </is>
      </c>
      <c r="S2404" s="3" t="inlineStr">
        <is>
          <t>답기타</t>
        </is>
      </c>
      <c r="T2404" s="3" t="inlineStr">
        <is>
          <t>급경사</t>
        </is>
      </c>
      <c r="U2404" s="3" t="inlineStr">
        <is>
          <t>부정형</t>
        </is>
      </c>
      <c r="V2404" s="3" t="inlineStr">
        <is>
          <t>세로한면(불)</t>
        </is>
      </c>
    </row>
    <row r="2405">
      <c r="A2405" s="3" t="inlineStr">
        <is>
          <t>장군면 산학리 48-4</t>
        </is>
      </c>
      <c r="B2405" s="3" t="inlineStr">
        <is>
          <t>계획관리지역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90600</v>
      </c>
      <c r="G2405" s="4" t="n">
        <v>1000</v>
      </c>
      <c r="H2405" s="4" t="n">
        <v>302</v>
      </c>
      <c r="I2405" s="5" t="n">
        <v>300</v>
      </c>
      <c r="J2405" s="5" t="n">
        <v>54.2</v>
      </c>
      <c r="K2405" s="3" t="inlineStr">
        <is>
          <t>도로 접한 예쁜 토지 매매,영평사 근처로 카페나 상가 추천 드려요</t>
        </is>
      </c>
      <c r="L2405" s="6">
        <f>HYPERLINK("https://fin.land.naver.com/articles/2655507014", "매물Link")</f>
        <v/>
      </c>
      <c r="M2405" s="6">
        <f>HYPERLINK("https://map.naver.com/p/search/장군면 산학리 48-4", "지도Link")</f>
        <v/>
      </c>
      <c r="N2405" s="6">
        <f>HYPERLINK("http://www.eum.go.kr/web/ar/lu/luLandDet.jsp?pnu=3611035028100480004&amp;isNoScr=script&amp;mode=search", "토지이음")</f>
        <v/>
      </c>
      <c r="O2405" s="3" t="inlineStr">
        <is>
          <t>태양투</t>
        </is>
      </c>
      <c r="P2405" s="4" t="n">
        <v>1</v>
      </c>
      <c r="Q2405" s="4" t="n">
        <v>1000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부정형</t>
        </is>
      </c>
      <c r="V2405" s="3" t="inlineStr">
        <is>
          <t>소로한면</t>
        </is>
      </c>
    </row>
    <row r="2406">
      <c r="A2406" s="3" t="inlineStr">
        <is>
          <t>장군면 산학리 61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169000</v>
      </c>
      <c r="G2406" s="4" t="n">
        <v>3279</v>
      </c>
      <c r="H2406" s="4" t="n">
        <v>992</v>
      </c>
      <c r="I2406" s="5" t="n">
        <v>170.4</v>
      </c>
      <c r="J2406" s="5" t="n">
        <v>57</v>
      </c>
      <c r="K2406" s="3" t="inlineStr">
        <is>
          <t>영평사 인근 계획관리지역 토지매매</t>
        </is>
      </c>
      <c r="L2406" s="6">
        <f>HYPERLINK("https://fin.land.naver.com/articles/2652869679", "매물Link")</f>
        <v/>
      </c>
      <c r="M2406" s="6">
        <f>HYPERLINK("https://map.naver.com/p/search/장군면 산학리 61", "지도Link")</f>
        <v/>
      </c>
      <c r="N2406" s="6">
        <f>HYPERLINK("http://www.eum.go.kr/web/ar/lu/luLandDet.jsp?pnu=3611035028100610000&amp;isNoScr=script&amp;mode=search", "토지이음")</f>
        <v/>
      </c>
      <c r="O2406" s="3" t="inlineStr">
        <is>
          <t>에이스</t>
        </is>
      </c>
      <c r="P2406" s="4" t="n">
        <v>1</v>
      </c>
      <c r="Q2406" s="4" t="n">
        <v>3279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맹지</t>
        </is>
      </c>
    </row>
    <row r="2407">
      <c r="A2407" s="3" t="inlineStr">
        <is>
          <t>장군면 산학리 62</t>
        </is>
      </c>
      <c r="B2407" s="3" t="inlineStr">
        <is>
          <t>계획관리지역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110000</v>
      </c>
      <c r="G2407" s="4" t="n">
        <v>2655</v>
      </c>
      <c r="H2407" s="4" t="n">
        <v>803</v>
      </c>
      <c r="I2407" s="5" t="n">
        <v>137</v>
      </c>
      <c r="J2407" s="5" t="n">
        <v>57</v>
      </c>
      <c r="K2407" s="3" t="inlineStr">
        <is>
          <t>영평사 인근 계획관리지역 토지매매</t>
        </is>
      </c>
      <c r="L2407" s="6">
        <f>HYPERLINK("https://fin.land.naver.com/articles/2652869060", "매물Link")</f>
        <v/>
      </c>
      <c r="M2407" s="6">
        <f>HYPERLINK("https://map.naver.com/p/search/장군면 산학리 62", "지도Link")</f>
        <v/>
      </c>
      <c r="N2407" s="6">
        <f>HYPERLINK("http://www.eum.go.kr/web/ar/lu/luLandDet.jsp?pnu=3611035028100620000&amp;isNoScr=script&amp;mode=search", "토지이음")</f>
        <v/>
      </c>
      <c r="O2407" s="3" t="inlineStr">
        <is>
          <t>에이스</t>
        </is>
      </c>
      <c r="P2407" s="4" t="n">
        <v>1</v>
      </c>
      <c r="Q2407" s="4" t="n">
        <v>2655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산학리 66-11</t>
        </is>
      </c>
      <c r="B2408" s="3" t="inlineStr">
        <is>
          <t>보전관리지역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65000</v>
      </c>
      <c r="G2408" s="4" t="n">
        <v>800</v>
      </c>
      <c r="H2408" s="4" t="n">
        <v>242</v>
      </c>
      <c r="I2408" s="5" t="n">
        <v>268.6</v>
      </c>
      <c r="J2408" s="5" t="n">
        <v>80.3</v>
      </c>
      <c r="K2408" s="3" t="inlineStr">
        <is>
          <t>주택지 착한가격협의 급어떨까요 위치  인프라 조성 완료 이웃 집 입주했음</t>
        </is>
      </c>
      <c r="L2408" s="6">
        <f>HYPERLINK("https://fin.land.naver.com/articles/2651712496", "매물Link")</f>
        <v/>
      </c>
      <c r="M2408" s="6">
        <f>HYPERLINK("https://map.naver.com/p/search/장군면 산학리 66-11", "지도Link")</f>
        <v/>
      </c>
      <c r="N2408" s="6">
        <f>HYPERLINK("http://www.eum.go.kr/web/ar/lu/luLandDet.jsp?pnu=3611035028100660011&amp;isNoScr=script&amp;mode=search", "토지이음")</f>
        <v/>
      </c>
      <c r="O2408" s="3" t="inlineStr">
        <is>
          <t>세종시삼성래미안</t>
        </is>
      </c>
      <c r="P2408" s="4" t="n">
        <v>1</v>
      </c>
      <c r="Q2408" s="4" t="n">
        <v>523</v>
      </c>
      <c r="R2408" s="3" t="inlineStr">
        <is>
          <t>지정되지않음</t>
        </is>
      </c>
      <c r="S2408" s="3" t="inlineStr">
        <is>
          <t>주거나지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소로한면</t>
        </is>
      </c>
    </row>
    <row r="2409">
      <c r="A2409" s="3" t="inlineStr">
        <is>
          <t>장군면 산학리 96</t>
        </is>
      </c>
      <c r="B2409" s="3" t="inlineStr">
        <is>
          <t>생산관리지역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59000</v>
      </c>
      <c r="G2409" s="4" t="n">
        <v>2817</v>
      </c>
      <c r="H2409" s="4" t="n">
        <v>852</v>
      </c>
      <c r="I2409" s="5" t="n">
        <v>69.2</v>
      </c>
      <c r="J2409" s="5" t="n">
        <v>26.2</v>
      </c>
      <c r="K2409" s="3" t="inlineStr">
        <is>
          <t>급매,도로접한 저렴한 투자용 토지,생산.성장관리지역,가격조정가능</t>
        </is>
      </c>
      <c r="L2409" s="6">
        <f>HYPERLINK("https://fin.land.naver.com/articles/2653434257", "매물Link")</f>
        <v/>
      </c>
      <c r="M2409" s="6">
        <f>HYPERLINK("https://map.naver.com/p/search/장군면 산학리 96", "지도Link")</f>
        <v/>
      </c>
      <c r="N2409" s="6">
        <f>HYPERLINK("http://www.eum.go.kr/web/ar/lu/luLandDet.jsp?pnu=3611035028100960000&amp;isNoScr=script&amp;mode=search", "토지이음")</f>
        <v/>
      </c>
      <c r="O2409" s="3" t="inlineStr">
        <is>
          <t>고운맘</t>
        </is>
      </c>
      <c r="P2409" s="4" t="n">
        <v>1</v>
      </c>
      <c r="Q2409" s="4" t="n">
        <v>2817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가로장방</t>
        </is>
      </c>
      <c r="V2409" s="3" t="inlineStr">
        <is>
          <t>세로한면(불)</t>
        </is>
      </c>
    </row>
    <row r="2410">
      <c r="A2410" s="3" t="inlineStr">
        <is>
          <t>장군면 산학리 산18</t>
        </is>
      </c>
      <c r="B2410" s="3" t="inlineStr">
        <is>
          <t>농림지역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500000</v>
      </c>
      <c r="G2410" s="4" t="n">
        <v>79736</v>
      </c>
      <c r="H2410" s="4" t="n">
        <v>24120</v>
      </c>
      <c r="I2410" s="5" t="n">
        <v>20.7</v>
      </c>
      <c r="J2410" s="5" t="n">
        <v>3.9</v>
      </c>
      <c r="K2410" s="3" t="inlineStr">
        <is>
          <t>강가를 바라보는 대형평수 토지 건축가능 시세이하 투자가치좋은 땅</t>
        </is>
      </c>
      <c r="L2410" s="6">
        <f>HYPERLINK("https://fin.land.naver.com/articles/2653464900", "매물Link")</f>
        <v/>
      </c>
      <c r="M2410" s="6">
        <f>HYPERLINK("https://map.naver.com/p/search/장군면 산학리 산18", "지도Link")</f>
        <v/>
      </c>
      <c r="N2410" s="6">
        <f>HYPERLINK("http://www.eum.go.kr/web/ar/lu/luLandDet.jsp?pnu=3611035028200180000&amp;isNoScr=script&amp;mode=search", "토지이음")</f>
        <v/>
      </c>
      <c r="O2410" s="3" t="inlineStr">
        <is>
          <t>신안산</t>
        </is>
      </c>
      <c r="P2410" s="4" t="n">
        <v>3</v>
      </c>
      <c r="Q2410" s="4" t="n">
        <v>79736</v>
      </c>
      <c r="R2410" s="3" t="inlineStr">
        <is>
          <t>보전관리지역</t>
        </is>
      </c>
      <c r="S2410" s="3" t="inlineStr">
        <is>
          <t>자연림</t>
        </is>
      </c>
      <c r="T2410" s="3" t="inlineStr">
        <is>
          <t>급경사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산학리 산18</t>
        </is>
      </c>
      <c r="B2411" s="3" t="inlineStr">
        <is>
          <t>농림지역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500000</v>
      </c>
      <c r="G2411" s="4" t="n">
        <v>79736</v>
      </c>
      <c r="H2411" s="4" t="n">
        <v>24120</v>
      </c>
      <c r="I2411" s="5" t="n">
        <v>20.7</v>
      </c>
      <c r="J2411" s="5" t="n">
        <v>3.9</v>
      </c>
      <c r="K2411" s="3" t="inlineStr">
        <is>
          <t>세종 영평사 인근 풍수 뛰어난 임야. 종중땅 추천</t>
        </is>
      </c>
      <c r="L2411" s="6">
        <f>HYPERLINK("https://fin.land.naver.com/articles/2655123957", "매물Link")</f>
        <v/>
      </c>
      <c r="M2411" s="6">
        <f>HYPERLINK("https://map.naver.com/p/search/장군면 산학리 산18", "지도Link")</f>
        <v/>
      </c>
      <c r="N2411" s="6">
        <f>HYPERLINK("http://www.eum.go.kr/web/ar/lu/luLandDet.jsp?pnu=3611035028200180000&amp;isNoScr=script&amp;mode=search", "토지이음")</f>
        <v/>
      </c>
      <c r="O2411" s="3" t="inlineStr">
        <is>
          <t>세종금밭</t>
        </is>
      </c>
      <c r="P2411" s="4" t="n">
        <v>1</v>
      </c>
      <c r="Q2411" s="4" t="n">
        <v>79736</v>
      </c>
      <c r="R2411" s="3" t="inlineStr">
        <is>
          <t>보전관리지역</t>
        </is>
      </c>
      <c r="S2411" s="3" t="inlineStr">
        <is>
          <t>자연림</t>
        </is>
      </c>
      <c r="T2411" s="3" t="inlineStr">
        <is>
          <t>급경사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141-3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42000</v>
      </c>
      <c r="G2412" s="4" t="n">
        <v>660</v>
      </c>
      <c r="H2412" s="4" t="n">
        <v>200</v>
      </c>
      <c r="I2412" s="5" t="n">
        <v>210</v>
      </c>
      <c r="J2412" s="5" t="n">
        <v>79.40000000000001</v>
      </c>
      <c r="K2412" s="3" t="inlineStr">
        <is>
          <t>도로접 계획관리지역 알토란 토지 다용도목적 사용가능</t>
        </is>
      </c>
      <c r="L2412" s="6">
        <f>HYPERLINK("https://fin.land.naver.com/articles/2652746410", "매물Link")</f>
        <v/>
      </c>
      <c r="M2412" s="6">
        <f>HYPERLINK("https://map.naver.com/p/search/장군면 송문리 141-3", "지도Link")</f>
        <v/>
      </c>
      <c r="N2412" s="6">
        <f>HYPERLINK("http://www.eum.go.kr/web/ar/lu/luLandDet.jsp?pnu=3611035029101410003&amp;isNoScr=script&amp;mode=search",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660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평지</t>
        </is>
      </c>
      <c r="U2412" s="3" t="inlineStr">
        <is>
          <t>가로장방</t>
        </is>
      </c>
      <c r="V2412" s="3" t="inlineStr">
        <is>
          <t>세로한면(가)</t>
        </is>
      </c>
    </row>
    <row r="2413">
      <c r="A2413" s="3" t="inlineStr">
        <is>
          <t>장군면 송문리 236-3</t>
        </is>
      </c>
      <c r="B2413" s="3" t="inlineStr">
        <is>
          <t>계획관리지역</t>
        </is>
      </c>
      <c r="C2413" s="3" t="inlineStr">
        <is>
          <t>전</t>
        </is>
      </c>
      <c r="D2413" s="3" t="inlineStr">
        <is>
          <t>전</t>
        </is>
      </c>
      <c r="E2413" s="3" t="inlineStr">
        <is>
          <t>매매</t>
        </is>
      </c>
      <c r="F2413" s="4" t="n">
        <v>90000</v>
      </c>
      <c r="G2413" s="4" t="n">
        <v>1944</v>
      </c>
      <c r="H2413" s="4" t="n">
        <v>588</v>
      </c>
      <c r="I2413" s="5" t="n">
        <v>153.1</v>
      </c>
      <c r="J2413" s="5" t="n">
        <v>37.1</v>
      </c>
      <c r="K2413" s="3" t="inlineStr">
        <is>
          <t>장군면 계획관리지역 토지매매</t>
        </is>
      </c>
      <c r="L2413" s="6">
        <f>HYPERLINK("https://fin.land.naver.com/articles/2652027832", "매물Link")</f>
        <v/>
      </c>
      <c r="M2413" s="6">
        <f>HYPERLINK("https://map.naver.com/p/search/장군면 송문리 236-3", "지도Link")</f>
        <v/>
      </c>
      <c r="N2413" s="6">
        <f>HYPERLINK("http://www.eum.go.kr/web/ar/lu/luLandDet.jsp?pnu=3611035029102360003&amp;isNoScr=script&amp;mode=search", "토지이음")</f>
        <v/>
      </c>
      <c r="O2413" s="3" t="inlineStr">
        <is>
          <t>에이스</t>
        </is>
      </c>
      <c r="P2413" s="4" t="n">
        <v>1</v>
      </c>
      <c r="Q2413" s="4" t="n">
        <v>1944</v>
      </c>
      <c r="R2413" s="3" t="inlineStr">
        <is>
          <t>지정되지않음</t>
        </is>
      </c>
      <c r="S2413" s="3" t="inlineStr">
        <is>
          <t>전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맹지</t>
        </is>
      </c>
    </row>
    <row r="2414">
      <c r="A2414" s="3" t="inlineStr">
        <is>
          <t>장군면 송문리 248-1</t>
        </is>
      </c>
      <c r="B2414" s="3" t="inlineStr">
        <is>
          <t>계획관리지역</t>
        </is>
      </c>
      <c r="C2414" s="3" t="inlineStr">
        <is>
          <t>전</t>
        </is>
      </c>
      <c r="D2414" s="3" t="inlineStr">
        <is>
          <t>전</t>
        </is>
      </c>
      <c r="E2414" s="3" t="inlineStr">
        <is>
          <t>매매</t>
        </is>
      </c>
      <c r="F2414" s="4" t="n">
        <v>120000</v>
      </c>
      <c r="G2414" s="4" t="n">
        <v>2694</v>
      </c>
      <c r="H2414" s="4" t="n">
        <v>815</v>
      </c>
      <c r="I2414" s="5" t="n">
        <v>147.2</v>
      </c>
      <c r="J2414" s="5" t="n">
        <v>53.9</v>
      </c>
      <c r="K2414" s="3" t="inlineStr">
        <is>
          <t>nan</t>
        </is>
      </c>
      <c r="L2414" s="6">
        <f>HYPERLINK("https://fin.land.naver.com/articles/2651401292", "매물Link")</f>
        <v/>
      </c>
      <c r="M2414" s="6">
        <f>HYPERLINK("https://map.naver.com/p/search/장군면 송문리 248-1", "지도Link")</f>
        <v/>
      </c>
      <c r="N2414" s="6">
        <f>HYPERLINK("http://www.eum.go.kr/web/ar/lu/luLandDet.jsp?pnu=3611035029102480001&amp;isNoScr=script&amp;mode=search", "토지이음")</f>
        <v/>
      </c>
      <c r="O2414" s="3" t="inlineStr">
        <is>
          <t>세종지평</t>
        </is>
      </c>
      <c r="P2414" s="4" t="n">
        <v>1</v>
      </c>
      <c r="Q2414" s="4" t="n">
        <v>2694</v>
      </c>
      <c r="R2414" s="3" t="inlineStr">
        <is>
          <t>지정되지않음</t>
        </is>
      </c>
      <c r="S2414" s="3" t="inlineStr">
        <is>
          <t>전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송문리 249</t>
        </is>
      </c>
      <c r="B2415" s="3" t="inlineStr">
        <is>
          <t>계획관리지역</t>
        </is>
      </c>
      <c r="C2415" s="3" t="inlineStr">
        <is>
          <t>공장용지</t>
        </is>
      </c>
      <c r="D2415" s="3" t="inlineStr">
        <is>
          <t>대</t>
        </is>
      </c>
      <c r="E2415" s="3" t="inlineStr">
        <is>
          <t>매매</t>
        </is>
      </c>
      <c r="F2415" s="4" t="n">
        <v>165000</v>
      </c>
      <c r="G2415" s="4" t="n">
        <v>2456</v>
      </c>
      <c r="H2415" s="4" t="n">
        <v>743</v>
      </c>
      <c r="I2415" s="5" t="n">
        <v>222.1</v>
      </c>
      <c r="J2415" s="5" t="n">
        <v>101.6</v>
      </c>
      <c r="K2415" s="3" t="inlineStr">
        <is>
          <t>nan</t>
        </is>
      </c>
      <c r="L2415" s="6">
        <f>HYPERLINK("https://fin.land.naver.com/articles/2652728753", "매물Link")</f>
        <v/>
      </c>
      <c r="M2415" s="6">
        <f>HYPERLINK("https://map.naver.com/p/search/장군면 송문리 249", "지도Link")</f>
        <v/>
      </c>
      <c r="N2415" s="6">
        <f>HYPERLINK("http://www.eum.go.kr/web/ar/lu/luLandDet.jsp?pnu=3611035029102490000&amp;isNoScr=script&amp;mode=search", "토지이음")</f>
        <v/>
      </c>
      <c r="O2415" s="3" t="inlineStr">
        <is>
          <t>대박</t>
        </is>
      </c>
      <c r="P2415" s="4" t="n">
        <v>1</v>
      </c>
      <c r="Q2415" s="4" t="n">
        <v>2456</v>
      </c>
      <c r="R2415" s="3" t="inlineStr">
        <is>
          <t>지정되지않음</t>
        </is>
      </c>
      <c r="S2415" s="3" t="inlineStr">
        <is>
          <t>공업용</t>
        </is>
      </c>
      <c r="T2415" s="3" t="inlineStr">
        <is>
          <t>평지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송문리 26-3</t>
        </is>
      </c>
      <c r="B2416" s="3" t="inlineStr">
        <is>
          <t>계획관리지역</t>
        </is>
      </c>
      <c r="C2416" s="3" t="inlineStr">
        <is>
          <t>대</t>
        </is>
      </c>
      <c r="D2416" s="3" t="inlineStr">
        <is>
          <t>대</t>
        </is>
      </c>
      <c r="E2416" s="3" t="inlineStr">
        <is>
          <t>매매</t>
        </is>
      </c>
      <c r="F2416" s="4" t="n">
        <v>48000</v>
      </c>
      <c r="G2416" s="4" t="n">
        <v>932</v>
      </c>
      <c r="H2416" s="4" t="n">
        <v>282</v>
      </c>
      <c r="I2416" s="5" t="n">
        <v>170.2</v>
      </c>
      <c r="J2416" s="5" t="n">
        <v>94.2</v>
      </c>
      <c r="K2416" s="3" t="inlineStr">
        <is>
          <t>생명나무, 초급매 도로낀 계획관리 사각형모양 ,대교천 가까운 토지</t>
        </is>
      </c>
      <c r="L2416" s="6">
        <f>HYPERLINK("https://fin.land.naver.com/articles/2651248453", "매물Link")</f>
        <v/>
      </c>
      <c r="M2416" s="6">
        <f>HYPERLINK("https://map.naver.com/p/search/장군면 송문리 26-3", "지도Link")</f>
        <v/>
      </c>
      <c r="N2416" s="6">
        <f>HYPERLINK("http://www.eum.go.kr/web/ar/lu/luLandDet.jsp?pnu=3611035029100260003&amp;isNoScr=script&amp;mode=search", "토지이음")</f>
        <v/>
      </c>
      <c r="O2416" s="3" t="inlineStr">
        <is>
          <t>생명나무</t>
        </is>
      </c>
      <c r="P2416" s="4" t="n">
        <v>1</v>
      </c>
      <c r="Q2416" s="4" t="n">
        <v>200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세로한면(가)</t>
        </is>
      </c>
    </row>
    <row r="2417">
      <c r="A2417" s="3" t="inlineStr">
        <is>
          <t>장군면 송문리 281-1</t>
        </is>
      </c>
      <c r="B2417" s="3" t="inlineStr">
        <is>
          <t>보전관리지역</t>
        </is>
      </c>
      <c r="C2417" s="3" t="inlineStr">
        <is>
          <t>대</t>
        </is>
      </c>
      <c r="D2417" s="3" t="inlineStr">
        <is>
          <t>대</t>
        </is>
      </c>
      <c r="E2417" s="3" t="inlineStr">
        <is>
          <t>매매</t>
        </is>
      </c>
      <c r="F2417" s="4" t="n">
        <v>28000</v>
      </c>
      <c r="G2417" s="4" t="n">
        <v>511</v>
      </c>
      <c r="H2417" s="4" t="n">
        <v>155</v>
      </c>
      <c r="I2417" s="5" t="n">
        <v>180.6</v>
      </c>
      <c r="J2417" s="5" t="n">
        <v>80</v>
      </c>
      <c r="K2417" s="3" t="inlineStr">
        <is>
          <t>막힘없는 조망권뷰 최상 전원주택지,가격조정가능</t>
        </is>
      </c>
      <c r="L2417" s="6">
        <f>HYPERLINK("https://fin.land.naver.com/articles/2654645599", "매물Link")</f>
        <v/>
      </c>
      <c r="M2417" s="6">
        <f>HYPERLINK("https://map.naver.com/p/search/장군면 송문리 281-1", "지도Link")</f>
        <v/>
      </c>
      <c r="N2417" s="6">
        <f>HYPERLINK("http://www.eum.go.kr/web/ar/lu/luLandDet.jsp?pnu=3611035029102810001&amp;isNoScr=script&amp;mode=search", "토지이음")</f>
        <v/>
      </c>
      <c r="O2417" s="3" t="inlineStr">
        <is>
          <t>고운맘</t>
        </is>
      </c>
      <c r="P2417" s="4" t="n">
        <v>1</v>
      </c>
      <c r="Q2417" s="4" t="n">
        <v>449</v>
      </c>
      <c r="R2417" s="3" t="inlineStr">
        <is>
          <t>지정되지않음</t>
        </is>
      </c>
      <c r="S2417" s="3" t="inlineStr">
        <is>
          <t>주거기타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세로한면(가)</t>
        </is>
      </c>
    </row>
    <row r="2418">
      <c r="A2418" s="3" t="inlineStr">
        <is>
          <t>장군면 송문리 281-32</t>
        </is>
      </c>
      <c r="B2418" s="3" t="inlineStr">
        <is>
          <t>보전관리지역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60000</v>
      </c>
      <c r="G2418" s="4" t="n">
        <v>1412</v>
      </c>
      <c r="H2418" s="4" t="n">
        <v>427</v>
      </c>
      <c r="I2418" s="5" t="n">
        <v>140.5</v>
      </c>
      <c r="J2418" s="5" t="n">
        <v>31.4</v>
      </c>
      <c r="K2418" s="3" t="inlineStr">
        <is>
          <t>장래 유망한 토지</t>
        </is>
      </c>
      <c r="L2418" s="6">
        <f>HYPERLINK("https://fin.land.naver.com/articles/2652262321", "매물Link")</f>
        <v/>
      </c>
      <c r="M2418" s="6">
        <f>HYPERLINK("https://map.naver.com/p/search/장군면 송문리 281-32", "지도Link")</f>
        <v/>
      </c>
      <c r="N2418" s="6">
        <f>HYPERLINK("http://www.eum.go.kr/web/ar/lu/luLandDet.jsp?pnu=3611035029102810032&amp;isNoScr=script&amp;mode=search", "토지이음")</f>
        <v/>
      </c>
      <c r="O2418" s="3" t="inlineStr">
        <is>
          <t>새땅</t>
        </is>
      </c>
      <c r="P2418" s="4" t="n">
        <v>1</v>
      </c>
      <c r="Q2418" s="4" t="n">
        <v>1412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가로장방</t>
        </is>
      </c>
      <c r="V2418" s="3" t="inlineStr">
        <is>
          <t>세로한면(가)</t>
        </is>
      </c>
    </row>
    <row r="2419">
      <c r="A2419" s="3" t="inlineStr">
        <is>
          <t>장군면 송문리 30-5</t>
        </is>
      </c>
      <c r="B2419" s="3" t="inlineStr">
        <is>
          <t>계획관리지역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26000</v>
      </c>
      <c r="G2419" s="4" t="n">
        <v>499</v>
      </c>
      <c r="H2419" s="4" t="n">
        <v>151</v>
      </c>
      <c r="I2419" s="5" t="n">
        <v>172.2</v>
      </c>
      <c r="J2419" s="5" t="n">
        <v>41.8</v>
      </c>
      <c r="K2419" s="3" t="inlineStr">
        <is>
          <t>계획관리, 풍경 좋은  일조권 좋은토지입니다</t>
        </is>
      </c>
      <c r="L2419" s="6">
        <f>HYPERLINK("https://fin.land.naver.com/articles/2655664222", "매물Link")</f>
        <v/>
      </c>
      <c r="M2419" s="6">
        <f>HYPERLINK("https://map.naver.com/p/search/장군면 송문리 30-5", "지도Link")</f>
        <v/>
      </c>
      <c r="N2419" s="6">
        <f>HYPERLINK("http://www.eum.go.kr/web/ar/lu/luLandDet.jsp?pnu=3611035029100300005&amp;isNoScr=script&amp;mode=search", "토지이음")</f>
        <v/>
      </c>
      <c r="O2419" s="3" t="inlineStr">
        <is>
          <t>세종신동아</t>
        </is>
      </c>
      <c r="P2419" s="4" t="n">
        <v>2</v>
      </c>
      <c r="Q2419" s="4" t="n">
        <v>499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급경사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송문리 31-1</t>
        </is>
      </c>
      <c r="B2420" s="3" t="inlineStr">
        <is>
          <t>계획관리지역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63900</v>
      </c>
      <c r="G2420" s="4" t="n">
        <v>1408</v>
      </c>
      <c r="H2420" s="4" t="n">
        <v>426</v>
      </c>
      <c r="I2420" s="5" t="n">
        <v>150</v>
      </c>
      <c r="J2420" s="5" t="n">
        <v>63.4</v>
      </c>
      <c r="K2420" s="3" t="inlineStr">
        <is>
          <t>막힘없는 조망권을 자랑하는 남향의 계획관리 급매토지입니다.</t>
        </is>
      </c>
      <c r="L2420" s="6">
        <f>HYPERLINK("https://fin.land.naver.com/articles/2652046487", "매물Link")</f>
        <v/>
      </c>
      <c r="M2420" s="6">
        <f>HYPERLINK("https://map.naver.com/p/search/장군면 송문리 31-1", "지도Link")</f>
        <v/>
      </c>
      <c r="N2420" s="6">
        <f>HYPERLINK("http://www.eum.go.kr/web/ar/lu/luLandDet.jsp?pnu=3611035029100310001&amp;isNoScr=script&amp;mode=search", "토지이음")</f>
        <v/>
      </c>
      <c r="O2420" s="3" t="inlineStr">
        <is>
          <t>미스터홈즈강남지사</t>
        </is>
      </c>
      <c r="P2420" s="4" t="n">
        <v>1</v>
      </c>
      <c r="Q2420" s="4" t="n">
        <v>1408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세로한면(가)</t>
        </is>
      </c>
    </row>
    <row r="2421">
      <c r="A2421" s="3" t="inlineStr">
        <is>
          <t>장군면 송문리 31-1</t>
        </is>
      </c>
      <c r="B2421" s="3" t="inlineStr">
        <is>
          <t>계획관리지역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63900</v>
      </c>
      <c r="G2421" s="4" t="n">
        <v>1408</v>
      </c>
      <c r="H2421" s="4" t="n">
        <v>426</v>
      </c>
      <c r="I2421" s="5" t="n">
        <v>150</v>
      </c>
      <c r="J2421" s="5" t="n">
        <v>63.4</v>
      </c>
      <c r="K2421" s="3" t="inlineStr">
        <is>
          <t>포장도로 접한 계획관리지역 답, 최상의 전망, 지인과 공동 매수 추천</t>
        </is>
      </c>
      <c r="L2421" s="6">
        <f>HYPERLINK("https://fin.land.naver.com/articles/2655656034", "매물Link")</f>
        <v/>
      </c>
      <c r="M2421" s="6">
        <f>HYPERLINK("https://map.naver.com/p/search/장군면 송문리 31-1", "지도Link")</f>
        <v/>
      </c>
      <c r="N2421" s="6">
        <f>HYPERLINK("http://www.eum.go.kr/web/ar/lu/luLandDet.jsp?pnu=3611035029100310001&amp;isNoScr=script&amp;mode=search",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1408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송문리 355</t>
        </is>
      </c>
      <c r="B2422" s="3" t="inlineStr">
        <is>
          <t>보전관리지역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85000</v>
      </c>
      <c r="G2422" s="4" t="n">
        <v>2532</v>
      </c>
      <c r="H2422" s="4" t="n">
        <v>766</v>
      </c>
      <c r="I2422" s="5" t="n">
        <v>111</v>
      </c>
      <c r="J2422" s="5" t="n">
        <v>31.4</v>
      </c>
      <c r="K2422" s="3" t="inlineStr">
        <is>
          <t>조망감이 산정상에서 휴양하는듯</t>
        </is>
      </c>
      <c r="L2422" s="6">
        <f>HYPERLINK("https://fin.land.naver.com/articles/2651964326", "매물Link")</f>
        <v/>
      </c>
      <c r="M2422" s="6">
        <f>HYPERLINK("https://map.naver.com/p/search/장군면 송문리 355", "지도Link")</f>
        <v/>
      </c>
      <c r="N2422" s="6">
        <f>HYPERLINK("http://www.eum.go.kr/web/ar/lu/luLandDet.jsp?pnu=3611035029103550000&amp;isNoScr=script&amp;mode=search", "토지이음")</f>
        <v/>
      </c>
      <c r="O2422" s="3" t="inlineStr">
        <is>
          <t>용궁</t>
        </is>
      </c>
      <c r="P2422" s="4" t="n">
        <v>1</v>
      </c>
      <c r="Q2422" s="4" t="n">
        <v>1974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송문리 355</t>
        </is>
      </c>
      <c r="B2423" s="3" t="inlineStr">
        <is>
          <t>보전관리지역</t>
        </is>
      </c>
      <c r="C2423" s="3" t="inlineStr">
        <is>
          <t>전</t>
        </is>
      </c>
      <c r="D2423" s="3" t="inlineStr">
        <is>
          <t>대</t>
        </is>
      </c>
      <c r="E2423" s="3" t="inlineStr">
        <is>
          <t>매매</t>
        </is>
      </c>
      <c r="F2423" s="4" t="n">
        <v>85000</v>
      </c>
      <c r="G2423" s="4" t="n">
        <v>2534</v>
      </c>
      <c r="H2423" s="4" t="n">
        <v>767</v>
      </c>
      <c r="I2423" s="5" t="n">
        <v>110.8</v>
      </c>
      <c r="J2423" s="5" t="n">
        <v>31.4</v>
      </c>
      <c r="K2423" s="3" t="inlineStr">
        <is>
          <t>nan</t>
        </is>
      </c>
      <c r="L2423" s="6">
        <f>HYPERLINK("https://fin.land.naver.com/articles/2650047301", "매물Link")</f>
        <v/>
      </c>
      <c r="M2423" s="6">
        <f>HYPERLINK("https://map.naver.com/p/search/장군면 송문리 355", "지도Link")</f>
        <v/>
      </c>
      <c r="N2423" s="6">
        <f>HYPERLINK("http://www.eum.go.kr/web/ar/lu/luLandDet.jsp?pnu=3611035029103550000&amp;isNoScr=script&amp;mode=search", "토지이음")</f>
        <v/>
      </c>
      <c r="O2423" s="3" t="inlineStr">
        <is>
          <t>하이엔드</t>
        </is>
      </c>
      <c r="P2423" s="4" t="n">
        <v>1</v>
      </c>
      <c r="Q2423" s="4" t="n">
        <v>1974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송문리 355-11</t>
        </is>
      </c>
      <c r="B2424" s="3" t="inlineStr">
        <is>
          <t>보전관리지역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73000</v>
      </c>
      <c r="G2424" s="4" t="n">
        <v>948</v>
      </c>
      <c r="H2424" s="4" t="n">
        <v>287</v>
      </c>
      <c r="I2424" s="5" t="n">
        <v>254.4</v>
      </c>
      <c r="J2424" s="5" t="n">
        <v>80</v>
      </c>
      <c r="K2424" s="3" t="inlineStr">
        <is>
          <t>nan</t>
        </is>
      </c>
      <c r="L2424" s="6">
        <f>HYPERLINK("https://fin.land.naver.com/articles/2653636969", "매물Link")</f>
        <v/>
      </c>
      <c r="M2424" s="6">
        <f>HYPERLINK("https://map.naver.com/p/search/장군면 송문리 355-11", "지도Link")</f>
        <v/>
      </c>
      <c r="N2424" s="6">
        <f>HYPERLINK("http://www.eum.go.kr/web/ar/lu/luLandDet.jsp?pnu=3611035029103550011&amp;isNoScr=script&amp;mode=search", "토지이음")</f>
        <v/>
      </c>
      <c r="O2424" s="3" t="inlineStr">
        <is>
          <t>고운동리치세종</t>
        </is>
      </c>
      <c r="P2424" s="4" t="n">
        <v>1</v>
      </c>
      <c r="Q2424" s="4" t="n">
        <v>948</v>
      </c>
      <c r="R2424" s="3" t="inlineStr">
        <is>
          <t>지정되지않음</t>
        </is>
      </c>
      <c r="S2424" s="3" t="inlineStr">
        <is>
          <t>주거나지</t>
        </is>
      </c>
      <c r="T2424" s="3" t="inlineStr">
        <is>
          <t>완경사</t>
        </is>
      </c>
      <c r="U2424" s="3" t="inlineStr">
        <is>
          <t>사다리형</t>
        </is>
      </c>
      <c r="V2424" s="3" t="inlineStr">
        <is>
          <t>세로한면(가)</t>
        </is>
      </c>
    </row>
    <row r="2425">
      <c r="A2425" s="3" t="inlineStr">
        <is>
          <t>장군면 송문리 355-37</t>
        </is>
      </c>
      <c r="B2425" s="3" t="inlineStr">
        <is>
          <t>보전관리지역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21000</v>
      </c>
      <c r="G2425" s="4" t="n">
        <v>579</v>
      </c>
      <c r="H2425" s="4" t="n">
        <v>175</v>
      </c>
      <c r="I2425" s="5" t="n">
        <v>120</v>
      </c>
      <c r="J2425" s="5" t="n">
        <v>21.2</v>
      </c>
      <c r="K2425" s="3" t="inlineStr">
        <is>
          <t>상하수도 전기 통신 가능. 매수해두셨다가 편할 때 주택 지으세요</t>
        </is>
      </c>
      <c r="L2425" s="6">
        <f>HYPERLINK("https://fin.land.naver.com/articles/2652033922", "매물Link")</f>
        <v/>
      </c>
      <c r="M2425" s="6">
        <f>HYPERLINK("https://map.naver.com/p/search/장군면 송문리 355-37", "지도Link")</f>
        <v/>
      </c>
      <c r="N2425" s="6">
        <f>HYPERLINK("http://www.eum.go.kr/web/ar/lu/luLandDet.jsp?pnu=3611035029103550037&amp;isNoScr=script&amp;mode=search",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579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송문리 365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300000</v>
      </c>
      <c r="G2426" s="4" t="n">
        <v>8547</v>
      </c>
      <c r="H2426" s="4" t="n">
        <v>2585</v>
      </c>
      <c r="I2426" s="5" t="n">
        <v>116.1</v>
      </c>
      <c r="J2426" s="5" t="n">
        <v>41.7</v>
      </c>
      <c r="K2426" s="3" t="inlineStr">
        <is>
          <t>경사도 낮은 임야로 주택지로 좋은 곳입니다.</t>
        </is>
      </c>
      <c r="L2426" s="6">
        <f>HYPERLINK("https://fin.land.naver.com/articles/2652120893", "매물Link")</f>
        <v/>
      </c>
      <c r="M2426" s="6">
        <f>HYPERLINK("https://map.naver.com/p/search/장군면 송문리 365", "지도Link")</f>
        <v/>
      </c>
      <c r="N2426" s="6">
        <f>HYPERLINK("http://www.eum.go.kr/web/ar/lu/luLandDet.jsp?pnu=3611035029103650000&amp;isNoScr=script&amp;mode=search", "토지이음")</f>
        <v/>
      </c>
      <c r="O2426" s="3" t="inlineStr">
        <is>
          <t>미스터홈즈강남지사</t>
        </is>
      </c>
      <c r="P2426" s="4" t="n">
        <v>1</v>
      </c>
      <c r="Q2426" s="4" t="n">
        <v>8547</v>
      </c>
      <c r="R2426" s="3" t="inlineStr">
        <is>
          <t>지정되지않음</t>
        </is>
      </c>
      <c r="S2426" s="3" t="inlineStr">
        <is>
          <t>과수원</t>
        </is>
      </c>
      <c r="T2426" s="3" t="inlineStr">
        <is>
          <t>완경사</t>
        </is>
      </c>
      <c r="U2426" s="3" t="inlineStr">
        <is>
          <t>부정형</t>
        </is>
      </c>
      <c r="V2426" s="3" t="inlineStr">
        <is>
          <t>세로한면(가)</t>
        </is>
      </c>
    </row>
    <row r="2427">
      <c r="A2427" s="3" t="inlineStr">
        <is>
          <t>장군면 송문리 376-1</t>
        </is>
      </c>
      <c r="B2427" s="3" t="inlineStr">
        <is>
          <t>계획관리지역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13000</v>
      </c>
      <c r="G2427" s="4" t="n">
        <v>417</v>
      </c>
      <c r="H2427" s="4" t="n">
        <v>126</v>
      </c>
      <c r="I2427" s="5" t="n">
        <v>103.2</v>
      </c>
      <c r="J2427" s="5" t="n">
        <v>95.2</v>
      </c>
      <c r="K2427" s="3" t="inlineStr">
        <is>
          <t>공시지가로 급매</t>
        </is>
      </c>
      <c r="L2427" s="6">
        <f>HYPERLINK("https://fin.land.naver.com/articles/2653225091", "매물Link")</f>
        <v/>
      </c>
      <c r="M2427" s="6">
        <f>HYPERLINK("https://map.naver.com/p/search/장군면 송문리 376-1", "지도Link")</f>
        <v/>
      </c>
      <c r="N2427" s="6">
        <f>HYPERLINK("http://www.eum.go.kr/web/ar/lu/luLandDet.jsp?pnu=3611035029103760001&amp;isNoScr=script&amp;mode=search", "토지이음")</f>
        <v/>
      </c>
      <c r="O2427" s="3" t="inlineStr">
        <is>
          <t>새땅</t>
        </is>
      </c>
      <c r="P2427" s="4" t="n">
        <v>1</v>
      </c>
      <c r="Q2427" s="4" t="n">
        <v>417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세로각지(가)</t>
        </is>
      </c>
    </row>
    <row r="2428">
      <c r="A2428" s="3" t="inlineStr">
        <is>
          <t>장군면 송문리 377-3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30000</v>
      </c>
      <c r="G2428" s="4" t="n">
        <v>499</v>
      </c>
      <c r="H2428" s="4" t="n">
        <v>151</v>
      </c>
      <c r="I2428" s="5" t="n">
        <v>198.7</v>
      </c>
      <c r="J2428" s="5" t="n">
        <v>100.7</v>
      </c>
      <c r="K2428" s="3" t="inlineStr">
        <is>
          <t>송문리 마을내 구옥있는 토지매매</t>
        </is>
      </c>
      <c r="L2428" s="6">
        <f>HYPERLINK("https://fin.land.naver.com/articles/2652028856", "매물Link")</f>
        <v/>
      </c>
      <c r="M2428" s="6">
        <f>HYPERLINK("https://map.naver.com/p/search/장군면 송문리 377-3", "지도Link")</f>
        <v/>
      </c>
      <c r="N2428" s="6">
        <f>HYPERLINK("http://www.eum.go.kr/web/ar/lu/luLandDet.jsp?pnu=3611035029103770003&amp;isNoScr=script&amp;mode=search", "토지이음")</f>
        <v/>
      </c>
      <c r="O2428" s="3" t="inlineStr">
        <is>
          <t>에이스</t>
        </is>
      </c>
      <c r="P2428" s="4" t="n">
        <v>1</v>
      </c>
      <c r="Q2428" s="4" t="n">
        <v>499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평지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송문리 387-15</t>
        </is>
      </c>
      <c r="B2429" s="3" t="inlineStr">
        <is>
          <t>보전관리지역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22000</v>
      </c>
      <c r="G2429" s="4" t="n">
        <v>419</v>
      </c>
      <c r="H2429" s="4" t="n">
        <v>127</v>
      </c>
      <c r="I2429" s="5" t="n">
        <v>173.2</v>
      </c>
      <c r="J2429" s="5" t="n">
        <v>80</v>
      </c>
      <c r="K2429" s="3" t="inlineStr">
        <is>
          <t>서세종IC 5분거리. 행복도시 근거리 인접 세컨하우스 용 토지.근생가능</t>
        </is>
      </c>
      <c r="L2429" s="6">
        <f>HYPERLINK("https://fin.land.naver.com/articles/2651968522", "매물Link")</f>
        <v/>
      </c>
      <c r="M2429" s="6">
        <f>HYPERLINK("https://map.naver.com/p/search/장군면 송문리 387-15", "지도Link")</f>
        <v/>
      </c>
      <c r="N2429" s="6">
        <f>HYPERLINK("http://www.eum.go.kr/web/ar/lu/luLandDet.jsp?pnu=3611035029103870015&amp;isNoScr=script&amp;mode=search", "토지이음")</f>
        <v/>
      </c>
      <c r="O2429" s="3" t="inlineStr">
        <is>
          <t>세종올리브</t>
        </is>
      </c>
      <c r="P2429" s="4" t="n">
        <v>1</v>
      </c>
      <c r="Q2429" s="4" t="n">
        <v>419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송문리 387-19</t>
        </is>
      </c>
      <c r="B2430" s="3" t="inlineStr">
        <is>
          <t>보전관리지역</t>
        </is>
      </c>
      <c r="C2430" s="3" t="inlineStr">
        <is>
          <t>임야</t>
        </is>
      </c>
      <c r="D2430" s="3" t="inlineStr">
        <is>
          <t>대</t>
        </is>
      </c>
      <c r="E2430" s="3" t="inlineStr">
        <is>
          <t>매매</t>
        </is>
      </c>
      <c r="F2430" s="4" t="n">
        <v>22000</v>
      </c>
      <c r="G2430" s="4" t="n">
        <v>296</v>
      </c>
      <c r="H2430" s="4" t="n">
        <v>90</v>
      </c>
      <c r="I2430" s="5" t="n">
        <v>244.4</v>
      </c>
      <c r="J2430" s="5" t="n">
        <v>80</v>
      </c>
      <c r="K2430" s="3" t="inlineStr">
        <is>
          <t>가격조정가.도로접한코너각지.전원주택최적지.송문리마을회관인근.완경사주거나지</t>
        </is>
      </c>
      <c r="L2430" s="6">
        <f>HYPERLINK("https://fin.land.naver.com/articles/2655364669", "매물Link")</f>
        <v/>
      </c>
      <c r="M2430" s="6">
        <f>HYPERLINK("https://map.naver.com/p/search/장군면 송문리 387-19", "지도Link")</f>
        <v/>
      </c>
      <c r="N2430" s="6">
        <f>HYPERLINK("http://www.eum.go.kr/web/ar/lu/luLandDet.jsp?pnu=3611035029103870019&amp;isNoScr=script&amp;mode=search", "토지이음")</f>
        <v/>
      </c>
      <c r="O2430" s="3" t="inlineStr">
        <is>
          <t>돈방석</t>
        </is>
      </c>
      <c r="P2430" s="4" t="n">
        <v>2</v>
      </c>
      <c r="Q2430" s="4" t="n">
        <v>296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송문리 387-19</t>
        </is>
      </c>
      <c r="B2431" s="3" t="inlineStr">
        <is>
          <t>보전관리지역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21000</v>
      </c>
      <c r="G2431" s="4" t="n">
        <v>348</v>
      </c>
      <c r="H2431" s="4" t="n">
        <v>105</v>
      </c>
      <c r="I2431" s="5" t="n">
        <v>200</v>
      </c>
      <c r="J2431" s="5" t="n">
        <v>80</v>
      </c>
      <c r="K2431" s="3" t="inlineStr">
        <is>
          <t>기반시설 완료한 전원주택지 급매추천</t>
        </is>
      </c>
      <c r="L2431" s="6">
        <f>HYPERLINK("https://fin.land.naver.com/articles/2654060108", "매물Link")</f>
        <v/>
      </c>
      <c r="M2431" s="6">
        <f>HYPERLINK("https://map.naver.com/p/search/장군면 송문리 387-19", "지도Link")</f>
        <v/>
      </c>
      <c r="N2431" s="6">
        <f>HYPERLINK("http://www.eum.go.kr/web/ar/lu/luLandDet.jsp?pnu=3611035029103870019&amp;isNoScr=script&amp;mode=search", "토지이음")</f>
        <v/>
      </c>
      <c r="O2431" s="3" t="inlineStr">
        <is>
          <t>세종소담114</t>
        </is>
      </c>
      <c r="P2431" s="4" t="n">
        <v>1</v>
      </c>
      <c r="Q2431" s="4" t="n">
        <v>296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387-22</t>
        </is>
      </c>
      <c r="B2432" s="3" t="inlineStr">
        <is>
          <t>보전관리지역</t>
        </is>
      </c>
      <c r="C2432" s="3" t="inlineStr">
        <is>
          <t>대</t>
        </is>
      </c>
      <c r="D2432" s="3" t="inlineStr">
        <is>
          <t>대</t>
        </is>
      </c>
      <c r="E2432" s="3" t="inlineStr">
        <is>
          <t>매매</t>
        </is>
      </c>
      <c r="F2432" s="4" t="n">
        <v>20000</v>
      </c>
      <c r="G2432" s="4" t="n">
        <v>473</v>
      </c>
      <c r="H2432" s="4" t="n">
        <v>143</v>
      </c>
      <c r="I2432" s="5" t="n">
        <v>139.9</v>
      </c>
      <c r="J2432" s="5" t="n">
        <v>80</v>
      </c>
      <c r="K2432" s="3" t="inlineStr">
        <is>
          <t>급매, 풍광이 뛰어난 전원주택지, 지목 대, 근생건물 있음</t>
        </is>
      </c>
      <c r="L2432" s="6">
        <f>HYPERLINK("https://fin.land.naver.com/articles/2654546930", "매물Link")</f>
        <v/>
      </c>
      <c r="M2432" s="6">
        <f>HYPERLINK("https://map.naver.com/p/search/장군면 송문리 387-22", "지도Link")</f>
        <v/>
      </c>
      <c r="N2432" s="6">
        <f>HYPERLINK("http://www.eum.go.kr/web/ar/lu/luLandDet.jsp?pnu=3611035029103870022&amp;isNoScr=script&amp;mode=search", "토지이음")</f>
        <v/>
      </c>
      <c r="O2432" s="3" t="inlineStr">
        <is>
          <t>온뜰</t>
        </is>
      </c>
      <c r="P2432" s="4" t="n">
        <v>1</v>
      </c>
      <c r="Q2432" s="4" t="n">
        <v>400</v>
      </c>
      <c r="R2432" s="3" t="inlineStr">
        <is>
          <t>지정되지않음</t>
        </is>
      </c>
      <c r="S2432" s="3" t="inlineStr">
        <is>
          <t>주거기타</t>
        </is>
      </c>
      <c r="T2432" s="3" t="inlineStr">
        <is>
          <t>완경사</t>
        </is>
      </c>
      <c r="U2432" s="3" t="inlineStr">
        <is>
          <t>세로장방</t>
        </is>
      </c>
      <c r="V2432" s="3" t="inlineStr">
        <is>
          <t>세로한면(가)</t>
        </is>
      </c>
    </row>
    <row r="2433">
      <c r="A2433" s="3" t="inlineStr">
        <is>
          <t>장군면 송문리 387-25</t>
        </is>
      </c>
      <c r="B2433" s="3" t="inlineStr">
        <is>
          <t>보전관리지역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16500</v>
      </c>
      <c r="G2433" s="4" t="n">
        <v>480</v>
      </c>
      <c r="H2433" s="4" t="n">
        <v>145</v>
      </c>
      <c r="I2433" s="5" t="n">
        <v>113.8</v>
      </c>
      <c r="J2433" s="5" t="n">
        <v>20.6</v>
      </c>
      <c r="K2433" s="3" t="inlineStr">
        <is>
          <t>전원주택지 급하게 매도합니다</t>
        </is>
      </c>
      <c r="L2433" s="6">
        <f>HYPERLINK("https://fin.land.naver.com/articles/2652107820", "매물Link")</f>
        <v/>
      </c>
      <c r="M2433" s="6">
        <f>HYPERLINK("https://map.naver.com/p/search/장군면 송문리 387-25", "지도Link")</f>
        <v/>
      </c>
      <c r="N2433" s="6">
        <f>HYPERLINK("http://www.eum.go.kr/web/ar/lu/luLandDet.jsp?pnu=3611035029103870025&amp;isNoScr=script&amp;mode=search", "토지이음")</f>
        <v/>
      </c>
      <c r="O2433" s="3" t="inlineStr">
        <is>
          <t>미스터홈즈강남지사</t>
        </is>
      </c>
      <c r="P2433" s="4" t="n">
        <v>1</v>
      </c>
      <c r="Q2433" s="4" t="n">
        <v>321</v>
      </c>
      <c r="R2433" s="3" t="inlineStr">
        <is>
          <t>지정되지않음</t>
        </is>
      </c>
      <c r="S2433" s="3" t="inlineStr">
        <is>
          <t>토지임야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송문리 387-30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21000</v>
      </c>
      <c r="G2434" s="4" t="n">
        <v>395</v>
      </c>
      <c r="H2434" s="4" t="n">
        <v>119</v>
      </c>
      <c r="I2434" s="5" t="n">
        <v>176.5</v>
      </c>
      <c r="J2434" s="5" t="n">
        <v>21.2</v>
      </c>
      <c r="K2434" s="3" t="inlineStr">
        <is>
          <t>nan</t>
        </is>
      </c>
      <c r="L2434" s="6">
        <f>HYPERLINK("https://fin.land.naver.com/articles/2651972046", "매물Link")</f>
        <v/>
      </c>
      <c r="M2434" s="6">
        <f>HYPERLINK("https://map.naver.com/p/search/장군면 송문리 387-30", "지도Link")</f>
        <v/>
      </c>
      <c r="N2434" s="6">
        <f>HYPERLINK("http://www.eum.go.kr/web/ar/lu/luLandDet.jsp?pnu=3611035029103870030&amp;isNoScr=script&amp;mode=search", "토지이음")</f>
        <v/>
      </c>
      <c r="O2434" s="3" t="inlineStr">
        <is>
          <t>세종올리브</t>
        </is>
      </c>
      <c r="P2434" s="4" t="n">
        <v>2</v>
      </c>
      <c r="Q2434" s="4" t="n">
        <v>395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완경사</t>
        </is>
      </c>
      <c r="U2434" s="3" t="inlineStr">
        <is>
          <t>가로장방</t>
        </is>
      </c>
      <c r="V2434" s="3" t="inlineStr">
        <is>
          <t>세로한면(가)</t>
        </is>
      </c>
    </row>
    <row r="2435">
      <c r="A2435" s="3" t="inlineStr">
        <is>
          <t>장군면 송문리 387-30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21000</v>
      </c>
      <c r="G2435" s="4" t="n">
        <v>453</v>
      </c>
      <c r="H2435" s="4" t="n">
        <v>137</v>
      </c>
      <c r="I2435" s="5" t="n">
        <v>153.3</v>
      </c>
      <c r="J2435" s="5" t="n">
        <v>21.2</v>
      </c>
      <c r="K2435" s="3" t="inlineStr">
        <is>
          <t>급매, 전원주택지 남향 맨앞면 코너각지 탁 트인뷰</t>
        </is>
      </c>
      <c r="L2435" s="6">
        <f>HYPERLINK("https://fin.land.naver.com/articles/2654547254", "매물Link")</f>
        <v/>
      </c>
      <c r="M2435" s="6">
        <f>HYPERLINK("https://map.naver.com/p/search/장군면 송문리 387-30", "지도Link")</f>
        <v/>
      </c>
      <c r="N2435" s="6">
        <f>HYPERLINK("http://www.eum.go.kr/web/ar/lu/luLandDet.jsp?pnu=3611035029103870030&amp;isNoScr=script&amp;mode=search", "토지이음")</f>
        <v/>
      </c>
      <c r="O2435" s="3" t="inlineStr">
        <is>
          <t>온뜰</t>
        </is>
      </c>
      <c r="P2435" s="4" t="n">
        <v>1</v>
      </c>
      <c r="Q2435" s="4" t="n">
        <v>395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완경사</t>
        </is>
      </c>
      <c r="U2435" s="3" t="inlineStr">
        <is>
          <t>가로장방</t>
        </is>
      </c>
      <c r="V2435" s="3" t="inlineStr">
        <is>
          <t>세로한면(가)</t>
        </is>
      </c>
    </row>
    <row r="2436">
      <c r="A2436" s="3" t="inlineStr">
        <is>
          <t>장군면 송문리 387-5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17000</v>
      </c>
      <c r="G2436" s="4" t="n">
        <v>397</v>
      </c>
      <c r="H2436" s="4" t="n">
        <v>120</v>
      </c>
      <c r="I2436" s="5" t="n">
        <v>141.7</v>
      </c>
      <c r="J2436" s="5" t="n">
        <v>80</v>
      </c>
      <c r="K2436" s="3" t="inlineStr">
        <is>
          <t>급매, 지목이 대, 정남향 최고의 전망</t>
        </is>
      </c>
      <c r="L2436" s="6">
        <f>HYPERLINK("https://fin.land.naver.com/articles/2651023708", "매물Link")</f>
        <v/>
      </c>
      <c r="M2436" s="6">
        <f>HYPERLINK("https://map.naver.com/p/search/장군면 송문리 387-5", "지도Link")</f>
        <v/>
      </c>
      <c r="N2436" s="6">
        <f>HYPERLINK("http://www.eum.go.kr/web/ar/lu/luLandDet.jsp?pnu=3611035029103870005&amp;isNoScr=script&amp;mode=search", "토지이음")</f>
        <v/>
      </c>
      <c r="O2436" s="3" t="inlineStr">
        <is>
          <t>온뜰</t>
        </is>
      </c>
      <c r="P2436" s="4" t="n">
        <v>1</v>
      </c>
      <c r="Q2436" s="4" t="n">
        <v>337</v>
      </c>
      <c r="R2436" s="3" t="inlineStr">
        <is>
          <t>지정되지않음</t>
        </is>
      </c>
      <c r="S2436" s="3" t="inlineStr">
        <is>
          <t>주거기타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송문리 40-15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37000</v>
      </c>
      <c r="G2437" s="4" t="n">
        <v>545</v>
      </c>
      <c r="H2437" s="4" t="n">
        <v>165</v>
      </c>
      <c r="I2437" s="5" t="n">
        <v>224.2</v>
      </c>
      <c r="J2437" s="5" t="n">
        <v>82.3</v>
      </c>
      <c r="K2437" s="3" t="inlineStr">
        <is>
          <t>대전,세종,공주에서 가까운거리에 있는 송문리의 택지조성완료된 토지</t>
        </is>
      </c>
      <c r="L2437" s="6">
        <f>HYPERLINK("https://fin.land.naver.com/articles/2654756727", "매물Link")</f>
        <v/>
      </c>
      <c r="M2437" s="6">
        <f>HYPERLINK("https://map.naver.com/p/search/장군면 송문리 40-15", "지도Link")</f>
        <v/>
      </c>
      <c r="N2437" s="6">
        <f>HYPERLINK("http://www.eum.go.kr/web/ar/lu/luLandDet.jsp?pnu=3611035029100400015&amp;isNoScr=script&amp;mode=search", "토지이음")</f>
        <v/>
      </c>
      <c r="O2437" s="3" t="inlineStr">
        <is>
          <t>비타민무소</t>
        </is>
      </c>
      <c r="P2437" s="4" t="n">
        <v>1</v>
      </c>
      <c r="Q2437" s="4" t="n">
        <v>545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정방형</t>
        </is>
      </c>
      <c r="V2437" s="3" t="inlineStr">
        <is>
          <t>세로한면(가)</t>
        </is>
      </c>
    </row>
    <row r="2438">
      <c r="A2438" s="3" t="inlineStr">
        <is>
          <t>장군면 송문리 40-19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55000</v>
      </c>
      <c r="G2438" s="4" t="n">
        <v>891</v>
      </c>
      <c r="H2438" s="4" t="n">
        <v>270</v>
      </c>
      <c r="I2438" s="5" t="n">
        <v>203.7</v>
      </c>
      <c r="J2438" s="5" t="n">
        <v>82.3</v>
      </c>
      <c r="K2438" s="3" t="inlineStr">
        <is>
          <t>조망권 좋은 전원 주택부지,세종시 근접</t>
        </is>
      </c>
      <c r="L2438" s="6">
        <f>HYPERLINK("https://fin.land.naver.com/articles/2650625795", "매물Link")</f>
        <v/>
      </c>
      <c r="M2438" s="6">
        <f>HYPERLINK("https://map.naver.com/p/search/장군면 송문리 40-19", "지도Link")</f>
        <v/>
      </c>
      <c r="N2438" s="6">
        <f>HYPERLINK("http://www.eum.go.kr/web/ar/lu/luLandDet.jsp?pnu=3611035029100400019&amp;isNoScr=script&amp;mode=search", "토지이음")</f>
        <v/>
      </c>
      <c r="O2438" s="3" t="inlineStr">
        <is>
          <t>담뜰</t>
        </is>
      </c>
      <c r="P2438" s="4" t="n">
        <v>1</v>
      </c>
      <c r="Q2438" s="4" t="n">
        <v>891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40-31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22000</v>
      </c>
      <c r="G2439" s="4" t="n">
        <v>476</v>
      </c>
      <c r="H2439" s="4" t="n">
        <v>144</v>
      </c>
      <c r="I2439" s="5" t="n">
        <v>152.8</v>
      </c>
      <c r="J2439" s="5" t="n">
        <v>82.3</v>
      </c>
      <c r="K2439" s="3" t="inlineStr">
        <is>
          <t>장군면 송문리  택지개발한 전원주택지 시세보다 저렴한 급매입니다</t>
        </is>
      </c>
      <c r="L2439" s="6">
        <f>HYPERLINK("https://fin.land.naver.com/articles/2654820709", "매물Link")</f>
        <v/>
      </c>
      <c r="M2439" s="6">
        <f>HYPERLINK("https://map.naver.com/p/search/장군면 송문리 40-31", "지도Link")</f>
        <v/>
      </c>
      <c r="N2439" s="6">
        <f>HYPERLINK("http://www.eum.go.kr/web/ar/lu/luLandDet.jsp?pnu=3611035029100400031&amp;isNoScr=script&amp;mode=search", "토지이음")</f>
        <v/>
      </c>
      <c r="O2439" s="3" t="inlineStr">
        <is>
          <t>스마일세종</t>
        </is>
      </c>
      <c r="P2439" s="4" t="n">
        <v>1</v>
      </c>
      <c r="Q2439" s="4" t="n">
        <v>396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40-6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30000</v>
      </c>
      <c r="G2440" s="4" t="n">
        <v>547</v>
      </c>
      <c r="H2440" s="4" t="n">
        <v>165</v>
      </c>
      <c r="I2440" s="5" t="n">
        <v>181.8</v>
      </c>
      <c r="J2440" s="5" t="n">
        <v>82.3</v>
      </c>
      <c r="K2440" s="3" t="inlineStr">
        <is>
          <t>nan</t>
        </is>
      </c>
      <c r="L2440" s="6">
        <f>HYPERLINK("https://fin.land.naver.com/articles/2650942974", "매물Link")</f>
        <v/>
      </c>
      <c r="M2440" s="6">
        <f>HYPERLINK("https://map.naver.com/p/search/장군면 송문리 40-6", "지도Link")</f>
        <v/>
      </c>
      <c r="N2440" s="6">
        <f>HYPERLINK("http://www.eum.go.kr/web/ar/lu/luLandDet.jsp?pnu=3611035029100400006&amp;isNoScr=script&amp;mode=search", "토지이음")</f>
        <v/>
      </c>
      <c r="O2440" s="3" t="inlineStr">
        <is>
          <t>고운동리치세종</t>
        </is>
      </c>
      <c r="P2440" s="4" t="n">
        <v>1</v>
      </c>
      <c r="Q2440" s="4" t="n">
        <v>547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정방형</t>
        </is>
      </c>
      <c r="V2440" s="3" t="inlineStr">
        <is>
          <t>세로한면(가)</t>
        </is>
      </c>
    </row>
    <row r="2441">
      <c r="A2441" s="3" t="inlineStr">
        <is>
          <t>장군면 송문리 422-2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3500</v>
      </c>
      <c r="G2441" s="4" t="n">
        <v>439</v>
      </c>
      <c r="H2441" s="4" t="n">
        <v>133</v>
      </c>
      <c r="I2441" s="5" t="n">
        <v>26.3</v>
      </c>
      <c r="J2441" s="5" t="n">
        <v>14.8</v>
      </c>
      <c r="K2441" s="3" t="inlineStr">
        <is>
          <t>가격저렴한 토임, 투자굿,송문침례교회 인근</t>
        </is>
      </c>
      <c r="L2441" s="6">
        <f>HYPERLINK("https://fin.land.naver.com/articles/2650042926", "매물Link")</f>
        <v/>
      </c>
      <c r="M2441" s="6">
        <f>HYPERLINK("https://map.naver.com/p/search/장군면 송문리 422-2", "지도Link")</f>
        <v/>
      </c>
      <c r="N2441" s="6">
        <f>HYPERLINK("http://www.eum.go.kr/web/ar/lu/luLandDet.jsp?pnu=3611035029104220002&amp;isNoScr=script&amp;mode=search", "토지이음")</f>
        <v/>
      </c>
      <c r="O2441" s="3" t="inlineStr">
        <is>
          <t>모두</t>
        </is>
      </c>
      <c r="P2441" s="4" t="n">
        <v>1</v>
      </c>
      <c r="Q2441" s="4" t="n">
        <v>365</v>
      </c>
      <c r="R2441" s="3" t="inlineStr">
        <is>
          <t>지정되지않음</t>
        </is>
      </c>
      <c r="S2441" s="3" t="inlineStr">
        <is>
          <t>토지임야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맹지</t>
        </is>
      </c>
    </row>
    <row r="2442">
      <c r="A2442" s="3" t="inlineStr">
        <is>
          <t>장군면 송문리 57-6</t>
        </is>
      </c>
      <c r="B2442" s="3" t="inlineStr">
        <is>
          <t>계획관리지역</t>
        </is>
      </c>
      <c r="C2442" s="3" t="inlineStr">
        <is>
          <t>전</t>
        </is>
      </c>
      <c r="D2442" s="3" t="inlineStr">
        <is>
          <t>전</t>
        </is>
      </c>
      <c r="E2442" s="3" t="inlineStr">
        <is>
          <t>매매</t>
        </is>
      </c>
      <c r="F2442" s="4" t="n">
        <v>38000</v>
      </c>
      <c r="G2442" s="4" t="n">
        <v>701</v>
      </c>
      <c r="H2442" s="4" t="n">
        <v>212</v>
      </c>
      <c r="I2442" s="5" t="n">
        <v>179.2</v>
      </c>
      <c r="J2442" s="5" t="n">
        <v>63.4</v>
      </c>
      <c r="K2442" s="3" t="inlineStr">
        <is>
          <t>계획관리, 주변 풍광이 뛰어나고 전망좋아 전원주택지로 최적, 하우스 포함</t>
        </is>
      </c>
      <c r="L2442" s="6">
        <f>HYPERLINK("https://fin.land.naver.com/articles/2651021350", "매물Link")</f>
        <v/>
      </c>
      <c r="M2442" s="6">
        <f>HYPERLINK("https://map.naver.com/p/search/장군면 송문리 57-6", "지도Link")</f>
        <v/>
      </c>
      <c r="N2442" s="6">
        <f>HYPERLINK("http://www.eum.go.kr/web/ar/lu/luLandDet.jsp?pnu=3611035029100570006&amp;isNoScr=script&amp;mode=search", "토지이음")</f>
        <v/>
      </c>
      <c r="O2442" s="3" t="inlineStr">
        <is>
          <t>온뜰</t>
        </is>
      </c>
      <c r="P2442" s="4" t="n">
        <v>1</v>
      </c>
      <c r="Q2442" s="4" t="n">
        <v>701</v>
      </c>
      <c r="R2442" s="3" t="inlineStr">
        <is>
          <t>지정되지않음</t>
        </is>
      </c>
      <c r="S2442" s="3" t="inlineStr">
        <is>
          <t>전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송문리 61</t>
        </is>
      </c>
      <c r="B2443" s="3" t="inlineStr">
        <is>
          <t>계획관리지역</t>
        </is>
      </c>
      <c r="C2443" s="3" t="inlineStr">
        <is>
          <t>묘지</t>
        </is>
      </c>
      <c r="D2443" s="3" t="inlineStr">
        <is>
          <t>묘지</t>
        </is>
      </c>
      <c r="E2443" s="3" t="inlineStr">
        <is>
          <t>매매</t>
        </is>
      </c>
      <c r="F2443" s="4" t="n">
        <v>21000</v>
      </c>
      <c r="G2443" s="4" t="n">
        <v>331</v>
      </c>
      <c r="H2443" s="4" t="n">
        <v>100</v>
      </c>
      <c r="I2443" s="5" t="n">
        <v>210</v>
      </c>
      <c r="J2443" s="5" t="n">
        <v>66.7</v>
      </c>
      <c r="K2443" s="3" t="inlineStr">
        <is>
          <t>제1종근린생활시설 또는 전원주택</t>
        </is>
      </c>
      <c r="L2443" s="6">
        <f>HYPERLINK("https://fin.land.naver.com/articles/2653340086", "매물Link")</f>
        <v/>
      </c>
      <c r="M2443" s="6">
        <f>HYPERLINK("https://map.naver.com/p/search/장군면 송문리 61", "지도Link")</f>
        <v/>
      </c>
      <c r="N2443" s="6">
        <f>HYPERLINK("http://www.eum.go.kr/web/ar/lu/luLandDet.jsp?pnu=3611035029100610000&amp;isNoScr=script&amp;mode=search", "토지이음")</f>
        <v/>
      </c>
      <c r="O2443" s="3" t="inlineStr">
        <is>
          <t>상상</t>
        </is>
      </c>
      <c r="P2443" s="4" t="n">
        <v>1</v>
      </c>
      <c r="Q2443" s="4" t="n">
        <v>331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가로장방</t>
        </is>
      </c>
      <c r="V2443" s="3" t="inlineStr">
        <is>
          <t>세로한면(가)</t>
        </is>
      </c>
    </row>
    <row r="2444">
      <c r="A2444" s="3" t="inlineStr">
        <is>
          <t>장군면 송문리 61</t>
        </is>
      </c>
      <c r="B2444" s="3" t="inlineStr">
        <is>
          <t>계획관리지역</t>
        </is>
      </c>
      <c r="C2444" s="3" t="inlineStr">
        <is>
          <t>묘지</t>
        </is>
      </c>
      <c r="D2444" s="3" t="inlineStr">
        <is>
          <t>묘지</t>
        </is>
      </c>
      <c r="E2444" s="3" t="inlineStr">
        <is>
          <t>매매</t>
        </is>
      </c>
      <c r="F2444" s="4" t="n">
        <v>21000</v>
      </c>
      <c r="G2444" s="4" t="n">
        <v>331</v>
      </c>
      <c r="H2444" s="4" t="n">
        <v>100</v>
      </c>
      <c r="I2444" s="5" t="n">
        <v>210</v>
      </c>
      <c r="J2444" s="5" t="n">
        <v>66.7</v>
      </c>
      <c r="K2444" s="3" t="inlineStr">
        <is>
          <t>도로접 계획관리,지대가 높아 대교천 조망권 뷰,가격조정가능</t>
        </is>
      </c>
      <c r="L2444" s="6">
        <f>HYPERLINK("https://fin.land.naver.com/articles/2650059933", "매물Link")</f>
        <v/>
      </c>
      <c r="M2444" s="6">
        <f>HYPERLINK("https://map.naver.com/p/search/장군면 송문리 61", "지도Link")</f>
        <v/>
      </c>
      <c r="N2444" s="6">
        <f>HYPERLINK("http://www.eum.go.kr/web/ar/lu/luLandDet.jsp?pnu=3611035029100610000&amp;isNoScr=script&amp;mode=search",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331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624-1</t>
        </is>
      </c>
      <c r="B2445" s="3" t="inlineStr">
        <is>
          <t>농림지역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64000</v>
      </c>
      <c r="G2445" s="4" t="n">
        <v>3880</v>
      </c>
      <c r="H2445" s="4" t="n">
        <v>1174</v>
      </c>
      <c r="I2445" s="5" t="n">
        <v>54.5</v>
      </c>
      <c r="J2445" s="5" t="n">
        <v>26.2</v>
      </c>
      <c r="K2445" s="3" t="inlineStr">
        <is>
          <t>농림지역 농업진흥구역 도로접 투자용 농경지</t>
        </is>
      </c>
      <c r="L2445" s="6">
        <f>HYPERLINK("https://fin.land.naver.com/articles/2652733681", "매물Link")</f>
        <v/>
      </c>
      <c r="M2445" s="6">
        <f>HYPERLINK("https://map.naver.com/p/search/장군면 송문리 624-1", "지도Link")</f>
        <v/>
      </c>
      <c r="N2445" s="6">
        <f>HYPERLINK("http://www.eum.go.kr/web/ar/lu/luLandDet.jsp?pnu=3611035029106240001&amp;isNoScr=script&amp;mode=search", "토지이음")</f>
        <v/>
      </c>
      <c r="O2445" s="3" t="inlineStr">
        <is>
          <t>세종이룸</t>
        </is>
      </c>
      <c r="P2445" s="4" t="n">
        <v>1</v>
      </c>
      <c r="Q2445" s="4" t="n">
        <v>3880.9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송문리 626-4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135800</v>
      </c>
      <c r="G2446" s="4" t="n">
        <v>4488</v>
      </c>
      <c r="H2446" s="4" t="n">
        <v>1358</v>
      </c>
      <c r="I2446" s="5" t="n">
        <v>100</v>
      </c>
      <c r="J2446" s="5" t="n">
        <v>32.9</v>
      </c>
      <c r="K2446" s="3" t="inlineStr">
        <is>
          <t>nan</t>
        </is>
      </c>
      <c r="L2446" s="6">
        <f>HYPERLINK("https://fin.land.naver.com/articles/2652727550", "매물Link")</f>
        <v/>
      </c>
      <c r="M2446" s="6">
        <f>HYPERLINK("https://map.naver.com/p/search/장군면 송문리 626-4", "지도Link")</f>
        <v/>
      </c>
      <c r="N2446" s="6">
        <f>HYPERLINK("http://www.eum.go.kr/web/ar/lu/luLandDet.jsp?pnu=3611035029106260004&amp;isNoScr=script&amp;mode=search", "토지이음")</f>
        <v/>
      </c>
      <c r="O2446" s="3" t="inlineStr">
        <is>
          <t>대박</t>
        </is>
      </c>
      <c r="P2446" s="4" t="n">
        <v>1</v>
      </c>
      <c r="Q2446" s="4" t="n">
        <v>4488.7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송문리 631-2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27000</v>
      </c>
      <c r="G2447" s="4" t="n">
        <v>2004</v>
      </c>
      <c r="H2447" s="4" t="n">
        <v>606</v>
      </c>
      <c r="I2447" s="5" t="n">
        <v>44.6</v>
      </c>
      <c r="J2447" s="5" t="n">
        <v>32.6</v>
      </c>
      <c r="K2447" s="3" t="inlineStr">
        <is>
          <t>급매, 저렴 대토용, 마을에 인접, 1Km 인근에 골프장 건설 예정</t>
        </is>
      </c>
      <c r="L2447" s="6">
        <f>HYPERLINK("https://fin.land.naver.com/articles/2654546684", "매물Link")</f>
        <v/>
      </c>
      <c r="M2447" s="6">
        <f>HYPERLINK("https://map.naver.com/p/search/장군면 송문리 631-2", "지도Link")</f>
        <v/>
      </c>
      <c r="N2447" s="6">
        <f>HYPERLINK("http://www.eum.go.kr/web/ar/lu/luLandDet.jsp?pnu=3611035029106310002&amp;isNoScr=script&amp;mode=search",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2004.5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송문리 638-2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65200</v>
      </c>
      <c r="G2448" s="4" t="n">
        <v>3317</v>
      </c>
      <c r="H2448" s="4" t="n">
        <v>1003</v>
      </c>
      <c r="I2448" s="5" t="n">
        <v>65</v>
      </c>
      <c r="J2448" s="5" t="n">
        <v>31.4</v>
      </c>
      <c r="K2448" s="3" t="inlineStr">
        <is>
          <t>대토추천, 서울세종고속도로 인근</t>
        </is>
      </c>
      <c r="L2448" s="6">
        <f>HYPERLINK("https://fin.land.naver.com/articles/2652122943", "매물Link")</f>
        <v/>
      </c>
      <c r="M2448" s="6">
        <f>HYPERLINK("https://map.naver.com/p/search/장군면 송문리 638-2", "지도Link")</f>
        <v/>
      </c>
      <c r="N2448" s="6">
        <f>HYPERLINK("http://www.eum.go.kr/web/ar/lu/luLandDet.jsp?pnu=3611035029106380002&amp;isNoScr=script&amp;mode=search", "토지이음")</f>
        <v/>
      </c>
      <c r="O2448" s="3" t="inlineStr">
        <is>
          <t>미스터홈즈강남지사</t>
        </is>
      </c>
      <c r="P2448" s="4" t="n">
        <v>1</v>
      </c>
      <c r="Q2448" s="4" t="n">
        <v>3317.7</v>
      </c>
      <c r="R2448" s="3" t="inlineStr">
        <is>
          <t>계획관리지역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세로각지(가)</t>
        </is>
      </c>
    </row>
    <row r="2449">
      <c r="A2449" s="3" t="inlineStr">
        <is>
          <t>장군면 송문리 638-8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41000</v>
      </c>
      <c r="G2449" s="4" t="n">
        <v>2213</v>
      </c>
      <c r="H2449" s="4" t="n">
        <v>669</v>
      </c>
      <c r="I2449" s="5" t="n">
        <v>61.3</v>
      </c>
      <c r="J2449" s="5" t="n">
        <v>31</v>
      </c>
      <c r="K2449" s="3" t="inlineStr">
        <is>
          <t>농업 활용도 최상의 매물,주말 농장,농지필요한 농업인,장기투자용으로 추천</t>
        </is>
      </c>
      <c r="L2449" s="6">
        <f>HYPERLINK("https://fin.land.naver.com/articles/2654533166", "매물Link")</f>
        <v/>
      </c>
      <c r="M2449" s="6">
        <f>HYPERLINK("https://map.naver.com/p/search/장군면 송문리 638-8", "지도Link")</f>
        <v/>
      </c>
      <c r="N2449" s="6">
        <f>HYPERLINK("http://www.eum.go.kr/web/ar/lu/luLandDet.jsp?pnu=3611035029106380008&amp;isNoScr=script&amp;mode=search", "토지이음")</f>
        <v/>
      </c>
      <c r="O2449" s="3" t="inlineStr">
        <is>
          <t>짱</t>
        </is>
      </c>
      <c r="P2449" s="4" t="n">
        <v>1</v>
      </c>
      <c r="Q2449" s="4" t="n">
        <v>2213.8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송문리 643-6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38000</v>
      </c>
      <c r="G2450" s="4" t="n">
        <v>2390</v>
      </c>
      <c r="H2450" s="4" t="n">
        <v>723</v>
      </c>
      <c r="I2450" s="5" t="n">
        <v>52.6</v>
      </c>
      <c r="J2450" s="5" t="n">
        <v>32.6</v>
      </c>
      <c r="K2450" s="3" t="inlineStr">
        <is>
          <t>마을 6m도로 접하여 접근성 좋고 신도시 10분 가까운 거리 저렴 농지</t>
        </is>
      </c>
      <c r="L2450" s="6">
        <f>HYPERLINK("https://fin.land.naver.com/articles/2651022202", "매물Link")</f>
        <v/>
      </c>
      <c r="M2450" s="6">
        <f>HYPERLINK("https://map.naver.com/p/search/장군면 송문리 643-6", "지도Link")</f>
        <v/>
      </c>
      <c r="N2450" s="6">
        <f>HYPERLINK("http://www.eum.go.kr/web/ar/lu/luLandDet.jsp?pnu=3611035029106430006&amp;isNoScr=script&amp;mode=search", "토지이음")</f>
        <v/>
      </c>
      <c r="O2450" s="3" t="inlineStr">
        <is>
          <t>온뜰</t>
        </is>
      </c>
      <c r="P2450" s="4" t="n">
        <v>1</v>
      </c>
      <c r="Q2450" s="4" t="n">
        <v>2390.4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송문리 649-1</t>
        </is>
      </c>
      <c r="B2451" s="3" t="inlineStr">
        <is>
          <t>농림지역</t>
        </is>
      </c>
      <c r="C2451" s="3" t="inlineStr">
        <is>
          <t>답</t>
        </is>
      </c>
      <c r="D2451" s="3" t="inlineStr">
        <is>
          <t>전</t>
        </is>
      </c>
      <c r="E2451" s="3" t="inlineStr">
        <is>
          <t>매매</t>
        </is>
      </c>
      <c r="F2451" s="4" t="n">
        <v>25750</v>
      </c>
      <c r="G2451" s="4" t="n">
        <v>1702</v>
      </c>
      <c r="H2451" s="4" t="n">
        <v>515</v>
      </c>
      <c r="I2451" s="5" t="n">
        <v>50</v>
      </c>
      <c r="J2451" s="5" t="n">
        <v>31</v>
      </c>
      <c r="K2451" s="3" t="inlineStr">
        <is>
          <t>소규모 농지 소액투자</t>
        </is>
      </c>
      <c r="L2451" s="6">
        <f>HYPERLINK("https://fin.land.naver.com/articles/2652731478", "매물Link")</f>
        <v/>
      </c>
      <c r="M2451" s="6">
        <f>HYPERLINK("https://map.naver.com/p/search/장군면 송문리 649-1", "지도Link")</f>
        <v/>
      </c>
      <c r="N2451" s="6">
        <f>HYPERLINK("http://www.eum.go.kr/web/ar/lu/luLandDet.jsp?pnu=3611035029106490001&amp;isNoScr=script&amp;mode=search", "토지이음")</f>
        <v/>
      </c>
      <c r="O2451" s="3" t="inlineStr">
        <is>
          <t>대박</t>
        </is>
      </c>
      <c r="P2451" s="4" t="n">
        <v>2</v>
      </c>
      <c r="Q2451" s="4" t="n">
        <v>1702.5</v>
      </c>
      <c r="R2451" s="3" t="inlineStr">
        <is>
          <t>지정되지않음</t>
        </is>
      </c>
      <c r="S2451" s="3" t="inlineStr">
        <is>
          <t>답</t>
        </is>
      </c>
      <c r="T2451" s="3" t="inlineStr">
        <is>
          <t>평지</t>
        </is>
      </c>
      <c r="U2451" s="3" t="inlineStr">
        <is>
          <t>세로장방</t>
        </is>
      </c>
      <c r="V2451" s="3" t="inlineStr">
        <is>
          <t>세로한면(가)</t>
        </is>
      </c>
    </row>
    <row r="2452">
      <c r="A2452" s="3" t="inlineStr">
        <is>
          <t>장군면 송문리 654-12</t>
        </is>
      </c>
      <c r="B2452" s="3" t="inlineStr">
        <is>
          <t>농림지역</t>
        </is>
      </c>
      <c r="C2452" s="3" t="inlineStr">
        <is>
          <t>답</t>
        </is>
      </c>
      <c r="D2452" s="3" t="inlineStr">
        <is>
          <t>답</t>
        </is>
      </c>
      <c r="E2452" s="3" t="inlineStr">
        <is>
          <t>매매</t>
        </is>
      </c>
      <c r="F2452" s="4" t="n">
        <v>100000</v>
      </c>
      <c r="G2452" s="4" t="n">
        <v>4992</v>
      </c>
      <c r="H2452" s="4" t="n">
        <v>1510</v>
      </c>
      <c r="I2452" s="5" t="n">
        <v>66.2</v>
      </c>
      <c r="J2452" s="5" t="n">
        <v>29.4</v>
      </c>
      <c r="K2452" s="3" t="inlineStr">
        <is>
          <t>nan</t>
        </is>
      </c>
      <c r="L2452" s="6">
        <f>HYPERLINK("https://fin.land.naver.com/articles/2650455544", "매물Link")</f>
        <v/>
      </c>
      <c r="M2452" s="6">
        <f>HYPERLINK("https://map.naver.com/p/search/장군면 송문리 654-12", "지도Link")</f>
        <v/>
      </c>
      <c r="N2452" s="6">
        <f>HYPERLINK("http://www.eum.go.kr/web/ar/lu/luLandDet.jsp?pnu=3611035029106540012&amp;isNoScr=script&amp;mode=search", "토지이음")</f>
        <v/>
      </c>
      <c r="O2452" s="3" t="inlineStr">
        <is>
          <t>고운동리치세종</t>
        </is>
      </c>
      <c r="P2452" s="4" t="n">
        <v>1</v>
      </c>
      <c r="Q2452" s="4" t="n">
        <v>832.5</v>
      </c>
      <c r="R2452" s="3" t="inlineStr">
        <is>
          <t>지정되지않음</t>
        </is>
      </c>
      <c r="S2452" s="3" t="inlineStr">
        <is>
          <t>답</t>
        </is>
      </c>
      <c r="T2452" s="3" t="inlineStr">
        <is>
          <t>평지</t>
        </is>
      </c>
      <c r="U2452" s="3" t="inlineStr">
        <is>
          <t>세로장방</t>
        </is>
      </c>
      <c r="V2452" s="3" t="inlineStr">
        <is>
          <t>세로한면(가)</t>
        </is>
      </c>
    </row>
    <row r="2453">
      <c r="A2453" s="3" t="inlineStr">
        <is>
          <t>장군면 송문리 662-3</t>
        </is>
      </c>
      <c r="B2453" s="3" t="inlineStr">
        <is>
          <t>농림지역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50000</v>
      </c>
      <c r="G2453" s="4" t="n">
        <v>2053</v>
      </c>
      <c r="H2453" s="4" t="n">
        <v>621</v>
      </c>
      <c r="I2453" s="5" t="n">
        <v>80.5</v>
      </c>
      <c r="J2453" s="5" t="n">
        <v>34.1</v>
      </c>
      <c r="K2453" s="3" t="inlineStr">
        <is>
          <t>송문리 농림지역 토지매매</t>
        </is>
      </c>
      <c r="L2453" s="6">
        <f>HYPERLINK("https://fin.land.naver.com/articles/2652875896", "매물Link")</f>
        <v/>
      </c>
      <c r="M2453" s="6">
        <f>HYPERLINK("https://map.naver.com/p/search/장군면 송문리 662-3", "지도Link")</f>
        <v/>
      </c>
      <c r="N2453" s="6">
        <f>HYPERLINK("http://www.eum.go.kr/web/ar/lu/luLandDet.jsp?pnu=3611035029106620003&amp;isNoScr=script&amp;mode=search", "토지이음")</f>
        <v/>
      </c>
      <c r="O2453" s="3" t="inlineStr">
        <is>
          <t>에이스</t>
        </is>
      </c>
      <c r="P2453" s="4" t="n">
        <v>1</v>
      </c>
      <c r="Q2453" s="4" t="n">
        <v>2053.1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평지</t>
        </is>
      </c>
      <c r="U2453" s="3" t="inlineStr">
        <is>
          <t>세로장방</t>
        </is>
      </c>
      <c r="V2453" s="3" t="inlineStr">
        <is>
          <t>세로한면(가)</t>
        </is>
      </c>
    </row>
    <row r="2454">
      <c r="A2454" s="3" t="inlineStr">
        <is>
          <t>장군면 송문리 86-2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136800</v>
      </c>
      <c r="G2454" s="4" t="n">
        <v>2261</v>
      </c>
      <c r="H2454" s="4" t="n">
        <v>684</v>
      </c>
      <c r="I2454" s="5" t="n">
        <v>200</v>
      </c>
      <c r="J2454" s="5" t="n">
        <v>64.7</v>
      </c>
      <c r="K2454" s="3" t="inlineStr">
        <is>
          <t>계획관리지역 토지매매</t>
        </is>
      </c>
      <c r="L2454" s="6">
        <f>HYPERLINK("https://fin.land.naver.com/articles/2652042116", "매물Link")</f>
        <v/>
      </c>
      <c r="M2454" s="6">
        <f>HYPERLINK("https://map.naver.com/p/search/장군면 송문리 86-2", "지도Link")</f>
        <v/>
      </c>
      <c r="N2454" s="6">
        <f>HYPERLINK("http://www.eum.go.kr/web/ar/lu/luLandDet.jsp?pnu=3611035029100860002&amp;isNoScr=script&amp;mode=search", "토지이음")</f>
        <v/>
      </c>
      <c r="O2454" s="3" t="inlineStr">
        <is>
          <t>에이스</t>
        </is>
      </c>
      <c r="P2454" s="4" t="n">
        <v>1</v>
      </c>
      <c r="Q2454" s="4" t="n">
        <v>2261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산17-9</t>
        </is>
      </c>
      <c r="B2455" s="3" t="inlineStr">
        <is>
          <t>보전관리지역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507500</v>
      </c>
      <c r="G2455" s="4" t="n">
        <v>23966</v>
      </c>
      <c r="H2455" s="4" t="n">
        <v>7250</v>
      </c>
      <c r="I2455" s="5" t="n">
        <v>70</v>
      </c>
      <c r="J2455" s="5" t="n">
        <v>17.5</v>
      </c>
      <c r="K2455" s="3" t="inlineStr">
        <is>
          <t>인근 고속도로 개통예정 창고부지</t>
        </is>
      </c>
      <c r="L2455" s="6">
        <f>HYPERLINK("https://fin.land.naver.com/articles/2650628779", "매물Link")</f>
        <v/>
      </c>
      <c r="M2455" s="6">
        <f>HYPERLINK("https://map.naver.com/p/search/장군면 송문리 산17-9", "지도Link")</f>
        <v/>
      </c>
      <c r="N2455" s="6">
        <f>HYPERLINK("http://www.eum.go.kr/web/ar/lu/luLandDet.jsp?pnu=3611035029200170009&amp;isNoScr=script&amp;mode=search", "토지이음")</f>
        <v/>
      </c>
      <c r="O2455" s="3" t="inlineStr">
        <is>
          <t>뉴다원에셋 주식회사</t>
        </is>
      </c>
      <c r="P2455" s="4" t="n">
        <v>1</v>
      </c>
      <c r="Q2455" s="4" t="n">
        <v>23415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완경사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송정리 556-4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200000</v>
      </c>
      <c r="G2456" s="4" t="n">
        <v>6646</v>
      </c>
      <c r="H2456" s="4" t="n">
        <v>2010</v>
      </c>
      <c r="I2456" s="5" t="n">
        <v>99.5</v>
      </c>
      <c r="J2456" s="5" t="n">
        <v>37.5</v>
      </c>
      <c r="K2456" s="3" t="inlineStr">
        <is>
          <t>nan</t>
        </is>
      </c>
      <c r="L2456" s="6">
        <f>HYPERLINK("https://fin.land.naver.com/articles/2650614051", "매물Link")</f>
        <v/>
      </c>
      <c r="M2456" s="6">
        <f>HYPERLINK("https://map.naver.com/p/search/장군면 송정리 556-4", "지도Link")</f>
        <v/>
      </c>
      <c r="N2456" s="6">
        <f>HYPERLINK("http://www.eum.go.kr/web/ar/lu/luLandDet.jsp?pnu=3611035030105560004&amp;isNoScr=script&amp;mode=search", "토지이음")</f>
        <v/>
      </c>
      <c r="O2456" s="3" t="inlineStr">
        <is>
          <t>다온</t>
        </is>
      </c>
      <c r="P2456" s="4" t="n">
        <v>1</v>
      </c>
      <c r="Q2456" s="4" t="n">
        <v>3375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완경사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송정리 556-5</t>
        </is>
      </c>
      <c r="B2457" s="3" t="inlineStr">
        <is>
          <t>계획관리지역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210000</v>
      </c>
      <c r="G2457" s="4" t="n">
        <v>6646</v>
      </c>
      <c r="H2457" s="4" t="n">
        <v>2010</v>
      </c>
      <c r="I2457" s="5" t="n">
        <v>104.5</v>
      </c>
      <c r="J2457" s="5" t="n">
        <v>37.5</v>
      </c>
      <c r="K2457" s="3" t="inlineStr">
        <is>
          <t>세세종IC 5분거리 계획관리지역</t>
        </is>
      </c>
      <c r="L2457" s="6">
        <f>HYPERLINK("https://fin.land.naver.com/articles/2651149402", "매물Link")</f>
        <v/>
      </c>
      <c r="M2457" s="6">
        <f>HYPERLINK("https://map.naver.com/p/search/장군면 송정리 556-5", "지도Link")</f>
        <v/>
      </c>
      <c r="N2457" s="6">
        <f>HYPERLINK("http://www.eum.go.kr/web/ar/lu/luLandDet.jsp?pnu=3611035030105560005&amp;isNoScr=script&amp;mode=search", "토지이음")</f>
        <v/>
      </c>
      <c r="O2457" s="3" t="inlineStr">
        <is>
          <t>해온</t>
        </is>
      </c>
      <c r="P2457" s="4" t="n">
        <v>1</v>
      </c>
      <c r="Q2457" s="4" t="n">
        <v>3018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송정리 556-5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200000</v>
      </c>
      <c r="G2458" s="4" t="n">
        <v>3018</v>
      </c>
      <c r="H2458" s="4" t="n">
        <v>913</v>
      </c>
      <c r="I2458" s="5" t="n">
        <v>219.1</v>
      </c>
      <c r="J2458" s="5" t="n">
        <v>37.5</v>
      </c>
      <c r="K2458" s="3" t="inlineStr">
        <is>
          <t>계획관리지역 토지매매</t>
        </is>
      </c>
      <c r="L2458" s="6">
        <f>HYPERLINK("https://fin.land.naver.com/articles/2652873325", "매물Link")</f>
        <v/>
      </c>
      <c r="M2458" s="6">
        <f>HYPERLINK("https://map.naver.com/p/search/장군면 송정리 556-5", "지도Link")</f>
        <v/>
      </c>
      <c r="N2458" s="6">
        <f>HYPERLINK("http://www.eum.go.kr/web/ar/lu/luLandDet.jsp?pnu=3611035030105560005&amp;isNoScr=script&amp;mode=search", "토지이음")</f>
        <v/>
      </c>
      <c r="O2458" s="3" t="inlineStr">
        <is>
          <t>에이스</t>
        </is>
      </c>
      <c r="P2458" s="4" t="n">
        <v>1</v>
      </c>
      <c r="Q2458" s="4" t="n">
        <v>3018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송정리 580-2</t>
        </is>
      </c>
      <c r="B2459" s="3" t="inlineStr">
        <is>
          <t>보전관리지역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96000</v>
      </c>
      <c r="G2459" s="4" t="n">
        <v>4541</v>
      </c>
      <c r="H2459" s="4" t="n">
        <v>1374</v>
      </c>
      <c r="I2459" s="5" t="n">
        <v>69.90000000000001</v>
      </c>
      <c r="J2459" s="5" t="n">
        <v>14.5</v>
      </c>
      <c r="K2459" s="3" t="inlineStr">
        <is>
          <t>2. 송정리. 전원 주택 단지로 개발하기 좋은 자리</t>
        </is>
      </c>
      <c r="L2459" s="6">
        <f>HYPERLINK("https://fin.land.naver.com/articles/2652713775", "매물Link")</f>
        <v/>
      </c>
      <c r="M2459" s="6">
        <f>HYPERLINK("https://map.naver.com/p/search/장군면 송정리 580-2", "지도Link")</f>
        <v/>
      </c>
      <c r="N2459" s="6">
        <f>HYPERLINK("http://www.eum.go.kr/web/ar/lu/luLandDet.jsp?pnu=3611035030105800002&amp;isNoScr=script&amp;mode=search", "토지이음")</f>
        <v/>
      </c>
      <c r="O2459" s="3" t="inlineStr">
        <is>
          <t>내동굿모닝</t>
        </is>
      </c>
      <c r="P2459" s="4" t="n">
        <v>1</v>
      </c>
      <c r="Q2459" s="4" t="n">
        <v>4541</v>
      </c>
      <c r="R2459" s="3" t="inlineStr">
        <is>
          <t>지정되지않음</t>
        </is>
      </c>
      <c r="S2459" s="3" t="inlineStr">
        <is>
          <t>자연림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세로한면(불)</t>
        </is>
      </c>
    </row>
    <row r="2460">
      <c r="A2460" s="3" t="inlineStr">
        <is>
          <t>장군면 송정리 582-1</t>
        </is>
      </c>
      <c r="B2460" s="3" t="inlineStr">
        <is>
          <t>계획관리지역</t>
        </is>
      </c>
      <c r="C2460" s="3" t="inlineStr">
        <is>
          <t>임야</t>
        </is>
      </c>
      <c r="D2460" s="3" t="inlineStr">
        <is>
          <t>임야</t>
        </is>
      </c>
      <c r="E2460" s="3" t="inlineStr">
        <is>
          <t>매매</t>
        </is>
      </c>
      <c r="F2460" s="4" t="n">
        <v>35000</v>
      </c>
      <c r="G2460" s="4" t="n">
        <v>714</v>
      </c>
      <c r="H2460" s="4" t="n">
        <v>216</v>
      </c>
      <c r="I2460" s="5" t="n">
        <v>162</v>
      </c>
      <c r="J2460" s="5" t="n">
        <v>19.6</v>
      </c>
      <c r="K2460" s="3" t="inlineStr">
        <is>
          <t>세종시 20분거리, 풍경 좋은 전원 주택, 쉼터, 주말농장 등</t>
        </is>
      </c>
      <c r="L2460" s="6">
        <f>HYPERLINK("https://fin.land.naver.com/articles/2653176854", "매물Link")</f>
        <v/>
      </c>
      <c r="M2460" s="6">
        <f>HYPERLINK("https://map.naver.com/p/search/장군면 송정리 582-1", "지도Link")</f>
        <v/>
      </c>
      <c r="N2460" s="6">
        <f>HYPERLINK("http://www.eum.go.kr/web/ar/lu/luLandDet.jsp?pnu=3611035030105820001&amp;isNoScr=script&amp;mode=search", "토지이음")</f>
        <v/>
      </c>
      <c r="O2460" s="3" t="inlineStr">
        <is>
          <t>상상</t>
        </is>
      </c>
      <c r="P2460" s="4" t="n">
        <v>1</v>
      </c>
      <c r="Q2460" s="4" t="n">
        <v>714</v>
      </c>
      <c r="R2460" s="3" t="inlineStr">
        <is>
          <t>지정되지않음</t>
        </is>
      </c>
      <c r="S2460" s="3" t="inlineStr">
        <is>
          <t>토지임야</t>
        </is>
      </c>
      <c r="T2460" s="3" t="inlineStr">
        <is>
          <t>완경사</t>
        </is>
      </c>
      <c r="U2460" s="3" t="inlineStr">
        <is>
          <t>부정형</t>
        </is>
      </c>
      <c r="V2460" s="3" t="inlineStr">
        <is>
          <t>세로한면(불)</t>
        </is>
      </c>
    </row>
    <row r="2461">
      <c r="A2461" s="3" t="inlineStr">
        <is>
          <t>장군면 송정리 638-9</t>
        </is>
      </c>
      <c r="B2461" s="3" t="inlineStr">
        <is>
          <t>생산관리지역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40000</v>
      </c>
      <c r="G2461" s="4" t="n">
        <v>1471</v>
      </c>
      <c r="H2461" s="4" t="n">
        <v>445</v>
      </c>
      <c r="I2461" s="5" t="n">
        <v>89.90000000000001</v>
      </c>
      <c r="J2461" s="5" t="n">
        <v>32.4</v>
      </c>
      <c r="K2461" s="3" t="inlineStr">
        <is>
          <t>3면이 국유도로에 물려있는 예쁜 토지매매</t>
        </is>
      </c>
      <c r="L2461" s="6">
        <f>HYPERLINK("https://fin.land.naver.com/articles/2652874610", "매물Link")</f>
        <v/>
      </c>
      <c r="M2461" s="6">
        <f>HYPERLINK("https://map.naver.com/p/search/장군면 송정리 638-9", "지도Link")</f>
        <v/>
      </c>
      <c r="N2461" s="6">
        <f>HYPERLINK("http://www.eum.go.kr/web/ar/lu/luLandDet.jsp?pnu=3611035030106380009&amp;isNoScr=script&amp;mode=search",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1471.8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세로각지(가)</t>
        </is>
      </c>
    </row>
    <row r="2462">
      <c r="A2462" s="3" t="inlineStr">
        <is>
          <t>장군면 송정리 640-3</t>
        </is>
      </c>
      <c r="B2462" s="3" t="inlineStr">
        <is>
          <t>생산관리지역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22000</v>
      </c>
      <c r="G2462" s="4" t="n">
        <v>1005</v>
      </c>
      <c r="H2462" s="4" t="n">
        <v>304</v>
      </c>
      <c r="I2462" s="5" t="n">
        <v>72.40000000000001</v>
      </c>
      <c r="J2462" s="5" t="n">
        <v>29.7</v>
      </c>
      <c r="K2462" s="3" t="inlineStr">
        <is>
          <t>송정리 생산관리지역 토지매매</t>
        </is>
      </c>
      <c r="L2462" s="6">
        <f>HYPERLINK("https://fin.land.naver.com/articles/2652884761", "매물Link")</f>
        <v/>
      </c>
      <c r="M2462" s="6">
        <f>HYPERLINK("https://map.naver.com/p/search/장군면 송정리 640-3", "지도Link")</f>
        <v/>
      </c>
      <c r="N2462" s="6">
        <f>HYPERLINK("http://www.eum.go.kr/web/ar/lu/luLandDet.jsp?pnu=3611035030106400003&amp;isNoScr=script&amp;mode=search", "토지이음")</f>
        <v/>
      </c>
      <c r="O2462" s="3" t="inlineStr">
        <is>
          <t>에이스</t>
        </is>
      </c>
      <c r="P2462" s="4" t="n">
        <v>1</v>
      </c>
      <c r="Q2462" s="4" t="n">
        <v>1005.2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세로한면(가)</t>
        </is>
      </c>
    </row>
    <row r="2463">
      <c r="A2463" s="3" t="inlineStr">
        <is>
          <t>장군면 송정리 산24-22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392000</v>
      </c>
      <c r="G2463" s="4" t="n">
        <v>28805</v>
      </c>
      <c r="H2463" s="4" t="n">
        <v>8714</v>
      </c>
      <c r="I2463" s="5" t="n">
        <v>45</v>
      </c>
      <c r="J2463" s="5" t="n">
        <v>12.7</v>
      </c>
      <c r="K2463" s="3" t="inlineStr">
        <is>
          <t>투자가치 최상 넓은면적 저렴한 토지 매매</t>
        </is>
      </c>
      <c r="L2463" s="6">
        <f>HYPERLINK("https://fin.land.naver.com/articles/2652667883", "매물Link")</f>
        <v/>
      </c>
      <c r="M2463" s="6">
        <f>HYPERLINK("https://map.naver.com/p/search/장군면 송정리 산24-22", "지도Link")</f>
        <v/>
      </c>
      <c r="N2463" s="6">
        <f>HYPERLINK("http://www.eum.go.kr/web/ar/lu/luLandDet.jsp?pnu=3611035030200240022&amp;isNoScr=script&amp;mode=search", "토지이음")</f>
        <v/>
      </c>
      <c r="O2463" s="3" t="inlineStr">
        <is>
          <t>(주)정민근</t>
        </is>
      </c>
      <c r="P2463" s="4" t="n">
        <v>1</v>
      </c>
      <c r="Q2463" s="4" t="n">
        <v>28805</v>
      </c>
      <c r="R2463" s="3" t="inlineStr">
        <is>
          <t>지정되지않음</t>
        </is>
      </c>
      <c r="S2463" s="3" t="inlineStr">
        <is>
          <t>자연림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송학리 126-11</t>
        </is>
      </c>
      <c r="B2464" s="3" t="inlineStr">
        <is>
          <t>계획관리지역</t>
        </is>
      </c>
      <c r="C2464" s="3" t="inlineStr">
        <is>
          <t>임야</t>
        </is>
      </c>
      <c r="D2464" s="3" t="inlineStr">
        <is>
          <t>임야</t>
        </is>
      </c>
      <c r="E2464" s="3" t="inlineStr">
        <is>
          <t>매매</t>
        </is>
      </c>
      <c r="F2464" s="4" t="n">
        <v>264000</v>
      </c>
      <c r="G2464" s="4" t="n">
        <v>4367</v>
      </c>
      <c r="H2464" s="4" t="n">
        <v>1321</v>
      </c>
      <c r="I2464" s="5" t="n">
        <v>199.8</v>
      </c>
      <c r="J2464" s="5" t="n">
        <v>46.3</v>
      </c>
      <c r="K2464" s="3" t="inlineStr">
        <is>
          <t>6미터 도로에 접한 계획관리 토지</t>
        </is>
      </c>
      <c r="L2464" s="6">
        <f>HYPERLINK("https://fin.land.naver.com/articles/2655086071", "매물Link")</f>
        <v/>
      </c>
      <c r="M2464" s="6">
        <f>HYPERLINK("https://map.naver.com/p/search/장군면 송학리 126-11", "지도Link")</f>
        <v/>
      </c>
      <c r="N2464" s="6">
        <f>HYPERLINK("http://www.eum.go.kr/web/ar/lu/luLandDet.jsp?pnu=3611035031101260011&amp;isNoScr=script&amp;mode=search", "토지이음")</f>
        <v/>
      </c>
      <c r="O2464" s="3" t="inlineStr">
        <is>
          <t>세종대박</t>
        </is>
      </c>
      <c r="P2464" s="4" t="n">
        <v>1</v>
      </c>
      <c r="Q2464" s="4" t="n">
        <v>4367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송학리 136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90000</v>
      </c>
      <c r="G2465" s="4" t="n">
        <v>1980</v>
      </c>
      <c r="H2465" s="4" t="n">
        <v>599</v>
      </c>
      <c r="I2465" s="5" t="n">
        <v>150.3</v>
      </c>
      <c r="J2465" s="5" t="n">
        <v>48.9</v>
      </c>
      <c r="K2465" s="3" t="inlineStr">
        <is>
          <t>송학리 도로접한 계획관리 땅모양 예뻐요</t>
        </is>
      </c>
      <c r="L2465" s="6">
        <f>HYPERLINK("https://fin.land.naver.com/articles/2655217089", "매물Link")</f>
        <v/>
      </c>
      <c r="M2465" s="6">
        <f>HYPERLINK("https://map.naver.com/p/search/장군면 송학리 136", "지도Link")</f>
        <v/>
      </c>
      <c r="N2465" s="6">
        <f>HYPERLINK("http://www.eum.go.kr/web/ar/lu/luLandDet.jsp?pnu=3611035031101360000&amp;isNoScr=script&amp;mode=search", "토지이음")</f>
        <v/>
      </c>
      <c r="O2465" s="3" t="inlineStr">
        <is>
          <t>생명나무</t>
        </is>
      </c>
      <c r="P2465" s="4" t="n">
        <v>1</v>
      </c>
      <c r="Q2465" s="4" t="n">
        <v>1904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송학리 156-2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300000</v>
      </c>
      <c r="G2466" s="4" t="n">
        <v>4936</v>
      </c>
      <c r="H2466" s="4" t="n">
        <v>1493</v>
      </c>
      <c r="I2466" s="5" t="n">
        <v>200.9</v>
      </c>
      <c r="J2466" s="5" t="n">
        <v>40.7</v>
      </c>
      <c r="K2466" s="3" t="inlineStr">
        <is>
          <t>생명나무, 계획관리지역 ,땅모양이뻐요</t>
        </is>
      </c>
      <c r="L2466" s="6">
        <f>HYPERLINK("https://fin.land.naver.com/articles/2650738342", "매물Link")</f>
        <v/>
      </c>
      <c r="M2466" s="6">
        <f>HYPERLINK("https://map.naver.com/p/search/장군면 송학리 156-2", "지도Link")</f>
        <v/>
      </c>
      <c r="N2466" s="6">
        <f>HYPERLINK("http://www.eum.go.kr/web/ar/lu/luLandDet.jsp?pnu=3611035031101560002&amp;isNoScr=script&amp;mode=search", "토지이음")</f>
        <v/>
      </c>
      <c r="O2466" s="3" t="inlineStr">
        <is>
          <t>생명나무</t>
        </is>
      </c>
      <c r="P2466" s="4" t="n">
        <v>1</v>
      </c>
      <c r="Q2466" s="4" t="n">
        <v>4936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송학리 156-3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43000</v>
      </c>
      <c r="G2467" s="4" t="n">
        <v>1438</v>
      </c>
      <c r="H2467" s="4" t="n">
        <v>435</v>
      </c>
      <c r="I2467" s="5" t="n">
        <v>98.90000000000001</v>
      </c>
      <c r="J2467" s="5" t="n">
        <v>33.7</v>
      </c>
      <c r="K2467" s="3" t="inlineStr">
        <is>
          <t>추후 지가상승 기대</t>
        </is>
      </c>
      <c r="L2467" s="6">
        <f>HYPERLINK("https://fin.land.naver.com/articles/2650956588", "매물Link")</f>
        <v/>
      </c>
      <c r="M2467" s="6">
        <f>HYPERLINK("https://map.naver.com/p/search/장군면 송학리 156-3", "지도Link")</f>
        <v/>
      </c>
      <c r="N2467" s="6">
        <f>HYPERLINK("http://www.eum.go.kr/web/ar/lu/luLandDet.jsp?pnu=3611035031101560003&amp;isNoScr=script&amp;mode=search", "토지이음")</f>
        <v/>
      </c>
      <c r="O2467" s="3" t="inlineStr">
        <is>
          <t>세종땅전문</t>
        </is>
      </c>
      <c r="P2467" s="4" t="n">
        <v>1</v>
      </c>
      <c r="Q2467" s="4" t="n">
        <v>1438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완경사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송학리 163</t>
        </is>
      </c>
      <c r="B2468" s="3" t="inlineStr">
        <is>
          <t>계획관리지역</t>
        </is>
      </c>
      <c r="C2468" s="3" t="inlineStr">
        <is>
          <t>대</t>
        </is>
      </c>
      <c r="D2468" s="3" t="inlineStr">
        <is>
          <t>대</t>
        </is>
      </c>
      <c r="E2468" s="3" t="inlineStr">
        <is>
          <t>매매</t>
        </is>
      </c>
      <c r="F2468" s="4" t="n">
        <v>155000</v>
      </c>
      <c r="G2468" s="4" t="n">
        <v>3127</v>
      </c>
      <c r="H2468" s="4" t="n">
        <v>946</v>
      </c>
      <c r="I2468" s="5" t="n">
        <v>163.8</v>
      </c>
      <c r="J2468" s="5" t="n">
        <v>59.2</v>
      </c>
      <c r="K2468" s="3" t="inlineStr">
        <is>
          <t>세종 장군면 토지일괄매도 도로 차량진입 IC접근성 우수</t>
        </is>
      </c>
      <c r="L2468" s="6">
        <f>HYPERLINK("https://fin.land.naver.com/articles/2652359921", "매물Link")</f>
        <v/>
      </c>
      <c r="M2468" s="6">
        <f>HYPERLINK("https://map.naver.com/p/search/장군면 송학리 163", "지도Link")</f>
        <v/>
      </c>
      <c r="N2468" s="6">
        <f>HYPERLINK("http://www.eum.go.kr/web/ar/lu/luLandDet.jsp?pnu=3611035031101630000&amp;isNoScr=script&amp;mode=search", "토지이음")</f>
        <v/>
      </c>
      <c r="O2468" s="3" t="inlineStr">
        <is>
          <t>이화</t>
        </is>
      </c>
      <c r="P2468" s="4" t="n">
        <v>1</v>
      </c>
      <c r="Q2468" s="4" t="n">
        <v>360</v>
      </c>
      <c r="R2468" s="3" t="inlineStr">
        <is>
          <t>지정되지않음</t>
        </is>
      </c>
      <c r="S2468" s="3" t="inlineStr">
        <is>
          <t>단독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송학리 165</t>
        </is>
      </c>
      <c r="B2469" s="3" t="inlineStr">
        <is>
          <t>계획관리지역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150000</v>
      </c>
      <c r="G2469" s="4" t="n">
        <v>1012</v>
      </c>
      <c r="H2469" s="4" t="n">
        <v>306</v>
      </c>
      <c r="I2469" s="5" t="n">
        <v>490.2</v>
      </c>
      <c r="J2469" s="5" t="n">
        <v>50.3</v>
      </c>
      <c r="K2469" s="3" t="inlineStr">
        <is>
          <t>nan</t>
        </is>
      </c>
      <c r="L2469" s="6">
        <f>HYPERLINK("https://fin.land.naver.com/articles/2652558847", "매물Link")</f>
        <v/>
      </c>
      <c r="M2469" s="6">
        <f>HYPERLINK("https://map.naver.com/p/search/장군면 송학리 165", "지도Link")</f>
        <v/>
      </c>
      <c r="N2469" s="6">
        <f>HYPERLINK("http://www.eum.go.kr/web/ar/lu/luLandDet.jsp?pnu=3611035031101650000&amp;isNoScr=script&amp;mode=search", "토지이음")</f>
        <v/>
      </c>
      <c r="O2469" s="3" t="inlineStr">
        <is>
          <t>키움</t>
        </is>
      </c>
      <c r="P2469" s="4" t="n">
        <v>1</v>
      </c>
      <c r="Q2469" s="4" t="n">
        <v>1012</v>
      </c>
      <c r="R2469" s="3" t="inlineStr">
        <is>
          <t>지정되지않음</t>
        </is>
      </c>
      <c r="S2469" s="3" t="inlineStr">
        <is>
          <t>단독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송학리 182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71200</v>
      </c>
      <c r="G2470" s="4" t="n">
        <v>1385</v>
      </c>
      <c r="H2470" s="4" t="n">
        <v>419</v>
      </c>
      <c r="I2470" s="5" t="n">
        <v>169.9</v>
      </c>
      <c r="J2470" s="5" t="n">
        <v>50.8</v>
      </c>
      <c r="K2470" s="3" t="inlineStr">
        <is>
          <t>계획관리지역 도로접 2필지 일괄매매</t>
        </is>
      </c>
      <c r="L2470" s="6">
        <f>HYPERLINK("https://fin.land.naver.com/articles/2655642837", "매물Link")</f>
        <v/>
      </c>
      <c r="M2470" s="6">
        <f>HYPERLINK("https://map.naver.com/p/search/장군면 송학리 182", "지도Link")</f>
        <v/>
      </c>
      <c r="N2470" s="6">
        <f>HYPERLINK("http://www.eum.go.kr/web/ar/lu/luLandDet.jsp?pnu=3611035031101820000&amp;isNoScr=script&amp;mode=search", "토지이음")</f>
        <v/>
      </c>
      <c r="O2470" s="3" t="inlineStr">
        <is>
          <t>리슈빌대주</t>
        </is>
      </c>
      <c r="P2470" s="4" t="n">
        <v>2</v>
      </c>
      <c r="Q2470" s="4" t="n">
        <v>692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사다리형</t>
        </is>
      </c>
      <c r="V2470" s="3" t="inlineStr">
        <is>
          <t>세로한면(가)</t>
        </is>
      </c>
    </row>
    <row r="2471">
      <c r="A2471" s="3" t="inlineStr">
        <is>
          <t>장군면 송학리 182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71230</v>
      </c>
      <c r="G2471" s="4" t="n">
        <v>1385</v>
      </c>
      <c r="H2471" s="4" t="n">
        <v>419</v>
      </c>
      <c r="I2471" s="5" t="n">
        <v>170</v>
      </c>
      <c r="J2471" s="5" t="n">
        <v>50.8</v>
      </c>
      <c r="K2471" s="3" t="inlineStr">
        <is>
          <t>마을인근 도로접한 전 계획관리지역 두 필지 매매</t>
        </is>
      </c>
      <c r="L2471" s="6">
        <f>HYPERLINK("https://fin.land.naver.com/articles/2655312250", "매물Link")</f>
        <v/>
      </c>
      <c r="M2471" s="6">
        <f>HYPERLINK("https://map.naver.com/p/search/장군면 송학리 182", "지도Link")</f>
        <v/>
      </c>
      <c r="N2471" s="6">
        <f>HYPERLINK("http://www.eum.go.kr/web/ar/lu/luLandDet.jsp?pnu=3611035031101820000&amp;isNoScr=script&amp;mode=search", "토지이음")</f>
        <v/>
      </c>
      <c r="O2471" s="3" t="inlineStr">
        <is>
          <t>제이파크</t>
        </is>
      </c>
      <c r="P2471" s="4" t="n">
        <v>1</v>
      </c>
      <c r="Q2471" s="4" t="n">
        <v>692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송학리 185-10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85000</v>
      </c>
      <c r="G2472" s="4" t="n">
        <v>1316</v>
      </c>
      <c r="H2472" s="4" t="n">
        <v>398</v>
      </c>
      <c r="I2472" s="5" t="n">
        <v>213.6</v>
      </c>
      <c r="J2472" s="5" t="n">
        <v>38.9</v>
      </c>
      <c r="K2472" s="3" t="inlineStr">
        <is>
          <t>투자가치 높은 땅</t>
        </is>
      </c>
      <c r="L2472" s="6">
        <f>HYPERLINK("https://fin.land.naver.com/articles/2650644083", "매물Link")</f>
        <v/>
      </c>
      <c r="M2472" s="6">
        <f>HYPERLINK("https://map.naver.com/p/search/장군면 송학리 185-10", "지도Link")</f>
        <v/>
      </c>
      <c r="N2472" s="6">
        <f>HYPERLINK("http://www.eum.go.kr/web/ar/lu/luLandDet.jsp?pnu=3611035031101850010&amp;isNoScr=script&amp;mode=search", "토지이음")</f>
        <v/>
      </c>
      <c r="O2472" s="3" t="inlineStr">
        <is>
          <t>터</t>
        </is>
      </c>
      <c r="P2472" s="4" t="n">
        <v>1</v>
      </c>
      <c r="Q2472" s="4" t="n">
        <v>1316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송학리 211-2</t>
        </is>
      </c>
      <c r="B2473" s="3" t="inlineStr">
        <is>
          <t>계획관리지역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35000</v>
      </c>
      <c r="G2473" s="4" t="n">
        <v>338</v>
      </c>
      <c r="H2473" s="4" t="n">
        <v>102</v>
      </c>
      <c r="I2473" s="5" t="n">
        <v>343.1</v>
      </c>
      <c r="J2473" s="5" t="n">
        <v>58.5</v>
      </c>
      <c r="K2473" s="3" t="inlineStr">
        <is>
          <t>바른 세컨하우스로 좋은 농가주택과 토지  매매합니다   조정가능</t>
        </is>
      </c>
      <c r="L2473" s="6">
        <f>HYPERLINK("https://fin.land.naver.com/articles/2654858604", "매물Link")</f>
        <v/>
      </c>
      <c r="M2473" s="6">
        <f>HYPERLINK("https://map.naver.com/p/search/장군면 송학리 211-2", "지도Link")</f>
        <v/>
      </c>
      <c r="N2473" s="6">
        <f>HYPERLINK("http://www.eum.go.kr/web/ar/lu/luLandDet.jsp?pnu=3611035031102110002&amp;isNoScr=script&amp;mode=search", "토지이음")</f>
        <v/>
      </c>
      <c r="O2473" s="3" t="inlineStr">
        <is>
          <t>검단예미지바른</t>
        </is>
      </c>
      <c r="P2473" s="4" t="n">
        <v>1</v>
      </c>
      <c r="Q2473" s="4" t="n">
        <v>338</v>
      </c>
      <c r="R2473" s="3" t="inlineStr">
        <is>
          <t>지정되지않음</t>
        </is>
      </c>
      <c r="S2473" s="3" t="inlineStr">
        <is>
          <t>단독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송학리 211-5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60000</v>
      </c>
      <c r="G2474" s="4" t="n">
        <v>686</v>
      </c>
      <c r="H2474" s="4" t="n">
        <v>208</v>
      </c>
      <c r="I2474" s="5" t="n">
        <v>288.5</v>
      </c>
      <c r="J2474" s="5" t="n">
        <v>70.5</v>
      </c>
      <c r="K2474" s="3" t="inlineStr">
        <is>
          <t>바른 귀한 나대지 매매합니다</t>
        </is>
      </c>
      <c r="L2474" s="6">
        <f>HYPERLINK("https://fin.land.naver.com/articles/2651856522", "매물Link")</f>
        <v/>
      </c>
      <c r="M2474" s="6">
        <f>HYPERLINK("https://map.naver.com/p/search/장군면 송학리 211-5", "지도Link")</f>
        <v/>
      </c>
      <c r="N2474" s="6">
        <f>HYPERLINK("http://www.eum.go.kr/web/ar/lu/luLandDet.jsp?pnu=3611035031102110005&amp;isNoScr=script&amp;mode=search", "토지이음")</f>
        <v/>
      </c>
      <c r="O2474" s="3" t="inlineStr">
        <is>
          <t>검단예미지바른</t>
        </is>
      </c>
      <c r="P2474" s="4" t="n">
        <v>1</v>
      </c>
      <c r="Q2474" s="4" t="n">
        <v>686</v>
      </c>
      <c r="R2474" s="3" t="inlineStr">
        <is>
          <t>지정되지않음</t>
        </is>
      </c>
      <c r="S2474" s="3" t="inlineStr">
        <is>
          <t>주거기타</t>
        </is>
      </c>
      <c r="T2474" s="3" t="inlineStr">
        <is>
          <t>평지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송학리 212</t>
        </is>
      </c>
      <c r="B2475" s="3" t="inlineStr">
        <is>
          <t>계획관리지역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450000</v>
      </c>
      <c r="G2475" s="4" t="n">
        <v>10003</v>
      </c>
      <c r="H2475" s="4" t="n">
        <v>3026</v>
      </c>
      <c r="I2475" s="5" t="n">
        <v>148.7</v>
      </c>
      <c r="J2475" s="5" t="n">
        <v>27.5</v>
      </c>
      <c r="K2475" s="3" t="inlineStr">
        <is>
          <t>계획관리지역 알토란 토지,실외 골프연습장,전원주택지조성,가격조정가능</t>
        </is>
      </c>
      <c r="L2475" s="6">
        <f>HYPERLINK("https://fin.land.naver.com/articles/2651445631", "매물Link")</f>
        <v/>
      </c>
      <c r="M2475" s="6">
        <f>HYPERLINK("https://map.naver.com/p/search/장군면 송학리 212", "지도Link")</f>
        <v/>
      </c>
      <c r="N2475" s="6">
        <f>HYPERLINK("http://www.eum.go.kr/web/ar/lu/luLandDet.jsp?pnu=3611035031102120000&amp;isNoScr=script&amp;mode=search",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8934</v>
      </c>
      <c r="R2475" s="3" t="inlineStr">
        <is>
          <t>지정되지않음</t>
        </is>
      </c>
      <c r="S2475" s="3" t="inlineStr">
        <is>
          <t>토지임야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송학리 212-1</t>
        </is>
      </c>
      <c r="B2476" s="3" t="inlineStr">
        <is>
          <t>계획관리지역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453000</v>
      </c>
      <c r="G2476" s="4" t="n">
        <v>10003</v>
      </c>
      <c r="H2476" s="4" t="n">
        <v>3026</v>
      </c>
      <c r="I2476" s="5" t="n">
        <v>149.7</v>
      </c>
      <c r="J2476" s="5" t="n">
        <v>28.6</v>
      </c>
      <c r="K2476" s="3" t="inlineStr">
        <is>
          <t>계획관리지역 임야, 실외 골프연습장 설치, 전원주택지 개발 등 추천</t>
        </is>
      </c>
      <c r="L2476" s="6">
        <f>HYPERLINK("https://fin.land.naver.com/articles/2655656837", "매물Link")</f>
        <v/>
      </c>
      <c r="M2476" s="6">
        <f>HYPERLINK("https://map.naver.com/p/search/장군면 송학리 212-1", "지도Link")</f>
        <v/>
      </c>
      <c r="N2476" s="6">
        <f>HYPERLINK("http://www.eum.go.kr/web/ar/lu/luLandDet.jsp?pnu=3611035031102120001&amp;isNoScr=script&amp;mode=search",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1069</v>
      </c>
      <c r="R2476" s="3" t="inlineStr">
        <is>
          <t>지정되지않음</t>
        </is>
      </c>
      <c r="S2476" s="3" t="inlineStr">
        <is>
          <t>토지임야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송학리 221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13000</v>
      </c>
      <c r="G2477" s="4" t="n">
        <v>311</v>
      </c>
      <c r="H2477" s="4" t="n">
        <v>94</v>
      </c>
      <c r="I2477" s="5" t="n">
        <v>138.3</v>
      </c>
      <c r="J2477" s="5" t="n">
        <v>44</v>
      </c>
      <c r="K2477" s="3" t="inlineStr"/>
      <c r="L2477" s="6">
        <f>HYPERLINK("https://fin.land.naver.com/articles/2650829672", "매물Link")</f>
        <v/>
      </c>
      <c r="M2477" s="6">
        <f>HYPERLINK("https://map.naver.com/p/search/장군면 송학리 221", "지도Link")</f>
        <v/>
      </c>
      <c r="N2477" s="6">
        <f>HYPERLINK("http://www.eum.go.kr/web/ar/lu/luLandDet.jsp?pnu=3611035031102210000&amp;isNoScr=script&amp;mode=search",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311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완경사</t>
        </is>
      </c>
      <c r="U2477" s="3" t="inlineStr">
        <is>
          <t>사다리형</t>
        </is>
      </c>
      <c r="V2477" s="3" t="inlineStr">
        <is>
          <t>세로한면(가)</t>
        </is>
      </c>
    </row>
    <row r="2478">
      <c r="A2478" s="3" t="inlineStr">
        <is>
          <t>장군면 송학리 221-2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23000</v>
      </c>
      <c r="G2478" s="4" t="n">
        <v>620</v>
      </c>
      <c r="H2478" s="4" t="n">
        <v>188</v>
      </c>
      <c r="I2478" s="5" t="n">
        <v>122.3</v>
      </c>
      <c r="J2478" s="5" t="n">
        <v>44</v>
      </c>
      <c r="K2478" s="3" t="inlineStr">
        <is>
          <t>nan</t>
        </is>
      </c>
      <c r="L2478" s="6">
        <f>HYPERLINK("https://fin.land.naver.com/articles/2650829553", "매물Link")</f>
        <v/>
      </c>
      <c r="M2478" s="6">
        <f>HYPERLINK("https://map.naver.com/p/search/장군면 송학리 221-2", "지도Link")</f>
        <v/>
      </c>
      <c r="N2478" s="6">
        <f>HYPERLINK("http://www.eum.go.kr/web/ar/lu/luLandDet.jsp?pnu=3611035031102210002&amp;isNoScr=script&amp;mode=search", "토지이음")</f>
        <v/>
      </c>
      <c r="O2478" s="3" t="inlineStr">
        <is>
          <t>세종지평</t>
        </is>
      </c>
      <c r="P2478" s="4" t="n">
        <v>1</v>
      </c>
      <c r="Q2478" s="4" t="n">
        <v>314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사다리형</t>
        </is>
      </c>
      <c r="V2478" s="3" t="inlineStr">
        <is>
          <t>세로한면(가)</t>
        </is>
      </c>
    </row>
    <row r="2479">
      <c r="A2479" s="3" t="inlineStr">
        <is>
          <t>장군면 송학리 227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80250</v>
      </c>
      <c r="G2479" s="4" t="n">
        <v>1769</v>
      </c>
      <c r="H2479" s="4" t="n">
        <v>535</v>
      </c>
      <c r="I2479" s="5" t="n">
        <v>150</v>
      </c>
      <c r="J2479" s="5" t="n">
        <v>48.1</v>
      </c>
      <c r="K2479" s="3" t="inlineStr">
        <is>
          <t>IC인근 교통 요지에 위치, 개발 활용도 높은 계획관리 답, 카페 추천</t>
        </is>
      </c>
      <c r="L2479" s="6">
        <f>HYPERLINK("https://fin.land.naver.com/articles/2655657213", "매물Link")</f>
        <v/>
      </c>
      <c r="M2479" s="6">
        <f>HYPERLINK("https://map.naver.com/p/search/장군면 송학리 227", "지도Link")</f>
        <v/>
      </c>
      <c r="N2479" s="6">
        <f>HYPERLINK("http://www.eum.go.kr/web/ar/lu/luLandDet.jsp?pnu=3611035031102270000&amp;isNoScr=script&amp;mode=search",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1769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송학리 249-1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115700</v>
      </c>
      <c r="G2480" s="4" t="n">
        <v>2123</v>
      </c>
      <c r="H2480" s="4" t="n">
        <v>642</v>
      </c>
      <c r="I2480" s="5" t="n">
        <v>180.2</v>
      </c>
      <c r="J2480" s="5" t="n">
        <v>33.8</v>
      </c>
      <c r="K2480" s="3" t="inlineStr">
        <is>
          <t>정남향의 전원주택지로  공기좋고, 조용하고, 교통진출입이 최적의 입지</t>
        </is>
      </c>
      <c r="L2480" s="6">
        <f>HYPERLINK("https://fin.land.naver.com/articles/2650867853", "매물Link")</f>
        <v/>
      </c>
      <c r="M2480" s="6">
        <f>HYPERLINK("https://map.naver.com/p/search/장군면 송학리 249-1", "지도Link")</f>
        <v/>
      </c>
      <c r="N2480" s="6">
        <f>HYPERLINK("http://www.eum.go.kr/web/ar/lu/luLandDet.jsp?pnu=3611035031102490001&amp;isNoScr=script&amp;mode=search", "토지이음")</f>
        <v/>
      </c>
      <c r="O2480" s="3" t="inlineStr">
        <is>
          <t>신하나로</t>
        </is>
      </c>
      <c r="P2480" s="4" t="n">
        <v>1</v>
      </c>
      <c r="Q2480" s="4" t="n">
        <v>446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맹지</t>
        </is>
      </c>
    </row>
    <row r="2481">
      <c r="A2481" s="3" t="inlineStr">
        <is>
          <t>장군면 송학리 249-4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매매</t>
        </is>
      </c>
      <c r="F2481" s="4" t="n">
        <v>116100</v>
      </c>
      <c r="G2481" s="4" t="n">
        <v>2132</v>
      </c>
      <c r="H2481" s="4" t="n">
        <v>645</v>
      </c>
      <c r="I2481" s="5" t="n">
        <v>180</v>
      </c>
      <c r="J2481" s="5" t="n">
        <v>41.3</v>
      </c>
      <c r="K2481" s="3" t="inlineStr">
        <is>
          <t>아늑하고 조용해서 전원주택 최고의  자링비니다.</t>
        </is>
      </c>
      <c r="L2481" s="6">
        <f>HYPERLINK("https://fin.land.naver.com/articles/2652780064", "매물Link")</f>
        <v/>
      </c>
      <c r="M2481" s="6">
        <f>HYPERLINK("https://map.naver.com/p/search/장군면 송학리 249-4", "지도Link")</f>
        <v/>
      </c>
      <c r="N2481" s="6">
        <f>HYPERLINK("http://www.eum.go.kr/web/ar/lu/luLandDet.jsp?pnu=3611035031102490004&amp;isNoScr=script&amp;mode=search", "토지이음")</f>
        <v/>
      </c>
      <c r="O2481" s="3" t="inlineStr">
        <is>
          <t>신하나로</t>
        </is>
      </c>
      <c r="P2481" s="4" t="n">
        <v>1</v>
      </c>
      <c r="Q2481" s="4" t="n">
        <v>334</v>
      </c>
      <c r="R2481" s="3" t="inlineStr">
        <is>
          <t>지정되지않음</t>
        </is>
      </c>
      <c r="S2481" s="3" t="inlineStr">
        <is>
          <t>전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송학리 320-2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380000</v>
      </c>
      <c r="G2482" s="4" t="n">
        <v>2862</v>
      </c>
      <c r="H2482" s="4" t="n">
        <v>866</v>
      </c>
      <c r="I2482" s="5" t="n">
        <v>438.8</v>
      </c>
      <c r="J2482" s="5" t="n">
        <v>63.5</v>
      </c>
      <c r="K2482" s="3" t="inlineStr">
        <is>
          <t>nan</t>
        </is>
      </c>
      <c r="L2482" s="6">
        <f>HYPERLINK("https://fin.land.naver.com/articles/2650337808", "매물Link")</f>
        <v/>
      </c>
      <c r="M2482" s="6">
        <f>HYPERLINK("https://map.naver.com/p/search/장군면 송학리 320-2", "지도Link")</f>
        <v/>
      </c>
      <c r="N2482" s="6">
        <f>HYPERLINK("http://www.eum.go.kr/web/ar/lu/luLandDet.jsp?pnu=3611035031103200002&amp;isNoScr=script&amp;mode=search", "토지이음")</f>
        <v/>
      </c>
      <c r="O2482" s="3" t="inlineStr">
        <is>
          <t>터</t>
        </is>
      </c>
      <c r="P2482" s="4" t="n">
        <v>1</v>
      </c>
      <c r="Q2482" s="4" t="n">
        <v>1266</v>
      </c>
      <c r="R2482" s="3" t="inlineStr">
        <is>
          <t>계획관리지역</t>
        </is>
      </c>
      <c r="S2482" s="3" t="inlineStr">
        <is>
          <t>주상용</t>
        </is>
      </c>
      <c r="T2482" s="3" t="inlineStr">
        <is>
          <t>평지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송학리 430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35000</v>
      </c>
      <c r="G2483" s="4" t="n">
        <v>1048</v>
      </c>
      <c r="H2483" s="4" t="n">
        <v>317</v>
      </c>
      <c r="I2483" s="5" t="n">
        <v>110.4</v>
      </c>
      <c r="J2483" s="5" t="n">
        <v>60</v>
      </c>
      <c r="K2483" s="3" t="inlineStr">
        <is>
          <t>현재 오래된 주택,하우스 농작물 재배중</t>
        </is>
      </c>
      <c r="L2483" s="6">
        <f>HYPERLINK("https://fin.land.naver.com/articles/2651972097", "매물Link")</f>
        <v/>
      </c>
      <c r="M2483" s="6">
        <f>HYPERLINK("https://map.naver.com/p/search/장군면 송학리 430", "지도Link")</f>
        <v/>
      </c>
      <c r="N2483" s="6">
        <f>HYPERLINK("http://www.eum.go.kr/web/ar/lu/luLandDet.jsp?pnu=3611035031104300000&amp;isNoScr=script&amp;mode=search", "토지이음")</f>
        <v/>
      </c>
      <c r="O2483" s="3" t="inlineStr">
        <is>
          <t>그린영광</t>
        </is>
      </c>
      <c r="P2483" s="4" t="n">
        <v>1</v>
      </c>
      <c r="Q2483" s="4" t="n">
        <v>1048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송학리 440-18</t>
        </is>
      </c>
      <c r="B2484" s="3" t="inlineStr">
        <is>
          <t>보전관리지역</t>
        </is>
      </c>
      <c r="C2484" s="3" t="inlineStr">
        <is>
          <t>임야</t>
        </is>
      </c>
      <c r="D2484" s="3" t="inlineStr">
        <is>
          <t>임야</t>
        </is>
      </c>
      <c r="E2484" s="3" t="inlineStr">
        <is>
          <t>매매</t>
        </is>
      </c>
      <c r="F2484" s="4" t="n">
        <v>36000</v>
      </c>
      <c r="G2484" s="4" t="n">
        <v>696</v>
      </c>
      <c r="H2484" s="4" t="n">
        <v>211</v>
      </c>
      <c r="I2484" s="5" t="n">
        <v>170.6</v>
      </c>
      <c r="J2484" s="5" t="n">
        <v>55.4</v>
      </c>
      <c r="K2484" s="3" t="inlineStr">
        <is>
          <t>예쁜 전원주택지, 남동향, 행복도시 15분</t>
        </is>
      </c>
      <c r="L2484" s="6">
        <f>HYPERLINK("https://fin.land.naver.com/articles/2652040656", "매물Link")</f>
        <v/>
      </c>
      <c r="M2484" s="6">
        <f>HYPERLINK("https://map.naver.com/p/search/장군면 송학리 440-18", "지도Link")</f>
        <v/>
      </c>
      <c r="N2484" s="6">
        <f>HYPERLINK("http://www.eum.go.kr/web/ar/lu/luLandDet.jsp?pnu=3611035031104400018&amp;isNoScr=script&amp;mode=search", "토지이음")</f>
        <v/>
      </c>
      <c r="O2484" s="3" t="inlineStr">
        <is>
          <t>미스터홈즈강남지사</t>
        </is>
      </c>
      <c r="P2484" s="4" t="n">
        <v>1</v>
      </c>
      <c r="Q2484" s="4" t="n">
        <v>696</v>
      </c>
      <c r="R2484" s="3" t="inlineStr">
        <is>
          <t>지정되지않음</t>
        </is>
      </c>
      <c r="S2484" s="3" t="inlineStr">
        <is>
          <t>주거나지</t>
        </is>
      </c>
      <c r="T2484" s="3" t="inlineStr">
        <is>
          <t>완경사</t>
        </is>
      </c>
      <c r="U2484" s="3" t="inlineStr">
        <is>
          <t>사다리형</t>
        </is>
      </c>
      <c r="V2484" s="3" t="inlineStr">
        <is>
          <t>세로한면(가)</t>
        </is>
      </c>
    </row>
    <row r="2485">
      <c r="A2485" s="3" t="inlineStr">
        <is>
          <t>장군면 송학리 442-1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40000</v>
      </c>
      <c r="G2485" s="4" t="n">
        <v>838</v>
      </c>
      <c r="H2485" s="4" t="n">
        <v>253</v>
      </c>
      <c r="I2485" s="5" t="n">
        <v>158.1</v>
      </c>
      <c r="J2485" s="5" t="n">
        <v>41.2</v>
      </c>
      <c r="K2485" s="3" t="inlineStr">
        <is>
          <t>지방도 인접 송학전원주택지 앞 계획관리 전, 남쪽으로 트인 조망, 조정가</t>
        </is>
      </c>
      <c r="L2485" s="6">
        <f>HYPERLINK("https://fin.land.naver.com/articles/2655657456", "매물Link")</f>
        <v/>
      </c>
      <c r="M2485" s="6">
        <f>HYPERLINK("https://map.naver.com/p/search/장군면 송학리 442-1", "지도Link")</f>
        <v/>
      </c>
      <c r="N2485" s="6">
        <f>HYPERLINK("http://www.eum.go.kr/web/ar/lu/luLandDet.jsp?pnu=3611035031104420001&amp;isNoScr=script&amp;mode=search",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838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송학리 442-2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40000</v>
      </c>
      <c r="G2486" s="4" t="n">
        <v>869</v>
      </c>
      <c r="H2486" s="4" t="n">
        <v>263</v>
      </c>
      <c r="I2486" s="5" t="n">
        <v>152.1</v>
      </c>
      <c r="J2486" s="5" t="n">
        <v>40.8</v>
      </c>
      <c r="K2486" s="3" t="inlineStr">
        <is>
          <t>지방도 인접 송학전원주택지 앞 계획관리 전, 남쪽으로 트인 조망, 조정가</t>
        </is>
      </c>
      <c r="L2486" s="6">
        <f>HYPERLINK("https://fin.land.naver.com/articles/2655657676", "매물Link")</f>
        <v/>
      </c>
      <c r="M2486" s="6">
        <f>HYPERLINK("https://map.naver.com/p/search/장군면 송학리 442-2", "지도Link")</f>
        <v/>
      </c>
      <c r="N2486" s="6">
        <f>HYPERLINK("http://www.eum.go.kr/web/ar/lu/luLandDet.jsp?pnu=3611035031104420002&amp;isNoScr=script&amp;mode=search",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869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송학리 445-2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38000</v>
      </c>
      <c r="G2487" s="4" t="n">
        <v>650</v>
      </c>
      <c r="H2487" s="4" t="n">
        <v>197</v>
      </c>
      <c r="I2487" s="5" t="n">
        <v>192.9</v>
      </c>
      <c r="J2487" s="5" t="n">
        <v>64.5</v>
      </c>
      <c r="K2487" s="3" t="inlineStr">
        <is>
          <t>세종공주 생활권, 계획관리 토지와 정식 준공 단독주택 일괄매매</t>
        </is>
      </c>
      <c r="L2487" s="6">
        <f>HYPERLINK("https://fin.land.naver.com/articles/2655035816", "매물Link")</f>
        <v/>
      </c>
      <c r="M2487" s="6">
        <f>HYPERLINK("https://map.naver.com/p/search/장군면 송학리 445-2", "지도Link")</f>
        <v/>
      </c>
      <c r="N2487" s="6">
        <f>HYPERLINK("http://www.eum.go.kr/web/ar/lu/luLandDet.jsp?pnu=3611035031104450002&amp;isNoScr=script&amp;mode=search", "토지이음")</f>
        <v/>
      </c>
      <c r="O2487" s="3" t="inlineStr">
        <is>
          <t>세종소담황금</t>
        </is>
      </c>
      <c r="P2487" s="4" t="n">
        <v>1</v>
      </c>
      <c r="Q2487" s="4" t="n">
        <v>627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송학리 455-2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1048</v>
      </c>
      <c r="H2488" s="4" t="n">
        <v>317</v>
      </c>
      <c r="I2488" s="5" t="n">
        <v>157.7</v>
      </c>
      <c r="J2488" s="5" t="n">
        <v>48.4</v>
      </c>
      <c r="K2488" s="3" t="inlineStr">
        <is>
          <t>농작물 재배중</t>
        </is>
      </c>
      <c r="L2488" s="6">
        <f>HYPERLINK("https://fin.land.naver.com/articles/2651969697", "매물Link")</f>
        <v/>
      </c>
      <c r="M2488" s="6">
        <f>HYPERLINK("https://map.naver.com/p/search/장군면 송학리 455-2", "지도Link")</f>
        <v/>
      </c>
      <c r="N2488" s="6">
        <f>HYPERLINK("http://www.eum.go.kr/web/ar/lu/luLandDet.jsp?pnu=3611035031104550002&amp;isNoScr=script&amp;mode=search", "토지이음")</f>
        <v/>
      </c>
      <c r="O2488" s="3" t="inlineStr">
        <is>
          <t>그린영광</t>
        </is>
      </c>
      <c r="P2488" s="4" t="n">
        <v>1</v>
      </c>
      <c r="Q2488" s="4" t="n">
        <v>4261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468-1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800000</v>
      </c>
      <c r="G2489" s="4" t="n">
        <v>6074</v>
      </c>
      <c r="H2489" s="4" t="n">
        <v>1837</v>
      </c>
      <c r="I2489" s="5" t="n">
        <v>435.5</v>
      </c>
      <c r="J2489" s="5" t="n">
        <v>41.9</v>
      </c>
      <c r="K2489" s="3" t="inlineStr">
        <is>
          <t>건물포함 총 7필지, 투자가치 좋은 넓은 토지</t>
        </is>
      </c>
      <c r="L2489" s="6">
        <f>HYPERLINK("https://fin.land.naver.com/articles/2652510306", "매물Link")</f>
        <v/>
      </c>
      <c r="M2489" s="6">
        <f>HYPERLINK("https://map.naver.com/p/search/장군면 송학리 468-1", "지도Link")</f>
        <v/>
      </c>
      <c r="N2489" s="6">
        <f>HYPERLINK("http://www.eum.go.kr/web/ar/lu/luLandDet.jsp?pnu=3611035031104680001&amp;isNoScr=script&amp;mode=search", "토지이음")</f>
        <v/>
      </c>
      <c r="O2489" s="3" t="inlineStr">
        <is>
          <t>터</t>
        </is>
      </c>
      <c r="P2489" s="4" t="n">
        <v>1</v>
      </c>
      <c r="Q2489" s="4" t="n">
        <v>690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송학리 478-1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74000</v>
      </c>
      <c r="G2490" s="4" t="n">
        <v>1623</v>
      </c>
      <c r="H2490" s="4" t="n">
        <v>491</v>
      </c>
      <c r="I2490" s="5" t="n">
        <v>150.7</v>
      </c>
      <c r="J2490" s="5" t="n">
        <v>52.8</v>
      </c>
      <c r="K2490" s="3" t="inlineStr">
        <is>
          <t>2차선 도로옆 목좋은 토지, 계획관리지역, 가치 있는땅</t>
        </is>
      </c>
      <c r="L2490" s="6">
        <f>HYPERLINK("https://fin.land.naver.com/articles/2650153434", "매물Link")</f>
        <v/>
      </c>
      <c r="M2490" s="6">
        <f>HYPERLINK("https://map.naver.com/p/search/장군면 송학리 478-1", "지도Link")</f>
        <v/>
      </c>
      <c r="N2490" s="6">
        <f>HYPERLINK("http://www.eum.go.kr/web/ar/lu/luLandDet.jsp?pnu=3611035031104780001&amp;isNoScr=script&amp;mode=search", "토지이음")</f>
        <v/>
      </c>
      <c r="O2490" s="3" t="inlineStr">
        <is>
          <t>해랑숲</t>
        </is>
      </c>
      <c r="P2490" s="4" t="n">
        <v>1</v>
      </c>
      <c r="Q2490" s="4" t="n">
        <v>1623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송학리 483-2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47000</v>
      </c>
      <c r="G2491" s="4" t="n">
        <v>1191</v>
      </c>
      <c r="H2491" s="4" t="n">
        <v>360</v>
      </c>
      <c r="I2491" s="5" t="n">
        <v>130.6</v>
      </c>
      <c r="J2491" s="5" t="n">
        <v>40.3</v>
      </c>
      <c r="K2491" s="3" t="inlineStr">
        <is>
          <t>입지좋은 계획관리지역, 도로인접으로 전원주택활용 및 투자가치 높은 토지</t>
        </is>
      </c>
      <c r="L2491" s="6">
        <f>HYPERLINK("https://fin.land.naver.com/articles/2653717060", "매물Link")</f>
        <v/>
      </c>
      <c r="M2491" s="6">
        <f>HYPERLINK("https://map.naver.com/p/search/장군면 송학리 483-2", "지도Link")</f>
        <v/>
      </c>
      <c r="N2491" s="6">
        <f>HYPERLINK("http://www.eum.go.kr/web/ar/lu/luLandDet.jsp?pnu=3611035031104830002&amp;isNoScr=script&amp;mode=search", "토지이음")</f>
        <v/>
      </c>
      <c r="O2491" s="3" t="inlineStr">
        <is>
          <t>마곡9단지</t>
        </is>
      </c>
      <c r="P2491" s="4" t="n">
        <v>5</v>
      </c>
      <c r="Q2491" s="4" t="n">
        <v>1191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송학리 483-2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43000</v>
      </c>
      <c r="G2492" s="4" t="n">
        <v>1191</v>
      </c>
      <c r="H2492" s="4" t="n">
        <v>360</v>
      </c>
      <c r="I2492" s="5" t="n">
        <v>119.4</v>
      </c>
      <c r="J2492" s="5" t="n">
        <v>40.3</v>
      </c>
      <c r="K2492" s="3" t="inlineStr">
        <is>
          <t>계획관리지역 현황도로 접, 앞면 탁트이고 주변 풍광 뛰어나 전원주택 추천</t>
        </is>
      </c>
      <c r="L2492" s="6">
        <f>HYPERLINK("https://fin.land.naver.com/articles/2651028782", "매물Link")</f>
        <v/>
      </c>
      <c r="M2492" s="6">
        <f>HYPERLINK("https://map.naver.com/p/search/장군면 송학리 483-2", "지도Link")</f>
        <v/>
      </c>
      <c r="N2492" s="6">
        <f>HYPERLINK("http://www.eum.go.kr/web/ar/lu/luLandDet.jsp?pnu=3611035031104830002&amp;isNoScr=script&amp;mode=search", "토지이음")</f>
        <v/>
      </c>
      <c r="O2492" s="3" t="inlineStr">
        <is>
          <t>온뜰</t>
        </is>
      </c>
      <c r="P2492" s="4" t="n">
        <v>1</v>
      </c>
      <c r="Q2492" s="4" t="n">
        <v>1191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송학리 49-1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62000</v>
      </c>
      <c r="G2493" s="4" t="n">
        <v>685</v>
      </c>
      <c r="H2493" s="4" t="n">
        <v>207</v>
      </c>
      <c r="I2493" s="5" t="n">
        <v>299.5</v>
      </c>
      <c r="J2493" s="5" t="n">
        <v>82</v>
      </c>
      <c r="K2493" s="3" t="inlineStr">
        <is>
          <t>서울세종고속도로 나들목 근처</t>
        </is>
      </c>
      <c r="L2493" s="6">
        <f>HYPERLINK("https://fin.land.naver.com/articles/2655019624", "매물Link")</f>
        <v/>
      </c>
      <c r="M2493" s="6">
        <f>HYPERLINK("https://map.naver.com/p/search/장군면 송학리 49-1", "지도Link")</f>
        <v/>
      </c>
      <c r="N2493" s="6">
        <f>HYPERLINK("http://www.eum.go.kr/web/ar/lu/luLandDet.jsp?pnu=3611035031100490001&amp;isNoScr=script&amp;mode=search", "토지이음")</f>
        <v/>
      </c>
      <c r="O2493" s="3" t="inlineStr">
        <is>
          <t>바다하리</t>
        </is>
      </c>
      <c r="P2493" s="4" t="n">
        <v>1</v>
      </c>
      <c r="Q2493" s="4" t="n">
        <v>685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평지</t>
        </is>
      </c>
      <c r="U2493" s="3" t="inlineStr">
        <is>
          <t>사다리형</t>
        </is>
      </c>
      <c r="V2493" s="3" t="inlineStr">
        <is>
          <t>소로한면</t>
        </is>
      </c>
    </row>
    <row r="2494">
      <c r="A2494" s="3" t="inlineStr">
        <is>
          <t>장군면 송학리 578-4</t>
        </is>
      </c>
      <c r="B2494" s="3" t="inlineStr">
        <is>
          <t>농림지역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121600</v>
      </c>
      <c r="G2494" s="4" t="n">
        <v>5026</v>
      </c>
      <c r="H2494" s="4" t="n">
        <v>1520</v>
      </c>
      <c r="I2494" s="5" t="n">
        <v>80</v>
      </c>
      <c r="J2494" s="5" t="n">
        <v>23.9</v>
      </c>
      <c r="K2494" s="3" t="inlineStr">
        <is>
          <t>도로접. 답  분할매매가능 ,대토가능</t>
        </is>
      </c>
      <c r="L2494" s="6">
        <f>HYPERLINK("https://fin.land.naver.com/articles/2652649930", "매물Link")</f>
        <v/>
      </c>
      <c r="M2494" s="6">
        <f>HYPERLINK("https://map.naver.com/p/search/장군면 송학리 578-4", "지도Link")</f>
        <v/>
      </c>
      <c r="N2494" s="6">
        <f>HYPERLINK("http://www.eum.go.kr/web/ar/lu/luLandDet.jsp?pnu=3611035031105780004&amp;isNoScr=script&amp;mode=search", "토지이음")</f>
        <v/>
      </c>
      <c r="O2494" s="3" t="inlineStr">
        <is>
          <t>제이파크</t>
        </is>
      </c>
      <c r="P2494" s="4" t="n">
        <v>1</v>
      </c>
      <c r="Q2494" s="4" t="n">
        <v>5026.2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세로장방</t>
        </is>
      </c>
      <c r="V2494" s="3" t="inlineStr">
        <is>
          <t>세로한면(가)</t>
        </is>
      </c>
    </row>
    <row r="2495">
      <c r="A2495" s="3" t="inlineStr">
        <is>
          <t>장군면 송학리 579-8</t>
        </is>
      </c>
      <c r="B2495" s="3" t="inlineStr">
        <is>
          <t>농림지역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99500</v>
      </c>
      <c r="G2495" s="4" t="n">
        <v>4110</v>
      </c>
      <c r="H2495" s="4" t="n">
        <v>1243</v>
      </c>
      <c r="I2495" s="5" t="n">
        <v>80</v>
      </c>
      <c r="J2495" s="5" t="n">
        <v>24.4</v>
      </c>
      <c r="K2495" s="3" t="inlineStr">
        <is>
          <t>세종시인접하고 교통이편리함, 투자로 좋아요</t>
        </is>
      </c>
      <c r="L2495" s="6">
        <f>HYPERLINK("https://fin.land.naver.com/articles/2652000495", "매물Link")</f>
        <v/>
      </c>
      <c r="M2495" s="6">
        <f>HYPERLINK("https://map.naver.com/p/search/장군면 송학리 579-8", "지도Link")</f>
        <v/>
      </c>
      <c r="N2495" s="6">
        <f>HYPERLINK("http://www.eum.go.kr/web/ar/lu/luLandDet.jsp?pnu=3611035031105790008&amp;isNoScr=script&amp;mode=search", "토지이음")</f>
        <v/>
      </c>
      <c r="O2495" s="3" t="inlineStr">
        <is>
          <t>담뜰</t>
        </is>
      </c>
      <c r="P2495" s="4" t="n">
        <v>1</v>
      </c>
      <c r="Q2495" s="4" t="n">
        <v>4110.1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평지</t>
        </is>
      </c>
      <c r="U2495" s="3" t="inlineStr">
        <is>
          <t>세로장방</t>
        </is>
      </c>
      <c r="V2495" s="3" t="inlineStr">
        <is>
          <t>세로한면(가)</t>
        </is>
      </c>
    </row>
    <row r="2496">
      <c r="A2496" s="3" t="inlineStr">
        <is>
          <t>장군면 송학리 90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매매</t>
        </is>
      </c>
      <c r="F2496" s="4" t="n">
        <v>450000</v>
      </c>
      <c r="G2496" s="4" t="n">
        <v>4271</v>
      </c>
      <c r="H2496" s="4" t="n">
        <v>1292</v>
      </c>
      <c r="I2496" s="5" t="n">
        <v>348.3</v>
      </c>
      <c r="J2496" s="5" t="n">
        <v>54</v>
      </c>
      <c r="K2496" s="3" t="inlineStr">
        <is>
          <t>왕복 2차선 도로 접, 세종ic 약 1.5킬로, 와룡산업단지 약 3키로</t>
        </is>
      </c>
      <c r="L2496" s="6">
        <f>HYPERLINK("https://fin.land.naver.com/articles/2653204620", "매물Link")</f>
        <v/>
      </c>
      <c r="M2496" s="6">
        <f>HYPERLINK("https://map.naver.com/p/search/장군면 송학리 90", "지도Link")</f>
        <v/>
      </c>
      <c r="N2496" s="6">
        <f>HYPERLINK("http://www.eum.go.kr/web/ar/lu/luLandDet.jsp?pnu=3611035031100900000&amp;isNoScr=script&amp;mode=search", "토지이음")</f>
        <v/>
      </c>
      <c r="O2496" s="3" t="inlineStr">
        <is>
          <t>행복한무소</t>
        </is>
      </c>
      <c r="P2496" s="4" t="n">
        <v>1</v>
      </c>
      <c r="Q2496" s="4" t="n">
        <v>3815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송학리 산 43-1</t>
        </is>
      </c>
      <c r="B2497" s="3" t="inlineStr">
        <is>
          <t>농림지역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2200000</v>
      </c>
      <c r="G2497" s="4" t="n">
        <v>101454</v>
      </c>
      <c r="H2497" s="4" t="n">
        <v>30690</v>
      </c>
      <c r="I2497" s="5" t="n">
        <v>71.7</v>
      </c>
      <c r="J2497" s="5" t="n">
        <v>4.6</v>
      </c>
      <c r="K2497" s="3" t="inlineStr">
        <is>
          <t>세종시 장군면 물류부지, 데이터센터 부지 대형 계획관리지역 급매</t>
        </is>
      </c>
      <c r="L2497" s="6">
        <f>HYPERLINK("https://fin.land.naver.com/articles/2654665886", "매물Link")</f>
        <v/>
      </c>
      <c r="M2497" s="6">
        <f>HYPERLINK("https://map.naver.com/p/search/장군면 송학리 산 43-1", "지도Link")</f>
        <v/>
      </c>
      <c r="N2497" s="6">
        <f>HYPERLINK("http://www.eum.go.kr/web/ar/lu/luLandDet.jsp?pnu=3611035031200430001&amp;isNoScr=script&amp;mode=search", "토지이음")</f>
        <v/>
      </c>
      <c r="O2497" s="3" t="inlineStr">
        <is>
          <t>청담</t>
        </is>
      </c>
      <c r="P2497" s="4" t="n">
        <v>1</v>
      </c>
      <c r="Q2497" s="4" t="n">
        <v>62323</v>
      </c>
      <c r="R2497" s="3" t="inlineStr">
        <is>
          <t>계획관리지역</t>
        </is>
      </c>
      <c r="S2497" s="3" t="inlineStr">
        <is>
          <t>자연림</t>
        </is>
      </c>
      <c r="T2497" s="3" t="inlineStr">
        <is>
          <t>급경사</t>
        </is>
      </c>
      <c r="U2497" s="3" t="inlineStr">
        <is>
          <t>부정형</t>
        </is>
      </c>
      <c r="V2497" s="3" t="inlineStr">
        <is>
          <t>세로한면(불)</t>
        </is>
      </c>
    </row>
    <row r="2498">
      <c r="A2498" s="3" t="inlineStr">
        <is>
          <t>장군면 송학리 산38-11</t>
        </is>
      </c>
      <c r="B2498" s="3" t="inlineStr">
        <is>
          <t>계획관리지역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107000</v>
      </c>
      <c r="G2498" s="4" t="n">
        <v>1226</v>
      </c>
      <c r="H2498" s="4" t="n">
        <v>371</v>
      </c>
      <c r="I2498" s="5" t="n">
        <v>288.4</v>
      </c>
      <c r="J2498" s="5" t="n">
        <v>9.6</v>
      </c>
      <c r="K2498" s="3" t="inlineStr">
        <is>
          <t>2차선 도로에 접한 경사도 완만한 계획관리지역 준보전산지</t>
        </is>
      </c>
      <c r="L2498" s="6">
        <f>HYPERLINK("https://fin.land.naver.com/articles/2654810972", "매물Link")</f>
        <v/>
      </c>
      <c r="M2498" s="6">
        <f>HYPERLINK("https://map.naver.com/p/search/장군면 송학리 산38-11", "지도Link")</f>
        <v/>
      </c>
      <c r="N2498" s="6">
        <f>HYPERLINK("http://www.eum.go.kr/web/ar/lu/luLandDet.jsp?pnu=3611035031200380011&amp;isNoScr=script&amp;mode=search", "토지이음")</f>
        <v/>
      </c>
      <c r="O2498" s="3" t="inlineStr">
        <is>
          <t>스마일세종</t>
        </is>
      </c>
      <c r="P2498" s="4" t="n">
        <v>3</v>
      </c>
      <c r="Q2498" s="4" t="n">
        <v>1226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급경사</t>
        </is>
      </c>
      <c r="U2498" s="3" t="inlineStr">
        <is>
          <t>자루형</t>
        </is>
      </c>
      <c r="V2498" s="3" t="inlineStr">
        <is>
          <t>소로한면</t>
        </is>
      </c>
    </row>
    <row r="2499">
      <c r="A2499" s="3" t="inlineStr">
        <is>
          <t>장군면 송학리 산38-11</t>
        </is>
      </c>
      <c r="B2499" s="3" t="inlineStr">
        <is>
          <t>계획관리지역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107000</v>
      </c>
      <c r="G2499" s="4" t="n">
        <v>1226</v>
      </c>
      <c r="H2499" s="4" t="n">
        <v>371</v>
      </c>
      <c r="I2499" s="5" t="n">
        <v>288.4</v>
      </c>
      <c r="J2499" s="5" t="n">
        <v>9.6</v>
      </c>
      <c r="K2499" s="3" t="inlineStr">
        <is>
          <t>nan</t>
        </is>
      </c>
      <c r="L2499" s="6">
        <f>HYPERLINK("https://fin.land.naver.com/articles/2653655308", "매물Link")</f>
        <v/>
      </c>
      <c r="M2499" s="6">
        <f>HYPERLINK("https://map.naver.com/p/search/장군면 송학리 산38-11", "지도Link")</f>
        <v/>
      </c>
      <c r="N2499" s="6">
        <f>HYPERLINK("http://www.eum.go.kr/web/ar/lu/luLandDet.jsp?pnu=3611035031200380011&amp;isNoScr=script&amp;mode=search", "토지이음")</f>
        <v/>
      </c>
      <c r="O2499" s="3" t="inlineStr">
        <is>
          <t>세종몽땅</t>
        </is>
      </c>
      <c r="P2499" s="4" t="n">
        <v>1</v>
      </c>
      <c r="Q2499" s="4" t="n">
        <v>1226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급경사</t>
        </is>
      </c>
      <c r="U2499" s="3" t="inlineStr">
        <is>
          <t>자루형</t>
        </is>
      </c>
      <c r="V2499" s="3" t="inlineStr">
        <is>
          <t>소로한면</t>
        </is>
      </c>
    </row>
    <row r="2500">
      <c r="A2500" s="3" t="inlineStr">
        <is>
          <t>장군면 송학리 산38-11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107000</v>
      </c>
      <c r="G2500" s="4" t="n">
        <v>1226</v>
      </c>
      <c r="H2500" s="4" t="n">
        <v>371</v>
      </c>
      <c r="I2500" s="5" t="n">
        <v>288.4</v>
      </c>
      <c r="J2500" s="5" t="n">
        <v>9.6</v>
      </c>
      <c r="K2500" s="3" t="inlineStr">
        <is>
          <t>2차선 도로접  경부고속도로 신설 북세종ic 3분거리 미래가치 좋은 토지</t>
        </is>
      </c>
      <c r="L2500" s="6">
        <f>HYPERLINK("https://fin.land.naver.com/articles/2655678027", "매물Link")</f>
        <v/>
      </c>
      <c r="M2500" s="6">
        <f>HYPERLINK("https://map.naver.com/p/search/장군면 송학리 산38-11", "지도Link")</f>
        <v/>
      </c>
      <c r="N2500" s="6">
        <f>HYPERLINK("http://www.eum.go.kr/web/ar/lu/luLandDet.jsp?pnu=3611035031200380011&amp;isNoScr=script&amp;mode=search", "토지이음")</f>
        <v/>
      </c>
      <c r="O2500" s="3" t="inlineStr">
        <is>
          <t>더원</t>
        </is>
      </c>
      <c r="P2500" s="4" t="n">
        <v>7</v>
      </c>
      <c r="Q2500" s="4" t="n">
        <v>1226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급경사</t>
        </is>
      </c>
      <c r="U2500" s="3" t="inlineStr">
        <is>
          <t>자루형</t>
        </is>
      </c>
      <c r="V2500" s="3" t="inlineStr">
        <is>
          <t>소로한면</t>
        </is>
      </c>
    </row>
    <row r="2501">
      <c r="A2501" s="3" t="inlineStr">
        <is>
          <t>장군면 송학리 산38-11</t>
        </is>
      </c>
      <c r="B2501" s="3" t="inlineStr">
        <is>
          <t>계획관리지역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107000</v>
      </c>
      <c r="G2501" s="4" t="n">
        <v>1226</v>
      </c>
      <c r="H2501" s="4" t="n">
        <v>371</v>
      </c>
      <c r="I2501" s="5" t="n">
        <v>288.4</v>
      </c>
      <c r="J2501" s="5" t="n">
        <v>9.6</v>
      </c>
      <c r="K2501" s="3" t="inlineStr">
        <is>
          <t>2차선 의당전의로 접한 계획관리지역 임야, 음식점 또는 커피숍 추천</t>
        </is>
      </c>
      <c r="L2501" s="6">
        <f>HYPERLINK("https://fin.land.naver.com/articles/2651030469", "매물Link")</f>
        <v/>
      </c>
      <c r="M2501" s="6">
        <f>HYPERLINK("https://map.naver.com/p/search/장군면 송학리 산38-11", "지도Link")</f>
        <v/>
      </c>
      <c r="N2501" s="6">
        <f>HYPERLINK("http://www.eum.go.kr/web/ar/lu/luLandDet.jsp?pnu=3611035031200380011&amp;isNoScr=script&amp;mode=search",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1226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급경사</t>
        </is>
      </c>
      <c r="U2501" s="3" t="inlineStr">
        <is>
          <t>자루형</t>
        </is>
      </c>
      <c r="V2501" s="3" t="inlineStr">
        <is>
          <t>소로한면</t>
        </is>
      </c>
    </row>
    <row r="2502">
      <c r="A2502" s="3" t="inlineStr">
        <is>
          <t>장군면 용암리 111</t>
        </is>
      </c>
      <c r="B2502" s="3" t="inlineStr">
        <is>
          <t>생산관리지역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36000</v>
      </c>
      <c r="G2502" s="4" t="n">
        <v>541</v>
      </c>
      <c r="H2502" s="4" t="n">
        <v>164</v>
      </c>
      <c r="I2502" s="5" t="n">
        <v>219.5</v>
      </c>
      <c r="J2502" s="5" t="n">
        <v>33.8</v>
      </c>
      <c r="K2502" s="3" t="inlineStr">
        <is>
          <t>세종국가산단과 정안세종전용도로 사이에 2차선도로에 접한 토지이용도 최상</t>
        </is>
      </c>
      <c r="L2502" s="6">
        <f>HYPERLINK("https://fin.land.naver.com/articles/2652982238", "매물Link")</f>
        <v/>
      </c>
      <c r="M2502" s="6">
        <f>HYPERLINK("https://map.naver.com/p/search/장군면 용암리 111", "지도Link")</f>
        <v/>
      </c>
      <c r="N2502" s="6">
        <f>HYPERLINK("http://www.eum.go.kr/web/ar/lu/luLandDet.jsp?pnu=3611035033101110000&amp;isNoScr=script&amp;mode=search", "토지이음")</f>
        <v/>
      </c>
      <c r="O2502" s="3" t="inlineStr">
        <is>
          <t>온누리</t>
        </is>
      </c>
      <c r="P2502" s="4" t="n">
        <v>1</v>
      </c>
      <c r="Q2502" s="4" t="n">
        <v>541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평지</t>
        </is>
      </c>
      <c r="U2502" s="3" t="inlineStr">
        <is>
          <t>부정형</t>
        </is>
      </c>
      <c r="V2502" s="3" t="inlineStr">
        <is>
          <t>소로한면</t>
        </is>
      </c>
    </row>
    <row r="2503">
      <c r="A2503" s="3" t="inlineStr">
        <is>
          <t>장군면 용암리 111-3</t>
        </is>
      </c>
      <c r="B2503" s="3" t="inlineStr">
        <is>
          <t>생산관리지역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45000</v>
      </c>
      <c r="G2503" s="4" t="n">
        <v>2020</v>
      </c>
      <c r="H2503" s="4" t="n">
        <v>611</v>
      </c>
      <c r="I2503" s="5" t="n">
        <v>73.59999999999999</v>
      </c>
      <c r="J2503" s="5" t="n">
        <v>21.7</v>
      </c>
      <c r="K2503" s="3" t="inlineStr">
        <is>
          <t>성장관리계획구역,  답, 충대병원 근거리, 국유지인접사용가능</t>
        </is>
      </c>
      <c r="L2503" s="6">
        <f>HYPERLINK("https://fin.land.naver.com/articles/2652534308", "매물Link")</f>
        <v/>
      </c>
      <c r="M2503" s="6">
        <f>HYPERLINK("https://map.naver.com/p/search/장군면 용암리 111-3", "지도Link")</f>
        <v/>
      </c>
      <c r="N2503" s="6">
        <f>HYPERLINK("http://www.eum.go.kr/web/ar/lu/luLandDet.jsp?pnu=3611035033101110003&amp;isNoScr=script&amp;mode=search", "토지이음")</f>
        <v/>
      </c>
      <c r="O2503" s="3" t="inlineStr">
        <is>
          <t>SK랜드</t>
        </is>
      </c>
      <c r="P2503" s="4" t="n">
        <v>1</v>
      </c>
      <c r="Q2503" s="4" t="n">
        <v>496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맹지</t>
        </is>
      </c>
    </row>
    <row r="2504">
      <c r="A2504" s="3" t="inlineStr">
        <is>
          <t>장군면 용암리 146-3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18000</v>
      </c>
      <c r="G2504" s="4" t="n">
        <v>367</v>
      </c>
      <c r="H2504" s="4" t="n">
        <v>111</v>
      </c>
      <c r="I2504" s="5" t="n">
        <v>162.2</v>
      </c>
      <c r="J2504" s="5" t="n">
        <v>33.2</v>
      </c>
      <c r="K2504" s="3" t="inlineStr">
        <is>
          <t>남향의 앞 조망 시원한 소액 토지</t>
        </is>
      </c>
      <c r="L2504" s="6">
        <f>HYPERLINK("https://fin.land.naver.com/articles/2654841451", "매물Link")</f>
        <v/>
      </c>
      <c r="M2504" s="6">
        <f>HYPERLINK("https://map.naver.com/p/search/장군면 용암리 146-3", "지도Link")</f>
        <v/>
      </c>
      <c r="N2504" s="6">
        <f>HYPERLINK("http://www.eum.go.kr/web/ar/lu/luLandDet.jsp?pnu=3611035033101460003&amp;isNoScr=script&amp;mode=search", "토지이음")</f>
        <v/>
      </c>
      <c r="O2504" s="3" t="inlineStr">
        <is>
          <t>용궁</t>
        </is>
      </c>
      <c r="P2504" s="4" t="n">
        <v>1</v>
      </c>
      <c r="Q2504" s="4" t="n">
        <v>367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세로한면(불)</t>
        </is>
      </c>
    </row>
    <row r="2505">
      <c r="A2505" s="3" t="inlineStr">
        <is>
          <t>장군면 용암리 166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284000</v>
      </c>
      <c r="G2505" s="4" t="n">
        <v>6264</v>
      </c>
      <c r="H2505" s="4" t="n">
        <v>1895</v>
      </c>
      <c r="I2505" s="5" t="n">
        <v>149.9</v>
      </c>
      <c r="J2505" s="5" t="n">
        <v>41.3</v>
      </c>
      <c r="K2505" s="3" t="inlineStr">
        <is>
          <t>제조업소, 창고, 주택, 농사용등 용도 다양한토지</t>
        </is>
      </c>
      <c r="L2505" s="6">
        <f>HYPERLINK("https://fin.land.naver.com/articles/2650893046", "매물Link")</f>
        <v/>
      </c>
      <c r="M2505" s="6">
        <f>HYPERLINK("https://map.naver.com/p/search/장군면 용암리 166", "지도Link")</f>
        <v/>
      </c>
      <c r="N2505" s="6">
        <f>HYPERLINK("http://www.eum.go.kr/web/ar/lu/luLandDet.jsp?pnu=3611035033101660000&amp;isNoScr=script&amp;mode=search", "토지이음")</f>
        <v/>
      </c>
      <c r="O2505" s="3" t="inlineStr">
        <is>
          <t>이은섭</t>
        </is>
      </c>
      <c r="P2505" s="4" t="n">
        <v>1</v>
      </c>
      <c r="Q2505" s="4" t="n">
        <v>1421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용암리 220</t>
        </is>
      </c>
      <c r="B2506" s="3" t="inlineStr">
        <is>
          <t>보전관리지역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16000</v>
      </c>
      <c r="G2506" s="4" t="n">
        <v>1702</v>
      </c>
      <c r="H2506" s="4" t="n">
        <v>515</v>
      </c>
      <c r="I2506" s="5" t="n">
        <v>31.1</v>
      </c>
      <c r="J2506" s="5" t="n">
        <v>27.8</v>
      </c>
      <c r="K2506" s="3" t="inlineStr">
        <is>
          <t>보전관리지역. 성장관계획구역 .국유지 지목 하천등과 인접 토지 매도</t>
        </is>
      </c>
      <c r="L2506" s="6">
        <f>HYPERLINK("https://fin.land.naver.com/articles/2651984900", "매물Link")</f>
        <v/>
      </c>
      <c r="M2506" s="6">
        <f>HYPERLINK("https://map.naver.com/p/search/장군면 용암리 220", "지도Link")</f>
        <v/>
      </c>
      <c r="N2506" s="6">
        <f>HYPERLINK("http://www.eum.go.kr/web/ar/lu/luLandDet.jsp?pnu=3611035033102200000&amp;isNoScr=script&amp;mode=search", "토지이음")</f>
        <v/>
      </c>
      <c r="O2506" s="3" t="inlineStr">
        <is>
          <t>오송퍼스트영웅</t>
        </is>
      </c>
      <c r="P2506" s="4" t="n">
        <v>1</v>
      </c>
      <c r="Q2506" s="4" t="n">
        <v>1702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세로한면(불)</t>
        </is>
      </c>
    </row>
    <row r="2507">
      <c r="A2507" s="3" t="inlineStr">
        <is>
          <t>장군면 용암리 321-3</t>
        </is>
      </c>
      <c r="B2507" s="3" t="inlineStr">
        <is>
          <t>보전관리지역</t>
        </is>
      </c>
      <c r="C2507" s="3" t="inlineStr">
        <is>
          <t>도로</t>
        </is>
      </c>
      <c r="D2507" s="3" t="inlineStr">
        <is>
          <t>임야</t>
        </is>
      </c>
      <c r="E2507" s="3" t="inlineStr">
        <is>
          <t>매매</t>
        </is>
      </c>
      <c r="F2507" s="4" t="n">
        <v>750000</v>
      </c>
      <c r="G2507" s="4" t="n">
        <v>36364</v>
      </c>
      <c r="H2507" s="4" t="n">
        <v>11000</v>
      </c>
      <c r="I2507" s="5" t="n">
        <v>68.2</v>
      </c>
      <c r="J2507" s="5" t="n">
        <v>8.4</v>
      </c>
      <c r="K2507" s="3" t="inlineStr">
        <is>
          <t>대토투자, 낮은임야, 세종~포천고속도로예정지, 인근 스마트산업단지</t>
        </is>
      </c>
      <c r="L2507" s="6">
        <f>HYPERLINK("https://fin.land.naver.com/articles/2650179467", "매물Link")</f>
        <v/>
      </c>
      <c r="M2507" s="6">
        <f>HYPERLINK("https://map.naver.com/p/search/장군면 용암리 321-3", "지도Link")</f>
        <v/>
      </c>
      <c r="N2507" s="6">
        <f>HYPERLINK("http://www.eum.go.kr/web/ar/lu/luLandDet.jsp?pnu=3611035033103210003&amp;isNoScr=script&amp;mode=search", "토지이음")</f>
        <v/>
      </c>
      <c r="O2507" s="3" t="inlineStr">
        <is>
          <t>스타</t>
        </is>
      </c>
      <c r="P2507" s="4" t="n">
        <v>1</v>
      </c>
      <c r="Q2507" s="4" t="n">
        <v>98</v>
      </c>
      <c r="R2507" s="3" t="inlineStr">
        <is>
          <t>지정되지않음</t>
        </is>
      </c>
      <c r="S2507" s="3" t="inlineStr">
        <is>
          <t>도로등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지정되지않음</t>
        </is>
      </c>
    </row>
    <row r="2508">
      <c r="A2508" s="3" t="inlineStr">
        <is>
          <t>장군면 용암리 340</t>
        </is>
      </c>
      <c r="B2508" s="3" t="inlineStr">
        <is>
          <t>생산관리지역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6500</v>
      </c>
      <c r="G2508" s="4" t="n">
        <v>674</v>
      </c>
      <c r="H2508" s="4" t="n">
        <v>204</v>
      </c>
      <c r="I2508" s="5" t="n">
        <v>31.9</v>
      </c>
      <c r="J2508" s="5" t="n">
        <v>30.7</v>
      </c>
      <c r="K2508" s="3" t="inlineStr">
        <is>
          <t>지목이 대, 급매, 협의절충, 공시지가로 매매</t>
        </is>
      </c>
      <c r="L2508" s="6">
        <f>HYPERLINK("https://fin.land.naver.com/articles/2654838549", "매물Link")</f>
        <v/>
      </c>
      <c r="M2508" s="6">
        <f>HYPERLINK("https://map.naver.com/p/search/장군면 용암리 340", "지도Link")</f>
        <v/>
      </c>
      <c r="N2508" s="6">
        <f>HYPERLINK("http://www.eum.go.kr/web/ar/lu/luLandDet.jsp?pnu=3611035033103400000&amp;isNoScr=script&amp;mode=search", "토지이음")</f>
        <v/>
      </c>
      <c r="O2508" s="3" t="inlineStr">
        <is>
          <t>세종한울</t>
        </is>
      </c>
      <c r="P2508" s="4" t="n">
        <v>1</v>
      </c>
      <c r="Q2508" s="4" t="n">
        <v>674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용암리 359</t>
        </is>
      </c>
      <c r="B2509" s="3" t="inlineStr">
        <is>
          <t>생산관리지역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20000</v>
      </c>
      <c r="G2509" s="4" t="n">
        <v>1458</v>
      </c>
      <c r="H2509" s="4" t="n">
        <v>441</v>
      </c>
      <c r="I2509" s="5" t="n">
        <v>45.4</v>
      </c>
      <c r="J2509" s="5" t="n">
        <v>17.1</v>
      </c>
      <c r="K2509" s="3" t="inlineStr">
        <is>
          <t>nan</t>
        </is>
      </c>
      <c r="L2509" s="6">
        <f>HYPERLINK("https://fin.land.naver.com/articles/2655277421", "매물Link")</f>
        <v/>
      </c>
      <c r="M2509" s="6">
        <f>HYPERLINK("https://map.naver.com/p/search/장군면 용암리 359", "지도Link")</f>
        <v/>
      </c>
      <c r="N2509" s="6">
        <f>HYPERLINK("http://www.eum.go.kr/web/ar/lu/luLandDet.jsp?pnu=3611035033103590000&amp;isNoScr=script&amp;mode=search", "토지이음")</f>
        <v/>
      </c>
      <c r="O2509" s="3" t="inlineStr">
        <is>
          <t>JK</t>
        </is>
      </c>
      <c r="P2509" s="4" t="n">
        <v>1</v>
      </c>
      <c r="Q2509" s="4" t="n">
        <v>1458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맹지</t>
        </is>
      </c>
    </row>
    <row r="2510">
      <c r="A2510" s="3" t="inlineStr">
        <is>
          <t>장군면 용암리 516</t>
        </is>
      </c>
      <c r="B2510" s="3" t="inlineStr">
        <is>
          <t>계획관리지역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50000</v>
      </c>
      <c r="G2510" s="4" t="n">
        <v>1114</v>
      </c>
      <c r="H2510" s="4" t="n">
        <v>337</v>
      </c>
      <c r="I2510" s="5" t="n">
        <v>148.4</v>
      </c>
      <c r="J2510" s="5" t="n">
        <v>34.1</v>
      </c>
      <c r="K2510" s="3" t="inlineStr">
        <is>
          <t>투자용으로 가능</t>
        </is>
      </c>
      <c r="L2510" s="6">
        <f>HYPERLINK("https://fin.land.naver.com/articles/2652000650", "매물Link")</f>
        <v/>
      </c>
      <c r="M2510" s="6">
        <f>HYPERLINK("https://map.naver.com/p/search/장군면 용암리 516", "지도Link")</f>
        <v/>
      </c>
      <c r="N2510" s="6">
        <f>HYPERLINK("http://www.eum.go.kr/web/ar/lu/luLandDet.jsp?pnu=3611035033105160000&amp;isNoScr=script&amp;mode=search", "토지이음")</f>
        <v/>
      </c>
      <c r="O2510" s="3" t="inlineStr">
        <is>
          <t>세종시토지</t>
        </is>
      </c>
      <c r="P2510" s="4" t="n">
        <v>1</v>
      </c>
      <c r="Q2510" s="4" t="n">
        <v>1114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용암리 660-1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3022</v>
      </c>
      <c r="H2511" s="4" t="n">
        <v>914</v>
      </c>
      <c r="I2511" s="5" t="n">
        <v>74.40000000000001</v>
      </c>
      <c r="J2511" s="5" t="n">
        <v>17.1</v>
      </c>
      <c r="K2511" s="3" t="inlineStr">
        <is>
          <t>국가산업단지 인근 용암리 도로 접한 농림지역 농지 매매.</t>
        </is>
      </c>
      <c r="L2511" s="6">
        <f>HYPERLINK("https://fin.land.naver.com/articles/2653444885", "매물Link")</f>
        <v/>
      </c>
      <c r="M2511" s="6">
        <f>HYPERLINK("https://map.naver.com/p/search/장군면 용암리 660-1", "지도Link")</f>
        <v/>
      </c>
      <c r="N2511" s="6">
        <f>HYPERLINK("http://www.eum.go.kr/web/ar/lu/luLandDet.jsp?pnu=3611035033106600001&amp;isNoScr=script&amp;mode=search", "토지이음")</f>
        <v/>
      </c>
      <c r="O2511" s="3" t="inlineStr">
        <is>
          <t>세종대장</t>
        </is>
      </c>
      <c r="P2511" s="4" t="n">
        <v>1</v>
      </c>
      <c r="Q2511" s="4" t="n">
        <v>3002.9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용암리 662-1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85000</v>
      </c>
      <c r="G2512" s="4" t="n">
        <v>3352</v>
      </c>
      <c r="H2512" s="4" t="n">
        <v>1014</v>
      </c>
      <c r="I2512" s="5" t="n">
        <v>83.8</v>
      </c>
      <c r="J2512" s="5" t="n">
        <v>16.9</v>
      </c>
      <c r="K2512" s="3" t="inlineStr">
        <is>
          <t>도로 길게 낀 토지</t>
        </is>
      </c>
      <c r="L2512" s="6">
        <f>HYPERLINK("https://fin.land.naver.com/articles/2653195565", "매물Link")</f>
        <v/>
      </c>
      <c r="M2512" s="6">
        <f>HYPERLINK("https://map.naver.com/p/search/장군면 용암리 662-1", "지도Link")</f>
        <v/>
      </c>
      <c r="N2512" s="6">
        <f>HYPERLINK("http://www.eum.go.kr/web/ar/lu/luLandDet.jsp?pnu=3611035033106620001&amp;isNoScr=script&amp;mode=search", "토지이음")</f>
        <v/>
      </c>
      <c r="O2512" s="3" t="inlineStr">
        <is>
          <t>THE행복</t>
        </is>
      </c>
      <c r="P2512" s="4" t="n">
        <v>1</v>
      </c>
      <c r="Q2512" s="4" t="n">
        <v>3351.4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용암리 662-1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85000</v>
      </c>
      <c r="G2513" s="4" t="n">
        <v>3351</v>
      </c>
      <c r="H2513" s="4" t="n">
        <v>1014</v>
      </c>
      <c r="I2513" s="5" t="n">
        <v>83.8</v>
      </c>
      <c r="J2513" s="5" t="n">
        <v>16.9</v>
      </c>
      <c r="K2513" s="3" t="inlineStr">
        <is>
          <t>투자가치 최상</t>
        </is>
      </c>
      <c r="L2513" s="6">
        <f>HYPERLINK("https://fin.land.naver.com/articles/2652696158", "매물Link")</f>
        <v/>
      </c>
      <c r="M2513" s="6">
        <f>HYPERLINK("https://map.naver.com/p/search/장군면 용암리 662-1", "지도Link")</f>
        <v/>
      </c>
      <c r="N2513" s="6">
        <f>HYPERLINK("http://www.eum.go.kr/web/ar/lu/luLandDet.jsp?pnu=3611035033106620001&amp;isNoScr=script&amp;mode=search", "토지이음")</f>
        <v/>
      </c>
      <c r="O2513" s="3" t="inlineStr">
        <is>
          <t>새땅</t>
        </is>
      </c>
      <c r="P2513" s="4" t="n">
        <v>2</v>
      </c>
      <c r="Q2513" s="4" t="n">
        <v>3351.4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세로한면(가)</t>
        </is>
      </c>
    </row>
    <row r="2514">
      <c r="A2514" s="3" t="inlineStr">
        <is>
          <t>장군면 용암리 668-1</t>
        </is>
      </c>
      <c r="B2514" s="3" t="inlineStr">
        <is>
          <t>생산관리지역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150000</v>
      </c>
      <c r="G2514" s="4" t="n">
        <v>3399</v>
      </c>
      <c r="H2514" s="4" t="n">
        <v>1028</v>
      </c>
      <c r="I2514" s="5" t="n">
        <v>145.9</v>
      </c>
      <c r="J2514" s="5" t="n">
        <v>34.7</v>
      </c>
      <c r="K2514" s="3" t="inlineStr">
        <is>
          <t>서세종 ic  근접 토지, 세종시 확장, 미래가치기대 ,주말농장등</t>
        </is>
      </c>
      <c r="L2514" s="6">
        <f>HYPERLINK("https://fin.land.naver.com/articles/2652360213", "매물Link")</f>
        <v/>
      </c>
      <c r="M2514" s="6">
        <f>HYPERLINK("https://map.naver.com/p/search/장군면 용암리 668-1", "지도Link")</f>
        <v/>
      </c>
      <c r="N2514" s="6">
        <f>HYPERLINK("http://www.eum.go.kr/web/ar/lu/luLandDet.jsp?pnu=3611035033106680001&amp;isNoScr=script&amp;mode=search", "토지이음")</f>
        <v/>
      </c>
      <c r="O2514" s="3" t="inlineStr">
        <is>
          <t>세종특별시</t>
        </is>
      </c>
      <c r="P2514" s="4" t="n">
        <v>1</v>
      </c>
      <c r="Q2514" s="4" t="n">
        <v>2470.6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소로한면</t>
        </is>
      </c>
    </row>
    <row r="2515">
      <c r="A2515" s="3" t="inlineStr">
        <is>
          <t>장군면 용암리 668-1</t>
        </is>
      </c>
      <c r="B2515" s="3" t="inlineStr">
        <is>
          <t>생산관리지역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140000</v>
      </c>
      <c r="G2515" s="4" t="n">
        <v>3399</v>
      </c>
      <c r="H2515" s="4" t="n">
        <v>1028</v>
      </c>
      <c r="I2515" s="5" t="n">
        <v>136.2</v>
      </c>
      <c r="J2515" s="5" t="n">
        <v>34.7</v>
      </c>
      <c r="K2515" s="3" t="inlineStr">
        <is>
          <t>2차선 접한 넓은 토지.</t>
        </is>
      </c>
      <c r="L2515" s="6">
        <f>HYPERLINK("https://fin.land.naver.com/articles/2651423050", "매물Link")</f>
        <v/>
      </c>
      <c r="M2515" s="6">
        <f>HYPERLINK("https://map.naver.com/p/search/장군면 용암리 668-1", "지도Link")</f>
        <v/>
      </c>
      <c r="N2515" s="6">
        <f>HYPERLINK("http://www.eum.go.kr/web/ar/lu/luLandDet.jsp?pnu=3611035033106680001&amp;isNoScr=script&amp;mode=search", "토지이음")</f>
        <v/>
      </c>
      <c r="O2515" s="3" t="inlineStr">
        <is>
          <t>세종소담114</t>
        </is>
      </c>
      <c r="P2515" s="4" t="n">
        <v>1</v>
      </c>
      <c r="Q2515" s="4" t="n">
        <v>2470.6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소로한면</t>
        </is>
      </c>
    </row>
    <row r="2516">
      <c r="A2516" s="3" t="inlineStr">
        <is>
          <t>장군면 용암리 79-3</t>
        </is>
      </c>
      <c r="B2516" s="3" t="inlineStr">
        <is>
          <t>보전관리지역</t>
        </is>
      </c>
      <c r="C2516" s="3" t="inlineStr">
        <is>
          <t>임야</t>
        </is>
      </c>
      <c r="D2516" s="3" t="inlineStr">
        <is>
          <t>임야</t>
        </is>
      </c>
      <c r="E2516" s="3" t="inlineStr">
        <is>
          <t>매매</t>
        </is>
      </c>
      <c r="F2516" s="4" t="n">
        <v>181200</v>
      </c>
      <c r="G2516" s="4" t="n">
        <v>4991</v>
      </c>
      <c r="H2516" s="4" t="n">
        <v>1510</v>
      </c>
      <c r="I2516" s="5" t="n">
        <v>120</v>
      </c>
      <c r="J2516" s="5" t="n">
        <v>4.2</v>
      </c>
      <c r="K2516" s="3" t="inlineStr">
        <is>
          <t>분할매매 가능,2차선 도로접, 국가 산단예정지 근거리위치,</t>
        </is>
      </c>
      <c r="L2516" s="6">
        <f>HYPERLINK("https://fin.land.naver.com/articles/2651054083", "매물Link")</f>
        <v/>
      </c>
      <c r="M2516" s="6">
        <f>HYPERLINK("https://map.naver.com/p/search/장군면 용암리 79-3", "지도Link")</f>
        <v/>
      </c>
      <c r="N2516" s="6">
        <f>HYPERLINK("http://www.eum.go.kr/web/ar/lu/luLandDet.jsp?pnu=3611035033100790003&amp;isNoScr=script&amp;mode=search", "토지이음")</f>
        <v/>
      </c>
      <c r="O2516" s="3" t="inlineStr">
        <is>
          <t>담뜰</t>
        </is>
      </c>
      <c r="P2516" s="4" t="n">
        <v>1</v>
      </c>
      <c r="Q2516" s="4" t="n">
        <v>3879</v>
      </c>
      <c r="R2516" s="3" t="inlineStr">
        <is>
          <t>지정되지않음</t>
        </is>
      </c>
      <c r="S2516" s="3" t="inlineStr">
        <is>
          <t>자연림</t>
        </is>
      </c>
      <c r="T2516" s="3" t="inlineStr">
        <is>
          <t>급경사</t>
        </is>
      </c>
      <c r="U2516" s="3" t="inlineStr">
        <is>
          <t>부정형</t>
        </is>
      </c>
      <c r="V2516" s="3" t="inlineStr">
        <is>
          <t>소로한면</t>
        </is>
      </c>
    </row>
    <row r="2517">
      <c r="A2517" s="3" t="inlineStr">
        <is>
          <t>장군면 용암리 99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170000</v>
      </c>
      <c r="G2517" s="4" t="n">
        <v>4277</v>
      </c>
      <c r="H2517" s="4" t="n">
        <v>1294</v>
      </c>
      <c r="I2517" s="5" t="n">
        <v>131.4</v>
      </c>
      <c r="J2517" s="5" t="n">
        <v>39.3</v>
      </c>
      <c r="K2517" s="3" t="inlineStr">
        <is>
          <t>목장가능. 소 젖소 말 가능,</t>
        </is>
      </c>
      <c r="L2517" s="6">
        <f>HYPERLINK("https://fin.land.naver.com/articles/2654227658", "매물Link")</f>
        <v/>
      </c>
      <c r="M2517" s="6">
        <f>HYPERLINK("https://map.naver.com/p/search/장군면 용암리 99", "지도Link")</f>
        <v/>
      </c>
      <c r="N2517" s="6">
        <f>HYPERLINK("http://www.eum.go.kr/web/ar/lu/luLandDet.jsp?pnu=3611035033100990000&amp;isNoScr=script&amp;mode=search",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4129</v>
      </c>
      <c r="R2517" s="3" t="inlineStr">
        <is>
          <t>지정되지않음</t>
        </is>
      </c>
      <c r="S2517" s="3" t="inlineStr">
        <is>
          <t>답기타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용암리 산 28-1</t>
        </is>
      </c>
      <c r="B2518" s="3" t="inlineStr">
        <is>
          <t>보전관리지역</t>
        </is>
      </c>
      <c r="C2518" s="3" t="inlineStr">
        <is>
          <t>임야</t>
        </is>
      </c>
      <c r="D2518" s="3" t="inlineStr">
        <is>
          <t>임야</t>
        </is>
      </c>
      <c r="E2518" s="3" t="inlineStr">
        <is>
          <t>매매</t>
        </is>
      </c>
      <c r="F2518" s="4" t="n">
        <v>18000</v>
      </c>
      <c r="G2518" s="4" t="n">
        <v>3955</v>
      </c>
      <c r="H2518" s="4" t="n">
        <v>1196</v>
      </c>
      <c r="I2518" s="5" t="n">
        <v>15.1</v>
      </c>
      <c r="J2518" s="5" t="n">
        <v>3.2</v>
      </c>
      <c r="K2518" s="3" t="inlineStr">
        <is>
          <t>국가산업단지 인근 보전관리지역, 준보전산지 임야로 현재 과수원이용.</t>
        </is>
      </c>
      <c r="L2518" s="6">
        <f>HYPERLINK("https://fin.land.naver.com/articles/2653618078", "매물Link")</f>
        <v/>
      </c>
      <c r="M2518" s="6">
        <f>HYPERLINK("https://map.naver.com/p/search/장군면 용암리 산 28-1", "지도Link")</f>
        <v/>
      </c>
      <c r="N2518" s="6">
        <f>HYPERLINK("http://www.eum.go.kr/web/ar/lu/luLandDet.jsp?pnu=3611035033200280001&amp;isNoScr=script&amp;mode=search", "토지이음")</f>
        <v/>
      </c>
      <c r="O2518" s="3" t="inlineStr">
        <is>
          <t>세종대장</t>
        </is>
      </c>
      <c r="P2518" s="4" t="n">
        <v>1</v>
      </c>
      <c r="Q2518" s="4" t="n">
        <v>3955</v>
      </c>
      <c r="R2518" s="3" t="inlineStr">
        <is>
          <t>지정되지않음</t>
        </is>
      </c>
      <c r="S2518" s="3" t="inlineStr">
        <is>
          <t>자연림</t>
        </is>
      </c>
      <c r="T2518" s="3" t="inlineStr">
        <is>
          <t>급경사</t>
        </is>
      </c>
      <c r="U2518" s="3" t="inlineStr">
        <is>
          <t>부정형</t>
        </is>
      </c>
      <c r="V2518" s="3" t="inlineStr">
        <is>
          <t>세로한면(불)</t>
        </is>
      </c>
    </row>
    <row r="2519">
      <c r="A2519" s="3" t="inlineStr">
        <is>
          <t>장군면 용암리 산 79</t>
        </is>
      </c>
      <c r="B2519" s="3" t="inlineStr">
        <is>
          <t>보전관리지역</t>
        </is>
      </c>
      <c r="C2519" s="3" t="inlineStr">
        <is>
          <t>임야</t>
        </is>
      </c>
      <c r="D2519" s="3" t="inlineStr">
        <is>
          <t>임야</t>
        </is>
      </c>
      <c r="E2519" s="3" t="inlineStr">
        <is>
          <t>매매</t>
        </is>
      </c>
      <c r="F2519" s="4" t="n">
        <v>173000</v>
      </c>
      <c r="G2519" s="4" t="n">
        <v>22993</v>
      </c>
      <c r="H2519" s="4" t="n">
        <v>6955</v>
      </c>
      <c r="I2519" s="5" t="n">
        <v>24.9</v>
      </c>
      <c r="J2519" s="5" t="n">
        <v>2.6</v>
      </c>
      <c r="K2519" s="3" t="inlineStr">
        <is>
          <t>세종IC인근,국가산단인접,투자가치,보전관리,성장관리구역,준보전산지,남향</t>
        </is>
      </c>
      <c r="L2519" s="6">
        <f>HYPERLINK("https://fin.land.naver.com/articles/2650862796", "매물Link")</f>
        <v/>
      </c>
      <c r="M2519" s="6">
        <f>HYPERLINK("https://map.naver.com/p/search/장군면 용암리 산 79", "지도Link")</f>
        <v/>
      </c>
      <c r="N2519" s="6">
        <f>HYPERLINK("http://www.eum.go.kr/web/ar/lu/luLandDet.jsp?pnu=3611035033200790000&amp;isNoScr=script&amp;mode=search", "토지이음")</f>
        <v/>
      </c>
      <c r="O2519" s="3" t="inlineStr">
        <is>
          <t>새시대</t>
        </is>
      </c>
      <c r="P2519" s="4" t="n">
        <v>1</v>
      </c>
      <c r="Q2519" s="4" t="n">
        <v>16078</v>
      </c>
      <c r="R2519" s="3" t="inlineStr">
        <is>
          <t>지정되지않음</t>
        </is>
      </c>
      <c r="S2519" s="3" t="inlineStr">
        <is>
          <t>자연림</t>
        </is>
      </c>
      <c r="T2519" s="3" t="inlineStr">
        <is>
          <t>급경사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용암리 산99-3</t>
        </is>
      </c>
      <c r="B2520" s="3" t="inlineStr">
        <is>
          <t>보전관리지역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115000</v>
      </c>
      <c r="G2520" s="4" t="n">
        <v>15317</v>
      </c>
      <c r="H2520" s="4" t="n">
        <v>4633</v>
      </c>
      <c r="I2520" s="5" t="n">
        <v>24.8</v>
      </c>
      <c r="J2520" s="5" t="n">
        <v>3.2</v>
      </c>
      <c r="K2520" s="3" t="inlineStr">
        <is>
          <t>세종ic인근,국가산단인근,저렴,투자가치,보전관리,성장관리,준보전산지,남향</t>
        </is>
      </c>
      <c r="L2520" s="6">
        <f>HYPERLINK("https://fin.land.naver.com/articles/2650862805", "매물Link")</f>
        <v/>
      </c>
      <c r="M2520" s="6">
        <f>HYPERLINK("https://map.naver.com/p/search/장군면 용암리 산99-3", "지도Link")</f>
        <v/>
      </c>
      <c r="N2520" s="6">
        <f>HYPERLINK("http://www.eum.go.kr/web/ar/lu/luLandDet.jsp?pnu=3611035033200990003&amp;isNoScr=script&amp;mode=search", "토지이음")</f>
        <v/>
      </c>
      <c r="O2520" s="3" t="inlineStr">
        <is>
          <t>새시대</t>
        </is>
      </c>
      <c r="P2520" s="4" t="n">
        <v>1</v>
      </c>
      <c r="Q2520" s="4" t="n">
        <v>15317</v>
      </c>
      <c r="R2520" s="3" t="inlineStr">
        <is>
          <t>지정되지않음</t>
        </is>
      </c>
      <c r="S2520" s="3" t="inlineStr">
        <is>
          <t>자연림</t>
        </is>
      </c>
      <c r="T2520" s="3" t="inlineStr">
        <is>
          <t>급경사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용현리 100</t>
        </is>
      </c>
      <c r="B2521" s="3" t="inlineStr">
        <is>
          <t>계획관리지역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90000</v>
      </c>
      <c r="G2521" s="4" t="n">
        <v>1001</v>
      </c>
      <c r="H2521" s="4" t="n">
        <v>303</v>
      </c>
      <c r="I2521" s="5" t="n">
        <v>297</v>
      </c>
      <c r="J2521" s="5" t="n">
        <v>82.5</v>
      </c>
      <c r="K2521" s="3" t="inlineStr">
        <is>
          <t>nan</t>
        </is>
      </c>
      <c r="L2521" s="6">
        <f>HYPERLINK("https://fin.land.naver.com/articles/2651022729", "매물Link")</f>
        <v/>
      </c>
      <c r="M2521" s="6">
        <f>HYPERLINK("https://map.naver.com/p/search/장군면 용현리 100", "지도Link")</f>
        <v/>
      </c>
      <c r="N2521" s="6">
        <f>HYPERLINK("http://www.eum.go.kr/web/ar/lu/luLandDet.jsp?pnu=3611035032101000000&amp;isNoScr=script&amp;mode=search", "토지이음")</f>
        <v/>
      </c>
      <c r="O2521" s="3" t="inlineStr">
        <is>
          <t>비타민무소</t>
        </is>
      </c>
      <c r="P2521" s="4" t="n">
        <v>1</v>
      </c>
      <c r="Q2521" s="4" t="n">
        <v>1002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사다리형</t>
        </is>
      </c>
      <c r="V2521" s="3" t="inlineStr">
        <is>
          <t>세로한면(가)</t>
        </is>
      </c>
    </row>
    <row r="2522">
      <c r="A2522" s="3" t="inlineStr">
        <is>
          <t>장군면 용현리 100</t>
        </is>
      </c>
      <c r="B2522" s="3" t="inlineStr">
        <is>
          <t>계획관리지역</t>
        </is>
      </c>
      <c r="C2522" s="3" t="inlineStr">
        <is>
          <t>대</t>
        </is>
      </c>
      <c r="D2522" s="3" t="inlineStr">
        <is>
          <t>대</t>
        </is>
      </c>
      <c r="E2522" s="3" t="inlineStr">
        <is>
          <t>매매</t>
        </is>
      </c>
      <c r="F2522" s="4" t="n">
        <v>46000</v>
      </c>
      <c r="G2522" s="4" t="n">
        <v>500</v>
      </c>
      <c r="H2522" s="4" t="n">
        <v>151</v>
      </c>
      <c r="I2522" s="5" t="n">
        <v>304.6</v>
      </c>
      <c r="J2522" s="5" t="n">
        <v>82.5</v>
      </c>
      <c r="K2522" s="3" t="inlineStr">
        <is>
          <t>사정상급매 접근성좋아 위치좋음 입주가능한 농가구옥도있음 분할매매가능</t>
        </is>
      </c>
      <c r="L2522" s="6">
        <f>HYPERLINK("https://fin.land.naver.com/articles/2652992295", "매물Link")</f>
        <v/>
      </c>
      <c r="M2522" s="6">
        <f>HYPERLINK("https://map.naver.com/p/search/장군면 용현리 100", "지도Link")</f>
        <v/>
      </c>
      <c r="N2522" s="6">
        <f>HYPERLINK("http://www.eum.go.kr/web/ar/lu/luLandDet.jsp?pnu=3611035032101000000&amp;isNoScr=script&amp;mode=search", "토지이음")</f>
        <v/>
      </c>
      <c r="O2522" s="3" t="inlineStr">
        <is>
          <t>벽산마을</t>
        </is>
      </c>
      <c r="P2522" s="4" t="n">
        <v>1</v>
      </c>
      <c r="Q2522" s="4" t="n">
        <v>1002</v>
      </c>
      <c r="R2522" s="3" t="inlineStr">
        <is>
          <t>지정되지않음</t>
        </is>
      </c>
      <c r="S2522" s="3" t="inlineStr">
        <is>
          <t>단독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용현리 234-1</t>
        </is>
      </c>
      <c r="B2523" s="3" t="inlineStr">
        <is>
          <t>농림지역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80000</v>
      </c>
      <c r="G2523" s="4" t="n">
        <v>3221</v>
      </c>
      <c r="H2523" s="4" t="n">
        <v>974</v>
      </c>
      <c r="I2523" s="5" t="n">
        <v>82.09999999999999</v>
      </c>
      <c r="J2523" s="5" t="n">
        <v>22.7</v>
      </c>
      <c r="K2523" s="3" t="inlineStr">
        <is>
          <t>세종ic인근 토지</t>
        </is>
      </c>
      <c r="L2523" s="6">
        <f>HYPERLINK("https://fin.land.naver.com/articles/2651170643", "매물Link")</f>
        <v/>
      </c>
      <c r="M2523" s="6">
        <f>HYPERLINK("https://map.naver.com/p/search/장군면 용현리 234-1", "지도Link")</f>
        <v/>
      </c>
      <c r="N2523" s="6">
        <f>HYPERLINK("http://www.eum.go.kr/web/ar/lu/luLandDet.jsp?pnu=3611035032102340001&amp;isNoScr=script&amp;mode=search", "토지이음")</f>
        <v/>
      </c>
      <c r="O2523" s="3" t="inlineStr">
        <is>
          <t>드림</t>
        </is>
      </c>
      <c r="P2523" s="4" t="n">
        <v>1</v>
      </c>
      <c r="Q2523" s="4" t="n">
        <v>3221.9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평지</t>
        </is>
      </c>
      <c r="U2523" s="3" t="inlineStr">
        <is>
          <t>세로장방</t>
        </is>
      </c>
      <c r="V2523" s="3" t="inlineStr">
        <is>
          <t>세로한면(가)</t>
        </is>
      </c>
    </row>
    <row r="2524">
      <c r="A2524" s="3" t="inlineStr">
        <is>
          <t>장군면 용현리 256-1</t>
        </is>
      </c>
      <c r="B2524" s="3" t="inlineStr">
        <is>
          <t>농림지역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25000</v>
      </c>
      <c r="G2524" s="4" t="n">
        <v>1021</v>
      </c>
      <c r="H2524" s="4" t="n">
        <v>309</v>
      </c>
      <c r="I2524" s="5" t="n">
        <v>80.90000000000001</v>
      </c>
      <c r="J2524" s="5" t="n">
        <v>26.5</v>
      </c>
      <c r="K2524" s="3" t="inlineStr">
        <is>
          <t>대토추천. 구거접. 포장된 현황도로</t>
        </is>
      </c>
      <c r="L2524" s="6">
        <f>HYPERLINK("https://fin.land.naver.com/articles/2652038803", "매물Link")</f>
        <v/>
      </c>
      <c r="M2524" s="6">
        <f>HYPERLINK("https://map.naver.com/p/search/장군면 용현리 256-1", "지도Link")</f>
        <v/>
      </c>
      <c r="N2524" s="6">
        <f>HYPERLINK("http://www.eum.go.kr/web/ar/lu/luLandDet.jsp?pnu=3611035032102560001&amp;isNoScr=script&amp;mode=search", "토지이음")</f>
        <v/>
      </c>
      <c r="O2524" s="3" t="inlineStr">
        <is>
          <t>미스터홈즈강남지사</t>
        </is>
      </c>
      <c r="P2524" s="4" t="n">
        <v>1</v>
      </c>
      <c r="Q2524" s="4" t="n">
        <v>1021.2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평지</t>
        </is>
      </c>
      <c r="U2524" s="3" t="inlineStr">
        <is>
          <t>세로장방</t>
        </is>
      </c>
      <c r="V2524" s="3" t="inlineStr">
        <is>
          <t>세로한면(가)</t>
        </is>
      </c>
    </row>
    <row r="2525">
      <c r="A2525" s="3" t="inlineStr">
        <is>
          <t>장군면 용현리 84</t>
        </is>
      </c>
      <c r="B2525" s="3" t="inlineStr">
        <is>
          <t>계획관리지역</t>
        </is>
      </c>
      <c r="C2525" s="3" t="inlineStr">
        <is>
          <t>대</t>
        </is>
      </c>
      <c r="D2525" s="3" t="inlineStr">
        <is>
          <t>대</t>
        </is>
      </c>
      <c r="E2525" s="3" t="inlineStr">
        <is>
          <t>매매</t>
        </is>
      </c>
      <c r="F2525" s="4" t="n">
        <v>58000</v>
      </c>
      <c r="G2525" s="4" t="n">
        <v>1269</v>
      </c>
      <c r="H2525" s="4" t="n">
        <v>384</v>
      </c>
      <c r="I2525" s="5" t="n">
        <v>151</v>
      </c>
      <c r="J2525" s="5" t="n">
        <v>64.09999999999999</v>
      </c>
      <c r="K2525" s="3" t="inlineStr">
        <is>
          <t>계획관리 대지 매매함</t>
        </is>
      </c>
      <c r="L2525" s="6">
        <f>HYPERLINK("https://fin.land.naver.com/articles/2652621736", "매물Link")</f>
        <v/>
      </c>
      <c r="M2525" s="6">
        <f>HYPERLINK("https://map.naver.com/p/search/장군면 용현리 84", "지도Link")</f>
        <v/>
      </c>
      <c r="N2525" s="6">
        <f>HYPERLINK("http://www.eum.go.kr/web/ar/lu/luLandDet.jsp?pnu=3611035032100840000&amp;isNoScr=script&amp;mode=search", "토지이음")</f>
        <v/>
      </c>
      <c r="O2525" s="3" t="inlineStr">
        <is>
          <t>강나루</t>
        </is>
      </c>
      <c r="P2525" s="4" t="n">
        <v>1</v>
      </c>
      <c r="Q2525" s="4" t="n">
        <v>1269</v>
      </c>
      <c r="R2525" s="3" t="inlineStr">
        <is>
          <t>지정되지않음</t>
        </is>
      </c>
      <c r="S2525" s="3" t="inlineStr">
        <is>
          <t>단독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용현리 86-1</t>
        </is>
      </c>
      <c r="B2526" s="3" t="inlineStr">
        <is>
          <t>계획관리지역</t>
        </is>
      </c>
      <c r="C2526" s="3" t="inlineStr">
        <is>
          <t>대</t>
        </is>
      </c>
      <c r="D2526" s="3" t="inlineStr">
        <is>
          <t>대</t>
        </is>
      </c>
      <c r="E2526" s="3" t="inlineStr">
        <is>
          <t>매매</t>
        </is>
      </c>
      <c r="F2526" s="4" t="n">
        <v>170000</v>
      </c>
      <c r="G2526" s="4" t="n">
        <v>3537</v>
      </c>
      <c r="H2526" s="4" t="n">
        <v>1070</v>
      </c>
      <c r="I2526" s="5" t="n">
        <v>158.9</v>
      </c>
      <c r="J2526" s="5" t="n">
        <v>64.09999999999999</v>
      </c>
      <c r="K2526" s="3" t="inlineStr">
        <is>
          <t>4차선도로 진입로 옆 토지 서울세종고속도로와 세종IC 가까움</t>
        </is>
      </c>
      <c r="L2526" s="6">
        <f>HYPERLINK("https://fin.land.naver.com/articles/2650594489", "매물Link")</f>
        <v/>
      </c>
      <c r="M2526" s="6">
        <f>HYPERLINK("https://map.naver.com/p/search/장군면 용현리 86-1", "지도Link")</f>
        <v/>
      </c>
      <c r="N2526" s="6">
        <f>HYPERLINK("http://www.eum.go.kr/web/ar/lu/luLandDet.jsp?pnu=3611035032100860001&amp;isNoScr=script&amp;mode=search", "토지이음")</f>
        <v/>
      </c>
      <c r="O2526" s="3" t="inlineStr">
        <is>
          <t>바다하리</t>
        </is>
      </c>
      <c r="P2526" s="4" t="n">
        <v>1</v>
      </c>
      <c r="Q2526" s="4" t="n">
        <v>2258</v>
      </c>
      <c r="R2526" s="3" t="inlineStr">
        <is>
          <t>지정되지않음</t>
        </is>
      </c>
      <c r="S2526" s="3" t="inlineStr">
        <is>
          <t>단독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용현리 98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25000</v>
      </c>
      <c r="G2527" s="4" t="n">
        <v>367</v>
      </c>
      <c r="H2527" s="4" t="n">
        <v>111</v>
      </c>
      <c r="I2527" s="5" t="n">
        <v>225.2</v>
      </c>
      <c r="J2527" s="5" t="n">
        <v>61.5</v>
      </c>
      <c r="K2527" s="3" t="inlineStr">
        <is>
          <t>급매,도로접 계획관리지역,아늑한 마을 막힘없는 위치,세종시5분거리</t>
        </is>
      </c>
      <c r="L2527" s="6">
        <f>HYPERLINK("https://fin.land.naver.com/articles/2651744795", "매물Link")</f>
        <v/>
      </c>
      <c r="M2527" s="6">
        <f>HYPERLINK("https://map.naver.com/p/search/장군면 용현리 98", "지도Link")</f>
        <v/>
      </c>
      <c r="N2527" s="6">
        <f>HYPERLINK("http://www.eum.go.kr/web/ar/lu/luLandDet.jsp?pnu=3611035032100980000&amp;isNoScr=script&amp;mode=search", "토지이음")</f>
        <v/>
      </c>
      <c r="O2527" s="3" t="inlineStr">
        <is>
          <t>고운맘</t>
        </is>
      </c>
      <c r="P2527" s="4" t="n">
        <v>1</v>
      </c>
      <c r="Q2527" s="4" t="n">
        <v>367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세로각지(가)</t>
        </is>
      </c>
    </row>
    <row r="2528">
      <c r="A2528" s="3" t="inlineStr">
        <is>
          <t>장군면 은용리 107-5</t>
        </is>
      </c>
      <c r="B2528" s="3" t="inlineStr">
        <is>
          <t>계획관리지역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월세</t>
        </is>
      </c>
      <c r="F2528" s="4" t="n">
        <v>10000</v>
      </c>
      <c r="G2528" s="4" t="n">
        <v>1443</v>
      </c>
      <c r="H2528" s="4" t="n">
        <v>437</v>
      </c>
      <c r="I2528" s="5" t="n">
        <v>1.8</v>
      </c>
      <c r="J2528" s="5" t="n">
        <v>233.5</v>
      </c>
      <c r="K2528" s="3" t="inlineStr">
        <is>
          <t>세종강남, 1.2층사무실사용 대형주차장 확보, 서세종IC인근</t>
        </is>
      </c>
      <c r="L2528" s="6">
        <f>HYPERLINK("https://fin.land.naver.com/articles/2652586785", "매물Link")</f>
        <v/>
      </c>
      <c r="M2528" s="6">
        <f>HYPERLINK("https://map.naver.com/p/search/장군면 은용리 107-5", "지도Link")</f>
        <v/>
      </c>
      <c r="N2528" s="6">
        <f>HYPERLINK("http://www.eum.go.kr/web/ar/lu/luLandDet.jsp?pnu=3611035027101070005&amp;isNoScr=script&amp;mode=search", "토지이음")</f>
        <v/>
      </c>
      <c r="O2528" s="3" t="inlineStr">
        <is>
          <t>세종강남</t>
        </is>
      </c>
      <c r="P2528" s="4" t="n">
        <v>1</v>
      </c>
      <c r="Q2528" s="4" t="n">
        <v>1443</v>
      </c>
      <c r="R2528" s="3" t="inlineStr">
        <is>
          <t>지정되지않음</t>
        </is>
      </c>
      <c r="S2528" s="3" t="inlineStr">
        <is>
          <t>상업용</t>
        </is>
      </c>
      <c r="T2528" s="3" t="inlineStr">
        <is>
          <t>평지</t>
        </is>
      </c>
      <c r="U2528" s="3" t="inlineStr">
        <is>
          <t>가로장방</t>
        </is>
      </c>
      <c r="V2528" s="3" t="inlineStr">
        <is>
          <t>세로한면(가)</t>
        </is>
      </c>
    </row>
    <row r="2529">
      <c r="A2529" s="3" t="inlineStr">
        <is>
          <t>장군면 은용리 111-13</t>
        </is>
      </c>
      <c r="B2529" s="3" t="inlineStr">
        <is>
          <t>계획관리지역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20000</v>
      </c>
      <c r="G2529" s="4" t="n">
        <v>211</v>
      </c>
      <c r="H2529" s="4" t="n">
        <v>64</v>
      </c>
      <c r="I2529" s="5" t="n">
        <v>312.5</v>
      </c>
      <c r="J2529" s="5" t="n">
        <v>231.5</v>
      </c>
      <c r="K2529" s="3" t="inlineStr">
        <is>
          <t>세종 장군면 전원생활을 꿈꾸는 분께 추천하는 토지</t>
        </is>
      </c>
      <c r="L2529" s="6">
        <f>HYPERLINK("https://fin.land.naver.com/articles/2655622026", "매물Link")</f>
        <v/>
      </c>
      <c r="M2529" s="6">
        <f>HYPERLINK("https://map.naver.com/p/search/장군면 은용리 111-13", "지도Link")</f>
        <v/>
      </c>
      <c r="N2529" s="6">
        <f>HYPERLINK("http://www.eum.go.kr/web/ar/lu/luLandDet.jsp?pnu=3611035027101110013&amp;isNoScr=script&amp;mode=search", "토지이음")</f>
        <v/>
      </c>
      <c r="O2529" s="3" t="inlineStr">
        <is>
          <t>세종몽땅</t>
        </is>
      </c>
      <c r="P2529" s="4" t="n">
        <v>1</v>
      </c>
      <c r="Q2529" s="4" t="n">
        <v>211</v>
      </c>
      <c r="R2529" s="3" t="inlineStr">
        <is>
          <t>지정되지않음</t>
        </is>
      </c>
      <c r="S2529" s="3" t="inlineStr">
        <is>
          <t>주거기타</t>
        </is>
      </c>
      <c r="T2529" s="3" t="inlineStr">
        <is>
          <t>평지</t>
        </is>
      </c>
      <c r="U2529" s="3" t="inlineStr">
        <is>
          <t>가로장방</t>
        </is>
      </c>
      <c r="V2529" s="3" t="inlineStr">
        <is>
          <t>세로한면(가)</t>
        </is>
      </c>
    </row>
    <row r="2530">
      <c r="A2530" s="3" t="inlineStr">
        <is>
          <t>장군면 은용리 112-25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60000</v>
      </c>
      <c r="G2530" s="4" t="n">
        <v>400</v>
      </c>
      <c r="H2530" s="4" t="n">
        <v>121</v>
      </c>
      <c r="I2530" s="5" t="n">
        <v>495.9</v>
      </c>
      <c r="J2530" s="5" t="n">
        <v>139.5</v>
      </c>
      <c r="K2530" s="3" t="inlineStr">
        <is>
          <t>급매. 장군면 투자용 계획관리토지</t>
        </is>
      </c>
      <c r="L2530" s="6">
        <f>HYPERLINK("https://fin.land.naver.com/articles/2651921996", "매물Link")</f>
        <v/>
      </c>
      <c r="M2530" s="6">
        <f>HYPERLINK("https://map.naver.com/p/search/장군면 은용리 112-25", "지도Link")</f>
        <v/>
      </c>
      <c r="N2530" s="6">
        <f>HYPERLINK("http://www.eum.go.kr/web/ar/lu/luLandDet.jsp?pnu=3611035027101120025&amp;isNoScr=script&amp;mode=search", "토지이음")</f>
        <v/>
      </c>
      <c r="O2530" s="3" t="inlineStr">
        <is>
          <t>강아지풀</t>
        </is>
      </c>
      <c r="P2530" s="4" t="n">
        <v>1</v>
      </c>
      <c r="Q2530" s="4" t="n">
        <v>400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평지</t>
        </is>
      </c>
      <c r="U2530" s="3" t="inlineStr">
        <is>
          <t>가로장방</t>
        </is>
      </c>
      <c r="V2530" s="3" t="inlineStr">
        <is>
          <t>세로한면(가)</t>
        </is>
      </c>
    </row>
    <row r="2531">
      <c r="A2531" s="3" t="inlineStr">
        <is>
          <t>장군면 은용리 112-32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112000</v>
      </c>
      <c r="G2531" s="4" t="n">
        <v>1323</v>
      </c>
      <c r="H2531" s="4" t="n">
        <v>400</v>
      </c>
      <c r="I2531" s="5" t="n">
        <v>280</v>
      </c>
      <c r="J2531" s="5" t="n">
        <v>132.5</v>
      </c>
      <c r="K2531" s="3" t="inlineStr">
        <is>
          <t>투자가치 있는곳</t>
        </is>
      </c>
      <c r="L2531" s="6">
        <f>HYPERLINK("https://fin.land.naver.com/articles/2650705918", "매물Link")</f>
        <v/>
      </c>
      <c r="M2531" s="6">
        <f>HYPERLINK("https://map.naver.com/p/search/장군면 은용리 112-32", "지도Link")</f>
        <v/>
      </c>
      <c r="N2531" s="6">
        <f>HYPERLINK("http://www.eum.go.kr/web/ar/lu/luLandDet.jsp?pnu=3611035027101120032&amp;isNoScr=script&amp;mode=search", "토지이음")</f>
        <v/>
      </c>
      <c r="O2531" s="3" t="inlineStr">
        <is>
          <t>세종대평</t>
        </is>
      </c>
      <c r="P2531" s="4" t="n">
        <v>1</v>
      </c>
      <c r="Q2531" s="4" t="n">
        <v>1323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은용리 156-4</t>
        </is>
      </c>
      <c r="B2532" s="3" t="inlineStr">
        <is>
          <t>농림지역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15000</v>
      </c>
      <c r="G2532" s="4" t="n">
        <v>1295</v>
      </c>
      <c r="H2532" s="4" t="n">
        <v>392</v>
      </c>
      <c r="I2532" s="5" t="n">
        <v>38.3</v>
      </c>
      <c r="J2532" s="5" t="n">
        <v>52</v>
      </c>
      <c r="K2532" s="3" t="inlineStr">
        <is>
          <t>급매,3면 도로접한 농림지역,텃밭,주말농장</t>
        </is>
      </c>
      <c r="L2532" s="6">
        <f>HYPERLINK("https://fin.land.naver.com/articles/2653220009", "매물Link")</f>
        <v/>
      </c>
      <c r="M2532" s="6">
        <f>HYPERLINK("https://map.naver.com/p/search/장군면 은용리 156-4", "지도Link")</f>
        <v/>
      </c>
      <c r="N2532" s="6">
        <f>HYPERLINK("http://www.eum.go.kr/web/ar/lu/luLandDet.jsp?pnu=3611035027101560004&amp;isNoScr=script&amp;mode=search",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1295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가로장방</t>
        </is>
      </c>
      <c r="V2532" s="3" t="inlineStr">
        <is>
          <t>세로한면(가)</t>
        </is>
      </c>
    </row>
    <row r="2533">
      <c r="A2533" s="3" t="inlineStr">
        <is>
          <t>장군면 은용리 326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26750</v>
      </c>
      <c r="G2533" s="4" t="n">
        <v>355</v>
      </c>
      <c r="H2533" s="4" t="n">
        <v>107</v>
      </c>
      <c r="I2533" s="5" t="n">
        <v>250</v>
      </c>
      <c r="J2533" s="5" t="n">
        <v>119.2</v>
      </c>
      <c r="K2533" s="3" t="inlineStr">
        <is>
          <t>장군면 은용리 소액 토지 매매</t>
        </is>
      </c>
      <c r="L2533" s="6">
        <f>HYPERLINK("https://fin.land.naver.com/articles/2653813143", "매물Link")</f>
        <v/>
      </c>
      <c r="M2533" s="6">
        <f>HYPERLINK("https://map.naver.com/p/search/장군면 은용리 326", "지도Link")</f>
        <v/>
      </c>
      <c r="N2533" s="6">
        <f>HYPERLINK("http://www.eum.go.kr/web/ar/lu/luLandDet.jsp?pnu=3611035027103260000&amp;isNoScr=script&amp;mode=search", "토지이음")</f>
        <v/>
      </c>
      <c r="O2533" s="3" t="inlineStr">
        <is>
          <t>뉴스카이</t>
        </is>
      </c>
      <c r="P2533" s="4" t="n">
        <v>1</v>
      </c>
      <c r="Q2533" s="4" t="n">
        <v>355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세로한면(불)</t>
        </is>
      </c>
    </row>
    <row r="2534">
      <c r="A2534" s="3" t="inlineStr">
        <is>
          <t>장군면 은용리 419-1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206000</v>
      </c>
      <c r="G2534" s="4" t="n">
        <v>3243</v>
      </c>
      <c r="H2534" s="4" t="n">
        <v>981</v>
      </c>
      <c r="I2534" s="5" t="n">
        <v>210</v>
      </c>
      <c r="J2534" s="5" t="n">
        <v>57.9</v>
      </c>
      <c r="K2534" s="3" t="inlineStr">
        <is>
          <t>은용리 계획관리지역 토지매매12분할매매 가능</t>
        </is>
      </c>
      <c r="L2534" s="6">
        <f>HYPERLINK("https://fin.land.naver.com/articles/2652043086", "매물Link")</f>
        <v/>
      </c>
      <c r="M2534" s="6">
        <f>HYPERLINK("https://map.naver.com/p/search/장군면 은용리 419-1", "지도Link")</f>
        <v/>
      </c>
      <c r="N2534" s="6">
        <f>HYPERLINK("http://www.eum.go.kr/web/ar/lu/luLandDet.jsp?pnu=3611035027104190001&amp;isNoScr=script&amp;mode=search", "토지이음")</f>
        <v/>
      </c>
      <c r="O2534" s="3" t="inlineStr">
        <is>
          <t>에이스</t>
        </is>
      </c>
      <c r="P2534" s="4" t="n">
        <v>1</v>
      </c>
      <c r="Q2534" s="4" t="n">
        <v>3243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평지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은용리 459-2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49500</v>
      </c>
      <c r="G2535" s="4" t="n">
        <v>711</v>
      </c>
      <c r="H2535" s="4" t="n">
        <v>215</v>
      </c>
      <c r="I2535" s="5" t="n">
        <v>230.2</v>
      </c>
      <c r="J2535" s="5" t="n">
        <v>107.5</v>
      </c>
      <c r="K2535" s="3" t="inlineStr">
        <is>
          <t>지대가 높아서 조망 훤히 트임,도로지분별도</t>
        </is>
      </c>
      <c r="L2535" s="6">
        <f>HYPERLINK("https://fin.land.naver.com/articles/2654991193", "매물Link")</f>
        <v/>
      </c>
      <c r="M2535" s="6">
        <f>HYPERLINK("https://map.naver.com/p/search/장군면 은용리 459-2", "지도Link")</f>
        <v/>
      </c>
      <c r="N2535" s="6">
        <f>HYPERLINK("http://www.eum.go.kr/web/ar/lu/luLandDet.jsp?pnu=3611035027104590002&amp;isNoScr=script&amp;mode=search", "토지이음")</f>
        <v/>
      </c>
      <c r="O2535" s="3" t="inlineStr">
        <is>
          <t>세종공주제일</t>
        </is>
      </c>
      <c r="P2535" s="4" t="n">
        <v>1</v>
      </c>
      <c r="Q2535" s="4" t="n">
        <v>711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은용리 459-2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53750</v>
      </c>
      <c r="G2536" s="4" t="n">
        <v>711</v>
      </c>
      <c r="H2536" s="4" t="n">
        <v>215</v>
      </c>
      <c r="I2536" s="5" t="n">
        <v>250</v>
      </c>
      <c r="J2536" s="5" t="n">
        <v>107.5</v>
      </c>
      <c r="K2536" s="3" t="inlineStr">
        <is>
          <t>계획관리,성장관리 투자용 좋음</t>
        </is>
      </c>
      <c r="L2536" s="6">
        <f>HYPERLINK("https://fin.land.naver.com/articles/2653126167", "매물Link")</f>
        <v/>
      </c>
      <c r="M2536" s="6">
        <f>HYPERLINK("https://map.naver.com/p/search/장군면 은용리 459-2", "지도Link")</f>
        <v/>
      </c>
      <c r="N2536" s="6">
        <f>HYPERLINK("http://www.eum.go.kr/web/ar/lu/luLandDet.jsp?pnu=3611035027104590002&amp;isNoScr=script&amp;mode=search", "토지이음")</f>
        <v/>
      </c>
      <c r="O2536" s="3" t="inlineStr">
        <is>
          <t>킹</t>
        </is>
      </c>
      <c r="P2536" s="4" t="n">
        <v>1</v>
      </c>
      <c r="Q2536" s="4" t="n">
        <v>711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은용리 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1473000</v>
      </c>
      <c r="G2537" s="4" t="n">
        <v>3246</v>
      </c>
      <c r="H2537" s="4" t="n">
        <v>982</v>
      </c>
      <c r="I2537" s="5" t="n">
        <v>1500</v>
      </c>
      <c r="J2537" s="5" t="n">
        <v>148.3</v>
      </c>
      <c r="K2537" s="3" t="inlineStr">
        <is>
          <t>은용리 일대 3필지(전) 평당 1500만원 매매</t>
        </is>
      </c>
      <c r="L2537" s="6">
        <f>HYPERLINK("https://fin.land.naver.com/articles/2654379502", "매물Link")</f>
        <v/>
      </c>
      <c r="M2537" s="6">
        <f>HYPERLINK("https://map.naver.com/p/search/장군면 은용리 82", "지도Link")</f>
        <v/>
      </c>
      <c r="N2537" s="6">
        <f>HYPERLINK("http://www.eum.go.kr/web/ar/lu/luLandDet.jsp?pnu=3611035027100820000&amp;isNoScr=script&amp;mode=search", "토지이음")</f>
        <v/>
      </c>
      <c r="O2537" s="3" t="inlineStr">
        <is>
          <t>수자인시티</t>
        </is>
      </c>
      <c r="P2537" s="4" t="n">
        <v>2</v>
      </c>
      <c r="Q2537" s="4" t="n">
        <v>1991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소로한면</t>
        </is>
      </c>
    </row>
    <row r="2538">
      <c r="A2538" s="3" t="inlineStr">
        <is>
          <t>장군면 은용리 82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1473000</v>
      </c>
      <c r="G2538" s="4" t="n">
        <v>3246</v>
      </c>
      <c r="H2538" s="4" t="n">
        <v>982</v>
      </c>
      <c r="I2538" s="5" t="n">
        <v>1500</v>
      </c>
      <c r="J2538" s="5" t="n">
        <v>148.3</v>
      </c>
      <c r="K2538" s="3" t="inlineStr">
        <is>
          <t>왕복6차선 도로접 계획관리.성장관리 토지</t>
        </is>
      </c>
      <c r="L2538" s="6">
        <f>HYPERLINK("https://fin.land.naver.com/articles/2650933064", "매물Link")</f>
        <v/>
      </c>
      <c r="M2538" s="6">
        <f>HYPERLINK("https://map.naver.com/p/search/장군면 은용리 82", "지도Link")</f>
        <v/>
      </c>
      <c r="N2538" s="6">
        <f>HYPERLINK("http://www.eum.go.kr/web/ar/lu/luLandDet.jsp?pnu=3611035027100820000&amp;isNoScr=script&amp;mode=search", "토지이음")</f>
        <v/>
      </c>
      <c r="O2538" s="3" t="inlineStr">
        <is>
          <t>법조연합은온</t>
        </is>
      </c>
      <c r="P2538" s="4" t="n">
        <v>1</v>
      </c>
      <c r="Q2538" s="4" t="n">
        <v>1991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소로한면</t>
        </is>
      </c>
    </row>
    <row r="2539">
      <c r="A2539" s="3" t="inlineStr">
        <is>
          <t>장군면 은용리 82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1473000</v>
      </c>
      <c r="G2539" s="4" t="n">
        <v>3246</v>
      </c>
      <c r="H2539" s="4" t="n">
        <v>982</v>
      </c>
      <c r="I2539" s="5" t="n">
        <v>1500</v>
      </c>
      <c r="J2539" s="5" t="n">
        <v>148.3</v>
      </c>
      <c r="K2539" s="3" t="inlineStr">
        <is>
          <t>노출효과 좋은 자리 선점하세요</t>
        </is>
      </c>
      <c r="L2539" s="6">
        <f>HYPERLINK("https://fin.land.naver.com/articles/2654845652", "매물Link")</f>
        <v/>
      </c>
      <c r="M2539" s="6">
        <f>HYPERLINK("https://map.naver.com/p/search/장군면 은용리 82", "지도Link")</f>
        <v/>
      </c>
      <c r="N2539" s="6">
        <f>HYPERLINK("http://www.eum.go.kr/web/ar/lu/luLandDet.jsp?pnu=3611035027100820000&amp;isNoScr=script&amp;mode=search", "토지이음")</f>
        <v/>
      </c>
      <c r="O2539" s="3" t="inlineStr">
        <is>
          <t>세종대평</t>
        </is>
      </c>
      <c r="P2539" s="4" t="n">
        <v>1</v>
      </c>
      <c r="Q2539" s="4" t="n">
        <v>1991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소로한면</t>
        </is>
      </c>
    </row>
    <row r="2540">
      <c r="A2540" s="3" t="inlineStr">
        <is>
          <t>장군면 은용리 82</t>
        </is>
      </c>
      <c r="B2540" s="3" t="inlineStr">
        <is>
          <t>계획관리지역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1473000</v>
      </c>
      <c r="G2540" s="4" t="n">
        <v>3246</v>
      </c>
      <c r="H2540" s="4" t="n">
        <v>982</v>
      </c>
      <c r="I2540" s="5" t="n">
        <v>1500</v>
      </c>
      <c r="J2540" s="5" t="n">
        <v>148.3</v>
      </c>
      <c r="K2540" s="3" t="inlineStr">
        <is>
          <t>6차선 도로접,위치 좋은 근생부지, 서비스센터부지 추천 ,</t>
        </is>
      </c>
      <c r="L2540" s="6">
        <f>HYPERLINK("https://fin.land.naver.com/articles/2652752326", "매물Link")</f>
        <v/>
      </c>
      <c r="M2540" s="6">
        <f>HYPERLINK("https://map.naver.com/p/search/장군면 은용리 82", "지도Link")</f>
        <v/>
      </c>
      <c r="N2540" s="6">
        <f>HYPERLINK("http://www.eum.go.kr/web/ar/lu/luLandDet.jsp?pnu=3611035027100820000&amp;isNoScr=script&amp;mode=search", "토지이음")</f>
        <v/>
      </c>
      <c r="O2540" s="3" t="inlineStr">
        <is>
          <t>담뜰</t>
        </is>
      </c>
      <c r="P2540" s="4" t="n">
        <v>2</v>
      </c>
      <c r="Q2540" s="4" t="n">
        <v>1991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장군면 은용리 9-4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115000</v>
      </c>
      <c r="G2541" s="4" t="n">
        <v>2990</v>
      </c>
      <c r="H2541" s="4" t="n">
        <v>904</v>
      </c>
      <c r="I2541" s="5" t="n">
        <v>127.2</v>
      </c>
      <c r="J2541" s="5" t="n">
        <v>55.8</v>
      </c>
      <c r="K2541" s="3" t="inlineStr">
        <is>
          <t>향후 지가 상승 기대 대토용 토지 모든 조건 맞춰드립니다</t>
        </is>
      </c>
      <c r="L2541" s="6">
        <f>HYPERLINK("https://fin.land.naver.com/articles/2654678612", "매물Link")</f>
        <v/>
      </c>
      <c r="M2541" s="6">
        <f>HYPERLINK("https://map.naver.com/p/search/장군면 은용리 9-4", "지도Link")</f>
        <v/>
      </c>
      <c r="N2541" s="6">
        <f>HYPERLINK("http://www.eum.go.kr/web/ar/lu/luLandDet.jsp?pnu=3611035027100090004&amp;isNoScr=script&amp;mode=search", "토지이음")</f>
        <v/>
      </c>
      <c r="O2541" s="3" t="inlineStr">
        <is>
          <t>세종공주원탑</t>
        </is>
      </c>
      <c r="P2541" s="4" t="n">
        <v>1</v>
      </c>
      <c r="Q2541" s="4" t="n">
        <v>2990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은용리 90-1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62800</v>
      </c>
      <c r="G2542" s="4" t="n">
        <v>519</v>
      </c>
      <c r="H2542" s="4" t="n">
        <v>157</v>
      </c>
      <c r="I2542" s="5" t="n">
        <v>400</v>
      </c>
      <c r="J2542" s="5" t="n">
        <v>116.8</v>
      </c>
      <c r="K2542" s="3" t="inlineStr">
        <is>
          <t>가격조율 가능, 지대 높은 전원주택지로 추천, 전원주택과 마을 회관 근접</t>
        </is>
      </c>
      <c r="L2542" s="6">
        <f>HYPERLINK("https://fin.land.naver.com/articles/2651993423", "매물Link")</f>
        <v/>
      </c>
      <c r="M2542" s="6">
        <f>HYPERLINK("https://map.naver.com/p/search/장군면 은용리 90-1", "지도Link")</f>
        <v/>
      </c>
      <c r="N2542" s="6">
        <f>HYPERLINK("http://www.eum.go.kr/web/ar/lu/luLandDet.jsp?pnu=3611035027100900001&amp;isNoScr=script&amp;mode=search", "토지이음")</f>
        <v/>
      </c>
      <c r="O2542" s="3" t="inlineStr">
        <is>
          <t>담뜰</t>
        </is>
      </c>
      <c r="P2542" s="4" t="n">
        <v>1</v>
      </c>
      <c r="Q2542" s="4" t="n">
        <v>519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세로한면(불)</t>
        </is>
      </c>
    </row>
    <row r="2543">
      <c r="A2543" s="3" t="inlineStr">
        <is>
          <t>장군면 태산리 122-2</t>
        </is>
      </c>
      <c r="B2543" s="3" t="inlineStr">
        <is>
          <t>생산관리지역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31000</v>
      </c>
      <c r="G2543" s="4" t="n">
        <v>760</v>
      </c>
      <c r="H2543" s="4" t="n">
        <v>230</v>
      </c>
      <c r="I2543" s="5" t="n">
        <v>134.8</v>
      </c>
      <c r="J2543" s="5" t="n">
        <v>27.5</v>
      </c>
      <c r="K2543" s="3" t="inlineStr">
        <is>
          <t>세종서울고속도로IC 및 세종산단인근 최대한조율 해드릴께요</t>
        </is>
      </c>
      <c r="L2543" s="6">
        <f>HYPERLINK("https://fin.land.naver.com/articles/2652293624", "매물Link")</f>
        <v/>
      </c>
      <c r="M2543" s="6">
        <f>HYPERLINK("https://map.naver.com/p/search/장군면 태산리 122-2", "지도Link")</f>
        <v/>
      </c>
      <c r="N2543" s="6">
        <f>HYPERLINK("http://www.eum.go.kr/web/ar/lu/luLandDet.jsp?pnu=3611035034101220002&amp;isNoScr=script&amp;mode=search", "토지이음")</f>
        <v/>
      </c>
      <c r="O2543" s="3" t="inlineStr">
        <is>
          <t>세종강남</t>
        </is>
      </c>
      <c r="P2543" s="4" t="n">
        <v>1</v>
      </c>
      <c r="Q2543" s="4" t="n">
        <v>760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태산리 188-66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20000</v>
      </c>
      <c r="G2544" s="4" t="n">
        <v>577</v>
      </c>
      <c r="H2544" s="4" t="n">
        <v>175</v>
      </c>
      <c r="I2544" s="5" t="n">
        <v>114.3</v>
      </c>
      <c r="J2544" s="5" t="n">
        <v>101</v>
      </c>
      <c r="K2544" s="3" t="inlineStr">
        <is>
          <t>장군면 태산리  대지 및 임야보전관리 577㎡</t>
        </is>
      </c>
      <c r="L2544" s="6">
        <f>HYPERLINK("https://fin.land.naver.com/articles/2655226290", "매물Link")</f>
        <v/>
      </c>
      <c r="M2544" s="6">
        <f>HYPERLINK("https://map.naver.com/p/search/장군면 태산리 188-66", "지도Link")</f>
        <v/>
      </c>
      <c r="N2544" s="6">
        <f>HYPERLINK("http://www.eum.go.kr/web/ar/lu/luLandDet.jsp?pnu=3611035034101880066&amp;isNoScr=script&amp;mode=search", "토지이음")</f>
        <v/>
      </c>
      <c r="O2544" s="3" t="inlineStr">
        <is>
          <t>반곡열린</t>
        </is>
      </c>
      <c r="P2544" s="4" t="n">
        <v>1</v>
      </c>
      <c r="Q2544" s="4" t="n">
        <v>464</v>
      </c>
      <c r="R2544" s="3" t="inlineStr">
        <is>
          <t>지정되지않음</t>
        </is>
      </c>
      <c r="S2544" s="3" t="inlineStr">
        <is>
          <t>주거나지</t>
        </is>
      </c>
      <c r="T2544" s="3" t="inlineStr">
        <is>
          <t>완경사</t>
        </is>
      </c>
      <c r="U2544" s="3" t="inlineStr">
        <is>
          <t>사다리형</t>
        </is>
      </c>
      <c r="V2544" s="3" t="inlineStr">
        <is>
          <t>세로한면(가)</t>
        </is>
      </c>
    </row>
    <row r="2545">
      <c r="A2545" s="3" t="inlineStr">
        <is>
          <t>장군면 태산리 324-9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41000</v>
      </c>
      <c r="G2545" s="4" t="n">
        <v>2254</v>
      </c>
      <c r="H2545" s="4" t="n">
        <v>682</v>
      </c>
      <c r="I2545" s="5" t="n">
        <v>60.1</v>
      </c>
      <c r="J2545" s="5" t="n">
        <v>22.4</v>
      </c>
      <c r="K2545" s="3" t="inlineStr">
        <is>
          <t>세종신도시 인접한 농지 도로접근용이</t>
        </is>
      </c>
      <c r="L2545" s="6">
        <f>HYPERLINK("https://fin.land.naver.com/articles/2654543541", "매물Link")</f>
        <v/>
      </c>
      <c r="M2545" s="6">
        <f>HYPERLINK("https://map.naver.com/p/search/장군면 태산리 324-9", "지도Link")</f>
        <v/>
      </c>
      <c r="N2545" s="6">
        <f>HYPERLINK("http://www.eum.go.kr/web/ar/lu/luLandDet.jsp?pnu=3611035034103240009&amp;isNoScr=script&amp;mode=search", "토지이음")</f>
        <v/>
      </c>
      <c r="O2545" s="3" t="inlineStr">
        <is>
          <t>포스코</t>
        </is>
      </c>
      <c r="P2545" s="4" t="n">
        <v>2</v>
      </c>
      <c r="Q2545" s="4" t="n">
        <v>2254.4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태산리 324-9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34100</v>
      </c>
      <c r="G2546" s="4" t="n">
        <v>2188</v>
      </c>
      <c r="H2546" s="4" t="n">
        <v>662</v>
      </c>
      <c r="I2546" s="5" t="n">
        <v>51.5</v>
      </c>
      <c r="J2546" s="5" t="n">
        <v>22.4</v>
      </c>
      <c r="K2546" s="3" t="inlineStr">
        <is>
          <t>세종 장군면 평탄 농지, 영농·시설하우스 검토 추천</t>
        </is>
      </c>
      <c r="L2546" s="6">
        <f>HYPERLINK("https://fin.land.naver.com/articles/2655432030", "매물Link")</f>
        <v/>
      </c>
      <c r="M2546" s="6">
        <f>HYPERLINK("https://map.naver.com/p/search/장군면 태산리 324-9", "지도Link")</f>
        <v/>
      </c>
      <c r="N2546" s="6">
        <f>HYPERLINK("http://www.eum.go.kr/web/ar/lu/luLandDet.jsp?pnu=3611035034103240009&amp;isNoScr=script&amp;mode=search", "토지이음")</f>
        <v/>
      </c>
      <c r="O2546" s="3" t="inlineStr">
        <is>
          <t>세종소담황금</t>
        </is>
      </c>
      <c r="P2546" s="4" t="n">
        <v>1</v>
      </c>
      <c r="Q2546" s="4" t="n">
        <v>2254.4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태산리 350-5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119800</v>
      </c>
      <c r="G2547" s="4" t="n">
        <v>3960</v>
      </c>
      <c r="H2547" s="4" t="n">
        <v>1198</v>
      </c>
      <c r="I2547" s="5" t="n">
        <v>100</v>
      </c>
      <c r="J2547" s="5" t="n">
        <v>36.5</v>
      </c>
      <c r="K2547" s="3" t="inlineStr">
        <is>
          <t>의랑초등학교 인근 답 매매 2필지</t>
        </is>
      </c>
      <c r="L2547" s="6">
        <f>HYPERLINK("https://fin.land.naver.com/articles/2652022434", "매물Link")</f>
        <v/>
      </c>
      <c r="M2547" s="6">
        <f>HYPERLINK("https://map.naver.com/p/search/장군면 태산리 350-5", "지도Link")</f>
        <v/>
      </c>
      <c r="N2547" s="6">
        <f>HYPERLINK("http://www.eum.go.kr/web/ar/lu/luLandDet.jsp?pnu=3611035034103500005&amp;isNoScr=script&amp;mode=search", "토지이음")</f>
        <v/>
      </c>
      <c r="O2547" s="3" t="inlineStr">
        <is>
          <t>장승배기</t>
        </is>
      </c>
      <c r="P2547" s="4" t="n">
        <v>1</v>
      </c>
      <c r="Q2547" s="4" t="n">
        <v>1911.6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세로장방</t>
        </is>
      </c>
      <c r="V2547" s="3" t="inlineStr">
        <is>
          <t>세로한면(가)</t>
        </is>
      </c>
    </row>
    <row r="2548">
      <c r="A2548" s="3" t="inlineStr">
        <is>
          <t>장군면 태산리 59-1</t>
        </is>
      </c>
      <c r="B2548" s="3" t="inlineStr">
        <is>
          <t>계획관리지역</t>
        </is>
      </c>
      <c r="C2548" s="3" t="inlineStr">
        <is>
          <t>대</t>
        </is>
      </c>
      <c r="D2548" s="3" t="inlineStr">
        <is>
          <t>대</t>
        </is>
      </c>
      <c r="E2548" s="3" t="inlineStr">
        <is>
          <t>매매</t>
        </is>
      </c>
      <c r="F2548" s="4" t="n">
        <v>47000</v>
      </c>
      <c r="G2548" s="4" t="n">
        <v>1715</v>
      </c>
      <c r="H2548" s="4" t="n">
        <v>519</v>
      </c>
      <c r="I2548" s="5" t="n">
        <v>90.59999999999999</v>
      </c>
      <c r="J2548" s="5" t="n">
        <v>34.1</v>
      </c>
      <c r="K2548" s="3" t="inlineStr">
        <is>
          <t>창고, 유실수등 관리 잘 된 토지 매매</t>
        </is>
      </c>
      <c r="L2548" s="6">
        <f>HYPERLINK("https://fin.land.naver.com/articles/2654379919", "매물Link")</f>
        <v/>
      </c>
      <c r="M2548" s="6">
        <f>HYPERLINK("https://map.naver.com/p/search/장군면 태산리 59-1", "지도Link")</f>
        <v/>
      </c>
      <c r="N2548" s="6">
        <f>HYPERLINK("http://www.eum.go.kr/web/ar/lu/luLandDet.jsp?pnu=3611035034100590001&amp;isNoScr=script&amp;mode=search", "토지이음")</f>
        <v/>
      </c>
      <c r="O2548" s="3" t="inlineStr">
        <is>
          <t>수자인시티</t>
        </is>
      </c>
      <c r="P2548" s="4" t="n">
        <v>1</v>
      </c>
      <c r="Q2548" s="4" t="n">
        <v>526</v>
      </c>
      <c r="R2548" s="3" t="inlineStr">
        <is>
          <t>지정되지않음</t>
        </is>
      </c>
      <c r="S2548" s="3" t="inlineStr">
        <is>
          <t>단독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태산리 80</t>
        </is>
      </c>
      <c r="B2549" s="3" t="inlineStr">
        <is>
          <t>생산관리지역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28200</v>
      </c>
      <c r="G2549" s="4" t="n">
        <v>932</v>
      </c>
      <c r="H2549" s="4" t="n">
        <v>282</v>
      </c>
      <c r="I2549" s="5" t="n">
        <v>100</v>
      </c>
      <c r="J2549" s="5" t="n">
        <v>19.7</v>
      </c>
      <c r="K2549" s="3" t="inlineStr">
        <is>
          <t>고속도로ic인근 반듯한 조경수식재중인 생산관리 전</t>
        </is>
      </c>
      <c r="L2549" s="6">
        <f>HYPERLINK("https://fin.land.naver.com/articles/2653833907", "매물Link")</f>
        <v/>
      </c>
      <c r="M2549" s="6">
        <f>HYPERLINK("https://map.naver.com/p/search/장군면 태산리 80", "지도Link")</f>
        <v/>
      </c>
      <c r="N2549" s="6">
        <f>HYPERLINK("http://www.eum.go.kr/web/ar/lu/luLandDet.jsp?pnu=3611035034100800000&amp;isNoScr=script&amp;mode=search", "토지이음")</f>
        <v/>
      </c>
      <c r="O2549" s="3" t="inlineStr">
        <is>
          <t>KB</t>
        </is>
      </c>
      <c r="P2549" s="4" t="n">
        <v>1</v>
      </c>
      <c r="Q2549" s="4" t="n">
        <v>932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평기리 106-12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130000</v>
      </c>
      <c r="G2550" s="4" t="n">
        <v>2680</v>
      </c>
      <c r="H2550" s="4" t="n">
        <v>811</v>
      </c>
      <c r="I2550" s="5" t="n">
        <v>160.3</v>
      </c>
      <c r="J2550" s="5" t="n">
        <v>38</v>
      </c>
      <c r="K2550" s="3" t="inlineStr">
        <is>
          <t>2차선 지방도에 접해있고 주택 건축이 가능한 농림지역, 인근 리조트 건설</t>
        </is>
      </c>
      <c r="L2550" s="6">
        <f>HYPERLINK("https://fin.land.naver.com/articles/2655656623", "매물Link")</f>
        <v/>
      </c>
      <c r="M2550" s="6">
        <f>HYPERLINK("https://map.naver.com/p/search/장군면 평기리 106-12", "지도Link")</f>
        <v/>
      </c>
      <c r="N2550" s="6">
        <f>HYPERLINK("http://www.eum.go.kr/web/ar/lu/luLandDet.jsp?pnu=3611035022101060012&amp;isNoScr=script&amp;mode=search", "토지이음")</f>
        <v/>
      </c>
      <c r="O2550" s="3" t="inlineStr">
        <is>
          <t>온뜰</t>
        </is>
      </c>
      <c r="P2550" s="4" t="n">
        <v>1</v>
      </c>
      <c r="Q2550" s="4" t="n">
        <v>2680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평기리 106-12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130000</v>
      </c>
      <c r="G2551" s="4" t="n">
        <v>2680</v>
      </c>
      <c r="H2551" s="4" t="n">
        <v>811</v>
      </c>
      <c r="I2551" s="5" t="n">
        <v>160.3</v>
      </c>
      <c r="J2551" s="5" t="n">
        <v>38</v>
      </c>
      <c r="K2551" s="3" t="inlineStr">
        <is>
          <t>급매, 농가주택 가능,  대토용, 투자용</t>
        </is>
      </c>
      <c r="L2551" s="6">
        <f>HYPERLINK("https://fin.land.naver.com/articles/2652663278", "매물Link")</f>
        <v/>
      </c>
      <c r="M2551" s="6">
        <f>HYPERLINK("https://map.naver.com/p/search/장군면 평기리 106-12", "지도Link")</f>
        <v/>
      </c>
      <c r="N2551" s="6">
        <f>HYPERLINK("http://www.eum.go.kr/web/ar/lu/luLandDet.jsp?pnu=3611035022101060012&amp;isNoScr=script&amp;mode=search", "토지이음")</f>
        <v/>
      </c>
      <c r="O2551" s="3" t="inlineStr">
        <is>
          <t>고운동리치세종</t>
        </is>
      </c>
      <c r="P2551" s="4" t="n">
        <v>1</v>
      </c>
      <c r="Q2551" s="4" t="n">
        <v>2680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평기리 130-2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68000</v>
      </c>
      <c r="G2552" s="4" t="n">
        <v>1488</v>
      </c>
      <c r="H2552" s="4" t="n">
        <v>450</v>
      </c>
      <c r="I2552" s="5" t="n">
        <v>151.1</v>
      </c>
      <c r="J2552" s="5" t="n">
        <v>53.8</v>
      </c>
      <c r="K2552" s="3" t="inlineStr">
        <is>
          <t>장군면 평기리 계획관리지역</t>
        </is>
      </c>
      <c r="L2552" s="6">
        <f>HYPERLINK("https://fin.land.naver.com/articles/2650234182", "매물Link")</f>
        <v/>
      </c>
      <c r="M2552" s="6">
        <f>HYPERLINK("https://map.naver.com/p/search/장군면 평기리 130-2", "지도Link")</f>
        <v/>
      </c>
      <c r="N2552" s="6">
        <f>HYPERLINK("http://www.eum.go.kr/web/ar/lu/luLandDet.jsp?pnu=3611035022101300002&amp;isNoScr=script&amp;mode=search",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1488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평기리 14</t>
        </is>
      </c>
      <c r="B2553" s="3" t="inlineStr">
        <is>
          <t>계획관리지역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월세</t>
        </is>
      </c>
      <c r="F2553" s="4" t="n">
        <v>5000</v>
      </c>
      <c r="G2553" s="4" t="n">
        <v>3025</v>
      </c>
      <c r="H2553" s="4" t="n">
        <v>915</v>
      </c>
      <c r="I2553" s="5" t="n">
        <v>0.2</v>
      </c>
      <c r="J2553" s="5" t="n">
        <v>75.8</v>
      </c>
      <c r="K2553" s="3" t="inlineStr">
        <is>
          <t>nan</t>
        </is>
      </c>
      <c r="L2553" s="6">
        <f>HYPERLINK("https://fin.land.naver.com/articles/2652409130", "매물Link")</f>
        <v/>
      </c>
      <c r="M2553" s="6">
        <f>HYPERLINK("https://map.naver.com/p/search/장군면 평기리 14", "지도Link")</f>
        <v/>
      </c>
      <c r="N2553" s="6">
        <f>HYPERLINK("http://www.eum.go.kr/web/ar/lu/luLandDet.jsp?pnu=3611035022100140000&amp;isNoScr=script&amp;mode=search", "토지이음")</f>
        <v/>
      </c>
      <c r="O2553" s="3" t="inlineStr">
        <is>
          <t>세종공주제일</t>
        </is>
      </c>
      <c r="P2553" s="4" t="n">
        <v>1</v>
      </c>
      <c r="Q2553" s="4" t="n">
        <v>520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평기리 18-7</t>
        </is>
      </c>
      <c r="B2554" s="3" t="inlineStr">
        <is>
          <t>보전관리지역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102000</v>
      </c>
      <c r="G2554" s="4" t="n">
        <v>2248</v>
      </c>
      <c r="H2554" s="4" t="n">
        <v>680</v>
      </c>
      <c r="I2554" s="5" t="n">
        <v>150</v>
      </c>
      <c r="J2554" s="5" t="n">
        <v>38.5</v>
      </c>
      <c r="K2554" s="3" t="inlineStr">
        <is>
          <t>2차선접, 공장 상업용지</t>
        </is>
      </c>
      <c r="L2554" s="6">
        <f>HYPERLINK("https://fin.land.naver.com/articles/2652726320", "매물Link")</f>
        <v/>
      </c>
      <c r="M2554" s="6">
        <f>HYPERLINK("https://map.naver.com/p/search/장군면 평기리 18-7", "지도Link")</f>
        <v/>
      </c>
      <c r="N2554" s="6">
        <f>HYPERLINK("http://www.eum.go.kr/web/ar/lu/luLandDet.jsp?pnu=3611035022100180007&amp;isNoScr=script&amp;mode=search", "토지이음")</f>
        <v/>
      </c>
      <c r="O2554" s="3" t="inlineStr">
        <is>
          <t>대박</t>
        </is>
      </c>
      <c r="P2554" s="4" t="n">
        <v>1</v>
      </c>
      <c r="Q2554" s="4" t="n">
        <v>2248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자루형</t>
        </is>
      </c>
      <c r="V2554" s="3" t="inlineStr">
        <is>
          <t>세로한면(가)</t>
        </is>
      </c>
    </row>
    <row r="2555">
      <c r="A2555" s="3" t="inlineStr">
        <is>
          <t>장군면 평기리 203-1</t>
        </is>
      </c>
      <c r="B2555" s="3" t="inlineStr">
        <is>
          <t>농림지역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100000</v>
      </c>
      <c r="G2555" s="4" t="n">
        <v>3319</v>
      </c>
      <c r="H2555" s="4" t="n">
        <v>1004</v>
      </c>
      <c r="I2555" s="5" t="n">
        <v>99.59999999999999</v>
      </c>
      <c r="J2555" s="5" t="n">
        <v>38.8</v>
      </c>
      <c r="K2555" s="3" t="inlineStr">
        <is>
          <t>대로변근접, 투자용, 대토용</t>
        </is>
      </c>
      <c r="L2555" s="6">
        <f>HYPERLINK("https://fin.land.naver.com/articles/2654626253", "매물Link")</f>
        <v/>
      </c>
      <c r="M2555" s="6">
        <f>HYPERLINK("https://map.naver.com/p/search/장군면 평기리 203-1", "지도Link")</f>
        <v/>
      </c>
      <c r="N2555" s="6">
        <f>HYPERLINK("http://www.eum.go.kr/web/ar/lu/luLandDet.jsp?pnu=3611035022102030001&amp;isNoScr=script&amp;mode=search", "토지이음")</f>
        <v/>
      </c>
      <c r="O2555" s="3" t="inlineStr">
        <is>
          <t>고운동리치세종</t>
        </is>
      </c>
      <c r="P2555" s="4" t="n">
        <v>1</v>
      </c>
      <c r="Q2555" s="4" t="n">
        <v>3319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평기리 204-2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93000</v>
      </c>
      <c r="G2556" s="4" t="n">
        <v>3015</v>
      </c>
      <c r="H2556" s="4" t="n">
        <v>912</v>
      </c>
      <c r="I2556" s="5" t="n">
        <v>102</v>
      </c>
      <c r="J2556" s="5" t="n">
        <v>38.8</v>
      </c>
      <c r="K2556" s="3" t="inlineStr">
        <is>
          <t>투자용추천,지목 답</t>
        </is>
      </c>
      <c r="L2556" s="6">
        <f>HYPERLINK("https://fin.land.naver.com/articles/2654533289", "매물Link")</f>
        <v/>
      </c>
      <c r="M2556" s="6">
        <f>HYPERLINK("https://map.naver.com/p/search/장군면 평기리 204-2", "지도Link")</f>
        <v/>
      </c>
      <c r="N2556" s="6">
        <f>HYPERLINK("http://www.eum.go.kr/web/ar/lu/luLandDet.jsp?pnu=3611035022102040002&amp;isNoScr=script&amp;mode=search", "토지이음")</f>
        <v/>
      </c>
      <c r="O2556" s="3" t="inlineStr">
        <is>
          <t>다산</t>
        </is>
      </c>
      <c r="P2556" s="4" t="n">
        <v>1</v>
      </c>
      <c r="Q2556" s="4" t="n">
        <v>3015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평기리 214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30000</v>
      </c>
      <c r="G2557" s="4" t="n">
        <v>219</v>
      </c>
      <c r="H2557" s="4" t="n">
        <v>66</v>
      </c>
      <c r="I2557" s="5" t="n">
        <v>454.5</v>
      </c>
      <c r="J2557" s="5" t="n">
        <v>105.8</v>
      </c>
      <c r="K2557" s="3" t="inlineStr">
        <is>
          <t>장군면 평기리 2차선변 계획관리 토지, 신도시 인근, 장군면소재지, 건축</t>
        </is>
      </c>
      <c r="L2557" s="6">
        <f>HYPERLINK("https://fin.land.naver.com/articles/2654029661", "매물Link")</f>
        <v/>
      </c>
      <c r="M2557" s="6">
        <f>HYPERLINK("https://map.naver.com/p/search/장군면 평기리 214", "지도Link")</f>
        <v/>
      </c>
      <c r="N2557" s="6">
        <f>HYPERLINK("http://www.eum.go.kr/web/ar/lu/luLandDet.jsp?pnu=3611035022102140000&amp;isNoScr=script&amp;mode=search", "토지이음")</f>
        <v/>
      </c>
      <c r="O2557" s="3" t="inlineStr">
        <is>
          <t>스카이</t>
        </is>
      </c>
      <c r="P2557" s="4" t="n">
        <v>1</v>
      </c>
      <c r="Q2557" s="4" t="n">
        <v>219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소로한면</t>
        </is>
      </c>
    </row>
    <row r="2558">
      <c r="A2558" s="3" t="inlineStr">
        <is>
          <t>장군면 평기리 214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전</t>
        </is>
      </c>
      <c r="E2558" s="3" t="inlineStr">
        <is>
          <t>매매</t>
        </is>
      </c>
      <c r="F2558" s="4" t="n">
        <v>33000</v>
      </c>
      <c r="G2558" s="4" t="n">
        <v>219</v>
      </c>
      <c r="H2558" s="4" t="n">
        <v>66</v>
      </c>
      <c r="I2558" s="5" t="n">
        <v>500</v>
      </c>
      <c r="J2558" s="5" t="n">
        <v>105.8</v>
      </c>
      <c r="K2558" s="3" t="inlineStr">
        <is>
          <t>2차선도로접,세종시근접,단독주택부지,근생부지로 추천</t>
        </is>
      </c>
      <c r="L2558" s="6">
        <f>HYPERLINK("https://fin.land.naver.com/articles/2651053830", "매물Link")</f>
        <v/>
      </c>
      <c r="M2558" s="6">
        <f>HYPERLINK("https://map.naver.com/p/search/장군면 평기리 214", "지도Link")</f>
        <v/>
      </c>
      <c r="N2558" s="6">
        <f>HYPERLINK("http://www.eum.go.kr/web/ar/lu/luLandDet.jsp?pnu=3611035022102140000&amp;isNoScr=script&amp;mode=search",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219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소로한면</t>
        </is>
      </c>
    </row>
    <row r="2559">
      <c r="A2559" s="3" t="inlineStr">
        <is>
          <t>장군면 평기리 214-1</t>
        </is>
      </c>
      <c r="B2559" s="3" t="inlineStr">
        <is>
          <t>계획관리지역</t>
        </is>
      </c>
      <c r="C2559" s="3" t="inlineStr">
        <is>
          <t>답</t>
        </is>
      </c>
      <c r="D2559" s="3" t="inlineStr">
        <is>
          <t>전</t>
        </is>
      </c>
      <c r="E2559" s="3" t="inlineStr">
        <is>
          <t>매매</t>
        </is>
      </c>
      <c r="F2559" s="4" t="n">
        <v>320000</v>
      </c>
      <c r="G2559" s="4" t="n">
        <v>2358</v>
      </c>
      <c r="H2559" s="4" t="n">
        <v>713</v>
      </c>
      <c r="I2559" s="5" t="n">
        <v>448.8</v>
      </c>
      <c r="J2559" s="5" t="n">
        <v>107.9</v>
      </c>
      <c r="K2559" s="3" t="inlineStr">
        <is>
          <t>장군면 평기리 2차선변 계획관리 토지, 신도시 인근, 장군면소재지, 건축</t>
        </is>
      </c>
      <c r="L2559" s="6">
        <f>HYPERLINK("https://fin.land.naver.com/articles/2654029786", "매물Link")</f>
        <v/>
      </c>
      <c r="M2559" s="6">
        <f>HYPERLINK("https://map.naver.com/p/search/장군면 평기리 214-1", "지도Link")</f>
        <v/>
      </c>
      <c r="N2559" s="6">
        <f>HYPERLINK("http://www.eum.go.kr/web/ar/lu/luLandDet.jsp?pnu=3611035022102140001&amp;isNoScr=script&amp;mode=search", "토지이음")</f>
        <v/>
      </c>
      <c r="O2559" s="3" t="inlineStr">
        <is>
          <t>스카이</t>
        </is>
      </c>
      <c r="P2559" s="4" t="n">
        <v>1</v>
      </c>
      <c r="Q2559" s="4" t="n">
        <v>662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소로각지</t>
        </is>
      </c>
    </row>
    <row r="2560">
      <c r="A2560" s="3" t="inlineStr">
        <is>
          <t>장군면 평기리 217-4</t>
        </is>
      </c>
      <c r="B2560" s="3" t="inlineStr">
        <is>
          <t>계획관리지역</t>
        </is>
      </c>
      <c r="C2560" s="3" t="inlineStr">
        <is>
          <t>대</t>
        </is>
      </c>
      <c r="D2560" s="3" t="inlineStr">
        <is>
          <t>대</t>
        </is>
      </c>
      <c r="E2560" s="3" t="inlineStr">
        <is>
          <t>매매</t>
        </is>
      </c>
      <c r="F2560" s="4" t="n">
        <v>23100</v>
      </c>
      <c r="G2560" s="4" t="n">
        <v>510</v>
      </c>
      <c r="H2560" s="4" t="n">
        <v>154</v>
      </c>
      <c r="I2560" s="5" t="n">
        <v>150</v>
      </c>
      <c r="J2560" s="5" t="n">
        <v>108.7</v>
      </c>
      <c r="K2560" s="3" t="inlineStr">
        <is>
          <t>장군면 저렴한 주택 대지</t>
        </is>
      </c>
      <c r="L2560" s="6">
        <f>HYPERLINK("https://fin.land.naver.com/articles/2651908117", "매물Link")</f>
        <v/>
      </c>
      <c r="M2560" s="6">
        <f>HYPERLINK("https://map.naver.com/p/search/장군면 평기리 217-4", "지도Link")</f>
        <v/>
      </c>
      <c r="N2560" s="6">
        <f>HYPERLINK("http://www.eum.go.kr/web/ar/lu/luLandDet.jsp?pnu=3611035022102170004&amp;isNoScr=script&amp;mode=search", "토지이음")</f>
        <v/>
      </c>
      <c r="O2560" s="3" t="inlineStr">
        <is>
          <t>강아지풀</t>
        </is>
      </c>
      <c r="P2560" s="4" t="n">
        <v>1</v>
      </c>
      <c r="Q2560" s="4" t="n">
        <v>510</v>
      </c>
      <c r="R2560" s="3" t="inlineStr">
        <is>
          <t>지정되지않음</t>
        </is>
      </c>
      <c r="S2560" s="3" t="inlineStr">
        <is>
          <t>단독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평기리 219-1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50000</v>
      </c>
      <c r="G2561" s="4" t="n">
        <v>824</v>
      </c>
      <c r="H2561" s="4" t="n">
        <v>249</v>
      </c>
      <c r="I2561" s="5" t="n">
        <v>200.8</v>
      </c>
      <c r="J2561" s="5" t="n">
        <v>67.5</v>
      </c>
      <c r="K2561" s="3" t="inlineStr">
        <is>
          <t>계획관리지역, 마을도로 접, 평기길에서 350m, 신도시 차량 10분</t>
        </is>
      </c>
      <c r="L2561" s="6">
        <f>HYPERLINK("https://fin.land.naver.com/articles/2651032302", "매물Link")</f>
        <v/>
      </c>
      <c r="M2561" s="6">
        <f>HYPERLINK("https://map.naver.com/p/search/장군면 평기리 219-1", "지도Link")</f>
        <v/>
      </c>
      <c r="N2561" s="6">
        <f>HYPERLINK("http://www.eum.go.kr/web/ar/lu/luLandDet.jsp?pnu=3611035022102190001&amp;isNoScr=script&amp;mode=search",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824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평기리 22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72500</v>
      </c>
      <c r="G2562" s="4" t="n">
        <v>687</v>
      </c>
      <c r="H2562" s="4" t="n">
        <v>208</v>
      </c>
      <c r="I2562" s="5" t="n">
        <v>348.6</v>
      </c>
      <c r="J2562" s="5" t="n">
        <v>82</v>
      </c>
      <c r="K2562" s="3" t="inlineStr">
        <is>
          <t>2차선변 진출입 용이,성장계획구역</t>
        </is>
      </c>
      <c r="L2562" s="6">
        <f>HYPERLINK("https://fin.land.naver.com/articles/2652408343", "매물Link")</f>
        <v/>
      </c>
      <c r="M2562" s="6">
        <f>HYPERLINK("https://map.naver.com/p/search/장군면 평기리 22", "지도Link")</f>
        <v/>
      </c>
      <c r="N2562" s="6">
        <f>HYPERLINK("http://www.eum.go.kr/web/ar/lu/luLandDet.jsp?pnu=3611035022100220000&amp;isNoScr=script&amp;mode=search", "토지이음")</f>
        <v/>
      </c>
      <c r="O2562" s="3" t="inlineStr">
        <is>
          <t>세종공주제일</t>
        </is>
      </c>
      <c r="P2562" s="4" t="n">
        <v>1</v>
      </c>
      <c r="Q2562" s="4" t="n">
        <v>608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소로한면</t>
        </is>
      </c>
    </row>
    <row r="2563">
      <c r="A2563" s="3" t="inlineStr">
        <is>
          <t>장군면 평기리 22</t>
        </is>
      </c>
      <c r="B2563" s="3" t="inlineStr">
        <is>
          <t>계획관리지역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월세</t>
        </is>
      </c>
      <c r="F2563" s="4" t="n">
        <v>3000</v>
      </c>
      <c r="G2563" s="4" t="n">
        <v>687</v>
      </c>
      <c r="H2563" s="4" t="n">
        <v>208</v>
      </c>
      <c r="I2563" s="5" t="n">
        <v>0.5</v>
      </c>
      <c r="J2563" s="5" t="n">
        <v>82</v>
      </c>
      <c r="K2563" s="3" t="inlineStr">
        <is>
          <t>2차선변 진출입 용이, 하천부지 추가사용가능</t>
        </is>
      </c>
      <c r="L2563" s="6">
        <f>HYPERLINK("https://fin.land.naver.com/articles/2652408710", "매물Link")</f>
        <v/>
      </c>
      <c r="M2563" s="6">
        <f>HYPERLINK("https://map.naver.com/p/search/장군면 평기리 22", "지도Link")</f>
        <v/>
      </c>
      <c r="N2563" s="6">
        <f>HYPERLINK("http://www.eum.go.kr/web/ar/lu/luLandDet.jsp?pnu=3611035022100220000&amp;isNoScr=script&amp;mode=search", "토지이음")</f>
        <v/>
      </c>
      <c r="O2563" s="3" t="inlineStr">
        <is>
          <t>세종공주제일</t>
        </is>
      </c>
      <c r="P2563" s="4" t="n">
        <v>1</v>
      </c>
      <c r="Q2563" s="4" t="n">
        <v>608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장군면 평기리 220-3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42000</v>
      </c>
      <c r="G2564" s="4" t="n">
        <v>2020</v>
      </c>
      <c r="H2564" s="4" t="n">
        <v>611</v>
      </c>
      <c r="I2564" s="5" t="n">
        <v>68.7</v>
      </c>
      <c r="J2564" s="5" t="n">
        <v>56.8</v>
      </c>
      <c r="K2564" s="3" t="inlineStr">
        <is>
          <t>지적도상 구거에 접해있어 도로 개설 등 활용성 있는 계획관리 저렴 토지</t>
        </is>
      </c>
      <c r="L2564" s="6">
        <f>HYPERLINK("https://fin.land.naver.com/articles/2653568897", "매물Link")</f>
        <v/>
      </c>
      <c r="M2564" s="6">
        <f>HYPERLINK("https://map.naver.com/p/search/장군면 평기리 220-3", "지도Link")</f>
        <v/>
      </c>
      <c r="N2564" s="6">
        <f>HYPERLINK("http://www.eum.go.kr/web/ar/lu/luLandDet.jsp?pnu=3611035022102200003&amp;isNoScr=script&amp;mode=search", "토지이음")</f>
        <v/>
      </c>
      <c r="O2564" s="3" t="inlineStr">
        <is>
          <t>온뜰</t>
        </is>
      </c>
      <c r="P2564" s="4" t="n">
        <v>1</v>
      </c>
      <c r="Q2564" s="4" t="n">
        <v>2020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맹지</t>
        </is>
      </c>
    </row>
    <row r="2565">
      <c r="A2565" s="3" t="inlineStr">
        <is>
          <t>장군면 평기리 220-7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769000</v>
      </c>
      <c r="G2565" s="4" t="n">
        <v>10171</v>
      </c>
      <c r="H2565" s="4" t="n">
        <v>3077</v>
      </c>
      <c r="I2565" s="5" t="n">
        <v>249.9</v>
      </c>
      <c r="J2565" s="5" t="n">
        <v>71.7</v>
      </c>
      <c r="K2565" s="3" t="inlineStr">
        <is>
          <t>도로접 계획관리지역 조망권뷰 최상 다목적용도 가능,투자용 추천</t>
        </is>
      </c>
      <c r="L2565" s="6">
        <f>HYPERLINK("https://fin.land.naver.com/articles/2653220707", "매물Link")</f>
        <v/>
      </c>
      <c r="M2565" s="6">
        <f>HYPERLINK("https://map.naver.com/p/search/장군면 평기리 220-7", "지도Link")</f>
        <v/>
      </c>
      <c r="N2565" s="6">
        <f>HYPERLINK("http://www.eum.go.kr/web/ar/lu/luLandDet.jsp?pnu=3611035022102200007&amp;isNoScr=script&amp;mode=search",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10171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세로한면(가)</t>
        </is>
      </c>
    </row>
    <row r="2566">
      <c r="A2566" s="3" t="inlineStr">
        <is>
          <t>장군면 평기리 227-2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116300</v>
      </c>
      <c r="G2566" s="4" t="n">
        <v>2255</v>
      </c>
      <c r="H2566" s="4" t="n">
        <v>682</v>
      </c>
      <c r="I2566" s="5" t="n">
        <v>170.5</v>
      </c>
      <c r="J2566" s="5" t="n">
        <v>62</v>
      </c>
      <c r="K2566" s="3" t="inlineStr">
        <is>
          <t>장군면 귀한 계획관리 토지</t>
        </is>
      </c>
      <c r="L2566" s="6">
        <f>HYPERLINK("https://fin.land.naver.com/articles/2652261452", "매물Link")</f>
        <v/>
      </c>
      <c r="M2566" s="6">
        <f>HYPERLINK("https://map.naver.com/p/search/장군면 평기리 227-2", "지도Link")</f>
        <v/>
      </c>
      <c r="N2566" s="6">
        <f>HYPERLINK("http://www.eum.go.kr/web/ar/lu/luLandDet.jsp?pnu=3611035022102270002&amp;isNoScr=script&amp;mode=search", "토지이음")</f>
        <v/>
      </c>
      <c r="O2566" s="3" t="inlineStr">
        <is>
          <t>새땅</t>
        </is>
      </c>
      <c r="P2566" s="4" t="n">
        <v>1</v>
      </c>
      <c r="Q2566" s="4" t="n">
        <v>2255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장군면 평기리 288-36</t>
        </is>
      </c>
      <c r="B2567" s="3" t="inlineStr">
        <is>
          <t>보전관리지역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35000</v>
      </c>
      <c r="G2567" s="4" t="n">
        <v>423</v>
      </c>
      <c r="H2567" s="4" t="n">
        <v>128</v>
      </c>
      <c r="I2567" s="5" t="n">
        <v>273.4</v>
      </c>
      <c r="J2567" s="5" t="n">
        <v>128.2</v>
      </c>
      <c r="K2567" s="3" t="inlineStr">
        <is>
          <t>세종 장군면 평기리 단독주택 부지로 검토할 임야</t>
        </is>
      </c>
      <c r="L2567" s="6">
        <f>HYPERLINK("https://fin.land.naver.com/articles/2655682229", "매물Link")</f>
        <v/>
      </c>
      <c r="M2567" s="6">
        <f>HYPERLINK("https://map.naver.com/p/search/장군면 평기리 288-36", "지도Link")</f>
        <v/>
      </c>
      <c r="N2567" s="6">
        <f>HYPERLINK("http://www.eum.go.kr/web/ar/lu/luLandDet.jsp?pnu=3611035022102880036&amp;isNoScr=script&amp;mode=search", "토지이음")</f>
        <v/>
      </c>
      <c r="O2567" s="3" t="inlineStr">
        <is>
          <t>세종몽땅</t>
        </is>
      </c>
      <c r="P2567" s="4" t="n">
        <v>1</v>
      </c>
      <c r="Q2567" s="4" t="n">
        <v>423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완경사</t>
        </is>
      </c>
      <c r="U2567" s="3" t="inlineStr">
        <is>
          <t>정방형</t>
        </is>
      </c>
      <c r="V2567" s="3" t="inlineStr">
        <is>
          <t>세로한면(가)</t>
        </is>
      </c>
    </row>
    <row r="2568">
      <c r="A2568" s="3" t="inlineStr">
        <is>
          <t>장군면 평기리 288-39</t>
        </is>
      </c>
      <c r="B2568" s="3" t="inlineStr">
        <is>
          <t>보전관리지역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48000</v>
      </c>
      <c r="G2568" s="4" t="n">
        <v>513</v>
      </c>
      <c r="H2568" s="4" t="n">
        <v>155</v>
      </c>
      <c r="I2568" s="5" t="n">
        <v>309.7</v>
      </c>
      <c r="J2568" s="5" t="n">
        <v>128.2</v>
      </c>
      <c r="K2568" s="3" t="inlineStr">
        <is>
          <t>장군면 평기리 잘조성된 전원주택지</t>
        </is>
      </c>
      <c r="L2568" s="6">
        <f>HYPERLINK("https://fin.land.naver.com/articles/2651782102", "매물Link")</f>
        <v/>
      </c>
      <c r="M2568" s="6">
        <f>HYPERLINK("https://map.naver.com/p/search/장군면 평기리 288-39", "지도Link")</f>
        <v/>
      </c>
      <c r="N2568" s="6">
        <f>HYPERLINK("http://www.eum.go.kr/web/ar/lu/luLandDet.jsp?pnu=3611035022102880039&amp;isNoScr=script&amp;mode=search", "토지이음")</f>
        <v/>
      </c>
      <c r="O2568" s="3" t="inlineStr">
        <is>
          <t>세종천지</t>
        </is>
      </c>
      <c r="P2568" s="4" t="n">
        <v>1</v>
      </c>
      <c r="Q2568" s="4" t="n">
        <v>513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완경사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평기리 303-1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70000</v>
      </c>
      <c r="G2569" s="4" t="n">
        <v>2016</v>
      </c>
      <c r="H2569" s="4" t="n">
        <v>610</v>
      </c>
      <c r="I2569" s="5" t="n">
        <v>114.8</v>
      </c>
      <c r="J2569" s="5" t="n">
        <v>38</v>
      </c>
      <c r="K2569" s="3" t="inlineStr">
        <is>
          <t>투자용, 대토용, 가격조정가능</t>
        </is>
      </c>
      <c r="L2569" s="6">
        <f>HYPERLINK("https://fin.land.naver.com/articles/2654625682", "매물Link")</f>
        <v/>
      </c>
      <c r="M2569" s="6">
        <f>HYPERLINK("https://map.naver.com/p/search/장군면 평기리 303-1", "지도Link")</f>
        <v/>
      </c>
      <c r="N2569" s="6">
        <f>HYPERLINK("http://www.eum.go.kr/web/ar/lu/luLandDet.jsp?pnu=3611035022103030001&amp;isNoScr=script&amp;mode=search", "토지이음")</f>
        <v/>
      </c>
      <c r="O2569" s="3" t="inlineStr">
        <is>
          <t>고운동리치세종</t>
        </is>
      </c>
      <c r="P2569" s="4" t="n">
        <v>1</v>
      </c>
      <c r="Q2569" s="4" t="n">
        <v>2016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세로장방</t>
        </is>
      </c>
      <c r="V2569" s="3" t="inlineStr">
        <is>
          <t>세로한면(가)</t>
        </is>
      </c>
    </row>
    <row r="2570">
      <c r="A2570" s="3" t="inlineStr">
        <is>
          <t>장군면 평기리 353-62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86800</v>
      </c>
      <c r="G2570" s="4" t="n">
        <v>820</v>
      </c>
      <c r="H2570" s="4" t="n">
        <v>248</v>
      </c>
      <c r="I2570" s="5" t="n">
        <v>350</v>
      </c>
      <c r="J2570" s="5" t="n">
        <v>84.40000000000001</v>
      </c>
      <c r="K2570" s="3" t="inlineStr">
        <is>
          <t>2차선 도로 옆 계획관리지역</t>
        </is>
      </c>
      <c r="L2570" s="6">
        <f>HYPERLINK("https://fin.land.naver.com/articles/2652793865", "매물Link")</f>
        <v/>
      </c>
      <c r="M2570" s="6">
        <f>HYPERLINK("https://map.naver.com/p/search/장군면 평기리 353-62", "지도Link")</f>
        <v/>
      </c>
      <c r="N2570" s="6">
        <f>HYPERLINK("http://www.eum.go.kr/web/ar/lu/luLandDet.jsp?pnu=3611035022103530062&amp;isNoScr=script&amp;mode=search", "토지이음")</f>
        <v/>
      </c>
      <c r="O2570" s="3" t="inlineStr">
        <is>
          <t>강아지풀</t>
        </is>
      </c>
      <c r="P2570" s="4" t="n">
        <v>1</v>
      </c>
      <c r="Q2570" s="4" t="n">
        <v>820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사다리형</t>
        </is>
      </c>
      <c r="V2570" s="3" t="inlineStr">
        <is>
          <t>소로한면</t>
        </is>
      </c>
    </row>
    <row r="2571">
      <c r="A2571" s="3" t="inlineStr">
        <is>
          <t>장군면 평기리 353-65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61500</v>
      </c>
      <c r="G2571" s="4" t="n">
        <v>813</v>
      </c>
      <c r="H2571" s="4" t="n">
        <v>246</v>
      </c>
      <c r="I2571" s="5" t="n">
        <v>250</v>
      </c>
      <c r="J2571" s="5" t="n">
        <v>80.40000000000001</v>
      </c>
      <c r="K2571" s="3" t="inlineStr">
        <is>
          <t>세종IC 인근 평기리 2차선변 저렴한 계획관리 토지 매매</t>
        </is>
      </c>
      <c r="L2571" s="6">
        <f>HYPERLINK("https://fin.land.naver.com/articles/2653813161", "매물Link")</f>
        <v/>
      </c>
      <c r="M2571" s="6">
        <f>HYPERLINK("https://map.naver.com/p/search/장군면 평기리 353-65", "지도Link")</f>
        <v/>
      </c>
      <c r="N2571" s="6">
        <f>HYPERLINK("http://www.eum.go.kr/web/ar/lu/luLandDet.jsp?pnu=3611035022103530065&amp;isNoScr=script&amp;mode=search", "토지이음")</f>
        <v/>
      </c>
      <c r="O2571" s="3" t="inlineStr">
        <is>
          <t>뉴스카이</t>
        </is>
      </c>
      <c r="P2571" s="4" t="n">
        <v>1</v>
      </c>
      <c r="Q2571" s="4" t="n">
        <v>813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평기리 39</t>
        </is>
      </c>
      <c r="B2572" s="3" t="inlineStr">
        <is>
          <t>계획관리지역</t>
        </is>
      </c>
      <c r="C2572" s="3" t="inlineStr">
        <is>
          <t>대</t>
        </is>
      </c>
      <c r="D2572" s="3" t="inlineStr">
        <is>
          <t>대</t>
        </is>
      </c>
      <c r="E2572" s="3" t="inlineStr">
        <is>
          <t>매매</t>
        </is>
      </c>
      <c r="F2572" s="4" t="n">
        <v>72000</v>
      </c>
      <c r="G2572" s="4" t="n">
        <v>1320</v>
      </c>
      <c r="H2572" s="4" t="n">
        <v>399</v>
      </c>
      <c r="I2572" s="5" t="n">
        <v>180.5</v>
      </c>
      <c r="J2572" s="5" t="n">
        <v>73.59999999999999</v>
      </c>
      <c r="K2572" s="3" t="inlineStr">
        <is>
          <t>과수원과 대지 2필지입니다. 전원주택, 세컨하우스로 좋습니다</t>
        </is>
      </c>
      <c r="L2572" s="6">
        <f>HYPERLINK("https://fin.land.naver.com/articles/2652101499", "매물Link")</f>
        <v/>
      </c>
      <c r="M2572" s="6">
        <f>HYPERLINK("https://map.naver.com/p/search/장군면 평기리 39", "지도Link")</f>
        <v/>
      </c>
      <c r="N2572" s="6">
        <f>HYPERLINK("http://www.eum.go.kr/web/ar/lu/luLandDet.jsp?pnu=3611035022100390000&amp;isNoScr=script&amp;mode=search", "토지이음")</f>
        <v/>
      </c>
      <c r="O2572" s="3" t="inlineStr">
        <is>
          <t>미스터홈즈강남지사</t>
        </is>
      </c>
      <c r="P2572" s="4" t="n">
        <v>1</v>
      </c>
      <c r="Q2572" s="4" t="n">
        <v>610</v>
      </c>
      <c r="R2572" s="3" t="inlineStr">
        <is>
          <t>지정되지않음</t>
        </is>
      </c>
      <c r="S2572" s="3" t="inlineStr">
        <is>
          <t>단독</t>
        </is>
      </c>
      <c r="T2572" s="3" t="inlineStr">
        <is>
          <t>완경사</t>
        </is>
      </c>
      <c r="U2572" s="3" t="inlineStr">
        <is>
          <t>사다리형</t>
        </is>
      </c>
      <c r="V2572" s="3" t="inlineStr">
        <is>
          <t>세로한면(불)</t>
        </is>
      </c>
    </row>
    <row r="2573">
      <c r="A2573" s="3" t="inlineStr">
        <is>
          <t>장군면 평기리 39-6</t>
        </is>
      </c>
      <c r="B2573" s="3" t="inlineStr">
        <is>
          <t>계획관리지역</t>
        </is>
      </c>
      <c r="C2573" s="3" t="inlineStr">
        <is>
          <t>과수원</t>
        </is>
      </c>
      <c r="D2573" s="3" t="inlineStr">
        <is>
          <t>과수원</t>
        </is>
      </c>
      <c r="E2573" s="3" t="inlineStr">
        <is>
          <t>매매</t>
        </is>
      </c>
      <c r="F2573" s="4" t="n">
        <v>36000</v>
      </c>
      <c r="G2573" s="4" t="n">
        <v>710</v>
      </c>
      <c r="H2573" s="4" t="n">
        <v>215</v>
      </c>
      <c r="I2573" s="5" t="n">
        <v>167.4</v>
      </c>
      <c r="J2573" s="5" t="n">
        <v>52.9</v>
      </c>
      <c r="K2573" s="3" t="inlineStr">
        <is>
          <t>nan</t>
        </is>
      </c>
      <c r="L2573" s="6">
        <f>HYPERLINK("https://fin.land.naver.com/articles/2653858376", "매물Link")</f>
        <v/>
      </c>
      <c r="M2573" s="6">
        <f>HYPERLINK("https://map.naver.com/p/search/장군면 평기리 39-6", "지도Link")</f>
        <v/>
      </c>
      <c r="N2573" s="6">
        <f>HYPERLINK("http://www.eum.go.kr/web/ar/lu/luLandDet.jsp?pnu=3611035022100390006&amp;isNoScr=script&amp;mode=search", "토지이음")</f>
        <v/>
      </c>
      <c r="O2573" s="3" t="inlineStr">
        <is>
          <t>돈방석</t>
        </is>
      </c>
      <c r="P2573" s="4" t="n">
        <v>1</v>
      </c>
      <c r="Q2573" s="4" t="n">
        <v>710</v>
      </c>
      <c r="R2573" s="3" t="inlineStr">
        <is>
          <t>지정되지않음</t>
        </is>
      </c>
      <c r="S2573" s="3" t="inlineStr">
        <is>
          <t>과수원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장군면 평기리 산35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234000</v>
      </c>
      <c r="G2574" s="4" t="n">
        <v>5157</v>
      </c>
      <c r="H2574" s="4" t="n">
        <v>1560</v>
      </c>
      <c r="I2574" s="5" t="n">
        <v>150</v>
      </c>
      <c r="J2574" s="5" t="n">
        <v>17.1</v>
      </c>
      <c r="K2574" s="3" t="inlineStr">
        <is>
          <t>세종시인근 전원주택지</t>
        </is>
      </c>
      <c r="L2574" s="6">
        <f>HYPERLINK("https://fin.land.naver.com/articles/2654278760", "매물Link")</f>
        <v/>
      </c>
      <c r="M2574" s="6">
        <f>HYPERLINK("https://map.naver.com/p/search/장군면 평기리 산35", "지도Link")</f>
        <v/>
      </c>
      <c r="N2574" s="6">
        <f>HYPERLINK("http://www.eum.go.kr/web/ar/lu/luLandDet.jsp?pnu=3611035022200350000&amp;isNoScr=script&amp;mode=search", "토지이음")</f>
        <v/>
      </c>
      <c r="O2574" s="3" t="inlineStr">
        <is>
          <t>그린</t>
        </is>
      </c>
      <c r="P2574" s="4" t="n">
        <v>1</v>
      </c>
      <c r="Q2574" s="4" t="n">
        <v>5157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평기리 산42-91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70000</v>
      </c>
      <c r="G2575" s="4" t="n">
        <v>3306</v>
      </c>
      <c r="H2575" s="4" t="n">
        <v>1000</v>
      </c>
      <c r="I2575" s="5" t="n">
        <v>70</v>
      </c>
      <c r="J2575" s="5" t="n">
        <v>17.3</v>
      </c>
      <c r="K2575" s="3" t="inlineStr">
        <is>
          <t>장군면 평기리 임야 1000p  매매</t>
        </is>
      </c>
      <c r="L2575" s="6">
        <f>HYPERLINK("https://fin.land.naver.com/articles/2655141216", "매물Link")</f>
        <v/>
      </c>
      <c r="M2575" s="6">
        <f>HYPERLINK("https://map.naver.com/p/search/장군면 평기리 산42-91", "지도Link")</f>
        <v/>
      </c>
      <c r="N2575" s="6">
        <f>HYPERLINK("http://www.eum.go.kr/web/ar/lu/luLandDet.jsp?pnu=3611035022200420091&amp;isNoScr=script&amp;mode=search", "토지이음")</f>
        <v/>
      </c>
      <c r="O2575" s="3" t="inlineStr">
        <is>
          <t>명학아너비즈</t>
        </is>
      </c>
      <c r="P2575" s="4" t="n">
        <v>1</v>
      </c>
      <c r="Q2575" s="4" t="n">
        <v>3306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하봉리 115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23500</v>
      </c>
      <c r="G2576" s="4" t="n">
        <v>389</v>
      </c>
      <c r="H2576" s="4" t="n">
        <v>118</v>
      </c>
      <c r="I2576" s="5" t="n">
        <v>199.2</v>
      </c>
      <c r="J2576" s="5" t="n">
        <v>74.09999999999999</v>
      </c>
      <c r="K2576" s="3" t="inlineStr">
        <is>
          <t>근린생활시설 건축허가 득한 계획관리지역의 전을 급매합니다</t>
        </is>
      </c>
      <c r="L2576" s="6">
        <f>HYPERLINK("https://fin.land.naver.com/articles/2650514370", "매물Link")</f>
        <v/>
      </c>
      <c r="M2576" s="6">
        <f>HYPERLINK("https://map.naver.com/p/search/장군면 하봉리 115", "지도Link")</f>
        <v/>
      </c>
      <c r="N2576" s="6">
        <f>HYPERLINK("http://www.eum.go.kr/web/ar/lu/luLandDet.jsp?pnu=3611035026101150000&amp;isNoScr=script&amp;mode=search", "토지이음")</f>
        <v/>
      </c>
      <c r="O2576" s="3" t="inlineStr">
        <is>
          <t>스마일세종</t>
        </is>
      </c>
      <c r="P2576" s="4" t="n">
        <v>1</v>
      </c>
      <c r="Q2576" s="4" t="n">
        <v>389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하봉리 118-12</t>
        </is>
      </c>
      <c r="B2577" s="3" t="inlineStr">
        <is>
          <t>계획관리지역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220000</v>
      </c>
      <c r="G2577" s="4" t="n">
        <v>4166</v>
      </c>
      <c r="H2577" s="4" t="n">
        <v>1260</v>
      </c>
      <c r="I2577" s="5" t="n">
        <v>174.6</v>
      </c>
      <c r="J2577" s="5" t="n">
        <v>24.2</v>
      </c>
      <c r="K2577" s="3" t="inlineStr">
        <is>
          <t>장군면 하봉리 마을안길에 접한 경사도 완만한 계획관리지역의 토임 입니다</t>
        </is>
      </c>
      <c r="L2577" s="6">
        <f>HYPERLINK("https://fin.land.naver.com/articles/2650955499", "매물Link")</f>
        <v/>
      </c>
      <c r="M2577" s="6">
        <f>HYPERLINK("https://map.naver.com/p/search/장군면 하봉리 118-12", "지도Link")</f>
        <v/>
      </c>
      <c r="N2577" s="6">
        <f>HYPERLINK("http://www.eum.go.kr/web/ar/lu/luLandDet.jsp?pnu=3611035026101180012&amp;isNoScr=script&amp;mode=search", "토지이음")</f>
        <v/>
      </c>
      <c r="O2577" s="3" t="inlineStr">
        <is>
          <t>스마일세종</t>
        </is>
      </c>
      <c r="P2577" s="4" t="n">
        <v>1</v>
      </c>
      <c r="Q2577" s="4" t="n">
        <v>4166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하봉리 121</t>
        </is>
      </c>
      <c r="B2578" s="3" t="inlineStr">
        <is>
          <t>계획관리지역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114000</v>
      </c>
      <c r="G2578" s="4" t="n">
        <v>4709</v>
      </c>
      <c r="H2578" s="4" t="n">
        <v>1424</v>
      </c>
      <c r="I2578" s="5" t="n">
        <v>80.09999999999999</v>
      </c>
      <c r="J2578" s="5" t="n">
        <v>50</v>
      </c>
      <c r="K2578" s="3" t="inlineStr">
        <is>
          <t>장군면 하봉리 계획관리지역</t>
        </is>
      </c>
      <c r="L2578" s="6">
        <f>HYPERLINK("https://fin.land.naver.com/articles/2654009126", "매물Link")</f>
        <v/>
      </c>
      <c r="M2578" s="6">
        <f>HYPERLINK("https://map.naver.com/p/search/장군면 하봉리 121", "지도Link")</f>
        <v/>
      </c>
      <c r="N2578" s="6">
        <f>HYPERLINK("http://www.eum.go.kr/web/ar/lu/luLandDet.jsp?pnu=3611035026101210000&amp;isNoScr=script&amp;mode=search", "토지이음")</f>
        <v/>
      </c>
      <c r="O2578" s="3" t="inlineStr">
        <is>
          <t>KB세종</t>
        </is>
      </c>
      <c r="P2578" s="4" t="n">
        <v>1</v>
      </c>
      <c r="Q2578" s="4" t="n">
        <v>3471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세로한면(불)</t>
        </is>
      </c>
    </row>
    <row r="2579">
      <c r="A2579" s="3" t="inlineStr">
        <is>
          <t>장군면 하봉리 147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72000</v>
      </c>
      <c r="G2579" s="4" t="n">
        <v>1540</v>
      </c>
      <c r="H2579" s="4" t="n">
        <v>466</v>
      </c>
      <c r="I2579" s="5" t="n">
        <v>154.5</v>
      </c>
      <c r="J2579" s="5" t="n">
        <v>60.6</v>
      </c>
      <c r="K2579" s="3" t="inlineStr">
        <is>
          <t>조율가능 계획관리 근생,창고,카페 가능 포장도로접함</t>
        </is>
      </c>
      <c r="L2579" s="6">
        <f>HYPERLINK("https://fin.land.naver.com/articles/2653842985", "매물Link")</f>
        <v/>
      </c>
      <c r="M2579" s="6">
        <f>HYPERLINK("https://map.naver.com/p/search/장군면 하봉리 147", "지도Link")</f>
        <v/>
      </c>
      <c r="N2579" s="6">
        <f>HYPERLINK("http://www.eum.go.kr/web/ar/lu/luLandDet.jsp?pnu=3611035026101470000&amp;isNoScr=script&amp;mode=search", "토지이음")</f>
        <v/>
      </c>
      <c r="O2579" s="3" t="inlineStr">
        <is>
          <t>세종스타</t>
        </is>
      </c>
      <c r="P2579" s="4" t="n">
        <v>3</v>
      </c>
      <c r="Q2579" s="4" t="n">
        <v>1540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하봉리 147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72000</v>
      </c>
      <c r="G2580" s="4" t="n">
        <v>1540</v>
      </c>
      <c r="H2580" s="4" t="n">
        <v>466</v>
      </c>
      <c r="I2580" s="5" t="n">
        <v>154.5</v>
      </c>
      <c r="J2580" s="5" t="n">
        <v>60.6</v>
      </c>
      <c r="K2580" s="3" t="inlineStr">
        <is>
          <t>포장도로접,세종고속도로개통호재</t>
        </is>
      </c>
      <c r="L2580" s="6">
        <f>HYPERLINK("https://fin.land.naver.com/articles/2653135396", "매물Link")</f>
        <v/>
      </c>
      <c r="M2580" s="6">
        <f>HYPERLINK("https://map.naver.com/p/search/장군면 하봉리 147", "지도Link")</f>
        <v/>
      </c>
      <c r="N2580" s="6">
        <f>HYPERLINK("http://www.eum.go.kr/web/ar/lu/luLandDet.jsp?pnu=3611035026101470000&amp;isNoScr=script&amp;mode=search", "토지이음")</f>
        <v/>
      </c>
      <c r="O2580" s="3" t="inlineStr">
        <is>
          <t>개포대박</t>
        </is>
      </c>
      <c r="P2580" s="4" t="n">
        <v>1</v>
      </c>
      <c r="Q2580" s="4" t="n">
        <v>1540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장군면 하봉리 163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월세</t>
        </is>
      </c>
      <c r="F2581" s="4" t="n">
        <v>5000</v>
      </c>
      <c r="G2581" s="4" t="n">
        <v>198</v>
      </c>
      <c r="H2581" s="4" t="n">
        <v>60</v>
      </c>
      <c r="I2581" s="5" t="n">
        <v>0.8</v>
      </c>
      <c r="J2581" s="5" t="n">
        <v>128.4</v>
      </c>
      <c r="K2581" s="3" t="inlineStr">
        <is>
          <t>교회, 기도원, 요양시설, 작품작업장,캠핑장으로 추천</t>
        </is>
      </c>
      <c r="L2581" s="6">
        <f>HYPERLINK("https://fin.land.naver.com/articles/2652652002", "매물Link")</f>
        <v/>
      </c>
      <c r="M2581" s="6">
        <f>HYPERLINK("https://map.naver.com/p/search/장군면 하봉리 163", "지도Link")</f>
        <v/>
      </c>
      <c r="N2581" s="6">
        <f>HYPERLINK("http://www.eum.go.kr/web/ar/lu/luLandDet.jsp?pnu=3611035026101630000&amp;isNoScr=script&amp;mode=search", "토지이음")</f>
        <v/>
      </c>
      <c r="O2581" s="3" t="inlineStr">
        <is>
          <t>고운동리치세종</t>
        </is>
      </c>
      <c r="P2581" s="4" t="n">
        <v>1</v>
      </c>
      <c r="Q2581" s="4" t="n">
        <v>759</v>
      </c>
      <c r="R2581" s="3" t="inlineStr">
        <is>
          <t>지정되지않음</t>
        </is>
      </c>
      <c r="S2581" s="3" t="inlineStr">
        <is>
          <t>주상용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장군면 하봉리 163-4</t>
        </is>
      </c>
      <c r="B2582" s="3" t="inlineStr">
        <is>
          <t>계획관리지역</t>
        </is>
      </c>
      <c r="C2582" s="3" t="inlineStr">
        <is>
          <t>목장용지</t>
        </is>
      </c>
      <c r="D2582" s="3" t="inlineStr">
        <is>
          <t>목장용지</t>
        </is>
      </c>
      <c r="E2582" s="3" t="inlineStr">
        <is>
          <t>매매</t>
        </is>
      </c>
      <c r="F2582" s="4" t="n">
        <v>100000</v>
      </c>
      <c r="G2582" s="4" t="n">
        <v>1044</v>
      </c>
      <c r="H2582" s="4" t="n">
        <v>316</v>
      </c>
      <c r="I2582" s="5" t="n">
        <v>316.5</v>
      </c>
      <c r="J2582" s="5" t="n">
        <v>50.5</v>
      </c>
      <c r="K2582" s="3" t="inlineStr">
        <is>
          <t>하봉리토지매매 주택 목장용지있음</t>
        </is>
      </c>
      <c r="L2582" s="6">
        <f>HYPERLINK("https://fin.land.naver.com/articles/2653642172", "매물Link")</f>
        <v/>
      </c>
      <c r="M2582" s="6">
        <f>HYPERLINK("https://map.naver.com/p/search/장군면 하봉리 163-4", "지도Link")</f>
        <v/>
      </c>
      <c r="N2582" s="6">
        <f>HYPERLINK("http://www.eum.go.kr/web/ar/lu/luLandDet.jsp?pnu=3611035026101630004&amp;isNoScr=script&amp;mode=search", "토지이음")</f>
        <v/>
      </c>
      <c r="O2582" s="3" t="inlineStr">
        <is>
          <t>고운동리치세종</t>
        </is>
      </c>
      <c r="P2582" s="4" t="n">
        <v>1</v>
      </c>
      <c r="Q2582" s="4" t="n">
        <v>1044</v>
      </c>
      <c r="R2582" s="3" t="inlineStr">
        <is>
          <t>지정되지않음</t>
        </is>
      </c>
      <c r="S2582" s="3" t="inlineStr">
        <is>
          <t>전</t>
        </is>
      </c>
      <c r="T2582" s="3" t="inlineStr">
        <is>
          <t>완경사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장군면 하봉리 195</t>
        </is>
      </c>
      <c r="B2583" s="3" t="inlineStr">
        <is>
          <t>농림지역</t>
        </is>
      </c>
      <c r="C2583" s="3" t="inlineStr">
        <is>
          <t>전</t>
        </is>
      </c>
      <c r="D2583" s="3" t="inlineStr">
        <is>
          <t>대</t>
        </is>
      </c>
      <c r="E2583" s="3" t="inlineStr">
        <is>
          <t>매매</t>
        </is>
      </c>
      <c r="F2583" s="4" t="n">
        <v>62000</v>
      </c>
      <c r="G2583" s="4" t="n">
        <v>1858</v>
      </c>
      <c r="H2583" s="4" t="n">
        <v>562</v>
      </c>
      <c r="I2583" s="5" t="n">
        <v>110.3</v>
      </c>
      <c r="J2583" s="5" t="n">
        <v>19.9</v>
      </c>
      <c r="K2583" s="3" t="inlineStr">
        <is>
          <t>개발 될 토지</t>
        </is>
      </c>
      <c r="L2583" s="6">
        <f>HYPERLINK("https://fin.land.naver.com/articles/2652680356", "매물Link")</f>
        <v/>
      </c>
      <c r="M2583" s="6">
        <f>HYPERLINK("https://map.naver.com/p/search/장군면 하봉리 195", "지도Link")</f>
        <v/>
      </c>
      <c r="N2583" s="6">
        <f>HYPERLINK("http://www.eum.go.kr/web/ar/lu/luLandDet.jsp?pnu=3611035026101950000&amp;isNoScr=script&amp;mode=search", "토지이음")</f>
        <v/>
      </c>
      <c r="O2583" s="3" t="inlineStr">
        <is>
          <t>새땅</t>
        </is>
      </c>
      <c r="P2583" s="4" t="n">
        <v>1</v>
      </c>
      <c r="Q2583" s="4" t="n">
        <v>1858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맹지</t>
        </is>
      </c>
    </row>
    <row r="2584">
      <c r="A2584" s="3" t="inlineStr">
        <is>
          <t>장군면 하봉리 240-1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68000</v>
      </c>
      <c r="G2584" s="4" t="n">
        <v>2029</v>
      </c>
      <c r="H2584" s="4" t="n">
        <v>614</v>
      </c>
      <c r="I2584" s="5" t="n">
        <v>110.7</v>
      </c>
      <c r="J2584" s="5" t="n">
        <v>29.6</v>
      </c>
      <c r="K2584" s="3" t="inlineStr">
        <is>
          <t>하봉저수지앞 시유지340p접함 조율협의가능</t>
        </is>
      </c>
      <c r="L2584" s="6">
        <f>HYPERLINK("https://fin.land.naver.com/articles/2652289586", "매물Link")</f>
        <v/>
      </c>
      <c r="M2584" s="6">
        <f>HYPERLINK("https://map.naver.com/p/search/장군면 하봉리 240-1", "지도Link")</f>
        <v/>
      </c>
      <c r="N2584" s="6">
        <f>HYPERLINK("http://www.eum.go.kr/web/ar/lu/luLandDet.jsp?pnu=3611035026102400001&amp;isNoScr=script&amp;mode=search", "토지이음")</f>
        <v/>
      </c>
      <c r="O2584" s="3" t="inlineStr">
        <is>
          <t>세종스타</t>
        </is>
      </c>
      <c r="P2584" s="4" t="n">
        <v>2</v>
      </c>
      <c r="Q2584" s="4" t="n">
        <v>2029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사다리형</t>
        </is>
      </c>
      <c r="V2584" s="3" t="inlineStr">
        <is>
          <t>세로한면(가)</t>
        </is>
      </c>
    </row>
    <row r="2585">
      <c r="A2585" s="3" t="inlineStr">
        <is>
          <t>장군면 하봉리 255</t>
        </is>
      </c>
      <c r="B2585" s="3" t="inlineStr">
        <is>
          <t>계획관리지역</t>
        </is>
      </c>
      <c r="C2585" s="3" t="inlineStr">
        <is>
          <t>전</t>
        </is>
      </c>
      <c r="D2585" s="3" t="inlineStr">
        <is>
          <t>전</t>
        </is>
      </c>
      <c r="E2585" s="3" t="inlineStr">
        <is>
          <t>매매</t>
        </is>
      </c>
      <c r="F2585" s="4" t="n">
        <v>40000</v>
      </c>
      <c r="G2585" s="4" t="n">
        <v>1124</v>
      </c>
      <c r="H2585" s="4" t="n">
        <v>340</v>
      </c>
      <c r="I2585" s="5" t="n">
        <v>117.6</v>
      </c>
      <c r="J2585" s="5" t="n">
        <v>44</v>
      </c>
      <c r="K2585" s="3" t="inlineStr">
        <is>
          <t>송선동현지구 인근 계획관리지역의 전으로 마을포장도로에 접한 투자용 토지</t>
        </is>
      </c>
      <c r="L2585" s="6">
        <f>HYPERLINK("https://fin.land.naver.com/articles/2653855500", "매물Link")</f>
        <v/>
      </c>
      <c r="M2585" s="6">
        <f>HYPERLINK("https://map.naver.com/p/search/장군면 하봉리 255", "지도Link")</f>
        <v/>
      </c>
      <c r="N2585" s="6">
        <f>HYPERLINK("http://www.eum.go.kr/web/ar/lu/luLandDet.jsp?pnu=3611035026102550000&amp;isNoScr=script&amp;mode=search", "토지이음")</f>
        <v/>
      </c>
      <c r="O2585" s="3" t="inlineStr">
        <is>
          <t>스마일세종</t>
        </is>
      </c>
      <c r="P2585" s="4" t="n">
        <v>1</v>
      </c>
      <c r="Q2585" s="4" t="n">
        <v>1124</v>
      </c>
      <c r="R2585" s="3" t="inlineStr">
        <is>
          <t>지정되지않음</t>
        </is>
      </c>
      <c r="S2585" s="3" t="inlineStr">
        <is>
          <t>전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하봉리 296-24</t>
        </is>
      </c>
      <c r="B2586" s="3" t="inlineStr">
        <is>
          <t>보전관리지역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40500</v>
      </c>
      <c r="G2586" s="4" t="n">
        <v>420</v>
      </c>
      <c r="H2586" s="4" t="n">
        <v>127</v>
      </c>
      <c r="I2586" s="5" t="n">
        <v>318.9</v>
      </c>
      <c r="J2586" s="5" t="n">
        <v>73.59999999999999</v>
      </c>
      <c r="K2586" s="3" t="inlineStr">
        <is>
          <t>포장도로, 바로 건축가능, 직접보시면 더 좋아요</t>
        </is>
      </c>
      <c r="L2586" s="6">
        <f>HYPERLINK("https://fin.land.naver.com/articles/2651618608", "매물Link")</f>
        <v/>
      </c>
      <c r="M2586" s="6">
        <f>HYPERLINK("https://map.naver.com/p/search/장군면 하봉리 296-24", "지도Link")</f>
        <v/>
      </c>
      <c r="N2586" s="6">
        <f>HYPERLINK("http://www.eum.go.kr/web/ar/lu/luLandDet.jsp?pnu=3611035026102960024&amp;isNoScr=script&amp;mode=search", "토지이음")</f>
        <v/>
      </c>
      <c r="O2586" s="3" t="inlineStr">
        <is>
          <t>리브</t>
        </is>
      </c>
      <c r="P2586" s="4" t="n">
        <v>1</v>
      </c>
      <c r="Q2586" s="4" t="n">
        <v>420</v>
      </c>
      <c r="R2586" s="3" t="inlineStr">
        <is>
          <t>지정되지않음</t>
        </is>
      </c>
      <c r="S2586" s="3" t="inlineStr">
        <is>
          <t>주거기타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하봉리 296-34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350000</v>
      </c>
      <c r="G2587" s="4" t="n">
        <v>17408</v>
      </c>
      <c r="H2587" s="4" t="n">
        <v>5266</v>
      </c>
      <c r="I2587" s="5" t="n">
        <v>66.5</v>
      </c>
      <c r="J2587" s="5" t="n">
        <v>23.7</v>
      </c>
      <c r="K2587" s="3" t="inlineStr">
        <is>
          <t>개발하기 좋은 위치에 넓은 토지, 공주 송선 동현지구 인근</t>
        </is>
      </c>
      <c r="L2587" s="6">
        <f>HYPERLINK("https://fin.land.naver.com/articles/2653996096", "매물Link")</f>
        <v/>
      </c>
      <c r="M2587" s="6">
        <f>HYPERLINK("https://map.naver.com/p/search/장군면 하봉리 296-34", "지도Link")</f>
        <v/>
      </c>
      <c r="N2587" s="6">
        <f>HYPERLINK("http://www.eum.go.kr/web/ar/lu/luLandDet.jsp?pnu=3611035026102960034&amp;isNoScr=script&amp;mode=search", "토지이음")</f>
        <v/>
      </c>
      <c r="O2587" s="3" t="inlineStr">
        <is>
          <t>(주)미르</t>
        </is>
      </c>
      <c r="P2587" s="4" t="n">
        <v>1</v>
      </c>
      <c r="Q2587" s="4" t="n">
        <v>2930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하봉리 296-34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315000</v>
      </c>
      <c r="G2588" s="4" t="n">
        <v>17408</v>
      </c>
      <c r="H2588" s="4" t="n">
        <v>5266</v>
      </c>
      <c r="I2588" s="5" t="n">
        <v>59.8</v>
      </c>
      <c r="J2588" s="5" t="n">
        <v>23.7</v>
      </c>
      <c r="K2588" s="3" t="inlineStr">
        <is>
          <t>서세종IC 7분거리,세종시 장군면 전원주택 용지 매매</t>
        </is>
      </c>
      <c r="L2588" s="6">
        <f>HYPERLINK("https://fin.land.naver.com/articles/2650753146", "매물Link")</f>
        <v/>
      </c>
      <c r="M2588" s="6">
        <f>HYPERLINK("https://map.naver.com/p/search/장군면 하봉리 296-34", "지도Link")</f>
        <v/>
      </c>
      <c r="N2588" s="6">
        <f>HYPERLINK("http://www.eum.go.kr/web/ar/lu/luLandDet.jsp?pnu=3611035026102960034&amp;isNoScr=script&amp;mode=search", "토지이음")</f>
        <v/>
      </c>
      <c r="O2588" s="3" t="inlineStr">
        <is>
          <t>SK랜드</t>
        </is>
      </c>
      <c r="P2588" s="4" t="n">
        <v>1</v>
      </c>
      <c r="Q2588" s="4" t="n">
        <v>2930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하봉리 300-6</t>
        </is>
      </c>
      <c r="B2589" s="3" t="inlineStr">
        <is>
          <t>보전관리지역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39100</v>
      </c>
      <c r="G2589" s="4" t="n">
        <v>568</v>
      </c>
      <c r="H2589" s="4" t="n">
        <v>172</v>
      </c>
      <c r="I2589" s="5" t="n">
        <v>227.3</v>
      </c>
      <c r="J2589" s="5" t="n">
        <v>71.90000000000001</v>
      </c>
      <c r="K2589" s="3" t="inlineStr">
        <is>
          <t>nan</t>
        </is>
      </c>
      <c r="L2589" s="6">
        <f>HYPERLINK("https://fin.land.naver.com/articles/2650256556", "매물Link")</f>
        <v/>
      </c>
      <c r="M2589" s="6">
        <f>HYPERLINK("https://map.naver.com/p/search/장군면 하봉리 300-6", "지도Link")</f>
        <v/>
      </c>
      <c r="N2589" s="6">
        <f>HYPERLINK("http://www.eum.go.kr/web/ar/lu/luLandDet.jsp?pnu=3611035026103000006&amp;isNoScr=script&amp;mode=search", "토지이음")</f>
        <v/>
      </c>
      <c r="O2589" s="3" t="inlineStr">
        <is>
          <t>고운하임</t>
        </is>
      </c>
      <c r="P2589" s="4" t="n">
        <v>1</v>
      </c>
      <c r="Q2589" s="4" t="n">
        <v>568</v>
      </c>
      <c r="R2589" s="3" t="inlineStr">
        <is>
          <t>지정되지않음</t>
        </is>
      </c>
      <c r="S2589" s="3" t="inlineStr">
        <is>
          <t>주거나지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장군면 하봉리 310</t>
        </is>
      </c>
      <c r="B2590" s="3" t="inlineStr">
        <is>
          <t>계획관리지역</t>
        </is>
      </c>
      <c r="C2590" s="3" t="inlineStr">
        <is>
          <t>목장용지</t>
        </is>
      </c>
      <c r="D2590" s="3" t="inlineStr">
        <is>
          <t>대</t>
        </is>
      </c>
      <c r="E2590" s="3" t="inlineStr">
        <is>
          <t>매매</t>
        </is>
      </c>
      <c r="F2590" s="4" t="n">
        <v>200000</v>
      </c>
      <c r="G2590" s="4" t="n">
        <v>4555</v>
      </c>
      <c r="H2590" s="4" t="n">
        <v>1378</v>
      </c>
      <c r="I2590" s="5" t="n">
        <v>145.1</v>
      </c>
      <c r="J2590" s="5" t="n">
        <v>58</v>
      </c>
      <c r="K2590" s="3" t="inlineStr">
        <is>
          <t>2차선 도로와 연접 무엇을 해도 좋을 자리 향후 전망 좋은 곳</t>
        </is>
      </c>
      <c r="L2590" s="6">
        <f>HYPERLINK("https://fin.land.naver.com/articles/2652933119", "매물Link")</f>
        <v/>
      </c>
      <c r="M2590" s="6">
        <f>HYPERLINK("https://map.naver.com/p/search/장군면 하봉리 310", "지도Link")</f>
        <v/>
      </c>
      <c r="N2590" s="6">
        <f>HYPERLINK("http://www.eum.go.kr/web/ar/lu/luLandDet.jsp?pnu=3611035026103100000&amp;isNoScr=script&amp;mode=search", "토지이음")</f>
        <v/>
      </c>
      <c r="O2590" s="3" t="inlineStr">
        <is>
          <t>세종공주원탑</t>
        </is>
      </c>
      <c r="P2590" s="4" t="n">
        <v>1</v>
      </c>
      <c r="Q2590" s="4" t="n">
        <v>1146</v>
      </c>
      <c r="R2590" s="3" t="inlineStr">
        <is>
          <t>지정되지않음</t>
        </is>
      </c>
      <c r="S2590" s="3" t="inlineStr">
        <is>
          <t>전축사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장군면 하봉리 34-3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95000</v>
      </c>
      <c r="G2591" s="4" t="n">
        <v>1517</v>
      </c>
      <c r="H2591" s="4" t="n">
        <v>459</v>
      </c>
      <c r="I2591" s="5" t="n">
        <v>207</v>
      </c>
      <c r="J2591" s="5" t="n">
        <v>65.59999999999999</v>
      </c>
      <c r="K2591" s="3" t="inlineStr">
        <is>
          <t>진.출입 원활 계획관리지역 무엇을 해도 좋을 자리</t>
        </is>
      </c>
      <c r="L2591" s="6">
        <f>HYPERLINK("https://fin.land.naver.com/articles/2655508013", "매물Link")</f>
        <v/>
      </c>
      <c r="M2591" s="6">
        <f>HYPERLINK("https://map.naver.com/p/search/장군면 하봉리 34-3", "지도Link")</f>
        <v/>
      </c>
      <c r="N2591" s="6">
        <f>HYPERLINK("http://www.eum.go.kr/web/ar/lu/luLandDet.jsp?pnu=3611035026100340003&amp;isNoScr=script&amp;mode=search", "토지이음")</f>
        <v/>
      </c>
      <c r="O2591" s="3" t="inlineStr">
        <is>
          <t>세종공주원탑</t>
        </is>
      </c>
      <c r="P2591" s="4" t="n">
        <v>1</v>
      </c>
      <c r="Q2591" s="4" t="n">
        <v>188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하봉리 36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173000</v>
      </c>
      <c r="G2592" s="4" t="n">
        <v>2199</v>
      </c>
      <c r="H2592" s="4" t="n">
        <v>665</v>
      </c>
      <c r="I2592" s="5" t="n">
        <v>260.2</v>
      </c>
      <c r="J2592" s="5" t="n">
        <v>63.8</v>
      </c>
      <c r="K2592" s="3" t="inlineStr">
        <is>
          <t>장군면 하봉리 구거 옆 계획관리 토지, 장군면 소재지, 서세종IC 인근</t>
        </is>
      </c>
      <c r="L2592" s="6">
        <f>HYPERLINK("https://fin.land.naver.com/articles/2654029859", "매물Link")</f>
        <v/>
      </c>
      <c r="M2592" s="6">
        <f>HYPERLINK("https://map.naver.com/p/search/장군면 하봉리 36", "지도Link")</f>
        <v/>
      </c>
      <c r="N2592" s="6">
        <f>HYPERLINK("http://www.eum.go.kr/web/ar/lu/luLandDet.jsp?pnu=3611035026100360000&amp;isNoScr=script&amp;mode=search", "토지이음")</f>
        <v/>
      </c>
      <c r="O2592" s="3" t="inlineStr">
        <is>
          <t>스카이</t>
        </is>
      </c>
      <c r="P2592" s="4" t="n">
        <v>1</v>
      </c>
      <c r="Q2592" s="4" t="n">
        <v>1802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하봉리 37-20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65000</v>
      </c>
      <c r="G2593" s="4" t="n">
        <v>1125</v>
      </c>
      <c r="H2593" s="4" t="n">
        <v>340</v>
      </c>
      <c r="I2593" s="5" t="n">
        <v>191.2</v>
      </c>
      <c r="J2593" s="5" t="n">
        <v>119.7</v>
      </c>
      <c r="K2593" s="3" t="inlineStr">
        <is>
          <t>급매 좋은가격,  귀한 계획관리 ,  투자가치높은토지 , 위치굿,대로변</t>
        </is>
      </c>
      <c r="L2593" s="6">
        <f>HYPERLINK("https://fin.land.naver.com/articles/2652357798", "매물Link")</f>
        <v/>
      </c>
      <c r="M2593" s="6">
        <f>HYPERLINK("https://map.naver.com/p/search/장군면 하봉리 37-20", "지도Link")</f>
        <v/>
      </c>
      <c r="N2593" s="6">
        <f>HYPERLINK("http://www.eum.go.kr/web/ar/lu/luLandDet.jsp?pnu=3611035026100370020&amp;isNoScr=script&amp;mode=search", "토지이음")</f>
        <v/>
      </c>
      <c r="O2593" s="3" t="inlineStr">
        <is>
          <t>세종특별시</t>
        </is>
      </c>
      <c r="P2593" s="4" t="n">
        <v>1</v>
      </c>
      <c r="Q2593" s="4" t="n">
        <v>1125</v>
      </c>
      <c r="R2593" s="3" t="inlineStr">
        <is>
          <t>지정되지않음</t>
        </is>
      </c>
      <c r="S2593" s="3" t="inlineStr">
        <is>
          <t>단독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하봉리 37-20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120000</v>
      </c>
      <c r="G2594" s="4" t="n">
        <v>1125</v>
      </c>
      <c r="H2594" s="4" t="n">
        <v>340</v>
      </c>
      <c r="I2594" s="5" t="n">
        <v>352.9</v>
      </c>
      <c r="J2594" s="5" t="n">
        <v>119.7</v>
      </c>
      <c r="K2594" s="3" t="inlineStr">
        <is>
          <t>서세종IC인근.4차선포장도로변.계획관리지역.광고효과최고.단독음식점및물류</t>
        </is>
      </c>
      <c r="L2594" s="6">
        <f>HYPERLINK("https://fin.land.naver.com/articles/2650319408", "매물Link")</f>
        <v/>
      </c>
      <c r="M2594" s="6">
        <f>HYPERLINK("https://map.naver.com/p/search/장군면 하봉리 37-20", "지도Link")</f>
        <v/>
      </c>
      <c r="N2594" s="6">
        <f>HYPERLINK("http://www.eum.go.kr/web/ar/lu/luLandDet.jsp?pnu=3611035026100370020&amp;isNoScr=script&amp;mode=search", "토지이음")</f>
        <v/>
      </c>
      <c r="O2594" s="3" t="inlineStr">
        <is>
          <t>돈방석</t>
        </is>
      </c>
      <c r="P2594" s="4" t="n">
        <v>1</v>
      </c>
      <c r="Q2594" s="4" t="n">
        <v>1125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하봉리 37-36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39000</v>
      </c>
      <c r="G2595" s="4" t="n">
        <v>461</v>
      </c>
      <c r="H2595" s="4" t="n">
        <v>139</v>
      </c>
      <c r="I2595" s="5" t="n">
        <v>280.6</v>
      </c>
      <c r="J2595" s="5" t="n">
        <v>84.40000000000001</v>
      </c>
      <c r="K2595" s="3" t="inlineStr">
        <is>
          <t>서세종ic 5분거리 창고적지</t>
        </is>
      </c>
      <c r="L2595" s="6">
        <f>HYPERLINK("https://fin.land.naver.com/articles/2650048015", "매물Link")</f>
        <v/>
      </c>
      <c r="M2595" s="6">
        <f>HYPERLINK("https://map.naver.com/p/search/장군면 하봉리 37-36", "지도Link")</f>
        <v/>
      </c>
      <c r="N2595" s="6">
        <f>HYPERLINK("http://www.eum.go.kr/web/ar/lu/luLandDet.jsp?pnu=3611035026100370036&amp;isNoScr=script&amp;mode=search", "토지이음")</f>
        <v/>
      </c>
      <c r="O2595" s="3" t="inlineStr">
        <is>
          <t>세종천지</t>
        </is>
      </c>
      <c r="P2595" s="4" t="n">
        <v>1</v>
      </c>
      <c r="Q2595" s="4" t="n">
        <v>461</v>
      </c>
      <c r="R2595" s="3" t="inlineStr">
        <is>
          <t>지정되지않음</t>
        </is>
      </c>
      <c r="S2595" s="3" t="inlineStr">
        <is>
          <t>전기타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장군면 하봉리 37-77</t>
        </is>
      </c>
      <c r="B2596" s="3" t="inlineStr">
        <is>
          <t>계획관리지역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43000</v>
      </c>
      <c r="G2596" s="4" t="n">
        <v>510</v>
      </c>
      <c r="H2596" s="4" t="n">
        <v>154</v>
      </c>
      <c r="I2596" s="5" t="n">
        <v>279.2</v>
      </c>
      <c r="J2596" s="5" t="n">
        <v>84.40000000000001</v>
      </c>
      <c r="K2596" s="3" t="inlineStr">
        <is>
          <t>서세종ic 5분 근생 창고 적지</t>
        </is>
      </c>
      <c r="L2596" s="6">
        <f>HYPERLINK("https://fin.land.naver.com/articles/2654706807", "매물Link")</f>
        <v/>
      </c>
      <c r="M2596" s="6">
        <f>HYPERLINK("https://map.naver.com/p/search/장군면 하봉리 37-77", "지도Link")</f>
        <v/>
      </c>
      <c r="N2596" s="6">
        <f>HYPERLINK("http://www.eum.go.kr/web/ar/lu/luLandDet.jsp?pnu=3611035026100370077&amp;isNoScr=script&amp;mode=search", "토지이음")</f>
        <v/>
      </c>
      <c r="O2596" s="3" t="inlineStr">
        <is>
          <t>세종천지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전기타</t>
        </is>
      </c>
      <c r="T2596" s="3" t="inlineStr">
        <is>
          <t>평지</t>
        </is>
      </c>
      <c r="U2596" s="3" t="inlineStr">
        <is>
          <t>사다리형</t>
        </is>
      </c>
      <c r="V2596" s="3" t="inlineStr">
        <is>
          <t>세로한면(가)</t>
        </is>
      </c>
    </row>
    <row r="2597">
      <c r="A2597" s="3" t="inlineStr">
        <is>
          <t>장군면 하봉리 37-83</t>
        </is>
      </c>
      <c r="B2597" s="3" t="inlineStr">
        <is>
          <t>계획관리지역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73000</v>
      </c>
      <c r="G2597" s="4" t="n">
        <v>684</v>
      </c>
      <c r="H2597" s="4" t="n">
        <v>207</v>
      </c>
      <c r="I2597" s="5" t="n">
        <v>352.7</v>
      </c>
      <c r="J2597" s="5" t="n">
        <v>86.2</v>
      </c>
      <c r="K2597" s="3" t="inlineStr">
        <is>
          <t>2차선변 토지</t>
        </is>
      </c>
      <c r="L2597" s="6">
        <f>HYPERLINK("https://fin.land.naver.com/articles/2652270458", "매물Link")</f>
        <v/>
      </c>
      <c r="M2597" s="6">
        <f>HYPERLINK("https://map.naver.com/p/search/장군면 하봉리 37-83", "지도Link")</f>
        <v/>
      </c>
      <c r="N2597" s="6">
        <f>HYPERLINK("http://www.eum.go.kr/web/ar/lu/luLandDet.jsp?pnu=3611035026100370083&amp;isNoScr=script&amp;mode=search", "토지이음")</f>
        <v/>
      </c>
      <c r="O2597" s="3" t="inlineStr">
        <is>
          <t>새땅</t>
        </is>
      </c>
      <c r="P2597" s="4" t="n">
        <v>1</v>
      </c>
      <c r="Q2597" s="4" t="n">
        <v>684</v>
      </c>
      <c r="R2597" s="3" t="inlineStr">
        <is>
          <t>지정되지않음</t>
        </is>
      </c>
      <c r="S2597" s="3" t="inlineStr">
        <is>
          <t>전기타</t>
        </is>
      </c>
      <c r="T2597" s="3" t="inlineStr">
        <is>
          <t>평지</t>
        </is>
      </c>
      <c r="U2597" s="3" t="inlineStr">
        <is>
          <t>사다리형</t>
        </is>
      </c>
      <c r="V2597" s="3" t="inlineStr">
        <is>
          <t>세로한면(가)</t>
        </is>
      </c>
    </row>
    <row r="2598">
      <c r="A2598" s="3" t="inlineStr">
        <is>
          <t>장군면 하봉리 37-89</t>
        </is>
      </c>
      <c r="B2598" s="3" t="inlineStr">
        <is>
          <t>계획관리지역</t>
        </is>
      </c>
      <c r="C2598" s="3" t="inlineStr">
        <is>
          <t>임야</t>
        </is>
      </c>
      <c r="D2598" s="3" t="inlineStr">
        <is>
          <t>임야</t>
        </is>
      </c>
      <c r="E2598" s="3" t="inlineStr">
        <is>
          <t>매매</t>
        </is>
      </c>
      <c r="F2598" s="4" t="n">
        <v>95000</v>
      </c>
      <c r="G2598" s="4" t="n">
        <v>889</v>
      </c>
      <c r="H2598" s="4" t="n">
        <v>269</v>
      </c>
      <c r="I2598" s="5" t="n">
        <v>353.2</v>
      </c>
      <c r="J2598" s="5" t="n">
        <v>86.7</v>
      </c>
      <c r="K2598" s="3" t="inlineStr">
        <is>
          <t>간선도로변 위치 최고</t>
        </is>
      </c>
      <c r="L2598" s="6">
        <f>HYPERLINK("https://fin.land.naver.com/articles/2652277198", "매물Link")</f>
        <v/>
      </c>
      <c r="M2598" s="6">
        <f>HYPERLINK("https://map.naver.com/p/search/장군면 하봉리 37-89", "지도Link")</f>
        <v/>
      </c>
      <c r="N2598" s="6">
        <f>HYPERLINK("http://www.eum.go.kr/web/ar/lu/luLandDet.jsp?pnu=3611035026100370089&amp;isNoScr=script&amp;mode=search", "토지이음")</f>
        <v/>
      </c>
      <c r="O2598" s="3" t="inlineStr">
        <is>
          <t>새땅</t>
        </is>
      </c>
      <c r="P2598" s="4" t="n">
        <v>1</v>
      </c>
      <c r="Q2598" s="4" t="n">
        <v>889</v>
      </c>
      <c r="R2598" s="3" t="inlineStr">
        <is>
          <t>지정되지않음</t>
        </is>
      </c>
      <c r="S2598" s="3" t="inlineStr">
        <is>
          <t>전기타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하봉리 44-2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62000</v>
      </c>
      <c r="G2599" s="4" t="n">
        <v>2008</v>
      </c>
      <c r="H2599" s="4" t="n">
        <v>607</v>
      </c>
      <c r="I2599" s="5" t="n">
        <v>102.1</v>
      </c>
      <c r="J2599" s="5" t="n">
        <v>44</v>
      </c>
      <c r="K2599" s="3" t="inlineStr">
        <is>
          <t>서세종 톨게이트 근접한 계획관리 토지</t>
        </is>
      </c>
      <c r="L2599" s="6">
        <f>HYPERLINK("https://fin.land.naver.com/articles/2654318308", "매물Link")</f>
        <v/>
      </c>
      <c r="M2599" s="6">
        <f>HYPERLINK("https://map.naver.com/p/search/장군면 하봉리 44-2", "지도Link")</f>
        <v/>
      </c>
      <c r="N2599" s="6">
        <f>HYPERLINK("http://www.eum.go.kr/web/ar/lu/luLandDet.jsp?pnu=3611035026100440002&amp;isNoScr=script&amp;mode=search", "토지이음")</f>
        <v/>
      </c>
      <c r="O2599" s="3" t="inlineStr">
        <is>
          <t>발품</t>
        </is>
      </c>
      <c r="P2599" s="4" t="n">
        <v>1</v>
      </c>
      <c r="Q2599" s="4" t="n">
        <v>1473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장군면 하봉리 475-8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104800</v>
      </c>
      <c r="G2600" s="4" t="n">
        <v>2166</v>
      </c>
      <c r="H2600" s="4" t="n">
        <v>655</v>
      </c>
      <c r="I2600" s="5" t="n">
        <v>160</v>
      </c>
      <c r="J2600" s="5" t="n">
        <v>41.5</v>
      </c>
      <c r="K2600" s="3" t="inlineStr">
        <is>
          <t>생명나무, 도심지 10분거리 .2차선접한 농업보호구역으로 농지추천드려요</t>
        </is>
      </c>
      <c r="L2600" s="6">
        <f>HYPERLINK("https://fin.land.naver.com/articles/2650335201", "매물Link")</f>
        <v/>
      </c>
      <c r="M2600" s="6">
        <f>HYPERLINK("https://map.naver.com/p/search/장군면 하봉리 475-8", "지도Link")</f>
        <v/>
      </c>
      <c r="N2600" s="6">
        <f>HYPERLINK("http://www.eum.go.kr/web/ar/lu/luLandDet.jsp?pnu=3611035026104750008&amp;isNoScr=script&amp;mode=search", "토지이음")</f>
        <v/>
      </c>
      <c r="O2600" s="3" t="inlineStr">
        <is>
          <t>생명나무</t>
        </is>
      </c>
      <c r="P2600" s="4" t="n">
        <v>1</v>
      </c>
      <c r="Q2600" s="4" t="n">
        <v>2166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소로한면</t>
        </is>
      </c>
    </row>
    <row r="2601">
      <c r="A2601" s="3" t="inlineStr">
        <is>
          <t>장군면 하봉리 478-4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60000</v>
      </c>
      <c r="G2601" s="4" t="n">
        <v>1255</v>
      </c>
      <c r="H2601" s="4" t="n">
        <v>380</v>
      </c>
      <c r="I2601" s="5" t="n">
        <v>157.9</v>
      </c>
      <c r="J2601" s="5" t="n">
        <v>55.8</v>
      </c>
      <c r="K2601" s="3" t="inlineStr">
        <is>
          <t>현재 밭으로 사용중  주목10년생 약 80여 그루, 두릅나무5</t>
        </is>
      </c>
      <c r="L2601" s="6">
        <f>HYPERLINK("https://fin.land.naver.com/articles/2655606785", "매물Link")</f>
        <v/>
      </c>
      <c r="M2601" s="6">
        <f>HYPERLINK("https://map.naver.com/p/search/장군면 하봉리 478-4", "지도Link")</f>
        <v/>
      </c>
      <c r="N2601" s="6">
        <f>HYPERLINK("http://www.eum.go.kr/web/ar/lu/luLandDet.jsp?pnu=3611035026104780004&amp;isNoScr=script&amp;mode=search", "토지이음")</f>
        <v/>
      </c>
      <c r="O2601" s="3" t="inlineStr">
        <is>
          <t>신우</t>
        </is>
      </c>
      <c r="P2601" s="4" t="n">
        <v>1</v>
      </c>
      <c r="Q2601" s="4" t="n">
        <v>1255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하봉리 479-11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70700</v>
      </c>
      <c r="G2602" s="4" t="n">
        <v>1946</v>
      </c>
      <c r="H2602" s="4" t="n">
        <v>589</v>
      </c>
      <c r="I2602" s="5" t="n">
        <v>120</v>
      </c>
      <c r="J2602" s="5" t="n">
        <v>33.6</v>
      </c>
      <c r="K2602" s="3" t="inlineStr">
        <is>
          <t>대토 추천, 2차선도로접 좋은 위치</t>
        </is>
      </c>
      <c r="L2602" s="6">
        <f>HYPERLINK("https://fin.land.naver.com/articles/2652039163", "매물Link")</f>
        <v/>
      </c>
      <c r="M2602" s="6">
        <f>HYPERLINK("https://map.naver.com/p/search/장군면 하봉리 479-11", "지도Link")</f>
        <v/>
      </c>
      <c r="N2602" s="6">
        <f>HYPERLINK("http://www.eum.go.kr/web/ar/lu/luLandDet.jsp?pnu=3611035026104790011&amp;isNoScr=script&amp;mode=search", "토지이음")</f>
        <v/>
      </c>
      <c r="O2602" s="3" t="inlineStr">
        <is>
          <t>미스터홈즈강남지사</t>
        </is>
      </c>
      <c r="P2602" s="4" t="n">
        <v>2</v>
      </c>
      <c r="Q2602" s="4" t="n">
        <v>1946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장군면 하봉리 480-4</t>
        </is>
      </c>
      <c r="B2603" s="3" t="inlineStr">
        <is>
          <t>계획관리지역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180000</v>
      </c>
      <c r="G2603" s="4" t="n">
        <v>2988</v>
      </c>
      <c r="H2603" s="4" t="n">
        <v>904</v>
      </c>
      <c r="I2603" s="5" t="n">
        <v>199.1</v>
      </c>
      <c r="J2603" s="5" t="n">
        <v>78.2</v>
      </c>
      <c r="K2603" s="3" t="inlineStr">
        <is>
          <t>계획관리지역의 농지로 포장도로에 접해있어 공장이나 창고부지로 적합한 토지</t>
        </is>
      </c>
      <c r="L2603" s="6">
        <f>HYPERLINK("https://fin.land.naver.com/articles/2651458895", "매물Link")</f>
        <v/>
      </c>
      <c r="M2603" s="6">
        <f>HYPERLINK("https://map.naver.com/p/search/장군면 하봉리 480-4", "지도Link")</f>
        <v/>
      </c>
      <c r="N2603" s="6">
        <f>HYPERLINK("http://www.eum.go.kr/web/ar/lu/luLandDet.jsp?pnu=3611035026104800004&amp;isNoScr=script&amp;mode=search", "토지이음")</f>
        <v/>
      </c>
      <c r="O2603" s="3" t="inlineStr">
        <is>
          <t>스마일세종</t>
        </is>
      </c>
      <c r="P2603" s="4" t="n">
        <v>1</v>
      </c>
      <c r="Q2603" s="4" t="n">
        <v>2988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세로장방</t>
        </is>
      </c>
      <c r="V2603" s="3" t="inlineStr">
        <is>
          <t>세로각지(가)</t>
        </is>
      </c>
    </row>
    <row r="2604">
      <c r="A2604" s="3" t="inlineStr">
        <is>
          <t>장군면 하봉리 481-4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62000</v>
      </c>
      <c r="G2604" s="4" t="n">
        <v>1576</v>
      </c>
      <c r="H2604" s="4" t="n">
        <v>477</v>
      </c>
      <c r="I2604" s="5" t="n">
        <v>130</v>
      </c>
      <c r="J2604" s="5" t="n">
        <v>52</v>
      </c>
      <c r="K2604" s="3" t="inlineStr">
        <is>
          <t>농지영농부담 없는곳 주변호재 투자최적</t>
        </is>
      </c>
      <c r="L2604" s="6">
        <f>HYPERLINK("https://fin.land.naver.com/articles/2653904494", "매물Link")</f>
        <v/>
      </c>
      <c r="M2604" s="6">
        <f>HYPERLINK("https://map.naver.com/p/search/장군면 하봉리 481-4", "지도Link")</f>
        <v/>
      </c>
      <c r="N2604" s="6">
        <f>HYPERLINK("http://www.eum.go.kr/web/ar/lu/luLandDet.jsp?pnu=3611035026104810004&amp;isNoScr=script&amp;mode=search", "토지이음")</f>
        <v/>
      </c>
      <c r="O2604" s="3" t="inlineStr">
        <is>
          <t>신두정리치</t>
        </is>
      </c>
      <c r="P2604" s="4" t="n">
        <v>2</v>
      </c>
      <c r="Q2604" s="4" t="n">
        <v>1576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완경사</t>
        </is>
      </c>
      <c r="U2604" s="3" t="inlineStr">
        <is>
          <t>세로장방</t>
        </is>
      </c>
      <c r="V2604" s="3" t="inlineStr">
        <is>
          <t>세로한면(가)</t>
        </is>
      </c>
    </row>
    <row r="2605">
      <c r="A2605" s="3" t="inlineStr">
        <is>
          <t>장군면 하봉리 481-4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62000</v>
      </c>
      <c r="G2605" s="4" t="n">
        <v>1576</v>
      </c>
      <c r="H2605" s="4" t="n">
        <v>477</v>
      </c>
      <c r="I2605" s="5" t="n">
        <v>130</v>
      </c>
      <c r="J2605" s="5" t="n">
        <v>52</v>
      </c>
      <c r="K2605" s="3" t="inlineStr">
        <is>
          <t>세종 장군면 하봉리 계획관리 농지 매매</t>
        </is>
      </c>
      <c r="L2605" s="6">
        <f>HYPERLINK("https://fin.land.naver.com/articles/2654258525", "매물Link")</f>
        <v/>
      </c>
      <c r="M2605" s="6">
        <f>HYPERLINK("https://map.naver.com/p/search/장군면 하봉리 481-4", "지도Link")</f>
        <v/>
      </c>
      <c r="N2605" s="6">
        <f>HYPERLINK("http://www.eum.go.kr/web/ar/lu/luLandDet.jsp?pnu=3611035026104810004&amp;isNoScr=script&amp;mode=search", "토지이음")</f>
        <v/>
      </c>
      <c r="O2605" s="3" t="inlineStr">
        <is>
          <t>세종몽땅</t>
        </is>
      </c>
      <c r="P2605" s="4" t="n">
        <v>1</v>
      </c>
      <c r="Q2605" s="4" t="n">
        <v>1576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하봉리 481-4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57000</v>
      </c>
      <c r="G2606" s="4" t="n">
        <v>1576</v>
      </c>
      <c r="H2606" s="4" t="n">
        <v>477</v>
      </c>
      <c r="I2606" s="5" t="n">
        <v>119.5</v>
      </c>
      <c r="J2606" s="5" t="n">
        <v>52</v>
      </c>
      <c r="K2606" s="3" t="inlineStr">
        <is>
          <t>도로접한 계획관리지역 성장관리계획구역 알토란 토지</t>
        </is>
      </c>
      <c r="L2606" s="6">
        <f>HYPERLINK("https://fin.land.naver.com/articles/2654370217", "매물Link")</f>
        <v/>
      </c>
      <c r="M2606" s="6">
        <f>HYPERLINK("https://map.naver.com/p/search/장군면 하봉리 481-4", "지도Link")</f>
        <v/>
      </c>
      <c r="N2606" s="6">
        <f>HYPERLINK("http://www.eum.go.kr/web/ar/lu/luLandDet.jsp?pnu=3611035026104810004&amp;isNoScr=script&amp;mode=search", "토지이음")</f>
        <v/>
      </c>
      <c r="O2606" s="3" t="inlineStr">
        <is>
          <t>고운맘</t>
        </is>
      </c>
      <c r="P2606" s="4" t="n">
        <v>1</v>
      </c>
      <c r="Q2606" s="4" t="n">
        <v>1576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하봉리 481-4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57000</v>
      </c>
      <c r="G2607" s="4" t="n">
        <v>1576</v>
      </c>
      <c r="H2607" s="4" t="n">
        <v>477</v>
      </c>
      <c r="I2607" s="5" t="n">
        <v>119.5</v>
      </c>
      <c r="J2607" s="5" t="n">
        <v>52</v>
      </c>
      <c r="K2607" s="3" t="inlineStr">
        <is>
          <t>2차선 도로접,세종IC 인접, 세종 행복도심과 공주 송선동현지구 중심입</t>
        </is>
      </c>
      <c r="L2607" s="6">
        <f>HYPERLINK("https://fin.land.naver.com/articles/2654927929", "매물Link")</f>
        <v/>
      </c>
      <c r="M2607" s="6">
        <f>HYPERLINK("https://map.naver.com/p/search/장군면 하봉리 481-4", "지도Link")</f>
        <v/>
      </c>
      <c r="N2607" s="6">
        <f>HYPERLINK("http://www.eum.go.kr/web/ar/lu/luLandDet.jsp?pnu=3611035026104810004&amp;isNoScr=script&amp;mode=search", "토지이음")</f>
        <v/>
      </c>
      <c r="O2607" s="3" t="inlineStr">
        <is>
          <t>세종신한</t>
        </is>
      </c>
      <c r="P2607" s="4" t="n">
        <v>9</v>
      </c>
      <c r="Q2607" s="4" t="n">
        <v>1576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완경사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하봉리 481-4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66700</v>
      </c>
      <c r="G2608" s="4" t="n">
        <v>1576</v>
      </c>
      <c r="H2608" s="4" t="n">
        <v>477</v>
      </c>
      <c r="I2608" s="5" t="n">
        <v>139.8</v>
      </c>
      <c r="J2608" s="5" t="n">
        <v>52</v>
      </c>
      <c r="K2608" s="3" t="inlineStr">
        <is>
          <t>메타세쿼이아 숲 조성, 계획관리지역, 서세종IC 차량 약 5분</t>
        </is>
      </c>
      <c r="L2608" s="6">
        <f>HYPERLINK("https://fin.land.naver.com/articles/2654291684", "매물Link")</f>
        <v/>
      </c>
      <c r="M2608" s="6">
        <f>HYPERLINK("https://map.naver.com/p/search/장군면 하봉리 481-4", "지도Link")</f>
        <v/>
      </c>
      <c r="N2608" s="6">
        <f>HYPERLINK("http://www.eum.go.kr/web/ar/lu/luLandDet.jsp?pnu=3611035026104810004&amp;isNoScr=script&amp;mode=search", "토지이음")</f>
        <v/>
      </c>
      <c r="O2608" s="3" t="inlineStr">
        <is>
          <t>세종소담황금</t>
        </is>
      </c>
      <c r="P2608" s="4" t="n">
        <v>1</v>
      </c>
      <c r="Q2608" s="4" t="n">
        <v>1576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하봉리 481-5</t>
        </is>
      </c>
      <c r="B2609" s="3" t="inlineStr">
        <is>
          <t>계획관리지역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86000</v>
      </c>
      <c r="G2609" s="4" t="n">
        <v>1667</v>
      </c>
      <c r="H2609" s="4" t="n">
        <v>504</v>
      </c>
      <c r="I2609" s="5" t="n">
        <v>170.6</v>
      </c>
      <c r="J2609" s="5" t="n">
        <v>52</v>
      </c>
      <c r="K2609" s="3" t="inlineStr">
        <is>
          <t>대토용으로 적극추천, 투자용으로도 좋습니다.</t>
        </is>
      </c>
      <c r="L2609" s="6">
        <f>HYPERLINK("https://fin.land.naver.com/articles/2650697170", "매물Link")</f>
        <v/>
      </c>
      <c r="M2609" s="6">
        <f>HYPERLINK("https://map.naver.com/p/search/장군면 하봉리 481-5", "지도Link")</f>
        <v/>
      </c>
      <c r="N2609" s="6">
        <f>HYPERLINK("http://www.eum.go.kr/web/ar/lu/luLandDet.jsp?pnu=3611035026104810005&amp;isNoScr=script&amp;mode=search", "토지이음")</f>
        <v/>
      </c>
      <c r="O2609" s="3" t="inlineStr">
        <is>
          <t>이담</t>
        </is>
      </c>
      <c r="P2609" s="4" t="n">
        <v>1</v>
      </c>
      <c r="Q2609" s="4" t="n">
        <v>1667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장군면 하봉리 51-44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31000</v>
      </c>
      <c r="G2610" s="4" t="n">
        <v>447</v>
      </c>
      <c r="H2610" s="4" t="n">
        <v>135</v>
      </c>
      <c r="I2610" s="5" t="n">
        <v>229.6</v>
      </c>
      <c r="J2610" s="5" t="n">
        <v>225.3</v>
      </c>
      <c r="K2610" s="3" t="inlineStr">
        <is>
          <t>nan</t>
        </is>
      </c>
      <c r="L2610" s="6">
        <f>HYPERLINK("https://fin.land.naver.com/articles/2655695357", "매물Link")</f>
        <v/>
      </c>
      <c r="M2610" s="6">
        <f>HYPERLINK("https://map.naver.com/p/search/장군면 하봉리 51-44", "지도Link")</f>
        <v/>
      </c>
      <c r="N2610" s="6">
        <f>HYPERLINK("http://www.eum.go.kr/web/ar/lu/luLandDet.jsp?pnu=3611035026100510044&amp;isNoScr=script&amp;mode=search", "토지이음")</f>
        <v/>
      </c>
      <c r="O2610" s="3" t="inlineStr">
        <is>
          <t>다정현대</t>
        </is>
      </c>
      <c r="P2610" s="4" t="n">
        <v>1</v>
      </c>
      <c r="Q2610" s="4" t="n">
        <v>392</v>
      </c>
      <c r="R2610" s="3" t="inlineStr">
        <is>
          <t>지정되지않음</t>
        </is>
      </c>
      <c r="S2610" s="3" t="inlineStr">
        <is>
          <t>주거나지</t>
        </is>
      </c>
      <c r="T2610" s="3" t="inlineStr">
        <is>
          <t>평지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하봉리 51-46</t>
        </is>
      </c>
      <c r="B2611" s="3" t="inlineStr">
        <is>
          <t>계획관리지역</t>
        </is>
      </c>
      <c r="C2611" s="3" t="inlineStr">
        <is>
          <t>대</t>
        </is>
      </c>
      <c r="D2611" s="3" t="inlineStr">
        <is>
          <t>대</t>
        </is>
      </c>
      <c r="E2611" s="3" t="inlineStr">
        <is>
          <t>매매</t>
        </is>
      </c>
      <c r="F2611" s="4" t="n">
        <v>13000</v>
      </c>
      <c r="G2611" s="4" t="n">
        <v>132</v>
      </c>
      <c r="H2611" s="4" t="n">
        <v>40</v>
      </c>
      <c r="I2611" s="5" t="n">
        <v>325</v>
      </c>
      <c r="J2611" s="5" t="n">
        <v>225.3</v>
      </c>
      <c r="K2611" s="3" t="inlineStr">
        <is>
          <t>nan</t>
        </is>
      </c>
      <c r="L2611" s="6">
        <f>HYPERLINK("https://fin.land.naver.com/articles/2652853853", "매물Link")</f>
        <v/>
      </c>
      <c r="M2611" s="6">
        <f>HYPERLINK("https://map.naver.com/p/search/장군면 하봉리 51-46", "지도Link")</f>
        <v/>
      </c>
      <c r="N2611" s="6">
        <f>HYPERLINK("http://www.eum.go.kr/web/ar/lu/luLandDet.jsp?pnu=3611035026100510046&amp;isNoScr=script&amp;mode=search", "토지이음")</f>
        <v/>
      </c>
      <c r="O2611" s="3" t="inlineStr">
        <is>
          <t>다정현대</t>
        </is>
      </c>
      <c r="P2611" s="4" t="n">
        <v>1</v>
      </c>
      <c r="Q2611" s="4" t="n">
        <v>465</v>
      </c>
      <c r="R2611" s="3" t="inlineStr">
        <is>
          <t>지정되지않음</t>
        </is>
      </c>
      <c r="S2611" s="3" t="inlineStr">
        <is>
          <t>주거나지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장군면 하봉리 538-1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대</t>
        </is>
      </c>
      <c r="E2612" s="3" t="inlineStr">
        <is>
          <t>매매</t>
        </is>
      </c>
      <c r="F2612" s="4" t="n">
        <v>123450</v>
      </c>
      <c r="G2612" s="4" t="n">
        <v>2720</v>
      </c>
      <c r="H2612" s="4" t="n">
        <v>823</v>
      </c>
      <c r="I2612" s="5" t="n">
        <v>150</v>
      </c>
      <c r="J2612" s="5" t="n">
        <v>37.4</v>
      </c>
      <c r="K2612" s="3" t="inlineStr">
        <is>
          <t>계획관리이며 송선동개발지역 근접거리</t>
        </is>
      </c>
      <c r="L2612" s="6">
        <f>HYPERLINK("https://fin.land.naver.com/articles/2653147645", "매물Link")</f>
        <v/>
      </c>
      <c r="M2612" s="6">
        <f>HYPERLINK("https://map.naver.com/p/search/장군면 하봉리 538-1", "지도Link")</f>
        <v/>
      </c>
      <c r="N2612" s="6">
        <f>HYPERLINK("http://www.eum.go.kr/web/ar/lu/luLandDet.jsp?pnu=3611035026105380001&amp;isNoScr=script&amp;mode=search", "토지이음")</f>
        <v/>
      </c>
      <c r="O2612" s="3" t="inlineStr">
        <is>
          <t>윤앤강</t>
        </is>
      </c>
      <c r="P2612" s="4" t="n">
        <v>1</v>
      </c>
      <c r="Q2612" s="4" t="n">
        <v>2720.7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장군면 하봉리 59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90000</v>
      </c>
      <c r="G2613" s="4" t="n">
        <v>1466</v>
      </c>
      <c r="H2613" s="4" t="n">
        <v>443</v>
      </c>
      <c r="I2613" s="5" t="n">
        <v>203.2</v>
      </c>
      <c r="J2613" s="5" t="n">
        <v>80</v>
      </c>
      <c r="K2613" s="3" t="inlineStr">
        <is>
          <t>nan</t>
        </is>
      </c>
      <c r="L2613" s="6">
        <f>HYPERLINK("https://fin.land.naver.com/articles/2651391140", "매물Link")</f>
        <v/>
      </c>
      <c r="M2613" s="6">
        <f>HYPERLINK("https://map.naver.com/p/search/장군면 하봉리 59", "지도Link")</f>
        <v/>
      </c>
      <c r="N2613" s="6">
        <f>HYPERLINK("http://www.eum.go.kr/web/ar/lu/luLandDet.jsp?pnu=3611035026100590000&amp;isNoScr=script&amp;mode=search", "토지이음")</f>
        <v/>
      </c>
      <c r="O2613" s="3" t="inlineStr">
        <is>
          <t>신우</t>
        </is>
      </c>
      <c r="P2613" s="4" t="n">
        <v>1</v>
      </c>
      <c r="Q2613" s="4" t="n">
        <v>1466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하봉리 63-2</t>
        </is>
      </c>
      <c r="B2614" s="3" t="inlineStr">
        <is>
          <t>계획관리지역</t>
        </is>
      </c>
      <c r="C2614" s="3" t="inlineStr">
        <is>
          <t>대</t>
        </is>
      </c>
      <c r="D2614" s="3" t="inlineStr">
        <is>
          <t>대</t>
        </is>
      </c>
      <c r="E2614" s="3" t="inlineStr">
        <is>
          <t>매매</t>
        </is>
      </c>
      <c r="F2614" s="4" t="n">
        <v>57000</v>
      </c>
      <c r="G2614" s="4" t="n">
        <v>826</v>
      </c>
      <c r="H2614" s="4" t="n">
        <v>250</v>
      </c>
      <c r="I2614" s="5" t="n">
        <v>228</v>
      </c>
      <c r="J2614" s="5" t="n">
        <v>107.6</v>
      </c>
      <c r="K2614" s="3" t="inlineStr">
        <is>
          <t>계획관리지역 공주시 송선.동현지구 도시개발사업 영향,투자용 추천</t>
        </is>
      </c>
      <c r="L2614" s="6">
        <f>HYPERLINK("https://fin.land.naver.com/articles/2652754150", "매물Link")</f>
        <v/>
      </c>
      <c r="M2614" s="6">
        <f>HYPERLINK("https://map.naver.com/p/search/장군면 하봉리 63-2", "지도Link")</f>
        <v/>
      </c>
      <c r="N2614" s="6">
        <f>HYPERLINK("http://www.eum.go.kr/web/ar/lu/luLandDet.jsp?pnu=3611035026100630002&amp;isNoScr=script&amp;mode=search", "토지이음")</f>
        <v/>
      </c>
      <c r="O2614" s="3" t="inlineStr">
        <is>
          <t>고운맘</t>
        </is>
      </c>
      <c r="P2614" s="4" t="n">
        <v>1</v>
      </c>
      <c r="Q2614" s="4" t="n">
        <v>405</v>
      </c>
      <c r="R2614" s="3" t="inlineStr">
        <is>
          <t>지정되지않음</t>
        </is>
      </c>
      <c r="S2614" s="3" t="inlineStr">
        <is>
          <t>단독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88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전</t>
        </is>
      </c>
      <c r="E2615" s="3" t="inlineStr">
        <is>
          <t>매매</t>
        </is>
      </c>
      <c r="F2615" s="4" t="n">
        <v>143400</v>
      </c>
      <c r="G2615" s="4" t="n">
        <v>1582</v>
      </c>
      <c r="H2615" s="4" t="n">
        <v>479</v>
      </c>
      <c r="I2615" s="5" t="n">
        <v>299.4</v>
      </c>
      <c r="J2615" s="5" t="n">
        <v>67.59999999999999</v>
      </c>
      <c r="K2615" s="3" t="inlineStr">
        <is>
          <t>서세종IC 인근 세종 장군면 교통광장 접한 성장관리계획 토지</t>
        </is>
      </c>
      <c r="L2615" s="6">
        <f>HYPERLINK("https://fin.land.naver.com/articles/2650782672", "매물Link")</f>
        <v/>
      </c>
      <c r="M2615" s="6">
        <f>HYPERLINK("https://map.naver.com/p/search/장군면 하봉리 88", "지도Link")</f>
        <v/>
      </c>
      <c r="N2615" s="6">
        <f>HYPERLINK("http://www.eum.go.kr/web/ar/lu/luLandDet.jsp?pnu=3611035026100880000&amp;isNoScr=script&amp;mode=search", "토지이음")</f>
        <v/>
      </c>
      <c r="O2615" s="3" t="inlineStr">
        <is>
          <t>대성오투그란데</t>
        </is>
      </c>
      <c r="P2615" s="4" t="n">
        <v>1</v>
      </c>
      <c r="Q2615" s="4" t="n">
        <v>1410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장군면 하봉리 90-10</t>
        </is>
      </c>
      <c r="B2616" s="3" t="inlineStr">
        <is>
          <t>계획관리지역</t>
        </is>
      </c>
      <c r="C2616" s="3" t="inlineStr">
        <is>
          <t>임야</t>
        </is>
      </c>
      <c r="D2616" s="3" t="inlineStr">
        <is>
          <t>임야</t>
        </is>
      </c>
      <c r="E2616" s="3" t="inlineStr">
        <is>
          <t>매매</t>
        </is>
      </c>
      <c r="F2616" s="4" t="n">
        <v>220000</v>
      </c>
      <c r="G2616" s="4" t="n">
        <v>5185</v>
      </c>
      <c r="H2616" s="4" t="n">
        <v>1568</v>
      </c>
      <c r="I2616" s="5" t="n">
        <v>140.3</v>
      </c>
      <c r="J2616" s="5" t="n">
        <v>25.5</v>
      </c>
      <c r="K2616" s="3" t="inlineStr">
        <is>
          <t>전원주택부지 , 창고부지 , 도로접 ,투자용으로 좋음</t>
        </is>
      </c>
      <c r="L2616" s="6">
        <f>HYPERLINK("https://fin.land.naver.com/articles/2653795977", "매물Link")</f>
        <v/>
      </c>
      <c r="M2616" s="6">
        <f>HYPERLINK("https://map.naver.com/p/search/장군면 하봉리 90-10", "지도Link")</f>
        <v/>
      </c>
      <c r="N2616" s="6">
        <f>HYPERLINK("http://www.eum.go.kr/web/ar/lu/luLandDet.jsp?pnu=3611035026100900010&amp;isNoScr=script&amp;mode=search", "토지이음")</f>
        <v/>
      </c>
      <c r="O2616" s="3" t="inlineStr">
        <is>
          <t>세종이룸</t>
        </is>
      </c>
      <c r="P2616" s="4" t="n">
        <v>2</v>
      </c>
      <c r="Q2616" s="4" t="n">
        <v>2797</v>
      </c>
      <c r="R2616" s="3" t="inlineStr">
        <is>
          <t>지정되지않음</t>
        </is>
      </c>
      <c r="S2616" s="3" t="inlineStr">
        <is>
          <t>자연림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세로각지(가)</t>
        </is>
      </c>
    </row>
    <row r="2617">
      <c r="A2617" s="3" t="inlineStr">
        <is>
          <t>장군면 하봉리 산 4-25</t>
        </is>
      </c>
      <c r="B2617" s="3" t="inlineStr">
        <is>
          <t>보전관리지역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100000</v>
      </c>
      <c r="G2617" s="4" t="n">
        <v>5487</v>
      </c>
      <c r="H2617" s="4" t="n">
        <v>1660</v>
      </c>
      <c r="I2617" s="5" t="n">
        <v>60.2</v>
      </c>
      <c r="J2617" s="5" t="n">
        <v>17.5</v>
      </c>
      <c r="K2617" s="3" t="inlineStr">
        <is>
          <t>고속도로 인근에 있어 광고판 등으로 활용하면 좋은 경사도 완만한 임야</t>
        </is>
      </c>
      <c r="L2617" s="6">
        <f>HYPERLINK("https://fin.land.naver.com/articles/2651469622", "매물Link")</f>
        <v/>
      </c>
      <c r="M2617" s="6">
        <f>HYPERLINK("https://map.naver.com/p/search/장군면 하봉리 산 4-25", "지도Link")</f>
        <v/>
      </c>
      <c r="N2617" s="6">
        <f>HYPERLINK("http://www.eum.go.kr/web/ar/lu/luLandDet.jsp?pnu=3611035026200040025&amp;isNoScr=script&amp;mode=search", "토지이음")</f>
        <v/>
      </c>
      <c r="O2617" s="3" t="inlineStr">
        <is>
          <t>스마일세종</t>
        </is>
      </c>
      <c r="P2617" s="4" t="n">
        <v>1</v>
      </c>
      <c r="Q2617" s="4" t="n">
        <v>5487</v>
      </c>
      <c r="R2617" s="3" t="inlineStr">
        <is>
          <t>지정되지않음</t>
        </is>
      </c>
      <c r="S2617" s="3" t="inlineStr">
        <is>
          <t>자연림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맹지</t>
        </is>
      </c>
    </row>
    <row r="2618">
      <c r="A2618" s="3" t="inlineStr">
        <is>
          <t>장군면 하봉리 산12-76</t>
        </is>
      </c>
      <c r="B2618" s="3" t="inlineStr">
        <is>
          <t>보전관리지역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350000</v>
      </c>
      <c r="G2618" s="4" t="n">
        <v>17324</v>
      </c>
      <c r="H2618" s="4" t="n">
        <v>5241</v>
      </c>
      <c r="I2618" s="5" t="n">
        <v>66.8</v>
      </c>
      <c r="J2618" s="5" t="n">
        <v>21.2</v>
      </c>
      <c r="K2618" s="3" t="inlineStr">
        <is>
          <t>전망 좋은 위치 도로 개설 완료 전기.수도 인입 수월한 대형 토지</t>
        </is>
      </c>
      <c r="L2618" s="6">
        <f>HYPERLINK("https://fin.land.naver.com/articles/2654678640", "매물Link")</f>
        <v/>
      </c>
      <c r="M2618" s="6">
        <f>HYPERLINK("https://map.naver.com/p/search/장군면 하봉리 산12-76", "지도Link")</f>
        <v/>
      </c>
      <c r="N2618" s="6">
        <f>HYPERLINK("http://www.eum.go.kr/web/ar/lu/luLandDet.jsp?pnu=3611035026200120076&amp;isNoScr=script&amp;mode=search", "토지이음")</f>
        <v/>
      </c>
      <c r="O2618" s="3" t="inlineStr">
        <is>
          <t>세종공주원탑</t>
        </is>
      </c>
      <c r="P2618" s="4" t="n">
        <v>1</v>
      </c>
      <c r="Q2618" s="4" t="n">
        <v>14057</v>
      </c>
      <c r="R2618" s="3" t="inlineStr">
        <is>
          <t>지정되지않음</t>
        </is>
      </c>
      <c r="S2618" s="3" t="inlineStr">
        <is>
          <t>자연림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맹지</t>
        </is>
      </c>
    </row>
    <row r="2619">
      <c r="A2619" s="3" t="inlineStr">
        <is>
          <t>장군면 하봉리 산4-50</t>
        </is>
      </c>
      <c r="B2619" s="3" t="inlineStr">
        <is>
          <t>보전관리지역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120000</v>
      </c>
      <c r="G2619" s="4" t="n">
        <v>330</v>
      </c>
      <c r="H2619" s="4" t="n">
        <v>100</v>
      </c>
      <c r="I2619" s="5" t="n">
        <v>1200</v>
      </c>
      <c r="J2619" s="5" t="n">
        <v>26.8</v>
      </c>
      <c r="K2619" s="3" t="inlineStr">
        <is>
          <t>주변에 택지조성을 잘 해놧어요.카페도 현재 영업중</t>
        </is>
      </c>
      <c r="L2619" s="6">
        <f>HYPERLINK("https://fin.land.naver.com/articles/2651218820", "매물Link")</f>
        <v/>
      </c>
      <c r="M2619" s="6">
        <f>HYPERLINK("https://map.naver.com/p/search/장군면 하봉리 산4-50", "지도Link")</f>
        <v/>
      </c>
      <c r="N2619" s="6">
        <f>HYPERLINK("http://www.eum.go.kr/web/ar/lu/luLandDet.jsp?pnu=3611035026200040050&amp;isNoScr=script&amp;mode=search", "토지이음")</f>
        <v/>
      </c>
      <c r="O2619" s="3" t="inlineStr">
        <is>
          <t>보람뜰</t>
        </is>
      </c>
      <c r="P2619" s="4" t="n">
        <v>1</v>
      </c>
      <c r="Q2619" s="4" t="n">
        <v>3306</v>
      </c>
      <c r="R2619" s="3" t="inlineStr">
        <is>
          <t>지정되지않음</t>
        </is>
      </c>
      <c r="S2619" s="3" t="inlineStr">
        <is>
          <t>자연림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노장리 236-1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36000</v>
      </c>
      <c r="G2620" s="4" t="n">
        <v>1495</v>
      </c>
      <c r="H2620" s="4" t="n">
        <v>452</v>
      </c>
      <c r="I2620" s="5" t="n">
        <v>79.59999999999999</v>
      </c>
      <c r="J2620" s="5" t="n">
        <v>13.4</v>
      </c>
      <c r="K2620" s="3" t="inlineStr">
        <is>
          <t>확트인 저수지 조망,전원주택지추천,공방,창고등추천</t>
        </is>
      </c>
      <c r="L2620" s="6">
        <f>HYPERLINK("https://fin.land.naver.com/articles/2650723965", "매물Link")</f>
        <v/>
      </c>
      <c r="M2620" s="6">
        <f>HYPERLINK("https://map.naver.com/p/search/전동면 노장리 236-1", "지도Link")</f>
        <v/>
      </c>
      <c r="N2620" s="6">
        <f>HYPERLINK("http://www.eum.go.kr/web/ar/lu/luLandDet.jsp?pnu=3611038021102360001&amp;isNoScr=script&amp;mode=search",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1421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사다리형</t>
        </is>
      </c>
      <c r="V2620" s="3" t="inlineStr">
        <is>
          <t>맹지</t>
        </is>
      </c>
    </row>
    <row r="2621">
      <c r="A2621" s="3" t="inlineStr">
        <is>
          <t>전동면 노장리 241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79000</v>
      </c>
      <c r="G2621" s="4" t="n">
        <v>5808</v>
      </c>
      <c r="H2621" s="4" t="n">
        <v>1757</v>
      </c>
      <c r="I2621" s="5" t="n">
        <v>45</v>
      </c>
      <c r="J2621" s="5" t="n">
        <v>12</v>
      </c>
      <c r="K2621" s="3" t="inlineStr">
        <is>
          <t>노장리 상노장저수지인근 농지매매</t>
        </is>
      </c>
      <c r="L2621" s="6">
        <f>HYPERLINK("https://fin.land.naver.com/articles/2655536909", "매물Link")</f>
        <v/>
      </c>
      <c r="M2621" s="6">
        <f>HYPERLINK("https://map.naver.com/p/search/전동면 노장리 241", "지도Link")</f>
        <v/>
      </c>
      <c r="N2621" s="6">
        <f>HYPERLINK("http://www.eum.go.kr/web/ar/lu/luLandDet.jsp?pnu=3611038021102410000&amp;isNoScr=script&amp;mode=search", "토지이음")</f>
        <v/>
      </c>
      <c r="O2621" s="3" t="inlineStr">
        <is>
          <t>에이스</t>
        </is>
      </c>
      <c r="P2621" s="4" t="n">
        <v>1</v>
      </c>
      <c r="Q2621" s="4" t="n">
        <v>5279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노장리 336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35000</v>
      </c>
      <c r="G2622" s="4" t="n">
        <v>734</v>
      </c>
      <c r="H2622" s="4" t="n">
        <v>222</v>
      </c>
      <c r="I2622" s="5" t="n">
        <v>157.7</v>
      </c>
      <c r="J2622" s="5" t="n">
        <v>23.6</v>
      </c>
      <c r="K2622" s="3" t="inlineStr">
        <is>
          <t>전동면 노장산업단지 계획관리 토지매매</t>
        </is>
      </c>
      <c r="L2622" s="6">
        <f>HYPERLINK("https://fin.land.naver.com/articles/2654586737", "매물Link")</f>
        <v/>
      </c>
      <c r="M2622" s="6">
        <f>HYPERLINK("https://map.naver.com/p/search/전동면 노장리 336", "지도Link")</f>
        <v/>
      </c>
      <c r="N2622" s="6">
        <f>HYPERLINK("http://www.eum.go.kr/web/ar/lu/luLandDet.jsp?pnu=3611038021103360000&amp;isNoScr=script&amp;mode=search", "토지이음")</f>
        <v/>
      </c>
      <c r="O2622" s="3" t="inlineStr">
        <is>
          <t>스타트</t>
        </is>
      </c>
      <c r="P2622" s="4" t="n">
        <v>1</v>
      </c>
      <c r="Q2622" s="4" t="n">
        <v>734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노장리 364</t>
        </is>
      </c>
      <c r="B2623" s="3" t="inlineStr">
        <is>
          <t>계획관리지역</t>
        </is>
      </c>
      <c r="C2623" s="3" t="inlineStr">
        <is>
          <t>잡종지</t>
        </is>
      </c>
      <c r="D2623" s="3" t="inlineStr">
        <is>
          <t>잡종지</t>
        </is>
      </c>
      <c r="E2623" s="3" t="inlineStr">
        <is>
          <t>매매</t>
        </is>
      </c>
      <c r="F2623" s="4" t="n">
        <v>1510000</v>
      </c>
      <c r="G2623" s="4" t="n">
        <v>8152</v>
      </c>
      <c r="H2623" s="4" t="n">
        <v>2466</v>
      </c>
      <c r="I2623" s="5" t="n">
        <v>612.3</v>
      </c>
      <c r="J2623" s="5" t="n">
        <v>130.5</v>
      </c>
      <c r="K2623" s="3" t="inlineStr">
        <is>
          <t>세종시 북부지역 교통요충지 입지한 토지로 현재 운전학원 운영중</t>
        </is>
      </c>
      <c r="L2623" s="6">
        <f>HYPERLINK("https://fin.land.naver.com/articles/2652042584", "매물Link")</f>
        <v/>
      </c>
      <c r="M2623" s="6">
        <f>HYPERLINK("https://map.naver.com/p/search/전동면 노장리 364", "지도Link")</f>
        <v/>
      </c>
      <c r="N2623" s="6">
        <f>HYPERLINK("http://www.eum.go.kr/web/ar/lu/luLandDet.jsp?pnu=3611038021103640000&amp;isNoScr=script&amp;mode=search", "토지이음")</f>
        <v/>
      </c>
      <c r="O2623" s="3" t="inlineStr">
        <is>
          <t>미스터홈즈강남지사</t>
        </is>
      </c>
      <c r="P2623" s="4" t="n">
        <v>1</v>
      </c>
      <c r="Q2623" s="4" t="n">
        <v>6562</v>
      </c>
      <c r="R2623" s="3" t="inlineStr">
        <is>
          <t>지정되지않음</t>
        </is>
      </c>
      <c r="S2623" s="3" t="inlineStr">
        <is>
          <t>상업용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소로한면</t>
        </is>
      </c>
    </row>
    <row r="2624">
      <c r="A2624" s="3" t="inlineStr">
        <is>
          <t>전동면 노장리 366-1</t>
        </is>
      </c>
      <c r="B2624" s="3" t="inlineStr">
        <is>
          <t>계획관리지역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59400</v>
      </c>
      <c r="G2624" s="4" t="n">
        <v>1964</v>
      </c>
      <c r="H2624" s="4" t="n">
        <v>594</v>
      </c>
      <c r="I2624" s="5" t="n">
        <v>100</v>
      </c>
      <c r="J2624" s="5" t="n">
        <v>59.9</v>
      </c>
      <c r="K2624" s="3" t="inlineStr">
        <is>
          <t>계획관리지역 답으로 투자가치 좋아요.</t>
        </is>
      </c>
      <c r="L2624" s="6">
        <f>HYPERLINK("https://fin.land.naver.com/articles/2653609053", "매물Link")</f>
        <v/>
      </c>
      <c r="M2624" s="6">
        <f>HYPERLINK("https://map.naver.com/p/search/전동면 노장리 366-1", "지도Link")</f>
        <v/>
      </c>
      <c r="N2624" s="6">
        <f>HYPERLINK("http://www.eum.go.kr/web/ar/lu/luLandDet.jsp?pnu=3611038021103660001&amp;isNoScr=script&amp;mode=search", "토지이음")</f>
        <v/>
      </c>
      <c r="O2624" s="3" t="inlineStr">
        <is>
          <t>마마</t>
        </is>
      </c>
      <c r="P2624" s="4" t="n">
        <v>1</v>
      </c>
      <c r="Q2624" s="4" t="n">
        <v>1964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전동면 노장리 382-1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43400</v>
      </c>
      <c r="G2625" s="4" t="n">
        <v>1795</v>
      </c>
      <c r="H2625" s="4" t="n">
        <v>543</v>
      </c>
      <c r="I2625" s="5" t="n">
        <v>79.90000000000001</v>
      </c>
      <c r="J2625" s="5" t="n">
        <v>28</v>
      </c>
      <c r="K2625" s="3" t="inlineStr">
        <is>
          <t>nan</t>
        </is>
      </c>
      <c r="L2625" s="6">
        <f>HYPERLINK("https://fin.land.naver.com/articles/2654164563", "매물Link")</f>
        <v/>
      </c>
      <c r="M2625" s="6">
        <f>HYPERLINK("https://map.naver.com/p/search/전동면 노장리 382-1", "지도Link")</f>
        <v/>
      </c>
      <c r="N2625" s="6">
        <f>HYPERLINK("http://www.eum.go.kr/web/ar/lu/luLandDet.jsp?pnu=3611038021103820001&amp;isNoScr=script&amp;mode=search", "토지이음")</f>
        <v/>
      </c>
      <c r="O2625" s="3" t="inlineStr">
        <is>
          <t>마마</t>
        </is>
      </c>
      <c r="P2625" s="4" t="n">
        <v>1</v>
      </c>
      <c r="Q2625" s="4" t="n">
        <v>1795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노장리 471-1</t>
        </is>
      </c>
      <c r="B2626" s="3" t="inlineStr">
        <is>
          <t>보전관리지역</t>
        </is>
      </c>
      <c r="C2626" s="3" t="inlineStr">
        <is>
          <t>제방</t>
        </is>
      </c>
      <c r="D2626" s="3" t="inlineStr">
        <is>
          <t>답</t>
        </is>
      </c>
      <c r="E2626" s="3" t="inlineStr">
        <is>
          <t>매매</t>
        </is>
      </c>
      <c r="F2626" s="4" t="n">
        <v>37750</v>
      </c>
      <c r="G2626" s="4" t="n">
        <v>500</v>
      </c>
      <c r="H2626" s="4" t="n">
        <v>151</v>
      </c>
      <c r="I2626" s="5" t="n">
        <v>250</v>
      </c>
      <c r="J2626" s="5" t="n">
        <v>18</v>
      </c>
      <c r="K2626" s="3" t="inlineStr">
        <is>
          <t>전동일반산업단지 바로 옆 2차선 대로변</t>
        </is>
      </c>
      <c r="L2626" s="6">
        <f>HYPERLINK("https://fin.land.naver.com/articles/2652110670", "매물Link")</f>
        <v/>
      </c>
      <c r="M2626" s="6">
        <f>HYPERLINK("https://map.naver.com/p/search/전동면 노장리 471-1", "지도Link")</f>
        <v/>
      </c>
      <c r="N2626" s="6">
        <f>HYPERLINK("http://www.eum.go.kr/web/ar/lu/luLandDet.jsp?pnu=3611038021104710001&amp;isNoScr=script&amp;mode=search", "토지이음")</f>
        <v/>
      </c>
      <c r="O2626" s="3" t="inlineStr">
        <is>
          <t>자이</t>
        </is>
      </c>
      <c r="P2626" s="4" t="n">
        <v>1</v>
      </c>
      <c r="Q2626" s="4" t="n">
        <v>500</v>
      </c>
      <c r="R2626" s="3" t="inlineStr">
        <is>
          <t>지정되지않음</t>
        </is>
      </c>
      <c r="S2626" s="3" t="inlineStr">
        <is>
          <t>하천등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지정되지않음</t>
        </is>
      </c>
    </row>
    <row r="2627">
      <c r="A2627" s="3" t="inlineStr">
        <is>
          <t>전동면 노장리 471-4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189000</v>
      </c>
      <c r="G2627" s="4" t="n">
        <v>2500</v>
      </c>
      <c r="H2627" s="4" t="n">
        <v>756</v>
      </c>
      <c r="I2627" s="5" t="n">
        <v>250</v>
      </c>
      <c r="J2627" s="5" t="n">
        <v>44.3</v>
      </c>
      <c r="K2627" s="3" t="inlineStr">
        <is>
          <t>전동일반산업단지 바로 옆 2차선 대로변</t>
        </is>
      </c>
      <c r="L2627" s="6">
        <f>HYPERLINK("https://fin.land.naver.com/articles/2652110210", "매물Link")</f>
        <v/>
      </c>
      <c r="M2627" s="6">
        <f>HYPERLINK("https://map.naver.com/p/search/전동면 노장리 471-4", "지도Link")</f>
        <v/>
      </c>
      <c r="N2627" s="6">
        <f>HYPERLINK("http://www.eum.go.kr/web/ar/lu/luLandDet.jsp?pnu=3611038021104710004&amp;isNoScr=script&amp;mode=search", "토지이음")</f>
        <v/>
      </c>
      <c r="O2627" s="3" t="inlineStr">
        <is>
          <t>자이</t>
        </is>
      </c>
      <c r="P2627" s="4" t="n">
        <v>1</v>
      </c>
      <c r="Q2627" s="4" t="n">
        <v>2500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노장리 474</t>
        </is>
      </c>
      <c r="B2628" s="3" t="inlineStr">
        <is>
          <t>계획관리지역</t>
        </is>
      </c>
      <c r="C2628" s="3" t="inlineStr">
        <is>
          <t>전</t>
        </is>
      </c>
      <c r="D2628" s="3" t="inlineStr">
        <is>
          <t>전</t>
        </is>
      </c>
      <c r="E2628" s="3" t="inlineStr">
        <is>
          <t>매매</t>
        </is>
      </c>
      <c r="F2628" s="4" t="n">
        <v>300000</v>
      </c>
      <c r="G2628" s="4" t="n">
        <v>7560</v>
      </c>
      <c r="H2628" s="4" t="n">
        <v>2287</v>
      </c>
      <c r="I2628" s="5" t="n">
        <v>131.2</v>
      </c>
      <c r="J2628" s="5" t="n">
        <v>30.4</v>
      </c>
      <c r="K2628" s="3" t="inlineStr">
        <is>
          <t>전동면 노장리 계획관리지역으로 공장,창고하기 적합한 토지임</t>
        </is>
      </c>
      <c r="L2628" s="6">
        <f>HYPERLINK("https://fin.land.naver.com/articles/2651708302", "매물Link")</f>
        <v/>
      </c>
      <c r="M2628" s="6">
        <f>HYPERLINK("https://map.naver.com/p/search/전동면 노장리 474", "지도Link")</f>
        <v/>
      </c>
      <c r="N2628" s="6">
        <f>HYPERLINK("http://www.eum.go.kr/web/ar/lu/luLandDet.jsp?pnu=3611038021104740000&amp;isNoScr=script&amp;mode=search", "토지이음")</f>
        <v/>
      </c>
      <c r="O2628" s="3" t="inlineStr">
        <is>
          <t>OK수</t>
        </is>
      </c>
      <c r="P2628" s="4" t="n">
        <v>1</v>
      </c>
      <c r="Q2628" s="4" t="n">
        <v>5448</v>
      </c>
      <c r="R2628" s="3" t="inlineStr">
        <is>
          <t>지정되지않음</t>
        </is>
      </c>
      <c r="S2628" s="3" t="inlineStr">
        <is>
          <t>전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노장리 512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150000</v>
      </c>
      <c r="G2629" s="4" t="n">
        <v>3404</v>
      </c>
      <c r="H2629" s="4" t="n">
        <v>1030</v>
      </c>
      <c r="I2629" s="5" t="n">
        <v>145.6</v>
      </c>
      <c r="J2629" s="5" t="n">
        <v>73</v>
      </c>
      <c r="K2629" s="3" t="inlineStr">
        <is>
          <t>전동면 2차선 도로변에 접한 계획관리지역 토지 매매</t>
        </is>
      </c>
      <c r="L2629" s="6">
        <f>HYPERLINK("https://fin.land.naver.com/articles/2653390861", "매물Link")</f>
        <v/>
      </c>
      <c r="M2629" s="6">
        <f>HYPERLINK("https://map.naver.com/p/search/전동면 노장리 512", "지도Link")</f>
        <v/>
      </c>
      <c r="N2629" s="6">
        <f>HYPERLINK("http://www.eum.go.kr/web/ar/lu/luLandDet.jsp?pnu=3611038021105120000&amp;isNoScr=script&amp;mode=search", "토지이음")</f>
        <v/>
      </c>
      <c r="O2629" s="3" t="inlineStr">
        <is>
          <t>대지</t>
        </is>
      </c>
      <c r="P2629" s="4" t="n">
        <v>1</v>
      </c>
      <c r="Q2629" s="4" t="n">
        <v>996</v>
      </c>
      <c r="R2629" s="3" t="inlineStr">
        <is>
          <t>지정되지않음</t>
        </is>
      </c>
      <c r="S2629" s="3" t="inlineStr">
        <is>
          <t>공업용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소로한면</t>
        </is>
      </c>
    </row>
    <row r="2630">
      <c r="A2630" s="3" t="inlineStr">
        <is>
          <t>전동면 노장리 651-7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261000</v>
      </c>
      <c r="G2630" s="4" t="n">
        <v>1233</v>
      </c>
      <c r="H2630" s="4" t="n">
        <v>373</v>
      </c>
      <c r="I2630" s="5" t="n">
        <v>699.7</v>
      </c>
      <c r="J2630" s="5" t="n">
        <v>78.7</v>
      </c>
      <c r="K2630" s="3" t="inlineStr">
        <is>
          <t>전동 삼거리 코너각지 토지매매</t>
        </is>
      </c>
      <c r="L2630" s="6">
        <f>HYPERLINK("https://fin.land.naver.com/articles/2655078913", "매물Link")</f>
        <v/>
      </c>
      <c r="M2630" s="6">
        <f>HYPERLINK("https://map.naver.com/p/search/전동면 노장리 651-7", "지도Link")</f>
        <v/>
      </c>
      <c r="N2630" s="6">
        <f>HYPERLINK("http://www.eum.go.kr/web/ar/lu/luLandDet.jsp?pnu=3611038021106510007&amp;isNoScr=script&amp;mode=search", "토지이음")</f>
        <v/>
      </c>
      <c r="O2630" s="3" t="inlineStr">
        <is>
          <t>엄지척</t>
        </is>
      </c>
      <c r="P2630" s="4" t="n">
        <v>1</v>
      </c>
      <c r="Q2630" s="4" t="n">
        <v>1119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중로각지</t>
        </is>
      </c>
    </row>
    <row r="2631">
      <c r="A2631" s="3" t="inlineStr">
        <is>
          <t>전동면 노장리 661-8</t>
        </is>
      </c>
      <c r="B2631" s="3" t="inlineStr">
        <is>
          <t>보전관리지역</t>
        </is>
      </c>
      <c r="C2631" s="3" t="inlineStr">
        <is>
          <t>공장용지</t>
        </is>
      </c>
      <c r="D2631" s="3" t="inlineStr">
        <is>
          <t>공장용지</t>
        </is>
      </c>
      <c r="E2631" s="3" t="inlineStr">
        <is>
          <t>매매</t>
        </is>
      </c>
      <c r="F2631" s="4" t="n">
        <v>80000</v>
      </c>
      <c r="G2631" s="4" t="n">
        <v>966</v>
      </c>
      <c r="H2631" s="4" t="n">
        <v>292</v>
      </c>
      <c r="I2631" s="5" t="n">
        <v>274</v>
      </c>
      <c r="J2631" s="5" t="n">
        <v>53.9</v>
      </c>
      <c r="K2631" s="3" t="inlineStr">
        <is>
          <t>전동역과 전동산업단지에 근접하고 2차선도로에 접한 창고,상가 등 최상</t>
        </is>
      </c>
      <c r="L2631" s="6">
        <f>HYPERLINK("https://fin.land.naver.com/articles/2654228214", "매물Link")</f>
        <v/>
      </c>
      <c r="M2631" s="6">
        <f>HYPERLINK("https://map.naver.com/p/search/전동면 노장리 661-8", "지도Link")</f>
        <v/>
      </c>
      <c r="N2631" s="6">
        <f>HYPERLINK("http://www.eum.go.kr/web/ar/lu/luLandDet.jsp?pnu=3611038021106610008&amp;isNoScr=script&amp;mode=search", "토지이음")</f>
        <v/>
      </c>
      <c r="O2631" s="3" t="inlineStr">
        <is>
          <t>온누리</t>
        </is>
      </c>
      <c r="P2631" s="4" t="n">
        <v>2</v>
      </c>
      <c r="Q2631" s="4" t="n">
        <v>966</v>
      </c>
      <c r="R2631" s="3" t="inlineStr">
        <is>
          <t>지정되지않음</t>
        </is>
      </c>
      <c r="S2631" s="3" t="inlineStr">
        <is>
          <t>공업용</t>
        </is>
      </c>
      <c r="T2631" s="3" t="inlineStr">
        <is>
          <t>평지</t>
        </is>
      </c>
      <c r="U2631" s="3" t="inlineStr">
        <is>
          <t>사다리형</t>
        </is>
      </c>
      <c r="V2631" s="3" t="inlineStr">
        <is>
          <t>소로한면</t>
        </is>
      </c>
    </row>
    <row r="2632">
      <c r="A2632" s="3" t="inlineStr">
        <is>
          <t>전동면 노장리 661-8</t>
        </is>
      </c>
      <c r="B2632" s="3" t="inlineStr">
        <is>
          <t>보전관리지역</t>
        </is>
      </c>
      <c r="C2632" s="3" t="inlineStr">
        <is>
          <t>공장용지</t>
        </is>
      </c>
      <c r="D2632" s="3" t="inlineStr">
        <is>
          <t>공장용지</t>
        </is>
      </c>
      <c r="E2632" s="3" t="inlineStr">
        <is>
          <t>매매</t>
        </is>
      </c>
      <c r="F2632" s="4" t="n">
        <v>146000</v>
      </c>
      <c r="G2632" s="4" t="n">
        <v>966</v>
      </c>
      <c r="H2632" s="4" t="n">
        <v>292</v>
      </c>
      <c r="I2632" s="5" t="n">
        <v>500</v>
      </c>
      <c r="J2632" s="5" t="n">
        <v>53.9</v>
      </c>
      <c r="K2632" s="3" t="inlineStr">
        <is>
          <t>도로접, 연접.분할매도 가능, 투자가치상승</t>
        </is>
      </c>
      <c r="L2632" s="6">
        <f>HYPERLINK("https://fin.land.naver.com/articles/2652384856", "매물Link")</f>
        <v/>
      </c>
      <c r="M2632" s="6">
        <f>HYPERLINK("https://map.naver.com/p/search/전동면 노장리 661-8", "지도Link")</f>
        <v/>
      </c>
      <c r="N2632" s="6">
        <f>HYPERLINK("http://www.eum.go.kr/web/ar/lu/luLandDet.jsp?pnu=3611038021106610008&amp;isNoScr=script&amp;mode=search", "토지이음")</f>
        <v/>
      </c>
      <c r="O2632" s="3" t="inlineStr">
        <is>
          <t>큰길</t>
        </is>
      </c>
      <c r="P2632" s="4" t="n">
        <v>1</v>
      </c>
      <c r="Q2632" s="4" t="n">
        <v>966</v>
      </c>
      <c r="R2632" s="3" t="inlineStr">
        <is>
          <t>지정되지않음</t>
        </is>
      </c>
      <c r="S2632" s="3" t="inlineStr">
        <is>
          <t>공업용</t>
        </is>
      </c>
      <c r="T2632" s="3" t="inlineStr">
        <is>
          <t>평지</t>
        </is>
      </c>
      <c r="U2632" s="3" t="inlineStr">
        <is>
          <t>사다리형</t>
        </is>
      </c>
      <c r="V2632" s="3" t="inlineStr">
        <is>
          <t>소로한면</t>
        </is>
      </c>
    </row>
    <row r="2633">
      <c r="A2633" s="3" t="inlineStr">
        <is>
          <t>전동면 노장리 661-9</t>
        </is>
      </c>
      <c r="B2633" s="3" t="inlineStr">
        <is>
          <t>보전관리지역</t>
        </is>
      </c>
      <c r="C2633" s="3" t="inlineStr">
        <is>
          <t>공장용지</t>
        </is>
      </c>
      <c r="D2633" s="3" t="inlineStr">
        <is>
          <t>공장용지</t>
        </is>
      </c>
      <c r="E2633" s="3" t="inlineStr">
        <is>
          <t>매매</t>
        </is>
      </c>
      <c r="F2633" s="4" t="n">
        <v>249000</v>
      </c>
      <c r="G2633" s="4" t="n">
        <v>1648</v>
      </c>
      <c r="H2633" s="4" t="n">
        <v>499</v>
      </c>
      <c r="I2633" s="5" t="n">
        <v>499</v>
      </c>
      <c r="J2633" s="5" t="n">
        <v>51.2</v>
      </c>
      <c r="K2633" s="3" t="inlineStr">
        <is>
          <t>도로접, 상승가치있는 땅, 연접매매, 분할등 가능</t>
        </is>
      </c>
      <c r="L2633" s="6">
        <f>HYPERLINK("https://fin.land.naver.com/articles/2652384536", "매물Link")</f>
        <v/>
      </c>
      <c r="M2633" s="6">
        <f>HYPERLINK("https://map.naver.com/p/search/전동면 노장리 661-9", "지도Link")</f>
        <v/>
      </c>
      <c r="N2633" s="6">
        <f>HYPERLINK("http://www.eum.go.kr/web/ar/lu/luLandDet.jsp?pnu=3611038021106610009&amp;isNoScr=script&amp;mode=search", "토지이음")</f>
        <v/>
      </c>
      <c r="O2633" s="3" t="inlineStr">
        <is>
          <t>큰길</t>
        </is>
      </c>
      <c r="P2633" s="4" t="n">
        <v>1</v>
      </c>
      <c r="Q2633" s="4" t="n">
        <v>1648</v>
      </c>
      <c r="R2633" s="3" t="inlineStr">
        <is>
          <t>지정되지않음</t>
        </is>
      </c>
      <c r="S2633" s="3" t="inlineStr">
        <is>
          <t>공업용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소로한면</t>
        </is>
      </c>
    </row>
    <row r="2634">
      <c r="A2634" s="3" t="inlineStr">
        <is>
          <t>전동면 노장리 산 109</t>
        </is>
      </c>
      <c r="B2634" s="3" t="inlineStr">
        <is>
          <t>농림지역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25000</v>
      </c>
      <c r="G2634" s="4" t="n">
        <v>53000</v>
      </c>
      <c r="H2634" s="4" t="n">
        <v>16032</v>
      </c>
      <c r="I2634" s="5" t="n">
        <v>1.6</v>
      </c>
      <c r="J2634" s="5" t="n">
        <v>2</v>
      </c>
      <c r="K2634" s="3" t="inlineStr">
        <is>
          <t>임업용 도로가 있어 약초 및 버섯 등을 재배할 수 있는 초 저렴한 임야</t>
        </is>
      </c>
      <c r="L2634" s="6">
        <f>HYPERLINK("https://fin.land.naver.com/articles/2650500686", "매물Link")</f>
        <v/>
      </c>
      <c r="M2634" s="6">
        <f>HYPERLINK("https://map.naver.com/p/search/전동면 노장리 산 109", "지도Link")</f>
        <v/>
      </c>
      <c r="N2634" s="6">
        <f>HYPERLINK("http://www.eum.go.kr/web/ar/lu/luLandDet.jsp?pnu=3611038021201090000&amp;isNoScr=script&amp;mode=search", "토지이음")</f>
        <v/>
      </c>
      <c r="O2634" s="3" t="inlineStr">
        <is>
          <t>스마일세종</t>
        </is>
      </c>
      <c r="P2634" s="4" t="n">
        <v>1</v>
      </c>
      <c r="Q2634" s="4" t="n">
        <v>72694</v>
      </c>
      <c r="R2634" s="3" t="inlineStr">
        <is>
          <t>지정되지않음</t>
        </is>
      </c>
      <c r="S2634" s="3" t="inlineStr">
        <is>
          <t>자연림</t>
        </is>
      </c>
      <c r="T2634" s="3" t="inlineStr">
        <is>
          <t>급경사</t>
        </is>
      </c>
      <c r="U2634" s="3" t="inlineStr">
        <is>
          <t>부정형</t>
        </is>
      </c>
      <c r="V2634" s="3" t="inlineStr">
        <is>
          <t>세로한면(불)</t>
        </is>
      </c>
    </row>
    <row r="2635">
      <c r="A2635" s="3" t="inlineStr">
        <is>
          <t>전동면 노장리 산 96-2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93120</v>
      </c>
      <c r="G2635" s="4" t="n">
        <v>3848</v>
      </c>
      <c r="H2635" s="4" t="n">
        <v>1164</v>
      </c>
      <c r="I2635" s="5" t="n">
        <v>80</v>
      </c>
      <c r="J2635" s="5" t="n">
        <v>5.1</v>
      </c>
      <c r="K2635" s="3" t="inlineStr">
        <is>
          <t>전동일반산업단지 인접 계획관리 임야매매</t>
        </is>
      </c>
      <c r="L2635" s="6">
        <f>HYPERLINK("https://fin.land.naver.com/articles/2652109828", "매물Link")</f>
        <v/>
      </c>
      <c r="M2635" s="6">
        <f>HYPERLINK("https://map.naver.com/p/search/전동면 노장리 산 96-2", "지도Link")</f>
        <v/>
      </c>
      <c r="N2635" s="6">
        <f>HYPERLINK("http://www.eum.go.kr/web/ar/lu/luLandDet.jsp?pnu=3611038021200960002&amp;isNoScr=script&amp;mode=search", "토지이음")</f>
        <v/>
      </c>
      <c r="O2635" s="3" t="inlineStr">
        <is>
          <t>자이</t>
        </is>
      </c>
      <c r="P2635" s="4" t="n">
        <v>1</v>
      </c>
      <c r="Q2635" s="4" t="n">
        <v>3848</v>
      </c>
      <c r="R2635" s="3" t="inlineStr">
        <is>
          <t>농림지역</t>
        </is>
      </c>
      <c r="S2635" s="3" t="inlineStr">
        <is>
          <t>자연림</t>
        </is>
      </c>
      <c r="T2635" s="3" t="inlineStr">
        <is>
          <t>급경사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미곡리 123</t>
        </is>
      </c>
      <c r="B2636" s="3" t="inlineStr">
        <is>
          <t>농림지역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75000</v>
      </c>
      <c r="G2636" s="4" t="n">
        <v>3990</v>
      </c>
      <c r="H2636" s="4" t="n">
        <v>1207</v>
      </c>
      <c r="I2636" s="5" t="n">
        <v>62.1</v>
      </c>
      <c r="J2636" s="5" t="n">
        <v>13.8</v>
      </c>
      <c r="K2636" s="3" t="inlineStr">
        <is>
          <t>대토용,가격조정가능</t>
        </is>
      </c>
      <c r="L2636" s="6">
        <f>HYPERLINK("https://fin.land.naver.com/articles/2653703885", "매물Link")</f>
        <v/>
      </c>
      <c r="M2636" s="6">
        <f>HYPERLINK("https://map.naver.com/p/search/전동면 미곡리 123", "지도Link")</f>
        <v/>
      </c>
      <c r="N2636" s="6">
        <f>HYPERLINK("http://www.eum.go.kr/web/ar/lu/luLandDet.jsp?pnu=3611038029101230000&amp;isNoScr=script&amp;mode=search", "토지이음")</f>
        <v/>
      </c>
      <c r="O2636" s="3" t="inlineStr">
        <is>
          <t>지원</t>
        </is>
      </c>
      <c r="P2636" s="4" t="n">
        <v>1</v>
      </c>
      <c r="Q2636" s="4" t="n">
        <v>3990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맹지</t>
        </is>
      </c>
    </row>
    <row r="2637">
      <c r="A2637" s="3" t="inlineStr">
        <is>
          <t>전동면 미곡리 243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8000</v>
      </c>
      <c r="G2637" s="4" t="n">
        <v>1385</v>
      </c>
      <c r="H2637" s="4" t="n">
        <v>419</v>
      </c>
      <c r="I2637" s="5" t="n">
        <v>19.1</v>
      </c>
      <c r="J2637" s="5" t="n">
        <v>19</v>
      </c>
      <c r="K2637" s="3" t="inlineStr">
        <is>
          <t>현재 과일 농사중인 토지입니다. 관심 있으신 분들 전화주세요</t>
        </is>
      </c>
      <c r="L2637" s="6">
        <f>HYPERLINK("https://fin.land.naver.com/articles/2652128795", "매물Link")</f>
        <v/>
      </c>
      <c r="M2637" s="6">
        <f>HYPERLINK("https://map.naver.com/p/search/전동면 미곡리 243", "지도Link")</f>
        <v/>
      </c>
      <c r="N2637" s="6">
        <f>HYPERLINK("http://www.eum.go.kr/web/ar/lu/luLandDet.jsp?pnu=3611038029102430000&amp;isNoScr=script&amp;mode=search", "토지이음")</f>
        <v/>
      </c>
      <c r="O2637" s="3" t="inlineStr">
        <is>
          <t>보람</t>
        </is>
      </c>
      <c r="P2637" s="4" t="n">
        <v>1</v>
      </c>
      <c r="Q2637" s="4" t="n">
        <v>1385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전동면 미곡리 252-2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224000</v>
      </c>
      <c r="G2638" s="4" t="n">
        <v>7415</v>
      </c>
      <c r="H2638" s="4" t="n">
        <v>2243</v>
      </c>
      <c r="I2638" s="5" t="n">
        <v>99.90000000000001</v>
      </c>
      <c r="J2638" s="5" t="n">
        <v>21.8</v>
      </c>
      <c r="K2638" s="3" t="inlineStr">
        <is>
          <t>남풍세ic 10분 공장 물류 창고용지로 적합</t>
        </is>
      </c>
      <c r="L2638" s="6">
        <f>HYPERLINK("https://fin.land.naver.com/articles/2653269338", "매물Link")</f>
        <v/>
      </c>
      <c r="M2638" s="6">
        <f>HYPERLINK("https://map.naver.com/p/search/전동면 미곡리 252-2", "지도Link")</f>
        <v/>
      </c>
      <c r="N2638" s="6">
        <f>HYPERLINK("http://www.eum.go.kr/web/ar/lu/luLandDet.jsp?pnu=3611038029102520002&amp;isNoScr=script&amp;mode=search", "토지이음")</f>
        <v/>
      </c>
      <c r="O2638" s="3" t="inlineStr">
        <is>
          <t>프로</t>
        </is>
      </c>
      <c r="P2638" s="4" t="n">
        <v>1</v>
      </c>
      <c r="Q2638" s="4" t="n">
        <v>7415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급경사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미곡리 268-2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1382</v>
      </c>
      <c r="H2639" s="4" t="n">
        <v>418</v>
      </c>
      <c r="I2639" s="5" t="n">
        <v>59.8</v>
      </c>
      <c r="J2639" s="5" t="n">
        <v>14.4</v>
      </c>
      <c r="K2639" s="3" t="inlineStr">
        <is>
          <t>세종시 2억대 전동면토지 농업경영체등록 가능</t>
        </is>
      </c>
      <c r="L2639" s="6">
        <f>HYPERLINK("https://fin.land.naver.com/articles/2652494848", "매물Link")</f>
        <v/>
      </c>
      <c r="M2639" s="6">
        <f>HYPERLINK("https://map.naver.com/p/search/전동면 미곡리 268-2", "지도Link")</f>
        <v/>
      </c>
      <c r="N2639" s="6">
        <f>HYPERLINK("http://www.eum.go.kr/web/ar/lu/luLandDet.jsp?pnu=3611038029102680002&amp;isNoScr=script&amp;mode=search", "토지이음")</f>
        <v/>
      </c>
      <c r="O2639" s="3" t="inlineStr">
        <is>
          <t>지성</t>
        </is>
      </c>
      <c r="P2639" s="4" t="n">
        <v>1</v>
      </c>
      <c r="Q2639" s="4" t="n">
        <v>1442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미곡리 269-3</t>
        </is>
      </c>
      <c r="B2640" s="3" t="inlineStr">
        <is>
          <t>농림지역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98700</v>
      </c>
      <c r="G2640" s="4" t="n">
        <v>2176</v>
      </c>
      <c r="H2640" s="4" t="n">
        <v>658</v>
      </c>
      <c r="I2640" s="5" t="n">
        <v>150</v>
      </c>
      <c r="J2640" s="5" t="n">
        <v>17.3</v>
      </c>
      <c r="K2640" s="3" t="inlineStr">
        <is>
          <t>nan</t>
        </is>
      </c>
      <c r="L2640" s="6">
        <f>HYPERLINK("https://fin.land.naver.com/articles/2655169095", "매물Link")</f>
        <v/>
      </c>
      <c r="M2640" s="6">
        <f>HYPERLINK("https://map.naver.com/p/search/전동면 미곡리 269-3", "지도Link")</f>
        <v/>
      </c>
      <c r="N2640" s="6">
        <f>HYPERLINK("http://www.eum.go.kr/web/ar/lu/luLandDet.jsp?pnu=3611038029102690003&amp;isNoScr=script&amp;mode=search", "토지이음")</f>
        <v/>
      </c>
      <c r="O2640" s="3" t="inlineStr">
        <is>
          <t>오송랜드</t>
        </is>
      </c>
      <c r="P2640" s="4" t="n">
        <v>3</v>
      </c>
      <c r="Q2640" s="4" t="n">
        <v>2176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소로각지</t>
        </is>
      </c>
    </row>
    <row r="2641">
      <c r="A2641" s="3" t="inlineStr">
        <is>
          <t>전동면 미곡리 271-1</t>
        </is>
      </c>
      <c r="B2641" s="3" t="inlineStr">
        <is>
          <t>농림지역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55800</v>
      </c>
      <c r="G2641" s="4" t="n">
        <v>2464</v>
      </c>
      <c r="H2641" s="4" t="n">
        <v>745</v>
      </c>
      <c r="I2641" s="5" t="n">
        <v>74.90000000000001</v>
      </c>
      <c r="J2641" s="5" t="n">
        <v>14.8</v>
      </c>
      <c r="K2641" s="3" t="inlineStr">
        <is>
          <t>농림지역,  전.답 2필지</t>
        </is>
      </c>
      <c r="L2641" s="6">
        <f>HYPERLINK("https://fin.land.naver.com/articles/2654907066", "매물Link")</f>
        <v/>
      </c>
      <c r="M2641" s="6">
        <f>HYPERLINK("https://map.naver.com/p/search/전동면 미곡리 271-1", "지도Link")</f>
        <v/>
      </c>
      <c r="N2641" s="6">
        <f>HYPERLINK("http://www.eum.go.kr/web/ar/lu/luLandDet.jsp?pnu=3611038029102710001&amp;isNoScr=script&amp;mode=search", "토지이음")</f>
        <v/>
      </c>
      <c r="O2641" s="3" t="inlineStr">
        <is>
          <t>삼성동문단지내</t>
        </is>
      </c>
      <c r="P2641" s="4" t="n">
        <v>1</v>
      </c>
      <c r="Q2641" s="4" t="n">
        <v>2051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미곡리 271-3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29000</v>
      </c>
      <c r="G2642" s="4" t="n">
        <v>2277</v>
      </c>
      <c r="H2642" s="4" t="n">
        <v>689</v>
      </c>
      <c r="I2642" s="5" t="n">
        <v>42.1</v>
      </c>
      <c r="J2642" s="5" t="n">
        <v>16.9</v>
      </c>
      <c r="K2642" s="3" t="inlineStr">
        <is>
          <t>도로접한 저렴한 농지, 농업진흘구역</t>
        </is>
      </c>
      <c r="L2642" s="6">
        <f>HYPERLINK("https://fin.land.naver.com/articles/2652046257", "매물Link")</f>
        <v/>
      </c>
      <c r="M2642" s="6">
        <f>HYPERLINK("https://map.naver.com/p/search/전동면 미곡리 271-3", "지도Link")</f>
        <v/>
      </c>
      <c r="N2642" s="6">
        <f>HYPERLINK("http://www.eum.go.kr/web/ar/lu/luLandDet.jsp?pnu=3611038029102710003&amp;isNoScr=script&amp;mode=search",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1230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미곡리 328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83000</v>
      </c>
      <c r="G2643" s="4" t="n">
        <v>3908</v>
      </c>
      <c r="H2643" s="4" t="n">
        <v>1182</v>
      </c>
      <c r="I2643" s="5" t="n">
        <v>70.2</v>
      </c>
      <c r="J2643" s="5" t="n">
        <v>16.9</v>
      </c>
      <c r="K2643" s="3" t="inlineStr">
        <is>
          <t>328번지외1필지   2차선도로접함.</t>
        </is>
      </c>
      <c r="L2643" s="6">
        <f>HYPERLINK("https://fin.land.naver.com/articles/2654180423", "매물Link")</f>
        <v/>
      </c>
      <c r="M2643" s="6">
        <f>HYPERLINK("https://map.naver.com/p/search/전동면 미곡리 328", "지도Link")</f>
        <v/>
      </c>
      <c r="N2643" s="6">
        <f>HYPERLINK("http://www.eum.go.kr/web/ar/lu/luLandDet.jsp?pnu=3611038029103280000&amp;isNoScr=script&amp;mode=search", "토지이음")</f>
        <v/>
      </c>
      <c r="O2643" s="3" t="inlineStr">
        <is>
          <t>현대랜드</t>
        </is>
      </c>
      <c r="P2643" s="4" t="n">
        <v>1</v>
      </c>
      <c r="Q2643" s="4" t="n">
        <v>2476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소로한면</t>
        </is>
      </c>
    </row>
    <row r="2644">
      <c r="A2644" s="3" t="inlineStr">
        <is>
          <t>전동면 미곡리 334-2</t>
        </is>
      </c>
      <c r="B2644" s="3" t="inlineStr">
        <is>
          <t>농림지역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59700</v>
      </c>
      <c r="G2644" s="4" t="n">
        <v>4029</v>
      </c>
      <c r="H2644" s="4" t="n">
        <v>1219</v>
      </c>
      <c r="I2644" s="5" t="n">
        <v>49</v>
      </c>
      <c r="J2644" s="5" t="n">
        <v>14.6</v>
      </c>
      <c r="K2644" s="3" t="inlineStr">
        <is>
          <t>성토 완료된 2차선 가까운 토지</t>
        </is>
      </c>
      <c r="L2644" s="6">
        <f>HYPERLINK("https://fin.land.naver.com/articles/2650398333", "매물Link")</f>
        <v/>
      </c>
      <c r="M2644" s="6">
        <f>HYPERLINK("https://map.naver.com/p/search/전동면 미곡리 334-2", "지도Link")</f>
        <v/>
      </c>
      <c r="N2644" s="6">
        <f>HYPERLINK("http://www.eum.go.kr/web/ar/lu/luLandDet.jsp?pnu=3611038029103340002&amp;isNoScr=script&amp;mode=search", "토지이음")</f>
        <v/>
      </c>
      <c r="O2644" s="3" t="inlineStr">
        <is>
          <t>지성</t>
        </is>
      </c>
      <c r="P2644" s="4" t="n">
        <v>1</v>
      </c>
      <c r="Q2644" s="4" t="n">
        <v>4029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전동면 미곡리 337-4</t>
        </is>
      </c>
      <c r="B2645" s="3" t="inlineStr">
        <is>
          <t>농림지역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44520</v>
      </c>
      <c r="G2645" s="4" t="n">
        <v>2453</v>
      </c>
      <c r="H2645" s="4" t="n">
        <v>742</v>
      </c>
      <c r="I2645" s="5" t="n">
        <v>60</v>
      </c>
      <c r="J2645" s="5" t="n">
        <v>15.2</v>
      </c>
      <c r="K2645" s="3" t="inlineStr">
        <is>
          <t>2차선 계획도로 접 길이 뚫리면 돈이 보인다 벤처벨리 수혜지역</t>
        </is>
      </c>
      <c r="L2645" s="6">
        <f>HYPERLINK("https://fin.land.naver.com/articles/2654652362", "매물Link")</f>
        <v/>
      </c>
      <c r="M2645" s="6">
        <f>HYPERLINK("https://map.naver.com/p/search/전동면 미곡리 337-4", "지도Link")</f>
        <v/>
      </c>
      <c r="N2645" s="6">
        <f>HYPERLINK("http://www.eum.go.kr/web/ar/lu/luLandDet.jsp?pnu=3611038029103370004&amp;isNoScr=script&amp;mode=search", "토지이음")</f>
        <v/>
      </c>
      <c r="O2645" s="3" t="inlineStr">
        <is>
          <t>찬스</t>
        </is>
      </c>
      <c r="P2645" s="4" t="n">
        <v>1</v>
      </c>
      <c r="Q2645" s="4" t="n">
        <v>2453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미곡리 399</t>
        </is>
      </c>
      <c r="B2646" s="3" t="inlineStr">
        <is>
          <t>농림지역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12000</v>
      </c>
      <c r="G2646" s="4" t="n">
        <v>648</v>
      </c>
      <c r="H2646" s="4" t="n">
        <v>196</v>
      </c>
      <c r="I2646" s="5" t="n">
        <v>61.2</v>
      </c>
      <c r="J2646" s="5" t="n">
        <v>15.5</v>
      </c>
      <c r="K2646" s="3" t="inlineStr">
        <is>
          <t>1번국도바로 옆 접근성 좋은 토지 매매</t>
        </is>
      </c>
      <c r="L2646" s="6">
        <f>HYPERLINK("https://fin.land.naver.com/articles/2653626803", "매물Link")</f>
        <v/>
      </c>
      <c r="M2646" s="6">
        <f>HYPERLINK("https://map.naver.com/p/search/전동면 미곡리 399", "지도Link")</f>
        <v/>
      </c>
      <c r="N2646" s="6">
        <f>HYPERLINK("http://www.eum.go.kr/web/ar/lu/luLandDet.jsp?pnu=3611038029103990000&amp;isNoScr=script&amp;mode=search", "토지이음")</f>
        <v/>
      </c>
      <c r="O2646" s="3" t="inlineStr">
        <is>
          <t>드림사무소</t>
        </is>
      </c>
      <c r="P2646" s="4" t="n">
        <v>1</v>
      </c>
      <c r="Q2646" s="4" t="n">
        <v>648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미곡리 429-10</t>
        </is>
      </c>
      <c r="B2647" s="3" t="inlineStr">
        <is>
          <t>보전관리지역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97000</v>
      </c>
      <c r="G2647" s="4" t="n">
        <v>12896</v>
      </c>
      <c r="H2647" s="4" t="n">
        <v>3901</v>
      </c>
      <c r="I2647" s="5" t="n">
        <v>24.9</v>
      </c>
      <c r="J2647" s="5" t="n">
        <v>6.3</v>
      </c>
      <c r="K2647" s="3" t="inlineStr">
        <is>
          <t>세종시 1번 국도변에서 잘 보이는 곳으로 광고효과 우수</t>
        </is>
      </c>
      <c r="L2647" s="6">
        <f>HYPERLINK("https://fin.land.naver.com/articles/2654741633", "매물Link")</f>
        <v/>
      </c>
      <c r="M2647" s="6">
        <f>HYPERLINK("https://map.naver.com/p/search/전동면 미곡리 429-10", "지도Link")</f>
        <v/>
      </c>
      <c r="N2647" s="6">
        <f>HYPERLINK("http://www.eum.go.kr/web/ar/lu/luLandDet.jsp?pnu=3611038029104290010&amp;isNoScr=script&amp;mode=search", "토지이음")</f>
        <v/>
      </c>
      <c r="O2647" s="3" t="inlineStr">
        <is>
          <t>창고의여왕</t>
        </is>
      </c>
      <c r="P2647" s="4" t="n">
        <v>2</v>
      </c>
      <c r="Q2647" s="4" t="n">
        <v>12896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미곡리 531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20000</v>
      </c>
      <c r="G2648" s="4" t="n">
        <v>2305</v>
      </c>
      <c r="H2648" s="4" t="n">
        <v>697</v>
      </c>
      <c r="I2648" s="5" t="n">
        <v>28.7</v>
      </c>
      <c r="J2648" s="5" t="n">
        <v>12.3</v>
      </c>
      <c r="K2648" s="3" t="inlineStr">
        <is>
          <t>저렴한 농지 스마트 팜 토지 찾으시면 여기 어때요</t>
        </is>
      </c>
      <c r="L2648" s="6">
        <f>HYPERLINK("https://fin.land.naver.com/articles/2654228616", "매물Link")</f>
        <v/>
      </c>
      <c r="M2648" s="6">
        <f>HYPERLINK("https://map.naver.com/p/search/전동면 미곡리 531", "지도Link")</f>
        <v/>
      </c>
      <c r="N2648" s="6">
        <f>HYPERLINK("http://www.eum.go.kr/web/ar/lu/luLandDet.jsp?pnu=3611038029105310000&amp;isNoScr=script&amp;mode=search",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2305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미곡리 544-1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66000</v>
      </c>
      <c r="G2649" s="4" t="n">
        <v>3117</v>
      </c>
      <c r="H2649" s="4" t="n">
        <v>943</v>
      </c>
      <c r="I2649" s="5" t="n">
        <v>70</v>
      </c>
      <c r="J2649" s="5" t="n">
        <v>12</v>
      </c>
      <c r="K2649" s="3" t="inlineStr">
        <is>
          <t>대토환영. 전동면 미곡리 국유지 활용가능한 농지</t>
        </is>
      </c>
      <c r="L2649" s="6">
        <f>HYPERLINK("https://fin.land.naver.com/articles/2652031378", "매물Link")</f>
        <v/>
      </c>
      <c r="M2649" s="6">
        <f>HYPERLINK("https://map.naver.com/p/search/전동면 미곡리 544-1", "지도Link")</f>
        <v/>
      </c>
      <c r="N2649" s="6">
        <f>HYPERLINK("http://www.eum.go.kr/web/ar/lu/luLandDet.jsp?pnu=3611038029105440001&amp;isNoScr=script&amp;mode=search",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3117</v>
      </c>
      <c r="R2649" s="3" t="inlineStr">
        <is>
          <t>보전관리지역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미곡리 59</t>
        </is>
      </c>
      <c r="B2650" s="3" t="inlineStr">
        <is>
          <t>생산관리지역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70000</v>
      </c>
      <c r="G2650" s="4" t="n">
        <v>344</v>
      </c>
      <c r="H2650" s="4" t="n">
        <v>104</v>
      </c>
      <c r="I2650" s="5" t="n">
        <v>673.1</v>
      </c>
      <c r="J2650" s="5" t="n">
        <v>29.2</v>
      </c>
      <c r="K2650" s="3" t="inlineStr">
        <is>
          <t>nan</t>
        </is>
      </c>
      <c r="L2650" s="6">
        <f>HYPERLINK("https://fin.land.naver.com/articles/2651575347", "매물Link")</f>
        <v/>
      </c>
      <c r="M2650" s="6">
        <f>HYPERLINK("https://map.naver.com/p/search/전동면 미곡리 59", "지도Link")</f>
        <v/>
      </c>
      <c r="N2650" s="6">
        <f>HYPERLINK("http://www.eum.go.kr/web/ar/lu/luLandDet.jsp?pnu=3611038029100590000&amp;isNoScr=script&amp;mode=search", "토지이음")</f>
        <v/>
      </c>
      <c r="O2650" s="3" t="inlineStr">
        <is>
          <t>세종몽땅</t>
        </is>
      </c>
      <c r="P2650" s="4" t="n">
        <v>1</v>
      </c>
      <c r="Q2650" s="4" t="n">
        <v>660</v>
      </c>
      <c r="R2650" s="3" t="inlineStr">
        <is>
          <t>지정되지않음</t>
        </is>
      </c>
      <c r="S2650" s="3" t="inlineStr">
        <is>
          <t>단독</t>
        </is>
      </c>
      <c r="T2650" s="3" t="inlineStr">
        <is>
          <t>완경사</t>
        </is>
      </c>
      <c r="U2650" s="3" t="inlineStr">
        <is>
          <t>사다리형</t>
        </is>
      </c>
      <c r="V2650" s="3" t="inlineStr">
        <is>
          <t>세로한면(가)</t>
        </is>
      </c>
    </row>
    <row r="2651">
      <c r="A2651" s="3" t="inlineStr">
        <is>
          <t>전동면 미곡리 74-5</t>
        </is>
      </c>
      <c r="B2651" s="3" t="inlineStr">
        <is>
          <t>생산관리지역</t>
        </is>
      </c>
      <c r="C2651" s="3" t="inlineStr">
        <is>
          <t>답</t>
        </is>
      </c>
      <c r="D2651" s="3" t="inlineStr">
        <is>
          <t>전</t>
        </is>
      </c>
      <c r="E2651" s="3" t="inlineStr">
        <is>
          <t>매매</t>
        </is>
      </c>
      <c r="F2651" s="4" t="n">
        <v>67000</v>
      </c>
      <c r="G2651" s="4" t="n">
        <v>1526</v>
      </c>
      <c r="H2651" s="4" t="n">
        <v>462</v>
      </c>
      <c r="I2651" s="5" t="n">
        <v>145</v>
      </c>
      <c r="J2651" s="5" t="n">
        <v>17.1</v>
      </c>
      <c r="K2651" s="3" t="inlineStr">
        <is>
          <t>도로접 계획관리지역 조망권뷰 최상, 알토란 토지 매매,가격조정가능</t>
        </is>
      </c>
      <c r="L2651" s="6">
        <f>HYPERLINK("https://fin.land.naver.com/articles/2650450304", "매물Link")</f>
        <v/>
      </c>
      <c r="M2651" s="6">
        <f>HYPERLINK("https://map.naver.com/p/search/전동면 미곡리 74-5", "지도Link")</f>
        <v/>
      </c>
      <c r="N2651" s="6">
        <f>HYPERLINK("http://www.eum.go.kr/web/ar/lu/luLandDet.jsp?pnu=3611038029100740005&amp;isNoScr=script&amp;mode=search",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1526</v>
      </c>
      <c r="R2651" s="3" t="inlineStr">
        <is>
          <t>계획관리지역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미곡리 산22-2</t>
        </is>
      </c>
      <c r="B2652" s="3" t="inlineStr">
        <is>
          <t>생산관리지역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64900</v>
      </c>
      <c r="G2652" s="4" t="n">
        <v>2261</v>
      </c>
      <c r="H2652" s="4" t="n">
        <v>684</v>
      </c>
      <c r="I2652" s="5" t="n">
        <v>94.90000000000001</v>
      </c>
      <c r="J2652" s="5" t="n">
        <v>8.4</v>
      </c>
      <c r="K2652" s="3" t="inlineStr">
        <is>
          <t>1번국도 접한 용도 다양한 토지매매</t>
        </is>
      </c>
      <c r="L2652" s="6">
        <f>HYPERLINK("https://fin.land.naver.com/articles/2655177402", "매물Link")</f>
        <v/>
      </c>
      <c r="M2652" s="6">
        <f>HYPERLINK("https://map.naver.com/p/search/전동면 미곡리 산22-2", "지도Link")</f>
        <v/>
      </c>
      <c r="N2652" s="6">
        <f>HYPERLINK("http://www.eum.go.kr/web/ar/lu/luLandDet.jsp?pnu=3611038029200220002&amp;isNoScr=script&amp;mode=search", "토지이음")</f>
        <v/>
      </c>
      <c r="O2652" s="3" t="inlineStr">
        <is>
          <t>에이스</t>
        </is>
      </c>
      <c r="P2652" s="4" t="n">
        <v>1</v>
      </c>
      <c r="Q2652" s="4" t="n">
        <v>2261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미곡리 산53-1</t>
        </is>
      </c>
      <c r="B2653" s="3" t="inlineStr">
        <is>
          <t>농림지역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42000</v>
      </c>
      <c r="G2653" s="4" t="n">
        <v>9917</v>
      </c>
      <c r="H2653" s="4" t="n">
        <v>3000</v>
      </c>
      <c r="I2653" s="5" t="n">
        <v>14</v>
      </c>
      <c r="J2653" s="5" t="n">
        <v>2.8</v>
      </c>
      <c r="K2653" s="3" t="inlineStr">
        <is>
          <t>세종벤처밸리 산단, 전의 일반산단 인근, 농임업용 임야</t>
        </is>
      </c>
      <c r="L2653" s="6">
        <f>HYPERLINK("https://fin.land.naver.com/articles/2652717483", "매물Link")</f>
        <v/>
      </c>
      <c r="M2653" s="6">
        <f>HYPERLINK("https://map.naver.com/p/search/전동면 미곡리 산53-1", "지도Link")</f>
        <v/>
      </c>
      <c r="N2653" s="6">
        <f>HYPERLINK("http://www.eum.go.kr/web/ar/lu/luLandDet.jsp?pnu=3611038029200530001&amp;isNoScr=script&amp;mode=search", "토지이음")</f>
        <v/>
      </c>
      <c r="O2653" s="3" t="inlineStr">
        <is>
          <t>성복역롯데캐슬(889-2400)</t>
        </is>
      </c>
      <c r="P2653" s="4" t="n">
        <v>1</v>
      </c>
      <c r="Q2653" s="4" t="n">
        <v>9917</v>
      </c>
      <c r="R2653" s="3" t="inlineStr">
        <is>
          <t>보전관리지역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보덕리 135</t>
        </is>
      </c>
      <c r="B2654" s="3" t="inlineStr">
        <is>
          <t>계획관리지역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86000</v>
      </c>
      <c r="G2654" s="4" t="n">
        <v>1901</v>
      </c>
      <c r="H2654" s="4" t="n">
        <v>575</v>
      </c>
      <c r="I2654" s="5" t="n">
        <v>149.6</v>
      </c>
      <c r="J2654" s="5" t="n">
        <v>23.2</v>
      </c>
      <c r="K2654" s="3" t="inlineStr">
        <is>
          <t>보덕리 계획관리 과수원및 주택지</t>
        </is>
      </c>
      <c r="L2654" s="6">
        <f>HYPERLINK("https://fin.land.naver.com/articles/2655142457", "매물Link")</f>
        <v/>
      </c>
      <c r="M2654" s="6">
        <f>HYPERLINK("https://map.naver.com/p/search/전동면 보덕리 135", "지도Link")</f>
        <v/>
      </c>
      <c r="N2654" s="6">
        <f>HYPERLINK("http://www.eum.go.kr/web/ar/lu/luLandDet.jsp?pnu=3611038025101350000&amp;isNoScr=script&amp;mode=search", "토지이음")</f>
        <v/>
      </c>
      <c r="O2654" s="3" t="inlineStr">
        <is>
          <t>OK수</t>
        </is>
      </c>
      <c r="P2654" s="4" t="n">
        <v>1</v>
      </c>
      <c r="Q2654" s="4" t="n">
        <v>1896</v>
      </c>
      <c r="R2654" s="3" t="inlineStr">
        <is>
          <t>지정되지않음</t>
        </is>
      </c>
      <c r="S2654" s="3" t="inlineStr">
        <is>
          <t>과수원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전동면 보덕리 182-1</t>
        </is>
      </c>
      <c r="B2655" s="3" t="inlineStr">
        <is>
          <t>보전관리지역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45000</v>
      </c>
      <c r="G2655" s="4" t="n">
        <v>1017</v>
      </c>
      <c r="H2655" s="4" t="n">
        <v>308</v>
      </c>
      <c r="I2655" s="5" t="n">
        <v>146.1</v>
      </c>
      <c r="J2655" s="5" t="n">
        <v>23.2</v>
      </c>
      <c r="K2655" s="3" t="inlineStr">
        <is>
          <t>도로가 옆 투자로 좋은 토지</t>
        </is>
      </c>
      <c r="L2655" s="6">
        <f>HYPERLINK("https://fin.land.naver.com/articles/2650856625", "매물Link")</f>
        <v/>
      </c>
      <c r="M2655" s="6">
        <f>HYPERLINK("https://map.naver.com/p/search/전동면 보덕리 182-1", "지도Link")</f>
        <v/>
      </c>
      <c r="N2655" s="6">
        <f>HYPERLINK("http://www.eum.go.kr/web/ar/lu/luLandDet.jsp?pnu=3611038025101820001&amp;isNoScr=script&amp;mode=search", "토지이음")</f>
        <v/>
      </c>
      <c r="O2655" s="3" t="inlineStr">
        <is>
          <t>세종대박</t>
        </is>
      </c>
      <c r="P2655" s="4" t="n">
        <v>1</v>
      </c>
      <c r="Q2655" s="4" t="n">
        <v>1017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보덕리 201-3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200000</v>
      </c>
      <c r="G2656" s="4" t="n">
        <v>1117</v>
      </c>
      <c r="H2656" s="4" t="n">
        <v>338</v>
      </c>
      <c r="I2656" s="5" t="n">
        <v>591.7</v>
      </c>
      <c r="J2656" s="5" t="n">
        <v>21</v>
      </c>
      <c r="K2656" s="3" t="inlineStr">
        <is>
          <t>이웃한 3필지 함께매도, 세종벤처벨리산단근처</t>
        </is>
      </c>
      <c r="L2656" s="6">
        <f>HYPERLINK("https://fin.land.naver.com/articles/2651009228", "매물Link")</f>
        <v/>
      </c>
      <c r="M2656" s="6">
        <f>HYPERLINK("https://map.naver.com/p/search/전동면 보덕리 201-3", "지도Link")</f>
        <v/>
      </c>
      <c r="N2656" s="6">
        <f>HYPERLINK("http://www.eum.go.kr/web/ar/lu/luLandDet.jsp?pnu=3611038025102010003&amp;isNoScr=script&amp;mode=search", "토지이음")</f>
        <v/>
      </c>
      <c r="O2656" s="3" t="inlineStr">
        <is>
          <t>생생</t>
        </is>
      </c>
      <c r="P2656" s="4" t="n">
        <v>1</v>
      </c>
      <c r="Q2656" s="4" t="n">
        <v>1117</v>
      </c>
      <c r="R2656" s="3" t="inlineStr">
        <is>
          <t>지정되지않음</t>
        </is>
      </c>
      <c r="S2656" s="3" t="inlineStr">
        <is>
          <t>전기타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보덕리 205-24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30000</v>
      </c>
      <c r="G2657" s="4" t="n">
        <v>1025</v>
      </c>
      <c r="H2657" s="4" t="n">
        <v>310</v>
      </c>
      <c r="I2657" s="5" t="n">
        <v>96.8</v>
      </c>
      <c r="J2657" s="5" t="n">
        <v>26.2</v>
      </c>
      <c r="K2657" s="3" t="inlineStr">
        <is>
          <t>nan</t>
        </is>
      </c>
      <c r="L2657" s="6">
        <f>HYPERLINK("https://fin.land.naver.com/articles/2651106056", "매물Link")</f>
        <v/>
      </c>
      <c r="M2657" s="6">
        <f>HYPERLINK("https://map.naver.com/p/search/전동면 보덕리 205-24", "지도Link")</f>
        <v/>
      </c>
      <c r="N2657" s="6">
        <f>HYPERLINK("http://www.eum.go.kr/web/ar/lu/luLandDet.jsp?pnu=3611038025102050024&amp;isNoScr=script&amp;mode=search", "토지이음")</f>
        <v/>
      </c>
      <c r="O2657" s="3" t="inlineStr">
        <is>
          <t>뉴엘리트탑</t>
        </is>
      </c>
      <c r="P2657" s="4" t="n">
        <v>1</v>
      </c>
      <c r="Q2657" s="4" t="n">
        <v>1025</v>
      </c>
      <c r="R2657" s="3" t="inlineStr">
        <is>
          <t>지정되지않음</t>
        </is>
      </c>
      <c r="S2657" s="3" t="inlineStr">
        <is>
          <t>전기타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보덕리 21-4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60000</v>
      </c>
      <c r="G2658" s="4" t="n">
        <v>968</v>
      </c>
      <c r="H2658" s="4" t="n">
        <v>293</v>
      </c>
      <c r="I2658" s="5" t="n">
        <v>204.8</v>
      </c>
      <c r="J2658" s="5" t="n">
        <v>26.5</v>
      </c>
      <c r="K2658" s="3" t="inlineStr">
        <is>
          <t>세종벤처벨리일반산업단지 인근, 투자가치 최고</t>
        </is>
      </c>
      <c r="L2658" s="6">
        <f>HYPERLINK("https://fin.land.naver.com/articles/2650314566", "매물Link")</f>
        <v/>
      </c>
      <c r="M2658" s="6">
        <f>HYPERLINK("https://map.naver.com/p/search/전동면 보덕리 21-4", "지도Link")</f>
        <v/>
      </c>
      <c r="N2658" s="6">
        <f>HYPERLINK("http://www.eum.go.kr/web/ar/lu/luLandDet.jsp?pnu=3611038025100210004&amp;isNoScr=script&amp;mode=search", "토지이음")</f>
        <v/>
      </c>
      <c r="O2658" s="3" t="inlineStr">
        <is>
          <t>세종공감</t>
        </is>
      </c>
      <c r="P2658" s="4" t="n">
        <v>1</v>
      </c>
      <c r="Q2658" s="4" t="n">
        <v>664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보덕리 273-4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62300</v>
      </c>
      <c r="G2659" s="4" t="n">
        <v>1716</v>
      </c>
      <c r="H2659" s="4" t="n">
        <v>519</v>
      </c>
      <c r="I2659" s="5" t="n">
        <v>120</v>
      </c>
      <c r="J2659" s="5" t="n">
        <v>19.7</v>
      </c>
      <c r="K2659" s="3" t="inlineStr">
        <is>
          <t>세종벤처밸리산업단지 인근 토지</t>
        </is>
      </c>
      <c r="L2659" s="6">
        <f>HYPERLINK("https://fin.land.naver.com/articles/2654273965", "매물Link")</f>
        <v/>
      </c>
      <c r="M2659" s="6">
        <f>HYPERLINK("https://map.naver.com/p/search/전동면 보덕리 273-4", "지도Link")</f>
        <v/>
      </c>
      <c r="N2659" s="6">
        <f>HYPERLINK("http://www.eum.go.kr/web/ar/lu/luLandDet.jsp?pnu=3611038025102730004&amp;isNoScr=script&amp;mode=search", "토지이음")</f>
        <v/>
      </c>
      <c r="O2659" s="3" t="inlineStr">
        <is>
          <t>드림</t>
        </is>
      </c>
      <c r="P2659" s="4" t="n">
        <v>1</v>
      </c>
      <c r="Q2659" s="4" t="n">
        <v>1716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보덕리 314-4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38000</v>
      </c>
      <c r="G2660" s="4" t="n">
        <v>2552</v>
      </c>
      <c r="H2660" s="4" t="n">
        <v>772</v>
      </c>
      <c r="I2660" s="5" t="n">
        <v>49.2</v>
      </c>
      <c r="J2660" s="5" t="n">
        <v>14.7</v>
      </c>
      <c r="K2660" s="3" t="inlineStr">
        <is>
          <t>농림지역 답,대토추천,3M도로접,주말쉼터등추천</t>
        </is>
      </c>
      <c r="L2660" s="6">
        <f>HYPERLINK("https://fin.land.naver.com/articles/2650716160", "매물Link")</f>
        <v/>
      </c>
      <c r="M2660" s="6">
        <f>HYPERLINK("https://map.naver.com/p/search/전동면 보덕리 314-4", "지도Link")</f>
        <v/>
      </c>
      <c r="N2660" s="6">
        <f>HYPERLINK("http://www.eum.go.kr/web/ar/lu/luLandDet.jsp?pnu=3611038025103140004&amp;isNoScr=script&amp;mode=search", "토지이음")</f>
        <v/>
      </c>
      <c r="O2660" s="3" t="inlineStr">
        <is>
          <t>신안무소</t>
        </is>
      </c>
      <c r="P2660" s="4" t="n">
        <v>1</v>
      </c>
      <c r="Q2660" s="4" t="n">
        <v>2552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보덕리 381-8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19650</v>
      </c>
      <c r="G2661" s="4" t="n">
        <v>1120</v>
      </c>
      <c r="H2661" s="4" t="n">
        <v>339</v>
      </c>
      <c r="I2661" s="5" t="n">
        <v>58</v>
      </c>
      <c r="J2661" s="5" t="n">
        <v>16.9</v>
      </c>
      <c r="K2661" s="3" t="inlineStr">
        <is>
          <t>대토 농림지역 답, 조치원10분거리</t>
        </is>
      </c>
      <c r="L2661" s="6">
        <f>HYPERLINK("https://fin.land.naver.com/articles/2654226032", "매물Link")</f>
        <v/>
      </c>
      <c r="M2661" s="6">
        <f>HYPERLINK("https://map.naver.com/p/search/전동면 보덕리 381-8", "지도Link")</f>
        <v/>
      </c>
      <c r="N2661" s="6">
        <f>HYPERLINK("http://www.eum.go.kr/web/ar/lu/luLandDet.jsp?pnu=3611038025103810008&amp;isNoScr=script&amp;mode=search", "토지이음")</f>
        <v/>
      </c>
      <c r="O2661" s="3" t="inlineStr">
        <is>
          <t>미스터홈즈강남지사</t>
        </is>
      </c>
      <c r="P2661" s="4" t="n">
        <v>2</v>
      </c>
      <c r="Q2661" s="4" t="n">
        <v>1120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세로한면(가)</t>
        </is>
      </c>
    </row>
    <row r="2662">
      <c r="A2662" s="3" t="inlineStr">
        <is>
          <t>전동면 보덕리 383-13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23000</v>
      </c>
      <c r="G2662" s="4" t="n">
        <v>2005</v>
      </c>
      <c r="H2662" s="4" t="n">
        <v>607</v>
      </c>
      <c r="I2662" s="5" t="n">
        <v>37.9</v>
      </c>
      <c r="J2662" s="5" t="n">
        <v>16.9</v>
      </c>
      <c r="K2662" s="3" t="inlineStr">
        <is>
          <t>보덕리</t>
        </is>
      </c>
      <c r="L2662" s="6">
        <f>HYPERLINK("https://fin.land.naver.com/articles/2653765438", "매물Link")</f>
        <v/>
      </c>
      <c r="M2662" s="6">
        <f>HYPERLINK("https://map.naver.com/p/search/전동면 보덕리 383-13", "지도Link")</f>
        <v/>
      </c>
      <c r="N2662" s="6">
        <f>HYPERLINK("http://www.eum.go.kr/web/ar/lu/luLandDet.jsp?pnu=3611038025103830013&amp;isNoScr=script&amp;mode=search", "토지이음")</f>
        <v/>
      </c>
      <c r="O2662" s="3" t="inlineStr">
        <is>
          <t>대원</t>
        </is>
      </c>
      <c r="P2662" s="4" t="n">
        <v>1</v>
      </c>
      <c r="Q2662" s="4" t="n">
        <v>2005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세로한면(가)</t>
        </is>
      </c>
    </row>
    <row r="2663">
      <c r="A2663" s="3" t="inlineStr">
        <is>
          <t>전동면 보덕리 383-13</t>
        </is>
      </c>
      <c r="B2663" s="3" t="inlineStr">
        <is>
          <t>농림지역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25000</v>
      </c>
      <c r="G2663" s="4" t="n">
        <v>2005</v>
      </c>
      <c r="H2663" s="4" t="n">
        <v>607</v>
      </c>
      <c r="I2663" s="5" t="n">
        <v>41.2</v>
      </c>
      <c r="J2663" s="5" t="n">
        <v>16.9</v>
      </c>
      <c r="K2663" s="3" t="inlineStr">
        <is>
          <t>급매 복토해서 과수등 나무식재중입니다</t>
        </is>
      </c>
      <c r="L2663" s="6">
        <f>HYPERLINK("https://fin.land.naver.com/articles/2652043426", "매물Link")</f>
        <v/>
      </c>
      <c r="M2663" s="6">
        <f>HYPERLINK("https://map.naver.com/p/search/전동면 보덕리 383-13", "지도Link")</f>
        <v/>
      </c>
      <c r="N2663" s="6">
        <f>HYPERLINK("http://www.eum.go.kr/web/ar/lu/luLandDet.jsp?pnu=3611038025103830013&amp;isNoScr=script&amp;mode=search", "토지이음")</f>
        <v/>
      </c>
      <c r="O2663" s="3" t="inlineStr">
        <is>
          <t>OK수</t>
        </is>
      </c>
      <c r="P2663" s="4" t="n">
        <v>1</v>
      </c>
      <c r="Q2663" s="4" t="n">
        <v>2005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세로장방</t>
        </is>
      </c>
      <c r="V2663" s="3" t="inlineStr">
        <is>
          <t>세로한면(가)</t>
        </is>
      </c>
    </row>
    <row r="2664">
      <c r="A2664" s="3" t="inlineStr">
        <is>
          <t>전동면 보덕리 383-6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55000</v>
      </c>
      <c r="G2664" s="4" t="n">
        <v>3320</v>
      </c>
      <c r="H2664" s="4" t="n">
        <v>1004</v>
      </c>
      <c r="I2664" s="5" t="n">
        <v>54.8</v>
      </c>
      <c r="J2664" s="5" t="n">
        <v>16.9</v>
      </c>
      <c r="K2664" s="3" t="inlineStr">
        <is>
          <t>보덕리 농림지역 토지 매매</t>
        </is>
      </c>
      <c r="L2664" s="6">
        <f>HYPERLINK("https://fin.land.naver.com/articles/2653072728", "매물Link")</f>
        <v/>
      </c>
      <c r="M2664" s="6">
        <f>HYPERLINK("https://map.naver.com/p/search/전동면 보덕리 383-6", "지도Link")</f>
        <v/>
      </c>
      <c r="N2664" s="6">
        <f>HYPERLINK("http://www.eum.go.kr/web/ar/lu/luLandDet.jsp?pnu=3611038025103830006&amp;isNoScr=script&amp;mode=search", "토지이음")</f>
        <v/>
      </c>
      <c r="O2664" s="3" t="inlineStr">
        <is>
          <t>세종땅사랑</t>
        </is>
      </c>
      <c r="P2664" s="4" t="n">
        <v>1</v>
      </c>
      <c r="Q2664" s="4" t="n">
        <v>3320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전동면 보덕리 387-11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47000</v>
      </c>
      <c r="G2665" s="4" t="n">
        <v>2200</v>
      </c>
      <c r="H2665" s="4" t="n">
        <v>666</v>
      </c>
      <c r="I2665" s="5" t="n">
        <v>70.59999999999999</v>
      </c>
      <c r="J2665" s="5" t="n">
        <v>19.2</v>
      </c>
      <c r="K2665" s="3" t="inlineStr">
        <is>
          <t>대토로 추천</t>
        </is>
      </c>
      <c r="L2665" s="6">
        <f>HYPERLINK("https://fin.land.naver.com/articles/2655705430", "매물Link")</f>
        <v/>
      </c>
      <c r="M2665" s="6">
        <f>HYPERLINK("https://map.naver.com/p/search/전동면 보덕리 387-11", "지도Link")</f>
        <v/>
      </c>
      <c r="N2665" s="6">
        <f>HYPERLINK("http://www.eum.go.kr/web/ar/lu/luLandDet.jsp?pnu=3611038025103870011&amp;isNoScr=script&amp;mode=search", "토지이음")</f>
        <v/>
      </c>
      <c r="O2665" s="3" t="inlineStr">
        <is>
          <t>세종베스트</t>
        </is>
      </c>
      <c r="P2665" s="4" t="n">
        <v>1</v>
      </c>
      <c r="Q2665" s="4" t="n">
        <v>2216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전동면 보덕리 산 29-10</t>
        </is>
      </c>
      <c r="B2666" s="3" t="inlineStr">
        <is>
          <t>농림지역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12000</v>
      </c>
      <c r="G2666" s="4" t="n">
        <v>10001</v>
      </c>
      <c r="H2666" s="4" t="n">
        <v>3025</v>
      </c>
      <c r="I2666" s="5" t="n">
        <v>4</v>
      </c>
      <c r="J2666" s="5" t="n">
        <v>2</v>
      </c>
      <c r="K2666" s="3" t="inlineStr">
        <is>
          <t>nan</t>
        </is>
      </c>
      <c r="L2666" s="6">
        <f>HYPERLINK("https://fin.land.naver.com/articles/2652593987", "매물Link")</f>
        <v/>
      </c>
      <c r="M2666" s="6">
        <f>HYPERLINK("https://map.naver.com/p/search/전동면 보덕리 산 29-10", "지도Link")</f>
        <v/>
      </c>
      <c r="N2666" s="6">
        <f>HYPERLINK("http://www.eum.go.kr/web/ar/lu/luLandDet.jsp?pnu=3611038025200290010&amp;isNoScr=script&amp;mode=search", "토지이음")</f>
        <v/>
      </c>
      <c r="O2666" s="3" t="inlineStr">
        <is>
          <t>메이저새롬현대</t>
        </is>
      </c>
      <c r="P2666" s="4" t="n">
        <v>3</v>
      </c>
      <c r="Q2666" s="4" t="n">
        <v>10001</v>
      </c>
      <c r="R2666" s="3" t="inlineStr">
        <is>
          <t>지정되지않음</t>
        </is>
      </c>
      <c r="S2666" s="3" t="inlineStr">
        <is>
          <t>자연림</t>
        </is>
      </c>
      <c r="T2666" s="3" t="inlineStr">
        <is>
          <t>급경사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보덕리 산50-20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13000</v>
      </c>
      <c r="G2667" s="4" t="n">
        <v>431</v>
      </c>
      <c r="H2667" s="4" t="n">
        <v>130</v>
      </c>
      <c r="I2667" s="5" t="n">
        <v>100</v>
      </c>
      <c r="J2667" s="5" t="n">
        <v>6.4</v>
      </c>
      <c r="K2667" s="3" t="inlineStr">
        <is>
          <t>급매.세종시소액투자토지</t>
        </is>
      </c>
      <c r="L2667" s="6">
        <f>HYPERLINK("https://fin.land.naver.com/articles/2651903153", "매물Link")</f>
        <v/>
      </c>
      <c r="M2667" s="6">
        <f>HYPERLINK("https://map.naver.com/p/search/전동면 보덕리 산50-20", "지도Link")</f>
        <v/>
      </c>
      <c r="N2667" s="6">
        <f>HYPERLINK("http://www.eum.go.kr/web/ar/lu/luLandDet.jsp?pnu=3611038025200500020&amp;isNoScr=script&amp;mode=search", "토지이음")</f>
        <v/>
      </c>
      <c r="O2667" s="3" t="inlineStr">
        <is>
          <t>강아지풀</t>
        </is>
      </c>
      <c r="P2667" s="4" t="n">
        <v>1</v>
      </c>
      <c r="Q2667" s="4" t="n">
        <v>431</v>
      </c>
      <c r="R2667" s="3" t="inlineStr">
        <is>
          <t>보전관리지역</t>
        </is>
      </c>
      <c r="S2667" s="3" t="inlineStr">
        <is>
          <t>자연림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봉대리 160-1</t>
        </is>
      </c>
      <c r="B2668" s="3" t="inlineStr">
        <is>
          <t>생산관리지역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50480</v>
      </c>
      <c r="G2668" s="4" t="n">
        <v>4172</v>
      </c>
      <c r="H2668" s="4" t="n">
        <v>1262</v>
      </c>
      <c r="I2668" s="5" t="n">
        <v>40</v>
      </c>
      <c r="J2668" s="5" t="n">
        <v>14.2</v>
      </c>
      <c r="K2668" s="3" t="inlineStr">
        <is>
          <t>총4필지, 대토추천 답과 복숭아농사로 사용중, 국유리 현황도로 접</t>
        </is>
      </c>
      <c r="L2668" s="6">
        <f>HYPERLINK("https://fin.land.naver.com/articles/2652047844", "매물Link")</f>
        <v/>
      </c>
      <c r="M2668" s="6">
        <f>HYPERLINK("https://map.naver.com/p/search/전동면 봉대리 160-1", "지도Link")</f>
        <v/>
      </c>
      <c r="N2668" s="6">
        <f>HYPERLINK("http://www.eum.go.kr/web/ar/lu/luLandDet.jsp?pnu=3611038022101600001&amp;isNoScr=script&amp;mode=search", "토지이음")</f>
        <v/>
      </c>
      <c r="O2668" s="3" t="inlineStr">
        <is>
          <t>미스터홈즈강남지사</t>
        </is>
      </c>
      <c r="P2668" s="4" t="n">
        <v>1</v>
      </c>
      <c r="Q2668" s="4" t="n">
        <v>1524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봉대리 191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120000</v>
      </c>
      <c r="G2669" s="4" t="n">
        <v>8046</v>
      </c>
      <c r="H2669" s="4" t="n">
        <v>2434</v>
      </c>
      <c r="I2669" s="5" t="n">
        <v>49.3</v>
      </c>
      <c r="J2669" s="5" t="n">
        <v>14.1</v>
      </c>
      <c r="K2669" s="3" t="inlineStr">
        <is>
          <t>생활도로 낀 모양좋은 관리지역 토지매매</t>
        </is>
      </c>
      <c r="L2669" s="6">
        <f>HYPERLINK("https://fin.land.naver.com/articles/2653195537", "매물Link")</f>
        <v/>
      </c>
      <c r="M2669" s="6">
        <f>HYPERLINK("https://map.naver.com/p/search/전동면 봉대리 191", "지도Link")</f>
        <v/>
      </c>
      <c r="N2669" s="6">
        <f>HYPERLINK("http://www.eum.go.kr/web/ar/lu/luLandDet.jsp?pnu=3611038022101910000&amp;isNoScr=script&amp;mode=search", "토지이음")</f>
        <v/>
      </c>
      <c r="O2669" s="3" t="inlineStr">
        <is>
          <t>THE행복</t>
        </is>
      </c>
      <c r="P2669" s="4" t="n">
        <v>1</v>
      </c>
      <c r="Q2669" s="4" t="n">
        <v>8046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봉대리 194</t>
        </is>
      </c>
      <c r="B2670" s="3" t="inlineStr">
        <is>
          <t>생산관리지역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23000</v>
      </c>
      <c r="G2670" s="4" t="n">
        <v>2016</v>
      </c>
      <c r="H2670" s="4" t="n">
        <v>610</v>
      </c>
      <c r="I2670" s="5" t="n">
        <v>37.7</v>
      </c>
      <c r="J2670" s="5" t="n">
        <v>14.1</v>
      </c>
      <c r="K2670" s="3" t="inlineStr">
        <is>
          <t>건축가능한 남향토지</t>
        </is>
      </c>
      <c r="L2670" s="6">
        <f>HYPERLINK("https://fin.land.naver.com/articles/2651733838", "매물Link")</f>
        <v/>
      </c>
      <c r="M2670" s="6">
        <f>HYPERLINK("https://map.naver.com/p/search/전동면 봉대리 194", "지도Link")</f>
        <v/>
      </c>
      <c r="N2670" s="6">
        <f>HYPERLINK("http://www.eum.go.kr/web/ar/lu/luLandDet.jsp?pnu=3611038022101940000&amp;isNoScr=script&amp;mode=search", "토지이음")</f>
        <v/>
      </c>
      <c r="O2670" s="3" t="inlineStr">
        <is>
          <t>THE행복</t>
        </is>
      </c>
      <c r="P2670" s="4" t="n">
        <v>1</v>
      </c>
      <c r="Q2670" s="4" t="n">
        <v>1246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봉대리 194</t>
        </is>
      </c>
      <c r="B2671" s="3" t="inlineStr">
        <is>
          <t>생산관리지역</t>
        </is>
      </c>
      <c r="C2671" s="3" t="inlineStr">
        <is>
          <t>전</t>
        </is>
      </c>
      <c r="D2671" s="3" t="inlineStr">
        <is>
          <t>전</t>
        </is>
      </c>
      <c r="E2671" s="3" t="inlineStr">
        <is>
          <t>매매</t>
        </is>
      </c>
      <c r="F2671" s="4" t="n">
        <v>22000</v>
      </c>
      <c r="G2671" s="4" t="n">
        <v>2013</v>
      </c>
      <c r="H2671" s="4" t="n">
        <v>609</v>
      </c>
      <c r="I2671" s="5" t="n">
        <v>36.1</v>
      </c>
      <c r="J2671" s="5" t="n">
        <v>14.1</v>
      </c>
      <c r="K2671" s="3" t="inlineStr">
        <is>
          <t>서울세종간 도속도로 인근토지</t>
        </is>
      </c>
      <c r="L2671" s="6">
        <f>HYPERLINK("https://fin.land.naver.com/articles/2650478346", "매물Link")</f>
        <v/>
      </c>
      <c r="M2671" s="6">
        <f>HYPERLINK("https://map.naver.com/p/search/전동면 봉대리 194", "지도Link")</f>
        <v/>
      </c>
      <c r="N2671" s="6">
        <f>HYPERLINK("http://www.eum.go.kr/web/ar/lu/luLandDet.jsp?pnu=3611038022101940000&amp;isNoScr=script&amp;mode=search", "토지이음")</f>
        <v/>
      </c>
      <c r="O2671" s="3" t="inlineStr">
        <is>
          <t>해들일번지</t>
        </is>
      </c>
      <c r="P2671" s="4" t="n">
        <v>1</v>
      </c>
      <c r="Q2671" s="4" t="n">
        <v>1246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세로한면(가)</t>
        </is>
      </c>
    </row>
    <row r="2672">
      <c r="A2672" s="3" t="inlineStr">
        <is>
          <t>전동면 봉대리 212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8500</v>
      </c>
      <c r="G2672" s="4" t="n">
        <v>417</v>
      </c>
      <c r="H2672" s="4" t="n">
        <v>126</v>
      </c>
      <c r="I2672" s="5" t="n">
        <v>67.5</v>
      </c>
      <c r="J2672" s="5" t="n">
        <v>19</v>
      </c>
      <c r="K2672" s="3" t="inlineStr">
        <is>
          <t>소액 투자 추천</t>
        </is>
      </c>
      <c r="L2672" s="6">
        <f>HYPERLINK("https://fin.land.naver.com/articles/2651936415", "매물Link")</f>
        <v/>
      </c>
      <c r="M2672" s="6">
        <f>HYPERLINK("https://map.naver.com/p/search/전동면 봉대리 212", "지도Link")</f>
        <v/>
      </c>
      <c r="N2672" s="6">
        <f>HYPERLINK("http://www.eum.go.kr/web/ar/lu/luLandDet.jsp?pnu=3611038022102120000&amp;isNoScr=script&amp;mode=search", "토지이음")</f>
        <v/>
      </c>
      <c r="O2672" s="3" t="inlineStr">
        <is>
          <t>강아지풀</t>
        </is>
      </c>
      <c r="P2672" s="4" t="n">
        <v>1</v>
      </c>
      <c r="Q2672" s="4" t="n">
        <v>417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세로각지(가)</t>
        </is>
      </c>
    </row>
    <row r="2673">
      <c r="A2673" s="3" t="inlineStr">
        <is>
          <t>전동면 봉대리 325</t>
        </is>
      </c>
      <c r="B2673" s="3" t="inlineStr">
        <is>
          <t>생산관리지역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33500</v>
      </c>
      <c r="G2673" s="4" t="n">
        <v>3167</v>
      </c>
      <c r="H2673" s="4" t="n">
        <v>958</v>
      </c>
      <c r="I2673" s="5" t="n">
        <v>35</v>
      </c>
      <c r="J2673" s="5" t="n">
        <v>16</v>
      </c>
      <c r="K2673" s="3" t="inlineStr">
        <is>
          <t>전동면 봉대리 포도밭 매매</t>
        </is>
      </c>
      <c r="L2673" s="6">
        <f>HYPERLINK("https://fin.land.naver.com/articles/2650133868", "매물Link")</f>
        <v/>
      </c>
      <c r="M2673" s="6">
        <f>HYPERLINK("https://map.naver.com/p/search/전동면 봉대리 325", "지도Link")</f>
        <v/>
      </c>
      <c r="N2673" s="6">
        <f>HYPERLINK("http://www.eum.go.kr/web/ar/lu/luLandDet.jsp?pnu=3611038022103250000&amp;isNoScr=script&amp;mode=search", "토지이음")</f>
        <v/>
      </c>
      <c r="O2673" s="3" t="inlineStr">
        <is>
          <t>대륜 사무소</t>
        </is>
      </c>
      <c r="P2673" s="4" t="n">
        <v>1</v>
      </c>
      <c r="Q2673" s="4" t="n">
        <v>3167</v>
      </c>
      <c r="R2673" s="3" t="inlineStr">
        <is>
          <t>계획관리지역</t>
        </is>
      </c>
      <c r="S2673" s="3" t="inlineStr">
        <is>
          <t>답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봉대리 340-2</t>
        </is>
      </c>
      <c r="B2674" s="3" t="inlineStr">
        <is>
          <t>생산관리지역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30000</v>
      </c>
      <c r="G2674" s="4" t="n">
        <v>2696</v>
      </c>
      <c r="H2674" s="4" t="n">
        <v>816</v>
      </c>
      <c r="I2674" s="5" t="n">
        <v>36.8</v>
      </c>
      <c r="J2674" s="5" t="n">
        <v>27.2</v>
      </c>
      <c r="K2674" s="3" t="inlineStr">
        <is>
          <t>전동면 봉대리 보전관리 토지, 2차선변, 뒤로 하천, 전동면 산단 인근</t>
        </is>
      </c>
      <c r="L2674" s="6">
        <f>HYPERLINK("https://fin.land.naver.com/articles/2650488711", "매물Link")</f>
        <v/>
      </c>
      <c r="M2674" s="6">
        <f>HYPERLINK("https://map.naver.com/p/search/전동면 봉대리 340-2", "지도Link")</f>
        <v/>
      </c>
      <c r="N2674" s="6">
        <f>HYPERLINK("http://www.eum.go.kr/web/ar/lu/luLandDet.jsp?pnu=3611038022103400002&amp;isNoScr=script&amp;mode=search", "토지이음")</f>
        <v/>
      </c>
      <c r="O2674" s="3" t="inlineStr">
        <is>
          <t>스카이</t>
        </is>
      </c>
      <c r="P2674" s="4" t="n">
        <v>1</v>
      </c>
      <c r="Q2674" s="4" t="n">
        <v>2005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소로한면</t>
        </is>
      </c>
    </row>
    <row r="2675">
      <c r="A2675" s="3" t="inlineStr">
        <is>
          <t>전동면 봉대리 산 64-1</t>
        </is>
      </c>
      <c r="B2675" s="3" t="inlineStr">
        <is>
          <t>보전관리지역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34000</v>
      </c>
      <c r="G2675" s="4" t="n">
        <v>11269</v>
      </c>
      <c r="H2675" s="4" t="n">
        <v>3409</v>
      </c>
      <c r="I2675" s="5" t="n">
        <v>10</v>
      </c>
      <c r="J2675" s="5" t="n">
        <v>4.2</v>
      </c>
      <c r="K2675" s="3" t="inlineStr">
        <is>
          <t>전동면 봉대리 보전관리 임야, 고속도로 옆,  도로 통해 진입가능</t>
        </is>
      </c>
      <c r="L2675" s="6">
        <f>HYPERLINK("https://fin.land.naver.com/articles/2650487835", "매물Link")</f>
        <v/>
      </c>
      <c r="M2675" s="6">
        <f>HYPERLINK("https://map.naver.com/p/search/전동면 봉대리 산 64-1", "지도Link")</f>
        <v/>
      </c>
      <c r="N2675" s="6">
        <f>HYPERLINK("http://www.eum.go.kr/web/ar/lu/luLandDet.jsp?pnu=3611038022200640001&amp;isNoScr=script&amp;mode=search", "토지이음")</f>
        <v/>
      </c>
      <c r="O2675" s="3" t="inlineStr">
        <is>
          <t>스카이</t>
        </is>
      </c>
      <c r="P2675" s="4" t="n">
        <v>1</v>
      </c>
      <c r="Q2675" s="4" t="n">
        <v>11269</v>
      </c>
      <c r="R2675" s="3" t="inlineStr">
        <is>
          <t>지정되지않음</t>
        </is>
      </c>
      <c r="S2675" s="3" t="inlineStr">
        <is>
          <t>자연림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세로한면(불)</t>
        </is>
      </c>
    </row>
    <row r="2676">
      <c r="A2676" s="3" t="inlineStr">
        <is>
          <t>전동면 석곡리 149-3</t>
        </is>
      </c>
      <c r="B2676" s="3" t="inlineStr">
        <is>
          <t>생산관리지역</t>
        </is>
      </c>
      <c r="C2676" s="3" t="inlineStr">
        <is>
          <t>과수원</t>
        </is>
      </c>
      <c r="D2676" s="3" t="inlineStr">
        <is>
          <t>과수원</t>
        </is>
      </c>
      <c r="E2676" s="3" t="inlineStr">
        <is>
          <t>매매</t>
        </is>
      </c>
      <c r="F2676" s="4" t="n">
        <v>8800</v>
      </c>
      <c r="G2676" s="4" t="n">
        <v>482</v>
      </c>
      <c r="H2676" s="4" t="n">
        <v>146</v>
      </c>
      <c r="I2676" s="5" t="n">
        <v>60.3</v>
      </c>
      <c r="J2676" s="5" t="n">
        <v>16.4</v>
      </c>
      <c r="K2676" s="3" t="inlineStr">
        <is>
          <t>전동면 석곡리 토지 급매</t>
        </is>
      </c>
      <c r="L2676" s="6">
        <f>HYPERLINK("https://fin.land.naver.com/articles/2653950328", "매물Link")</f>
        <v/>
      </c>
      <c r="M2676" s="6">
        <f>HYPERLINK("https://map.naver.com/p/search/전동면 석곡리 149-3", "지도Link")</f>
        <v/>
      </c>
      <c r="N2676" s="6">
        <f>HYPERLINK("http://www.eum.go.kr/web/ar/lu/luLandDet.jsp?pnu=3611038024101490003&amp;isNoScr=script&amp;mode=search", "토지이음")</f>
        <v/>
      </c>
      <c r="O2676" s="3" t="inlineStr">
        <is>
          <t>KB세종</t>
        </is>
      </c>
      <c r="P2676" s="4" t="n">
        <v>1</v>
      </c>
      <c r="Q2676" s="4" t="n">
        <v>482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석곡리 37-4</t>
        </is>
      </c>
      <c r="B2677" s="3" t="inlineStr">
        <is>
          <t>농림지역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57200</v>
      </c>
      <c r="G2677" s="4" t="n">
        <v>1891</v>
      </c>
      <c r="H2677" s="4" t="n">
        <v>572</v>
      </c>
      <c r="I2677" s="5" t="n">
        <v>100</v>
      </c>
      <c r="J2677" s="5" t="n">
        <v>15</v>
      </c>
      <c r="K2677" s="3" t="inlineStr">
        <is>
          <t>농림지역. 직사각형 농업진흥구역 . 도로인접</t>
        </is>
      </c>
      <c r="L2677" s="6">
        <f>HYPERLINK("https://fin.land.naver.com/articles/2654379529", "매물Link")</f>
        <v/>
      </c>
      <c r="M2677" s="6">
        <f>HYPERLINK("https://map.naver.com/p/search/전동면 석곡리 37-4", "지도Link")</f>
        <v/>
      </c>
      <c r="N2677" s="6">
        <f>HYPERLINK("http://www.eum.go.kr/web/ar/lu/luLandDet.jsp?pnu=3611038024100370004&amp;isNoScr=script&amp;mode=search", "토지이음")</f>
        <v/>
      </c>
      <c r="O2677" s="3" t="inlineStr">
        <is>
          <t>보람최고</t>
        </is>
      </c>
      <c r="P2677" s="4" t="n">
        <v>1</v>
      </c>
      <c r="Q2677" s="4" t="n">
        <v>1891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전동면 석곡리 44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40000</v>
      </c>
      <c r="G2678" s="4" t="n">
        <v>1976</v>
      </c>
      <c r="H2678" s="4" t="n">
        <v>598</v>
      </c>
      <c r="I2678" s="5" t="n">
        <v>66.90000000000001</v>
      </c>
      <c r="J2678" s="5" t="n">
        <v>15.1</v>
      </c>
      <c r="K2678" s="3" t="inlineStr">
        <is>
          <t>톨게이트 초인근 농지매매</t>
        </is>
      </c>
      <c r="L2678" s="6">
        <f>HYPERLINK("https://fin.land.naver.com/articles/2655175038", "매물Link")</f>
        <v/>
      </c>
      <c r="M2678" s="6">
        <f>HYPERLINK("https://map.naver.com/p/search/전동면 석곡리 44", "지도Link")</f>
        <v/>
      </c>
      <c r="N2678" s="6">
        <f>HYPERLINK("http://www.eum.go.kr/web/ar/lu/luLandDet.jsp?pnu=3611038024100440000&amp;isNoScr=script&amp;mode=search", "토지이음")</f>
        <v/>
      </c>
      <c r="O2678" s="3" t="inlineStr">
        <is>
          <t>에이스</t>
        </is>
      </c>
      <c r="P2678" s="4" t="n">
        <v>6</v>
      </c>
      <c r="Q2678" s="4" t="n">
        <v>1976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전동면 석곡리 산4-1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400000</v>
      </c>
      <c r="G2679" s="4" t="n">
        <v>10826</v>
      </c>
      <c r="H2679" s="4" t="n">
        <v>3275</v>
      </c>
      <c r="I2679" s="5" t="n">
        <v>122.1</v>
      </c>
      <c r="J2679" s="5" t="n">
        <v>2.1</v>
      </c>
      <c r="K2679" s="3" t="inlineStr">
        <is>
          <t>세종벤처밸리 산단 인접,국도1호선 진입로 초입에 위치</t>
        </is>
      </c>
      <c r="L2679" s="6">
        <f>HYPERLINK("https://fin.land.naver.com/articles/2652760158", "매물Link")</f>
        <v/>
      </c>
      <c r="M2679" s="6">
        <f>HYPERLINK("https://map.naver.com/p/search/전동면 석곡리 산4-1", "지도Link")</f>
        <v/>
      </c>
      <c r="N2679" s="6">
        <f>HYPERLINK("http://www.eum.go.kr/web/ar/lu/luLandDet.jsp?pnu=3611038024200040001&amp;isNoScr=script&amp;mode=search", "토지이음")</f>
        <v/>
      </c>
      <c r="O2679" s="3" t="inlineStr">
        <is>
          <t>온누리</t>
        </is>
      </c>
      <c r="P2679" s="4" t="n">
        <v>2</v>
      </c>
      <c r="Q2679" s="4" t="n">
        <v>10826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송곡리 108-6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34000</v>
      </c>
      <c r="G2680" s="4" t="n">
        <v>871</v>
      </c>
      <c r="H2680" s="4" t="n">
        <v>263</v>
      </c>
      <c r="I2680" s="5" t="n">
        <v>129.3</v>
      </c>
      <c r="J2680" s="5" t="n">
        <v>20.6</v>
      </c>
      <c r="K2680" s="3" t="inlineStr">
        <is>
          <t>2차선 도로옆 접근성 좋고 활용도 높은 송곡리 토지</t>
        </is>
      </c>
      <c r="L2680" s="6">
        <f>HYPERLINK("https://fin.land.naver.com/articles/2655581227", "매물Link")</f>
        <v/>
      </c>
      <c r="M2680" s="6">
        <f>HYPERLINK("https://map.naver.com/p/search/전동면 송곡리 108-6", "지도Link")</f>
        <v/>
      </c>
      <c r="N2680" s="6">
        <f>HYPERLINK("http://www.eum.go.kr/web/ar/lu/luLandDet.jsp?pnu=3611038026101080006&amp;isNoScr=script&amp;mode=search", "토지이음")</f>
        <v/>
      </c>
      <c r="O2680" s="3" t="inlineStr">
        <is>
          <t>새롬삼둥이</t>
        </is>
      </c>
      <c r="P2680" s="4" t="n">
        <v>1</v>
      </c>
      <c r="Q2680" s="4" t="n">
        <v>871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평지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송곡리 116-15</t>
        </is>
      </c>
      <c r="B2681" s="3" t="inlineStr">
        <is>
          <t>보전관리지역</t>
        </is>
      </c>
      <c r="C2681" s="3" t="inlineStr">
        <is>
          <t>과수원</t>
        </is>
      </c>
      <c r="D2681" s="3" t="inlineStr">
        <is>
          <t>과수원</t>
        </is>
      </c>
      <c r="E2681" s="3" t="inlineStr">
        <is>
          <t>매매</t>
        </is>
      </c>
      <c r="F2681" s="4" t="n">
        <v>260000</v>
      </c>
      <c r="G2681" s="4" t="n">
        <v>21695</v>
      </c>
      <c r="H2681" s="4" t="n">
        <v>6563</v>
      </c>
      <c r="I2681" s="5" t="n">
        <v>39.6</v>
      </c>
      <c r="J2681" s="5" t="n">
        <v>17.9</v>
      </c>
      <c r="K2681" s="3" t="inlineStr">
        <is>
          <t>송곡리 저렴토지, 비닐하우스,휴게공간 등 토지관리 우수</t>
        </is>
      </c>
      <c r="L2681" s="6">
        <f>HYPERLINK("https://fin.land.naver.com/articles/2654799798", "매물Link")</f>
        <v/>
      </c>
      <c r="M2681" s="6">
        <f>HYPERLINK("https://map.naver.com/p/search/전동면 송곡리 116-15", "지도Link")</f>
        <v/>
      </c>
      <c r="N2681" s="6">
        <f>HYPERLINK("http://www.eum.go.kr/web/ar/lu/luLandDet.jsp?pnu=3611038026101160015&amp;isNoScr=script&amp;mode=search", "토지이음")</f>
        <v/>
      </c>
      <c r="O2681" s="3" t="inlineStr">
        <is>
          <t>다옴</t>
        </is>
      </c>
      <c r="P2681" s="4" t="n">
        <v>1</v>
      </c>
      <c r="Q2681" s="4" t="n">
        <v>3783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송곡리 139-2</t>
        </is>
      </c>
      <c r="B2682" s="3" t="inlineStr">
        <is>
          <t>계획관리지역</t>
        </is>
      </c>
      <c r="C2682" s="3" t="inlineStr">
        <is>
          <t>대</t>
        </is>
      </c>
      <c r="D2682" s="3" t="inlineStr">
        <is>
          <t>대</t>
        </is>
      </c>
      <c r="E2682" s="3" t="inlineStr">
        <is>
          <t>매매</t>
        </is>
      </c>
      <c r="F2682" s="4" t="n">
        <v>55000</v>
      </c>
      <c r="G2682" s="4" t="n">
        <v>1053</v>
      </c>
      <c r="H2682" s="4" t="n">
        <v>319</v>
      </c>
      <c r="I2682" s="5" t="n">
        <v>172.4</v>
      </c>
      <c r="J2682" s="5" t="n">
        <v>62.9</v>
      </c>
      <c r="K2682" s="3" t="inlineStr">
        <is>
          <t>송곡리 2차선 도로접 현재 단독주택있음</t>
        </is>
      </c>
      <c r="L2682" s="6">
        <f>HYPERLINK("https://fin.land.naver.com/articles/2651708608", "매물Link")</f>
        <v/>
      </c>
      <c r="M2682" s="6">
        <f>HYPERLINK("https://map.naver.com/p/search/전동면 송곡리 139-2", "지도Link")</f>
        <v/>
      </c>
      <c r="N2682" s="6">
        <f>HYPERLINK("http://www.eum.go.kr/web/ar/lu/luLandDet.jsp?pnu=3611038026101390002&amp;isNoScr=script&amp;mode=search", "토지이음")</f>
        <v/>
      </c>
      <c r="O2682" s="3" t="inlineStr">
        <is>
          <t>OK수</t>
        </is>
      </c>
      <c r="P2682" s="4" t="n">
        <v>1</v>
      </c>
      <c r="Q2682" s="4" t="n">
        <v>1053</v>
      </c>
      <c r="R2682" s="3" t="inlineStr">
        <is>
          <t>지정되지않음</t>
        </is>
      </c>
      <c r="S2682" s="3" t="inlineStr">
        <is>
          <t>단독</t>
        </is>
      </c>
      <c r="T2682" s="3" t="inlineStr">
        <is>
          <t>평지</t>
        </is>
      </c>
      <c r="U2682" s="3" t="inlineStr">
        <is>
          <t>사다리형</t>
        </is>
      </c>
      <c r="V2682" s="3" t="inlineStr">
        <is>
          <t>소로한면</t>
        </is>
      </c>
    </row>
    <row r="2683">
      <c r="A2683" s="3" t="inlineStr">
        <is>
          <t>전동면 송곡리 182-4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105800</v>
      </c>
      <c r="G2683" s="4" t="n">
        <v>3888</v>
      </c>
      <c r="H2683" s="4" t="n">
        <v>1176</v>
      </c>
      <c r="I2683" s="5" t="n">
        <v>90</v>
      </c>
      <c r="J2683" s="5" t="n">
        <v>26.9</v>
      </c>
      <c r="K2683" s="3" t="inlineStr">
        <is>
          <t>계획관리지역 농지입니다. 전원주택,창고,시설등 조건에 따라 쓰임새 다양</t>
        </is>
      </c>
      <c r="L2683" s="6">
        <f>HYPERLINK("https://fin.land.naver.com/articles/2654351345", "매물Link")</f>
        <v/>
      </c>
      <c r="M2683" s="6">
        <f>HYPERLINK("https://map.naver.com/p/search/전동면 송곡리 182-4", "지도Link")</f>
        <v/>
      </c>
      <c r="N2683" s="6">
        <f>HYPERLINK("http://www.eum.go.kr/web/ar/lu/luLandDet.jsp?pnu=3611038026101820004&amp;isNoScr=script&amp;mode=search", "토지이음")</f>
        <v/>
      </c>
      <c r="O2683" s="3" t="inlineStr">
        <is>
          <t>신안무소</t>
        </is>
      </c>
      <c r="P2683" s="4" t="n">
        <v>1</v>
      </c>
      <c r="Q2683" s="4" t="n">
        <v>3425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송곡리 199-58</t>
        </is>
      </c>
      <c r="B2684" s="3" t="inlineStr">
        <is>
          <t>보전관리지역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18000</v>
      </c>
      <c r="G2684" s="4" t="n">
        <v>600</v>
      </c>
      <c r="H2684" s="4" t="n">
        <v>182</v>
      </c>
      <c r="I2684" s="5" t="n">
        <v>98.90000000000001</v>
      </c>
      <c r="J2684" s="5" t="n">
        <v>14</v>
      </c>
      <c r="K2684" s="3" t="inlineStr">
        <is>
          <t>급매. 개발 완료된 전원주택지</t>
        </is>
      </c>
      <c r="L2684" s="6">
        <f>HYPERLINK("https://fin.land.naver.com/articles/2650483547", "매물Link")</f>
        <v/>
      </c>
      <c r="M2684" s="6">
        <f>HYPERLINK("https://map.naver.com/p/search/전동면 송곡리 199-58", "지도Link")</f>
        <v/>
      </c>
      <c r="N2684" s="6">
        <f>HYPERLINK("http://www.eum.go.kr/web/ar/lu/luLandDet.jsp?pnu=3611038026101990058&amp;isNoScr=script&amp;mode=search", "토지이음")</f>
        <v/>
      </c>
      <c r="O2684" s="3" t="inlineStr">
        <is>
          <t>세종소담114</t>
        </is>
      </c>
      <c r="P2684" s="4" t="n">
        <v>1</v>
      </c>
      <c r="Q2684" s="4" t="n">
        <v>600</v>
      </c>
      <c r="R2684" s="3" t="inlineStr">
        <is>
          <t>지정되지않음</t>
        </is>
      </c>
      <c r="S2684" s="3" t="inlineStr">
        <is>
          <t>전기타</t>
        </is>
      </c>
      <c r="T2684" s="3" t="inlineStr">
        <is>
          <t>완경사</t>
        </is>
      </c>
      <c r="U2684" s="3" t="inlineStr">
        <is>
          <t>세로장방</t>
        </is>
      </c>
      <c r="V2684" s="3" t="inlineStr">
        <is>
          <t>맹지</t>
        </is>
      </c>
    </row>
    <row r="2685">
      <c r="A2685" s="3" t="inlineStr">
        <is>
          <t>전동면 송곡리 199-59</t>
        </is>
      </c>
      <c r="B2685" s="3" t="inlineStr">
        <is>
          <t>보전관리지역</t>
        </is>
      </c>
      <c r="C2685" s="3" t="inlineStr">
        <is>
          <t>임야</t>
        </is>
      </c>
      <c r="D2685" s="3" t="inlineStr">
        <is>
          <t>임야</t>
        </is>
      </c>
      <c r="E2685" s="3" t="inlineStr">
        <is>
          <t>매매</t>
        </is>
      </c>
      <c r="F2685" s="4" t="n">
        <v>15000</v>
      </c>
      <c r="G2685" s="4" t="n">
        <v>600</v>
      </c>
      <c r="H2685" s="4" t="n">
        <v>182</v>
      </c>
      <c r="I2685" s="5" t="n">
        <v>82.40000000000001</v>
      </c>
      <c r="J2685" s="5" t="n">
        <v>14</v>
      </c>
      <c r="K2685" s="3" t="inlineStr">
        <is>
          <t>급매추천, 개발 완료된 전원주택지</t>
        </is>
      </c>
      <c r="L2685" s="6">
        <f>HYPERLINK("https://fin.land.naver.com/articles/2650363667", "매물Link")</f>
        <v/>
      </c>
      <c r="M2685" s="6">
        <f>HYPERLINK("https://map.naver.com/p/search/전동면 송곡리 199-59", "지도Link")</f>
        <v/>
      </c>
      <c r="N2685" s="6">
        <f>HYPERLINK("http://www.eum.go.kr/web/ar/lu/luLandDet.jsp?pnu=3611038026101990059&amp;isNoScr=script&amp;mode=search", "토지이음")</f>
        <v/>
      </c>
      <c r="O2685" s="3" t="inlineStr">
        <is>
          <t>세종소담114</t>
        </is>
      </c>
      <c r="P2685" s="4" t="n">
        <v>1</v>
      </c>
      <c r="Q2685" s="4" t="n">
        <v>600</v>
      </c>
      <c r="R2685" s="3" t="inlineStr">
        <is>
          <t>지정되지않음</t>
        </is>
      </c>
      <c r="S2685" s="3" t="inlineStr">
        <is>
          <t>전기타</t>
        </is>
      </c>
      <c r="T2685" s="3" t="inlineStr">
        <is>
          <t>완경사</t>
        </is>
      </c>
      <c r="U2685" s="3" t="inlineStr">
        <is>
          <t>세로장방</t>
        </is>
      </c>
      <c r="V2685" s="3" t="inlineStr">
        <is>
          <t>맹지</t>
        </is>
      </c>
    </row>
    <row r="2686">
      <c r="A2686" s="3" t="inlineStr">
        <is>
          <t>전동면 송곡리 199-74</t>
        </is>
      </c>
      <c r="B2686" s="3" t="inlineStr">
        <is>
          <t>보전관리지역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15000</v>
      </c>
      <c r="G2686" s="4" t="n">
        <v>620</v>
      </c>
      <c r="H2686" s="4" t="n">
        <v>188</v>
      </c>
      <c r="I2686" s="5" t="n">
        <v>79.8</v>
      </c>
      <c r="J2686" s="5" t="n">
        <v>4.1</v>
      </c>
      <c r="K2686" s="3" t="inlineStr">
        <is>
          <t>송곡리 조성 마친 반듯한 전원주택지. 여러 필지 매매도 가능해요.</t>
        </is>
      </c>
      <c r="L2686" s="6">
        <f>HYPERLINK("https://fin.land.naver.com/articles/2655448658", "매물Link")</f>
        <v/>
      </c>
      <c r="M2686" s="6">
        <f>HYPERLINK("https://map.naver.com/p/search/전동면 송곡리 199-74", "지도Link")</f>
        <v/>
      </c>
      <c r="N2686" s="6">
        <f>HYPERLINK("http://www.eum.go.kr/web/ar/lu/luLandDet.jsp?pnu=3611038026101990074&amp;isNoScr=script&amp;mode=search", "토지이음")</f>
        <v/>
      </c>
      <c r="O2686" s="3" t="inlineStr">
        <is>
          <t>코뿔소 합동</t>
        </is>
      </c>
      <c r="P2686" s="4" t="n">
        <v>1</v>
      </c>
      <c r="Q2686" s="4" t="n">
        <v>2480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급경사</t>
        </is>
      </c>
      <c r="U2686" s="3" t="inlineStr">
        <is>
          <t>사다리형</t>
        </is>
      </c>
      <c r="V2686" s="3" t="inlineStr">
        <is>
          <t>맹지</t>
        </is>
      </c>
    </row>
    <row r="2687">
      <c r="A2687" s="3" t="inlineStr">
        <is>
          <t>전동면 송곡리 35-5</t>
        </is>
      </c>
      <c r="B2687" s="3" t="inlineStr">
        <is>
          <t>계획관리지역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51000</v>
      </c>
      <c r="G2687" s="4" t="n">
        <v>700</v>
      </c>
      <c r="H2687" s="4" t="n">
        <v>212</v>
      </c>
      <c r="I2687" s="5" t="n">
        <v>240.6</v>
      </c>
      <c r="J2687" s="5" t="n">
        <v>28.5</v>
      </c>
      <c r="K2687" s="3" t="inlineStr">
        <is>
          <t>nan</t>
        </is>
      </c>
      <c r="L2687" s="6">
        <f>HYPERLINK("https://fin.land.naver.com/articles/2653157710", "매물Link")</f>
        <v/>
      </c>
      <c r="M2687" s="6">
        <f>HYPERLINK("https://map.naver.com/p/search/전동면 송곡리 35-5", "지도Link")</f>
        <v/>
      </c>
      <c r="N2687" s="6">
        <f>HYPERLINK("http://www.eum.go.kr/web/ar/lu/luLandDet.jsp?pnu=3611038026100350005&amp;isNoScr=script&amp;mode=search", "토지이음")</f>
        <v/>
      </c>
      <c r="O2687" s="3" t="inlineStr">
        <is>
          <t>KB세종</t>
        </is>
      </c>
      <c r="P2687" s="4" t="n">
        <v>1</v>
      </c>
      <c r="Q2687" s="4" t="n">
        <v>700</v>
      </c>
      <c r="R2687" s="3" t="inlineStr">
        <is>
          <t>지정되지않음</t>
        </is>
      </c>
      <c r="S2687" s="3" t="inlineStr">
        <is>
          <t>전기타</t>
        </is>
      </c>
      <c r="T2687" s="3" t="inlineStr">
        <is>
          <t>평지</t>
        </is>
      </c>
      <c r="U2687" s="3" t="inlineStr">
        <is>
          <t>사다리형</t>
        </is>
      </c>
      <c r="V2687" s="3" t="inlineStr">
        <is>
          <t>세로한면(가)</t>
        </is>
      </c>
    </row>
    <row r="2688">
      <c r="A2688" s="3" t="inlineStr">
        <is>
          <t>전동면 송곡리 68-5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679</v>
      </c>
      <c r="H2688" s="4" t="n">
        <v>205</v>
      </c>
      <c r="I2688" s="5" t="n">
        <v>78</v>
      </c>
      <c r="J2688" s="5" t="n">
        <v>21.7</v>
      </c>
      <c r="K2688" s="3" t="inlineStr">
        <is>
          <t>주택용으로 너무 좋아요</t>
        </is>
      </c>
      <c r="L2688" s="6">
        <f>HYPERLINK("https://fin.land.naver.com/articles/2654846610", "매물Link")</f>
        <v/>
      </c>
      <c r="M2688" s="6">
        <f>HYPERLINK("https://map.naver.com/p/search/전동면 송곡리 68-5", "지도Link")</f>
        <v/>
      </c>
      <c r="N2688" s="6">
        <f>HYPERLINK("http://www.eum.go.kr/web/ar/lu/luLandDet.jsp?pnu=3611038026100680005&amp;isNoScr=script&amp;mode=search", "토지이음")</f>
        <v/>
      </c>
      <c r="O2688" s="3" t="inlineStr">
        <is>
          <t>세종리츠</t>
        </is>
      </c>
      <c r="P2688" s="4" t="n">
        <v>2</v>
      </c>
      <c r="Q2688" s="4" t="n">
        <v>679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송곡리 78-2</t>
        </is>
      </c>
      <c r="B2689" s="3" t="inlineStr">
        <is>
          <t>생산관리지역</t>
        </is>
      </c>
      <c r="C2689" s="3" t="inlineStr">
        <is>
          <t>전</t>
        </is>
      </c>
      <c r="D2689" s="3" t="inlineStr">
        <is>
          <t>전</t>
        </is>
      </c>
      <c r="E2689" s="3" t="inlineStr">
        <is>
          <t>매매</t>
        </is>
      </c>
      <c r="F2689" s="4" t="n">
        <v>28000</v>
      </c>
      <c r="G2689" s="4" t="n">
        <v>1425</v>
      </c>
      <c r="H2689" s="4" t="n">
        <v>431</v>
      </c>
      <c r="I2689" s="5" t="n">
        <v>65</v>
      </c>
      <c r="J2689" s="5" t="n">
        <v>17.4</v>
      </c>
      <c r="K2689" s="3" t="inlineStr">
        <is>
          <t>전원주택,창고등 ,도로접 투자추천</t>
        </is>
      </c>
      <c r="L2689" s="6">
        <f>HYPERLINK("https://fin.land.naver.com/articles/2650720905", "매물Link")</f>
        <v/>
      </c>
      <c r="M2689" s="6">
        <f>HYPERLINK("https://map.naver.com/p/search/전동면 송곡리 78-2", "지도Link")</f>
        <v/>
      </c>
      <c r="N2689" s="6">
        <f>HYPERLINK("http://www.eum.go.kr/web/ar/lu/luLandDet.jsp?pnu=3611038026100780002&amp;isNoScr=script&amp;mode=search", "토지이음")</f>
        <v/>
      </c>
      <c r="O2689" s="3" t="inlineStr">
        <is>
          <t>신안무소</t>
        </is>
      </c>
      <c r="P2689" s="4" t="n">
        <v>1</v>
      </c>
      <c r="Q2689" s="4" t="n">
        <v>1425</v>
      </c>
      <c r="R2689" s="3" t="inlineStr">
        <is>
          <t>계획관리지역</t>
        </is>
      </c>
      <c r="S2689" s="3" t="inlineStr">
        <is>
          <t>전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송곡리 9</t>
        </is>
      </c>
      <c r="B2690" s="3" t="inlineStr">
        <is>
          <t>계획관리지역</t>
        </is>
      </c>
      <c r="C2690" s="3" t="inlineStr">
        <is>
          <t>목장용지</t>
        </is>
      </c>
      <c r="D2690" s="3" t="inlineStr">
        <is>
          <t>목장용지</t>
        </is>
      </c>
      <c r="E2690" s="3" t="inlineStr">
        <is>
          <t>매매</t>
        </is>
      </c>
      <c r="F2690" s="4" t="n">
        <v>30000</v>
      </c>
      <c r="G2690" s="4" t="n">
        <v>1255</v>
      </c>
      <c r="H2690" s="4" t="n">
        <v>380</v>
      </c>
      <c r="I2690" s="5" t="n">
        <v>78.90000000000001</v>
      </c>
      <c r="J2690" s="5" t="n">
        <v>22.2</v>
      </c>
      <c r="K2690" s="3" t="inlineStr">
        <is>
          <t>도로접한 계획관리토지,개발,주택,창고부지</t>
        </is>
      </c>
      <c r="L2690" s="6">
        <f>HYPERLINK("https://fin.land.naver.com/articles/2650859608", "매물Link")</f>
        <v/>
      </c>
      <c r="M2690" s="6">
        <f>HYPERLINK("https://map.naver.com/p/search/전동면 송곡리 9", "지도Link")</f>
        <v/>
      </c>
      <c r="N2690" s="6">
        <f>HYPERLINK("http://www.eum.go.kr/web/ar/lu/luLandDet.jsp?pnu=3611038026100090000&amp;isNoScr=script&amp;mode=search", "토지이음")</f>
        <v/>
      </c>
      <c r="O2690" s="3" t="inlineStr">
        <is>
          <t>세종대박</t>
        </is>
      </c>
      <c r="P2690" s="4" t="n">
        <v>1</v>
      </c>
      <c r="Q2690" s="4" t="n">
        <v>1255</v>
      </c>
      <c r="R2690" s="3" t="inlineStr">
        <is>
          <t>지정되지않음</t>
        </is>
      </c>
      <c r="S2690" s="3" t="inlineStr">
        <is>
          <t>전기타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송곡리 95-2</t>
        </is>
      </c>
      <c r="B2691" s="3" t="inlineStr">
        <is>
          <t>생산관리지역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195900</v>
      </c>
      <c r="G2691" s="4" t="n">
        <v>4317</v>
      </c>
      <c r="H2691" s="4" t="n">
        <v>1306</v>
      </c>
      <c r="I2691" s="5" t="n">
        <v>150</v>
      </c>
      <c r="J2691" s="5" t="n">
        <v>34.8</v>
      </c>
      <c r="K2691" s="3" t="inlineStr">
        <is>
          <t>nan</t>
        </is>
      </c>
      <c r="L2691" s="6">
        <f>HYPERLINK("https://fin.land.naver.com/articles/2653501166", "매물Link")</f>
        <v/>
      </c>
      <c r="M2691" s="6">
        <f>HYPERLINK("https://map.naver.com/p/search/전동면 송곡리 95-2", "지도Link")</f>
        <v/>
      </c>
      <c r="N2691" s="6">
        <f>HYPERLINK("http://www.eum.go.kr/web/ar/lu/luLandDet.jsp?pnu=3611038026100950002&amp;isNoScr=script&amp;mode=search", "토지이음")</f>
        <v/>
      </c>
      <c r="O2691" s="3" t="inlineStr">
        <is>
          <t>연서</t>
        </is>
      </c>
      <c r="P2691" s="4" t="n">
        <v>1</v>
      </c>
      <c r="Q2691" s="4" t="n">
        <v>3657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송성리 169-1</t>
        </is>
      </c>
      <c r="B2692" s="3" t="inlineStr">
        <is>
          <t>계획관리지역</t>
        </is>
      </c>
      <c r="C2692" s="3" t="inlineStr">
        <is>
          <t>대</t>
        </is>
      </c>
      <c r="D2692" s="3" t="inlineStr">
        <is>
          <t>대</t>
        </is>
      </c>
      <c r="E2692" s="3" t="inlineStr">
        <is>
          <t>매매</t>
        </is>
      </c>
      <c r="F2692" s="4" t="n">
        <v>30200</v>
      </c>
      <c r="G2692" s="4" t="n">
        <v>834</v>
      </c>
      <c r="H2692" s="4" t="n">
        <v>252</v>
      </c>
      <c r="I2692" s="5" t="n">
        <v>119.8</v>
      </c>
      <c r="J2692" s="5" t="n">
        <v>37.7</v>
      </c>
      <c r="K2692" s="3" t="inlineStr">
        <is>
          <t>4m도로접,전원주택지 추천</t>
        </is>
      </c>
      <c r="L2692" s="6">
        <f>HYPERLINK("https://fin.land.naver.com/articles/2654058352", "매물Link")</f>
        <v/>
      </c>
      <c r="M2692" s="6">
        <f>HYPERLINK("https://map.naver.com/p/search/전동면 송성리 169-1", "지도Link")</f>
        <v/>
      </c>
      <c r="N2692" s="6">
        <f>HYPERLINK("http://www.eum.go.kr/web/ar/lu/luLandDet.jsp?pnu=3611038030101690001&amp;isNoScr=script&amp;mode=search", "토지이음")</f>
        <v/>
      </c>
      <c r="O2692" s="3" t="inlineStr">
        <is>
          <t>다사현대대복</t>
        </is>
      </c>
      <c r="P2692" s="4" t="n">
        <v>1</v>
      </c>
      <c r="Q2692" s="4" t="n">
        <v>834</v>
      </c>
      <c r="R2692" s="3" t="inlineStr">
        <is>
          <t>지정되지않음</t>
        </is>
      </c>
      <c r="S2692" s="3" t="inlineStr">
        <is>
          <t>단독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송성리 368-3</t>
        </is>
      </c>
      <c r="B2693" s="3" t="inlineStr">
        <is>
          <t>농림지역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32600</v>
      </c>
      <c r="G2693" s="4" t="n">
        <v>1077</v>
      </c>
      <c r="H2693" s="4" t="n">
        <v>326</v>
      </c>
      <c r="I2693" s="5" t="n">
        <v>100</v>
      </c>
      <c r="J2693" s="5" t="n">
        <v>13.9</v>
      </c>
      <c r="K2693" s="3" t="inlineStr">
        <is>
          <t>2차선 코너 토지 저렴한 매매</t>
        </is>
      </c>
      <c r="L2693" s="6">
        <f>HYPERLINK("https://fin.land.naver.com/articles/2650613289", "매물Link")</f>
        <v/>
      </c>
      <c r="M2693" s="6">
        <f>HYPERLINK("https://map.naver.com/p/search/전동면 송성리 368-3", "지도Link")</f>
        <v/>
      </c>
      <c r="N2693" s="6">
        <f>HYPERLINK("http://www.eum.go.kr/web/ar/lu/luLandDet.jsp?pnu=3611038030103680003&amp;isNoScr=script&amp;mode=search", "토지이음")</f>
        <v/>
      </c>
      <c r="O2693" s="3" t="inlineStr">
        <is>
          <t>THE행복</t>
        </is>
      </c>
      <c r="P2693" s="4" t="n">
        <v>1</v>
      </c>
      <c r="Q2693" s="4" t="n">
        <v>1077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세로장방</t>
        </is>
      </c>
      <c r="V2693" s="3" t="inlineStr">
        <is>
          <t>소로한면</t>
        </is>
      </c>
    </row>
    <row r="2694">
      <c r="A2694" s="3" t="inlineStr">
        <is>
          <t>전동면 송성리 368-3</t>
        </is>
      </c>
      <c r="B2694" s="3" t="inlineStr">
        <is>
          <t>농림지역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26080</v>
      </c>
      <c r="G2694" s="4" t="n">
        <v>1077</v>
      </c>
      <c r="H2694" s="4" t="n">
        <v>326</v>
      </c>
      <c r="I2694" s="5" t="n">
        <v>80</v>
      </c>
      <c r="J2694" s="5" t="n">
        <v>13.9</v>
      </c>
      <c r="K2694" s="3" t="inlineStr">
        <is>
          <t>농막 설치된 2차선 도로에 접한 주말농장용 토지</t>
        </is>
      </c>
      <c r="L2694" s="6">
        <f>HYPERLINK("https://fin.land.naver.com/articles/2652065927", "매물Link")</f>
        <v/>
      </c>
      <c r="M2694" s="6">
        <f>HYPERLINK("https://map.naver.com/p/search/전동면 송성리 368-3", "지도Link")</f>
        <v/>
      </c>
      <c r="N2694" s="6">
        <f>HYPERLINK("http://www.eum.go.kr/web/ar/lu/luLandDet.jsp?pnu=3611038030103680003&amp;isNoScr=script&amp;mode=search", "토지이음")</f>
        <v/>
      </c>
      <c r="O2694" s="3" t="inlineStr">
        <is>
          <t>신와촌</t>
        </is>
      </c>
      <c r="P2694" s="4" t="n">
        <v>1</v>
      </c>
      <c r="Q2694" s="4" t="n">
        <v>1077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세로장방</t>
        </is>
      </c>
      <c r="V2694" s="3" t="inlineStr">
        <is>
          <t>소로한면</t>
        </is>
      </c>
    </row>
    <row r="2695">
      <c r="A2695" s="3" t="inlineStr">
        <is>
          <t>전동면 송성리 368-3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32000</v>
      </c>
      <c r="G2695" s="4" t="n">
        <v>1077</v>
      </c>
      <c r="H2695" s="4" t="n">
        <v>326</v>
      </c>
      <c r="I2695" s="5" t="n">
        <v>98.2</v>
      </c>
      <c r="J2695" s="5" t="n">
        <v>13.9</v>
      </c>
      <c r="K2695" s="3" t="inlineStr">
        <is>
          <t>2차선 도로접한 토지 농림지역</t>
        </is>
      </c>
      <c r="L2695" s="6">
        <f>HYPERLINK("https://fin.land.naver.com/articles/2655501486", "매물Link")</f>
        <v/>
      </c>
      <c r="M2695" s="6">
        <f>HYPERLINK("https://map.naver.com/p/search/전동면 송성리 368-3", "지도Link")</f>
        <v/>
      </c>
      <c r="N2695" s="6">
        <f>HYPERLINK("http://www.eum.go.kr/web/ar/lu/luLandDet.jsp?pnu=3611038030103680003&amp;isNoScr=script&amp;mode=search", "토지이음")</f>
        <v/>
      </c>
      <c r="O2695" s="3" t="inlineStr">
        <is>
          <t>한솔</t>
        </is>
      </c>
      <c r="P2695" s="4" t="n">
        <v>2</v>
      </c>
      <c r="Q2695" s="4" t="n">
        <v>1077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세로장방</t>
        </is>
      </c>
      <c r="V2695" s="3" t="inlineStr">
        <is>
          <t>소로한면</t>
        </is>
      </c>
    </row>
    <row r="2696">
      <c r="A2696" s="3" t="inlineStr">
        <is>
          <t>전동면 송성리 438-1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30000</v>
      </c>
      <c r="G2696" s="4" t="n">
        <v>1473</v>
      </c>
      <c r="H2696" s="4" t="n">
        <v>446</v>
      </c>
      <c r="I2696" s="5" t="n">
        <v>67.3</v>
      </c>
      <c r="J2696" s="5" t="n">
        <v>13.8</v>
      </c>
      <c r="K2696" s="3" t="inlineStr">
        <is>
          <t>급매.모양 좋은 마을 인근에 있는 답, 농림지역,가격조정가능.</t>
        </is>
      </c>
      <c r="L2696" s="6">
        <f>HYPERLINK("https://fin.land.naver.com/articles/2654979670", "매물Link")</f>
        <v/>
      </c>
      <c r="M2696" s="6">
        <f>HYPERLINK("https://map.naver.com/p/search/전동면 송성리 438-1", "지도Link")</f>
        <v/>
      </c>
      <c r="N2696" s="6">
        <f>HYPERLINK("http://www.eum.go.kr/web/ar/lu/luLandDet.jsp?pnu=3611038030104380001&amp;isNoScr=script&amp;mode=search", "토지이음")</f>
        <v/>
      </c>
      <c r="O2696" s="3" t="inlineStr">
        <is>
          <t>세종일조</t>
        </is>
      </c>
      <c r="P2696" s="4" t="n">
        <v>2</v>
      </c>
      <c r="Q2696" s="4" t="n">
        <v>1473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세로장방</t>
        </is>
      </c>
      <c r="V2696" s="3" t="inlineStr">
        <is>
          <t>소로한면</t>
        </is>
      </c>
    </row>
    <row r="2697">
      <c r="A2697" s="3" t="inlineStr">
        <is>
          <t>전동면 송성리 438-1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30000</v>
      </c>
      <c r="G2697" s="4" t="n">
        <v>1473</v>
      </c>
      <c r="H2697" s="4" t="n">
        <v>446</v>
      </c>
      <c r="I2697" s="5" t="n">
        <v>67.3</v>
      </c>
      <c r="J2697" s="5" t="n">
        <v>13.8</v>
      </c>
      <c r="K2697" s="3" t="inlineStr">
        <is>
          <t>2차선 도로변에 길게 접한 농지 산가격에 매각해요</t>
        </is>
      </c>
      <c r="L2697" s="6">
        <f>HYPERLINK("https://fin.land.naver.com/articles/2651940996", "매물Link")</f>
        <v/>
      </c>
      <c r="M2697" s="6">
        <f>HYPERLINK("https://map.naver.com/p/search/전동면 송성리 438-1", "지도Link")</f>
        <v/>
      </c>
      <c r="N2697" s="6">
        <f>HYPERLINK("http://www.eum.go.kr/web/ar/lu/luLandDet.jsp?pnu=3611038030104380001&amp;isNoScr=script&amp;mode=search", "토지이음")</f>
        <v/>
      </c>
      <c r="O2697" s="3" t="inlineStr">
        <is>
          <t>용궁</t>
        </is>
      </c>
      <c r="P2697" s="4" t="n">
        <v>2</v>
      </c>
      <c r="Q2697" s="4" t="n">
        <v>1473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세로장방</t>
        </is>
      </c>
      <c r="V2697" s="3" t="inlineStr">
        <is>
          <t>소로한면</t>
        </is>
      </c>
    </row>
    <row r="2698">
      <c r="A2698" s="3" t="inlineStr">
        <is>
          <t>전동면 송성리 540</t>
        </is>
      </c>
      <c r="B2698" s="3" t="inlineStr">
        <is>
          <t>계획관리지역</t>
        </is>
      </c>
      <c r="C2698" s="3" t="inlineStr">
        <is>
          <t>답</t>
        </is>
      </c>
      <c r="D2698" s="3" t="inlineStr">
        <is>
          <t>답</t>
        </is>
      </c>
      <c r="E2698" s="3" t="inlineStr">
        <is>
          <t>매매</t>
        </is>
      </c>
      <c r="F2698" s="4" t="n">
        <v>50000</v>
      </c>
      <c r="G2698" s="4" t="n">
        <v>4076</v>
      </c>
      <c r="H2698" s="4" t="n">
        <v>1233</v>
      </c>
      <c r="I2698" s="5" t="n">
        <v>40.6</v>
      </c>
      <c r="J2698" s="5" t="n">
        <v>18.8</v>
      </c>
      <c r="K2698" s="3" t="inlineStr">
        <is>
          <t>계획관리와 생산관리 2필지 매매,주변 경관좋고 캠핑장 인접 ,남향토지</t>
        </is>
      </c>
      <c r="L2698" s="6">
        <f>HYPERLINK("https://fin.land.naver.com/articles/2651251766", "매물Link")</f>
        <v/>
      </c>
      <c r="M2698" s="6">
        <f>HYPERLINK("https://map.naver.com/p/search/전동면 송성리 540", "지도Link")</f>
        <v/>
      </c>
      <c r="N2698" s="6">
        <f>HYPERLINK("http://www.eum.go.kr/web/ar/lu/luLandDet.jsp?pnu=3611038030105400000&amp;isNoScr=script&amp;mode=search", "토지이음")</f>
        <v/>
      </c>
      <c r="O2698" s="3" t="inlineStr">
        <is>
          <t>담뜰</t>
        </is>
      </c>
      <c r="P2698" s="4" t="n">
        <v>1</v>
      </c>
      <c r="Q2698" s="4" t="n">
        <v>1111</v>
      </c>
      <c r="R2698" s="3" t="inlineStr">
        <is>
          <t>지정되지않음</t>
        </is>
      </c>
      <c r="S2698" s="3" t="inlineStr">
        <is>
          <t>답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송성리 545</t>
        </is>
      </c>
      <c r="B2699" s="3" t="inlineStr">
        <is>
          <t>보전관리지역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18500</v>
      </c>
      <c r="G2699" s="4" t="n">
        <v>1074</v>
      </c>
      <c r="H2699" s="4" t="n">
        <v>325</v>
      </c>
      <c r="I2699" s="5" t="n">
        <v>56.9</v>
      </c>
      <c r="J2699" s="5" t="n">
        <v>17</v>
      </c>
      <c r="K2699" s="3" t="inlineStr">
        <is>
          <t>nan</t>
        </is>
      </c>
      <c r="L2699" s="6">
        <f>HYPERLINK("https://fin.land.naver.com/articles/2653069164", "매물Link")</f>
        <v/>
      </c>
      <c r="M2699" s="6">
        <f>HYPERLINK("https://map.naver.com/p/search/전동면 송성리 545", "지도Link")</f>
        <v/>
      </c>
      <c r="N2699" s="6">
        <f>HYPERLINK("http://www.eum.go.kr/web/ar/lu/luLandDet.jsp?pnu=3611038030105450000&amp;isNoScr=script&amp;mode=search", "토지이음")</f>
        <v/>
      </c>
      <c r="O2699" s="3" t="inlineStr">
        <is>
          <t>세종땅사랑</t>
        </is>
      </c>
      <c r="P2699" s="4" t="n">
        <v>1</v>
      </c>
      <c r="Q2699" s="4" t="n">
        <v>1074</v>
      </c>
      <c r="R2699" s="3" t="inlineStr">
        <is>
          <t>지정되지않음</t>
        </is>
      </c>
      <c r="S2699" s="3" t="inlineStr">
        <is>
          <t>전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송성리 550-2</t>
        </is>
      </c>
      <c r="B2700" s="3" t="inlineStr">
        <is>
          <t>계획관리지역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32500</v>
      </c>
      <c r="G2700" s="4" t="n">
        <v>2710</v>
      </c>
      <c r="H2700" s="4" t="n">
        <v>820</v>
      </c>
      <c r="I2700" s="5" t="n">
        <v>39.6</v>
      </c>
      <c r="J2700" s="5" t="n">
        <v>27.1</v>
      </c>
      <c r="K2700" s="3" t="inlineStr">
        <is>
          <t>세종시 토지 급매물</t>
        </is>
      </c>
      <c r="L2700" s="6">
        <f>HYPERLINK("https://fin.land.naver.com/articles/2651247075", "매물Link")</f>
        <v/>
      </c>
      <c r="M2700" s="6">
        <f>HYPERLINK("https://map.naver.com/p/search/전동면 송성리 550-2", "지도Link")</f>
        <v/>
      </c>
      <c r="N2700" s="6">
        <f>HYPERLINK("http://www.eum.go.kr/web/ar/lu/luLandDet.jsp?pnu=3611038030105500002&amp;isNoScr=script&amp;mode=search", "토지이음")</f>
        <v/>
      </c>
      <c r="O2700" s="3" t="inlineStr">
        <is>
          <t>세종토박이</t>
        </is>
      </c>
      <c r="P2700" s="4" t="n">
        <v>1</v>
      </c>
      <c r="Q2700" s="4" t="n">
        <v>942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송성리 56</t>
        </is>
      </c>
      <c r="B2701" s="3" t="inlineStr">
        <is>
          <t>생산관리지역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70000</v>
      </c>
      <c r="G2701" s="4" t="n">
        <v>2483</v>
      </c>
      <c r="H2701" s="4" t="n">
        <v>751</v>
      </c>
      <c r="I2701" s="5" t="n">
        <v>93.2</v>
      </c>
      <c r="J2701" s="5" t="n">
        <v>19.2</v>
      </c>
      <c r="K2701" s="3" t="inlineStr">
        <is>
          <t>송성2리마을 초입 도로 접한 토지매매</t>
        </is>
      </c>
      <c r="L2701" s="6">
        <f>HYPERLINK("https://fin.land.naver.com/articles/2655174786", "매물Link")</f>
        <v/>
      </c>
      <c r="M2701" s="6">
        <f>HYPERLINK("https://map.naver.com/p/search/전동면 송성리 56", "지도Link")</f>
        <v/>
      </c>
      <c r="N2701" s="6">
        <f>HYPERLINK("http://www.eum.go.kr/web/ar/lu/luLandDet.jsp?pnu=3611038030100560000&amp;isNoScr=script&amp;mode=search", "토지이음")</f>
        <v/>
      </c>
      <c r="O2701" s="3" t="inlineStr">
        <is>
          <t>에이스</t>
        </is>
      </c>
      <c r="P2701" s="4" t="n">
        <v>1</v>
      </c>
      <c r="Q2701" s="4" t="n">
        <v>2483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송성리 606-2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30000</v>
      </c>
      <c r="G2702" s="4" t="n">
        <v>1399</v>
      </c>
      <c r="H2702" s="4" t="n">
        <v>423</v>
      </c>
      <c r="I2702" s="5" t="n">
        <v>70.90000000000001</v>
      </c>
      <c r="J2702" s="5" t="n">
        <v>17.3</v>
      </c>
      <c r="K2702" s="3" t="inlineStr">
        <is>
          <t>남동향,조망권있는약간높은지대,투자성양호</t>
        </is>
      </c>
      <c r="L2702" s="6">
        <f>HYPERLINK("https://fin.land.naver.com/articles/2654101170", "매물Link")</f>
        <v/>
      </c>
      <c r="M2702" s="6">
        <f>HYPERLINK("https://map.naver.com/p/search/전동면 송성리 606-2", "지도Link")</f>
        <v/>
      </c>
      <c r="N2702" s="6">
        <f>HYPERLINK("http://www.eum.go.kr/web/ar/lu/luLandDet.jsp?pnu=3611038030106060002&amp;isNoScr=script&amp;mode=search", "토지이음")</f>
        <v/>
      </c>
      <c r="O2702" s="3" t="inlineStr">
        <is>
          <t>행복가득한</t>
        </is>
      </c>
      <c r="P2702" s="4" t="n">
        <v>1</v>
      </c>
      <c r="Q2702" s="4" t="n">
        <v>1399</v>
      </c>
      <c r="R2702" s="3" t="inlineStr">
        <is>
          <t>계획관리지역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송성리 산146</t>
        </is>
      </c>
      <c r="B2703" s="3" t="inlineStr">
        <is>
          <t>농림지역</t>
        </is>
      </c>
      <c r="C2703" s="3" t="inlineStr">
        <is>
          <t>임야</t>
        </is>
      </c>
      <c r="D2703" s="3" t="inlineStr">
        <is>
          <t>임야</t>
        </is>
      </c>
      <c r="E2703" s="3" t="inlineStr">
        <is>
          <t>매매</t>
        </is>
      </c>
      <c r="F2703" s="4" t="n">
        <v>400000</v>
      </c>
      <c r="G2703" s="4" t="n">
        <v>29058</v>
      </c>
      <c r="H2703" s="4" t="n">
        <v>8790</v>
      </c>
      <c r="I2703" s="5" t="n">
        <v>45.5</v>
      </c>
      <c r="J2703" s="5" t="n">
        <v>3.5</v>
      </c>
      <c r="K2703" s="3" t="inlineStr">
        <is>
          <t>세종시 전동면 송성리 도로변 계획관리 토지 매매</t>
        </is>
      </c>
      <c r="L2703" s="6">
        <f>HYPERLINK("https://fin.land.naver.com/articles/2654247152", "매물Link")</f>
        <v/>
      </c>
      <c r="M2703" s="6">
        <f>HYPERLINK("https://map.naver.com/p/search/전동면 송성리 산146", "지도Link")</f>
        <v/>
      </c>
      <c r="N2703" s="6">
        <f>HYPERLINK("http://www.eum.go.kr/web/ar/lu/luLandDet.jsp?pnu=3611038030201460000&amp;isNoScr=script&amp;mode=search", "토지이음")</f>
        <v/>
      </c>
      <c r="O2703" s="3" t="inlineStr">
        <is>
          <t>비전</t>
        </is>
      </c>
      <c r="P2703" s="4" t="n">
        <v>1</v>
      </c>
      <c r="Q2703" s="4" t="n">
        <v>29058</v>
      </c>
      <c r="R2703" s="3" t="inlineStr">
        <is>
          <t>계획관리지역</t>
        </is>
      </c>
      <c r="S2703" s="3" t="inlineStr">
        <is>
          <t>자연림</t>
        </is>
      </c>
      <c r="T2703" s="3" t="inlineStr">
        <is>
          <t>급경사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송성리 산43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53000</v>
      </c>
      <c r="G2704" s="4" t="n">
        <v>29455</v>
      </c>
      <c r="H2704" s="4" t="n">
        <v>8910</v>
      </c>
      <c r="I2704" s="5" t="n">
        <v>5.9</v>
      </c>
      <c r="J2704" s="5" t="n">
        <v>1.3</v>
      </c>
      <c r="K2704" s="3" t="inlineStr">
        <is>
          <t>전동면 송성리 임야 매우 저렴한 투자물건</t>
        </is>
      </c>
      <c r="L2704" s="6">
        <f>HYPERLINK("https://fin.land.naver.com/articles/2650954190", "매물Link")</f>
        <v/>
      </c>
      <c r="M2704" s="6">
        <f>HYPERLINK("https://map.naver.com/p/search/전동면 송성리 산43", "지도Link")</f>
        <v/>
      </c>
      <c r="N2704" s="6">
        <f>HYPERLINK("http://www.eum.go.kr/web/ar/lu/luLandDet.jsp?pnu=3611038030200430000&amp;isNoScr=script&amp;mode=search", "토지이음")</f>
        <v/>
      </c>
      <c r="O2704" s="3" t="inlineStr">
        <is>
          <t>다산</t>
        </is>
      </c>
      <c r="P2704" s="4" t="n">
        <v>1</v>
      </c>
      <c r="Q2704" s="4" t="n">
        <v>29455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송성리 산87-7</t>
        </is>
      </c>
      <c r="B2705" s="3" t="inlineStr">
        <is>
          <t>농림지역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39600</v>
      </c>
      <c r="G2705" s="4" t="n">
        <v>21818</v>
      </c>
      <c r="H2705" s="4" t="n">
        <v>6600</v>
      </c>
      <c r="I2705" s="5" t="n">
        <v>6</v>
      </c>
      <c r="J2705" s="5" t="n">
        <v>1.3</v>
      </c>
      <c r="K2705" s="3" t="inlineStr">
        <is>
          <t>nan</t>
        </is>
      </c>
      <c r="L2705" s="6">
        <f>HYPERLINK("https://fin.land.naver.com/articles/2654847912", "매물Link")</f>
        <v/>
      </c>
      <c r="M2705" s="6">
        <f>HYPERLINK("https://map.naver.com/p/search/전동면 송성리 산87-7", "지도Link")</f>
        <v/>
      </c>
      <c r="N2705" s="6">
        <f>HYPERLINK("http://www.eum.go.kr/web/ar/lu/luLandDet.jsp?pnu=3611038030200870007&amp;isNoScr=script&amp;mode=search", "토지이음")</f>
        <v/>
      </c>
      <c r="O2705" s="3" t="inlineStr">
        <is>
          <t>세종대평</t>
        </is>
      </c>
      <c r="P2705" s="4" t="n">
        <v>1</v>
      </c>
      <c r="Q2705" s="4" t="n">
        <v>21818</v>
      </c>
      <c r="R2705" s="3" t="inlineStr">
        <is>
          <t>보전관리지역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송정리 117-11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60000</v>
      </c>
      <c r="G2706" s="4" t="n">
        <v>3627</v>
      </c>
      <c r="H2706" s="4" t="n">
        <v>1097</v>
      </c>
      <c r="I2706" s="5" t="n">
        <v>54.7</v>
      </c>
      <c r="J2706" s="5" t="n">
        <v>18.3</v>
      </c>
      <c r="K2706" s="3" t="inlineStr">
        <is>
          <t>급매, 도로접함</t>
        </is>
      </c>
      <c r="L2706" s="6">
        <f>HYPERLINK("https://fin.land.naver.com/articles/2653750331", "매물Link")</f>
        <v/>
      </c>
      <c r="M2706" s="6">
        <f>HYPERLINK("https://map.naver.com/p/search/전동면 송정리 117-11", "지도Link")</f>
        <v/>
      </c>
      <c r="N2706" s="6">
        <f>HYPERLINK("http://www.eum.go.kr/web/ar/lu/luLandDet.jsp?pnu=3611038027101170011&amp;isNoScr=script&amp;mode=search", "토지이음")</f>
        <v/>
      </c>
      <c r="O2706" s="3" t="inlineStr">
        <is>
          <t>덕천</t>
        </is>
      </c>
      <c r="P2706" s="4" t="n">
        <v>1</v>
      </c>
      <c r="Q2706" s="4" t="n">
        <v>3627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송정리 117-2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60000</v>
      </c>
      <c r="G2707" s="4" t="n">
        <v>3627</v>
      </c>
      <c r="H2707" s="4" t="n">
        <v>1097</v>
      </c>
      <c r="I2707" s="5" t="n">
        <v>54.7</v>
      </c>
      <c r="J2707" s="5" t="n">
        <v>21.7</v>
      </c>
      <c r="K2707" s="3" t="inlineStr">
        <is>
          <t>급매, 도로접함</t>
        </is>
      </c>
      <c r="L2707" s="6">
        <f>HYPERLINK("https://fin.land.naver.com/articles/2653749883", "매물Link")</f>
        <v/>
      </c>
      <c r="M2707" s="6">
        <f>HYPERLINK("https://map.naver.com/p/search/전동면 송정리 117-2", "지도Link")</f>
        <v/>
      </c>
      <c r="N2707" s="6">
        <f>HYPERLINK("http://www.eum.go.kr/web/ar/lu/luLandDet.jsp?pnu=3611038027101170002&amp;isNoScr=script&amp;mode=search", "토지이음")</f>
        <v/>
      </c>
      <c r="O2707" s="3" t="inlineStr">
        <is>
          <t>덕천</t>
        </is>
      </c>
      <c r="P2707" s="4" t="n">
        <v>1</v>
      </c>
      <c r="Q2707" s="4" t="n">
        <v>3627</v>
      </c>
      <c r="R2707" s="3" t="inlineStr">
        <is>
          <t>지정되지않음</t>
        </is>
      </c>
      <c r="S2707" s="3" t="inlineStr">
        <is>
          <t>과수원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소로각지</t>
        </is>
      </c>
    </row>
    <row r="2708">
      <c r="A2708" s="3" t="inlineStr">
        <is>
          <t>전동면 송정리 149</t>
        </is>
      </c>
      <c r="B2708" s="3" t="inlineStr">
        <is>
          <t>계획관리지역</t>
        </is>
      </c>
      <c r="C2708" s="3" t="inlineStr">
        <is>
          <t>대</t>
        </is>
      </c>
      <c r="D2708" s="3" t="inlineStr">
        <is>
          <t>대</t>
        </is>
      </c>
      <c r="E2708" s="3" t="inlineStr">
        <is>
          <t>매매</t>
        </is>
      </c>
      <c r="F2708" s="4" t="n">
        <v>21000</v>
      </c>
      <c r="G2708" s="4" t="n">
        <v>873</v>
      </c>
      <c r="H2708" s="4" t="n">
        <v>264</v>
      </c>
      <c r="I2708" s="5" t="n">
        <v>79.5</v>
      </c>
      <c r="J2708" s="5" t="n">
        <v>35.1</v>
      </c>
      <c r="K2708" s="3" t="inlineStr">
        <is>
          <t>송정리 대지 매매</t>
        </is>
      </c>
      <c r="L2708" s="6">
        <f>HYPERLINK("https://fin.land.naver.com/articles/2655665436", "매물Link")</f>
        <v/>
      </c>
      <c r="M2708" s="6">
        <f>HYPERLINK("https://map.naver.com/p/search/전동면 송정리 149", "지도Link")</f>
        <v/>
      </c>
      <c r="N2708" s="6">
        <f>HYPERLINK("http://www.eum.go.kr/web/ar/lu/luLandDet.jsp?pnu=3611038027101490000&amp;isNoScr=script&amp;mode=search", "토지이음")</f>
        <v/>
      </c>
      <c r="O2708" s="3" t="inlineStr">
        <is>
          <t>상희</t>
        </is>
      </c>
      <c r="P2708" s="4" t="n">
        <v>1</v>
      </c>
      <c r="Q2708" s="4" t="n">
        <v>873</v>
      </c>
      <c r="R2708" s="3" t="inlineStr">
        <is>
          <t>지정되지않음</t>
        </is>
      </c>
      <c r="S2708" s="3" t="inlineStr">
        <is>
          <t>단독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전동면 송정리 202-1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33700</v>
      </c>
      <c r="G2709" s="4" t="n">
        <v>1392</v>
      </c>
      <c r="H2709" s="4" t="n">
        <v>421</v>
      </c>
      <c r="I2709" s="5" t="n">
        <v>80</v>
      </c>
      <c r="J2709" s="5" t="n">
        <v>27.6</v>
      </c>
      <c r="K2709" s="3" t="inlineStr">
        <is>
          <t>계획관리 평당80만원 도로접</t>
        </is>
      </c>
      <c r="L2709" s="6">
        <f>HYPERLINK("https://fin.land.naver.com/articles/2654237430", "매물Link")</f>
        <v/>
      </c>
      <c r="M2709" s="6">
        <f>HYPERLINK("https://map.naver.com/p/search/전동면 송정리 202-1", "지도Link")</f>
        <v/>
      </c>
      <c r="N2709" s="6">
        <f>HYPERLINK("http://www.eum.go.kr/web/ar/lu/luLandDet.jsp?pnu=3611038027102020001&amp;isNoScr=script&amp;mode=search", "토지이음")</f>
        <v/>
      </c>
      <c r="O2709" s="3" t="inlineStr">
        <is>
          <t>미스터홈즈강남지사</t>
        </is>
      </c>
      <c r="P2709" s="4" t="n">
        <v>1</v>
      </c>
      <c r="Q2709" s="4" t="n">
        <v>1071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송정리 203</t>
        </is>
      </c>
      <c r="B2710" s="3" t="inlineStr">
        <is>
          <t>계획관리지역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150000</v>
      </c>
      <c r="G2710" s="4" t="n">
        <v>5005</v>
      </c>
      <c r="H2710" s="4" t="n">
        <v>1514</v>
      </c>
      <c r="I2710" s="5" t="n">
        <v>99.09999999999999</v>
      </c>
      <c r="J2710" s="5" t="n">
        <v>32.3</v>
      </c>
      <c r="K2710" s="3" t="inlineStr">
        <is>
          <t>송정리 공장토지 매매 공장 사용 가능</t>
        </is>
      </c>
      <c r="L2710" s="6">
        <f>HYPERLINK("https://fin.land.naver.com/articles/2653160540", "매물Link")</f>
        <v/>
      </c>
      <c r="M2710" s="6">
        <f>HYPERLINK("https://map.naver.com/p/search/전동면 송정리 203", "지도Link")</f>
        <v/>
      </c>
      <c r="N2710" s="6">
        <f>HYPERLINK("http://www.eum.go.kr/web/ar/lu/luLandDet.jsp?pnu=3611038027102030000&amp;isNoScr=script&amp;mode=search", "토지이음")</f>
        <v/>
      </c>
      <c r="O2710" s="3" t="inlineStr">
        <is>
          <t>스타트</t>
        </is>
      </c>
      <c r="P2710" s="4" t="n">
        <v>1</v>
      </c>
      <c r="Q2710" s="4" t="n">
        <v>4504</v>
      </c>
      <c r="R2710" s="3" t="inlineStr">
        <is>
          <t>지정되지않음</t>
        </is>
      </c>
      <c r="S2710" s="3" t="inlineStr">
        <is>
          <t>답축사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송정리 261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25000</v>
      </c>
      <c r="G2711" s="4" t="n">
        <v>983</v>
      </c>
      <c r="H2711" s="4" t="n">
        <v>297</v>
      </c>
      <c r="I2711" s="5" t="n">
        <v>84.2</v>
      </c>
      <c r="J2711" s="5" t="n">
        <v>22.2</v>
      </c>
      <c r="K2711" s="3" t="inlineStr">
        <is>
          <t>고복저수지인근 2차선도로접 개발하기 좋은땅</t>
        </is>
      </c>
      <c r="L2711" s="6">
        <f>HYPERLINK("https://fin.land.naver.com/articles/2652292751", "매물Link")</f>
        <v/>
      </c>
      <c r="M2711" s="6">
        <f>HYPERLINK("https://map.naver.com/p/search/전동면 송정리 261", "지도Link")</f>
        <v/>
      </c>
      <c r="N2711" s="6">
        <f>HYPERLINK("http://www.eum.go.kr/web/ar/lu/luLandDet.jsp?pnu=3611038027102610000&amp;isNoScr=script&amp;mode=search", "토지이음")</f>
        <v/>
      </c>
      <c r="O2711" s="3" t="inlineStr">
        <is>
          <t>세종강남</t>
        </is>
      </c>
      <c r="P2711" s="4" t="n">
        <v>1</v>
      </c>
      <c r="Q2711" s="4" t="n">
        <v>983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소로한면</t>
        </is>
      </c>
    </row>
    <row r="2712">
      <c r="A2712" s="3" t="inlineStr">
        <is>
          <t>전동면 송정리 268</t>
        </is>
      </c>
      <c r="B2712" s="3" t="inlineStr">
        <is>
          <t>생산관리지역</t>
        </is>
      </c>
      <c r="C2712" s="3" t="inlineStr">
        <is>
          <t>전</t>
        </is>
      </c>
      <c r="D2712" s="3" t="inlineStr">
        <is>
          <t>전</t>
        </is>
      </c>
      <c r="E2712" s="3" t="inlineStr">
        <is>
          <t>매매</t>
        </is>
      </c>
      <c r="F2712" s="4" t="n">
        <v>62000</v>
      </c>
      <c r="G2712" s="4" t="n">
        <v>2404</v>
      </c>
      <c r="H2712" s="4" t="n">
        <v>727</v>
      </c>
      <c r="I2712" s="5" t="n">
        <v>85.3</v>
      </c>
      <c r="J2712" s="5" t="n">
        <v>21.6</v>
      </c>
      <c r="K2712" s="3" t="inlineStr">
        <is>
          <t>고복저수지와 송정리를 연결하는 2차선도로 옆 급매물 토지</t>
        </is>
      </c>
      <c r="L2712" s="6">
        <f>HYPERLINK("https://fin.land.naver.com/articles/2652034406", "매물Link")</f>
        <v/>
      </c>
      <c r="M2712" s="6">
        <f>HYPERLINK("https://map.naver.com/p/search/전동면 송정리 268", "지도Link")</f>
        <v/>
      </c>
      <c r="N2712" s="6">
        <f>HYPERLINK("http://www.eum.go.kr/web/ar/lu/luLandDet.jsp?pnu=3611038027102680000&amp;isNoScr=script&amp;mode=search",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2404</v>
      </c>
      <c r="R2712" s="3" t="inlineStr">
        <is>
          <t>지정되지않음</t>
        </is>
      </c>
      <c r="S2712" s="3" t="inlineStr">
        <is>
          <t>전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송정리 296-8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96000</v>
      </c>
      <c r="G2713" s="4" t="n">
        <v>5284</v>
      </c>
      <c r="H2713" s="4" t="n">
        <v>1598</v>
      </c>
      <c r="I2713" s="5" t="n">
        <v>60.1</v>
      </c>
      <c r="J2713" s="5" t="n">
        <v>22.2</v>
      </c>
      <c r="K2713" s="3" t="inlineStr">
        <is>
          <t>대토추천, 2차선도로접. 농업보호구역, 분할매도가능</t>
        </is>
      </c>
      <c r="L2713" s="6">
        <f>HYPERLINK("https://fin.land.naver.com/articles/2654227231", "매물Link")</f>
        <v/>
      </c>
      <c r="M2713" s="6">
        <f>HYPERLINK("https://map.naver.com/p/search/전동면 송정리 296-8", "지도Link")</f>
        <v/>
      </c>
      <c r="N2713" s="6">
        <f>HYPERLINK("http://www.eum.go.kr/web/ar/lu/luLandDet.jsp?pnu=3611038027102960008&amp;isNoScr=script&amp;mode=search",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5284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송정리 321-3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25000</v>
      </c>
      <c r="G2714" s="4" t="n">
        <v>1184</v>
      </c>
      <c r="H2714" s="4" t="n">
        <v>358</v>
      </c>
      <c r="I2714" s="5" t="n">
        <v>69.8</v>
      </c>
      <c r="J2714" s="5" t="n">
        <v>21.7</v>
      </c>
      <c r="K2714" s="3" t="inlineStr">
        <is>
          <t>급매 송정리  2차선접 남향 건축및투자하기 좋은 금액입니다</t>
        </is>
      </c>
      <c r="L2714" s="6">
        <f>HYPERLINK("https://fin.land.naver.com/articles/2652043902", "매물Link")</f>
        <v/>
      </c>
      <c r="M2714" s="6">
        <f>HYPERLINK("https://map.naver.com/p/search/전동면 송정리 321-3", "지도Link")</f>
        <v/>
      </c>
      <c r="N2714" s="6">
        <f>HYPERLINK("http://www.eum.go.kr/web/ar/lu/luLandDet.jsp?pnu=3611038027103210003&amp;isNoScr=script&amp;mode=search", "토지이음")</f>
        <v/>
      </c>
      <c r="O2714" s="3" t="inlineStr">
        <is>
          <t>OK수</t>
        </is>
      </c>
      <c r="P2714" s="4" t="n">
        <v>1</v>
      </c>
      <c r="Q2714" s="4" t="n">
        <v>1184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소로한면</t>
        </is>
      </c>
    </row>
    <row r="2715">
      <c r="A2715" s="3" t="inlineStr">
        <is>
          <t>전동면 송정리 36-4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267000</v>
      </c>
      <c r="G2715" s="4" t="n">
        <v>5884</v>
      </c>
      <c r="H2715" s="4" t="n">
        <v>1780</v>
      </c>
      <c r="I2715" s="5" t="n">
        <v>150</v>
      </c>
      <c r="J2715" s="5" t="n">
        <v>46</v>
      </c>
      <c r="K2715" s="3" t="inlineStr">
        <is>
          <t>계획관리지역으로 소매점 1동과 조망 좋은 단독주택 1동 택지 조성된 임야</t>
        </is>
      </c>
      <c r="L2715" s="6">
        <f>HYPERLINK("https://fin.land.naver.com/articles/2651902769", "매물Link")</f>
        <v/>
      </c>
      <c r="M2715" s="6">
        <f>HYPERLINK("https://map.naver.com/p/search/전동면 송정리 36-4", "지도Link")</f>
        <v/>
      </c>
      <c r="N2715" s="6">
        <f>HYPERLINK("http://www.eum.go.kr/web/ar/lu/luLandDet.jsp?pnu=3611038027100360004&amp;isNoScr=script&amp;mode=search", "토지이음")</f>
        <v/>
      </c>
      <c r="O2715" s="3" t="inlineStr">
        <is>
          <t>스마일세종</t>
        </is>
      </c>
      <c r="P2715" s="4" t="n">
        <v>1</v>
      </c>
      <c r="Q2715" s="4" t="n">
        <v>1608</v>
      </c>
      <c r="R2715" s="3" t="inlineStr">
        <is>
          <t>지정되지않음</t>
        </is>
      </c>
      <c r="S2715" s="3" t="inlineStr">
        <is>
          <t>주상용</t>
        </is>
      </c>
      <c r="T2715" s="3" t="inlineStr">
        <is>
          <t>완경사</t>
        </is>
      </c>
      <c r="U2715" s="3" t="inlineStr">
        <is>
          <t>사다리형</t>
        </is>
      </c>
      <c r="V2715" s="3" t="inlineStr">
        <is>
          <t>세로한면(가)</t>
        </is>
      </c>
    </row>
    <row r="2716">
      <c r="A2716" s="3" t="inlineStr">
        <is>
          <t>전동면 송정리 372</t>
        </is>
      </c>
      <c r="B2716" s="3" t="inlineStr">
        <is>
          <t>농림지역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36000</v>
      </c>
      <c r="G2716" s="4" t="n">
        <v>1676</v>
      </c>
      <c r="H2716" s="4" t="n">
        <v>507</v>
      </c>
      <c r="I2716" s="5" t="n">
        <v>71</v>
      </c>
      <c r="J2716" s="5" t="n">
        <v>18.3</v>
      </c>
      <c r="K2716" s="3" t="inlineStr">
        <is>
          <t>2차선 도로 접한 토지 매매</t>
        </is>
      </c>
      <c r="L2716" s="6">
        <f>HYPERLINK("https://fin.land.naver.com/articles/2653157645", "매물Link")</f>
        <v/>
      </c>
      <c r="M2716" s="6">
        <f>HYPERLINK("https://map.naver.com/p/search/전동면 송정리 372", "지도Link")</f>
        <v/>
      </c>
      <c r="N2716" s="6">
        <f>HYPERLINK("http://www.eum.go.kr/web/ar/lu/luLandDet.jsp?pnu=3611038027103720000&amp;isNoScr=script&amp;mode=search", "토지이음")</f>
        <v/>
      </c>
      <c r="O2716" s="3" t="inlineStr">
        <is>
          <t>스타트</t>
        </is>
      </c>
      <c r="P2716" s="4" t="n">
        <v>1</v>
      </c>
      <c r="Q2716" s="4" t="n">
        <v>1676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소로한면</t>
        </is>
      </c>
    </row>
    <row r="2717">
      <c r="A2717" s="3" t="inlineStr">
        <is>
          <t>전동면 송정리 382</t>
        </is>
      </c>
      <c r="B2717" s="3" t="inlineStr">
        <is>
          <t>생산관리지역</t>
        </is>
      </c>
      <c r="C2717" s="3" t="inlineStr">
        <is>
          <t>전</t>
        </is>
      </c>
      <c r="D2717" s="3" t="inlineStr">
        <is>
          <t>전</t>
        </is>
      </c>
      <c r="E2717" s="3" t="inlineStr">
        <is>
          <t>매매</t>
        </is>
      </c>
      <c r="F2717" s="4" t="n">
        <v>9500</v>
      </c>
      <c r="G2717" s="4" t="n">
        <v>519</v>
      </c>
      <c r="H2717" s="4" t="n">
        <v>157</v>
      </c>
      <c r="I2717" s="5" t="n">
        <v>60.5</v>
      </c>
      <c r="J2717" s="5" t="n">
        <v>16.7</v>
      </c>
      <c r="K2717" s="3" t="inlineStr">
        <is>
          <t>급매 송정리 토지 매매</t>
        </is>
      </c>
      <c r="L2717" s="6">
        <f>HYPERLINK("https://fin.land.naver.com/articles/2655242076", "매물Link")</f>
        <v/>
      </c>
      <c r="M2717" s="6">
        <f>HYPERLINK("https://map.naver.com/p/search/전동면 송정리 382", "지도Link")</f>
        <v/>
      </c>
      <c r="N2717" s="6">
        <f>HYPERLINK("http://www.eum.go.kr/web/ar/lu/luLandDet.jsp?pnu=3611038027103820000&amp;isNoScr=script&amp;mode=search", "토지이음")</f>
        <v/>
      </c>
      <c r="O2717" s="3" t="inlineStr">
        <is>
          <t>스타트</t>
        </is>
      </c>
      <c r="P2717" s="4" t="n">
        <v>1</v>
      </c>
      <c r="Q2717" s="4" t="n">
        <v>519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맹지</t>
        </is>
      </c>
    </row>
    <row r="2718">
      <c r="A2718" s="3" t="inlineStr">
        <is>
          <t>전동면 송정리 산12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280000</v>
      </c>
      <c r="G2718" s="4" t="n">
        <v>45620</v>
      </c>
      <c r="H2718" s="4" t="n">
        <v>13800</v>
      </c>
      <c r="I2718" s="5" t="n">
        <v>20.3</v>
      </c>
      <c r="J2718" s="5" t="n">
        <v>3</v>
      </c>
      <c r="K2718" s="3" t="inlineStr">
        <is>
          <t>송정리 위치 좋은 넓은 임야로 활용도가  좋은 매물이예요</t>
        </is>
      </c>
      <c r="L2718" s="6">
        <f>HYPERLINK("https://fin.land.naver.com/articles/2653348523", "매물Link")</f>
        <v/>
      </c>
      <c r="M2718" s="6">
        <f>HYPERLINK("https://map.naver.com/p/search/전동면 송정리 산12", "지도Link")</f>
        <v/>
      </c>
      <c r="N2718" s="6">
        <f>HYPERLINK("http://www.eum.go.kr/web/ar/lu/luLandDet.jsp?pnu=3611038027200120000&amp;isNoScr=script&amp;mode=search", "토지이음")</f>
        <v/>
      </c>
      <c r="O2718" s="3" t="inlineStr">
        <is>
          <t>4989명품</t>
        </is>
      </c>
      <c r="P2718" s="4" t="n">
        <v>1</v>
      </c>
      <c r="Q2718" s="4" t="n">
        <v>45620</v>
      </c>
      <c r="R2718" s="3" t="inlineStr">
        <is>
          <t>계획관리지역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가로장방</t>
        </is>
      </c>
      <c r="V2718" s="3" t="inlineStr">
        <is>
          <t>세로한면(가)</t>
        </is>
      </c>
    </row>
    <row r="2719">
      <c r="A2719" s="3" t="inlineStr">
        <is>
          <t>전동면 송정리 산19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90000</v>
      </c>
      <c r="G2719" s="4" t="n">
        <v>37109</v>
      </c>
      <c r="H2719" s="4" t="n">
        <v>11225</v>
      </c>
      <c r="I2719" s="5" t="n">
        <v>8</v>
      </c>
      <c r="J2719" s="5" t="n">
        <v>1.6</v>
      </c>
      <c r="K2719" s="3" t="inlineStr">
        <is>
          <t>개발투자추천 가격조율가능</t>
        </is>
      </c>
      <c r="L2719" s="6">
        <f>HYPERLINK("https://fin.land.naver.com/articles/2655114627", "매물Link")</f>
        <v/>
      </c>
      <c r="M2719" s="6">
        <f>HYPERLINK("https://map.naver.com/p/search/전동면 송정리 산19", "지도Link")</f>
        <v/>
      </c>
      <c r="N2719" s="6">
        <f>HYPERLINK("http://www.eum.go.kr/web/ar/lu/luLandDet.jsp?pnu=3611038027200190000&amp;isNoScr=script&amp;mode=search", "토지이음")</f>
        <v/>
      </c>
      <c r="O2719" s="3" t="inlineStr">
        <is>
          <t>뉴엘리트탑</t>
        </is>
      </c>
      <c r="P2719" s="4" t="n">
        <v>1</v>
      </c>
      <c r="Q2719" s="4" t="n">
        <v>37109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심중리 191-1</t>
        </is>
      </c>
      <c r="B2720" s="3" t="inlineStr">
        <is>
          <t>계획관리지역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7000</v>
      </c>
      <c r="G2720" s="4" t="n">
        <v>352</v>
      </c>
      <c r="H2720" s="4" t="n">
        <v>106</v>
      </c>
      <c r="I2720" s="5" t="n">
        <v>66</v>
      </c>
      <c r="J2720" s="5" t="n">
        <v>25.9</v>
      </c>
      <c r="K2720" s="3" t="inlineStr">
        <is>
          <t>심중리 계획관리지역, 현재 기지국설치로 연 280만원 수익</t>
        </is>
      </c>
      <c r="L2720" s="6">
        <f>HYPERLINK("https://fin.land.naver.com/articles/2655393309", "매물Link")</f>
        <v/>
      </c>
      <c r="M2720" s="6">
        <f>HYPERLINK("https://map.naver.com/p/search/전동면 심중리 191-1", "지도Link")</f>
        <v/>
      </c>
      <c r="N2720" s="6">
        <f>HYPERLINK("http://www.eum.go.kr/web/ar/lu/luLandDet.jsp?pnu=3611038031101910001&amp;isNoScr=script&amp;mode=search",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352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심중리 200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65000</v>
      </c>
      <c r="G2721" s="4" t="n">
        <v>2039</v>
      </c>
      <c r="H2721" s="4" t="n">
        <v>617</v>
      </c>
      <c r="I2721" s="5" t="n">
        <v>105.3</v>
      </c>
      <c r="J2721" s="5" t="n">
        <v>33.4</v>
      </c>
      <c r="K2721" s="3" t="inlineStr">
        <is>
          <t>nan</t>
        </is>
      </c>
      <c r="L2721" s="6">
        <f>HYPERLINK("https://fin.land.naver.com/articles/2655257491", "매물Link")</f>
        <v/>
      </c>
      <c r="M2721" s="6">
        <f>HYPERLINK("https://map.naver.com/p/search/전동면 심중리 200", "지도Link")</f>
        <v/>
      </c>
      <c r="N2721" s="6">
        <f>HYPERLINK("http://www.eum.go.kr/web/ar/lu/luLandDet.jsp?pnu=3611038031102000000&amp;isNoScr=script&amp;mode=search", "토지이음")</f>
        <v/>
      </c>
      <c r="O2721" s="3" t="inlineStr">
        <is>
          <t>이서방</t>
        </is>
      </c>
      <c r="P2721" s="4" t="n">
        <v>1</v>
      </c>
      <c r="Q2721" s="4" t="n">
        <v>2039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소로한면</t>
        </is>
      </c>
    </row>
    <row r="2722">
      <c r="A2722" s="3" t="inlineStr">
        <is>
          <t>전동면 심중리 205</t>
        </is>
      </c>
      <c r="B2722" s="3" t="inlineStr">
        <is>
          <t>계획관리지역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65000</v>
      </c>
      <c r="G2722" s="4" t="n">
        <v>2248</v>
      </c>
      <c r="H2722" s="4" t="n">
        <v>680</v>
      </c>
      <c r="I2722" s="5" t="n">
        <v>95.59999999999999</v>
      </c>
      <c r="J2722" s="5" t="n">
        <v>27.1</v>
      </c>
      <c r="K2722" s="3" t="inlineStr">
        <is>
          <t>세종시 귀한 계획관리 토지임</t>
        </is>
      </c>
      <c r="L2722" s="6">
        <f>HYPERLINK("https://fin.land.naver.com/articles/2651170755", "매물Link")</f>
        <v/>
      </c>
      <c r="M2722" s="6">
        <f>HYPERLINK("https://map.naver.com/p/search/전동면 심중리 205", "지도Link")</f>
        <v/>
      </c>
      <c r="N2722" s="6">
        <f>HYPERLINK("http://www.eum.go.kr/web/ar/lu/luLandDet.jsp?pnu=3611038031102050000&amp;isNoScr=script&amp;mode=search", "토지이음")</f>
        <v/>
      </c>
      <c r="O2722" s="3" t="inlineStr">
        <is>
          <t>드림</t>
        </is>
      </c>
      <c r="P2722" s="4" t="n">
        <v>1</v>
      </c>
      <c r="Q2722" s="4" t="n">
        <v>555</v>
      </c>
      <c r="R2722" s="3" t="inlineStr">
        <is>
          <t>지정되지않음</t>
        </is>
      </c>
      <c r="S2722" s="3" t="inlineStr">
        <is>
          <t>과수원</t>
        </is>
      </c>
      <c r="T2722" s="3" t="inlineStr">
        <is>
          <t>평지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심중리 379-1</t>
        </is>
      </c>
      <c r="B2723" s="3" t="inlineStr">
        <is>
          <t>계획관리지역</t>
        </is>
      </c>
      <c r="C2723" s="3" t="inlineStr">
        <is>
          <t>목장용지</t>
        </is>
      </c>
      <c r="D2723" s="3" t="inlineStr">
        <is>
          <t>목장용지</t>
        </is>
      </c>
      <c r="E2723" s="3" t="inlineStr">
        <is>
          <t>매매</t>
        </is>
      </c>
      <c r="F2723" s="4" t="n">
        <v>400000</v>
      </c>
      <c r="G2723" s="4" t="n">
        <v>21554</v>
      </c>
      <c r="H2723" s="4" t="n">
        <v>6520</v>
      </c>
      <c r="I2723" s="5" t="n">
        <v>61.3</v>
      </c>
      <c r="J2723" s="5" t="n">
        <v>28.6</v>
      </c>
      <c r="K2723" s="3" t="inlineStr">
        <is>
          <t>세종벤처밸리일반산업단지 맞은편 투자가치 높은 계획관리 귀한 토지</t>
        </is>
      </c>
      <c r="L2723" s="6">
        <f>HYPERLINK("https://fin.land.naver.com/articles/2651817111", "매물Link")</f>
        <v/>
      </c>
      <c r="M2723" s="6">
        <f>HYPERLINK("https://map.naver.com/p/search/전동면 심중리 379-1", "지도Link")</f>
        <v/>
      </c>
      <c r="N2723" s="6">
        <f>HYPERLINK("http://www.eum.go.kr/web/ar/lu/luLandDet.jsp?pnu=3611038031103790001&amp;isNoScr=script&amp;mode=search", "토지이음")</f>
        <v/>
      </c>
      <c r="O2723" s="3" t="inlineStr">
        <is>
          <t>번영</t>
        </is>
      </c>
      <c r="P2723" s="4" t="n">
        <v>1</v>
      </c>
      <c r="Q2723" s="4" t="n">
        <v>790</v>
      </c>
      <c r="R2723" s="3" t="inlineStr">
        <is>
          <t>지정되지않음</t>
        </is>
      </c>
      <c r="S2723" s="3" t="inlineStr">
        <is>
          <t>전축사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심중리 391</t>
        </is>
      </c>
      <c r="B2724" s="3" t="inlineStr">
        <is>
          <t>계획관리지역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45000</v>
      </c>
      <c r="G2724" s="4" t="n">
        <v>2109</v>
      </c>
      <c r="H2724" s="4" t="n">
        <v>638</v>
      </c>
      <c r="I2724" s="5" t="n">
        <v>70.5</v>
      </c>
      <c r="J2724" s="5" t="n">
        <v>18.3</v>
      </c>
      <c r="K2724" s="3" t="inlineStr">
        <is>
          <t>도로따라 긴토지 매매</t>
        </is>
      </c>
      <c r="L2724" s="6">
        <f>HYPERLINK("https://fin.land.naver.com/articles/2653195490", "매물Link")</f>
        <v/>
      </c>
      <c r="M2724" s="6">
        <f>HYPERLINK("https://map.naver.com/p/search/전동면 심중리 391", "지도Link")</f>
        <v/>
      </c>
      <c r="N2724" s="6">
        <f>HYPERLINK("http://www.eum.go.kr/web/ar/lu/luLandDet.jsp?pnu=3611038031103910000&amp;isNoScr=script&amp;mode=search", "토지이음")</f>
        <v/>
      </c>
      <c r="O2724" s="3" t="inlineStr">
        <is>
          <t>THE행복</t>
        </is>
      </c>
      <c r="P2724" s="4" t="n">
        <v>2</v>
      </c>
      <c r="Q2724" s="4" t="n">
        <v>2110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전동면 심중리 391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44600</v>
      </c>
      <c r="G2725" s="4" t="n">
        <v>2110</v>
      </c>
      <c r="H2725" s="4" t="n">
        <v>638</v>
      </c>
      <c r="I2725" s="5" t="n">
        <v>69.90000000000001</v>
      </c>
      <c r="J2725" s="5" t="n">
        <v>18.3</v>
      </c>
      <c r="K2725" s="3" t="inlineStr">
        <is>
          <t>계획관리 답,현재과수원,농막있음.대토추천</t>
        </is>
      </c>
      <c r="L2725" s="6">
        <f>HYPERLINK("https://fin.land.naver.com/articles/2651385415", "매물Link")</f>
        <v/>
      </c>
      <c r="M2725" s="6">
        <f>HYPERLINK("https://map.naver.com/p/search/전동면 심중리 391", "지도Link")</f>
        <v/>
      </c>
      <c r="N2725" s="6">
        <f>HYPERLINK("http://www.eum.go.kr/web/ar/lu/luLandDet.jsp?pnu=3611038031103910000&amp;isNoScr=script&amp;mode=search", "토지이음")</f>
        <v/>
      </c>
      <c r="O2725" s="3" t="inlineStr">
        <is>
          <t>신안무소</t>
        </is>
      </c>
      <c r="P2725" s="4" t="n">
        <v>1</v>
      </c>
      <c r="Q2725" s="4" t="n">
        <v>2110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전동면 심중리 4</t>
        </is>
      </c>
      <c r="B2726" s="3" t="inlineStr">
        <is>
          <t>계획관리지역</t>
        </is>
      </c>
      <c r="C2726" s="3" t="inlineStr">
        <is>
          <t>대</t>
        </is>
      </c>
      <c r="D2726" s="3" t="inlineStr">
        <is>
          <t>대</t>
        </is>
      </c>
      <c r="E2726" s="3" t="inlineStr">
        <is>
          <t>매매</t>
        </is>
      </c>
      <c r="F2726" s="4" t="n">
        <v>40000</v>
      </c>
      <c r="G2726" s="4" t="n">
        <v>2285</v>
      </c>
      <c r="H2726" s="4" t="n">
        <v>691</v>
      </c>
      <c r="I2726" s="5" t="n">
        <v>57.9</v>
      </c>
      <c r="J2726" s="5" t="n">
        <v>20.8</v>
      </c>
      <c r="K2726" s="3" t="inlineStr">
        <is>
          <t>계획관리지역 , 세종시시민스포츠센터인 세컨하우스 및 농장</t>
        </is>
      </c>
      <c r="L2726" s="6">
        <f>HYPERLINK("https://fin.land.naver.com/articles/2653734293", "매물Link")</f>
        <v/>
      </c>
      <c r="M2726" s="6">
        <f>HYPERLINK("https://map.naver.com/p/search/전동면 심중리 4", "지도Link")</f>
        <v/>
      </c>
      <c r="N2726" s="6">
        <f>HYPERLINK("http://www.eum.go.kr/web/ar/lu/luLandDet.jsp?pnu=3611038031100040000&amp;isNoScr=script&amp;mode=search", "토지이음")</f>
        <v/>
      </c>
      <c r="O2726" s="3" t="inlineStr">
        <is>
          <t>금온(ON)</t>
        </is>
      </c>
      <c r="P2726" s="4" t="n">
        <v>1</v>
      </c>
      <c r="Q2726" s="4" t="n">
        <v>660</v>
      </c>
      <c r="R2726" s="3" t="inlineStr">
        <is>
          <t>지정되지않음</t>
        </is>
      </c>
      <c r="S2726" s="3" t="inlineStr">
        <is>
          <t>단독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세로한면(불)</t>
        </is>
      </c>
    </row>
    <row r="2727">
      <c r="A2727" s="3" t="inlineStr">
        <is>
          <t>전동면 심중리 407</t>
        </is>
      </c>
      <c r="B2727" s="3" t="inlineStr">
        <is>
          <t>계획관리지역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15000</v>
      </c>
      <c r="G2727" s="4" t="n">
        <v>807</v>
      </c>
      <c r="H2727" s="4" t="n">
        <v>244</v>
      </c>
      <c r="I2727" s="5" t="n">
        <v>61.5</v>
      </c>
      <c r="J2727" s="5" t="n">
        <v>21.9</v>
      </c>
      <c r="K2727" s="3" t="inlineStr">
        <is>
          <t>남향,주말농장,전원주택추천</t>
        </is>
      </c>
      <c r="L2727" s="6">
        <f>HYPERLINK("https://fin.land.naver.com/articles/2651708281", "매물Link")</f>
        <v/>
      </c>
      <c r="M2727" s="6">
        <f>HYPERLINK("https://map.naver.com/p/search/전동면 심중리 407", "지도Link")</f>
        <v/>
      </c>
      <c r="N2727" s="6">
        <f>HYPERLINK("http://www.eum.go.kr/web/ar/lu/luLandDet.jsp?pnu=3611038031104070000&amp;isNoScr=script&amp;mode=search",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807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심중리 407-1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13000</v>
      </c>
      <c r="G2728" s="4" t="n">
        <v>743</v>
      </c>
      <c r="H2728" s="4" t="n">
        <v>225</v>
      </c>
      <c r="I2728" s="5" t="n">
        <v>57.8</v>
      </c>
      <c r="J2728" s="5" t="n">
        <v>23</v>
      </c>
      <c r="K2728" s="3" t="inlineStr">
        <is>
          <t>급매,2면 도로접 계획관리지역,산조망권 뷰,다용도 사용 가능,투자용 추천</t>
        </is>
      </c>
      <c r="L2728" s="6">
        <f>HYPERLINK("https://fin.land.naver.com/articles/2653336516", "매물Link")</f>
        <v/>
      </c>
      <c r="M2728" s="6">
        <f>HYPERLINK("https://map.naver.com/p/search/전동면 심중리 407-1", "지도Link")</f>
        <v/>
      </c>
      <c r="N2728" s="6">
        <f>HYPERLINK("http://www.eum.go.kr/web/ar/lu/luLandDet.jsp?pnu=3611038031104070001&amp;isNoScr=script&amp;mode=search", "토지이음")</f>
        <v/>
      </c>
      <c r="O2728" s="3" t="inlineStr">
        <is>
          <t>고운맘</t>
        </is>
      </c>
      <c r="P2728" s="4" t="n">
        <v>1</v>
      </c>
      <c r="Q2728" s="4" t="n">
        <v>743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세로한면(가)</t>
        </is>
      </c>
    </row>
    <row r="2729">
      <c r="A2729" s="3" t="inlineStr">
        <is>
          <t>전동면 심중리 407-1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16000</v>
      </c>
      <c r="G2729" s="4" t="n">
        <v>743</v>
      </c>
      <c r="H2729" s="4" t="n">
        <v>225</v>
      </c>
      <c r="I2729" s="5" t="n">
        <v>71.09999999999999</v>
      </c>
      <c r="J2729" s="5" t="n">
        <v>23</v>
      </c>
      <c r="K2729" s="3" t="inlineStr">
        <is>
          <t>세종 심중리   관리하기 좋은 농지</t>
        </is>
      </c>
      <c r="L2729" s="6">
        <f>HYPERLINK("https://fin.land.naver.com/articles/2654214850", "매물Link")</f>
        <v/>
      </c>
      <c r="M2729" s="6">
        <f>HYPERLINK("https://map.naver.com/p/search/전동면 심중리 407-1", "지도Link")</f>
        <v/>
      </c>
      <c r="N2729" s="6">
        <f>HYPERLINK("http://www.eum.go.kr/web/ar/lu/luLandDet.jsp?pnu=3611038031104070001&amp;isNoScr=script&amp;mode=search", "토지이음")</f>
        <v/>
      </c>
      <c r="O2729" s="3" t="inlineStr">
        <is>
          <t>세종몽땅</t>
        </is>
      </c>
      <c r="P2729" s="4" t="n">
        <v>1</v>
      </c>
      <c r="Q2729" s="4" t="n">
        <v>743</v>
      </c>
      <c r="R2729" s="3" t="inlineStr">
        <is>
          <t>지정되지않음</t>
        </is>
      </c>
      <c r="S2729" s="3" t="inlineStr">
        <is>
          <t>전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심중리 407-1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13000</v>
      </c>
      <c r="G2730" s="4" t="n">
        <v>743</v>
      </c>
      <c r="H2730" s="4" t="n">
        <v>225</v>
      </c>
      <c r="I2730" s="5" t="n">
        <v>57.8</v>
      </c>
      <c r="J2730" s="5" t="n">
        <v>23</v>
      </c>
      <c r="K2730" s="3" t="inlineStr">
        <is>
          <t>저렴한토지 매매 계획관리지역</t>
        </is>
      </c>
      <c r="L2730" s="6">
        <f>HYPERLINK("https://fin.land.naver.com/articles/2654661329", "매물Link")</f>
        <v/>
      </c>
      <c r="M2730" s="6">
        <f>HYPERLINK("https://map.naver.com/p/search/전동면 심중리 407-1", "지도Link")</f>
        <v/>
      </c>
      <c r="N2730" s="6">
        <f>HYPERLINK("http://www.eum.go.kr/web/ar/lu/luLandDet.jsp?pnu=3611038031104070001&amp;isNoScr=script&amp;mode=search", "토지이음")</f>
        <v/>
      </c>
      <c r="O2730" s="3" t="inlineStr">
        <is>
          <t>세종부부</t>
        </is>
      </c>
      <c r="P2730" s="4" t="n">
        <v>1</v>
      </c>
      <c r="Q2730" s="4" t="n">
        <v>743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심중리 407-1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13000</v>
      </c>
      <c r="G2731" s="4" t="n">
        <v>743</v>
      </c>
      <c r="H2731" s="4" t="n">
        <v>225</v>
      </c>
      <c r="I2731" s="5" t="n">
        <v>57.8</v>
      </c>
      <c r="J2731" s="5" t="n">
        <v>23</v>
      </c>
      <c r="K2731" s="3" t="inlineStr">
        <is>
          <t>급매 계획관리토지,개발,주말농장 등</t>
        </is>
      </c>
      <c r="L2731" s="6">
        <f>HYPERLINK("https://fin.land.naver.com/articles/2655032773", "매물Link")</f>
        <v/>
      </c>
      <c r="M2731" s="6">
        <f>HYPERLINK("https://map.naver.com/p/search/전동면 심중리 407-1", "지도Link")</f>
        <v/>
      </c>
      <c r="N2731" s="6">
        <f>HYPERLINK("http://www.eum.go.kr/web/ar/lu/luLandDet.jsp?pnu=3611038031104070001&amp;isNoScr=script&amp;mode=search", "토지이음")</f>
        <v/>
      </c>
      <c r="O2731" s="3" t="inlineStr">
        <is>
          <t>세종대박</t>
        </is>
      </c>
      <c r="P2731" s="4" t="n">
        <v>2</v>
      </c>
      <c r="Q2731" s="4" t="n">
        <v>743</v>
      </c>
      <c r="R2731" s="3" t="inlineStr">
        <is>
          <t>지정되지않음</t>
        </is>
      </c>
      <c r="S2731" s="3" t="inlineStr">
        <is>
          <t>전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전동면 심중리 408</t>
        </is>
      </c>
      <c r="B2732" s="3" t="inlineStr">
        <is>
          <t>계획관리지역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20000</v>
      </c>
      <c r="G2732" s="4" t="n">
        <v>1785</v>
      </c>
      <c r="H2732" s="4" t="n">
        <v>540</v>
      </c>
      <c r="I2732" s="5" t="n">
        <v>37</v>
      </c>
      <c r="J2732" s="5" t="n">
        <v>22.7</v>
      </c>
      <c r="K2732" s="3" t="inlineStr">
        <is>
          <t>도로 접, 환한 토지, 계획관리, 지목 답, 전원생활 개발가능한 토지 급</t>
        </is>
      </c>
      <c r="L2732" s="6">
        <f>HYPERLINK("https://fin.land.naver.com/articles/2650455415", "매물Link")</f>
        <v/>
      </c>
      <c r="M2732" s="6">
        <f>HYPERLINK("https://map.naver.com/p/search/전동면 심중리 408", "지도Link")</f>
        <v/>
      </c>
      <c r="N2732" s="6">
        <f>HYPERLINK("http://www.eum.go.kr/web/ar/lu/luLandDet.jsp?pnu=3611038031104080000&amp;isNoScr=script&amp;mode=search", "토지이음")</f>
        <v/>
      </c>
      <c r="O2732" s="3" t="inlineStr">
        <is>
          <t>OK파라곤</t>
        </is>
      </c>
      <c r="P2732" s="4" t="n">
        <v>2</v>
      </c>
      <c r="Q2732" s="4" t="n">
        <v>1785</v>
      </c>
      <c r="R2732" s="3" t="inlineStr">
        <is>
          <t>지정되지않음</t>
        </is>
      </c>
      <c r="S2732" s="3" t="inlineStr">
        <is>
          <t>과수원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심중리 461-2</t>
        </is>
      </c>
      <c r="B2733" s="3" t="inlineStr">
        <is>
          <t>계획관리지역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33000</v>
      </c>
      <c r="G2733" s="4" t="n">
        <v>1157</v>
      </c>
      <c r="H2733" s="4" t="n">
        <v>350</v>
      </c>
      <c r="I2733" s="5" t="n">
        <v>94.3</v>
      </c>
      <c r="J2733" s="5" t="n">
        <v>35.9</v>
      </c>
      <c r="K2733" s="3" t="inlineStr">
        <is>
          <t>전동면 심중리 단독부지 조용한 전원생활 최적지, 포장도로접</t>
        </is>
      </c>
      <c r="L2733" s="6">
        <f>HYPERLINK("https://fin.land.naver.com/articles/2650463843", "매물Link")</f>
        <v/>
      </c>
      <c r="M2733" s="6">
        <f>HYPERLINK("https://map.naver.com/p/search/전동면 심중리 461-2", "지도Link")</f>
        <v/>
      </c>
      <c r="N2733" s="6">
        <f>HYPERLINK("http://www.eum.go.kr/web/ar/lu/luLandDet.jsp?pnu=3611038031104610002&amp;isNoScr=script&amp;mode=search", "토지이음")</f>
        <v/>
      </c>
      <c r="O2733" s="3" t="inlineStr">
        <is>
          <t>세종공감</t>
        </is>
      </c>
      <c r="P2733" s="4" t="n">
        <v>1</v>
      </c>
      <c r="Q2733" s="4" t="n">
        <v>483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심중리 463-1</t>
        </is>
      </c>
      <c r="B2734" s="3" t="inlineStr">
        <is>
          <t>계획관리지역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87500</v>
      </c>
      <c r="G2734" s="4" t="n">
        <v>826</v>
      </c>
      <c r="H2734" s="4" t="n">
        <v>250</v>
      </c>
      <c r="I2734" s="5" t="n">
        <v>350</v>
      </c>
      <c r="J2734" s="5" t="n">
        <v>32.5</v>
      </c>
      <c r="K2734" s="3" t="inlineStr">
        <is>
          <t>세종벤처밸리산업단지 인근의 포장도로에 접한 계획관리지역의 정사각형모양 전</t>
        </is>
      </c>
      <c r="L2734" s="6">
        <f>HYPERLINK("https://fin.land.naver.com/articles/2650241701", "매물Link")</f>
        <v/>
      </c>
      <c r="M2734" s="6">
        <f>HYPERLINK("https://map.naver.com/p/search/전동면 심중리 463-1", "지도Link")</f>
        <v/>
      </c>
      <c r="N2734" s="6">
        <f>HYPERLINK("http://www.eum.go.kr/web/ar/lu/luLandDet.jsp?pnu=3611038031104630001&amp;isNoScr=script&amp;mode=search", "토지이음")</f>
        <v/>
      </c>
      <c r="O2734" s="3" t="inlineStr">
        <is>
          <t>스마일세종</t>
        </is>
      </c>
      <c r="P2734" s="4" t="n">
        <v>1</v>
      </c>
      <c r="Q2734" s="4" t="n">
        <v>826</v>
      </c>
      <c r="R2734" s="3" t="inlineStr">
        <is>
          <t>지정되지않음</t>
        </is>
      </c>
      <c r="S2734" s="3" t="inlineStr">
        <is>
          <t>과수원</t>
        </is>
      </c>
      <c r="T2734" s="3" t="inlineStr">
        <is>
          <t>평지</t>
        </is>
      </c>
      <c r="U2734" s="3" t="inlineStr">
        <is>
          <t>사다리형</t>
        </is>
      </c>
      <c r="V2734" s="3" t="inlineStr">
        <is>
          <t>소로한면</t>
        </is>
      </c>
    </row>
    <row r="2735">
      <c r="A2735" s="3" t="inlineStr">
        <is>
          <t>전동면 심중리 53</t>
        </is>
      </c>
      <c r="B2735" s="3" t="inlineStr">
        <is>
          <t>계획관리지역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197000</v>
      </c>
      <c r="G2735" s="4" t="n">
        <v>3256</v>
      </c>
      <c r="H2735" s="4" t="n">
        <v>985</v>
      </c>
      <c r="I2735" s="5" t="n">
        <v>200</v>
      </c>
      <c r="J2735" s="5" t="n">
        <v>22.5</v>
      </c>
      <c r="K2735" s="3" t="inlineStr">
        <is>
          <t>계획관리지역 , 성장관리계획구역 내의 답</t>
        </is>
      </c>
      <c r="L2735" s="6">
        <f>HYPERLINK("https://fin.land.naver.com/articles/2650417987", "매물Link")</f>
        <v/>
      </c>
      <c r="M2735" s="6">
        <f>HYPERLINK("https://map.naver.com/p/search/전동면 심중리 53", "지도Link")</f>
        <v/>
      </c>
      <c r="N2735" s="6">
        <f>HYPERLINK("http://www.eum.go.kr/web/ar/lu/luLandDet.jsp?pnu=3611038031100530000&amp;isNoScr=script&amp;mode=search", "토지이음")</f>
        <v/>
      </c>
      <c r="O2735" s="3" t="inlineStr">
        <is>
          <t>금호무소</t>
        </is>
      </c>
      <c r="P2735" s="4" t="n">
        <v>1</v>
      </c>
      <c r="Q2735" s="4" t="n">
        <v>3084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소로한면</t>
        </is>
      </c>
    </row>
    <row r="2736">
      <c r="A2736" s="3" t="inlineStr">
        <is>
          <t>전동면 심중리 산72</t>
        </is>
      </c>
      <c r="B2736" s="3" t="inlineStr">
        <is>
          <t>보전관리지역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430000</v>
      </c>
      <c r="G2736" s="4" t="n">
        <v>79553</v>
      </c>
      <c r="H2736" s="4" t="n">
        <v>24065</v>
      </c>
      <c r="I2736" s="5" t="n">
        <v>17.9</v>
      </c>
      <c r="J2736" s="5" t="n">
        <v>3.5</v>
      </c>
      <c r="K2736" s="3" t="inlineStr">
        <is>
          <t>nan</t>
        </is>
      </c>
      <c r="L2736" s="6">
        <f>HYPERLINK("https://fin.land.naver.com/articles/2653435385", "매물Link")</f>
        <v/>
      </c>
      <c r="M2736" s="6">
        <f>HYPERLINK("https://map.naver.com/p/search/전동면 심중리 산72", "지도Link")</f>
        <v/>
      </c>
      <c r="N2736" s="6">
        <f>HYPERLINK("http://www.eum.go.kr/web/ar/lu/luLandDet.jsp?pnu=3611038031200720000&amp;isNoScr=script&amp;mode=search", "토지이음")</f>
        <v/>
      </c>
      <c r="O2736" s="3" t="inlineStr">
        <is>
          <t>운산</t>
        </is>
      </c>
      <c r="P2736" s="4" t="n">
        <v>1</v>
      </c>
      <c r="Q2736" s="4" t="n">
        <v>79553</v>
      </c>
      <c r="R2736" s="3" t="inlineStr">
        <is>
          <t>농림지역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소로한면</t>
        </is>
      </c>
    </row>
    <row r="2737">
      <c r="A2737" s="3" t="inlineStr">
        <is>
          <t>전동면 청람리 115-4</t>
        </is>
      </c>
      <c r="B2737" s="3" t="inlineStr">
        <is>
          <t>보전관리지역</t>
        </is>
      </c>
      <c r="C2737" s="3" t="inlineStr">
        <is>
          <t>대</t>
        </is>
      </c>
      <c r="D2737" s="3" t="inlineStr">
        <is>
          <t>대</t>
        </is>
      </c>
      <c r="E2737" s="3" t="inlineStr">
        <is>
          <t>매매</t>
        </is>
      </c>
      <c r="F2737" s="4" t="n">
        <v>103000</v>
      </c>
      <c r="G2737" s="4" t="n">
        <v>1697</v>
      </c>
      <c r="H2737" s="4" t="n">
        <v>513</v>
      </c>
      <c r="I2737" s="5" t="n">
        <v>200.8</v>
      </c>
      <c r="J2737" s="5" t="n">
        <v>26.5</v>
      </c>
      <c r="K2737" s="3" t="inlineStr">
        <is>
          <t>대지, 건축가능카페 등</t>
        </is>
      </c>
      <c r="L2737" s="6">
        <f>HYPERLINK("https://fin.land.naver.com/articles/2655032823", "매물Link")</f>
        <v/>
      </c>
      <c r="M2737" s="6">
        <f>HYPERLINK("https://map.naver.com/p/search/전동면 청람리 115-4", "지도Link")</f>
        <v/>
      </c>
      <c r="N2737" s="6">
        <f>HYPERLINK("http://www.eum.go.kr/web/ar/lu/luLandDet.jsp?pnu=3611038028101150004&amp;isNoScr=script&amp;mode=search", "토지이음")</f>
        <v/>
      </c>
      <c r="O2737" s="3" t="inlineStr">
        <is>
          <t>세종대박</t>
        </is>
      </c>
      <c r="P2737" s="4" t="n">
        <v>1</v>
      </c>
      <c r="Q2737" s="4" t="n">
        <v>500</v>
      </c>
      <c r="R2737" s="3" t="inlineStr">
        <is>
          <t>지정되지않음</t>
        </is>
      </c>
      <c r="S2737" s="3" t="inlineStr">
        <is>
          <t>주거나지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전동면 청람리 173</t>
        </is>
      </c>
      <c r="B2738" s="3" t="inlineStr">
        <is>
          <t>생산관리지역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20000</v>
      </c>
      <c r="G2738" s="4" t="n">
        <v>1451</v>
      </c>
      <c r="H2738" s="4" t="n">
        <v>439</v>
      </c>
      <c r="I2738" s="5" t="n">
        <v>45.6</v>
      </c>
      <c r="J2738" s="5" t="n">
        <v>21.7</v>
      </c>
      <c r="K2738" s="3" t="inlineStr">
        <is>
          <t>대토 및 장기투자</t>
        </is>
      </c>
      <c r="L2738" s="6">
        <f>HYPERLINK("https://fin.land.naver.com/articles/2652070783", "매물Link")</f>
        <v/>
      </c>
      <c r="M2738" s="6">
        <f>HYPERLINK("https://map.naver.com/p/search/전동면 청람리 173", "지도Link")</f>
        <v/>
      </c>
      <c r="N2738" s="6">
        <f>HYPERLINK("http://www.eum.go.kr/web/ar/lu/luLandDet.jsp?pnu=3611038028101730000&amp;isNoScr=script&amp;mode=search", "토지이음")</f>
        <v/>
      </c>
      <c r="O2738" s="3" t="inlineStr">
        <is>
          <t>연동스카이</t>
        </is>
      </c>
      <c r="P2738" s="4" t="n">
        <v>1</v>
      </c>
      <c r="Q2738" s="4" t="n">
        <v>1451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가로장방</t>
        </is>
      </c>
      <c r="V2738" s="3" t="inlineStr">
        <is>
          <t>세로한면(가)</t>
        </is>
      </c>
    </row>
    <row r="2739">
      <c r="A2739" s="3" t="inlineStr">
        <is>
          <t>전동면 청람리 174</t>
        </is>
      </c>
      <c r="B2739" s="3" t="inlineStr">
        <is>
          <t>생산관리지역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14500</v>
      </c>
      <c r="G2739" s="4" t="n">
        <v>1732</v>
      </c>
      <c r="H2739" s="4" t="n">
        <v>524</v>
      </c>
      <c r="I2739" s="5" t="n">
        <v>27.7</v>
      </c>
      <c r="J2739" s="5" t="n">
        <v>17.7</v>
      </c>
      <c r="K2739" s="3" t="inlineStr">
        <is>
          <t>Point 시세보다 저렴, 투자 추천, 제2경부 연기IC,산단 입주 호재</t>
        </is>
      </c>
      <c r="L2739" s="6">
        <f>HYPERLINK("https://fin.land.naver.com/articles/2654340488", "매물Link")</f>
        <v/>
      </c>
      <c r="M2739" s="6">
        <f>HYPERLINK("https://map.naver.com/p/search/전동면 청람리 174", "지도Link")</f>
        <v/>
      </c>
      <c r="N2739" s="6">
        <f>HYPERLINK("http://www.eum.go.kr/web/ar/lu/luLandDet.jsp?pnu=3611038028101740000&amp;isNoScr=script&amp;mode=search", "토지이음")</f>
        <v/>
      </c>
      <c r="O2739" s="3" t="inlineStr">
        <is>
          <t>도마호반</t>
        </is>
      </c>
      <c r="P2739" s="4" t="n">
        <v>1</v>
      </c>
      <c r="Q2739" s="4" t="n">
        <v>1732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전동면 청람리 204</t>
        </is>
      </c>
      <c r="B2740" s="3" t="inlineStr">
        <is>
          <t>생산관리지역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34700</v>
      </c>
      <c r="G2740" s="4" t="n">
        <v>1150</v>
      </c>
      <c r="H2740" s="4" t="n">
        <v>348</v>
      </c>
      <c r="I2740" s="5" t="n">
        <v>99.7</v>
      </c>
      <c r="J2740" s="5" t="n">
        <v>17.7</v>
      </c>
      <c r="K2740" s="3" t="inlineStr">
        <is>
          <t>옹벽을 설치하여 전원주택 2채 정도를 지을 수 있는 생산관리지역의 전</t>
        </is>
      </c>
      <c r="L2740" s="6">
        <f>HYPERLINK("https://fin.land.naver.com/articles/2654107863", "매물Link")</f>
        <v/>
      </c>
      <c r="M2740" s="6">
        <f>HYPERLINK("https://map.naver.com/p/search/전동면 청람리 204", "지도Link")</f>
        <v/>
      </c>
      <c r="N2740" s="6">
        <f>HYPERLINK("http://www.eum.go.kr/web/ar/lu/luLandDet.jsp?pnu=3611038028102040000&amp;isNoScr=script&amp;mode=search", "토지이음")</f>
        <v/>
      </c>
      <c r="O2740" s="3" t="inlineStr">
        <is>
          <t>스마일세종</t>
        </is>
      </c>
      <c r="P2740" s="4" t="n">
        <v>1</v>
      </c>
      <c r="Q2740" s="4" t="n">
        <v>1150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청람리 216-6</t>
        </is>
      </c>
      <c r="B2741" s="3" t="inlineStr">
        <is>
          <t>생산관리지역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36000</v>
      </c>
      <c r="G2741" s="4" t="n">
        <v>3967</v>
      </c>
      <c r="H2741" s="4" t="n">
        <v>1200</v>
      </c>
      <c r="I2741" s="5" t="n">
        <v>30</v>
      </c>
      <c r="J2741" s="5" t="n">
        <v>12</v>
      </c>
      <c r="K2741" s="3" t="inlineStr">
        <is>
          <t>도로접 막힘없는 조망권뷰 최상,가족 및 종중묘자리,가격조정가능</t>
        </is>
      </c>
      <c r="L2741" s="6">
        <f>HYPERLINK("https://fin.land.naver.com/articles/2651450198", "매물Link")</f>
        <v/>
      </c>
      <c r="M2741" s="6">
        <f>HYPERLINK("https://map.naver.com/p/search/전동면 청람리 216-6", "지도Link")</f>
        <v/>
      </c>
      <c r="N2741" s="6">
        <f>HYPERLINK("http://www.eum.go.kr/web/ar/lu/luLandDet.jsp?pnu=3611038028102160006&amp;isNoScr=script&amp;mode=search", "토지이음")</f>
        <v/>
      </c>
      <c r="O2741" s="3" t="inlineStr">
        <is>
          <t>고운맘</t>
        </is>
      </c>
      <c r="P2741" s="4" t="n">
        <v>1</v>
      </c>
      <c r="Q2741" s="4" t="n">
        <v>3535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맹지</t>
        </is>
      </c>
    </row>
    <row r="2742">
      <c r="A2742" s="3" t="inlineStr">
        <is>
          <t>전동면 청람리 216-6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36000</v>
      </c>
      <c r="G2742" s="4" t="n">
        <v>3967</v>
      </c>
      <c r="H2742" s="4" t="n">
        <v>1200</v>
      </c>
      <c r="I2742" s="5" t="n">
        <v>30</v>
      </c>
      <c r="J2742" s="5" t="n">
        <v>12</v>
      </c>
      <c r="K2742" s="3" t="inlineStr">
        <is>
          <t>가격조율가능,세종벤처밸리 일반산업단지 인접, 연기IC예정지 근접</t>
        </is>
      </c>
      <c r="L2742" s="6">
        <f>HYPERLINK("https://fin.land.naver.com/articles/2651463700", "매물Link")</f>
        <v/>
      </c>
      <c r="M2742" s="6">
        <f>HYPERLINK("https://map.naver.com/p/search/전동면 청람리 216-6", "지도Link")</f>
        <v/>
      </c>
      <c r="N2742" s="6">
        <f>HYPERLINK("http://www.eum.go.kr/web/ar/lu/luLandDet.jsp?pnu=3611038028102160006&amp;isNoScr=script&amp;mode=search", "토지이음")</f>
        <v/>
      </c>
      <c r="O2742" s="3" t="inlineStr">
        <is>
          <t>담뜰</t>
        </is>
      </c>
      <c r="P2742" s="4" t="n">
        <v>1</v>
      </c>
      <c r="Q2742" s="4" t="n">
        <v>3535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전동면 청람리 228-2</t>
        </is>
      </c>
      <c r="B2743" s="3" t="inlineStr">
        <is>
          <t>계획관리지역</t>
        </is>
      </c>
      <c r="C2743" s="3" t="inlineStr">
        <is>
          <t>대</t>
        </is>
      </c>
      <c r="D2743" s="3" t="inlineStr">
        <is>
          <t>대</t>
        </is>
      </c>
      <c r="E2743" s="3" t="inlineStr">
        <is>
          <t>매매</t>
        </is>
      </c>
      <c r="F2743" s="4" t="n">
        <v>5500</v>
      </c>
      <c r="G2743" s="4" t="n">
        <v>232</v>
      </c>
      <c r="H2743" s="4" t="n">
        <v>70</v>
      </c>
      <c r="I2743" s="5" t="n">
        <v>78.59999999999999</v>
      </c>
      <c r="J2743" s="5" t="n">
        <v>37.9</v>
      </c>
      <c r="K2743" s="3" t="inlineStr">
        <is>
          <t>지자체에서 포장한 진입로 있는 계획관리지역 나대지,저렴한 토지</t>
        </is>
      </c>
      <c r="L2743" s="6">
        <f>HYPERLINK("https://fin.land.naver.com/articles/2655149081", "매물Link")</f>
        <v/>
      </c>
      <c r="M2743" s="6">
        <f>HYPERLINK("https://map.naver.com/p/search/전동면 청람리 228-2", "지도Link")</f>
        <v/>
      </c>
      <c r="N2743" s="6">
        <f>HYPERLINK("http://www.eum.go.kr/web/ar/lu/luLandDet.jsp?pnu=3611038028102280002&amp;isNoScr=script&amp;mode=search", "토지이음")</f>
        <v/>
      </c>
      <c r="O2743" s="3" t="inlineStr">
        <is>
          <t>유정희</t>
        </is>
      </c>
      <c r="P2743" s="4" t="n">
        <v>1</v>
      </c>
      <c r="Q2743" s="4" t="n">
        <v>232</v>
      </c>
      <c r="R2743" s="3" t="inlineStr">
        <is>
          <t>지정되지않음</t>
        </is>
      </c>
      <c r="S2743" s="3" t="inlineStr">
        <is>
          <t>단독</t>
        </is>
      </c>
      <c r="T2743" s="3" t="inlineStr">
        <is>
          <t>평지</t>
        </is>
      </c>
      <c r="U2743" s="3" t="inlineStr">
        <is>
          <t>사다리형</t>
        </is>
      </c>
      <c r="V2743" s="3" t="inlineStr">
        <is>
          <t>세로한면(가)</t>
        </is>
      </c>
    </row>
    <row r="2744">
      <c r="A2744" s="3" t="inlineStr">
        <is>
          <t>전동면 청람리 248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30000</v>
      </c>
      <c r="G2744" s="4" t="n">
        <v>843</v>
      </c>
      <c r="H2744" s="4" t="n">
        <v>255</v>
      </c>
      <c r="I2744" s="5" t="n">
        <v>117.6</v>
      </c>
      <c r="J2744" s="5" t="n">
        <v>35.9</v>
      </c>
      <c r="K2744" s="3" t="inlineStr">
        <is>
          <t>청람리에 있는 마을 안길에 접해있는 계획관리지역의 지목이 대지입니다</t>
        </is>
      </c>
      <c r="L2744" s="6">
        <f>HYPERLINK("https://fin.land.naver.com/articles/2655302942", "매물Link")</f>
        <v/>
      </c>
      <c r="M2744" s="6">
        <f>HYPERLINK("https://map.naver.com/p/search/전동면 청람리 248", "지도Link")</f>
        <v/>
      </c>
      <c r="N2744" s="6">
        <f>HYPERLINK("http://www.eum.go.kr/web/ar/lu/luLandDet.jsp?pnu=3611038028102480000&amp;isNoScr=script&amp;mode=search", "토지이음")</f>
        <v/>
      </c>
      <c r="O2744" s="3" t="inlineStr">
        <is>
          <t>스마일세종</t>
        </is>
      </c>
      <c r="P2744" s="4" t="n">
        <v>2</v>
      </c>
      <c r="Q2744" s="4" t="n">
        <v>843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전동면 청람리 427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69000</v>
      </c>
      <c r="G2745" s="4" t="n">
        <v>4155</v>
      </c>
      <c r="H2745" s="4" t="n">
        <v>1257</v>
      </c>
      <c r="I2745" s="5" t="n">
        <v>54.9</v>
      </c>
      <c r="J2745" s="5" t="n">
        <v>15</v>
      </c>
      <c r="K2745" s="3" t="inlineStr">
        <is>
          <t>도로 상태 좋고 전원주택지로 딱 좋아요. 주변에 전원주택들이 있어요</t>
        </is>
      </c>
      <c r="L2745" s="6">
        <f>HYPERLINK("https://fin.land.naver.com/articles/2653296170", "매물Link")</f>
        <v/>
      </c>
      <c r="M2745" s="6">
        <f>HYPERLINK("https://map.naver.com/p/search/전동면 청람리 427", "지도Link")</f>
        <v/>
      </c>
      <c r="N2745" s="6">
        <f>HYPERLINK("http://www.eum.go.kr/web/ar/lu/luLandDet.jsp?pnu=3611038028104270000&amp;isNoScr=script&amp;mode=search", "토지이음")</f>
        <v/>
      </c>
      <c r="O2745" s="3" t="inlineStr">
        <is>
          <t>세종공감</t>
        </is>
      </c>
      <c r="P2745" s="4" t="n">
        <v>1</v>
      </c>
      <c r="Q2745" s="4" t="n">
        <v>4155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전동면 청람리 44-3</t>
        </is>
      </c>
      <c r="B2746" s="3" t="inlineStr">
        <is>
          <t>보전관리지역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300000</v>
      </c>
      <c r="G2746" s="4" t="n">
        <v>30860</v>
      </c>
      <c r="H2746" s="4" t="n">
        <v>9335</v>
      </c>
      <c r="I2746" s="5" t="n">
        <v>32.1</v>
      </c>
      <c r="J2746" s="5" t="n">
        <v>4.6</v>
      </c>
      <c r="K2746" s="3" t="inlineStr">
        <is>
          <t>세종에서 천안으로 가는 국도1변선변에 위치한 토지임</t>
        </is>
      </c>
      <c r="L2746" s="6">
        <f>HYPERLINK("https://fin.land.naver.com/articles/2655038698", "매물Link")</f>
        <v/>
      </c>
      <c r="M2746" s="6">
        <f>HYPERLINK("https://map.naver.com/p/search/전동면 청람리 44-3", "지도Link")</f>
        <v/>
      </c>
      <c r="N2746" s="6">
        <f>HYPERLINK("http://www.eum.go.kr/web/ar/lu/luLandDet.jsp?pnu=3611038028100440003&amp;isNoScr=script&amp;mode=search", "토지이음")</f>
        <v/>
      </c>
      <c r="O2746" s="3" t="inlineStr">
        <is>
          <t>교차로</t>
        </is>
      </c>
      <c r="P2746" s="4" t="n">
        <v>1</v>
      </c>
      <c r="Q2746" s="4" t="n">
        <v>21096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전동면 청람리 459</t>
        </is>
      </c>
      <c r="B2747" s="3" t="inlineStr">
        <is>
          <t>생산관리지역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28000</v>
      </c>
      <c r="G2747" s="4" t="n">
        <v>2582</v>
      </c>
      <c r="H2747" s="4" t="n">
        <v>781</v>
      </c>
      <c r="I2747" s="5" t="n">
        <v>35.9</v>
      </c>
      <c r="J2747" s="5" t="n">
        <v>17.1</v>
      </c>
      <c r="K2747" s="3" t="inlineStr">
        <is>
          <t>넓은 면적, 한적한 시골 주말농장, 귀촌, 대토 추천</t>
        </is>
      </c>
      <c r="L2747" s="6">
        <f>HYPERLINK("https://fin.land.naver.com/articles/2654788851", "매물Link")</f>
        <v/>
      </c>
      <c r="M2747" s="6">
        <f>HYPERLINK("https://map.naver.com/p/search/전동면 청람리 459", "지도Link")</f>
        <v/>
      </c>
      <c r="N2747" s="6">
        <f>HYPERLINK("http://www.eum.go.kr/web/ar/lu/luLandDet.jsp?pnu=3611038028104590000&amp;isNoScr=script&amp;mode=search", "토지이음")</f>
        <v/>
      </c>
      <c r="O2747" s="3" t="inlineStr">
        <is>
          <t>세종소담114</t>
        </is>
      </c>
      <c r="P2747" s="4" t="n">
        <v>2</v>
      </c>
      <c r="Q2747" s="4" t="n">
        <v>2582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청람리 459</t>
        </is>
      </c>
      <c r="B2748" s="3" t="inlineStr">
        <is>
          <t>생산관리지역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43000</v>
      </c>
      <c r="G2748" s="4" t="n">
        <v>2582</v>
      </c>
      <c r="H2748" s="4" t="n">
        <v>781</v>
      </c>
      <c r="I2748" s="5" t="n">
        <v>55.1</v>
      </c>
      <c r="J2748" s="5" t="n">
        <v>17.1</v>
      </c>
      <c r="K2748" s="3" t="inlineStr">
        <is>
          <t>생산관리지역성장관리계획구역</t>
        </is>
      </c>
      <c r="L2748" s="6">
        <f>HYPERLINK("https://fin.land.naver.com/articles/2655617228", "매물Link")</f>
        <v/>
      </c>
      <c r="M2748" s="6">
        <f>HYPERLINK("https://map.naver.com/p/search/전동면 청람리 459", "지도Link")</f>
        <v/>
      </c>
      <c r="N2748" s="6">
        <f>HYPERLINK("http://www.eum.go.kr/web/ar/lu/luLandDet.jsp?pnu=3611038028104590000&amp;isNoScr=script&amp;mode=search", "토지이음")</f>
        <v/>
      </c>
      <c r="O2748" s="3" t="inlineStr">
        <is>
          <t>세종몽땅</t>
        </is>
      </c>
      <c r="P2748" s="4" t="n">
        <v>1</v>
      </c>
      <c r="Q2748" s="4" t="n">
        <v>2582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세로한면(불)</t>
        </is>
      </c>
    </row>
    <row r="2749">
      <c r="A2749" s="3" t="inlineStr">
        <is>
          <t>전동면 청람리 459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43000</v>
      </c>
      <c r="G2749" s="4" t="n">
        <v>2582</v>
      </c>
      <c r="H2749" s="4" t="n">
        <v>781</v>
      </c>
      <c r="I2749" s="5" t="n">
        <v>55.1</v>
      </c>
      <c r="J2749" s="5" t="n">
        <v>17.1</v>
      </c>
      <c r="K2749" s="3" t="inlineStr">
        <is>
          <t>농지 매수를 검토하는 실수요자 세종 인근 토지 보유를 원하는 장기 보유형</t>
        </is>
      </c>
      <c r="L2749" s="6">
        <f>HYPERLINK("https://fin.land.naver.com/articles/2651605340", "매물Link")</f>
        <v/>
      </c>
      <c r="M2749" s="6">
        <f>HYPERLINK("https://map.naver.com/p/search/전동면 청람리 459", "지도Link")</f>
        <v/>
      </c>
      <c r="N2749" s="6">
        <f>HYPERLINK("http://www.eum.go.kr/web/ar/lu/luLandDet.jsp?pnu=3611038028104590000&amp;isNoScr=script&amp;mode=search", "토지이음")</f>
        <v/>
      </c>
      <c r="O2749" s="3" t="inlineStr">
        <is>
          <t>세종몽땅</t>
        </is>
      </c>
      <c r="P2749" s="4" t="n">
        <v>1</v>
      </c>
      <c r="Q2749" s="4" t="n">
        <v>2582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전동면 청람리 465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17000</v>
      </c>
      <c r="G2750" s="4" t="n">
        <v>1177</v>
      </c>
      <c r="H2750" s="4" t="n">
        <v>356</v>
      </c>
      <c r="I2750" s="5" t="n">
        <v>47.8</v>
      </c>
      <c r="J2750" s="5" t="n">
        <v>15.2</v>
      </c>
      <c r="K2750" s="3" t="inlineStr">
        <is>
          <t>이웃토지와 함께 매매원함,복숭아밭 농사중.</t>
        </is>
      </c>
      <c r="L2750" s="6">
        <f>HYPERLINK("https://fin.land.naver.com/articles/2653234776", "매물Link")</f>
        <v/>
      </c>
      <c r="M2750" s="6">
        <f>HYPERLINK("https://map.naver.com/p/search/전동면 청람리 465", "지도Link")</f>
        <v/>
      </c>
      <c r="N2750" s="6">
        <f>HYPERLINK("http://www.eum.go.kr/web/ar/lu/luLandDet.jsp?pnu=3611038028104650000&amp;isNoScr=script&amp;mode=search", "토지이음")</f>
        <v/>
      </c>
      <c r="O2750" s="3" t="inlineStr">
        <is>
          <t>주공그린빌</t>
        </is>
      </c>
      <c r="P2750" s="4" t="n">
        <v>1</v>
      </c>
      <c r="Q2750" s="4" t="n">
        <v>1177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청람리 467</t>
        </is>
      </c>
      <c r="B2751" s="3" t="inlineStr">
        <is>
          <t>생산관리지역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16000</v>
      </c>
      <c r="G2751" s="4" t="n">
        <v>866</v>
      </c>
      <c r="H2751" s="4" t="n">
        <v>262</v>
      </c>
      <c r="I2751" s="5" t="n">
        <v>61.1</v>
      </c>
      <c r="J2751" s="5" t="n">
        <v>15.2</v>
      </c>
      <c r="K2751" s="3" t="inlineStr">
        <is>
          <t>주말농장으로 추천</t>
        </is>
      </c>
      <c r="L2751" s="6">
        <f>HYPERLINK("https://fin.land.naver.com/articles/2655705874", "매물Link")</f>
        <v/>
      </c>
      <c r="M2751" s="6">
        <f>HYPERLINK("https://map.naver.com/p/search/전동면 청람리 467", "지도Link")</f>
        <v/>
      </c>
      <c r="N2751" s="6">
        <f>HYPERLINK("http://www.eum.go.kr/web/ar/lu/luLandDet.jsp?pnu=3611038028104670000&amp;isNoScr=script&amp;mode=search", "토지이음")</f>
        <v/>
      </c>
      <c r="O2751" s="3" t="inlineStr">
        <is>
          <t>세종베스트</t>
        </is>
      </c>
      <c r="P2751" s="4" t="n">
        <v>1</v>
      </c>
      <c r="Q2751" s="4" t="n">
        <v>866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전동면 청람리 470-2</t>
        </is>
      </c>
      <c r="B2752" s="3" t="inlineStr">
        <is>
          <t>생산관리지역</t>
        </is>
      </c>
      <c r="C2752" s="3" t="inlineStr">
        <is>
          <t>과수원</t>
        </is>
      </c>
      <c r="D2752" s="3" t="inlineStr">
        <is>
          <t>과수원</t>
        </is>
      </c>
      <c r="E2752" s="3" t="inlineStr">
        <is>
          <t>매매</t>
        </is>
      </c>
      <c r="F2752" s="4" t="n">
        <v>50000</v>
      </c>
      <c r="G2752" s="4" t="n">
        <v>2440</v>
      </c>
      <c r="H2752" s="4" t="n">
        <v>738</v>
      </c>
      <c r="I2752" s="5" t="n">
        <v>67.8</v>
      </c>
      <c r="J2752" s="5" t="n">
        <v>15.2</v>
      </c>
      <c r="K2752" s="3" t="inlineStr">
        <is>
          <t>도로에 접한 평평한, 놀기 좋은 토지</t>
        </is>
      </c>
      <c r="L2752" s="6">
        <f>HYPERLINK("https://fin.land.naver.com/articles/2654367512", "매물Link")</f>
        <v/>
      </c>
      <c r="M2752" s="6">
        <f>HYPERLINK("https://map.naver.com/p/search/전동면 청람리 470-2", "지도Link")</f>
        <v/>
      </c>
      <c r="N2752" s="6">
        <f>HYPERLINK("http://www.eum.go.kr/web/ar/lu/luLandDet.jsp?pnu=3611038028104700002&amp;isNoScr=script&amp;mode=search", "토지이음")</f>
        <v/>
      </c>
      <c r="O2752" s="3" t="inlineStr">
        <is>
          <t>OK파라곤</t>
        </is>
      </c>
      <c r="P2752" s="4" t="n">
        <v>1</v>
      </c>
      <c r="Q2752" s="4" t="n">
        <v>625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전동면 청람리 492-1</t>
        </is>
      </c>
      <c r="B2753" s="3" t="inlineStr">
        <is>
          <t>생산관리지역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13000</v>
      </c>
      <c r="G2753" s="4" t="n">
        <v>436</v>
      </c>
      <c r="H2753" s="4" t="n">
        <v>132</v>
      </c>
      <c r="I2753" s="5" t="n">
        <v>98.5</v>
      </c>
      <c r="J2753" s="5" t="n">
        <v>11.2</v>
      </c>
      <c r="K2753" s="3" t="inlineStr">
        <is>
          <t>세종 전동면 청람리 답 매매  석남소류지 인접 전원부지</t>
        </is>
      </c>
      <c r="L2753" s="6">
        <f>HYPERLINK("https://fin.land.naver.com/articles/2650814800", "매물Link")</f>
        <v/>
      </c>
      <c r="M2753" s="6">
        <f>HYPERLINK("https://map.naver.com/p/search/전동면 청람리 492-1", "지도Link")</f>
        <v/>
      </c>
      <c r="N2753" s="6">
        <f>HYPERLINK("http://www.eum.go.kr/web/ar/lu/luLandDet.jsp?pnu=3611038028104920001&amp;isNoScr=script&amp;mode=search", "토지이음")</f>
        <v/>
      </c>
      <c r="O2753" s="3" t="inlineStr">
        <is>
          <t>일등</t>
        </is>
      </c>
      <c r="P2753" s="4" t="n">
        <v>1</v>
      </c>
      <c r="Q2753" s="4" t="n">
        <v>436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청람리 68-2</t>
        </is>
      </c>
      <c r="B2754" s="3" t="inlineStr">
        <is>
          <t>농림지역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60000</v>
      </c>
      <c r="G2754" s="4" t="n">
        <v>3677</v>
      </c>
      <c r="H2754" s="4" t="n">
        <v>1112</v>
      </c>
      <c r="I2754" s="5" t="n">
        <v>54</v>
      </c>
      <c r="J2754" s="5" t="n">
        <v>14.4</v>
      </c>
      <c r="K2754" s="3" t="inlineStr">
        <is>
          <t>2차선도로에 접한 토지</t>
        </is>
      </c>
      <c r="L2754" s="6">
        <f>HYPERLINK("https://fin.land.naver.com/articles/2650856634", "매물Link")</f>
        <v/>
      </c>
      <c r="M2754" s="6">
        <f>HYPERLINK("https://map.naver.com/p/search/전동면 청람리 68-2", "지도Link")</f>
        <v/>
      </c>
      <c r="N2754" s="6">
        <f>HYPERLINK("http://www.eum.go.kr/web/ar/lu/luLandDet.jsp?pnu=3611038028100680002&amp;isNoScr=script&amp;mode=search",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3677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소로한면</t>
        </is>
      </c>
    </row>
    <row r="2755">
      <c r="A2755" s="3" t="inlineStr">
        <is>
          <t>전동면 청람리 68-2</t>
        </is>
      </c>
      <c r="B2755" s="3" t="inlineStr">
        <is>
          <t>농림지역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45000</v>
      </c>
      <c r="G2755" s="4" t="n">
        <v>3677</v>
      </c>
      <c r="H2755" s="4" t="n">
        <v>1112</v>
      </c>
      <c r="I2755" s="5" t="n">
        <v>40.5</v>
      </c>
      <c r="J2755" s="5" t="n">
        <v>14.4</v>
      </c>
      <c r="K2755" s="3" t="inlineStr">
        <is>
          <t>답</t>
        </is>
      </c>
      <c r="L2755" s="6">
        <f>HYPERLINK("https://fin.land.naver.com/articles/2652770012", "매물Link")</f>
        <v/>
      </c>
      <c r="M2755" s="6">
        <f>HYPERLINK("https://map.naver.com/p/search/전동면 청람리 68-2", "지도Link")</f>
        <v/>
      </c>
      <c r="N2755" s="6">
        <f>HYPERLINK("http://www.eum.go.kr/web/ar/lu/luLandDet.jsp?pnu=3611038028100680002&amp;isNoScr=script&amp;mode=search", "토지이음")</f>
        <v/>
      </c>
      <c r="O2755" s="3" t="inlineStr">
        <is>
          <t>원진</t>
        </is>
      </c>
      <c r="P2755" s="4" t="n">
        <v>1</v>
      </c>
      <c r="Q2755" s="4" t="n">
        <v>3677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소로한면</t>
        </is>
      </c>
    </row>
    <row r="2756">
      <c r="A2756" s="3" t="inlineStr">
        <is>
          <t>전동면 청람리 89-10</t>
        </is>
      </c>
      <c r="B2756" s="3" t="inlineStr">
        <is>
          <t>계획관리지역</t>
        </is>
      </c>
      <c r="C2756" s="3" t="inlineStr">
        <is>
          <t>대</t>
        </is>
      </c>
      <c r="D2756" s="3" t="inlineStr">
        <is>
          <t>대</t>
        </is>
      </c>
      <c r="E2756" s="3" t="inlineStr">
        <is>
          <t>매매</t>
        </is>
      </c>
      <c r="F2756" s="4" t="n">
        <v>70000</v>
      </c>
      <c r="G2756" s="4" t="n">
        <v>1570</v>
      </c>
      <c r="H2756" s="4" t="n">
        <v>475</v>
      </c>
      <c r="I2756" s="5" t="n">
        <v>147.4</v>
      </c>
      <c r="J2756" s="5" t="n">
        <v>48.4</v>
      </c>
      <c r="K2756" s="3" t="inlineStr">
        <is>
          <t>2차선접한 계획관리토지,창고,공장,주택등 모두가능한 토지,</t>
        </is>
      </c>
      <c r="L2756" s="6">
        <f>HYPERLINK("https://fin.land.naver.com/articles/2650723030", "매물Link")</f>
        <v/>
      </c>
      <c r="M2756" s="6">
        <f>HYPERLINK("https://map.naver.com/p/search/전동면 청람리 89-10", "지도Link")</f>
        <v/>
      </c>
      <c r="N2756" s="6">
        <f>HYPERLINK("http://www.eum.go.kr/web/ar/lu/luLandDet.jsp?pnu=3611038028100890010&amp;isNoScr=script&amp;mode=search", "토지이음")</f>
        <v/>
      </c>
      <c r="O2756" s="3" t="inlineStr">
        <is>
          <t>신안무소</t>
        </is>
      </c>
      <c r="P2756" s="4" t="n">
        <v>1</v>
      </c>
      <c r="Q2756" s="4" t="n">
        <v>1150</v>
      </c>
      <c r="R2756" s="3" t="inlineStr">
        <is>
          <t>지정되지않음</t>
        </is>
      </c>
      <c r="S2756" s="3" t="inlineStr">
        <is>
          <t>주거나지</t>
        </is>
      </c>
      <c r="T2756" s="3" t="inlineStr">
        <is>
          <t>평지</t>
        </is>
      </c>
      <c r="U2756" s="3" t="inlineStr">
        <is>
          <t>가로장방</t>
        </is>
      </c>
      <c r="V2756" s="3" t="inlineStr">
        <is>
          <t>소로한면</t>
        </is>
      </c>
    </row>
    <row r="2757">
      <c r="A2757" s="3" t="inlineStr">
        <is>
          <t>전동면 청람리 산 44-1</t>
        </is>
      </c>
      <c r="B2757" s="3" t="inlineStr">
        <is>
          <t>농림지역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28000</v>
      </c>
      <c r="G2757" s="4" t="n">
        <v>11549</v>
      </c>
      <c r="H2757" s="4" t="n">
        <v>3494</v>
      </c>
      <c r="I2757" s="5" t="n">
        <v>8</v>
      </c>
      <c r="J2757" s="5" t="n">
        <v>2.3</v>
      </c>
      <c r="K2757" s="3" t="inlineStr">
        <is>
          <t>서울세종고속도로및세종벤처벨리인근 개발가능성 많은 임야</t>
        </is>
      </c>
      <c r="L2757" s="6">
        <f>HYPERLINK("https://fin.land.naver.com/articles/2652292664", "매물Link")</f>
        <v/>
      </c>
      <c r="M2757" s="6">
        <f>HYPERLINK("https://map.naver.com/p/search/전동면 청람리 산 44-1", "지도Link")</f>
        <v/>
      </c>
      <c r="N2757" s="6">
        <f>HYPERLINK("http://www.eum.go.kr/web/ar/lu/luLandDet.jsp?pnu=3611038028200440001&amp;isNoScr=script&amp;mode=search", "토지이음")</f>
        <v/>
      </c>
      <c r="O2757" s="3" t="inlineStr">
        <is>
          <t>세종강남</t>
        </is>
      </c>
      <c r="P2757" s="4" t="n">
        <v>1</v>
      </c>
      <c r="Q2757" s="4" t="n">
        <v>11549</v>
      </c>
      <c r="R2757" s="3" t="inlineStr">
        <is>
          <t>보전관리지역</t>
        </is>
      </c>
      <c r="S2757" s="3" t="inlineStr">
        <is>
          <t>자연림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전동면 청람리 산 80-5</t>
        </is>
      </c>
      <c r="B2758" s="3" t="inlineStr">
        <is>
          <t>농림지역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71500</v>
      </c>
      <c r="G2758" s="4" t="n">
        <v>9465</v>
      </c>
      <c r="H2758" s="4" t="n">
        <v>2863</v>
      </c>
      <c r="I2758" s="5" t="n">
        <v>25</v>
      </c>
      <c r="J2758" s="5" t="n">
        <v>1.6</v>
      </c>
      <c r="K2758" s="3" t="inlineStr">
        <is>
          <t>경사도 완만하고 마을 안길 포장도로에 접한 농림지역 임야입니다</t>
        </is>
      </c>
      <c r="L2758" s="6">
        <f>HYPERLINK("https://fin.land.naver.com/articles/2651942036", "매물Link")</f>
        <v/>
      </c>
      <c r="M2758" s="6">
        <f>HYPERLINK("https://map.naver.com/p/search/전동면 청람리 산 80-5", "지도Link")</f>
        <v/>
      </c>
      <c r="N2758" s="6">
        <f>HYPERLINK("http://www.eum.go.kr/web/ar/lu/luLandDet.jsp?pnu=3611038028200800005&amp;isNoScr=script&amp;mode=search", "토지이음")</f>
        <v/>
      </c>
      <c r="O2758" s="3" t="inlineStr">
        <is>
          <t>스마일세종</t>
        </is>
      </c>
      <c r="P2758" s="4" t="n">
        <v>1</v>
      </c>
      <c r="Q2758" s="4" t="n">
        <v>9465</v>
      </c>
      <c r="R2758" s="3" t="inlineStr">
        <is>
          <t>생산관리지역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청람리 산44-7</t>
        </is>
      </c>
      <c r="B2759" s="3" t="inlineStr">
        <is>
          <t>보전관리지역</t>
        </is>
      </c>
      <c r="C2759" s="3" t="inlineStr">
        <is>
          <t>임야</t>
        </is>
      </c>
      <c r="D2759" s="3" t="inlineStr">
        <is>
          <t>임야</t>
        </is>
      </c>
      <c r="E2759" s="3" t="inlineStr">
        <is>
          <t>매매</t>
        </is>
      </c>
      <c r="F2759" s="4" t="n">
        <v>100000</v>
      </c>
      <c r="G2759" s="4" t="n">
        <v>20826</v>
      </c>
      <c r="H2759" s="4" t="n">
        <v>6300</v>
      </c>
      <c r="I2759" s="5" t="n">
        <v>15.9</v>
      </c>
      <c r="J2759" s="5" t="n">
        <v>4</v>
      </c>
      <c r="K2759" s="3" t="inlineStr">
        <is>
          <t>도로접,임야,조율가능,향후 투자가지있음,주변산단</t>
        </is>
      </c>
      <c r="L2759" s="6">
        <f>HYPERLINK("https://fin.land.naver.com/articles/2653535180", "매물Link")</f>
        <v/>
      </c>
      <c r="M2759" s="6">
        <f>HYPERLINK("https://map.naver.com/p/search/전동면 청람리 산44-7", "지도Link")</f>
        <v/>
      </c>
      <c r="N2759" s="6">
        <f>HYPERLINK("http://www.eum.go.kr/web/ar/lu/luLandDet.jsp?pnu=3611038028200440007&amp;isNoScr=script&amp;mode=search", "토지이음")</f>
        <v/>
      </c>
      <c r="O2759" s="3" t="inlineStr">
        <is>
          <t>세종산울랜드마크</t>
        </is>
      </c>
      <c r="P2759" s="4" t="n">
        <v>1</v>
      </c>
      <c r="Q2759" s="4" t="n">
        <v>20687</v>
      </c>
      <c r="R2759" s="3" t="inlineStr">
        <is>
          <t>농림지역</t>
        </is>
      </c>
      <c r="S2759" s="3" t="inlineStr">
        <is>
          <t>자연림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청송리 118-2</t>
        </is>
      </c>
      <c r="B2760" s="3" t="inlineStr">
        <is>
          <t>보전관리지역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68000</v>
      </c>
      <c r="G2760" s="4" t="n">
        <v>2105</v>
      </c>
      <c r="H2760" s="4" t="n">
        <v>637</v>
      </c>
      <c r="I2760" s="5" t="n">
        <v>106.8</v>
      </c>
      <c r="J2760" s="5" t="n">
        <v>25.5</v>
      </c>
      <c r="K2760" s="3" t="inlineStr">
        <is>
          <t>보전관리 전, 노장농공단지, 청송농공단지,세종벤처벨리산업단지 접근성 최상</t>
        </is>
      </c>
      <c r="L2760" s="6">
        <f>HYPERLINK("https://fin.land.naver.com/articles/2650635881", "매물Link")</f>
        <v/>
      </c>
      <c r="M2760" s="6">
        <f>HYPERLINK("https://map.naver.com/p/search/전동면 청송리 118-2", "지도Link")</f>
        <v/>
      </c>
      <c r="N2760" s="6">
        <f>HYPERLINK("http://www.eum.go.kr/web/ar/lu/luLandDet.jsp?pnu=3611038023101180002&amp;isNoScr=script&amp;mode=search", "토지이음")</f>
        <v/>
      </c>
      <c r="O2760" s="3" t="inlineStr">
        <is>
          <t>세종일조</t>
        </is>
      </c>
      <c r="P2760" s="4" t="n">
        <v>1</v>
      </c>
      <c r="Q2760" s="4" t="n">
        <v>1361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전동면 청송리 191-3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3500</v>
      </c>
      <c r="G2761" s="4" t="n">
        <v>294</v>
      </c>
      <c r="H2761" s="4" t="n">
        <v>89</v>
      </c>
      <c r="I2761" s="5" t="n">
        <v>39.3</v>
      </c>
      <c r="J2761" s="5" t="n">
        <v>18</v>
      </c>
      <c r="K2761" s="3" t="inlineStr">
        <is>
          <t>nan</t>
        </is>
      </c>
      <c r="L2761" s="6">
        <f>HYPERLINK("https://fin.land.naver.com/articles/2651051508", "매물Link")</f>
        <v/>
      </c>
      <c r="M2761" s="6">
        <f>HYPERLINK("https://map.naver.com/p/search/전동면 청송리 191-3", "지도Link")</f>
        <v/>
      </c>
      <c r="N2761" s="6">
        <f>HYPERLINK("http://www.eum.go.kr/web/ar/lu/luLandDet.jsp?pnu=3611038023101910003&amp;isNoScr=script&amp;mode=search", "토지이음")</f>
        <v/>
      </c>
      <c r="O2761" s="3" t="inlineStr">
        <is>
          <t>동원탑</t>
        </is>
      </c>
      <c r="P2761" s="4" t="n">
        <v>1</v>
      </c>
      <c r="Q2761" s="4" t="n">
        <v>294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청송리 286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75000</v>
      </c>
      <c r="G2762" s="4" t="n">
        <v>3834</v>
      </c>
      <c r="H2762" s="4" t="n">
        <v>1160</v>
      </c>
      <c r="I2762" s="5" t="n">
        <v>64.7</v>
      </c>
      <c r="J2762" s="5" t="n">
        <v>20.4</v>
      </c>
      <c r="K2762" s="3" t="inlineStr">
        <is>
          <t>농가주택·농업용 창고·체험농장 활용 검토</t>
        </is>
      </c>
      <c r="L2762" s="6">
        <f>HYPERLINK("https://fin.land.naver.com/articles/2654185488", "매물Link")</f>
        <v/>
      </c>
      <c r="M2762" s="6">
        <f>HYPERLINK("https://map.naver.com/p/search/전동면 청송리 286", "지도Link")</f>
        <v/>
      </c>
      <c r="N2762" s="6">
        <f>HYPERLINK("http://www.eum.go.kr/web/ar/lu/luLandDet.jsp?pnu=3611038023102860000&amp;isNoScr=script&amp;mode=search", "토지이음")</f>
        <v/>
      </c>
      <c r="O2762" s="3" t="inlineStr">
        <is>
          <t>세종소담황금</t>
        </is>
      </c>
      <c r="P2762" s="4" t="n">
        <v>1</v>
      </c>
      <c r="Q2762" s="4" t="n">
        <v>3835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청송리 407</t>
        </is>
      </c>
      <c r="B2763" s="3" t="inlineStr">
        <is>
          <t>계획관리지역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40500</v>
      </c>
      <c r="G2763" s="4" t="n">
        <v>3818</v>
      </c>
      <c r="H2763" s="4" t="n">
        <v>1155</v>
      </c>
      <c r="I2763" s="5" t="n">
        <v>35.1</v>
      </c>
      <c r="J2763" s="5" t="n">
        <v>16.9</v>
      </c>
      <c r="K2763" s="3" t="inlineStr">
        <is>
          <t>청송리 귀농인 주택 및 농장지로 추천 관리지역토지</t>
        </is>
      </c>
      <c r="L2763" s="6">
        <f>HYPERLINK("https://fin.land.naver.com/articles/2655566958", "매물Link")</f>
        <v/>
      </c>
      <c r="M2763" s="6">
        <f>HYPERLINK("https://map.naver.com/p/search/전동면 청송리 407", "지도Link")</f>
        <v/>
      </c>
      <c r="N2763" s="6">
        <f>HYPERLINK("http://www.eum.go.kr/web/ar/lu/luLandDet.jsp?pnu=3611038023104070000&amp;isNoScr=script&amp;mode=search", "토지이음")</f>
        <v/>
      </c>
      <c r="O2763" s="3" t="inlineStr">
        <is>
          <t>오송k랜드</t>
        </is>
      </c>
      <c r="P2763" s="4" t="n">
        <v>1</v>
      </c>
      <c r="Q2763" s="4" t="n">
        <v>3818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전동면 청송리 475-1</t>
        </is>
      </c>
      <c r="B2764" s="3" t="inlineStr">
        <is>
          <t>계획관리지역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7800</v>
      </c>
      <c r="G2764" s="4" t="n">
        <v>198</v>
      </c>
      <c r="H2764" s="4" t="n">
        <v>60</v>
      </c>
      <c r="I2764" s="5" t="n">
        <v>130</v>
      </c>
      <c r="J2764" s="5" t="n">
        <v>37.9</v>
      </c>
      <c r="K2764" s="3" t="inlineStr">
        <is>
          <t>계획관리 도로접 소형토지, 쉼터텃밭장기보유 검토지</t>
        </is>
      </c>
      <c r="L2764" s="6">
        <f>HYPERLINK("https://fin.land.naver.com/articles/2651253476", "매물Link")</f>
        <v/>
      </c>
      <c r="M2764" s="6">
        <f>HYPERLINK("https://map.naver.com/p/search/전동면 청송리 475-1", "지도Link")</f>
        <v/>
      </c>
      <c r="N2764" s="6">
        <f>HYPERLINK("http://www.eum.go.kr/web/ar/lu/luLandDet.jsp?pnu=3611038023104750001&amp;isNoScr=script&amp;mode=search", "토지이음")</f>
        <v/>
      </c>
      <c r="O2764" s="3" t="inlineStr">
        <is>
          <t>세종소담황금</t>
        </is>
      </c>
      <c r="P2764" s="4" t="n">
        <v>1</v>
      </c>
      <c r="Q2764" s="4" t="n">
        <v>198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청송리 69-1</t>
        </is>
      </c>
      <c r="B2765" s="3" t="inlineStr">
        <is>
          <t>농림지역</t>
        </is>
      </c>
      <c r="C2765" s="3" t="inlineStr">
        <is>
          <t>과수원</t>
        </is>
      </c>
      <c r="D2765" s="3" t="inlineStr">
        <is>
          <t>과수원</t>
        </is>
      </c>
      <c r="E2765" s="3" t="inlineStr">
        <is>
          <t>매매</t>
        </is>
      </c>
      <c r="F2765" s="4" t="n">
        <v>35000</v>
      </c>
      <c r="G2765" s="4" t="n">
        <v>6249</v>
      </c>
      <c r="H2765" s="4" t="n">
        <v>1890</v>
      </c>
      <c r="I2765" s="5" t="n">
        <v>18.5</v>
      </c>
      <c r="J2765" s="5" t="n">
        <v>15.6</v>
      </c>
      <c r="K2765" s="3" t="inlineStr">
        <is>
          <t>노장농공단지 전동산업단지 인근 두필지 토지 매매, 가격 협의 가능</t>
        </is>
      </c>
      <c r="L2765" s="6">
        <f>HYPERLINK("https://fin.land.naver.com/articles/2652201758", "매물Link")</f>
        <v/>
      </c>
      <c r="M2765" s="6">
        <f>HYPERLINK("https://map.naver.com/p/search/전동면 청송리 69-1", "지도Link")</f>
        <v/>
      </c>
      <c r="N2765" s="6">
        <f>HYPERLINK("http://www.eum.go.kr/web/ar/lu/luLandDet.jsp?pnu=3611038023100690001&amp;isNoScr=script&amp;mode=search", "토지이음")</f>
        <v/>
      </c>
      <c r="O2765" s="3" t="inlineStr">
        <is>
          <t>봉담내리지구찐</t>
        </is>
      </c>
      <c r="P2765" s="4" t="n">
        <v>1</v>
      </c>
      <c r="Q2765" s="4" t="n">
        <v>4800</v>
      </c>
      <c r="R2765" s="3" t="inlineStr">
        <is>
          <t>지정되지않음</t>
        </is>
      </c>
      <c r="S2765" s="3" t="inlineStr">
        <is>
          <t>과수원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전동면 청송리 69-5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26000</v>
      </c>
      <c r="G2766" s="4" t="n">
        <v>876</v>
      </c>
      <c r="H2766" s="4" t="n">
        <v>265</v>
      </c>
      <c r="I2766" s="5" t="n">
        <v>98.09999999999999</v>
      </c>
      <c r="J2766" s="5" t="n">
        <v>23</v>
      </c>
      <c r="K2766" s="3" t="inlineStr">
        <is>
          <t>세종시 계획관리에 성장관리지역 토지 매매.조절가능</t>
        </is>
      </c>
      <c r="L2766" s="6">
        <f>HYPERLINK("https://fin.land.naver.com/articles/2652365867", "매물Link")</f>
        <v/>
      </c>
      <c r="M2766" s="6">
        <f>HYPERLINK("https://map.naver.com/p/search/전동면 청송리 69-5", "지도Link")</f>
        <v/>
      </c>
      <c r="N2766" s="6">
        <f>HYPERLINK("http://www.eum.go.kr/web/ar/lu/luLandDet.jsp?pnu=3611038023100690005&amp;isNoScr=script&amp;mode=search", "토지이음")</f>
        <v/>
      </c>
      <c r="O2766" s="3" t="inlineStr">
        <is>
          <t>유성대박</t>
        </is>
      </c>
      <c r="P2766" s="4" t="n">
        <v>1</v>
      </c>
      <c r="Q2766" s="4" t="n">
        <v>446</v>
      </c>
      <c r="R2766" s="3" t="inlineStr">
        <is>
          <t>지정되지않음</t>
        </is>
      </c>
      <c r="S2766" s="3" t="inlineStr">
        <is>
          <t>답기타</t>
        </is>
      </c>
      <c r="T2766" s="3" t="inlineStr">
        <is>
          <t>완경사</t>
        </is>
      </c>
      <c r="U2766" s="3" t="inlineStr">
        <is>
          <t>사다리형</t>
        </is>
      </c>
      <c r="V2766" s="3" t="inlineStr">
        <is>
          <t>세로한면(불)</t>
        </is>
      </c>
    </row>
    <row r="2767">
      <c r="A2767" s="3" t="inlineStr">
        <is>
          <t>전동면 청송리 69-6</t>
        </is>
      </c>
      <c r="B2767" s="3" t="inlineStr">
        <is>
          <t>계획관리지역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34500</v>
      </c>
      <c r="G2767" s="4" t="n">
        <v>1106</v>
      </c>
      <c r="H2767" s="4" t="n">
        <v>335</v>
      </c>
      <c r="I2767" s="5" t="n">
        <v>103</v>
      </c>
      <c r="J2767" s="5" t="n">
        <v>24.2</v>
      </c>
      <c r="K2767" s="3" t="inlineStr">
        <is>
          <t>세종시 계획관리에 성장관리지역 토지 매매.조절가능</t>
        </is>
      </c>
      <c r="L2767" s="6">
        <f>HYPERLINK("https://fin.land.naver.com/articles/2652365126", "매물Link")</f>
        <v/>
      </c>
      <c r="M2767" s="6">
        <f>HYPERLINK("https://map.naver.com/p/search/전동면 청송리 69-6", "지도Link")</f>
        <v/>
      </c>
      <c r="N2767" s="6">
        <f>HYPERLINK("http://www.eum.go.kr/web/ar/lu/luLandDet.jsp?pnu=3611038023100690006&amp;isNoScr=script&amp;mode=search", "토지이음")</f>
        <v/>
      </c>
      <c r="O2767" s="3" t="inlineStr">
        <is>
          <t>유성대박</t>
        </is>
      </c>
      <c r="P2767" s="4" t="n">
        <v>1</v>
      </c>
      <c r="Q2767" s="4" t="n">
        <v>364</v>
      </c>
      <c r="R2767" s="3" t="inlineStr">
        <is>
          <t>지정되지않음</t>
        </is>
      </c>
      <c r="S2767" s="3" t="inlineStr">
        <is>
          <t>답기타</t>
        </is>
      </c>
      <c r="T2767" s="3" t="inlineStr">
        <is>
          <t>완경사</t>
        </is>
      </c>
      <c r="U2767" s="3" t="inlineStr">
        <is>
          <t>사다리형</t>
        </is>
      </c>
      <c r="V2767" s="3" t="inlineStr">
        <is>
          <t>세로한면(가)</t>
        </is>
      </c>
    </row>
    <row r="2768">
      <c r="A2768" s="3" t="inlineStr">
        <is>
          <t>전동면 청송리 73-16</t>
        </is>
      </c>
      <c r="B2768" s="3" t="inlineStr">
        <is>
          <t>계획관리지역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4000</v>
      </c>
      <c r="G2768" s="4" t="n">
        <v>110</v>
      </c>
      <c r="H2768" s="4" t="n">
        <v>33</v>
      </c>
      <c r="I2768" s="5" t="n">
        <v>121.2</v>
      </c>
      <c r="J2768" s="5" t="n">
        <v>30.9</v>
      </c>
      <c r="K2768" s="3" t="inlineStr">
        <is>
          <t>소형농지, 현황도로있음</t>
        </is>
      </c>
      <c r="L2768" s="6">
        <f>HYPERLINK("https://fin.land.naver.com/articles/2654273471", "매물Link")</f>
        <v/>
      </c>
      <c r="M2768" s="6">
        <f>HYPERLINK("https://map.naver.com/p/search/전동면 청송리 73-16", "지도Link")</f>
        <v/>
      </c>
      <c r="N2768" s="6">
        <f>HYPERLINK("http://www.eum.go.kr/web/ar/lu/luLandDet.jsp?pnu=3611038023100730016&amp;isNoScr=script&amp;mode=search", "토지이음")</f>
        <v/>
      </c>
      <c r="O2768" s="3" t="inlineStr">
        <is>
          <t>미스터홈즈강남지사</t>
        </is>
      </c>
      <c r="P2768" s="4" t="n">
        <v>1</v>
      </c>
      <c r="Q2768" s="4" t="n">
        <v>110</v>
      </c>
      <c r="R2768" s="3" t="inlineStr">
        <is>
          <t>지정되지않음</t>
        </is>
      </c>
      <c r="S2768" s="3" t="inlineStr">
        <is>
          <t>전기타</t>
        </is>
      </c>
      <c r="T2768" s="3" t="inlineStr">
        <is>
          <t>완경사</t>
        </is>
      </c>
      <c r="U2768" s="3" t="inlineStr">
        <is>
          <t>사다리형</t>
        </is>
      </c>
      <c r="V2768" s="3" t="inlineStr">
        <is>
          <t>세로한면(가)</t>
        </is>
      </c>
    </row>
    <row r="2769">
      <c r="A2769" s="3" t="inlineStr">
        <is>
          <t>전동면 청송리 산28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75000</v>
      </c>
      <c r="G2769" s="4" t="n">
        <v>20826</v>
      </c>
      <c r="H2769" s="4" t="n">
        <v>6300</v>
      </c>
      <c r="I2769" s="5" t="n">
        <v>11.9</v>
      </c>
      <c r="J2769" s="5" t="n">
        <v>2.2</v>
      </c>
      <c r="K2769" s="3" t="inlineStr">
        <is>
          <t>보전관리지역</t>
        </is>
      </c>
      <c r="L2769" s="6">
        <f>HYPERLINK("https://fin.land.naver.com/articles/2653767094", "매물Link")</f>
        <v/>
      </c>
      <c r="M2769" s="6">
        <f>HYPERLINK("https://map.naver.com/p/search/전동면 청송리 산28", "지도Link")</f>
        <v/>
      </c>
      <c r="N2769" s="6">
        <f>HYPERLINK("http://www.eum.go.kr/web/ar/lu/luLandDet.jsp?pnu=3611038023200280000&amp;isNoScr=script&amp;mode=search", "토지이음")</f>
        <v/>
      </c>
      <c r="O2769" s="3" t="inlineStr">
        <is>
          <t>대원</t>
        </is>
      </c>
      <c r="P2769" s="4" t="n">
        <v>1</v>
      </c>
      <c r="Q2769" s="4" t="n">
        <v>20826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관정리 184-5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전</t>
        </is>
      </c>
      <c r="E2770" s="3" t="inlineStr">
        <is>
          <t>매매</t>
        </is>
      </c>
      <c r="F2770" s="4" t="n">
        <v>36000</v>
      </c>
      <c r="G2770" s="4" t="n">
        <v>1977</v>
      </c>
      <c r="H2770" s="4" t="n">
        <v>598</v>
      </c>
      <c r="I2770" s="5" t="n">
        <v>60.2</v>
      </c>
      <c r="J2770" s="5" t="n">
        <v>41</v>
      </c>
      <c r="K2770" s="3" t="inlineStr">
        <is>
          <t>nan</t>
        </is>
      </c>
      <c r="L2770" s="6">
        <f>HYPERLINK("https://fin.land.naver.com/articles/2653535511", "매물Link")</f>
        <v/>
      </c>
      <c r="M2770" s="6">
        <f>HYPERLINK("https://map.naver.com/p/search/전의면 관정리 184-5", "지도Link")</f>
        <v/>
      </c>
      <c r="N2770" s="6">
        <f>HYPERLINK("http://www.eum.go.kr/web/ar/lu/luLandDet.jsp?pnu=3611037027101840005&amp;isNoScr=script&amp;mode=search", "토지이음")</f>
        <v/>
      </c>
      <c r="O2770" s="3" t="inlineStr">
        <is>
          <t>진선미</t>
        </is>
      </c>
      <c r="P2770" s="4" t="n">
        <v>1</v>
      </c>
      <c r="Q2770" s="4" t="n">
        <v>288</v>
      </c>
      <c r="R2770" s="3" t="inlineStr">
        <is>
          <t>지정되지않음</t>
        </is>
      </c>
      <c r="S2770" s="3" t="inlineStr">
        <is>
          <t>단독</t>
        </is>
      </c>
      <c r="T2770" s="3" t="inlineStr">
        <is>
          <t>평지</t>
        </is>
      </c>
      <c r="U2770" s="3" t="inlineStr">
        <is>
          <t>가로장방</t>
        </is>
      </c>
      <c r="V2770" s="3" t="inlineStr">
        <is>
          <t>세로한면(가)</t>
        </is>
      </c>
    </row>
    <row r="2771">
      <c r="A2771" s="3" t="inlineStr">
        <is>
          <t>전의면 관정리 191-14</t>
        </is>
      </c>
      <c r="B2771" s="3" t="inlineStr">
        <is>
          <t>계획관리지역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141000</v>
      </c>
      <c r="G2771" s="4" t="n">
        <v>4660</v>
      </c>
      <c r="H2771" s="4" t="n">
        <v>1410</v>
      </c>
      <c r="I2771" s="5" t="n">
        <v>100</v>
      </c>
      <c r="J2771" s="5" t="n">
        <v>3.2</v>
      </c>
      <c r="K2771" s="3" t="inlineStr">
        <is>
          <t>계획관리 지역, 진로하이트 공장 인접, 산업단지 많은곳</t>
        </is>
      </c>
      <c r="L2771" s="6">
        <f>HYPERLINK("https://fin.land.naver.com/articles/2650941899", "매물Link")</f>
        <v/>
      </c>
      <c r="M2771" s="6">
        <f>HYPERLINK("https://map.naver.com/p/search/전의면 관정리 191-14", "지도Link")</f>
        <v/>
      </c>
      <c r="N2771" s="6">
        <f>HYPERLINK("http://www.eum.go.kr/web/ar/lu/luLandDet.jsp?pnu=3611037027101910014&amp;isNoScr=script&amp;mode=search", "토지이음")</f>
        <v/>
      </c>
      <c r="O2771" s="3" t="inlineStr">
        <is>
          <t>OK세종 사무소</t>
        </is>
      </c>
      <c r="P2771" s="4" t="n">
        <v>1</v>
      </c>
      <c r="Q2771" s="4" t="n">
        <v>4660</v>
      </c>
      <c r="R2771" s="3" t="inlineStr">
        <is>
          <t>농림지역</t>
        </is>
      </c>
      <c r="S2771" s="3" t="inlineStr">
        <is>
          <t>조림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관정리 227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전</t>
        </is>
      </c>
      <c r="E2772" s="3" t="inlineStr">
        <is>
          <t>매매</t>
        </is>
      </c>
      <c r="F2772" s="4" t="n">
        <v>25000</v>
      </c>
      <c r="G2772" s="4" t="n">
        <v>2671</v>
      </c>
      <c r="H2772" s="4" t="n">
        <v>808</v>
      </c>
      <c r="I2772" s="5" t="n">
        <v>30.9</v>
      </c>
      <c r="J2772" s="5" t="n">
        <v>16</v>
      </c>
      <c r="K2772" s="3" t="inlineStr">
        <is>
          <t>급매 추천 계획관리 여러용도가능 현재주말농장</t>
        </is>
      </c>
      <c r="L2772" s="6">
        <f>HYPERLINK("https://fin.land.naver.com/articles/2653045203", "매물Link")</f>
        <v/>
      </c>
      <c r="M2772" s="6">
        <f>HYPERLINK("https://map.naver.com/p/search/전의면 관정리 227", "지도Link")</f>
        <v/>
      </c>
      <c r="N2772" s="6">
        <f>HYPERLINK("http://www.eum.go.kr/web/ar/lu/luLandDet.jsp?pnu=3611037027102270000&amp;isNoScr=script&amp;mode=search", "토지이음")</f>
        <v/>
      </c>
      <c r="O2772" s="3" t="inlineStr">
        <is>
          <t>새롬이지</t>
        </is>
      </c>
      <c r="P2772" s="4" t="n">
        <v>3</v>
      </c>
      <c r="Q2772" s="4" t="n">
        <v>2671</v>
      </c>
      <c r="R2772" s="3" t="inlineStr">
        <is>
          <t>지정되지않음</t>
        </is>
      </c>
      <c r="S2772" s="3" t="inlineStr">
        <is>
          <t>답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관정리 260-2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53000</v>
      </c>
      <c r="G2773" s="4" t="n">
        <v>1858</v>
      </c>
      <c r="H2773" s="4" t="n">
        <v>562</v>
      </c>
      <c r="I2773" s="5" t="n">
        <v>94.3</v>
      </c>
      <c r="J2773" s="5" t="n">
        <v>49</v>
      </c>
      <c r="K2773" s="3" t="inlineStr">
        <is>
          <t>전의산업단지 인근 토지, 한국콜마공장옆, 투자용 강추, 아로니아농장매</t>
        </is>
      </c>
      <c r="L2773" s="6">
        <f>HYPERLINK("https://fin.land.naver.com/articles/2650590567", "매물Link")</f>
        <v/>
      </c>
      <c r="M2773" s="6">
        <f>HYPERLINK("https://map.naver.com/p/search/전의면 관정리 260-2", "지도Link")</f>
        <v/>
      </c>
      <c r="N2773" s="6">
        <f>HYPERLINK("http://www.eum.go.kr/web/ar/lu/luLandDet.jsp?pnu=3611037027102600002&amp;isNoScr=script&amp;mode=search", "토지이음")</f>
        <v/>
      </c>
      <c r="O2773" s="3" t="inlineStr">
        <is>
          <t>도안힐스재벌</t>
        </is>
      </c>
      <c r="P2773" s="4" t="n">
        <v>1</v>
      </c>
      <c r="Q2773" s="4" t="n">
        <v>1858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관정리 260-2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53000</v>
      </c>
      <c r="G2774" s="4" t="n">
        <v>1858</v>
      </c>
      <c r="H2774" s="4" t="n">
        <v>562</v>
      </c>
      <c r="I2774" s="5" t="n">
        <v>94.3</v>
      </c>
      <c r="J2774" s="5" t="n">
        <v>49</v>
      </c>
      <c r="K2774" s="3" t="inlineStr">
        <is>
          <t>예쁜 농막 있어요 실수요 투자 모두 가능한 대도로변 토지</t>
        </is>
      </c>
      <c r="L2774" s="6">
        <f>HYPERLINK("https://fin.land.naver.com/articles/2654611576", "매물Link")</f>
        <v/>
      </c>
      <c r="M2774" s="6">
        <f>HYPERLINK("https://map.naver.com/p/search/전의면 관정리 260-2", "지도Link")</f>
        <v/>
      </c>
      <c r="N2774" s="6">
        <f>HYPERLINK("http://www.eum.go.kr/web/ar/lu/luLandDet.jsp?pnu=3611037027102600002&amp;isNoScr=script&amp;mode=search", "토지이음")</f>
        <v/>
      </c>
      <c r="O2774" s="3" t="inlineStr">
        <is>
          <t>아임</t>
        </is>
      </c>
      <c r="P2774" s="4" t="n">
        <v>1</v>
      </c>
      <c r="Q2774" s="4" t="n">
        <v>1858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전의면 관정리 261</t>
        </is>
      </c>
      <c r="B2775" s="3" t="inlineStr">
        <is>
          <t>계획관리지역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35000</v>
      </c>
      <c r="G2775" s="4" t="n">
        <v>1127</v>
      </c>
      <c r="H2775" s="4" t="n">
        <v>341</v>
      </c>
      <c r="I2775" s="5" t="n">
        <v>102.6</v>
      </c>
      <c r="J2775" s="5" t="n">
        <v>51.7</v>
      </c>
      <c r="K2775" s="3" t="inlineStr">
        <is>
          <t>전의산업단지 인근 실수요 투자 모두 가능한 대도로변 토지</t>
        </is>
      </c>
      <c r="L2775" s="6">
        <f>HYPERLINK("https://fin.land.naver.com/articles/2655646437", "매물Link")</f>
        <v/>
      </c>
      <c r="M2775" s="6">
        <f>HYPERLINK("https://map.naver.com/p/search/전의면 관정리 261", "지도Link")</f>
        <v/>
      </c>
      <c r="N2775" s="6">
        <f>HYPERLINK("http://www.eum.go.kr/web/ar/lu/luLandDet.jsp?pnu=3611037027102610000&amp;isNoScr=script&amp;mode=search", "토지이음")</f>
        <v/>
      </c>
      <c r="O2775" s="3" t="inlineStr">
        <is>
          <t>아임</t>
        </is>
      </c>
      <c r="P2775" s="4" t="n">
        <v>1</v>
      </c>
      <c r="Q2775" s="4" t="n">
        <v>1127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관정리 267-8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53200</v>
      </c>
      <c r="G2776" s="4" t="n">
        <v>402</v>
      </c>
      <c r="H2776" s="4" t="n">
        <v>122</v>
      </c>
      <c r="I2776" s="5" t="n">
        <v>436.1</v>
      </c>
      <c r="J2776" s="5" t="n">
        <v>64.09999999999999</v>
      </c>
      <c r="K2776" s="3" t="inlineStr">
        <is>
          <t>전의면 스마트산업단지 도로변 계획관리지역 땅</t>
        </is>
      </c>
      <c r="L2776" s="6">
        <f>HYPERLINK("https://fin.land.naver.com/articles/2650697794", "매물Link")</f>
        <v/>
      </c>
      <c r="M2776" s="6">
        <f>HYPERLINK("https://map.naver.com/p/search/전의면 관정리 267-8", "지도Link")</f>
        <v/>
      </c>
      <c r="N2776" s="6">
        <f>HYPERLINK("http://www.eum.go.kr/web/ar/lu/luLandDet.jsp?pnu=3611037027102670008&amp;isNoScr=script&amp;mode=search", "토지이음")</f>
        <v/>
      </c>
      <c r="O2776" s="3" t="inlineStr">
        <is>
          <t>세종천지</t>
        </is>
      </c>
      <c r="P2776" s="4" t="n">
        <v>1</v>
      </c>
      <c r="Q2776" s="4" t="n">
        <v>402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관정리 424-2</t>
        </is>
      </c>
      <c r="B2777" s="3" t="inlineStr">
        <is>
          <t>계획관리지역</t>
        </is>
      </c>
      <c r="C2777" s="3" t="inlineStr">
        <is>
          <t>대</t>
        </is>
      </c>
      <c r="D2777" s="3" t="inlineStr">
        <is>
          <t>대</t>
        </is>
      </c>
      <c r="E2777" s="3" t="inlineStr">
        <is>
          <t>매매</t>
        </is>
      </c>
      <c r="F2777" s="4" t="n">
        <v>29000</v>
      </c>
      <c r="G2777" s="4" t="n">
        <v>232</v>
      </c>
      <c r="H2777" s="4" t="n">
        <v>70</v>
      </c>
      <c r="I2777" s="5" t="n">
        <v>414.3</v>
      </c>
      <c r="J2777" s="5" t="n">
        <v>32.1</v>
      </c>
      <c r="K2777" s="3" t="inlineStr">
        <is>
          <t>nan</t>
        </is>
      </c>
      <c r="L2777" s="6">
        <f>HYPERLINK("https://fin.land.naver.com/articles/2653373510", "매물Link")</f>
        <v/>
      </c>
      <c r="M2777" s="6">
        <f>HYPERLINK("https://map.naver.com/p/search/전의면 관정리 424-2", "지도Link")</f>
        <v/>
      </c>
      <c r="N2777" s="6">
        <f>HYPERLINK("http://www.eum.go.kr/web/ar/lu/luLandDet.jsp?pnu=3611037027104240002&amp;isNoScr=script&amp;mode=search", "토지이음")</f>
        <v/>
      </c>
      <c r="O2777" s="3" t="inlineStr">
        <is>
          <t>라클래시명문</t>
        </is>
      </c>
      <c r="P2777" s="4" t="n">
        <v>1</v>
      </c>
      <c r="Q2777" s="4" t="n">
        <v>251</v>
      </c>
      <c r="R2777" s="3" t="inlineStr">
        <is>
          <t>지정되지않음</t>
        </is>
      </c>
      <c r="S2777" s="3" t="inlineStr">
        <is>
          <t>단독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세로한면(불)</t>
        </is>
      </c>
    </row>
    <row r="2778">
      <c r="A2778" s="3" t="inlineStr">
        <is>
          <t>전의면 관정리 428-2</t>
        </is>
      </c>
      <c r="B2778" s="3" t="inlineStr">
        <is>
          <t>계획관리지역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104800</v>
      </c>
      <c r="G2778" s="4" t="n">
        <v>3464</v>
      </c>
      <c r="H2778" s="4" t="n">
        <v>1048</v>
      </c>
      <c r="I2778" s="5" t="n">
        <v>100</v>
      </c>
      <c r="J2778" s="5" t="n">
        <v>4.4</v>
      </c>
      <c r="K2778" s="3" t="inlineStr">
        <is>
          <t>공장 및 근생용지로 허가득  토목공사 완료 전용비 납부완료</t>
        </is>
      </c>
      <c r="L2778" s="6">
        <f>HYPERLINK("https://fin.land.naver.com/articles/2651710796", "매물Link")</f>
        <v/>
      </c>
      <c r="M2778" s="6">
        <f>HYPERLINK("https://map.naver.com/p/search/전의면 관정리 428-2", "지도Link")</f>
        <v/>
      </c>
      <c r="N2778" s="6">
        <f>HYPERLINK("http://www.eum.go.kr/web/ar/lu/luLandDet.jsp?pnu=3611037027104280002&amp;isNoScr=script&amp;mode=search", "토지이음")</f>
        <v/>
      </c>
      <c r="O2778" s="3" t="inlineStr">
        <is>
          <t>번영</t>
        </is>
      </c>
      <c r="P2778" s="4" t="n">
        <v>1</v>
      </c>
      <c r="Q2778" s="4" t="n">
        <v>2003</v>
      </c>
      <c r="R2778" s="3" t="inlineStr">
        <is>
          <t>지정되지않음</t>
        </is>
      </c>
      <c r="S2778" s="3" t="inlineStr">
        <is>
          <t>자연림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관정리 429-8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138500</v>
      </c>
      <c r="G2779" s="4" t="n">
        <v>4567</v>
      </c>
      <c r="H2779" s="4" t="n">
        <v>1382</v>
      </c>
      <c r="I2779" s="5" t="n">
        <v>100.2</v>
      </c>
      <c r="J2779" s="5" t="n">
        <v>21.1</v>
      </c>
      <c r="K2779" s="3" t="inlineStr">
        <is>
          <t>공장용지 허가완료 토목완료 물류 공자 창고 추천</t>
        </is>
      </c>
      <c r="L2779" s="6">
        <f>HYPERLINK("https://fin.land.naver.com/articles/2651733827", "매물Link")</f>
        <v/>
      </c>
      <c r="M2779" s="6">
        <f>HYPERLINK("https://map.naver.com/p/search/전의면 관정리 429-8", "지도Link")</f>
        <v/>
      </c>
      <c r="N2779" s="6">
        <f>HYPERLINK("http://www.eum.go.kr/web/ar/lu/luLandDet.jsp?pnu=3611037027104290008&amp;isNoScr=script&amp;mode=search", "토지이음")</f>
        <v/>
      </c>
      <c r="O2779" s="3" t="inlineStr">
        <is>
          <t>THE행복</t>
        </is>
      </c>
      <c r="P2779" s="4" t="n">
        <v>1</v>
      </c>
      <c r="Q2779" s="4" t="n">
        <v>4567</v>
      </c>
      <c r="R2779" s="3" t="inlineStr">
        <is>
          <t>지정되지않음</t>
        </is>
      </c>
      <c r="S2779" s="3" t="inlineStr">
        <is>
          <t>전기타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관정리 430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535000</v>
      </c>
      <c r="G2780" s="4" t="n">
        <v>17687</v>
      </c>
      <c r="H2780" s="4" t="n">
        <v>5350</v>
      </c>
      <c r="I2780" s="5" t="n">
        <v>100</v>
      </c>
      <c r="J2780" s="5" t="n">
        <v>27.4</v>
      </c>
      <c r="K2780" s="3" t="inlineStr">
        <is>
          <t>공장 및 근생 허가 득하고 토목공사 완료되고 전용비 납부완료</t>
        </is>
      </c>
      <c r="L2780" s="6">
        <f>HYPERLINK("https://fin.land.naver.com/articles/2651710777", "매물Link")</f>
        <v/>
      </c>
      <c r="M2780" s="6">
        <f>HYPERLINK("https://map.naver.com/p/search/전의면 관정리 430", "지도Link")</f>
        <v/>
      </c>
      <c r="N2780" s="6">
        <f>HYPERLINK("http://www.eum.go.kr/web/ar/lu/luLandDet.jsp?pnu=3611037027104300000&amp;isNoScr=script&amp;mode=search", "토지이음")</f>
        <v/>
      </c>
      <c r="O2780" s="3" t="inlineStr">
        <is>
          <t>번영</t>
        </is>
      </c>
      <c r="P2780" s="4" t="n">
        <v>1</v>
      </c>
      <c r="Q2780" s="4" t="n">
        <v>3299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맹지</t>
        </is>
      </c>
    </row>
    <row r="2781">
      <c r="A2781" s="3" t="inlineStr">
        <is>
          <t>전의면 관정리 504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40000</v>
      </c>
      <c r="G2781" s="4" t="n">
        <v>1332</v>
      </c>
      <c r="H2781" s="4" t="n">
        <v>403</v>
      </c>
      <c r="I2781" s="5" t="n">
        <v>99.3</v>
      </c>
      <c r="J2781" s="5" t="n">
        <v>18</v>
      </c>
      <c r="K2781" s="3" t="inlineStr">
        <is>
          <t>산업단지들이 가까운 관정리 계획관리. 전으로 이용중</t>
        </is>
      </c>
      <c r="L2781" s="6">
        <f>HYPERLINK("https://fin.land.naver.com/articles/2652112781", "매물Link")</f>
        <v/>
      </c>
      <c r="M2781" s="6">
        <f>HYPERLINK("https://map.naver.com/p/search/전의면 관정리 504", "지도Link")</f>
        <v/>
      </c>
      <c r="N2781" s="6">
        <f>HYPERLINK("http://www.eum.go.kr/web/ar/lu/luLandDet.jsp?pnu=3611037027105040000&amp;isNoScr=script&amp;mode=search",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1266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전의면 관정리 600</t>
        </is>
      </c>
      <c r="B2782" s="3" t="inlineStr">
        <is>
          <t>계획관리지역</t>
        </is>
      </c>
      <c r="C2782" s="3" t="inlineStr">
        <is>
          <t>잡종지</t>
        </is>
      </c>
      <c r="D2782" s="3" t="inlineStr">
        <is>
          <t>잡종지</t>
        </is>
      </c>
      <c r="E2782" s="3" t="inlineStr">
        <is>
          <t>월세</t>
        </is>
      </c>
      <c r="F2782" s="4" t="n">
        <v>30000</v>
      </c>
      <c r="G2782" s="4" t="n">
        <v>30418</v>
      </c>
      <c r="H2782" s="4" t="n">
        <v>9201</v>
      </c>
      <c r="I2782" s="5" t="n">
        <v>0.2</v>
      </c>
      <c r="J2782" s="5" t="n">
        <v>26.7</v>
      </c>
      <c r="K2782" s="3" t="inlineStr">
        <is>
          <t>경부고속도로,세종전의 산단인접 대형 야적장,주차장부지</t>
        </is>
      </c>
      <c r="L2782" s="6">
        <f>HYPERLINK("https://fin.land.naver.com/articles/2652644152", "매물Link")</f>
        <v/>
      </c>
      <c r="M2782" s="6">
        <f>HYPERLINK("https://map.naver.com/p/search/전의면 관정리 600", "지도Link")</f>
        <v/>
      </c>
      <c r="N2782" s="6">
        <f>HYPERLINK("http://www.eum.go.kr/web/ar/lu/luLandDet.jsp?pnu=3611037027106000000&amp;isNoScr=script&amp;mode=search", "토지이음")</f>
        <v/>
      </c>
      <c r="O2782" s="3" t="inlineStr">
        <is>
          <t>한길</t>
        </is>
      </c>
      <c r="P2782" s="4" t="n">
        <v>1</v>
      </c>
      <c r="Q2782" s="4" t="n">
        <v>7890</v>
      </c>
      <c r="R2782" s="3" t="inlineStr">
        <is>
          <t>지정되지않음</t>
        </is>
      </c>
      <c r="S2782" s="3" t="inlineStr">
        <is>
          <t>전창고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전의면 관정리 660-20</t>
        </is>
      </c>
      <c r="B2783" s="3" t="inlineStr">
        <is>
          <t>계획관리지역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298000</v>
      </c>
      <c r="G2783" s="4" t="n">
        <v>3945</v>
      </c>
      <c r="H2783" s="4" t="n">
        <v>1193</v>
      </c>
      <c r="I2783" s="5" t="n">
        <v>249.8</v>
      </c>
      <c r="J2783" s="5" t="n">
        <v>42.8</v>
      </c>
      <c r="K2783" s="3" t="inlineStr">
        <is>
          <t>도로25m 4차선 접한  계획관리 다목적용 토지,필지별 분할매매가능</t>
        </is>
      </c>
      <c r="L2783" s="6">
        <f>HYPERLINK("https://fin.land.naver.com/articles/2652651665", "매물Link")</f>
        <v/>
      </c>
      <c r="M2783" s="6">
        <f>HYPERLINK("https://map.naver.com/p/search/전의면 관정리 660-20", "지도Link")</f>
        <v/>
      </c>
      <c r="N2783" s="6">
        <f>HYPERLINK("http://www.eum.go.kr/web/ar/lu/luLandDet.jsp?pnu=3611037027106600020&amp;isNoScr=script&amp;mode=search", "토지이음")</f>
        <v/>
      </c>
      <c r="O2783" s="3" t="inlineStr">
        <is>
          <t>신부다온</t>
        </is>
      </c>
      <c r="P2783" s="4" t="n">
        <v>1</v>
      </c>
      <c r="Q2783" s="4" t="n">
        <v>2868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관정리 721</t>
        </is>
      </c>
      <c r="B2784" s="3" t="inlineStr">
        <is>
          <t>일반공업지역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70000</v>
      </c>
      <c r="G2784" s="4" t="n">
        <v>494</v>
      </c>
      <c r="H2784" s="4" t="n">
        <v>149</v>
      </c>
      <c r="I2784" s="5" t="n">
        <v>469.8</v>
      </c>
      <c r="J2784" s="5" t="n">
        <v>140.6</v>
      </c>
      <c r="K2784" s="3" t="inlineStr">
        <is>
          <t>나대지 전의면 일반산업단지 내  지원시설구역</t>
        </is>
      </c>
      <c r="L2784" s="6">
        <f>HYPERLINK("https://fin.land.naver.com/articles/2655549145", "매물Link")</f>
        <v/>
      </c>
      <c r="M2784" s="6">
        <f>HYPERLINK("https://map.naver.com/p/search/전의면 관정리 721", "지도Link")</f>
        <v/>
      </c>
      <c r="N2784" s="6">
        <f>HYPERLINK("http://www.eum.go.kr/web/ar/lu/luLandDet.jsp?pnu=3611037027107210000&amp;isNoScr=script&amp;mode=search", "토지이음")</f>
        <v/>
      </c>
      <c r="O2784" s="3" t="inlineStr">
        <is>
          <t>트리풀신화</t>
        </is>
      </c>
      <c r="P2784" s="4" t="n">
        <v>1</v>
      </c>
      <c r="Q2784" s="4" t="n">
        <v>494.2</v>
      </c>
      <c r="R2784" s="3" t="inlineStr">
        <is>
          <t>지정되지않음</t>
        </is>
      </c>
      <c r="S2784" s="3" t="inlineStr">
        <is>
          <t>상업나지</t>
        </is>
      </c>
      <c r="T2784" s="3" t="inlineStr">
        <is>
          <t>평지</t>
        </is>
      </c>
      <c r="U2784" s="3" t="inlineStr">
        <is>
          <t>세로장방</t>
        </is>
      </c>
      <c r="V2784" s="3" t="inlineStr">
        <is>
          <t>중로각지</t>
        </is>
      </c>
    </row>
    <row r="2785">
      <c r="A2785" s="3" t="inlineStr">
        <is>
          <t>전의면 관정리 79</t>
        </is>
      </c>
      <c r="B2785" s="3" t="inlineStr">
        <is>
          <t>농림지역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13000</v>
      </c>
      <c r="G2785" s="4" t="n">
        <v>1329</v>
      </c>
      <c r="H2785" s="4" t="n">
        <v>402</v>
      </c>
      <c r="I2785" s="5" t="n">
        <v>32.3</v>
      </c>
      <c r="J2785" s="5" t="n">
        <v>14.8</v>
      </c>
      <c r="K2785" s="3" t="inlineStr">
        <is>
          <t>급하게 매매요</t>
        </is>
      </c>
      <c r="L2785" s="6">
        <f>HYPERLINK("https://fin.land.naver.com/articles/2652364273", "매물Link")</f>
        <v/>
      </c>
      <c r="M2785" s="6">
        <f>HYPERLINK("https://map.naver.com/p/search/전의면 관정리 79", "지도Link")</f>
        <v/>
      </c>
      <c r="N2785" s="6">
        <f>HYPERLINK("http://www.eum.go.kr/web/ar/lu/luLandDet.jsp?pnu=3611037027100790000&amp;isNoScr=script&amp;mode=search", "토지이음")</f>
        <v/>
      </c>
      <c r="O2785" s="3" t="inlineStr">
        <is>
          <t>세종</t>
        </is>
      </c>
      <c r="P2785" s="4" t="n">
        <v>1</v>
      </c>
      <c r="Q2785" s="4" t="n">
        <v>1329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세로한면(불)</t>
        </is>
      </c>
    </row>
    <row r="2786">
      <c r="A2786" s="3" t="inlineStr">
        <is>
          <t>전의면 관정리 산1-3</t>
        </is>
      </c>
      <c r="B2786" s="3" t="inlineStr">
        <is>
          <t>계획관리지역</t>
        </is>
      </c>
      <c r="C2786" s="3" t="inlineStr">
        <is>
          <t>임야</t>
        </is>
      </c>
      <c r="D2786" s="3" t="inlineStr">
        <is>
          <t>전</t>
        </is>
      </c>
      <c r="E2786" s="3" t="inlineStr">
        <is>
          <t>매매</t>
        </is>
      </c>
      <c r="F2786" s="4" t="n">
        <v>2300000</v>
      </c>
      <c r="G2786" s="4" t="n">
        <v>37543</v>
      </c>
      <c r="H2786" s="4" t="n">
        <v>11357</v>
      </c>
      <c r="I2786" s="5" t="n">
        <v>202.5</v>
      </c>
      <c r="J2786" s="5" t="n">
        <v>15.7</v>
      </c>
      <c r="K2786" s="3" t="inlineStr">
        <is>
          <t>4차선 및 2차선 도로접 계획관리 분할매도 가능</t>
        </is>
      </c>
      <c r="L2786" s="6">
        <f>HYPERLINK("https://fin.land.naver.com/articles/2654750533", "매물Link")</f>
        <v/>
      </c>
      <c r="M2786" s="6">
        <f>HYPERLINK("https://map.naver.com/p/search/전의면 관정리 산1-3", "지도Link")</f>
        <v/>
      </c>
      <c r="N2786" s="6">
        <f>HYPERLINK("http://www.eum.go.kr/web/ar/lu/luLandDet.jsp?pnu=3611037027200010003&amp;isNoScr=script&amp;mode=search", "토지이음")</f>
        <v/>
      </c>
      <c r="O2786" s="3" t="inlineStr">
        <is>
          <t>광장(프라자)</t>
        </is>
      </c>
      <c r="P2786" s="4" t="n">
        <v>1</v>
      </c>
      <c r="Q2786" s="4" t="n">
        <v>1687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관정리 산66</t>
        </is>
      </c>
      <c r="B2787" s="3" t="inlineStr">
        <is>
          <t>계획관리지역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567000</v>
      </c>
      <c r="G2787" s="4" t="n">
        <v>53517</v>
      </c>
      <c r="H2787" s="4" t="n">
        <v>16189</v>
      </c>
      <c r="I2787" s="5" t="n">
        <v>35</v>
      </c>
      <c r="J2787" s="5" t="n">
        <v>4</v>
      </c>
      <c r="K2787" s="3" t="inlineStr">
        <is>
          <t>도로접한 토지 추천</t>
        </is>
      </c>
      <c r="L2787" s="6">
        <f>HYPERLINK("https://fin.land.naver.com/articles/2652928166", "매물Link")</f>
        <v/>
      </c>
      <c r="M2787" s="6">
        <f>HYPERLINK("https://map.naver.com/p/search/전의면 관정리 산66", "지도Link")</f>
        <v/>
      </c>
      <c r="N2787" s="6">
        <f>HYPERLINK("http://www.eum.go.kr/web/ar/lu/luLandDet.jsp?pnu=3611037027200660000&amp;isNoScr=script&amp;mode=search", "토지이음")</f>
        <v/>
      </c>
      <c r="O2787" s="3" t="inlineStr">
        <is>
          <t>국제</t>
        </is>
      </c>
      <c r="P2787" s="4" t="n">
        <v>1</v>
      </c>
      <c r="Q2787" s="4" t="n">
        <v>45602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세로한면(불)</t>
        </is>
      </c>
    </row>
    <row r="2788">
      <c r="A2788" s="3" t="inlineStr">
        <is>
          <t>전의면 관정리 산66</t>
        </is>
      </c>
      <c r="B2788" s="3" t="inlineStr">
        <is>
          <t>계획관리지역</t>
        </is>
      </c>
      <c r="C2788" s="3" t="inlineStr">
        <is>
          <t>임야</t>
        </is>
      </c>
      <c r="D2788" s="3" t="inlineStr">
        <is>
          <t>임야</t>
        </is>
      </c>
      <c r="E2788" s="3" t="inlineStr">
        <is>
          <t>매매</t>
        </is>
      </c>
      <c r="F2788" s="4" t="n">
        <v>560000</v>
      </c>
      <c r="G2788" s="4" t="n">
        <v>53517</v>
      </c>
      <c r="H2788" s="4" t="n">
        <v>16189</v>
      </c>
      <c r="I2788" s="5" t="n">
        <v>34.6</v>
      </c>
      <c r="J2788" s="5" t="n">
        <v>4</v>
      </c>
      <c r="K2788" s="3" t="inlineStr">
        <is>
          <t>공장, 창고, 다용도, 2차선 접함.</t>
        </is>
      </c>
      <c r="L2788" s="6">
        <f>HYPERLINK("https://fin.land.naver.com/articles/2655311353", "매물Link")</f>
        <v/>
      </c>
      <c r="M2788" s="6">
        <f>HYPERLINK("https://map.naver.com/p/search/전의면 관정리 산66", "지도Link")</f>
        <v/>
      </c>
      <c r="N2788" s="6">
        <f>HYPERLINK("http://www.eum.go.kr/web/ar/lu/luLandDet.jsp?pnu=3611037027200660000&amp;isNoScr=script&amp;mode=search", "토지이음")</f>
        <v/>
      </c>
      <c r="O2788" s="3" t="inlineStr">
        <is>
          <t>천안대성</t>
        </is>
      </c>
      <c r="P2788" s="4" t="n">
        <v>1</v>
      </c>
      <c r="Q2788" s="4" t="n">
        <v>45602</v>
      </c>
      <c r="R2788" s="3" t="inlineStr">
        <is>
          <t>농림지역</t>
        </is>
      </c>
      <c r="S2788" s="3" t="inlineStr">
        <is>
          <t>자연림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세로한면(불)</t>
        </is>
      </c>
    </row>
    <row r="2789">
      <c r="A2789" s="3" t="inlineStr">
        <is>
          <t>전의면 금사리 130-2</t>
        </is>
      </c>
      <c r="B2789" s="3" t="inlineStr">
        <is>
          <t>계획관리지역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28000</v>
      </c>
      <c r="G2789" s="4" t="n">
        <v>1322</v>
      </c>
      <c r="H2789" s="4" t="n">
        <v>400</v>
      </c>
      <c r="I2789" s="5" t="n">
        <v>70</v>
      </c>
      <c r="J2789" s="5" t="n">
        <v>15.7</v>
      </c>
      <c r="K2789" s="3" t="inlineStr">
        <is>
          <t>계획관리토지매매</t>
        </is>
      </c>
      <c r="L2789" s="6">
        <f>HYPERLINK("https://fin.land.naver.com/articles/2655032775", "매물Link")</f>
        <v/>
      </c>
      <c r="M2789" s="6">
        <f>HYPERLINK("https://map.naver.com/p/search/전의면 금사리 130-2", "지도Link")</f>
        <v/>
      </c>
      <c r="N2789" s="6">
        <f>HYPERLINK("http://www.eum.go.kr/web/ar/lu/luLandDet.jsp?pnu=3611037034101300002&amp;isNoScr=script&amp;mode=search", "토지이음")</f>
        <v/>
      </c>
      <c r="O2789" s="3" t="inlineStr">
        <is>
          <t>세종대박</t>
        </is>
      </c>
      <c r="P2789" s="4" t="n">
        <v>1</v>
      </c>
      <c r="Q2789" s="4" t="n">
        <v>1322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전의면 금사리 131-2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67000</v>
      </c>
      <c r="G2790" s="4" t="n">
        <v>2469</v>
      </c>
      <c r="H2790" s="4" t="n">
        <v>747</v>
      </c>
      <c r="I2790" s="5" t="n">
        <v>89.7</v>
      </c>
      <c r="J2790" s="5" t="n">
        <v>15.7</v>
      </c>
      <c r="K2790" s="3" t="inlineStr">
        <is>
          <t>산업단지 인근 지역 대토용 토지</t>
        </is>
      </c>
      <c r="L2790" s="6">
        <f>HYPERLINK("https://fin.land.naver.com/articles/2652406062", "매물Link")</f>
        <v/>
      </c>
      <c r="M2790" s="6">
        <f>HYPERLINK("https://map.naver.com/p/search/전의면 금사리 131-2", "지도Link")</f>
        <v/>
      </c>
      <c r="N2790" s="6">
        <f>HYPERLINK("http://www.eum.go.kr/web/ar/lu/luLandDet.jsp?pnu=3611037034101310002&amp;isNoScr=script&amp;mode=search", "토지이음")</f>
        <v/>
      </c>
      <c r="O2790" s="3" t="inlineStr">
        <is>
          <t>강우림</t>
        </is>
      </c>
      <c r="P2790" s="4" t="n">
        <v>1</v>
      </c>
      <c r="Q2790" s="4" t="n">
        <v>2469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금사리 146-1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150000</v>
      </c>
      <c r="G2791" s="4" t="n">
        <v>3734</v>
      </c>
      <c r="H2791" s="4" t="n">
        <v>1130</v>
      </c>
      <c r="I2791" s="5" t="n">
        <v>132.7</v>
      </c>
      <c r="J2791" s="5" t="n">
        <v>21.1</v>
      </c>
      <c r="K2791" s="3" t="inlineStr">
        <is>
          <t>급매,대토,계획관리지역 답, 민속박물관인근,가격조절</t>
        </is>
      </c>
      <c r="L2791" s="6">
        <f>HYPERLINK("https://fin.land.naver.com/articles/2650821178", "매물Link")</f>
        <v/>
      </c>
      <c r="M2791" s="6">
        <f>HYPERLINK("https://map.naver.com/p/search/전의면 금사리 146-1", "지도Link")</f>
        <v/>
      </c>
      <c r="N2791" s="6">
        <f>HYPERLINK("http://www.eum.go.kr/web/ar/lu/luLandDet.jsp?pnu=3611037034101460001&amp;isNoScr=script&amp;mode=search", "토지이음")</f>
        <v/>
      </c>
      <c r="O2791" s="3" t="inlineStr">
        <is>
          <t>새시대</t>
        </is>
      </c>
      <c r="P2791" s="4" t="n">
        <v>1</v>
      </c>
      <c r="Q2791" s="4" t="n">
        <v>3592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전의면 금사리 159-2</t>
        </is>
      </c>
      <c r="B2792" s="3" t="inlineStr">
        <is>
          <t>생산관리지역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30000</v>
      </c>
      <c r="G2792" s="4" t="n">
        <v>721</v>
      </c>
      <c r="H2792" s="4" t="n">
        <v>218</v>
      </c>
      <c r="I2792" s="5" t="n">
        <v>137.6</v>
      </c>
      <c r="J2792" s="5" t="n">
        <v>16.8</v>
      </c>
      <c r="K2792" s="3" t="inlineStr">
        <is>
          <t>정안IC 인접, 토목완료된 세종 북부권 도로접 평탄지</t>
        </is>
      </c>
      <c r="L2792" s="6">
        <f>HYPERLINK("https://fin.land.naver.com/articles/2655033862", "매물Link")</f>
        <v/>
      </c>
      <c r="M2792" s="6">
        <f>HYPERLINK("https://map.naver.com/p/search/전의면 금사리 159-2", "지도Link")</f>
        <v/>
      </c>
      <c r="N2792" s="6">
        <f>HYPERLINK("http://www.eum.go.kr/web/ar/lu/luLandDet.jsp?pnu=3611037034101590002&amp;isNoScr=script&amp;mode=search", "토지이음")</f>
        <v/>
      </c>
      <c r="O2792" s="3" t="inlineStr">
        <is>
          <t>세종소담황금</t>
        </is>
      </c>
      <c r="P2792" s="4" t="n">
        <v>1</v>
      </c>
      <c r="Q2792" s="4" t="n">
        <v>721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정방형</t>
        </is>
      </c>
      <c r="V2792" s="3" t="inlineStr">
        <is>
          <t>소로한면</t>
        </is>
      </c>
    </row>
    <row r="2793">
      <c r="A2793" s="3" t="inlineStr">
        <is>
          <t>전의면 금사리 182-2</t>
        </is>
      </c>
      <c r="B2793" s="3" t="inlineStr">
        <is>
          <t>생산관리지역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43000</v>
      </c>
      <c r="G2793" s="4" t="n">
        <v>3260</v>
      </c>
      <c r="H2793" s="4" t="n">
        <v>986</v>
      </c>
      <c r="I2793" s="5" t="n">
        <v>43.6</v>
      </c>
      <c r="J2793" s="5" t="n">
        <v>13.5</v>
      </c>
      <c r="K2793" s="3" t="inlineStr">
        <is>
          <t>nan</t>
        </is>
      </c>
      <c r="L2793" s="6">
        <f>HYPERLINK("https://fin.land.naver.com/articles/2653585190", "매물Link")</f>
        <v/>
      </c>
      <c r="M2793" s="6">
        <f>HYPERLINK("https://map.naver.com/p/search/전의면 금사리 182-2", "지도Link")</f>
        <v/>
      </c>
      <c r="N2793" s="6">
        <f>HYPERLINK("http://www.eum.go.kr/web/ar/lu/luLandDet.jsp?pnu=3611037034101820002&amp;isNoScr=script&amp;mode=search", "토지이음")</f>
        <v/>
      </c>
      <c r="O2793" s="3" t="inlineStr">
        <is>
          <t>양달</t>
        </is>
      </c>
      <c r="P2793" s="4" t="n">
        <v>1</v>
      </c>
      <c r="Q2793" s="4" t="n">
        <v>3260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금사리 264-1</t>
        </is>
      </c>
      <c r="B2794" s="3" t="inlineStr">
        <is>
          <t>보전관리지역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42000</v>
      </c>
      <c r="G2794" s="4" t="n">
        <v>3967</v>
      </c>
      <c r="H2794" s="4" t="n">
        <v>1200</v>
      </c>
      <c r="I2794" s="5" t="n">
        <v>35</v>
      </c>
      <c r="J2794" s="5" t="n">
        <v>8</v>
      </c>
      <c r="K2794" s="3" t="inlineStr">
        <is>
          <t>태양광 전기 시설 가능한 토지</t>
        </is>
      </c>
      <c r="L2794" s="6">
        <f>HYPERLINK("https://fin.land.naver.com/articles/2652100948", "매물Link")</f>
        <v/>
      </c>
      <c r="M2794" s="6">
        <f>HYPERLINK("https://map.naver.com/p/search/전의면 금사리 264-1", "지도Link")</f>
        <v/>
      </c>
      <c r="N2794" s="6">
        <f>HYPERLINK("http://www.eum.go.kr/web/ar/lu/luLandDet.jsp?pnu=3611037034102640001&amp;isNoScr=script&amp;mode=search", "토지이음")</f>
        <v/>
      </c>
      <c r="O2794" s="3" t="inlineStr">
        <is>
          <t>강우림</t>
        </is>
      </c>
      <c r="P2794" s="4" t="n">
        <v>1</v>
      </c>
      <c r="Q2794" s="4" t="n">
        <v>3967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전의면 금사리 73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18000</v>
      </c>
      <c r="G2795" s="4" t="n">
        <v>1481</v>
      </c>
      <c r="H2795" s="4" t="n">
        <v>448</v>
      </c>
      <c r="I2795" s="5" t="n">
        <v>40.2</v>
      </c>
      <c r="J2795" s="5" t="n">
        <v>8.800000000000001</v>
      </c>
      <c r="K2795" s="3" t="inlineStr">
        <is>
          <t>전의면 금사리 생산관리 토지 매매, 도로 옆, 영농활동 및 농막 추천</t>
        </is>
      </c>
      <c r="L2795" s="6">
        <f>HYPERLINK("https://fin.land.naver.com/articles/2654028101", "매물Link")</f>
        <v/>
      </c>
      <c r="M2795" s="6">
        <f>HYPERLINK("https://map.naver.com/p/search/전의면 금사리 73", "지도Link")</f>
        <v/>
      </c>
      <c r="N2795" s="6">
        <f>HYPERLINK("http://www.eum.go.kr/web/ar/lu/luLandDet.jsp?pnu=3611037034100730000&amp;isNoScr=script&amp;mode=search", "토지이음")</f>
        <v/>
      </c>
      <c r="O2795" s="3" t="inlineStr">
        <is>
          <t>스카이</t>
        </is>
      </c>
      <c r="P2795" s="4" t="n">
        <v>1</v>
      </c>
      <c r="Q2795" s="4" t="n">
        <v>1481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급경사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금사리 산 45-1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27000</v>
      </c>
      <c r="G2796" s="4" t="n">
        <v>12896</v>
      </c>
      <c r="H2796" s="4" t="n">
        <v>3901</v>
      </c>
      <c r="I2796" s="5" t="n">
        <v>6.9</v>
      </c>
      <c r="J2796" s="5" t="n">
        <v>1.1</v>
      </c>
      <c r="K2796" s="3" t="inlineStr">
        <is>
          <t>급매 저렴한토지 투자굿</t>
        </is>
      </c>
      <c r="L2796" s="6">
        <f>HYPERLINK("https://fin.land.naver.com/articles/2655540097", "매물Link")</f>
        <v/>
      </c>
      <c r="M2796" s="6">
        <f>HYPERLINK("https://map.naver.com/p/search/전의면 금사리 산 45-1", "지도Link")</f>
        <v/>
      </c>
      <c r="N2796" s="6">
        <f>HYPERLINK("http://www.eum.go.kr/web/ar/lu/luLandDet.jsp?pnu=3611037034200450001&amp;isNoScr=script&amp;mode=search", "토지이음")</f>
        <v/>
      </c>
      <c r="O2796" s="3" t="inlineStr">
        <is>
          <t>새롬이지</t>
        </is>
      </c>
      <c r="P2796" s="4" t="n">
        <v>1</v>
      </c>
      <c r="Q2796" s="4" t="n">
        <v>1986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급경사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금사리 산 69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51300</v>
      </c>
      <c r="G2797" s="4" t="n">
        <v>18843</v>
      </c>
      <c r="H2797" s="4" t="n">
        <v>5700</v>
      </c>
      <c r="I2797" s="5" t="n">
        <v>9</v>
      </c>
      <c r="J2797" s="5" t="n">
        <v>1.5</v>
      </c>
      <c r="K2797" s="3" t="inlineStr">
        <is>
          <t>세종시 미래산업단지 인근 저렴한 급매 임야</t>
        </is>
      </c>
      <c r="L2797" s="6">
        <f>HYPERLINK("https://fin.land.naver.com/articles/2653973555", "매물Link")</f>
        <v/>
      </c>
      <c r="M2797" s="6">
        <f>HYPERLINK("https://map.naver.com/p/search/전의면 금사리 산 69", "지도Link")</f>
        <v/>
      </c>
      <c r="N2797" s="6">
        <f>HYPERLINK("http://www.eum.go.kr/web/ar/lu/luLandDet.jsp?pnu=3611037034200690000&amp;isNoScr=script&amp;mode=search", "토지이음")</f>
        <v/>
      </c>
      <c r="O2797" s="3" t="inlineStr">
        <is>
          <t>청담무소</t>
        </is>
      </c>
      <c r="P2797" s="4" t="n">
        <v>1</v>
      </c>
      <c r="Q2797" s="4" t="n">
        <v>18843</v>
      </c>
      <c r="R2797" s="3" t="inlineStr">
        <is>
          <t>계획관리지역</t>
        </is>
      </c>
      <c r="S2797" s="3" t="inlineStr">
        <is>
          <t>자연림</t>
        </is>
      </c>
      <c r="T2797" s="3" t="inlineStr">
        <is>
          <t>급경사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금사리 산26-4</t>
        </is>
      </c>
      <c r="B2798" s="3" t="inlineStr">
        <is>
          <t>생산관리지역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18000</v>
      </c>
      <c r="G2798" s="4" t="n">
        <v>1653</v>
      </c>
      <c r="H2798" s="4" t="n">
        <v>500</v>
      </c>
      <c r="I2798" s="5" t="n">
        <v>36</v>
      </c>
      <c r="J2798" s="5" t="n">
        <v>2.3</v>
      </c>
      <c r="K2798" s="3" t="inlineStr">
        <is>
          <t>이정도 입지를 갖춘 임야 보셨어요</t>
        </is>
      </c>
      <c r="L2798" s="6">
        <f>HYPERLINK("https://fin.land.naver.com/articles/2651940389", "매물Link")</f>
        <v/>
      </c>
      <c r="M2798" s="6">
        <f>HYPERLINK("https://map.naver.com/p/search/전의면 금사리 산26-4", "지도Link")</f>
        <v/>
      </c>
      <c r="N2798" s="6">
        <f>HYPERLINK("http://www.eum.go.kr/web/ar/lu/luLandDet.jsp?pnu=3611037034200260004&amp;isNoScr=script&amp;mode=search", "토지이음")</f>
        <v/>
      </c>
      <c r="O2798" s="3" t="inlineStr">
        <is>
          <t>용궁</t>
        </is>
      </c>
      <c r="P2798" s="4" t="n">
        <v>1</v>
      </c>
      <c r="Q2798" s="4" t="n">
        <v>1653</v>
      </c>
      <c r="R2798" s="3" t="inlineStr">
        <is>
          <t>농림지역</t>
        </is>
      </c>
      <c r="S2798" s="3" t="inlineStr">
        <is>
          <t>자연림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맹지</t>
        </is>
      </c>
    </row>
    <row r="2799">
      <c r="A2799" s="3" t="inlineStr">
        <is>
          <t>전의면 금사리 산67-1</t>
        </is>
      </c>
      <c r="B2799" s="3" t="inlineStr">
        <is>
          <t>계획관리지역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149760</v>
      </c>
      <c r="G2799" s="4" t="n">
        <v>41256</v>
      </c>
      <c r="H2799" s="4" t="n">
        <v>12480</v>
      </c>
      <c r="I2799" s="5" t="n">
        <v>12</v>
      </c>
      <c r="J2799" s="5" t="n">
        <v>2.2</v>
      </c>
      <c r="K2799" s="3" t="inlineStr">
        <is>
          <t>급매, 국도와 근접하고 사로 연결, 계획관리 53퍼, 인근 미래산업단지</t>
        </is>
      </c>
      <c r="L2799" s="6">
        <f>HYPERLINK("https://fin.land.naver.com/articles/2654651638", "매물Link")</f>
        <v/>
      </c>
      <c r="M2799" s="6">
        <f>HYPERLINK("https://map.naver.com/p/search/전의면 금사리 산67-1", "지도Link")</f>
        <v/>
      </c>
      <c r="N2799" s="6">
        <f>HYPERLINK("http://www.eum.go.kr/web/ar/lu/luLandDet.jsp?pnu=3611037034200670001&amp;isNoScr=script&amp;mode=search", "토지이음")</f>
        <v/>
      </c>
      <c r="O2799" s="3" t="inlineStr">
        <is>
          <t>온뜰</t>
        </is>
      </c>
      <c r="P2799" s="4" t="n">
        <v>1</v>
      </c>
      <c r="Q2799" s="4" t="n">
        <v>41256</v>
      </c>
      <c r="R2799" s="3" t="inlineStr">
        <is>
          <t>농림지역</t>
        </is>
      </c>
      <c r="S2799" s="3" t="inlineStr">
        <is>
          <t>자연림</t>
        </is>
      </c>
      <c r="T2799" s="3" t="inlineStr">
        <is>
          <t>급경사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금사리 산72-4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99000</v>
      </c>
      <c r="G2800" s="4" t="n">
        <v>12881</v>
      </c>
      <c r="H2800" s="4" t="n">
        <v>3897</v>
      </c>
      <c r="I2800" s="5" t="n">
        <v>25.4</v>
      </c>
      <c r="J2800" s="5" t="n">
        <v>2.9</v>
      </c>
      <c r="K2800" s="3" t="inlineStr">
        <is>
          <t>급매, 세종미래산단과 레이캐슬CC 인근으로 향후 개발가능성 매우 높은지역</t>
        </is>
      </c>
      <c r="L2800" s="6">
        <f>HYPERLINK("https://fin.land.naver.com/articles/2654389216", "매물Link")</f>
        <v/>
      </c>
      <c r="M2800" s="6">
        <f>HYPERLINK("https://map.naver.com/p/search/전의면 금사리 산72-4", "지도Link")</f>
        <v/>
      </c>
      <c r="N2800" s="6">
        <f>HYPERLINK("http://www.eum.go.kr/web/ar/lu/luLandDet.jsp?pnu=3611037034200720004&amp;isNoScr=script&amp;mode=search", "토지이음")</f>
        <v/>
      </c>
      <c r="O2800" s="3" t="inlineStr">
        <is>
          <t>온뜰</t>
        </is>
      </c>
      <c r="P2800" s="4" t="n">
        <v>1</v>
      </c>
      <c r="Q2800" s="4" t="n">
        <v>12881</v>
      </c>
      <c r="R2800" s="3" t="inlineStr">
        <is>
          <t>지정되지않음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노곡리 315-2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25000</v>
      </c>
      <c r="G2801" s="4" t="n">
        <v>1653</v>
      </c>
      <c r="H2801" s="4" t="n">
        <v>500</v>
      </c>
      <c r="I2801" s="5" t="n">
        <v>50</v>
      </c>
      <c r="J2801" s="5" t="n">
        <v>8.199999999999999</v>
      </c>
      <c r="K2801" s="3" t="inlineStr">
        <is>
          <t>전의일반산단 인근의 조용한 계획관리 전</t>
        </is>
      </c>
      <c r="L2801" s="6">
        <f>HYPERLINK("https://fin.land.naver.com/articles/2652106544", "매물Link")</f>
        <v/>
      </c>
      <c r="M2801" s="6">
        <f>HYPERLINK("https://map.naver.com/p/search/전의면 노곡리 315-2", "지도Link")</f>
        <v/>
      </c>
      <c r="N2801" s="6">
        <f>HYPERLINK("http://www.eum.go.kr/web/ar/lu/luLandDet.jsp?pnu=3611037029103150002&amp;isNoScr=script&amp;mode=search", "토지이음")</f>
        <v/>
      </c>
      <c r="O2801" s="3" t="inlineStr">
        <is>
          <t>미스터홈즈강남지사</t>
        </is>
      </c>
      <c r="P2801" s="4" t="n">
        <v>1</v>
      </c>
      <c r="Q2801" s="4" t="n">
        <v>1653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전의면 다방리 119-2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132000</v>
      </c>
      <c r="G2802" s="4" t="n">
        <v>4370</v>
      </c>
      <c r="H2802" s="4" t="n">
        <v>1322</v>
      </c>
      <c r="I2802" s="5" t="n">
        <v>99.8</v>
      </c>
      <c r="J2802" s="5" t="n">
        <v>18.3</v>
      </c>
      <c r="K2802" s="3" t="inlineStr">
        <is>
          <t>2차선 도로에 접해있는 생산관리지역의 투자용 토지, 절충가능 합니다</t>
        </is>
      </c>
      <c r="L2802" s="6">
        <f>HYPERLINK("https://fin.land.naver.com/articles/2650950245", "매물Link")</f>
        <v/>
      </c>
      <c r="M2802" s="6">
        <f>HYPERLINK("https://map.naver.com/p/search/전의면 다방리 119-2", "지도Link")</f>
        <v/>
      </c>
      <c r="N2802" s="6">
        <f>HYPERLINK("http://www.eum.go.kr/web/ar/lu/luLandDet.jsp?pnu=3611037035101190002&amp;isNoScr=script&amp;mode=search", "토지이음")</f>
        <v/>
      </c>
      <c r="O2802" s="3" t="inlineStr">
        <is>
          <t>스마일세종</t>
        </is>
      </c>
      <c r="P2802" s="4" t="n">
        <v>1</v>
      </c>
      <c r="Q2802" s="4" t="n">
        <v>3452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소로한면</t>
        </is>
      </c>
    </row>
    <row r="2803">
      <c r="A2803" s="3" t="inlineStr">
        <is>
          <t>전의면 다방리 141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4500</v>
      </c>
      <c r="G2803" s="4" t="n">
        <v>255</v>
      </c>
      <c r="H2803" s="4" t="n">
        <v>77</v>
      </c>
      <c r="I2803" s="5" t="n">
        <v>58.4</v>
      </c>
      <c r="J2803" s="5" t="n">
        <v>16.5</v>
      </c>
      <c r="K2803" s="3" t="inlineStr">
        <is>
          <t>도로접한 소규모 대지입니다</t>
        </is>
      </c>
      <c r="L2803" s="6">
        <f>HYPERLINK("https://fin.land.naver.com/articles/2650644074", "매물Link")</f>
        <v/>
      </c>
      <c r="M2803" s="6">
        <f>HYPERLINK("https://map.naver.com/p/search/전의면 다방리 141", "지도Link")</f>
        <v/>
      </c>
      <c r="N2803" s="6">
        <f>HYPERLINK("http://www.eum.go.kr/web/ar/lu/luLandDet.jsp?pnu=3611037035101410000&amp;isNoScr=script&amp;mode=search", "토지이음")</f>
        <v/>
      </c>
      <c r="O2803" s="3" t="inlineStr">
        <is>
          <t>성환1번지</t>
        </is>
      </c>
      <c r="P2803" s="4" t="n">
        <v>1</v>
      </c>
      <c r="Q2803" s="4" t="n">
        <v>255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다방리 161-1</t>
        </is>
      </c>
      <c r="B2804" s="3" t="inlineStr">
        <is>
          <t>계획관리지역</t>
        </is>
      </c>
      <c r="C2804" s="3" t="inlineStr">
        <is>
          <t>대</t>
        </is>
      </c>
      <c r="D2804" s="3" t="inlineStr">
        <is>
          <t>대</t>
        </is>
      </c>
      <c r="E2804" s="3" t="inlineStr">
        <is>
          <t>매매</t>
        </is>
      </c>
      <c r="F2804" s="4" t="n">
        <v>17000</v>
      </c>
      <c r="G2804" s="4" t="n">
        <v>352</v>
      </c>
      <c r="H2804" s="4" t="n">
        <v>106</v>
      </c>
      <c r="I2804" s="5" t="n">
        <v>160.4</v>
      </c>
      <c r="J2804" s="5" t="n">
        <v>32.5</v>
      </c>
      <c r="K2804" s="3" t="inlineStr">
        <is>
          <t>L.D.  급매 계획관리지역 나대지 실거주나 투자용 추천 포장도로 인접</t>
        </is>
      </c>
      <c r="L2804" s="6">
        <f>HYPERLINK("https://fin.land.naver.com/articles/2654210158", "매물Link")</f>
        <v/>
      </c>
      <c r="M2804" s="6">
        <f>HYPERLINK("https://map.naver.com/p/search/전의면 다방리 161-1", "지도Link")</f>
        <v/>
      </c>
      <c r="N2804" s="6">
        <f>HYPERLINK("http://www.eum.go.kr/web/ar/lu/luLandDet.jsp?pnu=3611037035101610001&amp;isNoScr=script&amp;mode=search", "토지이음")</f>
        <v/>
      </c>
      <c r="O2804" s="3" t="inlineStr">
        <is>
          <t>리드</t>
        </is>
      </c>
      <c r="P2804" s="4" t="n">
        <v>1</v>
      </c>
      <c r="Q2804" s="4" t="n">
        <v>352</v>
      </c>
      <c r="R2804" s="3" t="inlineStr">
        <is>
          <t>지정되지않음</t>
        </is>
      </c>
      <c r="S2804" s="3" t="inlineStr">
        <is>
          <t>단독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다방리 239</t>
        </is>
      </c>
      <c r="B2805" s="3" t="inlineStr">
        <is>
          <t>생산관리지역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17000</v>
      </c>
      <c r="G2805" s="4" t="n">
        <v>1864</v>
      </c>
      <c r="H2805" s="4" t="n">
        <v>564</v>
      </c>
      <c r="I2805" s="5" t="n">
        <v>30.1</v>
      </c>
      <c r="J2805" s="5" t="n">
        <v>17.1</v>
      </c>
      <c r="K2805" s="3" t="inlineStr">
        <is>
          <t>투자가치 좋은 자경지, 생산관리 농지, 가축사육 가능</t>
        </is>
      </c>
      <c r="L2805" s="6">
        <f>HYPERLINK("https://fin.land.naver.com/articles/2655565007", "매물Link")</f>
        <v/>
      </c>
      <c r="M2805" s="6">
        <f>HYPERLINK("https://map.naver.com/p/search/전의면 다방리 239", "지도Link")</f>
        <v/>
      </c>
      <c r="N2805" s="6">
        <f>HYPERLINK("http://www.eum.go.kr/web/ar/lu/luLandDet.jsp?pnu=3611037035102390000&amp;isNoScr=script&amp;mode=search", "토지이음")</f>
        <v/>
      </c>
      <c r="O2805" s="3" t="inlineStr">
        <is>
          <t>OK세종</t>
        </is>
      </c>
      <c r="P2805" s="4" t="n">
        <v>4</v>
      </c>
      <c r="Q2805" s="4" t="n">
        <v>1864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다방리 239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17000</v>
      </c>
      <c r="G2806" s="4" t="n">
        <v>1864</v>
      </c>
      <c r="H2806" s="4" t="n">
        <v>564</v>
      </c>
      <c r="I2806" s="5" t="n">
        <v>30.1</v>
      </c>
      <c r="J2806" s="5" t="n">
        <v>17.1</v>
      </c>
      <c r="K2806" s="3" t="inlineStr">
        <is>
          <t>급매,현재 밭으로 사용중이며,현황도로 ,가격 조율해 볼게요</t>
        </is>
      </c>
      <c r="L2806" s="6">
        <f>HYPERLINK("https://fin.land.naver.com/articles/2651664285", "매물Link")</f>
        <v/>
      </c>
      <c r="M2806" s="6">
        <f>HYPERLINK("https://map.naver.com/p/search/전의면 다방리 239", "지도Link")</f>
        <v/>
      </c>
      <c r="N2806" s="6">
        <f>HYPERLINK("http://www.eum.go.kr/web/ar/lu/luLandDet.jsp?pnu=3611037035102390000&amp;isNoScr=script&amp;mode=search", "토지이음")</f>
        <v/>
      </c>
      <c r="O2806" s="3" t="inlineStr">
        <is>
          <t>나릿재OK</t>
        </is>
      </c>
      <c r="P2806" s="4" t="n">
        <v>1</v>
      </c>
      <c r="Q2806" s="4" t="n">
        <v>1864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다방리 274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70000</v>
      </c>
      <c r="G2807" s="4" t="n">
        <v>3089</v>
      </c>
      <c r="H2807" s="4" t="n">
        <v>934</v>
      </c>
      <c r="I2807" s="5" t="n">
        <v>74.90000000000001</v>
      </c>
      <c r="J2807" s="5" t="n">
        <v>14.9</v>
      </c>
      <c r="K2807" s="3" t="inlineStr">
        <is>
          <t>포장도로에 접한 생산관리지역, 성장관리계획구역의 농촌체류형 쉼터로 적합</t>
        </is>
      </c>
      <c r="L2807" s="6">
        <f>HYPERLINK("https://fin.land.naver.com/articles/2653247828", "매물Link")</f>
        <v/>
      </c>
      <c r="M2807" s="6">
        <f>HYPERLINK("https://map.naver.com/p/search/전의면 다방리 274", "지도Link")</f>
        <v/>
      </c>
      <c r="N2807" s="6">
        <f>HYPERLINK("http://www.eum.go.kr/web/ar/lu/luLandDet.jsp?pnu=3611037035102740000&amp;isNoScr=script&amp;mode=search", "토지이음")</f>
        <v/>
      </c>
      <c r="O2807" s="3" t="inlineStr">
        <is>
          <t>스마일세종</t>
        </is>
      </c>
      <c r="P2807" s="4" t="n">
        <v>1</v>
      </c>
      <c r="Q2807" s="4" t="n">
        <v>3089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세로한면(불)</t>
        </is>
      </c>
    </row>
    <row r="2808">
      <c r="A2808" s="3" t="inlineStr">
        <is>
          <t>전의면 다방리 300</t>
        </is>
      </c>
      <c r="B2808" s="3" t="inlineStr">
        <is>
          <t>농림지역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66000</v>
      </c>
      <c r="G2808" s="4" t="n">
        <v>6236</v>
      </c>
      <c r="H2808" s="4" t="n">
        <v>1886</v>
      </c>
      <c r="I2808" s="5" t="n">
        <v>35</v>
      </c>
      <c r="J2808" s="5" t="n">
        <v>12.6</v>
      </c>
      <c r="K2808" s="3" t="inlineStr">
        <is>
          <t>다방리 모양좋고 평탄작업 완료한 농림지역 지목 전으로 급매.</t>
        </is>
      </c>
      <c r="L2808" s="6">
        <f>HYPERLINK("https://fin.land.naver.com/articles/2651207624", "매물Link")</f>
        <v/>
      </c>
      <c r="M2808" s="6">
        <f>HYPERLINK("https://map.naver.com/p/search/전의면 다방리 300", "지도Link")</f>
        <v/>
      </c>
      <c r="N2808" s="6">
        <f>HYPERLINK("http://www.eum.go.kr/web/ar/lu/luLandDet.jsp?pnu=3611037035103000000&amp;isNoScr=script&amp;mode=search", "토지이음")</f>
        <v/>
      </c>
      <c r="O2808" s="3" t="inlineStr">
        <is>
          <t>세종대장</t>
        </is>
      </c>
      <c r="P2808" s="4" t="n">
        <v>2</v>
      </c>
      <c r="Q2808" s="4" t="n">
        <v>6236.6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전의면 다방리 330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56000</v>
      </c>
      <c r="G2809" s="4" t="n">
        <v>3719</v>
      </c>
      <c r="H2809" s="4" t="n">
        <v>1125</v>
      </c>
      <c r="I2809" s="5" t="n">
        <v>49.8</v>
      </c>
      <c r="J2809" s="5" t="n">
        <v>11.8</v>
      </c>
      <c r="K2809" s="3" t="inlineStr">
        <is>
          <t>관리지역토지</t>
        </is>
      </c>
      <c r="L2809" s="6">
        <f>HYPERLINK("https://fin.land.naver.com/articles/2655169454", "매물Link")</f>
        <v/>
      </c>
      <c r="M2809" s="6">
        <f>HYPERLINK("https://map.naver.com/p/search/전의면 다방리 330", "지도Link")</f>
        <v/>
      </c>
      <c r="N2809" s="6">
        <f>HYPERLINK("http://www.eum.go.kr/web/ar/lu/luLandDet.jsp?pnu=3611037035103300000&amp;isNoScr=script&amp;mode=search",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3719</v>
      </c>
      <c r="R2809" s="3" t="inlineStr">
        <is>
          <t>지정되지않음</t>
        </is>
      </c>
      <c r="S2809" s="3" t="inlineStr">
        <is>
          <t>답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세로한면(불)</t>
        </is>
      </c>
    </row>
    <row r="2810">
      <c r="A2810" s="3" t="inlineStr">
        <is>
          <t>전의면 다방리 367</t>
        </is>
      </c>
      <c r="B2810" s="3" t="inlineStr">
        <is>
          <t>계획관리지역</t>
        </is>
      </c>
      <c r="C2810" s="3" t="inlineStr">
        <is>
          <t>창고용지</t>
        </is>
      </c>
      <c r="D2810" s="3" t="inlineStr">
        <is>
          <t>대</t>
        </is>
      </c>
      <c r="E2810" s="3" t="inlineStr">
        <is>
          <t>매매</t>
        </is>
      </c>
      <c r="F2810" s="4" t="n">
        <v>97500</v>
      </c>
      <c r="G2810" s="4" t="n">
        <v>3584</v>
      </c>
      <c r="H2810" s="4" t="n">
        <v>1084</v>
      </c>
      <c r="I2810" s="5" t="n">
        <v>89.90000000000001</v>
      </c>
      <c r="J2810" s="5" t="n">
        <v>31.3</v>
      </c>
      <c r="K2810" s="3" t="inlineStr">
        <is>
          <t>리모델링한 단독주택, 창고3동. 냉동고, 저온고 있음.</t>
        </is>
      </c>
      <c r="L2810" s="6">
        <f>HYPERLINK("https://fin.land.naver.com/articles/2654233843", "매물Link")</f>
        <v/>
      </c>
      <c r="M2810" s="6">
        <f>HYPERLINK("https://map.naver.com/p/search/전의면 다방리 367", "지도Link")</f>
        <v/>
      </c>
      <c r="N2810" s="6">
        <f>HYPERLINK("http://www.eum.go.kr/web/ar/lu/luLandDet.jsp?pnu=3611037035103670000&amp;isNoScr=script&amp;mode=search", "토지이음")</f>
        <v/>
      </c>
      <c r="O2810" s="3" t="inlineStr">
        <is>
          <t>미스터홈즈강남지사</t>
        </is>
      </c>
      <c r="P2810" s="4" t="n">
        <v>1</v>
      </c>
      <c r="Q2810" s="4" t="n">
        <v>660</v>
      </c>
      <c r="R2810" s="3" t="inlineStr">
        <is>
          <t>지정되지않음</t>
        </is>
      </c>
      <c r="S2810" s="3" t="inlineStr">
        <is>
          <t>주거기타</t>
        </is>
      </c>
      <c r="T2810" s="3" t="inlineStr">
        <is>
          <t>완경사</t>
        </is>
      </c>
      <c r="U2810" s="3" t="inlineStr">
        <is>
          <t>자루형</t>
        </is>
      </c>
      <c r="V2810" s="3" t="inlineStr">
        <is>
          <t>세로한면(가)</t>
        </is>
      </c>
    </row>
    <row r="2811">
      <c r="A2811" s="3" t="inlineStr">
        <is>
          <t>전의면 다방리 490-1</t>
        </is>
      </c>
      <c r="B2811" s="3" t="inlineStr">
        <is>
          <t>생산관리지역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35000</v>
      </c>
      <c r="G2811" s="4" t="n">
        <v>1652</v>
      </c>
      <c r="H2811" s="4" t="n">
        <v>500</v>
      </c>
      <c r="I2811" s="5" t="n">
        <v>70</v>
      </c>
      <c r="J2811" s="5" t="n">
        <v>18.2</v>
      </c>
      <c r="K2811" s="3" t="inlineStr">
        <is>
          <t>도로 접한 생산관리지역, 성장관리계획구역 토지</t>
        </is>
      </c>
      <c r="L2811" s="6">
        <f>HYPERLINK("https://fin.land.naver.com/articles/2651898491", "매물Link")</f>
        <v/>
      </c>
      <c r="M2811" s="6">
        <f>HYPERLINK("https://map.naver.com/p/search/전의면 다방리 490-1", "지도Link")</f>
        <v/>
      </c>
      <c r="N2811" s="6">
        <f>HYPERLINK("http://www.eum.go.kr/web/ar/lu/luLandDet.jsp?pnu=3611037035104900001&amp;isNoScr=script&amp;mode=search", "토지이음")</f>
        <v/>
      </c>
      <c r="O2811" s="3" t="inlineStr">
        <is>
          <t>새롬삼둥이</t>
        </is>
      </c>
      <c r="P2811" s="4" t="n">
        <v>1</v>
      </c>
      <c r="Q2811" s="4" t="n">
        <v>1652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완경사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전의면 다방리 산26-9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500</v>
      </c>
      <c r="G2812" s="4" t="n">
        <v>661</v>
      </c>
      <c r="H2812" s="4" t="n">
        <v>200</v>
      </c>
      <c r="I2812" s="5" t="n">
        <v>2.5</v>
      </c>
      <c r="J2812" s="5" t="n">
        <v>1</v>
      </c>
      <c r="K2812" s="3" t="inlineStr">
        <is>
          <t>급매 시세보다 훨씬 저렴하게 매매합니다</t>
        </is>
      </c>
      <c r="L2812" s="6">
        <f>HYPERLINK("https://fin.land.naver.com/articles/2654654720", "매물Link")</f>
        <v/>
      </c>
      <c r="M2812" s="6">
        <f>HYPERLINK("https://map.naver.com/p/search/전의면 다방리 산26-9", "지도Link")</f>
        <v/>
      </c>
      <c r="N2812" s="6">
        <f>HYPERLINK("http://www.eum.go.kr/web/ar/lu/luLandDet.jsp?pnu=3611037035200260009&amp;isNoScr=script&amp;mode=search", "토지이음")</f>
        <v/>
      </c>
      <c r="O2812" s="3" t="inlineStr">
        <is>
          <t>다해사무소</t>
        </is>
      </c>
      <c r="P2812" s="4" t="n">
        <v>1</v>
      </c>
      <c r="Q2812" s="4" t="n">
        <v>90232</v>
      </c>
      <c r="R2812" s="3" t="inlineStr">
        <is>
          <t>보전관리지역</t>
        </is>
      </c>
      <c r="S2812" s="3" t="inlineStr">
        <is>
          <t>자연림</t>
        </is>
      </c>
      <c r="T2812" s="3" t="inlineStr">
        <is>
          <t>급경사</t>
        </is>
      </c>
      <c r="U2812" s="3" t="inlineStr">
        <is>
          <t>부정형</t>
        </is>
      </c>
      <c r="V2812" s="3" t="inlineStr">
        <is>
          <t>세로한면(불)</t>
        </is>
      </c>
    </row>
    <row r="2813">
      <c r="A2813" s="3" t="inlineStr">
        <is>
          <t>전의면 달전리 152-14</t>
        </is>
      </c>
      <c r="B2813" s="3" t="inlineStr">
        <is>
          <t>보전관리지역</t>
        </is>
      </c>
      <c r="C2813" s="3" t="inlineStr">
        <is>
          <t>임야</t>
        </is>
      </c>
      <c r="D2813" s="3" t="inlineStr">
        <is>
          <t>임야</t>
        </is>
      </c>
      <c r="E2813" s="3" t="inlineStr">
        <is>
          <t>매매</t>
        </is>
      </c>
      <c r="F2813" s="4" t="n">
        <v>39000</v>
      </c>
      <c r="G2813" s="4" t="n">
        <v>860</v>
      </c>
      <c r="H2813" s="4" t="n">
        <v>260</v>
      </c>
      <c r="I2813" s="5" t="n">
        <v>150</v>
      </c>
      <c r="J2813" s="5" t="n">
        <v>1.7</v>
      </c>
      <c r="K2813" s="3" t="inlineStr">
        <is>
          <t>nan</t>
        </is>
      </c>
      <c r="L2813" s="6">
        <f>HYPERLINK("https://fin.land.naver.com/articles/2650425539", "매물Link")</f>
        <v/>
      </c>
      <c r="M2813" s="6">
        <f>HYPERLINK("https://map.naver.com/p/search/전의면 달전리 152-14", "지도Link")</f>
        <v/>
      </c>
      <c r="N2813" s="6">
        <f>HYPERLINK("http://www.eum.go.kr/web/ar/lu/luLandDet.jsp?pnu=3611037033101520014&amp;isNoScr=script&amp;mode=search", "토지이음")</f>
        <v/>
      </c>
      <c r="O2813" s="3" t="inlineStr">
        <is>
          <t>나침반</t>
        </is>
      </c>
      <c r="P2813" s="4" t="n">
        <v>1</v>
      </c>
      <c r="Q2813" s="4" t="n">
        <v>824</v>
      </c>
      <c r="R2813" s="3" t="inlineStr">
        <is>
          <t>지정되지않음</t>
        </is>
      </c>
      <c r="S2813" s="3" t="inlineStr">
        <is>
          <t>자연림</t>
        </is>
      </c>
      <c r="T2813" s="3" t="inlineStr">
        <is>
          <t>급경사</t>
        </is>
      </c>
      <c r="U2813" s="3" t="inlineStr">
        <is>
          <t>사다리형</t>
        </is>
      </c>
      <c r="V2813" s="3" t="inlineStr">
        <is>
          <t>세로한면(불)</t>
        </is>
      </c>
    </row>
    <row r="2814">
      <c r="A2814" s="3" t="inlineStr">
        <is>
          <t>전의면 달전리 162-1</t>
        </is>
      </c>
      <c r="B2814" s="3" t="inlineStr">
        <is>
          <t>생산관리지역</t>
        </is>
      </c>
      <c r="C2814" s="3" t="inlineStr">
        <is>
          <t>답</t>
        </is>
      </c>
      <c r="D2814" s="3" t="inlineStr">
        <is>
          <t>답</t>
        </is>
      </c>
      <c r="E2814" s="3" t="inlineStr">
        <is>
          <t>매매</t>
        </is>
      </c>
      <c r="F2814" s="4" t="n">
        <v>15000</v>
      </c>
      <c r="G2814" s="4" t="n">
        <v>1983</v>
      </c>
      <c r="H2814" s="4" t="n">
        <v>600</v>
      </c>
      <c r="I2814" s="5" t="n">
        <v>25</v>
      </c>
      <c r="J2814" s="5" t="n">
        <v>10.6</v>
      </c>
      <c r="K2814" s="3" t="inlineStr">
        <is>
          <t>평당25만원, 저렴하게 구입가능합니다.</t>
        </is>
      </c>
      <c r="L2814" s="6">
        <f>HYPERLINK("https://fin.land.naver.com/articles/2655095574", "매물Link")</f>
        <v/>
      </c>
      <c r="M2814" s="6">
        <f>HYPERLINK("https://map.naver.com/p/search/전의면 달전리 162-1", "지도Link")</f>
        <v/>
      </c>
      <c r="N2814" s="6">
        <f>HYPERLINK("http://www.eum.go.kr/web/ar/lu/luLandDet.jsp?pnu=3611037033101620001&amp;isNoScr=script&amp;mode=search", "토지이음")</f>
        <v/>
      </c>
      <c r="O2814" s="3" t="inlineStr">
        <is>
          <t>킹</t>
        </is>
      </c>
      <c r="P2814" s="4" t="n">
        <v>1</v>
      </c>
      <c r="Q2814" s="4" t="n">
        <v>1983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달전리 264-2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66000</v>
      </c>
      <c r="G2815" s="4" t="n">
        <v>992</v>
      </c>
      <c r="H2815" s="4" t="n">
        <v>300</v>
      </c>
      <c r="I2815" s="5" t="n">
        <v>220</v>
      </c>
      <c r="J2815" s="5" t="n">
        <v>20.8</v>
      </c>
      <c r="K2815" s="3" t="inlineStr">
        <is>
          <t>계획관리, 2차선접</t>
        </is>
      </c>
      <c r="L2815" s="6">
        <f>HYPERLINK("https://fin.land.naver.com/articles/2651522678", "매물Link")</f>
        <v/>
      </c>
      <c r="M2815" s="6">
        <f>HYPERLINK("https://map.naver.com/p/search/전의면 달전리 264-2", "지도Link")</f>
        <v/>
      </c>
      <c r="N2815" s="6">
        <f>HYPERLINK("http://www.eum.go.kr/web/ar/lu/luLandDet.jsp?pnu=3611037033102640002&amp;isNoScr=script&amp;mode=search", "토지이음")</f>
        <v/>
      </c>
      <c r="O2815" s="3" t="inlineStr">
        <is>
          <t>이기영</t>
        </is>
      </c>
      <c r="P2815" s="4" t="n">
        <v>1</v>
      </c>
      <c r="Q2815" s="4" t="n">
        <v>992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소로한면</t>
        </is>
      </c>
    </row>
    <row r="2816">
      <c r="A2816" s="3" t="inlineStr">
        <is>
          <t>전의면 달전리 361-3</t>
        </is>
      </c>
      <c r="B2816" s="3" t="inlineStr">
        <is>
          <t>보전관리지역</t>
        </is>
      </c>
      <c r="C2816" s="3" t="inlineStr">
        <is>
          <t>전</t>
        </is>
      </c>
      <c r="D2816" s="3" t="inlineStr">
        <is>
          <t>전</t>
        </is>
      </c>
      <c r="E2816" s="3" t="inlineStr">
        <is>
          <t>매매</t>
        </is>
      </c>
      <c r="F2816" s="4" t="n">
        <v>10000</v>
      </c>
      <c r="G2816" s="4" t="n">
        <v>469</v>
      </c>
      <c r="H2816" s="4" t="n">
        <v>142</v>
      </c>
      <c r="I2816" s="5" t="n">
        <v>70.40000000000001</v>
      </c>
      <c r="J2816" s="5" t="n">
        <v>12.4</v>
      </c>
      <c r="K2816" s="3" t="inlineStr">
        <is>
          <t>nan</t>
        </is>
      </c>
      <c r="L2816" s="6">
        <f>HYPERLINK("https://fin.land.naver.com/articles/2651680736", "매물Link")</f>
        <v/>
      </c>
      <c r="M2816" s="6">
        <f>HYPERLINK("https://map.naver.com/p/search/전의면 달전리 361-3", "지도Link")</f>
        <v/>
      </c>
      <c r="N2816" s="6">
        <f>HYPERLINK("http://www.eum.go.kr/web/ar/lu/luLandDet.jsp?pnu=3611037033103610003&amp;isNoScr=script&amp;mode=search", "토지이음")</f>
        <v/>
      </c>
      <c r="O2816" s="3" t="inlineStr">
        <is>
          <t>최프로</t>
        </is>
      </c>
      <c r="P2816" s="4" t="n">
        <v>1</v>
      </c>
      <c r="Q2816" s="4" t="n">
        <v>469</v>
      </c>
      <c r="R2816" s="3" t="inlineStr">
        <is>
          <t>지정되지않음</t>
        </is>
      </c>
      <c r="S2816" s="3" t="inlineStr">
        <is>
          <t>전</t>
        </is>
      </c>
      <c r="T2816" s="3" t="inlineStr">
        <is>
          <t>완경사</t>
        </is>
      </c>
      <c r="U2816" s="3" t="inlineStr">
        <is>
          <t>가로장방</t>
        </is>
      </c>
      <c r="V2816" s="3" t="inlineStr">
        <is>
          <t>세로한면(가)</t>
        </is>
      </c>
    </row>
    <row r="2817">
      <c r="A2817" s="3" t="inlineStr">
        <is>
          <t>전의면 달전리 404-4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168000</v>
      </c>
      <c r="G2817" s="4" t="n">
        <v>3692</v>
      </c>
      <c r="H2817" s="4" t="n">
        <v>1117</v>
      </c>
      <c r="I2817" s="5" t="n">
        <v>150.4</v>
      </c>
      <c r="J2817" s="5" t="n">
        <v>14.3</v>
      </c>
      <c r="K2817" s="3" t="inlineStr">
        <is>
          <t>레이캐슬 인근 2차선 변 계획관리 토지, 근생, 공장 창고, 주택</t>
        </is>
      </c>
      <c r="L2817" s="6">
        <f>HYPERLINK("https://fin.land.naver.com/articles/2654246843", "매물Link")</f>
        <v/>
      </c>
      <c r="M2817" s="6">
        <f>HYPERLINK("https://map.naver.com/p/search/전의면 달전리 404-4", "지도Link")</f>
        <v/>
      </c>
      <c r="N2817" s="6">
        <f>HYPERLINK("http://www.eum.go.kr/web/ar/lu/luLandDet.jsp?pnu=3611037033104040004&amp;isNoScr=script&amp;mode=search", "토지이음")</f>
        <v/>
      </c>
      <c r="O2817" s="3" t="inlineStr">
        <is>
          <t>미스터홈즈강남지사</t>
        </is>
      </c>
      <c r="P2817" s="4" t="n">
        <v>1</v>
      </c>
      <c r="Q2817" s="4" t="n">
        <v>2315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달전리 406-1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181600</v>
      </c>
      <c r="G2818" s="4" t="n">
        <v>3752</v>
      </c>
      <c r="H2818" s="4" t="n">
        <v>1135</v>
      </c>
      <c r="I2818" s="5" t="n">
        <v>160</v>
      </c>
      <c r="J2818" s="5" t="n">
        <v>13.8</v>
      </c>
      <c r="K2818" s="3" t="inlineStr">
        <is>
          <t>세종시 전의면에 위치한 2차선 도로 접한 토지 매매</t>
        </is>
      </c>
      <c r="L2818" s="6">
        <f>HYPERLINK("https://fin.land.naver.com/articles/2653393004", "매물Link")</f>
        <v/>
      </c>
      <c r="M2818" s="6">
        <f>HYPERLINK("https://map.naver.com/p/search/전의면 달전리 406-1", "지도Link")</f>
        <v/>
      </c>
      <c r="N2818" s="6">
        <f>HYPERLINK("http://www.eum.go.kr/web/ar/lu/luLandDet.jsp?pnu=3611037033104060001&amp;isNoScr=script&amp;mode=search", "토지이음")</f>
        <v/>
      </c>
      <c r="O2818" s="3" t="inlineStr">
        <is>
          <t>대지</t>
        </is>
      </c>
      <c r="P2818" s="4" t="n">
        <v>1</v>
      </c>
      <c r="Q2818" s="4" t="n">
        <v>1000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소로한면</t>
        </is>
      </c>
    </row>
    <row r="2819">
      <c r="A2819" s="3" t="inlineStr">
        <is>
          <t>전의면 달전리 406-10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48500</v>
      </c>
      <c r="G2819" s="4" t="n">
        <v>1000</v>
      </c>
      <c r="H2819" s="4" t="n">
        <v>302</v>
      </c>
      <c r="I2819" s="5" t="n">
        <v>160.6</v>
      </c>
      <c r="J2819" s="5" t="n">
        <v>13.9</v>
      </c>
      <c r="K2819" s="3" t="inlineStr">
        <is>
          <t>전의면 달전리 2차선 접한 계획관리 토지, 근생시설 건축, 하천 옆</t>
        </is>
      </c>
      <c r="L2819" s="6">
        <f>HYPERLINK("https://fin.land.naver.com/articles/2654029601", "매물Link")</f>
        <v/>
      </c>
      <c r="M2819" s="6">
        <f>HYPERLINK("https://map.naver.com/p/search/전의면 달전리 406-10", "지도Link")</f>
        <v/>
      </c>
      <c r="N2819" s="6">
        <f>HYPERLINK("http://www.eum.go.kr/web/ar/lu/luLandDet.jsp?pnu=3611037033104060010&amp;isNoScr=script&amp;mode=search", "토지이음")</f>
        <v/>
      </c>
      <c r="O2819" s="3" t="inlineStr">
        <is>
          <t>스카이</t>
        </is>
      </c>
      <c r="P2819" s="4" t="n">
        <v>1</v>
      </c>
      <c r="Q2819" s="4" t="n">
        <v>1000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소로한면</t>
        </is>
      </c>
    </row>
    <row r="2820">
      <c r="A2820" s="3" t="inlineStr">
        <is>
          <t>전의면 달전리 409-3</t>
        </is>
      </c>
      <c r="B2820" s="3" t="inlineStr">
        <is>
          <t>계획관리지역</t>
        </is>
      </c>
      <c r="C2820" s="3" t="inlineStr">
        <is>
          <t>전</t>
        </is>
      </c>
      <c r="D2820" s="3" t="inlineStr">
        <is>
          <t>전</t>
        </is>
      </c>
      <c r="E2820" s="3" t="inlineStr">
        <is>
          <t>매매</t>
        </is>
      </c>
      <c r="F2820" s="4" t="n">
        <v>95000</v>
      </c>
      <c r="G2820" s="4" t="n">
        <v>2859</v>
      </c>
      <c r="H2820" s="4" t="n">
        <v>865</v>
      </c>
      <c r="I2820" s="5" t="n">
        <v>109.8</v>
      </c>
      <c r="J2820" s="5" t="n">
        <v>20.2</v>
      </c>
      <c r="K2820" s="3" t="inlineStr">
        <is>
          <t>2차선 도로 인접한 계획관리 토지매매</t>
        </is>
      </c>
      <c r="L2820" s="6">
        <f>HYPERLINK("https://fin.land.naver.com/articles/2655177205", "매물Link")</f>
        <v/>
      </c>
      <c r="M2820" s="6">
        <f>HYPERLINK("https://map.naver.com/p/search/전의면 달전리 409-3", "지도Link")</f>
        <v/>
      </c>
      <c r="N2820" s="6">
        <f>HYPERLINK("http://www.eum.go.kr/web/ar/lu/luLandDet.jsp?pnu=3611037033104090003&amp;isNoScr=script&amp;mode=search", "토지이음")</f>
        <v/>
      </c>
      <c r="O2820" s="3" t="inlineStr">
        <is>
          <t>에이스</t>
        </is>
      </c>
      <c r="P2820" s="4" t="n">
        <v>1</v>
      </c>
      <c r="Q2820" s="4" t="n">
        <v>2859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달전리 411-10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전</t>
        </is>
      </c>
      <c r="E2821" s="3" t="inlineStr">
        <is>
          <t>매매</t>
        </is>
      </c>
      <c r="F2821" s="4" t="n">
        <v>22000</v>
      </c>
      <c r="G2821" s="4" t="n">
        <v>662</v>
      </c>
      <c r="H2821" s="4" t="n">
        <v>200</v>
      </c>
      <c r="I2821" s="5" t="n">
        <v>110</v>
      </c>
      <c r="J2821" s="5" t="n">
        <v>22.2</v>
      </c>
      <c r="K2821" s="3" t="inlineStr">
        <is>
          <t>전의면 달전리 2차선변 계획관리 토지, 초급매, 건축 및 투자용</t>
        </is>
      </c>
      <c r="L2821" s="6">
        <f>HYPERLINK("https://fin.land.naver.com/articles/2654028199", "매물Link")</f>
        <v/>
      </c>
      <c r="M2821" s="6">
        <f>HYPERLINK("https://map.naver.com/p/search/전의면 달전리 411-10", "지도Link")</f>
        <v/>
      </c>
      <c r="N2821" s="6">
        <f>HYPERLINK("http://www.eum.go.kr/web/ar/lu/luLandDet.jsp?pnu=3611037033104110010&amp;isNoScr=script&amp;mode=search", "토지이음")</f>
        <v/>
      </c>
      <c r="O2821" s="3" t="inlineStr">
        <is>
          <t>스카이</t>
        </is>
      </c>
      <c r="P2821" s="4" t="n">
        <v>2</v>
      </c>
      <c r="Q2821" s="4" t="n">
        <v>662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소로한면</t>
        </is>
      </c>
    </row>
    <row r="2822">
      <c r="A2822" s="3" t="inlineStr">
        <is>
          <t>전의면 달전리 516-1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14000</v>
      </c>
      <c r="G2822" s="4" t="n">
        <v>782</v>
      </c>
      <c r="H2822" s="4" t="n">
        <v>237</v>
      </c>
      <c r="I2822" s="5" t="n">
        <v>59.1</v>
      </c>
      <c r="J2822" s="5" t="n">
        <v>17.3</v>
      </c>
      <c r="K2822" s="3" t="inlineStr">
        <is>
          <t>텃밭 가꾸며 체류형쉼터나 농막 놓고 시냇물 흐르는 곳에서 쉬기 좋아요.</t>
        </is>
      </c>
      <c r="L2822" s="6">
        <f>HYPERLINK("https://fin.land.naver.com/articles/2651108070", "매물Link")</f>
        <v/>
      </c>
      <c r="M2822" s="6">
        <f>HYPERLINK("https://map.naver.com/p/search/전의면 달전리 516-1", "지도Link")</f>
        <v/>
      </c>
      <c r="N2822" s="6">
        <f>HYPERLINK("http://www.eum.go.kr/web/ar/lu/luLandDet.jsp?pnu=3611037033105160001&amp;isNoScr=script&amp;mode=search", "토지이음")</f>
        <v/>
      </c>
      <c r="O2822" s="3" t="inlineStr">
        <is>
          <t>효자</t>
        </is>
      </c>
      <c r="P2822" s="4" t="n">
        <v>1</v>
      </c>
      <c r="Q2822" s="4" t="n">
        <v>782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달전리 61</t>
        </is>
      </c>
      <c r="B2823" s="3" t="inlineStr">
        <is>
          <t>생산관리지역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52000</v>
      </c>
      <c r="G2823" s="4" t="n">
        <v>2860</v>
      </c>
      <c r="H2823" s="4" t="n">
        <v>865</v>
      </c>
      <c r="I2823" s="5" t="n">
        <v>60.1</v>
      </c>
      <c r="J2823" s="5" t="n">
        <v>13.7</v>
      </c>
      <c r="K2823" s="3" t="inlineStr">
        <is>
          <t>nan</t>
        </is>
      </c>
      <c r="L2823" s="6">
        <f>HYPERLINK("https://fin.land.naver.com/articles/2651598626", "매물Link")</f>
        <v/>
      </c>
      <c r="M2823" s="6">
        <f>HYPERLINK("https://map.naver.com/p/search/전의면 달전리 61", "지도Link")</f>
        <v/>
      </c>
      <c r="N2823" s="6">
        <f>HYPERLINK("http://www.eum.go.kr/web/ar/lu/luLandDet.jsp?pnu=3611037033100610000&amp;isNoScr=script&amp;mode=search", "토지이음")</f>
        <v/>
      </c>
      <c r="O2823" s="3" t="inlineStr">
        <is>
          <t>다정현대</t>
        </is>
      </c>
      <c r="P2823" s="4" t="n">
        <v>1</v>
      </c>
      <c r="Q2823" s="4" t="n">
        <v>516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세로한면(가)</t>
        </is>
      </c>
    </row>
    <row r="2824">
      <c r="A2824" s="3" t="inlineStr">
        <is>
          <t>전의면 달전리 75</t>
        </is>
      </c>
      <c r="B2824" s="3" t="inlineStr">
        <is>
          <t>생산관리지역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14535</v>
      </c>
      <c r="G2824" s="4" t="n">
        <v>1067</v>
      </c>
      <c r="H2824" s="4" t="n">
        <v>323</v>
      </c>
      <c r="I2824" s="5" t="n">
        <v>45</v>
      </c>
      <c r="J2824" s="5" t="n">
        <v>11.3</v>
      </c>
      <c r="K2824" s="3" t="inlineStr">
        <is>
          <t>체류형쉼터 가능한 농지. 평당45만원</t>
        </is>
      </c>
      <c r="L2824" s="6">
        <f>HYPERLINK("https://fin.land.naver.com/articles/2652114202", "매물Link")</f>
        <v/>
      </c>
      <c r="M2824" s="6">
        <f>HYPERLINK("https://map.naver.com/p/search/전의면 달전리 75", "지도Link")</f>
        <v/>
      </c>
      <c r="N2824" s="6">
        <f>HYPERLINK("http://www.eum.go.kr/web/ar/lu/luLandDet.jsp?pnu=3611037033100750000&amp;isNoScr=script&amp;mode=search", "토지이음")</f>
        <v/>
      </c>
      <c r="O2824" s="3" t="inlineStr">
        <is>
          <t>미스터홈즈강남지사</t>
        </is>
      </c>
      <c r="P2824" s="4" t="n">
        <v>1</v>
      </c>
      <c r="Q2824" s="4" t="n">
        <v>1114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달전리 산 105</t>
        </is>
      </c>
      <c r="B2825" s="3" t="inlineStr">
        <is>
          <t>농림지역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96000</v>
      </c>
      <c r="G2825" s="4" t="n">
        <v>50876</v>
      </c>
      <c r="H2825" s="4" t="n">
        <v>15390</v>
      </c>
      <c r="I2825" s="5" t="n">
        <v>6.2</v>
      </c>
      <c r="J2825" s="5" t="n">
        <v>0.9</v>
      </c>
      <c r="K2825" s="3" t="inlineStr">
        <is>
          <t>nan</t>
        </is>
      </c>
      <c r="L2825" s="6">
        <f>HYPERLINK("https://fin.land.naver.com/articles/2653785975", "매물Link")</f>
        <v/>
      </c>
      <c r="M2825" s="6">
        <f>HYPERLINK("https://map.naver.com/p/search/전의면 달전리 산 105", "지도Link")</f>
        <v/>
      </c>
      <c r="N2825" s="6">
        <f>HYPERLINK("http://www.eum.go.kr/web/ar/lu/luLandDet.jsp?pnu=3611037033201050000&amp;isNoScr=script&amp;mode=search", "토지이음")</f>
        <v/>
      </c>
      <c r="O2825" s="3" t="inlineStr">
        <is>
          <t>바른</t>
        </is>
      </c>
      <c r="P2825" s="4" t="n">
        <v>1</v>
      </c>
      <c r="Q2825" s="4" t="n">
        <v>50876</v>
      </c>
      <c r="R2825" s="3" t="inlineStr">
        <is>
          <t>지정되지않음</t>
        </is>
      </c>
      <c r="S2825" s="3" t="inlineStr">
        <is>
          <t>자연림</t>
        </is>
      </c>
      <c r="T2825" s="3" t="inlineStr">
        <is>
          <t>고지</t>
        </is>
      </c>
      <c r="U2825" s="3" t="inlineStr">
        <is>
          <t>부정형</t>
        </is>
      </c>
      <c r="V2825" s="3" t="inlineStr">
        <is>
          <t>세로한면(불)</t>
        </is>
      </c>
    </row>
    <row r="2826">
      <c r="A2826" s="3" t="inlineStr">
        <is>
          <t>전의면 달전리 산 105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96000</v>
      </c>
      <c r="G2826" s="4" t="n">
        <v>50876</v>
      </c>
      <c r="H2826" s="4" t="n">
        <v>15390</v>
      </c>
      <c r="I2826" s="5" t="n">
        <v>6.2</v>
      </c>
      <c r="J2826" s="5" t="n">
        <v>0.9</v>
      </c>
      <c r="K2826" s="3" t="inlineStr">
        <is>
          <t>nan</t>
        </is>
      </c>
      <c r="L2826" s="6">
        <f>HYPERLINK("https://fin.land.naver.com/articles/2651533289", "매물Link")</f>
        <v/>
      </c>
      <c r="M2826" s="6">
        <f>HYPERLINK("https://map.naver.com/p/search/전의면 달전리 산 105", "지도Link")</f>
        <v/>
      </c>
      <c r="N2826" s="6">
        <f>HYPERLINK("http://www.eum.go.kr/web/ar/lu/luLandDet.jsp?pnu=3611037033201050000&amp;isNoScr=script&amp;mode=search", "토지이음")</f>
        <v/>
      </c>
      <c r="O2826" s="3" t="inlineStr">
        <is>
          <t>바른</t>
        </is>
      </c>
      <c r="P2826" s="4" t="n">
        <v>1</v>
      </c>
      <c r="Q2826" s="4" t="n">
        <v>50876</v>
      </c>
      <c r="R2826" s="3" t="inlineStr">
        <is>
          <t>지정되지않음</t>
        </is>
      </c>
      <c r="S2826" s="3" t="inlineStr">
        <is>
          <t>자연림</t>
        </is>
      </c>
      <c r="T2826" s="3" t="inlineStr">
        <is>
          <t>고지</t>
        </is>
      </c>
      <c r="U2826" s="3" t="inlineStr">
        <is>
          <t>부정형</t>
        </is>
      </c>
      <c r="V2826" s="3" t="inlineStr">
        <is>
          <t>세로한면(불)</t>
        </is>
      </c>
    </row>
    <row r="2827">
      <c r="A2827" s="3" t="inlineStr">
        <is>
          <t>전의면 달전리 산 26</t>
        </is>
      </c>
      <c r="B2827" s="3" t="inlineStr">
        <is>
          <t>보전관리지역</t>
        </is>
      </c>
      <c r="C2827" s="3" t="inlineStr">
        <is>
          <t>임야</t>
        </is>
      </c>
      <c r="D2827" s="3" t="inlineStr">
        <is>
          <t>임야</t>
        </is>
      </c>
      <c r="E2827" s="3" t="inlineStr">
        <is>
          <t>매매</t>
        </is>
      </c>
      <c r="F2827" s="4" t="n">
        <v>240000</v>
      </c>
      <c r="G2827" s="4" t="n">
        <v>237976</v>
      </c>
      <c r="H2827" s="4" t="n">
        <v>71988</v>
      </c>
      <c r="I2827" s="5" t="n">
        <v>3.3</v>
      </c>
      <c r="J2827" s="5" t="n">
        <v>2.3</v>
      </c>
      <c r="K2827" s="3" t="inlineStr">
        <is>
          <t>포장도로접, 입구 보전관리지역에 건축가능</t>
        </is>
      </c>
      <c r="L2827" s="6">
        <f>HYPERLINK("https://fin.land.naver.com/articles/2652931235", "매물Link")</f>
        <v/>
      </c>
      <c r="M2827" s="6">
        <f>HYPERLINK("https://map.naver.com/p/search/전의면 달전리 산 26", "지도Link")</f>
        <v/>
      </c>
      <c r="N2827" s="6">
        <f>HYPERLINK("http://www.eum.go.kr/web/ar/lu/luLandDet.jsp?pnu=3611037033200260000&amp;isNoScr=script&amp;mode=search", "토지이음")</f>
        <v/>
      </c>
      <c r="O2827" s="3" t="inlineStr">
        <is>
          <t>으뜸</t>
        </is>
      </c>
      <c r="P2827" s="4" t="n">
        <v>1</v>
      </c>
      <c r="Q2827" s="4" t="n">
        <v>6145</v>
      </c>
      <c r="R2827" s="3" t="inlineStr">
        <is>
          <t>농림지역</t>
        </is>
      </c>
      <c r="S2827" s="3" t="inlineStr">
        <is>
          <t>자연림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세로한면(가)</t>
        </is>
      </c>
    </row>
    <row r="2828">
      <c r="A2828" s="3" t="inlineStr">
        <is>
          <t>전의면 달전리 산109-2</t>
        </is>
      </c>
      <c r="B2828" s="3" t="inlineStr">
        <is>
          <t>농림지역</t>
        </is>
      </c>
      <c r="C2828" s="3" t="inlineStr">
        <is>
          <t>임야</t>
        </is>
      </c>
      <c r="D2828" s="3" t="inlineStr">
        <is>
          <t>임야</t>
        </is>
      </c>
      <c r="E2828" s="3" t="inlineStr">
        <is>
          <t>매매</t>
        </is>
      </c>
      <c r="F2828" s="4" t="n">
        <v>55300</v>
      </c>
      <c r="G2828" s="4" t="n">
        <v>91382</v>
      </c>
      <c r="H2828" s="4" t="n">
        <v>27643</v>
      </c>
      <c r="I2828" s="5" t="n">
        <v>2</v>
      </c>
      <c r="J2828" s="5" t="n">
        <v>0.9</v>
      </c>
      <c r="K2828" s="3" t="inlineStr">
        <is>
          <t>nan</t>
        </is>
      </c>
      <c r="L2828" s="6">
        <f>HYPERLINK("https://fin.land.naver.com/articles/2653083489", "매물Link")</f>
        <v/>
      </c>
      <c r="M2828" s="6">
        <f>HYPERLINK("https://map.naver.com/p/search/전의면 달전리 산109-2", "지도Link")</f>
        <v/>
      </c>
      <c r="N2828" s="6">
        <f>HYPERLINK("http://www.eum.go.kr/web/ar/lu/luLandDet.jsp?pnu=3611037033201090002&amp;isNoScr=script&amp;mode=search", "토지이음")</f>
        <v/>
      </c>
      <c r="O2828" s="3" t="inlineStr">
        <is>
          <t>돈방석</t>
        </is>
      </c>
      <c r="P2828" s="4" t="n">
        <v>1</v>
      </c>
      <c r="Q2828" s="4" t="n">
        <v>91382</v>
      </c>
      <c r="R2828" s="3" t="inlineStr">
        <is>
          <t>지정되지않음</t>
        </is>
      </c>
      <c r="S2828" s="3" t="inlineStr">
        <is>
          <t>자연림</t>
        </is>
      </c>
      <c r="T2828" s="3" t="inlineStr">
        <is>
          <t>고지</t>
        </is>
      </c>
      <c r="U2828" s="3" t="inlineStr">
        <is>
          <t>부정형</t>
        </is>
      </c>
      <c r="V2828" s="3" t="inlineStr">
        <is>
          <t>세로한면(불)</t>
        </is>
      </c>
    </row>
    <row r="2829">
      <c r="A2829" s="3" t="inlineStr">
        <is>
          <t>전의면 달전리 산30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50000</v>
      </c>
      <c r="G2829" s="4" t="n">
        <v>9620</v>
      </c>
      <c r="H2829" s="4" t="n">
        <v>2910</v>
      </c>
      <c r="I2829" s="5" t="n">
        <v>17.2</v>
      </c>
      <c r="J2829" s="5" t="n">
        <v>1</v>
      </c>
      <c r="K2829" s="3" t="inlineStr">
        <is>
          <t>임업용산지로 임업후계자, 묘지추천 가격조절가능</t>
        </is>
      </c>
      <c r="L2829" s="6">
        <f>HYPERLINK("https://fin.land.naver.com/articles/2653126475", "매물Link")</f>
        <v/>
      </c>
      <c r="M2829" s="6">
        <f>HYPERLINK("https://map.naver.com/p/search/전의면 달전리 산30", "지도Link")</f>
        <v/>
      </c>
      <c r="N2829" s="6">
        <f>HYPERLINK("http://www.eum.go.kr/web/ar/lu/luLandDet.jsp?pnu=3611037033200300000&amp;isNoScr=script&amp;mode=search", "토지이음")</f>
        <v/>
      </c>
      <c r="O2829" s="3" t="inlineStr">
        <is>
          <t>킹</t>
        </is>
      </c>
      <c r="P2829" s="4" t="n">
        <v>1</v>
      </c>
      <c r="Q2829" s="4" t="n">
        <v>9620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급경사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동교리 111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70000</v>
      </c>
      <c r="G2830" s="4" t="n">
        <v>2046</v>
      </c>
      <c r="H2830" s="4" t="n">
        <v>619</v>
      </c>
      <c r="I2830" s="5" t="n">
        <v>113.1</v>
      </c>
      <c r="J2830" s="5" t="n">
        <v>27.7</v>
      </c>
      <c r="K2830" s="3" t="inlineStr">
        <is>
          <t>계획관리지역 토지 매매,</t>
        </is>
      </c>
      <c r="L2830" s="6">
        <f>HYPERLINK("https://fin.land.naver.com/articles/2650462966", "매물Link")</f>
        <v/>
      </c>
      <c r="M2830" s="6">
        <f>HYPERLINK("https://map.naver.com/p/search/전의면 동교리 111", "지도Link")</f>
        <v/>
      </c>
      <c r="N2830" s="6">
        <f>HYPERLINK("http://www.eum.go.kr/web/ar/lu/luLandDet.jsp?pnu=3611037022101110000&amp;isNoScr=script&amp;mode=search", "토지이음")</f>
        <v/>
      </c>
      <c r="O2830" s="3" t="inlineStr">
        <is>
          <t>세종공감</t>
        </is>
      </c>
      <c r="P2830" s="4" t="n">
        <v>1</v>
      </c>
      <c r="Q2830" s="4" t="n">
        <v>2046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동교리 124</t>
        </is>
      </c>
      <c r="B2831" s="3" t="inlineStr">
        <is>
          <t>자연녹지지역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108500</v>
      </c>
      <c r="G2831" s="4" t="n">
        <v>3077</v>
      </c>
      <c r="H2831" s="4" t="n">
        <v>931</v>
      </c>
      <c r="I2831" s="5" t="n">
        <v>116.5</v>
      </c>
      <c r="J2831" s="5" t="n">
        <v>56</v>
      </c>
      <c r="K2831" s="3" t="inlineStr">
        <is>
          <t>토지 매매 동교리 전의산단 배후지역 개발호재 많은곳</t>
        </is>
      </c>
      <c r="L2831" s="6">
        <f>HYPERLINK("https://fin.land.naver.com/articles/2652406475", "매물Link")</f>
        <v/>
      </c>
      <c r="M2831" s="6">
        <f>HYPERLINK("https://map.naver.com/p/search/전의면 동교리 124", "지도Link")</f>
        <v/>
      </c>
      <c r="N2831" s="6">
        <f>HYPERLINK("http://www.eum.go.kr/web/ar/lu/luLandDet.jsp?pnu=3611037022101240000&amp;isNoScr=script&amp;mode=search", "토지이음")</f>
        <v/>
      </c>
      <c r="O2831" s="3" t="inlineStr">
        <is>
          <t>THE행복</t>
        </is>
      </c>
      <c r="P2831" s="4" t="n">
        <v>1</v>
      </c>
      <c r="Q2831" s="4" t="n">
        <v>1440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동교리 124</t>
        </is>
      </c>
      <c r="B2832" s="3" t="inlineStr">
        <is>
          <t>자연녹지지역</t>
        </is>
      </c>
      <c r="C2832" s="3" t="inlineStr">
        <is>
          <t>답</t>
        </is>
      </c>
      <c r="D2832" s="3" t="inlineStr">
        <is>
          <t>대</t>
        </is>
      </c>
      <c r="E2832" s="3" t="inlineStr">
        <is>
          <t>매매</t>
        </is>
      </c>
      <c r="F2832" s="4" t="n">
        <v>108500</v>
      </c>
      <c r="G2832" s="4" t="n">
        <v>3261</v>
      </c>
      <c r="H2832" s="4" t="n">
        <v>986</v>
      </c>
      <c r="I2832" s="5" t="n">
        <v>110</v>
      </c>
      <c r="J2832" s="5" t="n">
        <v>56</v>
      </c>
      <c r="K2832" s="3" t="inlineStr">
        <is>
          <t>전의면 동교리 자연녹지 토지, 전의역 및 면소재지 인근</t>
        </is>
      </c>
      <c r="L2832" s="6">
        <f>HYPERLINK("https://fin.land.naver.com/articles/2654022408", "매물Link")</f>
        <v/>
      </c>
      <c r="M2832" s="6">
        <f>HYPERLINK("https://map.naver.com/p/search/전의면 동교리 124", "지도Link")</f>
        <v/>
      </c>
      <c r="N2832" s="6">
        <f>HYPERLINK("http://www.eum.go.kr/web/ar/lu/luLandDet.jsp?pnu=3611037022101240000&amp;isNoScr=script&amp;mode=search", "토지이음")</f>
        <v/>
      </c>
      <c r="O2832" s="3" t="inlineStr">
        <is>
          <t>스카이</t>
        </is>
      </c>
      <c r="P2832" s="4" t="n">
        <v>1</v>
      </c>
      <c r="Q2832" s="4" t="n">
        <v>1440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동교리 129-11</t>
        </is>
      </c>
      <c r="B2833" s="3" t="inlineStr">
        <is>
          <t>계획관리지역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75000</v>
      </c>
      <c r="G2833" s="4" t="n">
        <v>1315</v>
      </c>
      <c r="H2833" s="4" t="n">
        <v>398</v>
      </c>
      <c r="I2833" s="5" t="n">
        <v>188.4</v>
      </c>
      <c r="J2833" s="5" t="n">
        <v>9.9</v>
      </c>
      <c r="K2833" s="3" t="inlineStr">
        <is>
          <t>3필지일괄매매 (1315제곱미터 임야,대) 가격조율가능</t>
        </is>
      </c>
      <c r="L2833" s="6">
        <f>HYPERLINK("https://fin.land.naver.com/articles/2650469893", "매물Link")</f>
        <v/>
      </c>
      <c r="M2833" s="6">
        <f>HYPERLINK("https://map.naver.com/p/search/전의면 동교리 129-11", "지도Link")</f>
        <v/>
      </c>
      <c r="N2833" s="6">
        <f>HYPERLINK("http://www.eum.go.kr/web/ar/lu/luLandDet.jsp?pnu=3611037022101290011&amp;isNoScr=script&amp;mode=search", "토지이음")</f>
        <v/>
      </c>
      <c r="O2833" s="3" t="inlineStr">
        <is>
          <t>목련새둔산</t>
        </is>
      </c>
      <c r="P2833" s="4" t="n">
        <v>1</v>
      </c>
      <c r="Q2833" s="4" t="n">
        <v>869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세로한면(가)</t>
        </is>
      </c>
    </row>
    <row r="2834">
      <c r="A2834" s="3" t="inlineStr">
        <is>
          <t>전의면 동교리 209-8</t>
        </is>
      </c>
      <c r="B2834" s="3" t="inlineStr">
        <is>
          <t>제1종일반주거지역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154800</v>
      </c>
      <c r="G2834" s="4" t="n">
        <v>2327</v>
      </c>
      <c r="H2834" s="4" t="n">
        <v>704</v>
      </c>
      <c r="I2834" s="5" t="n">
        <v>219.9</v>
      </c>
      <c r="J2834" s="5" t="n">
        <v>85</v>
      </c>
      <c r="K2834" s="3" t="inlineStr">
        <is>
          <t>전의 1,2 산업단지, 스마트그린일반산압단지 근거리에 위치</t>
        </is>
      </c>
      <c r="L2834" s="6">
        <f>HYPERLINK("https://fin.land.naver.com/articles/2654646682", "매물Link")</f>
        <v/>
      </c>
      <c r="M2834" s="6">
        <f>HYPERLINK("https://map.naver.com/p/search/전의면 동교리 209-8", "지도Link")</f>
        <v/>
      </c>
      <c r="N2834" s="6">
        <f>HYPERLINK("http://www.eum.go.kr/web/ar/lu/luLandDet.jsp?pnu=3611037022102090008&amp;isNoScr=script&amp;mode=search", "토지이음")</f>
        <v/>
      </c>
      <c r="O2834" s="3" t="inlineStr">
        <is>
          <t>신태양</t>
        </is>
      </c>
      <c r="P2834" s="4" t="n">
        <v>1</v>
      </c>
      <c r="Q2834" s="4" t="n">
        <v>330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동교리 213-8</t>
        </is>
      </c>
      <c r="B2835" s="3" t="inlineStr">
        <is>
          <t>제1종일반주거지역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189000</v>
      </c>
      <c r="G2835" s="4" t="n">
        <v>1643</v>
      </c>
      <c r="H2835" s="4" t="n">
        <v>497</v>
      </c>
      <c r="I2835" s="5" t="n">
        <v>380.3</v>
      </c>
      <c r="J2835" s="5" t="n">
        <v>57.8</v>
      </c>
      <c r="K2835" s="3" t="inlineStr">
        <is>
          <t>nan</t>
        </is>
      </c>
      <c r="L2835" s="6">
        <f>HYPERLINK("https://fin.land.naver.com/articles/2650425487", "매물Link")</f>
        <v/>
      </c>
      <c r="M2835" s="6">
        <f>HYPERLINK("https://map.naver.com/p/search/전의면 동교리 213-8", "지도Link")</f>
        <v/>
      </c>
      <c r="N2835" s="6">
        <f>HYPERLINK("http://www.eum.go.kr/web/ar/lu/luLandDet.jsp?pnu=3611037022102130008&amp;isNoScr=script&amp;mode=search", "토지이음")</f>
        <v/>
      </c>
      <c r="O2835" s="3" t="inlineStr">
        <is>
          <t>나침반</t>
        </is>
      </c>
      <c r="P2835" s="4" t="n">
        <v>1</v>
      </c>
      <c r="Q2835" s="4" t="n">
        <v>848.2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동교리 221-19</t>
        </is>
      </c>
      <c r="B2836" s="3" t="inlineStr">
        <is>
          <t>자연녹지지역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28500</v>
      </c>
      <c r="G2836" s="4" t="n">
        <v>317</v>
      </c>
      <c r="H2836" s="4" t="n">
        <v>96</v>
      </c>
      <c r="I2836" s="5" t="n">
        <v>296.9</v>
      </c>
      <c r="J2836" s="5" t="n">
        <v>77.59999999999999</v>
      </c>
      <c r="K2836" s="3" t="inlineStr">
        <is>
          <t>전의역 도보 10분, 주변 산단 접근성 좋은 토지. 예쁜 주택지</t>
        </is>
      </c>
      <c r="L2836" s="6">
        <f>HYPERLINK("https://fin.land.naver.com/articles/2651150452", "매물Link")</f>
        <v/>
      </c>
      <c r="M2836" s="6">
        <f>HYPERLINK("https://map.naver.com/p/search/전의면 동교리 221-19", "지도Link")</f>
        <v/>
      </c>
      <c r="N2836" s="6">
        <f>HYPERLINK("http://www.eum.go.kr/web/ar/lu/luLandDet.jsp?pnu=3611037022102210019&amp;isNoScr=script&amp;mode=search",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271</v>
      </c>
      <c r="R2836" s="3" t="inlineStr">
        <is>
          <t>지정되지않음</t>
        </is>
      </c>
      <c r="S2836" s="3" t="inlineStr">
        <is>
          <t>답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전의면 동교리 24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249000</v>
      </c>
      <c r="G2837" s="4" t="n">
        <v>3229</v>
      </c>
      <c r="H2837" s="4" t="n">
        <v>977</v>
      </c>
      <c r="I2837" s="5" t="n">
        <v>254.9</v>
      </c>
      <c r="J2837" s="5" t="n">
        <v>39.9</v>
      </c>
      <c r="K2837" s="3" t="inlineStr">
        <is>
          <t>2차선 도로에 접한 계획관리 토지</t>
        </is>
      </c>
      <c r="L2837" s="6">
        <f>HYPERLINK("https://fin.land.naver.com/articles/2650856637", "매물Link")</f>
        <v/>
      </c>
      <c r="M2837" s="6">
        <f>HYPERLINK("https://map.naver.com/p/search/전의면 동교리 24", "지도Link")</f>
        <v/>
      </c>
      <c r="N2837" s="6">
        <f>HYPERLINK("http://www.eum.go.kr/web/ar/lu/luLandDet.jsp?pnu=3611037022100240000&amp;isNoScr=script&amp;mode=search", "토지이음")</f>
        <v/>
      </c>
      <c r="O2837" s="3" t="inlineStr">
        <is>
          <t>세종대박</t>
        </is>
      </c>
      <c r="P2837" s="4" t="n">
        <v>1</v>
      </c>
      <c r="Q2837" s="4" t="n">
        <v>2509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세로장방</t>
        </is>
      </c>
      <c r="V2837" s="3" t="inlineStr">
        <is>
          <t>세로한면(불)</t>
        </is>
      </c>
    </row>
    <row r="2838">
      <c r="A2838" s="3" t="inlineStr">
        <is>
          <t>전의면 동교리 24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249250</v>
      </c>
      <c r="G2838" s="4" t="n">
        <v>3229</v>
      </c>
      <c r="H2838" s="4" t="n">
        <v>977</v>
      </c>
      <c r="I2838" s="5" t="n">
        <v>255.1</v>
      </c>
      <c r="J2838" s="5" t="n">
        <v>39.9</v>
      </c>
      <c r="K2838" s="3" t="inlineStr">
        <is>
          <t>nan</t>
        </is>
      </c>
      <c r="L2838" s="6">
        <f>HYPERLINK("https://fin.land.naver.com/articles/2650867906", "매물Link")</f>
        <v/>
      </c>
      <c r="M2838" s="6">
        <f>HYPERLINK("https://map.naver.com/p/search/전의면 동교리 24", "지도Link")</f>
        <v/>
      </c>
      <c r="N2838" s="6">
        <f>HYPERLINK("http://www.eum.go.kr/web/ar/lu/luLandDet.jsp?pnu=3611037022100240000&amp;isNoScr=script&amp;mode=search", "토지이음")</f>
        <v/>
      </c>
      <c r="O2838" s="3" t="inlineStr">
        <is>
          <t>신하나로</t>
        </is>
      </c>
      <c r="P2838" s="4" t="n">
        <v>1</v>
      </c>
      <c r="Q2838" s="4" t="n">
        <v>2509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세로한면(불)</t>
        </is>
      </c>
    </row>
    <row r="2839">
      <c r="A2839" s="3" t="inlineStr">
        <is>
          <t>전의면 동교리 51</t>
        </is>
      </c>
      <c r="B2839" s="3" t="inlineStr">
        <is>
          <t>계획관리지역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67200</v>
      </c>
      <c r="G2839" s="4" t="n">
        <v>1481</v>
      </c>
      <c r="H2839" s="4" t="n">
        <v>448</v>
      </c>
      <c r="I2839" s="5" t="n">
        <v>150</v>
      </c>
      <c r="J2839" s="5" t="n">
        <v>22.9</v>
      </c>
      <c r="K2839" s="3" t="inlineStr">
        <is>
          <t>계획관리 토지매매</t>
        </is>
      </c>
      <c r="L2839" s="6">
        <f>HYPERLINK("https://fin.land.naver.com/articles/2655085854", "매물Link")</f>
        <v/>
      </c>
      <c r="M2839" s="6">
        <f>HYPERLINK("https://map.naver.com/p/search/전의면 동교리 51", "지도Link")</f>
        <v/>
      </c>
      <c r="N2839" s="6">
        <f>HYPERLINK("http://www.eum.go.kr/web/ar/lu/luLandDet.jsp?pnu=3611037022100510000&amp;isNoScr=script&amp;mode=search", "토지이음")</f>
        <v/>
      </c>
      <c r="O2839" s="3" t="inlineStr">
        <is>
          <t>세종대박</t>
        </is>
      </c>
      <c r="P2839" s="4" t="n">
        <v>2</v>
      </c>
      <c r="Q2839" s="4" t="n">
        <v>1481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급경사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동교리 60</t>
        </is>
      </c>
      <c r="B2840" s="3" t="inlineStr">
        <is>
          <t>계획관리지역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28100</v>
      </c>
      <c r="G2840" s="4" t="n">
        <v>929</v>
      </c>
      <c r="H2840" s="4" t="n">
        <v>281</v>
      </c>
      <c r="I2840" s="5" t="n">
        <v>100</v>
      </c>
      <c r="J2840" s="5" t="n">
        <v>61.2</v>
      </c>
      <c r="K2840" s="3" t="inlineStr">
        <is>
          <t>급매. 전의면 동교리 주택</t>
        </is>
      </c>
      <c r="L2840" s="6">
        <f>HYPERLINK("https://fin.land.naver.com/articles/2654387610", "매물Link")</f>
        <v/>
      </c>
      <c r="M2840" s="6">
        <f>HYPERLINK("https://map.naver.com/p/search/전의면 동교리 60", "지도Link")</f>
        <v/>
      </c>
      <c r="N2840" s="6">
        <f>HYPERLINK("http://www.eum.go.kr/web/ar/lu/luLandDet.jsp?pnu=3611037022100600000&amp;isNoScr=script&amp;mode=search", "토지이음")</f>
        <v/>
      </c>
      <c r="O2840" s="3" t="inlineStr">
        <is>
          <t>강아지풀</t>
        </is>
      </c>
      <c r="P2840" s="4" t="n">
        <v>1</v>
      </c>
      <c r="Q2840" s="4" t="n">
        <v>476</v>
      </c>
      <c r="R2840" s="3" t="inlineStr">
        <is>
          <t>지정되지않음</t>
        </is>
      </c>
      <c r="S2840" s="3" t="inlineStr">
        <is>
          <t>단독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전의면 동교리 64-12</t>
        </is>
      </c>
      <c r="B2841" s="3" t="inlineStr">
        <is>
          <t>계획관리지역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62000</v>
      </c>
      <c r="G2841" s="4" t="n">
        <v>1371</v>
      </c>
      <c r="H2841" s="4" t="n">
        <v>415</v>
      </c>
      <c r="I2841" s="5" t="n">
        <v>149.4</v>
      </c>
      <c r="J2841" s="5" t="n">
        <v>27.5</v>
      </c>
      <c r="K2841" s="3" t="inlineStr">
        <is>
          <t>전의면 동교리 교차로 옆 계획관리 토지, 근생 및 창고 건축, 이동편리</t>
        </is>
      </c>
      <c r="L2841" s="6">
        <f>HYPERLINK("https://fin.land.naver.com/articles/2654029369", "매물Link")</f>
        <v/>
      </c>
      <c r="M2841" s="6">
        <f>HYPERLINK("https://map.naver.com/p/search/전의면 동교리 64-12", "지도Link")</f>
        <v/>
      </c>
      <c r="N2841" s="6">
        <f>HYPERLINK("http://www.eum.go.kr/web/ar/lu/luLandDet.jsp?pnu=3611037022100640012&amp;isNoScr=script&amp;mode=search", "토지이음")</f>
        <v/>
      </c>
      <c r="O2841" s="3" t="inlineStr">
        <is>
          <t>스카이</t>
        </is>
      </c>
      <c r="P2841" s="4" t="n">
        <v>1</v>
      </c>
      <c r="Q2841" s="4" t="n">
        <v>1371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급경사</t>
        </is>
      </c>
      <c r="U2841" s="3" t="inlineStr">
        <is>
          <t>부정형</t>
        </is>
      </c>
      <c r="V2841" s="3" t="inlineStr">
        <is>
          <t>중로한면</t>
        </is>
      </c>
    </row>
    <row r="2842">
      <c r="A2842" s="3" t="inlineStr">
        <is>
          <t>전의면 동교리 66-11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78500</v>
      </c>
      <c r="G2842" s="4" t="n">
        <v>2296</v>
      </c>
      <c r="H2842" s="4" t="n">
        <v>695</v>
      </c>
      <c r="I2842" s="5" t="n">
        <v>112.9</v>
      </c>
      <c r="J2842" s="5" t="n">
        <v>23.7</v>
      </c>
      <c r="K2842" s="3" t="inlineStr">
        <is>
          <t>전의면 동교리 도로접 계획관리 토지매매</t>
        </is>
      </c>
      <c r="L2842" s="6">
        <f>HYPERLINK("https://fin.land.naver.com/articles/2653300909", "매물Link")</f>
        <v/>
      </c>
      <c r="M2842" s="6">
        <f>HYPERLINK("https://map.naver.com/p/search/전의면 동교리 66-11", "지도Link")</f>
        <v/>
      </c>
      <c r="N2842" s="6">
        <f>HYPERLINK("http://www.eum.go.kr/web/ar/lu/luLandDet.jsp?pnu=3611037022100660011&amp;isNoScr=script&amp;mode=search", "토지이음")</f>
        <v/>
      </c>
      <c r="O2842" s="3" t="inlineStr">
        <is>
          <t>재화</t>
        </is>
      </c>
      <c r="P2842" s="4" t="n">
        <v>1</v>
      </c>
      <c r="Q2842" s="4" t="n">
        <v>250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세로한면(불)</t>
        </is>
      </c>
    </row>
    <row r="2843">
      <c r="A2843" s="3" t="inlineStr">
        <is>
          <t>전의면 동교리 77-8</t>
        </is>
      </c>
      <c r="B2843" s="3" t="inlineStr">
        <is>
          <t>계획관리지역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124000</v>
      </c>
      <c r="G2843" s="4" t="n">
        <v>2059</v>
      </c>
      <c r="H2843" s="4" t="n">
        <v>623</v>
      </c>
      <c r="I2843" s="5" t="n">
        <v>199</v>
      </c>
      <c r="J2843" s="5" t="n">
        <v>25</v>
      </c>
      <c r="K2843" s="3" t="inlineStr">
        <is>
          <t>전의 외곽도로 부근. 전의일반산단,스마트산단 인근으로 튜자 유망.</t>
        </is>
      </c>
      <c r="L2843" s="6">
        <f>HYPERLINK("https://fin.land.naver.com/articles/2650436692", "매물Link")</f>
        <v/>
      </c>
      <c r="M2843" s="6">
        <f>HYPERLINK("https://map.naver.com/p/search/전의면 동교리 77-8", "지도Link")</f>
        <v/>
      </c>
      <c r="N2843" s="6">
        <f>HYPERLINK("http://www.eum.go.kr/web/ar/lu/luLandDet.jsp?pnu=3611037022100770008&amp;isNoScr=script&amp;mode=search", "토지이음")</f>
        <v/>
      </c>
      <c r="O2843" s="3" t="inlineStr">
        <is>
          <t>세종소담114</t>
        </is>
      </c>
      <c r="P2843" s="4" t="n">
        <v>1</v>
      </c>
      <c r="Q2843" s="4" t="n">
        <v>2059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동교리 77-8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110000</v>
      </c>
      <c r="G2844" s="4" t="n">
        <v>2059</v>
      </c>
      <c r="H2844" s="4" t="n">
        <v>623</v>
      </c>
      <c r="I2844" s="5" t="n">
        <v>176.6</v>
      </c>
      <c r="J2844" s="5" t="n">
        <v>25</v>
      </c>
      <c r="K2844" s="3" t="inlineStr">
        <is>
          <t>명성공인, 전의면 동교리 포장도로 접한 계획관리 추천 매물</t>
        </is>
      </c>
      <c r="L2844" s="6">
        <f>HYPERLINK("https://fin.land.naver.com/articles/2650852355", "매물Link")</f>
        <v/>
      </c>
      <c r="M2844" s="6">
        <f>HYPERLINK("https://map.naver.com/p/search/전의면 동교리 77-8", "지도Link")</f>
        <v/>
      </c>
      <c r="N2844" s="6">
        <f>HYPERLINK("http://www.eum.go.kr/web/ar/lu/luLandDet.jsp?pnu=3611037022100770008&amp;isNoScr=script&amp;mode=search", "토지이음")</f>
        <v/>
      </c>
      <c r="O2844" s="3" t="inlineStr">
        <is>
          <t>명성</t>
        </is>
      </c>
      <c r="P2844" s="4" t="n">
        <v>1</v>
      </c>
      <c r="Q2844" s="4" t="n">
        <v>2059</v>
      </c>
      <c r="R2844" s="3" t="inlineStr">
        <is>
          <t>지정되지않음</t>
        </is>
      </c>
      <c r="S2844" s="3" t="inlineStr">
        <is>
          <t>답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서정리 127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50000</v>
      </c>
      <c r="G2845" s="4" t="n">
        <v>2192</v>
      </c>
      <c r="H2845" s="4" t="n">
        <v>663</v>
      </c>
      <c r="I2845" s="5" t="n">
        <v>75.40000000000001</v>
      </c>
      <c r="J2845" s="5" t="n">
        <v>37.3</v>
      </c>
      <c r="K2845" s="3" t="inlineStr">
        <is>
          <t>전의면 서정리 계획관리 도로접 토지매매</t>
        </is>
      </c>
      <c r="L2845" s="6">
        <f>HYPERLINK("https://fin.land.naver.com/articles/2653298949", "매물Link")</f>
        <v/>
      </c>
      <c r="M2845" s="6">
        <f>HYPERLINK("https://map.naver.com/p/search/전의면 서정리 127", "지도Link")</f>
        <v/>
      </c>
      <c r="N2845" s="6">
        <f>HYPERLINK("http://www.eum.go.kr/web/ar/lu/luLandDet.jsp?pnu=3611037023101270000&amp;isNoScr=script&amp;mode=search", "토지이음")</f>
        <v/>
      </c>
      <c r="O2845" s="3" t="inlineStr">
        <is>
          <t>재화</t>
        </is>
      </c>
      <c r="P2845" s="4" t="n">
        <v>1</v>
      </c>
      <c r="Q2845" s="4" t="n">
        <v>2192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서정리 127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50000</v>
      </c>
      <c r="G2846" s="4" t="n">
        <v>2192</v>
      </c>
      <c r="H2846" s="4" t="n">
        <v>663</v>
      </c>
      <c r="I2846" s="5" t="n">
        <v>75.40000000000001</v>
      </c>
      <c r="J2846" s="5" t="n">
        <v>37.3</v>
      </c>
      <c r="K2846" s="3" t="inlineStr">
        <is>
          <t>급매, 도로접한 계획관리지역, 스마트그린산단 인근, 투자가치 최상</t>
        </is>
      </c>
      <c r="L2846" s="6">
        <f>HYPERLINK("https://fin.land.naver.com/articles/2652034038", "매물Link")</f>
        <v/>
      </c>
      <c r="M2846" s="6">
        <f>HYPERLINK("https://map.naver.com/p/search/전의면 서정리 127", "지도Link")</f>
        <v/>
      </c>
      <c r="N2846" s="6">
        <f>HYPERLINK("http://www.eum.go.kr/web/ar/lu/luLandDet.jsp?pnu=3611037023101270000&amp;isNoScr=script&amp;mode=search", "토지이음")</f>
        <v/>
      </c>
      <c r="O2846" s="3" t="inlineStr">
        <is>
          <t>온뜰</t>
        </is>
      </c>
      <c r="P2846" s="4" t="n">
        <v>3</v>
      </c>
      <c r="Q2846" s="4" t="n">
        <v>2192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서정리 170-3</t>
        </is>
      </c>
      <c r="B2847" s="3" t="inlineStr">
        <is>
          <t>계획관리지역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380000</v>
      </c>
      <c r="G2847" s="4" t="n">
        <v>9878</v>
      </c>
      <c r="H2847" s="4" t="n">
        <v>2988</v>
      </c>
      <c r="I2847" s="5" t="n">
        <v>127.2</v>
      </c>
      <c r="J2847" s="5" t="n">
        <v>88.59999999999999</v>
      </c>
      <c r="K2847" s="3" t="inlineStr">
        <is>
          <t>매력적인 가격, 2차선 도로접한 접근성 좋은토지, 계획관리</t>
        </is>
      </c>
      <c r="L2847" s="6">
        <f>HYPERLINK("https://fin.land.naver.com/articles/2651734607", "매물Link")</f>
        <v/>
      </c>
      <c r="M2847" s="6">
        <f>HYPERLINK("https://map.naver.com/p/search/전의면 서정리 170-3", "지도Link")</f>
        <v/>
      </c>
      <c r="N2847" s="6">
        <f>HYPERLINK("http://www.eum.go.kr/web/ar/lu/luLandDet.jsp?pnu=3611037023101700003&amp;isNoScr=script&amp;mode=search", "토지이음")</f>
        <v/>
      </c>
      <c r="O2847" s="3" t="inlineStr">
        <is>
          <t>스마트OK</t>
        </is>
      </c>
      <c r="P2847" s="4" t="n">
        <v>1</v>
      </c>
      <c r="Q2847" s="4" t="n">
        <v>970</v>
      </c>
      <c r="R2847" s="3" t="inlineStr">
        <is>
          <t>지정되지않음</t>
        </is>
      </c>
      <c r="S2847" s="3" t="inlineStr">
        <is>
          <t>주상용</t>
        </is>
      </c>
      <c r="T2847" s="3" t="inlineStr">
        <is>
          <t>평지</t>
        </is>
      </c>
      <c r="U2847" s="3" t="inlineStr">
        <is>
          <t>정방형</t>
        </is>
      </c>
      <c r="V2847" s="3" t="inlineStr">
        <is>
          <t>소로한면</t>
        </is>
      </c>
    </row>
    <row r="2848">
      <c r="A2848" s="3" t="inlineStr">
        <is>
          <t>전의면 서정리 215-1</t>
        </is>
      </c>
      <c r="B2848" s="3" t="inlineStr">
        <is>
          <t>농림지역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23000</v>
      </c>
      <c r="G2848" s="4" t="n">
        <v>2463</v>
      </c>
      <c r="H2848" s="4" t="n">
        <v>745</v>
      </c>
      <c r="I2848" s="5" t="n">
        <v>30.9</v>
      </c>
      <c r="J2848" s="5" t="n">
        <v>14.9</v>
      </c>
      <c r="K2848" s="3" t="inlineStr">
        <is>
          <t>nan</t>
        </is>
      </c>
      <c r="L2848" s="6">
        <f>HYPERLINK("https://fin.land.naver.com/articles/2650856664", "매물Link")</f>
        <v/>
      </c>
      <c r="M2848" s="6">
        <f>HYPERLINK("https://map.naver.com/p/search/전의면 서정리 215-1", "지도Link")</f>
        <v/>
      </c>
      <c r="N2848" s="6">
        <f>HYPERLINK("http://www.eum.go.kr/web/ar/lu/luLandDet.jsp?pnu=3611037023102150001&amp;isNoScr=script&amp;mode=search", "토지이음")</f>
        <v/>
      </c>
      <c r="O2848" s="3" t="inlineStr">
        <is>
          <t>세종대박</t>
        </is>
      </c>
      <c r="P2848" s="4" t="n">
        <v>1</v>
      </c>
      <c r="Q2848" s="4" t="n">
        <v>2463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서정리 288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160000</v>
      </c>
      <c r="G2849" s="4" t="n">
        <v>4972</v>
      </c>
      <c r="H2849" s="4" t="n">
        <v>1504</v>
      </c>
      <c r="I2849" s="5" t="n">
        <v>106.4</v>
      </c>
      <c r="J2849" s="5" t="n">
        <v>21.3</v>
      </c>
      <c r="K2849" s="3" t="inlineStr">
        <is>
          <t>약 5미터도로접한 계획관리 토지. 분할가능</t>
        </is>
      </c>
      <c r="L2849" s="6">
        <f>HYPERLINK("https://fin.land.naver.com/articles/2652125883", "매물Link")</f>
        <v/>
      </c>
      <c r="M2849" s="6">
        <f>HYPERLINK("https://map.naver.com/p/search/전의면 서정리 288", "지도Link")</f>
        <v/>
      </c>
      <c r="N2849" s="6">
        <f>HYPERLINK("http://www.eum.go.kr/web/ar/lu/luLandDet.jsp?pnu=3611037023102880000&amp;isNoScr=script&amp;mode=search",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932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서정리 380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60000</v>
      </c>
      <c r="G2850" s="4" t="n">
        <v>3996</v>
      </c>
      <c r="H2850" s="4" t="n">
        <v>1209</v>
      </c>
      <c r="I2850" s="5" t="n">
        <v>49.6</v>
      </c>
      <c r="J2850" s="5" t="n">
        <v>23.2</v>
      </c>
      <c r="K2850" s="3" t="inlineStr">
        <is>
          <t>nan</t>
        </is>
      </c>
      <c r="L2850" s="6">
        <f>HYPERLINK("https://fin.land.naver.com/articles/2654027658", "매물Link")</f>
        <v/>
      </c>
      <c r="M2850" s="6">
        <f>HYPERLINK("https://map.naver.com/p/search/전의면 서정리 380", "지도Link")</f>
        <v/>
      </c>
      <c r="N2850" s="6">
        <f>HYPERLINK("http://www.eum.go.kr/web/ar/lu/luLandDet.jsp?pnu=3611037023103800000&amp;isNoScr=script&amp;mode=search", "토지이음")</f>
        <v/>
      </c>
      <c r="O2850" s="3" t="inlineStr">
        <is>
          <t>사랑  사무소</t>
        </is>
      </c>
      <c r="P2850" s="4" t="n">
        <v>2</v>
      </c>
      <c r="Q2850" s="4" t="n">
        <v>2996.5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서정리 49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80000</v>
      </c>
      <c r="G2851" s="4" t="n">
        <v>2641</v>
      </c>
      <c r="H2851" s="4" t="n">
        <v>799</v>
      </c>
      <c r="I2851" s="5" t="n">
        <v>100.1</v>
      </c>
      <c r="J2851" s="5" t="n">
        <v>20.8</v>
      </c>
      <c r="K2851" s="3" t="inlineStr">
        <is>
          <t>전의역 5분. 전의산업단지 인근. 계획관리지역. 투자가치 높은 토지</t>
        </is>
      </c>
      <c r="L2851" s="6">
        <f>HYPERLINK("https://fin.land.naver.com/articles/2651021353", "매물Link")</f>
        <v/>
      </c>
      <c r="M2851" s="6">
        <f>HYPERLINK("https://map.naver.com/p/search/전의면 서정리 49", "지도Link")</f>
        <v/>
      </c>
      <c r="N2851" s="6">
        <f>HYPERLINK("http://www.eum.go.kr/web/ar/lu/luLandDet.jsp?pnu=3611037023100490000&amp;isNoScr=script&amp;mode=search", "토지이음")</f>
        <v/>
      </c>
      <c r="O2851" s="3" t="inlineStr">
        <is>
          <t>새롬삼둥이</t>
        </is>
      </c>
      <c r="P2851" s="4" t="n">
        <v>1</v>
      </c>
      <c r="Q2851" s="4" t="n">
        <v>2641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서정리 78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답</t>
        </is>
      </c>
      <c r="E2852" s="3" t="inlineStr">
        <is>
          <t>매매</t>
        </is>
      </c>
      <c r="F2852" s="4" t="n">
        <v>62280</v>
      </c>
      <c r="G2852" s="4" t="n">
        <v>1716</v>
      </c>
      <c r="H2852" s="4" t="n">
        <v>519</v>
      </c>
      <c r="I2852" s="5" t="n">
        <v>120</v>
      </c>
      <c r="J2852" s="5" t="n">
        <v>30.7</v>
      </c>
      <c r="K2852" s="3" t="inlineStr">
        <is>
          <t>nan</t>
        </is>
      </c>
      <c r="L2852" s="6">
        <f>HYPERLINK("https://fin.land.naver.com/articles/2652272394", "매물Link")</f>
        <v/>
      </c>
      <c r="M2852" s="6">
        <f>HYPERLINK("https://map.naver.com/p/search/전의면 서정리 78", "지도Link")</f>
        <v/>
      </c>
      <c r="N2852" s="6">
        <f>HYPERLINK("http://www.eum.go.kr/web/ar/lu/luLandDet.jsp?pnu=3611037023100780000&amp;isNoScr=script&amp;mode=search", "토지이음")</f>
        <v/>
      </c>
      <c r="O2852" s="3" t="inlineStr">
        <is>
          <t>그림</t>
        </is>
      </c>
      <c r="P2852" s="4" t="n">
        <v>1</v>
      </c>
      <c r="Q2852" s="4" t="n">
        <v>1716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세로한면(불)</t>
        </is>
      </c>
    </row>
    <row r="2853">
      <c r="A2853" s="3" t="inlineStr">
        <is>
          <t>전의면 서정리 80-12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21667</v>
      </c>
      <c r="G2853" s="4" t="n">
        <v>550</v>
      </c>
      <c r="H2853" s="4" t="n">
        <v>166</v>
      </c>
      <c r="I2853" s="5" t="n">
        <v>130.5</v>
      </c>
      <c r="J2853" s="5" t="n">
        <v>44.7</v>
      </c>
      <c r="K2853" s="3" t="inlineStr">
        <is>
          <t>세종시 전의면 전원주택부지 매매, 세종 스마트그린 일반산업단지 인근</t>
        </is>
      </c>
      <c r="L2853" s="6">
        <f>HYPERLINK("https://fin.land.naver.com/articles/2654442295", "매물Link")</f>
        <v/>
      </c>
      <c r="M2853" s="6">
        <f>HYPERLINK("https://map.naver.com/p/search/전의면 서정리 80-12", "지도Link")</f>
        <v/>
      </c>
      <c r="N2853" s="6">
        <f>HYPERLINK("http://www.eum.go.kr/web/ar/lu/luLandDet.jsp?pnu=3611037023100800012&amp;isNoScr=script&amp;mode=search", "토지이음")</f>
        <v/>
      </c>
      <c r="O2853" s="3" t="inlineStr">
        <is>
          <t>테크노비타사사무소</t>
        </is>
      </c>
      <c r="P2853" s="4" t="n">
        <v>1</v>
      </c>
      <c r="Q2853" s="4" t="n">
        <v>550</v>
      </c>
      <c r="R2853" s="3" t="inlineStr">
        <is>
          <t>지정되지않음</t>
        </is>
      </c>
      <c r="S2853" s="3" t="inlineStr">
        <is>
          <t>주거나지</t>
        </is>
      </c>
      <c r="T2853" s="3" t="inlineStr">
        <is>
          <t>완경사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서정리 80-31</t>
        </is>
      </c>
      <c r="B2854" s="3" t="inlineStr">
        <is>
          <t>계획관리지역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32000</v>
      </c>
      <c r="G2854" s="4" t="n">
        <v>704</v>
      </c>
      <c r="H2854" s="4" t="n">
        <v>213</v>
      </c>
      <c r="I2854" s="5" t="n">
        <v>150.2</v>
      </c>
      <c r="J2854" s="5" t="n">
        <v>44.7</v>
      </c>
      <c r="K2854" s="3" t="inlineStr">
        <is>
          <t>급매, 조망좋은 계획관리지역의 택지개발 완료한 전원주택단지내 대지</t>
        </is>
      </c>
      <c r="L2854" s="6">
        <f>HYPERLINK("https://fin.land.naver.com/articles/2650928765", "매물Link")</f>
        <v/>
      </c>
      <c r="M2854" s="6">
        <f>HYPERLINK("https://map.naver.com/p/search/전의면 서정리 80-31", "지도Link")</f>
        <v/>
      </c>
      <c r="N2854" s="6">
        <f>HYPERLINK("http://www.eum.go.kr/web/ar/lu/luLandDet.jsp?pnu=3611037023100800031&amp;isNoScr=script&amp;mode=search", "토지이음")</f>
        <v/>
      </c>
      <c r="O2854" s="3" t="inlineStr">
        <is>
          <t>스마일세종</t>
        </is>
      </c>
      <c r="P2854" s="4" t="n">
        <v>1</v>
      </c>
      <c r="Q2854" s="4" t="n">
        <v>550</v>
      </c>
      <c r="R2854" s="3" t="inlineStr">
        <is>
          <t>지정되지않음</t>
        </is>
      </c>
      <c r="S2854" s="3" t="inlineStr">
        <is>
          <t>주거나지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세로한면(가)</t>
        </is>
      </c>
    </row>
    <row r="2855">
      <c r="A2855" s="3" t="inlineStr">
        <is>
          <t>전의면 신방리 343-1</t>
        </is>
      </c>
      <c r="B2855" s="3" t="inlineStr">
        <is>
          <t>계획관리지역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4800</v>
      </c>
      <c r="G2855" s="4" t="n">
        <v>783</v>
      </c>
      <c r="H2855" s="4" t="n">
        <v>237</v>
      </c>
      <c r="I2855" s="5" t="n">
        <v>20.3</v>
      </c>
      <c r="J2855" s="5" t="n">
        <v>15.1</v>
      </c>
      <c r="K2855" s="3" t="inlineStr">
        <is>
          <t>농막가능한 텃밭 소형토지</t>
        </is>
      </c>
      <c r="L2855" s="6">
        <f>HYPERLINK("https://fin.land.naver.com/articles/2655483491", "매물Link")</f>
        <v/>
      </c>
      <c r="M2855" s="6">
        <f>HYPERLINK("https://map.naver.com/p/search/전의면 신방리 343-1", "지도Link")</f>
        <v/>
      </c>
      <c r="N2855" s="6">
        <f>HYPERLINK("http://www.eum.go.kr/web/ar/lu/luLandDet.jsp?pnu=3611037030103430001&amp;isNoScr=script&amp;mode=search", "토지이음")</f>
        <v/>
      </c>
      <c r="O2855" s="3" t="inlineStr">
        <is>
          <t>88</t>
        </is>
      </c>
      <c r="P2855" s="4" t="n">
        <v>1</v>
      </c>
      <c r="Q2855" s="4" t="n">
        <v>783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신방리 350-1</t>
        </is>
      </c>
      <c r="B2856" s="3" t="inlineStr">
        <is>
          <t>계획관리지역</t>
        </is>
      </c>
      <c r="C2856" s="3" t="inlineStr">
        <is>
          <t>전</t>
        </is>
      </c>
      <c r="D2856" s="3" t="inlineStr">
        <is>
          <t>전</t>
        </is>
      </c>
      <c r="E2856" s="3" t="inlineStr">
        <is>
          <t>매매</t>
        </is>
      </c>
      <c r="F2856" s="4" t="n">
        <v>3000</v>
      </c>
      <c r="G2856" s="4" t="n">
        <v>340</v>
      </c>
      <c r="H2856" s="4" t="n">
        <v>103</v>
      </c>
      <c r="I2856" s="5" t="n">
        <v>29.1</v>
      </c>
      <c r="J2856" s="5" t="n">
        <v>15.6</v>
      </c>
      <c r="K2856" s="3" t="inlineStr">
        <is>
          <t>냇가 옆, 차량진입, 전원주택, 주말농장, 체류형 쉼터 적지</t>
        </is>
      </c>
      <c r="L2856" s="6">
        <f>HYPERLINK("https://fin.land.naver.com/articles/2655028744", "매물Link")</f>
        <v/>
      </c>
      <c r="M2856" s="6">
        <f>HYPERLINK("https://map.naver.com/p/search/전의면 신방리 350-1", "지도Link")</f>
        <v/>
      </c>
      <c r="N2856" s="6">
        <f>HYPERLINK("http://www.eum.go.kr/web/ar/lu/luLandDet.jsp?pnu=3611037030103500001&amp;isNoScr=script&amp;mode=search", "토지이음")</f>
        <v/>
      </c>
      <c r="O2856" s="3" t="inlineStr">
        <is>
          <t>우리들</t>
        </is>
      </c>
      <c r="P2856" s="4" t="n">
        <v>1</v>
      </c>
      <c r="Q2856" s="4" t="n">
        <v>337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신방리 359-6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51000</v>
      </c>
      <c r="G2857" s="4" t="n">
        <v>1397</v>
      </c>
      <c r="H2857" s="4" t="n">
        <v>423</v>
      </c>
      <c r="I2857" s="5" t="n">
        <v>120.6</v>
      </c>
      <c r="J2857" s="5" t="n">
        <v>32</v>
      </c>
      <c r="K2857" s="3" t="inlineStr">
        <is>
          <t>nan</t>
        </is>
      </c>
      <c r="L2857" s="6">
        <f>HYPERLINK("https://fin.land.naver.com/articles/2650829823", "매물Link")</f>
        <v/>
      </c>
      <c r="M2857" s="6">
        <f>HYPERLINK("https://map.naver.com/p/search/전의면 신방리 359-6", "지도Link")</f>
        <v/>
      </c>
      <c r="N2857" s="6">
        <f>HYPERLINK("http://www.eum.go.kr/web/ar/lu/luLandDet.jsp?pnu=3611037030103590006&amp;isNoScr=script&amp;mode=search", "토지이음")</f>
        <v/>
      </c>
      <c r="O2857" s="3" t="inlineStr">
        <is>
          <t>세종지평</t>
        </is>
      </c>
      <c r="P2857" s="4" t="n">
        <v>1</v>
      </c>
      <c r="Q2857" s="4" t="n">
        <v>917.8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세로한면(가)</t>
        </is>
      </c>
    </row>
    <row r="2858">
      <c r="A2858" s="3" t="inlineStr">
        <is>
          <t>전의면 신방리 424-2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36800</v>
      </c>
      <c r="G2858" s="4" t="n">
        <v>3038</v>
      </c>
      <c r="H2858" s="4" t="n">
        <v>919</v>
      </c>
      <c r="I2858" s="5" t="n">
        <v>40</v>
      </c>
      <c r="J2858" s="5" t="n">
        <v>18</v>
      </c>
      <c r="K2858" s="3" t="inlineStr">
        <is>
          <t>세종 전의면 계획관리지역 토지입니다.</t>
        </is>
      </c>
      <c r="L2858" s="6">
        <f>HYPERLINK("https://fin.land.naver.com/articles/2650468306", "매물Link")</f>
        <v/>
      </c>
      <c r="M2858" s="6">
        <f>HYPERLINK("https://map.naver.com/p/search/전의면 신방리 424-2", "지도Link")</f>
        <v/>
      </c>
      <c r="N2858" s="6">
        <f>HYPERLINK("http://www.eum.go.kr/web/ar/lu/luLandDet.jsp?pnu=3611037030104240002&amp;isNoScr=script&amp;mode=search", "토지이음")</f>
        <v/>
      </c>
      <c r="O2858" s="3" t="inlineStr">
        <is>
          <t>OK파라곤</t>
        </is>
      </c>
      <c r="P2858" s="4" t="n">
        <v>1</v>
      </c>
      <c r="Q2858" s="4" t="n">
        <v>3038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신방리 505-1</t>
        </is>
      </c>
      <c r="B2859" s="3" t="inlineStr">
        <is>
          <t>농림지역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36500</v>
      </c>
      <c r="G2859" s="4" t="n">
        <v>3355</v>
      </c>
      <c r="H2859" s="4" t="n">
        <v>1015</v>
      </c>
      <c r="I2859" s="5" t="n">
        <v>36</v>
      </c>
      <c r="J2859" s="5" t="n">
        <v>14</v>
      </c>
      <c r="K2859" s="3" t="inlineStr">
        <is>
          <t>평단가 저렴한 전의면 신방리 토지</t>
        </is>
      </c>
      <c r="L2859" s="6">
        <f>HYPERLINK("https://fin.land.naver.com/articles/2653684213", "매물Link")</f>
        <v/>
      </c>
      <c r="M2859" s="6">
        <f>HYPERLINK("https://map.naver.com/p/search/전의면 신방리 505-1", "지도Link")</f>
        <v/>
      </c>
      <c r="N2859" s="6">
        <f>HYPERLINK("http://www.eum.go.kr/web/ar/lu/luLandDet.jsp?pnu=3611037030105050001&amp;isNoScr=script&amp;mode=search", "토지이음")</f>
        <v/>
      </c>
      <c r="O2859" s="3" t="inlineStr">
        <is>
          <t>지성</t>
        </is>
      </c>
      <c r="P2859" s="4" t="n">
        <v>1</v>
      </c>
      <c r="Q2859" s="4" t="n">
        <v>3355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신방리 68-2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39200</v>
      </c>
      <c r="G2860" s="4" t="n">
        <v>1295</v>
      </c>
      <c r="H2860" s="4" t="n">
        <v>392</v>
      </c>
      <c r="I2860" s="5" t="n">
        <v>100</v>
      </c>
      <c r="J2860" s="5" t="n">
        <v>48</v>
      </c>
      <c r="K2860" s="3" t="inlineStr">
        <is>
          <t>nan</t>
        </is>
      </c>
      <c r="L2860" s="6">
        <f>HYPERLINK("https://fin.land.naver.com/articles/2652066215", "매물Link")</f>
        <v/>
      </c>
      <c r="M2860" s="6">
        <f>HYPERLINK("https://map.naver.com/p/search/전의면 신방리 68-2", "지도Link")</f>
        <v/>
      </c>
      <c r="N2860" s="6">
        <f>HYPERLINK("http://www.eum.go.kr/web/ar/lu/luLandDet.jsp?pnu=3611037030100680002&amp;isNoScr=script&amp;mode=search", "토지이음")</f>
        <v/>
      </c>
      <c r="O2860" s="3" t="inlineStr">
        <is>
          <t>신와촌</t>
        </is>
      </c>
      <c r="P2860" s="4" t="n">
        <v>1</v>
      </c>
      <c r="Q2860" s="4" t="n">
        <v>1297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신정리 258-3</t>
        </is>
      </c>
      <c r="B2861" s="3" t="inlineStr">
        <is>
          <t>계획관리지역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48530</v>
      </c>
      <c r="G2861" s="4" t="n">
        <v>1395</v>
      </c>
      <c r="H2861" s="4" t="n">
        <v>422</v>
      </c>
      <c r="I2861" s="5" t="n">
        <v>115</v>
      </c>
      <c r="J2861" s="5" t="n">
        <v>20.6</v>
      </c>
      <c r="K2861" s="3" t="inlineStr">
        <is>
          <t>전의일반산단 인근 계획관리 토지. 전의역 2.5km 반경</t>
        </is>
      </c>
      <c r="L2861" s="6">
        <f>HYPERLINK("https://fin.land.naver.com/articles/2652031822", "매물Link")</f>
        <v/>
      </c>
      <c r="M2861" s="6">
        <f>HYPERLINK("https://map.naver.com/p/search/전의면 신정리 258-3", "지도Link")</f>
        <v/>
      </c>
      <c r="N2861" s="6">
        <f>HYPERLINK("http://www.eum.go.kr/web/ar/lu/luLandDet.jsp?pnu=3611037028102580003&amp;isNoScr=script&amp;mode=search", "토지이음")</f>
        <v/>
      </c>
      <c r="O2861" s="3" t="inlineStr">
        <is>
          <t>미스터홈즈강남지사</t>
        </is>
      </c>
      <c r="P2861" s="4" t="n">
        <v>1</v>
      </c>
      <c r="Q2861" s="4" t="n">
        <v>1395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완경사</t>
        </is>
      </c>
      <c r="U2861" s="3" t="inlineStr">
        <is>
          <t>사다리형</t>
        </is>
      </c>
      <c r="V2861" s="3" t="inlineStr">
        <is>
          <t>세로한면(가)</t>
        </is>
      </c>
    </row>
    <row r="2862">
      <c r="A2862" s="3" t="inlineStr">
        <is>
          <t>전의면 신정리 265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100000</v>
      </c>
      <c r="G2862" s="4" t="n">
        <v>3415</v>
      </c>
      <c r="H2862" s="4" t="n">
        <v>1033</v>
      </c>
      <c r="I2862" s="5" t="n">
        <v>96.8</v>
      </c>
      <c r="J2862" s="5" t="n">
        <v>16</v>
      </c>
      <c r="K2862" s="3" t="inlineStr">
        <is>
          <t>필지가 여러개임.</t>
        </is>
      </c>
      <c r="L2862" s="6">
        <f>HYPERLINK("https://fin.land.naver.com/articles/2654853943", "매물Link")</f>
        <v/>
      </c>
      <c r="M2862" s="6">
        <f>HYPERLINK("https://map.naver.com/p/search/전의면 신정리 265", "지도Link")</f>
        <v/>
      </c>
      <c r="N2862" s="6">
        <f>HYPERLINK("http://www.eum.go.kr/web/ar/lu/luLandDet.jsp?pnu=3611037028102650000&amp;isNoScr=script&amp;mode=search", "토지이음")</f>
        <v/>
      </c>
      <c r="O2862" s="3" t="inlineStr">
        <is>
          <t>세종리츠</t>
        </is>
      </c>
      <c r="P2862" s="4" t="n">
        <v>1</v>
      </c>
      <c r="Q2862" s="4" t="n">
        <v>1200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맹지</t>
        </is>
      </c>
    </row>
    <row r="2863">
      <c r="A2863" s="3" t="inlineStr">
        <is>
          <t>전의면 신정리 296</t>
        </is>
      </c>
      <c r="B2863" s="3" t="inlineStr">
        <is>
          <t>농림지역</t>
        </is>
      </c>
      <c r="C2863" s="3" t="inlineStr">
        <is>
          <t>답</t>
        </is>
      </c>
      <c r="D2863" s="3" t="inlineStr">
        <is>
          <t>기타</t>
        </is>
      </c>
      <c r="E2863" s="3" t="inlineStr">
        <is>
          <t>매매</t>
        </is>
      </c>
      <c r="F2863" s="4" t="n">
        <v>100000</v>
      </c>
      <c r="G2863" s="4" t="n">
        <v>9763</v>
      </c>
      <c r="H2863" s="4" t="n">
        <v>2953</v>
      </c>
      <c r="I2863" s="5" t="n">
        <v>33.9</v>
      </c>
      <c r="J2863" s="5" t="n">
        <v>14.7</v>
      </c>
      <c r="K2863" s="3" t="inlineStr">
        <is>
          <t>대명 423 0204 화급</t>
        </is>
      </c>
      <c r="L2863" s="6">
        <f>HYPERLINK("https://fin.land.naver.com/articles/2650980720", "매물Link")</f>
        <v/>
      </c>
      <c r="M2863" s="6">
        <f>HYPERLINK("https://map.naver.com/p/search/전의면 신정리 296", "지도Link")</f>
        <v/>
      </c>
      <c r="N2863" s="6">
        <f>HYPERLINK("http://www.eum.go.kr/web/ar/lu/luLandDet.jsp?pnu=3611037028102960000&amp;isNoScr=script&amp;mode=search", "토지이음")</f>
        <v/>
      </c>
      <c r="O2863" s="3" t="inlineStr">
        <is>
          <t>대명</t>
        </is>
      </c>
      <c r="P2863" s="4" t="n">
        <v>1</v>
      </c>
      <c r="Q2863" s="4" t="n">
        <v>4069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신정리 301</t>
        </is>
      </c>
      <c r="B2864" s="3" t="inlineStr">
        <is>
          <t>농림지역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15200</v>
      </c>
      <c r="G2864" s="4" t="n">
        <v>1002</v>
      </c>
      <c r="H2864" s="4" t="n">
        <v>303</v>
      </c>
      <c r="I2864" s="5" t="n">
        <v>50.2</v>
      </c>
      <c r="J2864" s="5" t="n">
        <v>17.6</v>
      </c>
      <c r="K2864" s="3" t="inlineStr">
        <is>
          <t>2차선접한 농림지역 전. 무허가주택은 멸실 또는 양성화 가능</t>
        </is>
      </c>
      <c r="L2864" s="6">
        <f>HYPERLINK("https://fin.land.naver.com/articles/2651150943", "매물Link")</f>
        <v/>
      </c>
      <c r="M2864" s="6">
        <f>HYPERLINK("https://map.naver.com/p/search/전의면 신정리 301", "지도Link")</f>
        <v/>
      </c>
      <c r="N2864" s="6">
        <f>HYPERLINK("http://www.eum.go.kr/web/ar/lu/luLandDet.jsp?pnu=3611037028103010000&amp;isNoScr=script&amp;mode=search", "토지이음")</f>
        <v/>
      </c>
      <c r="O2864" s="3" t="inlineStr">
        <is>
          <t>미스터홈즈강남지사</t>
        </is>
      </c>
      <c r="P2864" s="4" t="n">
        <v>1</v>
      </c>
      <c r="Q2864" s="4" t="n">
        <v>1002</v>
      </c>
      <c r="R2864" s="3" t="inlineStr">
        <is>
          <t>지정되지않음</t>
        </is>
      </c>
      <c r="S2864" s="3" t="inlineStr">
        <is>
          <t>전기타</t>
        </is>
      </c>
      <c r="T2864" s="3" t="inlineStr">
        <is>
          <t>평지</t>
        </is>
      </c>
      <c r="U2864" s="3" t="inlineStr">
        <is>
          <t>부정형</t>
        </is>
      </c>
      <c r="V2864" s="3" t="inlineStr">
        <is>
          <t>소로한면</t>
        </is>
      </c>
    </row>
    <row r="2865">
      <c r="A2865" s="3" t="inlineStr">
        <is>
          <t>전의면 신정리 564-10</t>
        </is>
      </c>
      <c r="B2865" s="3" t="inlineStr">
        <is>
          <t>계획관리지역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11000</v>
      </c>
      <c r="G2865" s="4" t="n">
        <v>354</v>
      </c>
      <c r="H2865" s="4" t="n">
        <v>107</v>
      </c>
      <c r="I2865" s="5" t="n">
        <v>102.8</v>
      </c>
      <c r="J2865" s="5" t="n">
        <v>46.2</v>
      </c>
      <c r="K2865" s="3" t="inlineStr">
        <is>
          <t>도로 접한 토지로 건축용이함 전원주택및 창고용지 좋음</t>
        </is>
      </c>
      <c r="L2865" s="6">
        <f>HYPERLINK("https://fin.land.naver.com/articles/2653414529", "매물Link")</f>
        <v/>
      </c>
      <c r="M2865" s="6">
        <f>HYPERLINK("https://map.naver.com/p/search/전의면 신정리 564-10", "지도Link")</f>
        <v/>
      </c>
      <c r="N2865" s="6">
        <f>HYPERLINK("http://www.eum.go.kr/web/ar/lu/luLandDet.jsp?pnu=3611037028105640010&amp;isNoScr=script&amp;mode=search", "토지이음")</f>
        <v/>
      </c>
      <c r="O2865" s="3" t="inlineStr">
        <is>
          <t>큰길</t>
        </is>
      </c>
      <c r="P2865" s="4" t="n">
        <v>1</v>
      </c>
      <c r="Q2865" s="4" t="n">
        <v>354</v>
      </c>
      <c r="R2865" s="3" t="inlineStr">
        <is>
          <t>지정되지않음</t>
        </is>
      </c>
      <c r="S2865" s="3" t="inlineStr">
        <is>
          <t>단독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신정리 61-2</t>
        </is>
      </c>
      <c r="B2866" s="3" t="inlineStr">
        <is>
          <t>계획관리지역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17500</v>
      </c>
      <c r="G2866" s="4" t="n">
        <v>1828</v>
      </c>
      <c r="H2866" s="4" t="n">
        <v>553</v>
      </c>
      <c r="I2866" s="5" t="n">
        <v>31.6</v>
      </c>
      <c r="J2866" s="5" t="n">
        <v>12.2</v>
      </c>
      <c r="K2866" s="3" t="inlineStr">
        <is>
          <t>세종시 계획관리토지 급매</t>
        </is>
      </c>
      <c r="L2866" s="6">
        <f>HYPERLINK("https://fin.land.naver.com/articles/2654287249", "매물Link")</f>
        <v/>
      </c>
      <c r="M2866" s="6">
        <f>HYPERLINK("https://map.naver.com/p/search/전의면 신정리 61-2", "지도Link")</f>
        <v/>
      </c>
      <c r="N2866" s="6">
        <f>HYPERLINK("http://www.eum.go.kr/web/ar/lu/luLandDet.jsp?pnu=3611037028100610002&amp;isNoScr=script&amp;mode=search", "토지이음")</f>
        <v/>
      </c>
      <c r="O2866" s="3" t="inlineStr">
        <is>
          <t>그린</t>
        </is>
      </c>
      <c r="P2866" s="4" t="n">
        <v>1</v>
      </c>
      <c r="Q2866" s="4" t="n">
        <v>1828</v>
      </c>
      <c r="R2866" s="3" t="inlineStr">
        <is>
          <t>보전관리지역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신정리 62-1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60000</v>
      </c>
      <c r="G2867" s="4" t="n">
        <v>4691</v>
      </c>
      <c r="H2867" s="4" t="n">
        <v>1419</v>
      </c>
      <c r="I2867" s="5" t="n">
        <v>42.3</v>
      </c>
      <c r="J2867" s="5" t="n">
        <v>14.9</v>
      </c>
      <c r="K2867" s="3" t="inlineStr">
        <is>
          <t>nan</t>
        </is>
      </c>
      <c r="L2867" s="6">
        <f>HYPERLINK("https://fin.land.naver.com/articles/2655196107", "매물Link")</f>
        <v/>
      </c>
      <c r="M2867" s="6">
        <f>HYPERLINK("https://map.naver.com/p/search/전의면 신정리 62-1", "지도Link")</f>
        <v/>
      </c>
      <c r="N2867" s="6">
        <f>HYPERLINK("http://www.eum.go.kr/web/ar/lu/luLandDet.jsp?pnu=3611037028100620001&amp;isNoScr=script&amp;mode=search", "토지이음")</f>
        <v/>
      </c>
      <c r="O2867" s="3" t="inlineStr">
        <is>
          <t>이림 사무소</t>
        </is>
      </c>
      <c r="P2867" s="4" t="n">
        <v>1</v>
      </c>
      <c r="Q2867" s="4" t="n">
        <v>1223</v>
      </c>
      <c r="R2867" s="3" t="inlineStr">
        <is>
          <t>보전관리지역</t>
        </is>
      </c>
      <c r="S2867" s="3" t="inlineStr">
        <is>
          <t>답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신정리 62-2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45000</v>
      </c>
      <c r="G2868" s="4" t="n">
        <v>4691</v>
      </c>
      <c r="H2868" s="4" t="n">
        <v>1419</v>
      </c>
      <c r="I2868" s="5" t="n">
        <v>31.7</v>
      </c>
      <c r="J2868" s="5" t="n">
        <v>15.2</v>
      </c>
      <c r="K2868" s="3" t="inlineStr">
        <is>
          <t>nan</t>
        </is>
      </c>
      <c r="L2868" s="6">
        <f>HYPERLINK("https://fin.land.naver.com/articles/2655626796", "매물Link")</f>
        <v/>
      </c>
      <c r="M2868" s="6">
        <f>HYPERLINK("https://map.naver.com/p/search/전의면 신정리 62-2", "지도Link")</f>
        <v/>
      </c>
      <c r="N2868" s="6">
        <f>HYPERLINK("http://www.eum.go.kr/web/ar/lu/luLandDet.jsp?pnu=3611037028100620002&amp;isNoScr=script&amp;mode=search", "토지이음")</f>
        <v/>
      </c>
      <c r="O2868" s="3" t="inlineStr">
        <is>
          <t>시티프라디움</t>
        </is>
      </c>
      <c r="P2868" s="4" t="n">
        <v>1</v>
      </c>
      <c r="Q2868" s="4" t="n">
        <v>3468</v>
      </c>
      <c r="R2868" s="3" t="inlineStr">
        <is>
          <t>보전관리지역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신정리 659</t>
        </is>
      </c>
      <c r="B2869" s="3" t="inlineStr">
        <is>
          <t>계획관리지역</t>
        </is>
      </c>
      <c r="C2869" s="3" t="inlineStr">
        <is>
          <t>공장용지</t>
        </is>
      </c>
      <c r="D2869" s="3" t="inlineStr">
        <is>
          <t>공장용지</t>
        </is>
      </c>
      <c r="E2869" s="3" t="inlineStr">
        <is>
          <t>매매</t>
        </is>
      </c>
      <c r="F2869" s="4" t="n">
        <v>1895000</v>
      </c>
      <c r="G2869" s="4" t="n">
        <v>41765</v>
      </c>
      <c r="H2869" s="4" t="n">
        <v>12634</v>
      </c>
      <c r="I2869" s="5" t="n">
        <v>150</v>
      </c>
      <c r="J2869" s="5" t="n">
        <v>74.09999999999999</v>
      </c>
      <c r="K2869" s="3" t="inlineStr">
        <is>
          <t>2차선 접한 총 10필지로 공장 및 대형물류센터로 적극추천</t>
        </is>
      </c>
      <c r="L2869" s="6">
        <f>HYPERLINK("https://fin.land.naver.com/articles/2651980261", "매물Link")</f>
        <v/>
      </c>
      <c r="M2869" s="6">
        <f>HYPERLINK("https://map.naver.com/p/search/전의면 신정리 659", "지도Link")</f>
        <v/>
      </c>
      <c r="N2869" s="6">
        <f>HYPERLINK("http://www.eum.go.kr/web/ar/lu/luLandDet.jsp?pnu=3611037028106590000&amp;isNoScr=script&amp;mode=search", "토지이음")</f>
        <v/>
      </c>
      <c r="O2869" s="3" t="inlineStr">
        <is>
          <t>금화랜드</t>
        </is>
      </c>
      <c r="P2869" s="4" t="n">
        <v>1</v>
      </c>
      <c r="Q2869" s="4" t="n">
        <v>4090.9</v>
      </c>
      <c r="R2869" s="3" t="inlineStr">
        <is>
          <t>지정되지않음</t>
        </is>
      </c>
      <c r="S2869" s="3" t="inlineStr">
        <is>
          <t>공업나지</t>
        </is>
      </c>
      <c r="T2869" s="3" t="inlineStr">
        <is>
          <t>평지</t>
        </is>
      </c>
      <c r="U2869" s="3" t="inlineStr">
        <is>
          <t>사다리형</t>
        </is>
      </c>
      <c r="V2869" s="3" t="inlineStr">
        <is>
          <t>중로한면</t>
        </is>
      </c>
    </row>
    <row r="2870">
      <c r="A2870" s="3" t="inlineStr">
        <is>
          <t>전의면 신정리 660</t>
        </is>
      </c>
      <c r="B2870" s="3" t="inlineStr">
        <is>
          <t>계획관리지역</t>
        </is>
      </c>
      <c r="C2870" s="3" t="inlineStr">
        <is>
          <t>공장용지</t>
        </is>
      </c>
      <c r="D2870" s="3" t="inlineStr">
        <is>
          <t>공장용지</t>
        </is>
      </c>
      <c r="E2870" s="3" t="inlineStr">
        <is>
          <t>매매</t>
        </is>
      </c>
      <c r="F2870" s="4" t="n">
        <v>555000</v>
      </c>
      <c r="G2870" s="4" t="n">
        <v>12228</v>
      </c>
      <c r="H2870" s="4" t="n">
        <v>3699</v>
      </c>
      <c r="I2870" s="5" t="n">
        <v>150</v>
      </c>
      <c r="J2870" s="5" t="n">
        <v>74.09999999999999</v>
      </c>
      <c r="K2870" s="3" t="inlineStr">
        <is>
          <t>세종시 권역 2차선접한 계획관리지역,공장용지로 조성된곳,대형공장추천</t>
        </is>
      </c>
      <c r="L2870" s="6">
        <f>HYPERLINK("https://fin.land.naver.com/articles/2653576524", "매물Link")</f>
        <v/>
      </c>
      <c r="M2870" s="6">
        <f>HYPERLINK("https://map.naver.com/p/search/전의면 신정리 660", "지도Link")</f>
        <v/>
      </c>
      <c r="N2870" s="6">
        <f>HYPERLINK("http://www.eum.go.kr/web/ar/lu/luLandDet.jsp?pnu=3611037028106600000&amp;isNoScr=script&amp;mode=search", "토지이음")</f>
        <v/>
      </c>
      <c r="O2870" s="3" t="inlineStr">
        <is>
          <t>(주)미르</t>
        </is>
      </c>
      <c r="P2870" s="4" t="n">
        <v>3</v>
      </c>
      <c r="Q2870" s="4" t="n">
        <v>3057</v>
      </c>
      <c r="R2870" s="3" t="inlineStr">
        <is>
          <t>지정되지않음</t>
        </is>
      </c>
      <c r="S2870" s="3" t="inlineStr">
        <is>
          <t>공업나지</t>
        </is>
      </c>
      <c r="T2870" s="3" t="inlineStr">
        <is>
          <t>평지</t>
        </is>
      </c>
      <c r="U2870" s="3" t="inlineStr">
        <is>
          <t>사다리형</t>
        </is>
      </c>
      <c r="V2870" s="3" t="inlineStr">
        <is>
          <t>중로한면</t>
        </is>
      </c>
    </row>
    <row r="2871">
      <c r="A2871" s="3" t="inlineStr">
        <is>
          <t>전의면 신정리 661</t>
        </is>
      </c>
      <c r="B2871" s="3" t="inlineStr">
        <is>
          <t>계획관리지역</t>
        </is>
      </c>
      <c r="C2871" s="3" t="inlineStr">
        <is>
          <t>공장용지</t>
        </is>
      </c>
      <c r="D2871" s="3" t="inlineStr">
        <is>
          <t>공장용지</t>
        </is>
      </c>
      <c r="E2871" s="3" t="inlineStr">
        <is>
          <t>매매</t>
        </is>
      </c>
      <c r="F2871" s="4" t="n">
        <v>555000</v>
      </c>
      <c r="G2871" s="4" t="n">
        <v>12228</v>
      </c>
      <c r="H2871" s="4" t="n">
        <v>3699</v>
      </c>
      <c r="I2871" s="5" t="n">
        <v>150</v>
      </c>
      <c r="J2871" s="5" t="n">
        <v>75.59999999999999</v>
      </c>
      <c r="K2871" s="3" t="inlineStr">
        <is>
          <t>세종 전의면 계획관리내 공장용지 매매</t>
        </is>
      </c>
      <c r="L2871" s="6">
        <f>HYPERLINK("https://fin.land.naver.com/articles/2650765354", "매물Link")</f>
        <v/>
      </c>
      <c r="M2871" s="6">
        <f>HYPERLINK("https://map.naver.com/p/search/전의면 신정리 661", "지도Link")</f>
        <v/>
      </c>
      <c r="N2871" s="6">
        <f>HYPERLINK("http://www.eum.go.kr/web/ar/lu/luLandDet.jsp?pnu=3611037028106610000&amp;isNoScr=script&amp;mode=search", "토지이음")</f>
        <v/>
      </c>
      <c r="O2871" s="3" t="inlineStr">
        <is>
          <t>SK랜드</t>
        </is>
      </c>
      <c r="P2871" s="4" t="n">
        <v>1</v>
      </c>
      <c r="Q2871" s="4" t="n">
        <v>3057</v>
      </c>
      <c r="R2871" s="3" t="inlineStr">
        <is>
          <t>지정되지않음</t>
        </is>
      </c>
      <c r="S2871" s="3" t="inlineStr">
        <is>
          <t>공업나지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중로각지</t>
        </is>
      </c>
    </row>
    <row r="2872">
      <c r="A2872" s="3" t="inlineStr">
        <is>
          <t>전의면 신정리 663</t>
        </is>
      </c>
      <c r="B2872" s="3" t="inlineStr">
        <is>
          <t>계획관리지역</t>
        </is>
      </c>
      <c r="C2872" s="3" t="inlineStr">
        <is>
          <t>공장용지</t>
        </is>
      </c>
      <c r="D2872" s="3" t="inlineStr">
        <is>
          <t>공장용지</t>
        </is>
      </c>
      <c r="E2872" s="3" t="inlineStr">
        <is>
          <t>매매</t>
        </is>
      </c>
      <c r="F2872" s="4" t="n">
        <v>1895000</v>
      </c>
      <c r="G2872" s="4" t="n">
        <v>41765</v>
      </c>
      <c r="H2872" s="4" t="n">
        <v>12634</v>
      </c>
      <c r="I2872" s="5" t="n">
        <v>150</v>
      </c>
      <c r="J2872" s="5" t="n">
        <v>74.09999999999999</v>
      </c>
      <c r="K2872" s="3" t="inlineStr">
        <is>
          <t>세종 전의면 계획관리내 대형 공장용지 매매</t>
        </is>
      </c>
      <c r="L2872" s="6">
        <f>HYPERLINK("https://fin.land.naver.com/articles/2650752737", "매물Link")</f>
        <v/>
      </c>
      <c r="M2872" s="6">
        <f>HYPERLINK("https://map.naver.com/p/search/전의면 신정리 663", "지도Link")</f>
        <v/>
      </c>
      <c r="N2872" s="6">
        <f>HYPERLINK("http://www.eum.go.kr/web/ar/lu/luLandDet.jsp?pnu=3611037028106630000&amp;isNoScr=script&amp;mode=search", "토지이음")</f>
        <v/>
      </c>
      <c r="O2872" s="3" t="inlineStr">
        <is>
          <t>SK랜드</t>
        </is>
      </c>
      <c r="P2872" s="4" t="n">
        <v>1</v>
      </c>
      <c r="Q2872" s="4" t="n">
        <v>3057</v>
      </c>
      <c r="R2872" s="3" t="inlineStr">
        <is>
          <t>지정되지않음</t>
        </is>
      </c>
      <c r="S2872" s="3" t="inlineStr">
        <is>
          <t>공업나지</t>
        </is>
      </c>
      <c r="T2872" s="3" t="inlineStr">
        <is>
          <t>평지</t>
        </is>
      </c>
      <c r="U2872" s="3" t="inlineStr">
        <is>
          <t>사다리형</t>
        </is>
      </c>
      <c r="V2872" s="3" t="inlineStr">
        <is>
          <t>중로한면</t>
        </is>
      </c>
    </row>
    <row r="2873">
      <c r="A2873" s="3" t="inlineStr">
        <is>
          <t>전의면 신정리 665</t>
        </is>
      </c>
      <c r="B2873" s="3" t="inlineStr">
        <is>
          <t>계획관리지역</t>
        </is>
      </c>
      <c r="C2873" s="3" t="inlineStr">
        <is>
          <t>공장용지</t>
        </is>
      </c>
      <c r="D2873" s="3" t="inlineStr">
        <is>
          <t>공장용지</t>
        </is>
      </c>
      <c r="E2873" s="3" t="inlineStr">
        <is>
          <t>매매</t>
        </is>
      </c>
      <c r="F2873" s="4" t="n">
        <v>1895000</v>
      </c>
      <c r="G2873" s="4" t="n">
        <v>41765</v>
      </c>
      <c r="H2873" s="4" t="n">
        <v>12634</v>
      </c>
      <c r="I2873" s="5" t="n">
        <v>150</v>
      </c>
      <c r="J2873" s="5" t="n">
        <v>74.09999999999999</v>
      </c>
      <c r="K2873" s="3" t="inlineStr">
        <is>
          <t>세종시 전의면 2차선 접한 계획관리지역.공장용지로 조성된 곳</t>
        </is>
      </c>
      <c r="L2873" s="6">
        <f>HYPERLINK("https://fin.land.naver.com/articles/2651151560", "매물Link")</f>
        <v/>
      </c>
      <c r="M2873" s="6">
        <f>HYPERLINK("https://map.naver.com/p/search/전의면 신정리 665", "지도Link")</f>
        <v/>
      </c>
      <c r="N2873" s="6">
        <f>HYPERLINK("http://www.eum.go.kr/web/ar/lu/luLandDet.jsp?pnu=3611037028106650000&amp;isNoScr=script&amp;mode=search", "토지이음")</f>
        <v/>
      </c>
      <c r="O2873" s="3" t="inlineStr">
        <is>
          <t>(주)미르</t>
        </is>
      </c>
      <c r="P2873" s="4" t="n">
        <v>1</v>
      </c>
      <c r="Q2873" s="4" t="n">
        <v>4044.1</v>
      </c>
      <c r="R2873" s="3" t="inlineStr">
        <is>
          <t>지정되지않음</t>
        </is>
      </c>
      <c r="S2873" s="3" t="inlineStr">
        <is>
          <t>공업나지</t>
        </is>
      </c>
      <c r="T2873" s="3" t="inlineStr">
        <is>
          <t>평지</t>
        </is>
      </c>
      <c r="U2873" s="3" t="inlineStr">
        <is>
          <t>사다리형</t>
        </is>
      </c>
      <c r="V2873" s="3" t="inlineStr">
        <is>
          <t>중로한면</t>
        </is>
      </c>
    </row>
    <row r="2874">
      <c r="A2874" s="3" t="inlineStr">
        <is>
          <t>전의면 신정리 산105-1</t>
        </is>
      </c>
      <c r="B2874" s="3" t="inlineStr">
        <is>
          <t>농림지역</t>
        </is>
      </c>
      <c r="C2874" s="3" t="inlineStr">
        <is>
          <t>임야</t>
        </is>
      </c>
      <c r="D2874" s="3" t="inlineStr">
        <is>
          <t>임야</t>
        </is>
      </c>
      <c r="E2874" s="3" t="inlineStr">
        <is>
          <t>매매</t>
        </is>
      </c>
      <c r="F2874" s="4" t="n">
        <v>145000</v>
      </c>
      <c r="G2874" s="4" t="n">
        <v>9635</v>
      </c>
      <c r="H2874" s="4" t="n">
        <v>2915</v>
      </c>
      <c r="I2874" s="5" t="n">
        <v>49.7</v>
      </c>
      <c r="J2874" s="5" t="n">
        <v>2.6</v>
      </c>
      <c r="K2874" s="3" t="inlineStr">
        <is>
          <t>평당50, 전의일반산단 5분, 전의역 5분거리</t>
        </is>
      </c>
      <c r="L2874" s="6">
        <f>HYPERLINK("https://fin.land.naver.com/articles/2654232245", "매물Link")</f>
        <v/>
      </c>
      <c r="M2874" s="6">
        <f>HYPERLINK("https://map.naver.com/p/search/전의면 신정리 산105-1", "지도Link")</f>
        <v/>
      </c>
      <c r="N2874" s="6">
        <f>HYPERLINK("http://www.eum.go.kr/web/ar/lu/luLandDet.jsp?pnu=3611037028201050001&amp;isNoScr=script&amp;mode=search", "토지이음")</f>
        <v/>
      </c>
      <c r="O2874" s="3" t="inlineStr">
        <is>
          <t>미스터홈즈강남지사</t>
        </is>
      </c>
      <c r="P2874" s="4" t="n">
        <v>1</v>
      </c>
      <c r="Q2874" s="4" t="n">
        <v>7608</v>
      </c>
      <c r="R2874" s="3" t="inlineStr">
        <is>
          <t>계획관리지역</t>
        </is>
      </c>
      <c r="S2874" s="3" t="inlineStr">
        <is>
          <t>자연림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신흥리 1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28000</v>
      </c>
      <c r="G2875" s="4" t="n">
        <v>418</v>
      </c>
      <c r="H2875" s="4" t="n">
        <v>126</v>
      </c>
      <c r="I2875" s="5" t="n">
        <v>222.2</v>
      </c>
      <c r="J2875" s="5" t="n">
        <v>8.699999999999999</v>
      </c>
      <c r="K2875" s="3" t="inlineStr">
        <is>
          <t>계획관리지역, 도로변 코너각지, 투자기회, 가격 잘 맞춰 보겠습니다</t>
        </is>
      </c>
      <c r="L2875" s="6">
        <f>HYPERLINK("https://fin.land.naver.com/articles/2653005053", "매물Link")</f>
        <v/>
      </c>
      <c r="M2875" s="6">
        <f>HYPERLINK("https://map.naver.com/p/search/전의면 신흥리 1", "지도Link")</f>
        <v/>
      </c>
      <c r="N2875" s="6">
        <f>HYPERLINK("http://www.eum.go.kr/web/ar/lu/luLandDet.jsp?pnu=3611037025100010000&amp;isNoScr=script&amp;mode=search", "토지이음")</f>
        <v/>
      </c>
      <c r="O2875" s="3" t="inlineStr">
        <is>
          <t>OK세종 사무소</t>
        </is>
      </c>
      <c r="P2875" s="4" t="n">
        <v>2</v>
      </c>
      <c r="Q2875" s="4" t="n">
        <v>418</v>
      </c>
      <c r="R2875" s="3" t="inlineStr">
        <is>
          <t>지정되지않음</t>
        </is>
      </c>
      <c r="S2875" s="3" t="inlineStr">
        <is>
          <t>도로등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지정되지않음</t>
        </is>
      </c>
    </row>
    <row r="2876">
      <c r="A2876" s="3" t="inlineStr">
        <is>
          <t>전의면 신흥리 130-2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60000</v>
      </c>
      <c r="G2876" s="4" t="n">
        <v>856</v>
      </c>
      <c r="H2876" s="4" t="n">
        <v>259</v>
      </c>
      <c r="I2876" s="5" t="n">
        <v>231.7</v>
      </c>
      <c r="J2876" s="5" t="n">
        <v>50.7</v>
      </c>
      <c r="K2876" s="3" t="inlineStr">
        <is>
          <t>투자가치 좋은 계획관리 지역, 좋은기회</t>
        </is>
      </c>
      <c r="L2876" s="6">
        <f>HYPERLINK("https://fin.land.naver.com/articles/2651117615", "매물Link")</f>
        <v/>
      </c>
      <c r="M2876" s="6">
        <f>HYPERLINK("https://map.naver.com/p/search/전의면 신흥리 130-2", "지도Link")</f>
        <v/>
      </c>
      <c r="N2876" s="6">
        <f>HYPERLINK("http://www.eum.go.kr/web/ar/lu/luLandDet.jsp?pnu=3611037025101300002&amp;isNoScr=script&amp;mode=search", "토지이음")</f>
        <v/>
      </c>
      <c r="O2876" s="3" t="inlineStr">
        <is>
          <t>OK세종</t>
        </is>
      </c>
      <c r="P2876" s="4" t="n">
        <v>1</v>
      </c>
      <c r="Q2876" s="4" t="n">
        <v>856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소로한면</t>
        </is>
      </c>
    </row>
    <row r="2877">
      <c r="A2877" s="3" t="inlineStr">
        <is>
          <t>전의면 신흥리 159-3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38760</v>
      </c>
      <c r="G2877" s="4" t="n">
        <v>1068</v>
      </c>
      <c r="H2877" s="4" t="n">
        <v>323</v>
      </c>
      <c r="I2877" s="5" t="n">
        <v>120</v>
      </c>
      <c r="J2877" s="5" t="n">
        <v>42</v>
      </c>
      <c r="K2877" s="3" t="inlineStr">
        <is>
          <t>전의 면소재지 인접한 투자용 매물</t>
        </is>
      </c>
      <c r="L2877" s="6">
        <f>HYPERLINK("https://fin.land.naver.com/articles/2652096267", "매물Link")</f>
        <v/>
      </c>
      <c r="M2877" s="6">
        <f>HYPERLINK("https://map.naver.com/p/search/전의면 신흥리 159-3", "지도Link")</f>
        <v/>
      </c>
      <c r="N2877" s="6">
        <f>HYPERLINK("http://www.eum.go.kr/web/ar/lu/luLandDet.jsp?pnu=3611037025101590003&amp;isNoScr=script&amp;mode=search", "토지이음")</f>
        <v/>
      </c>
      <c r="O2877" s="3" t="inlineStr">
        <is>
          <t>지호주식회사</t>
        </is>
      </c>
      <c r="P2877" s="4" t="n">
        <v>1</v>
      </c>
      <c r="Q2877" s="4" t="n">
        <v>995</v>
      </c>
      <c r="R2877" s="3" t="inlineStr">
        <is>
          <t>지정되지않음</t>
        </is>
      </c>
      <c r="S2877" s="3" t="inlineStr">
        <is>
          <t>주거나지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신흥리 56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160000</v>
      </c>
      <c r="G2878" s="4" t="n">
        <v>4111</v>
      </c>
      <c r="H2878" s="4" t="n">
        <v>1244</v>
      </c>
      <c r="I2878" s="5" t="n">
        <v>128.6</v>
      </c>
      <c r="J2878" s="5" t="n">
        <v>26.5</v>
      </c>
      <c r="K2878" s="3" t="inlineStr">
        <is>
          <t>농지은행 임대중 비닐하우스 7동 있음 하천옆 주변토지  불하가능</t>
        </is>
      </c>
      <c r="L2878" s="6">
        <f>HYPERLINK("https://fin.land.naver.com/articles/2654418656", "매물Link")</f>
        <v/>
      </c>
      <c r="M2878" s="6">
        <f>HYPERLINK("https://map.naver.com/p/search/전의면 신흥리 56", "지도Link")</f>
        <v/>
      </c>
      <c r="N2878" s="6">
        <f>HYPERLINK("http://www.eum.go.kr/web/ar/lu/luLandDet.jsp?pnu=3611037025100560000&amp;isNoScr=script&amp;mode=search",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4111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평지</t>
        </is>
      </c>
      <c r="U2878" s="3" t="inlineStr">
        <is>
          <t>부정형</t>
        </is>
      </c>
      <c r="V2878" s="3" t="inlineStr">
        <is>
          <t>맹지</t>
        </is>
      </c>
    </row>
    <row r="2879">
      <c r="A2879" s="3" t="inlineStr">
        <is>
          <t>전의면 신흥리 산3-1</t>
        </is>
      </c>
      <c r="B2879" s="3" t="inlineStr">
        <is>
          <t>계획관리지역</t>
        </is>
      </c>
      <c r="C2879" s="3" t="inlineStr">
        <is>
          <t>임야</t>
        </is>
      </c>
      <c r="D2879" s="3" t="inlineStr">
        <is>
          <t>임야</t>
        </is>
      </c>
      <c r="E2879" s="3" t="inlineStr">
        <is>
          <t>매매</t>
        </is>
      </c>
      <c r="F2879" s="4" t="n">
        <v>18000</v>
      </c>
      <c r="G2879" s="4" t="n">
        <v>1323</v>
      </c>
      <c r="H2879" s="4" t="n">
        <v>400</v>
      </c>
      <c r="I2879" s="5" t="n">
        <v>45</v>
      </c>
      <c r="J2879" s="5" t="n">
        <v>3.7</v>
      </c>
      <c r="K2879" s="3" t="inlineStr">
        <is>
          <t>급매  계획관리,지목상 도로 접함</t>
        </is>
      </c>
      <c r="L2879" s="6">
        <f>HYPERLINK("https://fin.land.naver.com/articles/2650917991", "매물Link")</f>
        <v/>
      </c>
      <c r="M2879" s="6">
        <f>HYPERLINK("https://map.naver.com/p/search/전의면 신흥리 산3-1", "지도Link")</f>
        <v/>
      </c>
      <c r="N2879" s="6">
        <f>HYPERLINK("http://www.eum.go.kr/web/ar/lu/luLandDet.jsp?pnu=3611037025200030001&amp;isNoScr=script&amp;mode=search", "토지이음")</f>
        <v/>
      </c>
      <c r="O2879" s="3" t="inlineStr">
        <is>
          <t>금강이편한</t>
        </is>
      </c>
      <c r="P2879" s="4" t="n">
        <v>1</v>
      </c>
      <c r="Q2879" s="4" t="n">
        <v>1323</v>
      </c>
      <c r="R2879" s="3" t="inlineStr">
        <is>
          <t>지정되지않음</t>
        </is>
      </c>
      <c r="S2879" s="3" t="inlineStr">
        <is>
          <t>자연림</t>
        </is>
      </c>
      <c r="T2879" s="3" t="inlineStr">
        <is>
          <t>급경사</t>
        </is>
      </c>
      <c r="U2879" s="3" t="inlineStr">
        <is>
          <t>사다리형</t>
        </is>
      </c>
      <c r="V2879" s="3" t="inlineStr">
        <is>
          <t>맹지</t>
        </is>
      </c>
    </row>
    <row r="2880">
      <c r="A2880" s="3" t="inlineStr">
        <is>
          <t>전의면 양곡리 207-4</t>
        </is>
      </c>
      <c r="B2880" s="3" t="inlineStr">
        <is>
          <t>계획관리지역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47000</v>
      </c>
      <c r="G2880" s="4" t="n">
        <v>1041</v>
      </c>
      <c r="H2880" s="4" t="n">
        <v>315</v>
      </c>
      <c r="I2880" s="5" t="n">
        <v>149.2</v>
      </c>
      <c r="J2880" s="5" t="n">
        <v>43.5</v>
      </c>
      <c r="K2880" s="3" t="inlineStr">
        <is>
          <t>세종 전의면 계획관리지역 대지.  따뜻한 주거와 텃밭을 가꿀 수 있어요</t>
        </is>
      </c>
      <c r="L2880" s="6">
        <f>HYPERLINK("https://fin.land.naver.com/articles/2650466412", "매물Link")</f>
        <v/>
      </c>
      <c r="M2880" s="6">
        <f>HYPERLINK("https://map.naver.com/p/search/전의면 양곡리 207-4", "지도Link")</f>
        <v/>
      </c>
      <c r="N2880" s="6">
        <f>HYPERLINK("http://www.eum.go.kr/web/ar/lu/luLandDet.jsp?pnu=3611037032102070004&amp;isNoScr=script&amp;mode=search", "토지이음")</f>
        <v/>
      </c>
      <c r="O2880" s="3" t="inlineStr">
        <is>
          <t>OK파라곤</t>
        </is>
      </c>
      <c r="P2880" s="4" t="n">
        <v>1</v>
      </c>
      <c r="Q2880" s="4" t="n">
        <v>1041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세로한면(가)</t>
        </is>
      </c>
    </row>
    <row r="2881">
      <c r="A2881" s="3" t="inlineStr">
        <is>
          <t>전의면 양곡리 218-2</t>
        </is>
      </c>
      <c r="B2881" s="3" t="inlineStr">
        <is>
          <t>계획관리지역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10000</v>
      </c>
      <c r="G2881" s="4" t="n">
        <v>179</v>
      </c>
      <c r="H2881" s="4" t="n">
        <v>54</v>
      </c>
      <c r="I2881" s="5" t="n">
        <v>185.2</v>
      </c>
      <c r="J2881" s="5" t="n">
        <v>42.3</v>
      </c>
      <c r="K2881" s="3" t="inlineStr">
        <is>
          <t>급매. 세종시 1억원대 토지</t>
        </is>
      </c>
      <c r="L2881" s="6">
        <f>HYPERLINK("https://fin.land.naver.com/articles/2651926225", "매물Link")</f>
        <v/>
      </c>
      <c r="M2881" s="6">
        <f>HYPERLINK("https://map.naver.com/p/search/전의면 양곡리 218-2", "지도Link")</f>
        <v/>
      </c>
      <c r="N2881" s="6">
        <f>HYPERLINK("http://www.eum.go.kr/web/ar/lu/luLandDet.jsp?pnu=3611037032102180002&amp;isNoScr=script&amp;mode=search", "토지이음")</f>
        <v/>
      </c>
      <c r="O2881" s="3" t="inlineStr">
        <is>
          <t>강아지풀</t>
        </is>
      </c>
      <c r="P2881" s="4" t="n">
        <v>1</v>
      </c>
      <c r="Q2881" s="4" t="n">
        <v>179</v>
      </c>
      <c r="R2881" s="3" t="inlineStr">
        <is>
          <t>지정되지않음</t>
        </is>
      </c>
      <c r="S2881" s="3" t="inlineStr">
        <is>
          <t>단독</t>
        </is>
      </c>
      <c r="T2881" s="3" t="inlineStr">
        <is>
          <t>평지</t>
        </is>
      </c>
      <c r="U2881" s="3" t="inlineStr">
        <is>
          <t>사다리형</t>
        </is>
      </c>
      <c r="V2881" s="3" t="inlineStr">
        <is>
          <t>세로한면(가)</t>
        </is>
      </c>
    </row>
    <row r="2882">
      <c r="A2882" s="3" t="inlineStr">
        <is>
          <t>전의면 양곡리 300-2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41000</v>
      </c>
      <c r="G2882" s="4" t="n">
        <v>2654</v>
      </c>
      <c r="H2882" s="4" t="n">
        <v>803</v>
      </c>
      <c r="I2882" s="5" t="n">
        <v>51.1</v>
      </c>
      <c r="J2882" s="5" t="n">
        <v>31.7</v>
      </c>
      <c r="K2882" s="3" t="inlineStr">
        <is>
          <t>세종미래산단 인근 계획관리지역 장기보유형 농지</t>
        </is>
      </c>
      <c r="L2882" s="6">
        <f>HYPERLINK("https://fin.land.naver.com/articles/2655067876", "매물Link")</f>
        <v/>
      </c>
      <c r="M2882" s="6">
        <f>HYPERLINK("https://map.naver.com/p/search/전의면 양곡리 300-2", "지도Link")</f>
        <v/>
      </c>
      <c r="N2882" s="6">
        <f>HYPERLINK("http://www.eum.go.kr/web/ar/lu/luLandDet.jsp?pnu=3611037032103000002&amp;isNoScr=script&amp;mode=search",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2655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양곡리 306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126400</v>
      </c>
      <c r="G2883" s="4" t="n">
        <v>2019</v>
      </c>
      <c r="H2883" s="4" t="n">
        <v>611</v>
      </c>
      <c r="I2883" s="5" t="n">
        <v>206.9</v>
      </c>
      <c r="J2883" s="5" t="n">
        <v>26</v>
      </c>
      <c r="K2883" s="3" t="inlineStr">
        <is>
          <t>세종시 전의면 양곡리 토지 매매 세종미래산업단지 앞 4차선접 2,019㎡</t>
        </is>
      </c>
      <c r="L2883" s="6">
        <f>HYPERLINK("https://fin.land.naver.com/articles/2650832779", "매물Link")</f>
        <v/>
      </c>
      <c r="M2883" s="6">
        <f>HYPERLINK("https://map.naver.com/p/search/전의면 양곡리 306", "지도Link")</f>
        <v/>
      </c>
      <c r="N2883" s="6">
        <f>HYPERLINK("http://www.eum.go.kr/web/ar/lu/luLandDet.jsp?pnu=3611037032103060000&amp;isNoScr=script&amp;mode=search", "토지이음")</f>
        <v/>
      </c>
      <c r="O2883" s="3" t="inlineStr">
        <is>
          <t>세종</t>
        </is>
      </c>
      <c r="P2883" s="4" t="n">
        <v>1</v>
      </c>
      <c r="Q2883" s="4" t="n">
        <v>2019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양곡리 368-2</t>
        </is>
      </c>
      <c r="B2884" s="3" t="inlineStr">
        <is>
          <t>생산관리지역</t>
        </is>
      </c>
      <c r="C2884" s="3" t="inlineStr">
        <is>
          <t>전</t>
        </is>
      </c>
      <c r="D2884" s="3" t="inlineStr">
        <is>
          <t>전</t>
        </is>
      </c>
      <c r="E2884" s="3" t="inlineStr">
        <is>
          <t>매매</t>
        </is>
      </c>
      <c r="F2884" s="4" t="n">
        <v>33000</v>
      </c>
      <c r="G2884" s="4" t="n">
        <v>1361</v>
      </c>
      <c r="H2884" s="4" t="n">
        <v>412</v>
      </c>
      <c r="I2884" s="5" t="n">
        <v>80.09999999999999</v>
      </c>
      <c r="J2884" s="5" t="n">
        <v>27.9</v>
      </c>
      <c r="K2884" s="3" t="inlineStr">
        <is>
          <t>nan</t>
        </is>
      </c>
      <c r="L2884" s="6">
        <f>HYPERLINK("https://fin.land.naver.com/articles/2651511445", "매물Link")</f>
        <v/>
      </c>
      <c r="M2884" s="6">
        <f>HYPERLINK("https://map.naver.com/p/search/전의면 양곡리 368-2", "지도Link")</f>
        <v/>
      </c>
      <c r="N2884" s="6">
        <f>HYPERLINK("http://www.eum.go.kr/web/ar/lu/luLandDet.jsp?pnu=3611037032103680002&amp;isNoScr=script&amp;mode=search", "토지이음")</f>
        <v/>
      </c>
      <c r="O2884" s="3" t="inlineStr">
        <is>
          <t>수자인</t>
        </is>
      </c>
      <c r="P2884" s="4" t="n">
        <v>1</v>
      </c>
      <c r="Q2884" s="4" t="n">
        <v>1361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전의면 양곡리 368-4</t>
        </is>
      </c>
      <c r="B2885" s="3" t="inlineStr">
        <is>
          <t>생산관리지역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6000</v>
      </c>
      <c r="G2885" s="4" t="n">
        <v>244</v>
      </c>
      <c r="H2885" s="4" t="n">
        <v>74</v>
      </c>
      <c r="I2885" s="5" t="n">
        <v>81.09999999999999</v>
      </c>
      <c r="J2885" s="5" t="n">
        <v>27.9</v>
      </c>
      <c r="K2885" s="3" t="inlineStr">
        <is>
          <t>소액으로 주말 농장, 농막. 상하수도 있음</t>
        </is>
      </c>
      <c r="L2885" s="6">
        <f>HYPERLINK("https://fin.land.naver.com/articles/2654002744", "매물Link")</f>
        <v/>
      </c>
      <c r="M2885" s="6">
        <f>HYPERLINK("https://map.naver.com/p/search/전의면 양곡리 368-4", "지도Link")</f>
        <v/>
      </c>
      <c r="N2885" s="6">
        <f>HYPERLINK("http://www.eum.go.kr/web/ar/lu/luLandDet.jsp?pnu=3611037032103680004&amp;isNoScr=script&amp;mode=search", "토지이음")</f>
        <v/>
      </c>
      <c r="O2885" s="3" t="inlineStr">
        <is>
          <t>세종이삭</t>
        </is>
      </c>
      <c r="P2885" s="4" t="n">
        <v>1</v>
      </c>
      <c r="Q2885" s="4" t="n">
        <v>244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전의면 양곡리 381-2</t>
        </is>
      </c>
      <c r="B2886" s="3" t="inlineStr">
        <is>
          <t>계획관리지역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45000</v>
      </c>
      <c r="G2886" s="4" t="n">
        <v>1296</v>
      </c>
      <c r="H2886" s="4" t="n">
        <v>392</v>
      </c>
      <c r="I2886" s="5" t="n">
        <v>114.8</v>
      </c>
      <c r="J2886" s="5" t="n">
        <v>46.6</v>
      </c>
      <c r="K2886" s="3" t="inlineStr">
        <is>
          <t>도로변 각지로 계획관리지역 개발 등 다양업 추천</t>
        </is>
      </c>
      <c r="L2886" s="6">
        <f>HYPERLINK("https://fin.land.naver.com/articles/2655257474", "매물Link")</f>
        <v/>
      </c>
      <c r="M2886" s="6">
        <f>HYPERLINK("https://map.naver.com/p/search/전의면 양곡리 381-2", "지도Link")</f>
        <v/>
      </c>
      <c r="N2886" s="6">
        <f>HYPERLINK("http://www.eum.go.kr/web/ar/lu/luLandDet.jsp?pnu=3611037032103810002&amp;isNoScr=script&amp;mode=search", "토지이음")</f>
        <v/>
      </c>
      <c r="O2886" s="3" t="inlineStr">
        <is>
          <t>이서방</t>
        </is>
      </c>
      <c r="P2886" s="4" t="n">
        <v>1</v>
      </c>
      <c r="Q2886" s="4" t="n">
        <v>648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완경사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전의면 양곡리 381-2</t>
        </is>
      </c>
      <c r="B2887" s="3" t="inlineStr">
        <is>
          <t>계획관리지역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45000</v>
      </c>
      <c r="G2887" s="4" t="n">
        <v>1298</v>
      </c>
      <c r="H2887" s="4" t="n">
        <v>393</v>
      </c>
      <c r="I2887" s="5" t="n">
        <v>114.5</v>
      </c>
      <c r="J2887" s="5" t="n">
        <v>46.6</v>
      </c>
      <c r="K2887" s="3" t="inlineStr">
        <is>
          <t>세종시 2차선도로  계획관리 토지  시세대비 급 매매  가격조율</t>
        </is>
      </c>
      <c r="L2887" s="6">
        <f>HYPERLINK("https://fin.land.naver.com/articles/2650927977", "매물Link")</f>
        <v/>
      </c>
      <c r="M2887" s="6">
        <f>HYPERLINK("https://map.naver.com/p/search/전의면 양곡리 381-2", "지도Link")</f>
        <v/>
      </c>
      <c r="N2887" s="6">
        <f>HYPERLINK("http://www.eum.go.kr/web/ar/lu/luLandDet.jsp?pnu=3611037032103810002&amp;isNoScr=script&amp;mode=search", "토지이음")</f>
        <v/>
      </c>
      <c r="O2887" s="3" t="inlineStr">
        <is>
          <t>연서으뜸</t>
        </is>
      </c>
      <c r="P2887" s="4" t="n">
        <v>2</v>
      </c>
      <c r="Q2887" s="4" t="n">
        <v>648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완경사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전의면 양곡리 40-5</t>
        </is>
      </c>
      <c r="B2888" s="3" t="inlineStr">
        <is>
          <t>생산관리지역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30000</v>
      </c>
      <c r="G2888" s="4" t="n">
        <v>1058</v>
      </c>
      <c r="H2888" s="4" t="n">
        <v>320</v>
      </c>
      <c r="I2888" s="5" t="n">
        <v>93.8</v>
      </c>
      <c r="J2888" s="5" t="n">
        <v>23.4</v>
      </c>
      <c r="K2888" s="3" t="inlineStr">
        <is>
          <t>도시 인접 생산관리 농지. 주택지로도 좋아요</t>
        </is>
      </c>
      <c r="L2888" s="6">
        <f>HYPERLINK("https://fin.land.naver.com/articles/2651151465", "매물Link")</f>
        <v/>
      </c>
      <c r="M2888" s="6">
        <f>HYPERLINK("https://map.naver.com/p/search/전의면 양곡리 40-5", "지도Link")</f>
        <v/>
      </c>
      <c r="N2888" s="6">
        <f>HYPERLINK("http://www.eum.go.kr/web/ar/lu/luLandDet.jsp?pnu=3611037032100400005&amp;isNoScr=script&amp;mode=search",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1058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양곡리 40-5</t>
        </is>
      </c>
      <c r="B2889" s="3" t="inlineStr">
        <is>
          <t>생산관리지역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30000</v>
      </c>
      <c r="G2889" s="4" t="n">
        <v>1057</v>
      </c>
      <c r="H2889" s="4" t="n">
        <v>320</v>
      </c>
      <c r="I2889" s="5" t="n">
        <v>93.8</v>
      </c>
      <c r="J2889" s="5" t="n">
        <v>23.4</v>
      </c>
      <c r="K2889" s="3" t="inlineStr">
        <is>
          <t>세종시 전의면 양곡리 농막과 유실수 포함 토지 매매</t>
        </is>
      </c>
      <c r="L2889" s="6">
        <f>HYPERLINK("https://fin.land.naver.com/articles/2652805726", "매물Link")</f>
        <v/>
      </c>
      <c r="M2889" s="6">
        <f>HYPERLINK("https://map.naver.com/p/search/전의면 양곡리 40-5", "지도Link")</f>
        <v/>
      </c>
      <c r="N2889" s="6">
        <f>HYPERLINK("http://www.eum.go.kr/web/ar/lu/luLandDet.jsp?pnu=3611037032100400005&amp;isNoScr=script&amp;mode=search", "토지이음")</f>
        <v/>
      </c>
      <c r="O2889" s="3" t="inlineStr">
        <is>
          <t>뉴스카이</t>
        </is>
      </c>
      <c r="P2889" s="4" t="n">
        <v>1</v>
      </c>
      <c r="Q2889" s="4" t="n">
        <v>1058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양곡리 573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70000</v>
      </c>
      <c r="G2890" s="4" t="n">
        <v>954</v>
      </c>
      <c r="H2890" s="4" t="n">
        <v>289</v>
      </c>
      <c r="I2890" s="5" t="n">
        <v>242.2</v>
      </c>
      <c r="J2890" s="5" t="n">
        <v>124.6</v>
      </c>
      <c r="K2890" s="3" t="inlineStr">
        <is>
          <t>대로변 광고효과 좋음,  미래산업단지 지원용지 ,  투자추천</t>
        </is>
      </c>
      <c r="L2890" s="6">
        <f>HYPERLINK("https://fin.land.naver.com/articles/2652607353", "매물Link")</f>
        <v/>
      </c>
      <c r="M2890" s="6">
        <f>HYPERLINK("https://map.naver.com/p/search/전의면 양곡리 573", "지도Link")</f>
        <v/>
      </c>
      <c r="N2890" s="6">
        <f>HYPERLINK("http://www.eum.go.kr/web/ar/lu/luLandDet.jsp?pnu=3611037032105730000&amp;isNoScr=script&amp;mode=search", "토지이음")</f>
        <v/>
      </c>
      <c r="O2890" s="3" t="inlineStr">
        <is>
          <t>세종보물</t>
        </is>
      </c>
      <c r="P2890" s="4" t="n">
        <v>1</v>
      </c>
      <c r="Q2890" s="4" t="n">
        <v>954.6</v>
      </c>
      <c r="R2890" s="3" t="inlineStr">
        <is>
          <t>지정되지않음</t>
        </is>
      </c>
      <c r="S2890" s="3" t="inlineStr">
        <is>
          <t>상업나지</t>
        </is>
      </c>
      <c r="T2890" s="3" t="inlineStr">
        <is>
          <t>평지</t>
        </is>
      </c>
      <c r="U2890" s="3" t="inlineStr">
        <is>
          <t>정방형</t>
        </is>
      </c>
      <c r="V2890" s="3" t="inlineStr">
        <is>
          <t>중로한면</t>
        </is>
      </c>
    </row>
    <row r="2891">
      <c r="A2891" s="3" t="inlineStr">
        <is>
          <t>전의면 영당리 11-4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9700</v>
      </c>
      <c r="G2891" s="4" t="n">
        <v>320</v>
      </c>
      <c r="H2891" s="4" t="n">
        <v>97</v>
      </c>
      <c r="I2891" s="5" t="n">
        <v>100</v>
      </c>
      <c r="J2891" s="5" t="n">
        <v>22.6</v>
      </c>
      <c r="K2891" s="3" t="inlineStr">
        <is>
          <t>nan</t>
        </is>
      </c>
      <c r="L2891" s="6">
        <f>HYPERLINK("https://fin.land.naver.com/articles/2654422055", "매물Link")</f>
        <v/>
      </c>
      <c r="M2891" s="6">
        <f>HYPERLINK("https://map.naver.com/p/search/전의면 영당리 11-4", "지도Link")</f>
        <v/>
      </c>
      <c r="N2891" s="6">
        <f>HYPERLINK("http://www.eum.go.kr/web/ar/lu/luLandDet.jsp?pnu=3611037031100110004&amp;isNoScr=script&amp;mode=search", "토지이음")</f>
        <v/>
      </c>
      <c r="O2891" s="3" t="inlineStr">
        <is>
          <t>그래그</t>
        </is>
      </c>
      <c r="P2891" s="4" t="n">
        <v>1</v>
      </c>
      <c r="Q2891" s="4" t="n">
        <v>320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영당리 118-1</t>
        </is>
      </c>
      <c r="B2892" s="3" t="inlineStr">
        <is>
          <t>계획관리지역</t>
        </is>
      </c>
      <c r="C2892" s="3" t="inlineStr">
        <is>
          <t>공장용지</t>
        </is>
      </c>
      <c r="D2892" s="3" t="inlineStr">
        <is>
          <t>공장용지</t>
        </is>
      </c>
      <c r="E2892" s="3" t="inlineStr">
        <is>
          <t>매매</t>
        </is>
      </c>
      <c r="F2892" s="4" t="n">
        <v>85000</v>
      </c>
      <c r="G2892" s="4" t="n">
        <v>1894</v>
      </c>
      <c r="H2892" s="4" t="n">
        <v>573</v>
      </c>
      <c r="I2892" s="5" t="n">
        <v>148.3</v>
      </c>
      <c r="J2892" s="5" t="n">
        <v>39.2</v>
      </c>
      <c r="K2892" s="3" t="inlineStr">
        <is>
          <t>전의면 영당리 계획관리 공장용지, 6m 도로 접, 주변 산업단지 개발</t>
        </is>
      </c>
      <c r="L2892" s="6">
        <f>HYPERLINK("https://fin.land.naver.com/articles/2654029266", "매물Link")</f>
        <v/>
      </c>
      <c r="M2892" s="6">
        <f>HYPERLINK("https://map.naver.com/p/search/전의면 영당리 118-1", "지도Link")</f>
        <v/>
      </c>
      <c r="N2892" s="6">
        <f>HYPERLINK("http://www.eum.go.kr/web/ar/lu/luLandDet.jsp?pnu=3611037031101180001&amp;isNoScr=script&amp;mode=search",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1795</v>
      </c>
      <c r="R2892" s="3" t="inlineStr">
        <is>
          <t>지정되지않음</t>
        </is>
      </c>
      <c r="S2892" s="3" t="inlineStr">
        <is>
          <t>공업나지</t>
        </is>
      </c>
      <c r="T2892" s="3" t="inlineStr">
        <is>
          <t>완경사</t>
        </is>
      </c>
      <c r="U2892" s="3" t="inlineStr">
        <is>
          <t>사다리형</t>
        </is>
      </c>
      <c r="V2892" s="3" t="inlineStr">
        <is>
          <t>세로한면(가)</t>
        </is>
      </c>
    </row>
    <row r="2893">
      <c r="A2893" s="3" t="inlineStr">
        <is>
          <t>전의면 영당리 40-6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29700</v>
      </c>
      <c r="G2893" s="4" t="n">
        <v>838</v>
      </c>
      <c r="H2893" s="4" t="n">
        <v>253</v>
      </c>
      <c r="I2893" s="5" t="n">
        <v>117.4</v>
      </c>
      <c r="J2893" s="5" t="n">
        <v>30</v>
      </c>
      <c r="K2893" s="3" t="inlineStr">
        <is>
          <t>전원주택지 계획관리 전. 전용 711m</t>
        </is>
      </c>
      <c r="L2893" s="6">
        <f>HYPERLINK("https://fin.land.naver.com/articles/2654228177", "매물Link")</f>
        <v/>
      </c>
      <c r="M2893" s="6">
        <f>HYPERLINK("https://map.naver.com/p/search/전의면 영당리 40-6", "지도Link")</f>
        <v/>
      </c>
      <c r="N2893" s="6">
        <f>HYPERLINK("http://www.eum.go.kr/web/ar/lu/luLandDet.jsp?pnu=3611037031100400006&amp;isNoScr=script&amp;mode=search", "토지이음")</f>
        <v/>
      </c>
      <c r="O2893" s="3" t="inlineStr">
        <is>
          <t>미스터홈즈강남지사</t>
        </is>
      </c>
      <c r="P2893" s="4" t="n">
        <v>1</v>
      </c>
      <c r="Q2893" s="4" t="n">
        <v>711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영당리 43-1</t>
        </is>
      </c>
      <c r="B2894" s="3" t="inlineStr">
        <is>
          <t>계획관리지역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37700</v>
      </c>
      <c r="G2894" s="4" t="n">
        <v>949</v>
      </c>
      <c r="H2894" s="4" t="n">
        <v>287</v>
      </c>
      <c r="I2894" s="5" t="n">
        <v>131.4</v>
      </c>
      <c r="J2894" s="5" t="n">
        <v>60.4</v>
      </c>
      <c r="K2894" s="3" t="inlineStr">
        <is>
          <t>nan</t>
        </is>
      </c>
      <c r="L2894" s="6">
        <f>HYPERLINK("https://fin.land.naver.com/articles/2654242099", "매물Link")</f>
        <v/>
      </c>
      <c r="M2894" s="6">
        <f>HYPERLINK("https://map.naver.com/p/search/전의면 영당리 43-1", "지도Link")</f>
        <v/>
      </c>
      <c r="N2894" s="6">
        <f>HYPERLINK("http://www.eum.go.kr/web/ar/lu/luLandDet.jsp?pnu=3611037031100430001&amp;isNoScr=script&amp;mode=search", "토지이음")</f>
        <v/>
      </c>
      <c r="O2894" s="3" t="inlineStr">
        <is>
          <t>미스터홈즈강남지사</t>
        </is>
      </c>
      <c r="P2894" s="4" t="n">
        <v>1</v>
      </c>
      <c r="Q2894" s="4" t="n">
        <v>596</v>
      </c>
      <c r="R2894" s="3" t="inlineStr">
        <is>
          <t>지정되지않음</t>
        </is>
      </c>
      <c r="S2894" s="3" t="inlineStr">
        <is>
          <t>단독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세로한면(가)</t>
        </is>
      </c>
    </row>
    <row r="2895">
      <c r="A2895" s="3" t="inlineStr">
        <is>
          <t>전의면 원성리 103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55500</v>
      </c>
      <c r="G2895" s="4" t="n">
        <v>3055</v>
      </c>
      <c r="H2895" s="4" t="n">
        <v>924</v>
      </c>
      <c r="I2895" s="5" t="n">
        <v>60.1</v>
      </c>
      <c r="J2895" s="5" t="n">
        <v>38.1</v>
      </c>
      <c r="K2895" s="3" t="inlineStr">
        <is>
          <t>1번국도, 전의역 가까운지역이며, 서울세종간고속도로5km반경</t>
        </is>
      </c>
      <c r="L2895" s="6">
        <f>HYPERLINK("https://fin.land.naver.com/articles/2652117485", "매물Link")</f>
        <v/>
      </c>
      <c r="M2895" s="6">
        <f>HYPERLINK("https://map.naver.com/p/search/전의면 원성리 103", "지도Link")</f>
        <v/>
      </c>
      <c r="N2895" s="6">
        <f>HYPERLINK("http://www.eum.go.kr/web/ar/lu/luLandDet.jsp?pnu=3611037024101030000&amp;isNoScr=script&amp;mode=search", "토지이음")</f>
        <v/>
      </c>
      <c r="O2895" s="3" t="inlineStr">
        <is>
          <t>미스터홈즈강남지사</t>
        </is>
      </c>
      <c r="P2895" s="4" t="n">
        <v>2</v>
      </c>
      <c r="Q2895" s="4" t="n">
        <v>3055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원성리 164-2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71000</v>
      </c>
      <c r="G2896" s="4" t="n">
        <v>1955</v>
      </c>
      <c r="H2896" s="4" t="n">
        <v>591</v>
      </c>
      <c r="I2896" s="5" t="n">
        <v>120.1</v>
      </c>
      <c r="J2896" s="5" t="n">
        <v>38.1</v>
      </c>
      <c r="K2896" s="3" t="inlineStr">
        <is>
          <t>전의역 부근 계획관리지역 토지</t>
        </is>
      </c>
      <c r="L2896" s="6">
        <f>HYPERLINK("https://fin.land.naver.com/articles/2652534978", "매물Link")</f>
        <v/>
      </c>
      <c r="M2896" s="6">
        <f>HYPERLINK("https://map.naver.com/p/search/전의면 원성리 164-2", "지도Link")</f>
        <v/>
      </c>
      <c r="N2896" s="6">
        <f>HYPERLINK("http://www.eum.go.kr/web/ar/lu/luLandDet.jsp?pnu=3611037024101640002&amp;isNoScr=script&amp;mode=search", "토지이음")</f>
        <v/>
      </c>
      <c r="O2896" s="3" t="inlineStr">
        <is>
          <t>우림</t>
        </is>
      </c>
      <c r="P2896" s="4" t="n">
        <v>1</v>
      </c>
      <c r="Q2896" s="4" t="n">
        <v>1955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원성리 176</t>
        </is>
      </c>
      <c r="B2897" s="3" t="inlineStr">
        <is>
          <t>계획관리지역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45000</v>
      </c>
      <c r="G2897" s="4" t="n">
        <v>2171</v>
      </c>
      <c r="H2897" s="4" t="n">
        <v>657</v>
      </c>
      <c r="I2897" s="5" t="n">
        <v>68.5</v>
      </c>
      <c r="J2897" s="5" t="n">
        <v>34</v>
      </c>
      <c r="K2897" s="3" t="inlineStr">
        <is>
          <t>도로접한 계획관리 매매</t>
        </is>
      </c>
      <c r="L2897" s="6">
        <f>HYPERLINK("https://fin.land.naver.com/articles/2650931337", "매물Link")</f>
        <v/>
      </c>
      <c r="M2897" s="6">
        <f>HYPERLINK("https://map.naver.com/p/search/전의면 원성리 176", "지도Link")</f>
        <v/>
      </c>
      <c r="N2897" s="6">
        <f>HYPERLINK("http://www.eum.go.kr/web/ar/lu/luLandDet.jsp?pnu=3611037024101760000&amp;isNoScr=script&amp;mode=search", "토지이음")</f>
        <v/>
      </c>
      <c r="O2897" s="3" t="inlineStr">
        <is>
          <t>태양</t>
        </is>
      </c>
      <c r="P2897" s="4" t="n">
        <v>1</v>
      </c>
      <c r="Q2897" s="4" t="n">
        <v>2171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원성리 244</t>
        </is>
      </c>
      <c r="B2898" s="3" t="inlineStr">
        <is>
          <t>보전관리지역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26000</v>
      </c>
      <c r="G2898" s="4" t="n">
        <v>1673</v>
      </c>
      <c r="H2898" s="4" t="n">
        <v>506</v>
      </c>
      <c r="I2898" s="5" t="n">
        <v>51.4</v>
      </c>
      <c r="J2898" s="5" t="n">
        <v>7.6</v>
      </c>
      <c r="K2898" s="3" t="inlineStr">
        <is>
          <t>양봉업자최적토지 아카시아꿀 밀원 토지 매매</t>
        </is>
      </c>
      <c r="L2898" s="6">
        <f>HYPERLINK("https://fin.land.naver.com/articles/2654666002", "매물Link")</f>
        <v/>
      </c>
      <c r="M2898" s="6">
        <f>HYPERLINK("https://map.naver.com/p/search/전의면 원성리 244", "지도Link")</f>
        <v/>
      </c>
      <c r="N2898" s="6">
        <f>HYPERLINK("http://www.eum.go.kr/web/ar/lu/luLandDet.jsp?pnu=3611037024102440000&amp;isNoScr=script&amp;mode=search", "토지이음")</f>
        <v/>
      </c>
      <c r="O2898" s="3" t="inlineStr">
        <is>
          <t>도담</t>
        </is>
      </c>
      <c r="P2898" s="4" t="n">
        <v>1</v>
      </c>
      <c r="Q2898" s="4" t="n">
        <v>1673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맹지</t>
        </is>
      </c>
    </row>
    <row r="2899">
      <c r="A2899" s="3" t="inlineStr">
        <is>
          <t>전의면 원성리 산21-12</t>
        </is>
      </c>
      <c r="B2899" s="3" t="inlineStr">
        <is>
          <t>계획관리지역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36000</v>
      </c>
      <c r="G2899" s="4" t="n">
        <v>1765</v>
      </c>
      <c r="H2899" s="4" t="n">
        <v>534</v>
      </c>
      <c r="I2899" s="5" t="n">
        <v>67.40000000000001</v>
      </c>
      <c r="J2899" s="5" t="n">
        <v>4.6</v>
      </c>
      <c r="K2899" s="3" t="inlineStr">
        <is>
          <t>투자용, 전의역세권 토지, 산업단지인근, 2차선도로 인접</t>
        </is>
      </c>
      <c r="L2899" s="6">
        <f>HYPERLINK("https://fin.land.naver.com/articles/2653295874", "매물Link")</f>
        <v/>
      </c>
      <c r="M2899" s="6">
        <f>HYPERLINK("https://map.naver.com/p/search/전의면 원성리 산21-12", "지도Link")</f>
        <v/>
      </c>
      <c r="N2899" s="6">
        <f>HYPERLINK("http://www.eum.go.kr/web/ar/lu/luLandDet.jsp?pnu=3611037024200210012&amp;isNoScr=script&amp;mode=search", "토지이음")</f>
        <v/>
      </c>
      <c r="O2899" s="3" t="inlineStr">
        <is>
          <t>세종공감</t>
        </is>
      </c>
      <c r="P2899" s="4" t="n">
        <v>1</v>
      </c>
      <c r="Q2899" s="4" t="n">
        <v>1765</v>
      </c>
      <c r="R2899" s="3" t="inlineStr">
        <is>
          <t>농림지역</t>
        </is>
      </c>
      <c r="S2899" s="3" t="inlineStr">
        <is>
          <t>자연림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소로한면</t>
        </is>
      </c>
    </row>
    <row r="2900">
      <c r="A2900" s="3" t="inlineStr">
        <is>
          <t>전의면 유천리 110-1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16000</v>
      </c>
      <c r="G2900" s="4" t="n">
        <v>1653</v>
      </c>
      <c r="H2900" s="4" t="n">
        <v>500</v>
      </c>
      <c r="I2900" s="5" t="n">
        <v>32</v>
      </c>
      <c r="J2900" s="5" t="n">
        <v>14.3</v>
      </c>
      <c r="K2900" s="3" t="inlineStr">
        <is>
          <t>세종시 전의면 유천리 저렴한 계획관리 토지 매매</t>
        </is>
      </c>
      <c r="L2900" s="6">
        <f>HYPERLINK("https://fin.land.naver.com/articles/2651751236", "매물Link")</f>
        <v/>
      </c>
      <c r="M2900" s="6">
        <f>HYPERLINK("https://map.naver.com/p/search/전의면 유천리 110-1", "지도Link")</f>
        <v/>
      </c>
      <c r="N2900" s="6">
        <f>HYPERLINK("http://www.eum.go.kr/web/ar/lu/luLandDet.jsp?pnu=3611037026101100001&amp;isNoScr=script&amp;mode=search", "토지이음")</f>
        <v/>
      </c>
      <c r="O2900" s="3" t="inlineStr">
        <is>
          <t>뉴스카이</t>
        </is>
      </c>
      <c r="P2900" s="4" t="n">
        <v>1</v>
      </c>
      <c r="Q2900" s="4" t="n">
        <v>1653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유천리 110-1</t>
        </is>
      </c>
      <c r="B2901" s="3" t="inlineStr">
        <is>
          <t>계획관리지역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16000</v>
      </c>
      <c r="G2901" s="4" t="n">
        <v>1653</v>
      </c>
      <c r="H2901" s="4" t="n">
        <v>500</v>
      </c>
      <c r="I2901" s="5" t="n">
        <v>32</v>
      </c>
      <c r="J2901" s="5" t="n">
        <v>14.3</v>
      </c>
      <c r="K2901" s="3" t="inlineStr">
        <is>
          <t>소규모창고 및 주말농장</t>
        </is>
      </c>
      <c r="L2901" s="6">
        <f>HYPERLINK("https://fin.land.naver.com/articles/2652854212", "매물Link")</f>
        <v/>
      </c>
      <c r="M2901" s="6">
        <f>HYPERLINK("https://map.naver.com/p/search/전의면 유천리 110-1", "지도Link")</f>
        <v/>
      </c>
      <c r="N2901" s="6">
        <f>HYPERLINK("http://www.eum.go.kr/web/ar/lu/luLandDet.jsp?pnu=3611037026101100001&amp;isNoScr=script&amp;mode=search", "토지이음")</f>
        <v/>
      </c>
      <c r="O2901" s="3" t="inlineStr">
        <is>
          <t>엘지에스케이</t>
        </is>
      </c>
      <c r="P2901" s="4" t="n">
        <v>1</v>
      </c>
      <c r="Q2901" s="4" t="n">
        <v>1653</v>
      </c>
      <c r="R2901" s="3" t="inlineStr">
        <is>
          <t>지정되지않음</t>
        </is>
      </c>
      <c r="S2901" s="3" t="inlineStr">
        <is>
          <t>전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세로한면(가)</t>
        </is>
      </c>
    </row>
    <row r="2902">
      <c r="A2902" s="3" t="inlineStr">
        <is>
          <t>전의면 유천리 249-2</t>
        </is>
      </c>
      <c r="B2902" s="3" t="inlineStr">
        <is>
          <t>계획관리지역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12500</v>
      </c>
      <c r="G2902" s="4" t="n">
        <v>486</v>
      </c>
      <c r="H2902" s="4" t="n">
        <v>147</v>
      </c>
      <c r="I2902" s="5" t="n">
        <v>85</v>
      </c>
      <c r="J2902" s="5" t="n">
        <v>24.6</v>
      </c>
      <c r="K2902" s="3" t="inlineStr">
        <is>
          <t>세종시 전의면 전의 제2일반산업단지인근 구옥이 있는 대지</t>
        </is>
      </c>
      <c r="L2902" s="6">
        <f>HYPERLINK("https://fin.land.naver.com/articles/2650170618", "매물Link")</f>
        <v/>
      </c>
      <c r="M2902" s="6">
        <f>HYPERLINK("https://map.naver.com/p/search/전의면 유천리 249-2", "지도Link")</f>
        <v/>
      </c>
      <c r="N2902" s="6">
        <f>HYPERLINK("http://www.eum.go.kr/web/ar/lu/luLandDet.jsp?pnu=3611037026102490002&amp;isNoScr=script&amp;mode=search", "토지이음")</f>
        <v/>
      </c>
      <c r="O2902" s="3" t="inlineStr">
        <is>
          <t>그린</t>
        </is>
      </c>
      <c r="P2902" s="4" t="n">
        <v>1</v>
      </c>
      <c r="Q2902" s="4" t="n">
        <v>486</v>
      </c>
      <c r="R2902" s="3" t="inlineStr">
        <is>
          <t>지정되지않음</t>
        </is>
      </c>
      <c r="S2902" s="3" t="inlineStr">
        <is>
          <t>단독</t>
        </is>
      </c>
      <c r="T2902" s="3" t="inlineStr">
        <is>
          <t>완경사</t>
        </is>
      </c>
      <c r="U2902" s="3" t="inlineStr">
        <is>
          <t>자루형</t>
        </is>
      </c>
      <c r="V2902" s="3" t="inlineStr">
        <is>
          <t>세로한면(가)</t>
        </is>
      </c>
    </row>
    <row r="2903">
      <c r="A2903" s="3" t="inlineStr">
        <is>
          <t>전의면 유천리 296</t>
        </is>
      </c>
      <c r="B2903" s="3" t="inlineStr">
        <is>
          <t>계획관리지역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25000</v>
      </c>
      <c r="G2903" s="4" t="n">
        <v>1177</v>
      </c>
      <c r="H2903" s="4" t="n">
        <v>356</v>
      </c>
      <c r="I2903" s="5" t="n">
        <v>70.2</v>
      </c>
      <c r="J2903" s="5" t="n">
        <v>25.3</v>
      </c>
      <c r="K2903" s="3" t="inlineStr">
        <is>
          <t>전기,수도 모두 인입된 대지와 답</t>
        </is>
      </c>
      <c r="L2903" s="6">
        <f>HYPERLINK("https://fin.land.naver.com/articles/2652039538", "매물Link")</f>
        <v/>
      </c>
      <c r="M2903" s="6">
        <f>HYPERLINK("https://map.naver.com/p/search/전의면 유천리 296", "지도Link")</f>
        <v/>
      </c>
      <c r="N2903" s="6">
        <f>HYPERLINK("http://www.eum.go.kr/web/ar/lu/luLandDet.jsp?pnu=3611037026102960000&amp;isNoScr=script&amp;mode=search", "토지이음")</f>
        <v/>
      </c>
      <c r="O2903" s="3" t="inlineStr">
        <is>
          <t>미스터홈즈강남지사</t>
        </is>
      </c>
      <c r="P2903" s="4" t="n">
        <v>1</v>
      </c>
      <c r="Q2903" s="4" t="n">
        <v>630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유천리 303-4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55800</v>
      </c>
      <c r="G2904" s="4" t="n">
        <v>1230</v>
      </c>
      <c r="H2904" s="4" t="n">
        <v>372</v>
      </c>
      <c r="I2904" s="5" t="n">
        <v>150</v>
      </c>
      <c r="J2904" s="5" t="n">
        <v>34.3</v>
      </c>
      <c r="K2904" s="3" t="inlineStr">
        <is>
          <t>세종에머슨cc 입구로 도로접한 각지, 창고나  음식점 추천합니다</t>
        </is>
      </c>
      <c r="L2904" s="6">
        <f>HYPERLINK("https://fin.land.naver.com/articles/2654445650", "매물Link")</f>
        <v/>
      </c>
      <c r="M2904" s="6">
        <f>HYPERLINK("https://map.naver.com/p/search/전의면 유천리 303-4", "지도Link")</f>
        <v/>
      </c>
      <c r="N2904" s="6">
        <f>HYPERLINK("http://www.eum.go.kr/web/ar/lu/luLandDet.jsp?pnu=3611037026103030004&amp;isNoScr=script&amp;mode=search", "토지이음")</f>
        <v/>
      </c>
      <c r="O2904" s="3" t="inlineStr">
        <is>
          <t>세종새롬</t>
        </is>
      </c>
      <c r="P2904" s="4" t="n">
        <v>1</v>
      </c>
      <c r="Q2904" s="4" t="n">
        <v>1230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소로한면</t>
        </is>
      </c>
    </row>
    <row r="2905">
      <c r="A2905" s="3" t="inlineStr">
        <is>
          <t>전의면 유천리 392-1</t>
        </is>
      </c>
      <c r="B2905" s="3" t="inlineStr">
        <is>
          <t>농림지역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16400</v>
      </c>
      <c r="G2905" s="4" t="n">
        <v>1352</v>
      </c>
      <c r="H2905" s="4" t="n">
        <v>409</v>
      </c>
      <c r="I2905" s="5" t="n">
        <v>40.1</v>
      </c>
      <c r="J2905" s="5" t="n">
        <v>15.5</v>
      </c>
      <c r="K2905" s="3" t="inlineStr">
        <is>
          <t>남풍세IC 접근성 좋은 포장농로 접 평탄 농지</t>
        </is>
      </c>
      <c r="L2905" s="6">
        <f>HYPERLINK("https://fin.land.naver.com/articles/2655065533", "매물Link")</f>
        <v/>
      </c>
      <c r="M2905" s="6">
        <f>HYPERLINK("https://map.naver.com/p/search/전의면 유천리 392-1", "지도Link")</f>
        <v/>
      </c>
      <c r="N2905" s="6">
        <f>HYPERLINK("http://www.eum.go.kr/web/ar/lu/luLandDet.jsp?pnu=3611037026103920001&amp;isNoScr=script&amp;mode=search", "토지이음")</f>
        <v/>
      </c>
      <c r="O2905" s="3" t="inlineStr">
        <is>
          <t>세종소담황금</t>
        </is>
      </c>
      <c r="P2905" s="4" t="n">
        <v>1</v>
      </c>
      <c r="Q2905" s="4" t="n">
        <v>1352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유천리 497-5</t>
        </is>
      </c>
      <c r="B2906" s="3" t="inlineStr">
        <is>
          <t>계획관리지역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50000</v>
      </c>
      <c r="G2906" s="4" t="n">
        <v>1061</v>
      </c>
      <c r="H2906" s="4" t="n">
        <v>321</v>
      </c>
      <c r="I2906" s="5" t="n">
        <v>155.8</v>
      </c>
      <c r="J2906" s="5" t="n">
        <v>25.9</v>
      </c>
      <c r="K2906" s="3" t="inlineStr">
        <is>
          <t>도로접한 계획관리지역 대지 및 전</t>
        </is>
      </c>
      <c r="L2906" s="6">
        <f>HYPERLINK("https://fin.land.naver.com/articles/2651854740", "매물Link")</f>
        <v/>
      </c>
      <c r="M2906" s="6">
        <f>HYPERLINK("https://map.naver.com/p/search/전의면 유천리 497-5", "지도Link")</f>
        <v/>
      </c>
      <c r="N2906" s="6">
        <f>HYPERLINK("http://www.eum.go.kr/web/ar/lu/luLandDet.jsp?pnu=3611037026104970005&amp;isNoScr=script&amp;mode=search", "토지이음")</f>
        <v/>
      </c>
      <c r="O2906" s="3" t="inlineStr">
        <is>
          <t>세종나라</t>
        </is>
      </c>
      <c r="P2906" s="4" t="n">
        <v>1</v>
      </c>
      <c r="Q2906" s="4" t="n">
        <v>523</v>
      </c>
      <c r="R2906" s="3" t="inlineStr">
        <is>
          <t>지정되지않음</t>
        </is>
      </c>
      <c r="S2906" s="3" t="inlineStr">
        <is>
          <t>단독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세로한면(불)</t>
        </is>
      </c>
    </row>
    <row r="2907">
      <c r="A2907" s="3" t="inlineStr">
        <is>
          <t>전의면 유천리 76-4</t>
        </is>
      </c>
      <c r="B2907" s="3" t="inlineStr">
        <is>
          <t>계획관리지역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140000</v>
      </c>
      <c r="G2907" s="4" t="n">
        <v>5117</v>
      </c>
      <c r="H2907" s="4" t="n">
        <v>1548</v>
      </c>
      <c r="I2907" s="5" t="n">
        <v>90.40000000000001</v>
      </c>
      <c r="J2907" s="5" t="n">
        <v>26.7</v>
      </c>
      <c r="K2907" s="3" t="inlineStr">
        <is>
          <t>w 1번국도 교통망 너무좋은 위치 w 공장, 창고 하기 좋은 위치</t>
        </is>
      </c>
      <c r="L2907" s="6">
        <f>HYPERLINK("https://fin.land.naver.com/articles/2652022745", "매물Link")</f>
        <v/>
      </c>
      <c r="M2907" s="6">
        <f>HYPERLINK("https://map.naver.com/p/search/전의면 유천리 76-4", "지도Link")</f>
        <v/>
      </c>
      <c r="N2907" s="6">
        <f>HYPERLINK("http://www.eum.go.kr/web/ar/lu/luLandDet.jsp?pnu=3611037026100760004&amp;isNoScr=script&amp;mode=search", "토지이음")</f>
        <v/>
      </c>
      <c r="O2907" s="3" t="inlineStr">
        <is>
          <t>원탑</t>
        </is>
      </c>
      <c r="P2907" s="4" t="n">
        <v>1</v>
      </c>
      <c r="Q2907" s="4" t="n">
        <v>727</v>
      </c>
      <c r="R2907" s="3" t="inlineStr">
        <is>
          <t>보전관리지역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소로한면</t>
        </is>
      </c>
    </row>
    <row r="2908">
      <c r="A2908" s="3" t="inlineStr">
        <is>
          <t>전의면 유천리 84-1</t>
        </is>
      </c>
      <c r="B2908" s="3" t="inlineStr">
        <is>
          <t>보전관리지역</t>
        </is>
      </c>
      <c r="C2908" s="3" t="inlineStr">
        <is>
          <t>임야</t>
        </is>
      </c>
      <c r="D2908" s="3" t="inlineStr">
        <is>
          <t>임야</t>
        </is>
      </c>
      <c r="E2908" s="3" t="inlineStr">
        <is>
          <t>매매</t>
        </is>
      </c>
      <c r="F2908" s="4" t="n">
        <v>320000</v>
      </c>
      <c r="G2908" s="4" t="n">
        <v>12582</v>
      </c>
      <c r="H2908" s="4" t="n">
        <v>3806</v>
      </c>
      <c r="I2908" s="5" t="n">
        <v>84.09999999999999</v>
      </c>
      <c r="J2908" s="5" t="n">
        <v>20.6</v>
      </c>
      <c r="K2908" s="3" t="inlineStr">
        <is>
          <t>2차선도로접 평탄한임야 민원소지적음 다목적개발용이</t>
        </is>
      </c>
      <c r="L2908" s="6">
        <f>HYPERLINK("https://fin.land.naver.com/articles/2655013660", "매물Link")</f>
        <v/>
      </c>
      <c r="M2908" s="6">
        <f>HYPERLINK("https://map.naver.com/p/search/전의면 유천리 84-1", "지도Link")</f>
        <v/>
      </c>
      <c r="N2908" s="6">
        <f>HYPERLINK("http://www.eum.go.kr/web/ar/lu/luLandDet.jsp?pnu=3611037026100840001&amp;isNoScr=script&amp;mode=search", "토지이음")</f>
        <v/>
      </c>
      <c r="O2908" s="3" t="inlineStr">
        <is>
          <t>한마음</t>
        </is>
      </c>
      <c r="P2908" s="4" t="n">
        <v>1</v>
      </c>
      <c r="Q2908" s="4" t="n">
        <v>10837</v>
      </c>
      <c r="R2908" s="3" t="inlineStr">
        <is>
          <t>계획관리지역</t>
        </is>
      </c>
      <c r="S2908" s="3" t="inlineStr">
        <is>
          <t>자연림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중로한면</t>
        </is>
      </c>
    </row>
    <row r="2909">
      <c r="A2909" s="3" t="inlineStr">
        <is>
          <t>전의면 유천리 84-1</t>
        </is>
      </c>
      <c r="B2909" s="3" t="inlineStr">
        <is>
          <t>보전관리지역</t>
        </is>
      </c>
      <c r="C2909" s="3" t="inlineStr">
        <is>
          <t>임야</t>
        </is>
      </c>
      <c r="D2909" s="3" t="inlineStr">
        <is>
          <t>임야</t>
        </is>
      </c>
      <c r="E2909" s="3" t="inlineStr">
        <is>
          <t>매매</t>
        </is>
      </c>
      <c r="F2909" s="4" t="n">
        <v>320000</v>
      </c>
      <c r="G2909" s="4" t="n">
        <v>12582</v>
      </c>
      <c r="H2909" s="4" t="n">
        <v>3806</v>
      </c>
      <c r="I2909" s="5" t="n">
        <v>84.09999999999999</v>
      </c>
      <c r="J2909" s="5" t="n">
        <v>20.6</v>
      </c>
      <c r="K2909" s="3" t="inlineStr">
        <is>
          <t>1번국도접한 광고효과 좋은 토지매매</t>
        </is>
      </c>
      <c r="L2909" s="6">
        <f>HYPERLINK("https://fin.land.naver.com/articles/2653318114", "매물Link")</f>
        <v/>
      </c>
      <c r="M2909" s="6">
        <f>HYPERLINK("https://map.naver.com/p/search/전의면 유천리 84-1", "지도Link")</f>
        <v/>
      </c>
      <c r="N2909" s="6">
        <f>HYPERLINK("http://www.eum.go.kr/web/ar/lu/luLandDet.jsp?pnu=3611037026100840001&amp;isNoScr=script&amp;mode=search", "토지이음")</f>
        <v/>
      </c>
      <c r="O2909" s="3" t="inlineStr">
        <is>
          <t>복전</t>
        </is>
      </c>
      <c r="P2909" s="4" t="n">
        <v>1</v>
      </c>
      <c r="Q2909" s="4" t="n">
        <v>10837</v>
      </c>
      <c r="R2909" s="3" t="inlineStr">
        <is>
          <t>계획관리지역</t>
        </is>
      </c>
      <c r="S2909" s="3" t="inlineStr">
        <is>
          <t>자연림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중로한면</t>
        </is>
      </c>
    </row>
    <row r="2910">
      <c r="A2910" s="3" t="inlineStr">
        <is>
          <t>전의면 읍내리 103-5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</v>
      </c>
      <c r="G2910" s="4" t="n">
        <v>222</v>
      </c>
      <c r="H2910" s="4" t="n">
        <v>67</v>
      </c>
      <c r="I2910" s="5" t="n">
        <v>238.8</v>
      </c>
      <c r="J2910" s="5" t="n">
        <v>83</v>
      </c>
      <c r="K2910" s="3" t="inlineStr">
        <is>
          <t>2차선 도로변 계획관리 토지</t>
        </is>
      </c>
      <c r="L2910" s="6">
        <f>HYPERLINK("https://fin.land.naver.com/articles/2652109114", "매물Link")</f>
        <v/>
      </c>
      <c r="M2910" s="6">
        <f>HYPERLINK("https://map.naver.com/p/search/전의면 읍내리 103-5", "지도Link")</f>
        <v/>
      </c>
      <c r="N2910" s="6">
        <f>HYPERLINK("http://www.eum.go.kr/web/ar/lu/luLandDet.jsp?pnu=3611037021101030005&amp;isNoScr=script&amp;mode=search",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222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중로각지</t>
        </is>
      </c>
    </row>
    <row r="2911">
      <c r="A2911" s="3" t="inlineStr">
        <is>
          <t>전의면 읍내리 11-16</t>
        </is>
      </c>
      <c r="B2911" s="3" t="inlineStr">
        <is>
          <t>계획관리지역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32000</v>
      </c>
      <c r="G2911" s="4" t="n">
        <v>642</v>
      </c>
      <c r="H2911" s="4" t="n">
        <v>194</v>
      </c>
      <c r="I2911" s="5" t="n">
        <v>164.9</v>
      </c>
      <c r="J2911" s="5" t="n">
        <v>74.90000000000001</v>
      </c>
      <c r="K2911" s="3" t="inlineStr">
        <is>
          <t>nan</t>
        </is>
      </c>
      <c r="L2911" s="6">
        <f>HYPERLINK("https://fin.land.naver.com/articles/2652931214", "매물Link")</f>
        <v/>
      </c>
      <c r="M2911" s="6">
        <f>HYPERLINK("https://map.naver.com/p/search/전의면 읍내리 11-16", "지도Link")</f>
        <v/>
      </c>
      <c r="N2911" s="6">
        <f>HYPERLINK("http://www.eum.go.kr/web/ar/lu/luLandDet.jsp?pnu=3611037021100110016&amp;isNoScr=script&amp;mode=search", "토지이음")</f>
        <v/>
      </c>
      <c r="O2911" s="3" t="inlineStr">
        <is>
          <t>으뜸</t>
        </is>
      </c>
      <c r="P2911" s="4" t="n">
        <v>1</v>
      </c>
      <c r="Q2911" s="4" t="n">
        <v>513</v>
      </c>
      <c r="R2911" s="3" t="inlineStr">
        <is>
          <t>지정되지않음</t>
        </is>
      </c>
      <c r="S2911" s="3" t="inlineStr">
        <is>
          <t>단독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세로한면(가)</t>
        </is>
      </c>
    </row>
    <row r="2912">
      <c r="A2912" s="3" t="inlineStr">
        <is>
          <t>전의면 읍내리 11-2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150000</v>
      </c>
      <c r="G2912" s="4" t="n">
        <v>2820</v>
      </c>
      <c r="H2912" s="4" t="n">
        <v>853</v>
      </c>
      <c r="I2912" s="5" t="n">
        <v>175.8</v>
      </c>
      <c r="J2912" s="5" t="n">
        <v>35.3</v>
      </c>
      <c r="K2912" s="3" t="inlineStr">
        <is>
          <t>신규주거단지 및 체육공원 바로 앞 계획관리 토지</t>
        </is>
      </c>
      <c r="L2912" s="6">
        <f>HYPERLINK("https://fin.land.naver.com/articles/2652028838", "매물Link")</f>
        <v/>
      </c>
      <c r="M2912" s="6">
        <f>HYPERLINK("https://map.naver.com/p/search/전의면 읍내리 11-2", "지도Link")</f>
        <v/>
      </c>
      <c r="N2912" s="6">
        <f>HYPERLINK("http://www.eum.go.kr/web/ar/lu/luLandDet.jsp?pnu=3611037021100110002&amp;isNoScr=script&amp;mode=search", "토지이음")</f>
        <v/>
      </c>
      <c r="O2912" s="3" t="inlineStr">
        <is>
          <t>미스터홈즈강남지사</t>
        </is>
      </c>
      <c r="P2912" s="4" t="n">
        <v>1</v>
      </c>
      <c r="Q2912" s="4" t="n">
        <v>2820</v>
      </c>
      <c r="R2912" s="3" t="inlineStr">
        <is>
          <t>지정되지않음</t>
        </is>
      </c>
      <c r="S2912" s="3" t="inlineStr">
        <is>
          <t>답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맹지</t>
        </is>
      </c>
    </row>
    <row r="2913">
      <c r="A2913" s="3" t="inlineStr">
        <is>
          <t>전의면 읍내리 11-20</t>
        </is>
      </c>
      <c r="B2913" s="3" t="inlineStr">
        <is>
          <t>계획관리지역</t>
        </is>
      </c>
      <c r="C2913" s="3" t="inlineStr">
        <is>
          <t>답</t>
        </is>
      </c>
      <c r="D2913" s="3" t="inlineStr">
        <is>
          <t>답</t>
        </is>
      </c>
      <c r="E2913" s="3" t="inlineStr">
        <is>
          <t>매매</t>
        </is>
      </c>
      <c r="F2913" s="4" t="n">
        <v>25000</v>
      </c>
      <c r="G2913" s="4" t="n">
        <v>749</v>
      </c>
      <c r="H2913" s="4" t="n">
        <v>227</v>
      </c>
      <c r="I2913" s="5" t="n">
        <v>110.1</v>
      </c>
      <c r="J2913" s="5" t="n">
        <v>37.1</v>
      </c>
      <c r="K2913" s="3" t="inlineStr">
        <is>
          <t>nan</t>
        </is>
      </c>
      <c r="L2913" s="6">
        <f>HYPERLINK("https://fin.land.naver.com/articles/2654805353", "매물Link")</f>
        <v/>
      </c>
      <c r="M2913" s="6">
        <f>HYPERLINK("https://map.naver.com/p/search/전의면 읍내리 11-20", "지도Link")</f>
        <v/>
      </c>
      <c r="N2913" s="6">
        <f>HYPERLINK("http://www.eum.go.kr/web/ar/lu/luLandDet.jsp?pnu=3611037021100110020&amp;isNoScr=script&amp;mode=search", "토지이음")</f>
        <v/>
      </c>
      <c r="O2913" s="3" t="inlineStr">
        <is>
          <t>강아지풀</t>
        </is>
      </c>
      <c r="P2913" s="4" t="n">
        <v>1</v>
      </c>
      <c r="Q2913" s="4" t="n">
        <v>749</v>
      </c>
      <c r="R2913" s="3" t="inlineStr">
        <is>
          <t>지정되지않음</t>
        </is>
      </c>
      <c r="S2913" s="3" t="inlineStr">
        <is>
          <t>답</t>
        </is>
      </c>
      <c r="T2913" s="3" t="inlineStr">
        <is>
          <t>평지</t>
        </is>
      </c>
      <c r="U2913" s="3" t="inlineStr">
        <is>
          <t>사다리형</t>
        </is>
      </c>
      <c r="V2913" s="3" t="inlineStr">
        <is>
          <t>맹지</t>
        </is>
      </c>
    </row>
    <row r="2914">
      <c r="A2914" s="3" t="inlineStr">
        <is>
          <t>전의면 읍내리 168</t>
        </is>
      </c>
      <c r="B2914" s="3" t="inlineStr">
        <is>
          <t>보전녹지지역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15000</v>
      </c>
      <c r="G2914" s="4" t="n">
        <v>646</v>
      </c>
      <c r="H2914" s="4" t="n">
        <v>195</v>
      </c>
      <c r="I2914" s="5" t="n">
        <v>76.90000000000001</v>
      </c>
      <c r="J2914" s="5" t="n">
        <v>11.1</v>
      </c>
      <c r="K2914" s="3" t="inlineStr">
        <is>
          <t>전의 향교 뒷쪽 저렴한 매물</t>
        </is>
      </c>
      <c r="L2914" s="6">
        <f>HYPERLINK("https://fin.land.naver.com/articles/2652621700", "매물Link")</f>
        <v/>
      </c>
      <c r="M2914" s="6">
        <f>HYPERLINK("https://map.naver.com/p/search/전의면 읍내리 168", "지도Link")</f>
        <v/>
      </c>
      <c r="N2914" s="6">
        <f>HYPERLINK("http://www.eum.go.kr/web/ar/lu/luLandDet.jsp?pnu=3611037021101680000&amp;isNoScr=script&amp;mode=search", "토지이음")</f>
        <v/>
      </c>
      <c r="O2914" s="3" t="inlineStr">
        <is>
          <t>강나루</t>
        </is>
      </c>
      <c r="P2914" s="4" t="n">
        <v>1</v>
      </c>
      <c r="Q2914" s="4" t="n">
        <v>2136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맹지</t>
        </is>
      </c>
    </row>
    <row r="2915">
      <c r="A2915" s="3" t="inlineStr">
        <is>
          <t>전의면 읍내리 24-6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117000</v>
      </c>
      <c r="G2915" s="4" t="n">
        <v>1928</v>
      </c>
      <c r="H2915" s="4" t="n">
        <v>583</v>
      </c>
      <c r="I2915" s="5" t="n">
        <v>200.7</v>
      </c>
      <c r="J2915" s="5" t="n">
        <v>35.7</v>
      </c>
      <c r="K2915" s="3" t="inlineStr">
        <is>
          <t>투자 물건으로 적합</t>
        </is>
      </c>
      <c r="L2915" s="6">
        <f>HYPERLINK("https://fin.land.naver.com/articles/2653057935", "매물Link")</f>
        <v/>
      </c>
      <c r="M2915" s="6">
        <f>HYPERLINK("https://map.naver.com/p/search/전의면 읍내리 24-6", "지도Link")</f>
        <v/>
      </c>
      <c r="N2915" s="6">
        <f>HYPERLINK("http://www.eum.go.kr/web/ar/lu/luLandDet.jsp?pnu=3611037021100240006&amp;isNoScr=script&amp;mode=search", "토지이음")</f>
        <v/>
      </c>
      <c r="O2915" s="3" t="inlineStr">
        <is>
          <t>주식회사 경진컨설팅</t>
        </is>
      </c>
      <c r="P2915" s="4" t="n">
        <v>1</v>
      </c>
      <c r="Q2915" s="4" t="n">
        <v>1928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전의면 읍내리 27</t>
        </is>
      </c>
      <c r="B2916" s="3" t="inlineStr">
        <is>
          <t>계획관리지역</t>
        </is>
      </c>
      <c r="C2916" s="3" t="inlineStr">
        <is>
          <t>체육용지</t>
        </is>
      </c>
      <c r="D2916" s="3" t="inlineStr">
        <is>
          <t>임야</t>
        </is>
      </c>
      <c r="E2916" s="3" t="inlineStr">
        <is>
          <t>매매</t>
        </is>
      </c>
      <c r="F2916" s="4" t="n">
        <v>420000</v>
      </c>
      <c r="G2916" s="4" t="n">
        <v>23092</v>
      </c>
      <c r="H2916" s="4" t="n">
        <v>6985</v>
      </c>
      <c r="I2916" s="5" t="n">
        <v>60.1</v>
      </c>
      <c r="J2916" s="5" t="n">
        <v>51.1</v>
      </c>
      <c r="K2916" s="3" t="inlineStr">
        <is>
          <t>세종시 그린산업단지 인접토지 세종시에 얼마남지 않은 넓은면적에토지</t>
        </is>
      </c>
      <c r="L2916" s="6">
        <f>HYPERLINK("https://fin.land.naver.com/articles/2655490337", "매물Link")</f>
        <v/>
      </c>
      <c r="M2916" s="6">
        <f>HYPERLINK("https://map.naver.com/p/search/전의면 읍내리 27", "지도Link")</f>
        <v/>
      </c>
      <c r="N2916" s="6">
        <f>HYPERLINK("http://www.eum.go.kr/web/ar/lu/luLandDet.jsp?pnu=3611037021100270000&amp;isNoScr=script&amp;mode=search", "토지이음")</f>
        <v/>
      </c>
      <c r="O2916" s="3" t="inlineStr">
        <is>
          <t>효성해링턴오복</t>
        </is>
      </c>
      <c r="P2916" s="4" t="n">
        <v>1</v>
      </c>
      <c r="Q2916" s="4" t="n">
        <v>697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세로한면(불)</t>
        </is>
      </c>
    </row>
    <row r="2917">
      <c r="A2917" s="3" t="inlineStr">
        <is>
          <t>전의면 읍내리 27-4</t>
        </is>
      </c>
      <c r="B2917" s="3" t="inlineStr">
        <is>
          <t>계획관리지역</t>
        </is>
      </c>
      <c r="C2917" s="3" t="inlineStr">
        <is>
          <t>종교용지</t>
        </is>
      </c>
      <c r="D2917" s="3" t="inlineStr">
        <is>
          <t>대</t>
        </is>
      </c>
      <c r="E2917" s="3" t="inlineStr">
        <is>
          <t>매매</t>
        </is>
      </c>
      <c r="F2917" s="4" t="n">
        <v>270000</v>
      </c>
      <c r="G2917" s="4" t="n">
        <v>23029</v>
      </c>
      <c r="H2917" s="4" t="n">
        <v>6966</v>
      </c>
      <c r="I2917" s="5" t="n">
        <v>38.8</v>
      </c>
      <c r="J2917" s="5" t="n">
        <v>51.1</v>
      </c>
      <c r="K2917" s="3" t="inlineStr">
        <is>
          <t>세종 스마트 산업단지 지원시설아파트단지, 단독, 상업시설 접함</t>
        </is>
      </c>
      <c r="L2917" s="6">
        <f>HYPERLINK("https://fin.land.naver.com/articles/2653353130", "매물Link")</f>
        <v/>
      </c>
      <c r="M2917" s="6">
        <f>HYPERLINK("https://map.naver.com/p/search/전의면 읍내리 27-4", "지도Link")</f>
        <v/>
      </c>
      <c r="N2917" s="6">
        <f>HYPERLINK("http://www.eum.go.kr/web/ar/lu/luLandDet.jsp?pnu=3611037021100270004&amp;isNoScr=script&amp;mode=search", "토지이음")</f>
        <v/>
      </c>
      <c r="O2917" s="3" t="inlineStr">
        <is>
          <t>황제</t>
        </is>
      </c>
      <c r="P2917" s="4" t="n">
        <v>1</v>
      </c>
      <c r="Q2917" s="4" t="n">
        <v>1954</v>
      </c>
      <c r="R2917" s="3" t="inlineStr">
        <is>
          <t>지정되지않음</t>
        </is>
      </c>
      <c r="S2917" s="3" t="inlineStr">
        <is>
          <t>주거기타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읍내리 282-2</t>
        </is>
      </c>
      <c r="B2918" s="3" t="inlineStr">
        <is>
          <t>생산녹지지역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14000</v>
      </c>
      <c r="G2918" s="4" t="n">
        <v>595</v>
      </c>
      <c r="H2918" s="4" t="n">
        <v>180</v>
      </c>
      <c r="I2918" s="5" t="n">
        <v>77.8</v>
      </c>
      <c r="J2918" s="5" t="n">
        <v>21.8</v>
      </c>
      <c r="K2918" s="3" t="inlineStr">
        <is>
          <t>투자용으로 추천합니다.</t>
        </is>
      </c>
      <c r="L2918" s="6">
        <f>HYPERLINK("https://fin.land.naver.com/articles/2652931174", "매물Link")</f>
        <v/>
      </c>
      <c r="M2918" s="6">
        <f>HYPERLINK("https://map.naver.com/p/search/전의면 읍내리 282-2", "지도Link")</f>
        <v/>
      </c>
      <c r="N2918" s="6">
        <f>HYPERLINK("http://www.eum.go.kr/web/ar/lu/luLandDet.jsp?pnu=3611037021102820002&amp;isNoScr=script&amp;mode=search", "토지이음")</f>
        <v/>
      </c>
      <c r="O2918" s="3" t="inlineStr">
        <is>
          <t>으뜸</t>
        </is>
      </c>
      <c r="P2918" s="4" t="n">
        <v>1</v>
      </c>
      <c r="Q2918" s="4" t="n">
        <v>595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사다리형</t>
        </is>
      </c>
      <c r="V2918" s="3" t="inlineStr">
        <is>
          <t>세로한면(불)</t>
        </is>
      </c>
    </row>
    <row r="2919">
      <c r="A2919" s="3" t="inlineStr">
        <is>
          <t>전의면 읍내리 315-20</t>
        </is>
      </c>
      <c r="B2919" s="3" t="inlineStr">
        <is>
          <t>보전관리지역</t>
        </is>
      </c>
      <c r="C2919" s="3" t="inlineStr">
        <is>
          <t>창고용지</t>
        </is>
      </c>
      <c r="D2919" s="3" t="inlineStr">
        <is>
          <t>창고용지</t>
        </is>
      </c>
      <c r="E2919" s="3" t="inlineStr">
        <is>
          <t>매매</t>
        </is>
      </c>
      <c r="F2919" s="4" t="n">
        <v>400000</v>
      </c>
      <c r="G2919" s="4" t="n">
        <v>4028</v>
      </c>
      <c r="H2919" s="4" t="n">
        <v>1218</v>
      </c>
      <c r="I2919" s="5" t="n">
        <v>328.4</v>
      </c>
      <c r="J2919" s="5" t="n">
        <v>76.40000000000001</v>
      </c>
      <c r="K2919" s="3" t="inlineStr">
        <is>
          <t>위치 좋은 창고용지, 태양광 설치로 년4000만원 수익 창출, 가격 조율</t>
        </is>
      </c>
      <c r="L2919" s="6">
        <f>HYPERLINK("https://fin.land.naver.com/articles/2654659577", "매물Link")</f>
        <v/>
      </c>
      <c r="M2919" s="6">
        <f>HYPERLINK("https://map.naver.com/p/search/전의면 읍내리 315-20", "지도Link")</f>
        <v/>
      </c>
      <c r="N2919" s="6">
        <f>HYPERLINK("http://www.eum.go.kr/web/ar/lu/luLandDet.jsp?pnu=3611037021103150020&amp;isNoScr=script&amp;mode=search", "토지이음")</f>
        <v/>
      </c>
      <c r="O2919" s="3" t="inlineStr">
        <is>
          <t>세종웅진</t>
        </is>
      </c>
      <c r="P2919" s="4" t="n">
        <v>1</v>
      </c>
      <c r="Q2919" s="4" t="n">
        <v>4028</v>
      </c>
      <c r="R2919" s="3" t="inlineStr">
        <is>
          <t>지정되지않음</t>
        </is>
      </c>
      <c r="S2919" s="3" t="inlineStr">
        <is>
          <t>주거기타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소로한면</t>
        </is>
      </c>
    </row>
    <row r="2920">
      <c r="A2920" s="3" t="inlineStr">
        <is>
          <t>전의면 읍내리 334-2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38000</v>
      </c>
      <c r="G2920" s="4" t="n">
        <v>1445</v>
      </c>
      <c r="H2920" s="4" t="n">
        <v>437</v>
      </c>
      <c r="I2920" s="5" t="n">
        <v>87</v>
      </c>
      <c r="J2920" s="5" t="n">
        <v>24</v>
      </c>
      <c r="K2920" s="3" t="inlineStr">
        <is>
          <t>전원주택 부지 적합</t>
        </is>
      </c>
      <c r="L2920" s="6">
        <f>HYPERLINK("https://fin.land.naver.com/articles/2650977205", "매물Link")</f>
        <v/>
      </c>
      <c r="M2920" s="6">
        <f>HYPERLINK("https://map.naver.com/p/search/전의면 읍내리 334-2", "지도Link")</f>
        <v/>
      </c>
      <c r="N2920" s="6">
        <f>HYPERLINK("http://www.eum.go.kr/web/ar/lu/luLandDet.jsp?pnu=3611037021103340002&amp;isNoScr=script&amp;mode=search", "토지이음")</f>
        <v/>
      </c>
      <c r="O2920" s="3" t="inlineStr">
        <is>
          <t>오늘의사무소</t>
        </is>
      </c>
      <c r="P2920" s="4" t="n">
        <v>1</v>
      </c>
      <c r="Q2920" s="4" t="n">
        <v>1445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읍내리 386</t>
        </is>
      </c>
      <c r="B2921" s="3" t="inlineStr">
        <is>
          <t>제1종일반주거지역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24500</v>
      </c>
      <c r="G2921" s="4" t="n">
        <v>261</v>
      </c>
      <c r="H2921" s="4" t="n">
        <v>79</v>
      </c>
      <c r="I2921" s="5" t="n">
        <v>310.1</v>
      </c>
      <c r="J2921" s="5" t="n">
        <v>87.90000000000001</v>
      </c>
      <c r="K2921" s="3" t="inlineStr">
        <is>
          <t>근생 및 다가구주택을 지을수 있는 3거리 코너각지의 일반주거지역의 대지</t>
        </is>
      </c>
      <c r="L2921" s="6">
        <f>HYPERLINK("https://fin.land.naver.com/articles/2651238967", "매물Link")</f>
        <v/>
      </c>
      <c r="M2921" s="6">
        <f>HYPERLINK("https://map.naver.com/p/search/전의면 읍내리 386", "지도Link")</f>
        <v/>
      </c>
      <c r="N2921" s="6">
        <f>HYPERLINK("http://www.eum.go.kr/web/ar/lu/luLandDet.jsp?pnu=3611037021103860000&amp;isNoScr=script&amp;mode=search", "토지이음")</f>
        <v/>
      </c>
      <c r="O2921" s="3" t="inlineStr">
        <is>
          <t>스마일세종</t>
        </is>
      </c>
      <c r="P2921" s="4" t="n">
        <v>1</v>
      </c>
      <c r="Q2921" s="4" t="n">
        <v>261.6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평지</t>
        </is>
      </c>
      <c r="U2921" s="3" t="inlineStr">
        <is>
          <t>사다리형</t>
        </is>
      </c>
      <c r="V2921" s="3" t="inlineStr">
        <is>
          <t>소로각지</t>
        </is>
      </c>
    </row>
    <row r="2922">
      <c r="A2922" s="3" t="inlineStr">
        <is>
          <t>전의면 읍내리 396</t>
        </is>
      </c>
      <c r="B2922" s="3" t="inlineStr">
        <is>
          <t>제1종일반주거지역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22000</v>
      </c>
      <c r="G2922" s="4" t="n">
        <v>253</v>
      </c>
      <c r="H2922" s="4" t="n">
        <v>77</v>
      </c>
      <c r="I2922" s="5" t="n">
        <v>285.7</v>
      </c>
      <c r="J2922" s="5" t="n">
        <v>87.90000000000001</v>
      </c>
      <c r="K2922" s="3" t="inlineStr">
        <is>
          <t>세종시 스마트그린지원단지 (코너) 토지급매매합니다</t>
        </is>
      </c>
      <c r="L2922" s="6">
        <f>HYPERLINK("https://fin.land.naver.com/articles/2655176439", "매물Link")</f>
        <v/>
      </c>
      <c r="M2922" s="6">
        <f>HYPERLINK("https://map.naver.com/p/search/전의면 읍내리 396", "지도Link")</f>
        <v/>
      </c>
      <c r="N2922" s="6">
        <f>HYPERLINK("http://www.eum.go.kr/web/ar/lu/luLandDet.jsp?pnu=3611037021103960000&amp;isNoScr=script&amp;mode=search", "토지이음")</f>
        <v/>
      </c>
      <c r="O2922" s="3" t="inlineStr">
        <is>
          <t>영웅</t>
        </is>
      </c>
      <c r="P2922" s="4" t="n">
        <v>1</v>
      </c>
      <c r="Q2922" s="4" t="n">
        <v>252</v>
      </c>
      <c r="R2922" s="3" t="inlineStr">
        <is>
          <t>지정되지않음</t>
        </is>
      </c>
      <c r="S2922" s="3" t="inlineStr">
        <is>
          <t>주거나지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소로각지</t>
        </is>
      </c>
    </row>
    <row r="2923">
      <c r="A2923" s="3" t="inlineStr">
        <is>
          <t>전의면 읍내리 410</t>
        </is>
      </c>
      <c r="B2923" s="3" t="inlineStr">
        <is>
          <t>제1종일반주거지역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15000</v>
      </c>
      <c r="G2923" s="4" t="n">
        <v>266</v>
      </c>
      <c r="H2923" s="4" t="n">
        <v>80</v>
      </c>
      <c r="I2923" s="5" t="n">
        <v>187.5</v>
      </c>
      <c r="J2923" s="5" t="n">
        <v>87</v>
      </c>
      <c r="K2923" s="3" t="inlineStr">
        <is>
          <t>전의 스마트그린산단 지역 일반 택지</t>
        </is>
      </c>
      <c r="L2923" s="6">
        <f>HYPERLINK("https://fin.land.naver.com/articles/2652621710", "매물Link")</f>
        <v/>
      </c>
      <c r="M2923" s="6">
        <f>HYPERLINK("https://map.naver.com/p/search/전의면 읍내리 410", "지도Link")</f>
        <v/>
      </c>
      <c r="N2923" s="6">
        <f>HYPERLINK("http://www.eum.go.kr/web/ar/lu/luLandDet.jsp?pnu=3611037021104100000&amp;isNoScr=script&amp;mode=search", "토지이음")</f>
        <v/>
      </c>
      <c r="O2923" s="3" t="inlineStr">
        <is>
          <t>강나루</t>
        </is>
      </c>
      <c r="P2923" s="4" t="n">
        <v>1</v>
      </c>
      <c r="Q2923" s="4" t="n">
        <v>266.1</v>
      </c>
      <c r="R2923" s="3" t="inlineStr">
        <is>
          <t>지정되지않음</t>
        </is>
      </c>
      <c r="S2923" s="3" t="inlineStr">
        <is>
          <t>주거나지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소로한면</t>
        </is>
      </c>
    </row>
    <row r="2924">
      <c r="A2924" s="3" t="inlineStr">
        <is>
          <t>전의면 읍내리 410</t>
        </is>
      </c>
      <c r="B2924" s="3" t="inlineStr">
        <is>
          <t>제1종일반주거지역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20000</v>
      </c>
      <c r="G2924" s="4" t="n">
        <v>266</v>
      </c>
      <c r="H2924" s="4" t="n">
        <v>80</v>
      </c>
      <c r="I2924" s="5" t="n">
        <v>250</v>
      </c>
      <c r="J2924" s="5" t="n">
        <v>87</v>
      </c>
      <c r="K2924" s="3" t="inlineStr">
        <is>
          <t>초급매 3거리 코너각지의 공원 옆에 있는 대지로 상가주택부지로 좋은 대지</t>
        </is>
      </c>
      <c r="L2924" s="6">
        <f>HYPERLINK("https://fin.land.naver.com/articles/2652988780", "매물Link")</f>
        <v/>
      </c>
      <c r="M2924" s="6">
        <f>HYPERLINK("https://map.naver.com/p/search/전의면 읍내리 410", "지도Link")</f>
        <v/>
      </c>
      <c r="N2924" s="6">
        <f>HYPERLINK("http://www.eum.go.kr/web/ar/lu/luLandDet.jsp?pnu=3611037021104100000&amp;isNoScr=script&amp;mode=search", "토지이음")</f>
        <v/>
      </c>
      <c r="O2924" s="3" t="inlineStr">
        <is>
          <t>스마일세종</t>
        </is>
      </c>
      <c r="P2924" s="4" t="n">
        <v>1</v>
      </c>
      <c r="Q2924" s="4" t="n">
        <v>266.1</v>
      </c>
      <c r="R2924" s="3" t="inlineStr">
        <is>
          <t>지정되지않음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소로한면</t>
        </is>
      </c>
    </row>
    <row r="2925">
      <c r="A2925" s="3" t="inlineStr">
        <is>
          <t>전의면 읍내리 458</t>
        </is>
      </c>
      <c r="B2925" s="3" t="inlineStr">
        <is>
          <t>제1종일반주거지역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32000</v>
      </c>
      <c r="G2925" s="4" t="n">
        <v>249</v>
      </c>
      <c r="H2925" s="4" t="n">
        <v>75</v>
      </c>
      <c r="I2925" s="5" t="n">
        <v>426.7</v>
      </c>
      <c r="J2925" s="5" t="n">
        <v>88</v>
      </c>
      <c r="K2925" s="3" t="inlineStr">
        <is>
          <t>소액투자 추천매물,  세종산업단지 대규모 지원단지, 상가, 주택,카페 등</t>
        </is>
      </c>
      <c r="L2925" s="6">
        <f>HYPERLINK("https://fin.land.naver.com/articles/2651395954", "매물Link")</f>
        <v/>
      </c>
      <c r="M2925" s="6">
        <f>HYPERLINK("https://map.naver.com/p/search/전의면 읍내리 458", "지도Link")</f>
        <v/>
      </c>
      <c r="N2925" s="6">
        <f>HYPERLINK("http://www.eum.go.kr/web/ar/lu/luLandDet.jsp?pnu=3611037021104580000&amp;isNoScr=script&amp;mode=search", "토지이음")</f>
        <v/>
      </c>
      <c r="O2925" s="3" t="inlineStr">
        <is>
          <t>세종특별시</t>
        </is>
      </c>
      <c r="P2925" s="4" t="n">
        <v>1</v>
      </c>
      <c r="Q2925" s="4" t="n">
        <v>249.5</v>
      </c>
      <c r="R2925" s="3" t="inlineStr">
        <is>
          <t>지정되지않음</t>
        </is>
      </c>
      <c r="S2925" s="3" t="inlineStr">
        <is>
          <t>주거나지</t>
        </is>
      </c>
      <c r="T2925" s="3" t="inlineStr">
        <is>
          <t>평지</t>
        </is>
      </c>
      <c r="U2925" s="3" t="inlineStr">
        <is>
          <t>가로장방</t>
        </is>
      </c>
      <c r="V2925" s="3" t="inlineStr">
        <is>
          <t>소로한면</t>
        </is>
      </c>
    </row>
    <row r="2926">
      <c r="A2926" s="3" t="inlineStr">
        <is>
          <t>전의면 읍내리 476</t>
        </is>
      </c>
      <c r="B2926" s="3" t="inlineStr">
        <is>
          <t>제1종일반주거지역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24000</v>
      </c>
      <c r="G2926" s="4" t="n">
        <v>246</v>
      </c>
      <c r="H2926" s="4" t="n">
        <v>74</v>
      </c>
      <c r="I2926" s="5" t="n">
        <v>324.3</v>
      </c>
      <c r="J2926" s="5" t="n">
        <v>88.90000000000001</v>
      </c>
      <c r="K2926" s="3" t="inlineStr">
        <is>
          <t>급매 세종스마트그린 지원단지내  상가 및 주택을 건축할 수 있는 택지</t>
        </is>
      </c>
      <c r="L2926" s="6">
        <f>HYPERLINK("https://fin.land.naver.com/articles/2654752809", "매물Link")</f>
        <v/>
      </c>
      <c r="M2926" s="6">
        <f>HYPERLINK("https://map.naver.com/p/search/전의면 읍내리 476", "지도Link")</f>
        <v/>
      </c>
      <c r="N2926" s="6">
        <f>HYPERLINK("http://www.eum.go.kr/web/ar/lu/luLandDet.jsp?pnu=3611037021104760000&amp;isNoScr=script&amp;mode=search", "토지이음")</f>
        <v/>
      </c>
      <c r="O2926" s="3" t="inlineStr">
        <is>
          <t>스마일세종</t>
        </is>
      </c>
      <c r="P2926" s="4" t="n">
        <v>1</v>
      </c>
      <c r="Q2926" s="4" t="n">
        <v>246.8</v>
      </c>
      <c r="R2926" s="3" t="inlineStr">
        <is>
          <t>지정되지않음</t>
        </is>
      </c>
      <c r="S2926" s="3" t="inlineStr">
        <is>
          <t>주거나지</t>
        </is>
      </c>
      <c r="T2926" s="3" t="inlineStr">
        <is>
          <t>평지</t>
        </is>
      </c>
      <c r="U2926" s="3" t="inlineStr">
        <is>
          <t>가로장방</t>
        </is>
      </c>
      <c r="V2926" s="3" t="inlineStr">
        <is>
          <t>소로각지</t>
        </is>
      </c>
    </row>
    <row r="2927">
      <c r="A2927" s="3" t="inlineStr">
        <is>
          <t>전의면 읍내리 476</t>
        </is>
      </c>
      <c r="B2927" s="3" t="inlineStr">
        <is>
          <t>제1종일반주거지역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24000</v>
      </c>
      <c r="G2927" s="4" t="n">
        <v>246</v>
      </c>
      <c r="H2927" s="4" t="n">
        <v>74</v>
      </c>
      <c r="I2927" s="5" t="n">
        <v>324.3</v>
      </c>
      <c r="J2927" s="5" t="n">
        <v>88.90000000000001</v>
      </c>
      <c r="K2927" s="3" t="inlineStr">
        <is>
          <t>코너각지 식당, 근생업종가능 ,  소액으로 투자추천,산업단지 수요많음</t>
        </is>
      </c>
      <c r="L2927" s="6">
        <f>HYPERLINK("https://fin.land.naver.com/articles/2650761037", "매물Link")</f>
        <v/>
      </c>
      <c r="M2927" s="6">
        <f>HYPERLINK("https://map.naver.com/p/search/전의면 읍내리 476", "지도Link")</f>
        <v/>
      </c>
      <c r="N2927" s="6">
        <f>HYPERLINK("http://www.eum.go.kr/web/ar/lu/luLandDet.jsp?pnu=3611037021104760000&amp;isNoScr=script&amp;mode=search", "토지이음")</f>
        <v/>
      </c>
      <c r="O2927" s="3" t="inlineStr">
        <is>
          <t>세종특별시</t>
        </is>
      </c>
      <c r="P2927" s="4" t="n">
        <v>1</v>
      </c>
      <c r="Q2927" s="4" t="n">
        <v>246.8</v>
      </c>
      <c r="R2927" s="3" t="inlineStr">
        <is>
          <t>지정되지않음</t>
        </is>
      </c>
      <c r="S2927" s="3" t="inlineStr">
        <is>
          <t>주거나지</t>
        </is>
      </c>
      <c r="T2927" s="3" t="inlineStr">
        <is>
          <t>평지</t>
        </is>
      </c>
      <c r="U2927" s="3" t="inlineStr">
        <is>
          <t>가로장방</t>
        </is>
      </c>
      <c r="V2927" s="3" t="inlineStr">
        <is>
          <t>소로각지</t>
        </is>
      </c>
    </row>
    <row r="2928">
      <c r="A2928" s="3" t="inlineStr">
        <is>
          <t>전의면 읍내리 508</t>
        </is>
      </c>
      <c r="B2928" s="3" t="inlineStr">
        <is>
          <t>제1종일반주거지역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25500</v>
      </c>
      <c r="G2928" s="4" t="n">
        <v>257</v>
      </c>
      <c r="H2928" s="4" t="n">
        <v>78</v>
      </c>
      <c r="I2928" s="5" t="n">
        <v>326.9</v>
      </c>
      <c r="J2928" s="5" t="n">
        <v>88</v>
      </c>
      <c r="K2928" s="3" t="inlineStr">
        <is>
          <t>소액 투자추천  토지, 근생 ,원룸 ,식당등 가능 ,산업단지수요많은곳</t>
        </is>
      </c>
      <c r="L2928" s="6">
        <f>HYPERLINK("https://fin.land.naver.com/articles/2651396051", "매물Link")</f>
        <v/>
      </c>
      <c r="M2928" s="6">
        <f>HYPERLINK("https://map.naver.com/p/search/전의면 읍내리 508", "지도Link")</f>
        <v/>
      </c>
      <c r="N2928" s="6">
        <f>HYPERLINK("http://www.eum.go.kr/web/ar/lu/luLandDet.jsp?pnu=3611037021105080000&amp;isNoScr=script&amp;mode=search", "토지이음")</f>
        <v/>
      </c>
      <c r="O2928" s="3" t="inlineStr">
        <is>
          <t>세종특별시</t>
        </is>
      </c>
      <c r="P2928" s="4" t="n">
        <v>1</v>
      </c>
      <c r="Q2928" s="4" t="n">
        <v>257.8</v>
      </c>
      <c r="R2928" s="3" t="inlineStr">
        <is>
          <t>지정되지않음</t>
        </is>
      </c>
      <c r="S2928" s="3" t="inlineStr">
        <is>
          <t>주거나지</t>
        </is>
      </c>
      <c r="T2928" s="3" t="inlineStr">
        <is>
          <t>평지</t>
        </is>
      </c>
      <c r="U2928" s="3" t="inlineStr">
        <is>
          <t>가로장방</t>
        </is>
      </c>
      <c r="V2928" s="3" t="inlineStr">
        <is>
          <t>소로한면</t>
        </is>
      </c>
    </row>
    <row r="2929">
      <c r="A2929" s="3" t="inlineStr">
        <is>
          <t>전의면 읍내리 508</t>
        </is>
      </c>
      <c r="B2929" s="3" t="inlineStr">
        <is>
          <t>제1종일반주거지역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25000</v>
      </c>
      <c r="G2929" s="4" t="n">
        <v>257</v>
      </c>
      <c r="H2929" s="4" t="n">
        <v>78</v>
      </c>
      <c r="I2929" s="5" t="n">
        <v>320.5</v>
      </c>
      <c r="J2929" s="5" t="n">
        <v>88</v>
      </c>
      <c r="K2929" s="3" t="inlineStr">
        <is>
          <t>급매 분양가 이하 세종스마트그린 지원단지에 있는 택지 상가 및 주택 가능</t>
        </is>
      </c>
      <c r="L2929" s="6">
        <f>HYPERLINK("https://fin.land.naver.com/articles/2653608987", "매물Link")</f>
        <v/>
      </c>
      <c r="M2929" s="6">
        <f>HYPERLINK("https://map.naver.com/p/search/전의면 읍내리 508", "지도Link")</f>
        <v/>
      </c>
      <c r="N2929" s="6">
        <f>HYPERLINK("http://www.eum.go.kr/web/ar/lu/luLandDet.jsp?pnu=3611037021105080000&amp;isNoScr=script&amp;mode=search", "토지이음")</f>
        <v/>
      </c>
      <c r="O2929" s="3" t="inlineStr">
        <is>
          <t>스마일세종</t>
        </is>
      </c>
      <c r="P2929" s="4" t="n">
        <v>1</v>
      </c>
      <c r="Q2929" s="4" t="n">
        <v>257.8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평지</t>
        </is>
      </c>
      <c r="U2929" s="3" t="inlineStr">
        <is>
          <t>가로장방</t>
        </is>
      </c>
      <c r="V2929" s="3" t="inlineStr">
        <is>
          <t>소로한면</t>
        </is>
      </c>
    </row>
    <row r="2930">
      <c r="A2930" s="3" t="inlineStr">
        <is>
          <t>전의면 읍내리 515</t>
        </is>
      </c>
      <c r="B2930" s="3" t="inlineStr">
        <is>
          <t>제1종일반주거지역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25000</v>
      </c>
      <c r="G2930" s="4" t="n">
        <v>257</v>
      </c>
      <c r="H2930" s="4" t="n">
        <v>78</v>
      </c>
      <c r="I2930" s="5" t="n">
        <v>320.5</v>
      </c>
      <c r="J2930" s="5" t="n">
        <v>88</v>
      </c>
      <c r="K2930" s="3" t="inlineStr">
        <is>
          <t>산조망 카페 추천 , 근생가능 . 소액투자. 산업단지 풍부한 수요,</t>
        </is>
      </c>
      <c r="L2930" s="6">
        <f>HYPERLINK("https://fin.land.naver.com/articles/2652333092", "매물Link")</f>
        <v/>
      </c>
      <c r="M2930" s="6">
        <f>HYPERLINK("https://map.naver.com/p/search/전의면 읍내리 515", "지도Link")</f>
        <v/>
      </c>
      <c r="N2930" s="6">
        <f>HYPERLINK("http://www.eum.go.kr/web/ar/lu/luLandDet.jsp?pnu=3611037021105150000&amp;isNoScr=script&amp;mode=search", "토지이음")</f>
        <v/>
      </c>
      <c r="O2930" s="3" t="inlineStr">
        <is>
          <t>세종특별시</t>
        </is>
      </c>
      <c r="P2930" s="4" t="n">
        <v>1</v>
      </c>
      <c r="Q2930" s="4" t="n">
        <v>257.3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가로장방</t>
        </is>
      </c>
      <c r="V2930" s="3" t="inlineStr">
        <is>
          <t>소로한면</t>
        </is>
      </c>
    </row>
    <row r="2931">
      <c r="A2931" s="3" t="inlineStr">
        <is>
          <t>전의면 읍내리 515</t>
        </is>
      </c>
      <c r="B2931" s="3" t="inlineStr">
        <is>
          <t>제1종일반주거지역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25000</v>
      </c>
      <c r="G2931" s="4" t="n">
        <v>257</v>
      </c>
      <c r="H2931" s="4" t="n">
        <v>78</v>
      </c>
      <c r="I2931" s="5" t="n">
        <v>320.5</v>
      </c>
      <c r="J2931" s="5" t="n">
        <v>88</v>
      </c>
      <c r="K2931" s="3" t="inlineStr">
        <is>
          <t>급매, 분양가 이하 세종스마트그린 지원단지에 있는 택지로 상가 및 주택지</t>
        </is>
      </c>
      <c r="L2931" s="6">
        <f>HYPERLINK("https://fin.land.naver.com/articles/2650744165", "매물Link")</f>
        <v/>
      </c>
      <c r="M2931" s="6">
        <f>HYPERLINK("https://map.naver.com/p/search/전의면 읍내리 515", "지도Link")</f>
        <v/>
      </c>
      <c r="N2931" s="6">
        <f>HYPERLINK("http://www.eum.go.kr/web/ar/lu/luLandDet.jsp?pnu=3611037021105150000&amp;isNoScr=script&amp;mode=search", "토지이음")</f>
        <v/>
      </c>
      <c r="O2931" s="3" t="inlineStr">
        <is>
          <t>스마일세종</t>
        </is>
      </c>
      <c r="P2931" s="4" t="n">
        <v>1</v>
      </c>
      <c r="Q2931" s="4" t="n">
        <v>257.3</v>
      </c>
      <c r="R2931" s="3" t="inlineStr">
        <is>
          <t>지정되지않음</t>
        </is>
      </c>
      <c r="S2931" s="3" t="inlineStr">
        <is>
          <t>주거나지</t>
        </is>
      </c>
      <c r="T2931" s="3" t="inlineStr">
        <is>
          <t>평지</t>
        </is>
      </c>
      <c r="U2931" s="3" t="inlineStr">
        <is>
          <t>가로장방</t>
        </is>
      </c>
      <c r="V2931" s="3" t="inlineStr">
        <is>
          <t>소로한면</t>
        </is>
      </c>
    </row>
    <row r="2932">
      <c r="A2932" s="3" t="inlineStr">
        <is>
          <t>전의면 읍내리 516</t>
        </is>
      </c>
      <c r="B2932" s="3" t="inlineStr">
        <is>
          <t>제1종일반주거지역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21000</v>
      </c>
      <c r="G2932" s="4" t="n">
        <v>257</v>
      </c>
      <c r="H2932" s="4" t="n">
        <v>78</v>
      </c>
      <c r="I2932" s="5" t="n">
        <v>269.2</v>
      </c>
      <c r="J2932" s="5" t="n">
        <v>88</v>
      </c>
      <c r="K2932" s="3" t="inlineStr">
        <is>
          <t>카페 식당등 추천 ,  조망좋은 산뷰 , 산업단지 배후 ,소액투자추천</t>
        </is>
      </c>
      <c r="L2932" s="6">
        <f>HYPERLINK("https://fin.land.naver.com/articles/2652358311", "매물Link")</f>
        <v/>
      </c>
      <c r="M2932" s="6">
        <f>HYPERLINK("https://map.naver.com/p/search/전의면 읍내리 516", "지도Link")</f>
        <v/>
      </c>
      <c r="N2932" s="6">
        <f>HYPERLINK("http://www.eum.go.kr/web/ar/lu/luLandDet.jsp?pnu=3611037021105160000&amp;isNoScr=script&amp;mode=search", "토지이음")</f>
        <v/>
      </c>
      <c r="O2932" s="3" t="inlineStr">
        <is>
          <t>세종특별시</t>
        </is>
      </c>
      <c r="P2932" s="4" t="n">
        <v>1</v>
      </c>
      <c r="Q2932" s="4" t="n">
        <v>257.1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가로장방</t>
        </is>
      </c>
      <c r="V2932" s="3" t="inlineStr">
        <is>
          <t>소로한면</t>
        </is>
      </c>
    </row>
    <row r="2933">
      <c r="A2933" s="3" t="inlineStr">
        <is>
          <t>전의면 읍내리 87-3</t>
        </is>
      </c>
      <c r="B2933" s="3" t="inlineStr">
        <is>
          <t>제1종일반주거지역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60000</v>
      </c>
      <c r="G2933" s="4" t="n">
        <v>1325</v>
      </c>
      <c r="H2933" s="4" t="n">
        <v>401</v>
      </c>
      <c r="I2933" s="5" t="n">
        <v>149.6</v>
      </c>
      <c r="J2933" s="5" t="n">
        <v>82.90000000000001</v>
      </c>
      <c r="K2933" s="3" t="inlineStr">
        <is>
          <t>2차도로접한 가격저렴한토지,1종일반주거지역,분할매매도 가능</t>
        </is>
      </c>
      <c r="L2933" s="6">
        <f>HYPERLINK("https://fin.land.naver.com/articles/2653409202", "매물Link")</f>
        <v/>
      </c>
      <c r="M2933" s="6">
        <f>HYPERLINK("https://map.naver.com/p/search/전의면 읍내리 87-3", "지도Link")</f>
        <v/>
      </c>
      <c r="N2933" s="6">
        <f>HYPERLINK("http://www.eum.go.kr/web/ar/lu/luLandDet.jsp?pnu=3611037021100870003&amp;isNoScr=script&amp;mode=search", "토지이음")</f>
        <v/>
      </c>
      <c r="O2933" s="3" t="inlineStr">
        <is>
          <t>신부다온</t>
        </is>
      </c>
      <c r="P2933" s="4" t="n">
        <v>1</v>
      </c>
      <c r="Q2933" s="4" t="n">
        <v>615.9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전의면 읍내리 88-7</t>
        </is>
      </c>
      <c r="B2934" s="3" t="inlineStr">
        <is>
          <t>제1종일반주거지역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40700</v>
      </c>
      <c r="G2934" s="4" t="n">
        <v>507</v>
      </c>
      <c r="H2934" s="4" t="n">
        <v>153</v>
      </c>
      <c r="I2934" s="5" t="n">
        <v>266</v>
      </c>
      <c r="J2934" s="5" t="n">
        <v>99.5</v>
      </c>
      <c r="K2934" s="3" t="inlineStr">
        <is>
          <t>전의면 읍내리 1종 일반주거지역 대지</t>
        </is>
      </c>
      <c r="L2934" s="6">
        <f>HYPERLINK("https://fin.land.naver.com/articles/2651336458", "매물Link")</f>
        <v/>
      </c>
      <c r="M2934" s="6">
        <f>HYPERLINK("https://map.naver.com/p/search/전의면 읍내리 88-7", "지도Link")</f>
        <v/>
      </c>
      <c r="N2934" s="6">
        <f>HYPERLINK("http://www.eum.go.kr/web/ar/lu/luLandDet.jsp?pnu=3611037021100880007&amp;isNoScr=script&amp;mode=search", "토지이음")</f>
        <v/>
      </c>
      <c r="O2934" s="3" t="inlineStr">
        <is>
          <t>금강</t>
        </is>
      </c>
      <c r="P2934" s="4" t="n">
        <v>1</v>
      </c>
      <c r="Q2934" s="4" t="n">
        <v>507.8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교리 16-5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40000</v>
      </c>
      <c r="G2935" s="4" t="n">
        <v>207</v>
      </c>
      <c r="H2935" s="4" t="n">
        <v>63</v>
      </c>
      <c r="I2935" s="5" t="n">
        <v>634.9</v>
      </c>
      <c r="J2935" s="5" t="n">
        <v>206.5</v>
      </c>
      <c r="K2935" s="3" t="inlineStr">
        <is>
          <t>조치원역 가까운 주거지역 토지매매</t>
        </is>
      </c>
      <c r="L2935" s="6">
        <f>HYPERLINK("https://fin.land.naver.com/articles/2654530676", "매물Link")</f>
        <v/>
      </c>
      <c r="M2935" s="6">
        <f>HYPERLINK("https://map.naver.com/p/search/조치원읍 교리 16-5", "지도Link")</f>
        <v/>
      </c>
      <c r="N2935" s="6">
        <f>HYPERLINK("http://www.eum.go.kr/web/ar/lu/luLandDet.jsp?pnu=3611025024100160005&amp;isNoScr=script&amp;mode=search", "토지이음")</f>
        <v/>
      </c>
      <c r="O2935" s="3" t="inlineStr">
        <is>
          <t>김준희</t>
        </is>
      </c>
      <c r="P2935" s="4" t="n">
        <v>1</v>
      </c>
      <c r="Q2935" s="4" t="n">
        <v>103.5</v>
      </c>
      <c r="R2935" s="3" t="inlineStr">
        <is>
          <t>지정되지않음</t>
        </is>
      </c>
      <c r="S2935" s="3" t="inlineStr">
        <is>
          <t>단독</t>
        </is>
      </c>
      <c r="T2935" s="3" t="inlineStr">
        <is>
          <t>평지</t>
        </is>
      </c>
      <c r="U2935" s="3" t="inlineStr">
        <is>
          <t>세로장방</t>
        </is>
      </c>
      <c r="V2935" s="3" t="inlineStr">
        <is>
          <t>세로한면(가)</t>
        </is>
      </c>
    </row>
    <row r="2936">
      <c r="A2936" s="3" t="inlineStr">
        <is>
          <t>조치원읍 교리 18-11</t>
        </is>
      </c>
      <c r="B2936" s="3" t="inlineStr">
        <is>
          <t>제2종일반주거지역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42000</v>
      </c>
      <c r="G2936" s="4" t="n">
        <v>179</v>
      </c>
      <c r="H2936" s="4" t="n">
        <v>54</v>
      </c>
      <c r="I2936" s="5" t="n">
        <v>777.8</v>
      </c>
      <c r="J2936" s="5" t="n">
        <v>274.9</v>
      </c>
      <c r="K2936" s="3" t="inlineStr">
        <is>
          <t>nan</t>
        </is>
      </c>
      <c r="L2936" s="6">
        <f>HYPERLINK("https://fin.land.naver.com/articles/2653462749", "매물Link")</f>
        <v/>
      </c>
      <c r="M2936" s="6">
        <f>HYPERLINK("https://map.naver.com/p/search/조치원읍 교리 18-11", "지도Link")</f>
        <v/>
      </c>
      <c r="N2936" s="6">
        <f>HYPERLINK("http://www.eum.go.kr/web/ar/lu/luLandDet.jsp?pnu=3611025024100180011&amp;isNoScr=script&amp;mode=search", "토지이음")</f>
        <v/>
      </c>
      <c r="O2936" s="3" t="inlineStr">
        <is>
          <t>정인</t>
        </is>
      </c>
      <c r="P2936" s="4" t="n">
        <v>1</v>
      </c>
      <c r="Q2936" s="4" t="n">
        <v>179.5</v>
      </c>
      <c r="R2936" s="3" t="inlineStr">
        <is>
          <t>지정되지않음</t>
        </is>
      </c>
      <c r="S2936" s="3" t="inlineStr">
        <is>
          <t>주상기타</t>
        </is>
      </c>
      <c r="T2936" s="3" t="inlineStr">
        <is>
          <t>평지</t>
        </is>
      </c>
      <c r="U2936" s="3" t="inlineStr">
        <is>
          <t>세로장방</t>
        </is>
      </c>
      <c r="V2936" s="3" t="inlineStr">
        <is>
          <t>중로한면</t>
        </is>
      </c>
    </row>
    <row r="2937">
      <c r="A2937" s="3" t="inlineStr">
        <is>
          <t>조치원읍 교리 22-20</t>
        </is>
      </c>
      <c r="B2937" s="3" t="inlineStr">
        <is>
          <t>일반상업지역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100000</v>
      </c>
      <c r="G2937" s="4" t="n">
        <v>387</v>
      </c>
      <c r="H2937" s="4" t="n">
        <v>117</v>
      </c>
      <c r="I2937" s="5" t="n">
        <v>854.7</v>
      </c>
      <c r="J2937" s="5" t="n">
        <v>452.2</v>
      </c>
      <c r="K2937" s="3" t="inlineStr">
        <is>
          <t>nan</t>
        </is>
      </c>
      <c r="L2937" s="6">
        <f>HYPERLINK("https://fin.land.naver.com/articles/2652123797", "매물Link")</f>
        <v/>
      </c>
      <c r="M2937" s="6">
        <f>HYPERLINK("https://map.naver.com/p/search/조치원읍 교리 22-20", "지도Link")</f>
        <v/>
      </c>
      <c r="N2937" s="6">
        <f>HYPERLINK("http://www.eum.go.kr/web/ar/lu/luLandDet.jsp?pnu=3611025024100220020&amp;isNoScr=script&amp;mode=search", "토지이음")</f>
        <v/>
      </c>
      <c r="O2937" s="3" t="inlineStr">
        <is>
          <t>미스터홈즈강남지사</t>
        </is>
      </c>
      <c r="P2937" s="4" t="n">
        <v>1</v>
      </c>
      <c r="Q2937" s="4" t="n">
        <v>185.8</v>
      </c>
      <c r="R2937" s="3" t="inlineStr">
        <is>
          <t>지정되지않음</t>
        </is>
      </c>
      <c r="S2937" s="3" t="inlineStr">
        <is>
          <t>상업용</t>
        </is>
      </c>
      <c r="T2937" s="3" t="inlineStr">
        <is>
          <t>평지</t>
        </is>
      </c>
      <c r="U2937" s="3" t="inlineStr">
        <is>
          <t>세로장방</t>
        </is>
      </c>
      <c r="V2937" s="3" t="inlineStr">
        <is>
          <t>소로한면</t>
        </is>
      </c>
    </row>
    <row r="2938">
      <c r="A2938" s="3" t="inlineStr">
        <is>
          <t>조치원읍 남리 103-68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49000</v>
      </c>
      <c r="G2938" s="4" t="n">
        <v>396</v>
      </c>
      <c r="H2938" s="4" t="n">
        <v>120</v>
      </c>
      <c r="I2938" s="5" t="n">
        <v>408.3</v>
      </c>
      <c r="J2938" s="5" t="n">
        <v>166.9</v>
      </c>
      <c r="K2938" s="3" t="inlineStr">
        <is>
          <t>2차선변, 조치원역 도보권, 조치원도시재생뉴딜지역 근거리, 동서연결도로</t>
        </is>
      </c>
      <c r="L2938" s="6">
        <f>HYPERLINK("https://fin.land.naver.com/articles/2653295631", "매물Link")</f>
        <v/>
      </c>
      <c r="M2938" s="6">
        <f>HYPERLINK("https://map.naver.com/p/search/조치원읍 남리 103-68", "지도Link")</f>
        <v/>
      </c>
      <c r="N2938" s="6">
        <f>HYPERLINK("http://www.eum.go.kr/web/ar/lu/luLandDet.jsp?pnu=3611025027101030068&amp;isNoScr=script&amp;mode=search", "토지이음")</f>
        <v/>
      </c>
      <c r="O2938" s="3" t="inlineStr">
        <is>
          <t>세종공감</t>
        </is>
      </c>
      <c r="P2938" s="4" t="n">
        <v>4</v>
      </c>
      <c r="Q2938" s="4" t="n">
        <v>396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세로장방</t>
        </is>
      </c>
      <c r="V2938" s="3" t="inlineStr">
        <is>
          <t>세로한면(가)</t>
        </is>
      </c>
    </row>
    <row r="2939">
      <c r="A2939" s="3" t="inlineStr">
        <is>
          <t>조치원읍 남리 307-2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250000</v>
      </c>
      <c r="G2939" s="4" t="n">
        <v>788</v>
      </c>
      <c r="H2939" s="4" t="n">
        <v>238</v>
      </c>
      <c r="I2939" s="5" t="n">
        <v>1050.4</v>
      </c>
      <c r="J2939" s="5" t="n">
        <v>366.6</v>
      </c>
      <c r="K2939" s="3" t="inlineStr">
        <is>
          <t>조치원 4차선 코너,대지238P,통건물 3동포함,사옥 병원등 추천</t>
        </is>
      </c>
      <c r="L2939" s="6">
        <f>HYPERLINK("https://fin.land.naver.com/articles/2650483987", "매물Link")</f>
        <v/>
      </c>
      <c r="M2939" s="6">
        <f>HYPERLINK("https://map.naver.com/p/search/조치원읍 남리 307-2", "지도Link")</f>
        <v/>
      </c>
      <c r="N2939" s="6">
        <f>HYPERLINK("http://www.eum.go.kr/web/ar/lu/luLandDet.jsp?pnu=3611025027103070002&amp;isNoScr=script&amp;mode=search", "토지이음")</f>
        <v/>
      </c>
      <c r="O2939" s="3" t="inlineStr">
        <is>
          <t>광장</t>
        </is>
      </c>
      <c r="P2939" s="4" t="n">
        <v>1</v>
      </c>
      <c r="Q2939" s="4" t="n">
        <v>211.4</v>
      </c>
      <c r="R2939" s="3" t="inlineStr">
        <is>
          <t>지정되지않음</t>
        </is>
      </c>
      <c r="S2939" s="3" t="inlineStr">
        <is>
          <t>상업용</t>
        </is>
      </c>
      <c r="T2939" s="3" t="inlineStr">
        <is>
          <t>평지</t>
        </is>
      </c>
      <c r="U2939" s="3" t="inlineStr">
        <is>
          <t>자루형</t>
        </is>
      </c>
      <c r="V2939" s="3" t="inlineStr">
        <is>
          <t>중로각지</t>
        </is>
      </c>
    </row>
    <row r="2940">
      <c r="A2940" s="3" t="inlineStr">
        <is>
          <t>조치원읍 남리 347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33250</v>
      </c>
      <c r="G2940" s="4" t="n">
        <v>315</v>
      </c>
      <c r="H2940" s="4" t="n">
        <v>95</v>
      </c>
      <c r="I2940" s="5" t="n">
        <v>350</v>
      </c>
      <c r="J2940" s="5" t="n">
        <v>263.5</v>
      </c>
      <c r="K2940" s="3" t="inlineStr">
        <is>
          <t>남리 예쁜땅모양 주택및원룸 추천</t>
        </is>
      </c>
      <c r="L2940" s="6">
        <f>HYPERLINK("https://fin.land.naver.com/articles/2651708417", "매물Link")</f>
        <v/>
      </c>
      <c r="M2940" s="6">
        <f>HYPERLINK("https://map.naver.com/p/search/조치원읍 남리 347", "지도Link")</f>
        <v/>
      </c>
      <c r="N2940" s="6">
        <f>HYPERLINK("http://www.eum.go.kr/web/ar/lu/luLandDet.jsp?pnu=3611025027103470000&amp;isNoScr=script&amp;mode=search", "토지이음")</f>
        <v/>
      </c>
      <c r="O2940" s="3" t="inlineStr">
        <is>
          <t>OK수</t>
        </is>
      </c>
      <c r="P2940" s="4" t="n">
        <v>1</v>
      </c>
      <c r="Q2940" s="4" t="n">
        <v>315.7</v>
      </c>
      <c r="R2940" s="3" t="inlineStr">
        <is>
          <t>지정되지않음</t>
        </is>
      </c>
      <c r="S2940" s="3" t="inlineStr">
        <is>
          <t>주상기타</t>
        </is>
      </c>
      <c r="T2940" s="3" t="inlineStr">
        <is>
          <t>평지</t>
        </is>
      </c>
      <c r="U2940" s="3" t="inlineStr">
        <is>
          <t>정방형</t>
        </is>
      </c>
      <c r="V2940" s="3" t="inlineStr">
        <is>
          <t>세로한면(가)</t>
        </is>
      </c>
    </row>
    <row r="2941">
      <c r="A2941" s="3" t="inlineStr">
        <is>
          <t>조치원읍 남리 419</t>
        </is>
      </c>
      <c r="B2941" s="3" t="inlineStr">
        <is>
          <t>제2종일반주거지역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38000</v>
      </c>
      <c r="G2941" s="4" t="n">
        <v>353</v>
      </c>
      <c r="H2941" s="4" t="n">
        <v>107</v>
      </c>
      <c r="I2941" s="5" t="n">
        <v>355.1</v>
      </c>
      <c r="J2941" s="5" t="n">
        <v>170.3</v>
      </c>
      <c r="K2941" s="3" t="inlineStr">
        <is>
          <t>남리 저렴한 토지 다가구원룸,사옥,상가 추천</t>
        </is>
      </c>
      <c r="L2941" s="6">
        <f>HYPERLINK("https://fin.land.naver.com/articles/2655142624", "매물Link")</f>
        <v/>
      </c>
      <c r="M2941" s="6">
        <f>HYPERLINK("https://map.naver.com/p/search/조치원읍 남리 419", "지도Link")</f>
        <v/>
      </c>
      <c r="N2941" s="6">
        <f>HYPERLINK("http://www.eum.go.kr/web/ar/lu/luLandDet.jsp?pnu=3611025027104190000&amp;isNoScr=script&amp;mode=search", "토지이음")</f>
        <v/>
      </c>
      <c r="O2941" s="3" t="inlineStr">
        <is>
          <t>OK수</t>
        </is>
      </c>
      <c r="P2941" s="4" t="n">
        <v>1</v>
      </c>
      <c r="Q2941" s="4" t="n">
        <v>352.6</v>
      </c>
      <c r="R2941" s="3" t="inlineStr">
        <is>
          <t>지정되지않음</t>
        </is>
      </c>
      <c r="S2941" s="3" t="inlineStr">
        <is>
          <t>단독</t>
        </is>
      </c>
      <c r="T2941" s="3" t="inlineStr">
        <is>
          <t>평지</t>
        </is>
      </c>
      <c r="U2941" s="3" t="inlineStr">
        <is>
          <t>정방형</t>
        </is>
      </c>
      <c r="V2941" s="3" t="inlineStr">
        <is>
          <t>세로한면(가)</t>
        </is>
      </c>
    </row>
    <row r="2942">
      <c r="A2942" s="3" t="inlineStr">
        <is>
          <t>조치원읍 남리 436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21000</v>
      </c>
      <c r="G2942" s="4" t="n">
        <v>225</v>
      </c>
      <c r="H2942" s="4" t="n">
        <v>68</v>
      </c>
      <c r="I2942" s="5" t="n">
        <v>308.8</v>
      </c>
      <c r="J2942" s="5" t="n">
        <v>321.7</v>
      </c>
      <c r="K2942" s="3" t="inlineStr">
        <is>
          <t>급매, 대지, 2차선 도로 접함</t>
        </is>
      </c>
      <c r="L2942" s="6">
        <f>HYPERLINK("https://fin.land.naver.com/articles/2655426254", "매물Link")</f>
        <v/>
      </c>
      <c r="M2942" s="6">
        <f>HYPERLINK("https://map.naver.com/p/search/조치원읍 남리 436", "지도Link")</f>
        <v/>
      </c>
      <c r="N2942" s="6">
        <f>HYPERLINK("http://www.eum.go.kr/web/ar/lu/luLandDet.jsp?pnu=3611025027104360000&amp;isNoScr=script&amp;mode=search", "토지이음")</f>
        <v/>
      </c>
      <c r="O2942" s="3" t="inlineStr">
        <is>
          <t>KB세종</t>
        </is>
      </c>
      <c r="P2942" s="4" t="n">
        <v>3</v>
      </c>
      <c r="Q2942" s="4" t="n">
        <v>225.8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세로장방</t>
        </is>
      </c>
      <c r="V2942" s="3" t="inlineStr">
        <is>
          <t>소로한면</t>
        </is>
      </c>
    </row>
    <row r="2943">
      <c r="A2943" s="3" t="inlineStr">
        <is>
          <t>조치원읍 번암리 121-4</t>
        </is>
      </c>
      <c r="B2943" s="3" t="inlineStr">
        <is>
          <t>일반공업지역</t>
        </is>
      </c>
      <c r="C2943" s="3" t="inlineStr">
        <is>
          <t>잡종지</t>
        </is>
      </c>
      <c r="D2943" s="3" t="inlineStr">
        <is>
          <t>잡종지</t>
        </is>
      </c>
      <c r="E2943" s="3" t="inlineStr">
        <is>
          <t>매매</t>
        </is>
      </c>
      <c r="F2943" s="4" t="n">
        <v>280000</v>
      </c>
      <c r="G2943" s="4" t="n">
        <v>1531</v>
      </c>
      <c r="H2943" s="4" t="n">
        <v>463</v>
      </c>
      <c r="I2943" s="5" t="n">
        <v>604.8</v>
      </c>
      <c r="J2943" s="5" t="n">
        <v>201.1</v>
      </c>
      <c r="K2943" s="3" t="inlineStr">
        <is>
          <t>세종산단과 오송산단을 잇는 대로 접, 광고 시인성 뛰어남, 적극조율</t>
        </is>
      </c>
      <c r="L2943" s="6">
        <f>HYPERLINK("https://fin.land.naver.com/articles/2654135487", "매물Link")</f>
        <v/>
      </c>
      <c r="M2943" s="6">
        <f>HYPERLINK("https://map.naver.com/p/search/조치원읍 번암리 121-4", "지도Link")</f>
        <v/>
      </c>
      <c r="N2943" s="6">
        <f>HYPERLINK("http://www.eum.go.kr/web/ar/lu/luLandDet.jsp?pnu=3611025031101210004&amp;isNoScr=script&amp;mode=search", "토지이음")</f>
        <v/>
      </c>
      <c r="O2943" s="3" t="inlineStr">
        <is>
          <t>새롬시티</t>
        </is>
      </c>
      <c r="P2943" s="4" t="n">
        <v>1</v>
      </c>
      <c r="Q2943" s="4" t="n">
        <v>1531</v>
      </c>
      <c r="R2943" s="3" t="inlineStr">
        <is>
          <t>지정되지않음</t>
        </is>
      </c>
      <c r="S2943" s="3" t="inlineStr">
        <is>
          <t>상업용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광대세각</t>
        </is>
      </c>
    </row>
    <row r="2944">
      <c r="A2944" s="3" t="inlineStr">
        <is>
          <t>조치원읍 번암리 133</t>
        </is>
      </c>
      <c r="B2944" s="3" t="inlineStr">
        <is>
          <t>제2종일반주거지역</t>
        </is>
      </c>
      <c r="C2944" s="3" t="inlineStr">
        <is>
          <t>주유소용지</t>
        </is>
      </c>
      <c r="D2944" s="3" t="inlineStr">
        <is>
          <t>주유소용지</t>
        </is>
      </c>
      <c r="E2944" s="3" t="inlineStr">
        <is>
          <t>매매</t>
        </is>
      </c>
      <c r="F2944" s="4" t="n">
        <v>170000</v>
      </c>
      <c r="G2944" s="4" t="n">
        <v>542</v>
      </c>
      <c r="H2944" s="4" t="n">
        <v>164</v>
      </c>
      <c r="I2944" s="5" t="n">
        <v>1036.6</v>
      </c>
      <c r="J2944" s="5" t="n">
        <v>380.8</v>
      </c>
      <c r="K2944" s="3" t="inlineStr">
        <is>
          <t>최고의 입지, 대도로 접합, 진입로 있음, 명당,현재 주유소부지.</t>
        </is>
      </c>
      <c r="L2944" s="6">
        <f>HYPERLINK("https://fin.land.naver.com/articles/2653735754", "매물Link")</f>
        <v/>
      </c>
      <c r="M2944" s="6">
        <f>HYPERLINK("https://map.naver.com/p/search/조치원읍 번암리 133", "지도Link")</f>
        <v/>
      </c>
      <c r="N2944" s="6">
        <f>HYPERLINK("http://www.eum.go.kr/web/ar/lu/luLandDet.jsp?pnu=3611025031101330000&amp;isNoScr=script&amp;mode=search", "토지이음")</f>
        <v/>
      </c>
      <c r="O2944" s="3" t="inlineStr">
        <is>
          <t>송죽</t>
        </is>
      </c>
      <c r="P2944" s="4" t="n">
        <v>1</v>
      </c>
      <c r="Q2944" s="4" t="n">
        <v>542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광대로한면</t>
        </is>
      </c>
    </row>
    <row r="2945">
      <c r="A2945" s="3" t="inlineStr">
        <is>
          <t>조치원읍 번암리 171-48</t>
        </is>
      </c>
      <c r="B2945" s="3" t="inlineStr">
        <is>
          <t>일반공업지역</t>
        </is>
      </c>
      <c r="C2945" s="3" t="inlineStr">
        <is>
          <t>과수원</t>
        </is>
      </c>
      <c r="D2945" s="3" t="inlineStr">
        <is>
          <t>과수원</t>
        </is>
      </c>
      <c r="E2945" s="3" t="inlineStr">
        <is>
          <t>매매</t>
        </is>
      </c>
      <c r="F2945" s="4" t="n">
        <v>158400</v>
      </c>
      <c r="G2945" s="4" t="n">
        <v>1007</v>
      </c>
      <c r="H2945" s="4" t="n">
        <v>305</v>
      </c>
      <c r="I2945" s="5" t="n">
        <v>519.3</v>
      </c>
      <c r="J2945" s="5" t="n">
        <v>49.5</v>
      </c>
      <c r="K2945" s="3" t="inlineStr">
        <is>
          <t>조율가,대도로인접,소방포장도로 접,노출효과 좋음,근린상가,소형공장등 추천</t>
        </is>
      </c>
      <c r="L2945" s="6">
        <f>HYPERLINK("https://fin.land.naver.com/articles/2650121496", "매물Link")</f>
        <v/>
      </c>
      <c r="M2945" s="6">
        <f>HYPERLINK("https://map.naver.com/p/search/조치원읍 번암리 171-48", "지도Link")</f>
        <v/>
      </c>
      <c r="N2945" s="6">
        <f>HYPERLINK("http://www.eum.go.kr/web/ar/lu/luLandDet.jsp?pnu=3611025031101710048&amp;isNoScr=script&amp;mode=search", "토지이음")</f>
        <v/>
      </c>
      <c r="O2945" s="3" t="inlineStr">
        <is>
          <t>세종지원</t>
        </is>
      </c>
      <c r="P2945" s="4" t="n">
        <v>1</v>
      </c>
      <c r="Q2945" s="4" t="n">
        <v>598</v>
      </c>
      <c r="R2945" s="3" t="inlineStr">
        <is>
          <t>지정되지않음</t>
        </is>
      </c>
      <c r="S2945" s="3" t="inlineStr">
        <is>
          <t>과수원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조치원읍 번암리 171-48</t>
        </is>
      </c>
      <c r="B2946" s="3" t="inlineStr">
        <is>
          <t>일반공업지역</t>
        </is>
      </c>
      <c r="C2946" s="3" t="inlineStr">
        <is>
          <t>과수원</t>
        </is>
      </c>
      <c r="D2946" s="3" t="inlineStr">
        <is>
          <t>과수원</t>
        </is>
      </c>
      <c r="E2946" s="3" t="inlineStr">
        <is>
          <t>매매</t>
        </is>
      </c>
      <c r="F2946" s="4" t="n">
        <v>121800</v>
      </c>
      <c r="G2946" s="4" t="n">
        <v>1007</v>
      </c>
      <c r="H2946" s="4" t="n">
        <v>305</v>
      </c>
      <c r="I2946" s="5" t="n">
        <v>399.3</v>
      </c>
      <c r="J2946" s="5" t="n">
        <v>49.5</v>
      </c>
      <c r="K2946" s="3" t="inlineStr">
        <is>
          <t>대로변 광고효과 소로1류1012m접함 일반공업지역 공장 근생적합</t>
        </is>
      </c>
      <c r="L2946" s="6">
        <f>HYPERLINK("https://fin.land.naver.com/articles/2651927674", "매물Link")</f>
        <v/>
      </c>
      <c r="M2946" s="6">
        <f>HYPERLINK("https://map.naver.com/p/search/조치원읍 번암리 171-48", "지도Link")</f>
        <v/>
      </c>
      <c r="N2946" s="6">
        <f>HYPERLINK("http://www.eum.go.kr/web/ar/lu/luLandDet.jsp?pnu=3611025031101710048&amp;isNoScr=script&amp;mode=search", "토지이음")</f>
        <v/>
      </c>
      <c r="O2946" s="3" t="inlineStr">
        <is>
          <t>세종이룸</t>
        </is>
      </c>
      <c r="P2946" s="4" t="n">
        <v>1</v>
      </c>
      <c r="Q2946" s="4" t="n">
        <v>598</v>
      </c>
      <c r="R2946" s="3" t="inlineStr">
        <is>
          <t>지정되지않음</t>
        </is>
      </c>
      <c r="S2946" s="3" t="inlineStr">
        <is>
          <t>과수원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조치원읍 번암리 171-49</t>
        </is>
      </c>
      <c r="B2947" s="3" t="inlineStr">
        <is>
          <t>일반공업지역</t>
        </is>
      </c>
      <c r="C2947" s="3" t="inlineStr">
        <is>
          <t>과수원</t>
        </is>
      </c>
      <c r="D2947" s="3" t="inlineStr">
        <is>
          <t>과수원</t>
        </is>
      </c>
      <c r="E2947" s="3" t="inlineStr">
        <is>
          <t>매매</t>
        </is>
      </c>
      <c r="F2947" s="4" t="n">
        <v>178880</v>
      </c>
      <c r="G2947" s="4" t="n">
        <v>1137</v>
      </c>
      <c r="H2947" s="4" t="n">
        <v>344</v>
      </c>
      <c r="I2947" s="5" t="n">
        <v>520</v>
      </c>
      <c r="J2947" s="5" t="n">
        <v>44</v>
      </c>
      <c r="K2947" s="3" t="inlineStr">
        <is>
          <t>조율가,대도로근접,소방포장도로 접,노출효과 좋음,근린상가,소형공장등 추천</t>
        </is>
      </c>
      <c r="L2947" s="6">
        <f>HYPERLINK("https://fin.land.naver.com/articles/2650121155", "매물Link")</f>
        <v/>
      </c>
      <c r="M2947" s="6">
        <f>HYPERLINK("https://map.naver.com/p/search/조치원읍 번암리 171-49", "지도Link")</f>
        <v/>
      </c>
      <c r="N2947" s="6">
        <f>HYPERLINK("http://www.eum.go.kr/web/ar/lu/luLandDet.jsp?pnu=3611025031101710049&amp;isNoScr=script&amp;mode=search", "토지이음")</f>
        <v/>
      </c>
      <c r="O2947" s="3" t="inlineStr">
        <is>
          <t>어반통</t>
        </is>
      </c>
      <c r="P2947" s="4" t="n">
        <v>1</v>
      </c>
      <c r="Q2947" s="4" t="n">
        <v>1137</v>
      </c>
      <c r="R2947" s="3" t="inlineStr">
        <is>
          <t>지정되지않음</t>
        </is>
      </c>
      <c r="S2947" s="3" t="inlineStr">
        <is>
          <t>과수원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맹지</t>
        </is>
      </c>
    </row>
    <row r="2948">
      <c r="A2948" s="3" t="inlineStr">
        <is>
          <t>조치원읍 번암리 2-4</t>
        </is>
      </c>
      <c r="B2948" s="3" t="inlineStr">
        <is>
          <t>보전녹지지역</t>
        </is>
      </c>
      <c r="C2948" s="3" t="inlineStr">
        <is>
          <t>임야</t>
        </is>
      </c>
      <c r="D2948" s="3" t="inlineStr">
        <is>
          <t>임야</t>
        </is>
      </c>
      <c r="E2948" s="3" t="inlineStr">
        <is>
          <t>매매</t>
        </is>
      </c>
      <c r="F2948" s="4" t="n">
        <v>180000</v>
      </c>
      <c r="G2948" s="4" t="n">
        <v>15025</v>
      </c>
      <c r="H2948" s="4" t="n">
        <v>4545</v>
      </c>
      <c r="I2948" s="5" t="n">
        <v>39.6</v>
      </c>
      <c r="J2948" s="5" t="n">
        <v>59.8</v>
      </c>
      <c r="K2948" s="3" t="inlineStr">
        <is>
          <t>도로접근선 우수 여러용도 활용가능</t>
        </is>
      </c>
      <c r="L2948" s="6">
        <f>HYPERLINK("https://fin.land.naver.com/articles/2650788390", "매물Link")</f>
        <v/>
      </c>
      <c r="M2948" s="6">
        <f>HYPERLINK("https://map.naver.com/p/search/조치원읍 번암리 2-4", "지도Link")</f>
        <v/>
      </c>
      <c r="N2948" s="6">
        <f>HYPERLINK("http://www.eum.go.kr/web/ar/lu/luLandDet.jsp?pnu=3611025031100020004&amp;isNoScr=script&amp;mode=search", "토지이음")</f>
        <v/>
      </c>
      <c r="O2948" s="3" t="inlineStr">
        <is>
          <t>신두정리치</t>
        </is>
      </c>
      <c r="P2948" s="4" t="n">
        <v>1</v>
      </c>
      <c r="Q2948" s="4" t="n">
        <v>10154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완경사</t>
        </is>
      </c>
      <c r="U2948" s="3" t="inlineStr">
        <is>
          <t>자루형</t>
        </is>
      </c>
      <c r="V2948" s="3" t="inlineStr">
        <is>
          <t>세로한면(가)</t>
        </is>
      </c>
    </row>
    <row r="2949">
      <c r="A2949" s="3" t="inlineStr">
        <is>
          <t>조치원읍 번암리 2-4</t>
        </is>
      </c>
      <c r="B2949" s="3" t="inlineStr">
        <is>
          <t>보전녹지지역</t>
        </is>
      </c>
      <c r="C2949" s="3" t="inlineStr">
        <is>
          <t>임야</t>
        </is>
      </c>
      <c r="D2949" s="3" t="inlineStr">
        <is>
          <t>임야</t>
        </is>
      </c>
      <c r="E2949" s="3" t="inlineStr">
        <is>
          <t>매매</t>
        </is>
      </c>
      <c r="F2949" s="4" t="n">
        <v>186000</v>
      </c>
      <c r="G2949" s="4" t="n">
        <v>15410</v>
      </c>
      <c r="H2949" s="4" t="n">
        <v>4662</v>
      </c>
      <c r="I2949" s="5" t="n">
        <v>39.9</v>
      </c>
      <c r="J2949" s="5" t="n">
        <v>59.8</v>
      </c>
      <c r="K2949" s="3" t="inlineStr">
        <is>
          <t>급매, 번암리 산업시설,공장다수,향후 활용가능성 높은토지</t>
        </is>
      </c>
      <c r="L2949" s="6">
        <f>HYPERLINK("https://fin.land.naver.com/articles/2651070894", "매물Link")</f>
        <v/>
      </c>
      <c r="M2949" s="6">
        <f>HYPERLINK("https://map.naver.com/p/search/조치원읍 번암리 2-4", "지도Link")</f>
        <v/>
      </c>
      <c r="N2949" s="6">
        <f>HYPERLINK("http://www.eum.go.kr/web/ar/lu/luLandDet.jsp?pnu=3611025031100020004&amp;isNoScr=script&amp;mode=search",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10154</v>
      </c>
      <c r="R2949" s="3" t="inlineStr">
        <is>
          <t>지정되지않음</t>
        </is>
      </c>
      <c r="S2949" s="3" t="inlineStr">
        <is>
          <t>과수원</t>
        </is>
      </c>
      <c r="T2949" s="3" t="inlineStr">
        <is>
          <t>완경사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번암리 2-4</t>
        </is>
      </c>
      <c r="B2950" s="3" t="inlineStr">
        <is>
          <t>보전녹지지역</t>
        </is>
      </c>
      <c r="C2950" s="3" t="inlineStr">
        <is>
          <t>임야</t>
        </is>
      </c>
      <c r="D2950" s="3" t="inlineStr">
        <is>
          <t>임야</t>
        </is>
      </c>
      <c r="E2950" s="3" t="inlineStr">
        <is>
          <t>매매</t>
        </is>
      </c>
      <c r="F2950" s="4" t="n">
        <v>186400</v>
      </c>
      <c r="G2950" s="4" t="n">
        <v>15410</v>
      </c>
      <c r="H2950" s="4" t="n">
        <v>4662</v>
      </c>
      <c r="I2950" s="5" t="n">
        <v>40</v>
      </c>
      <c r="J2950" s="5" t="n">
        <v>59.8</v>
      </c>
      <c r="K2950" s="3" t="inlineStr">
        <is>
          <t>오송역 10분대국가산단 배후, 완경사 대형토지</t>
        </is>
      </c>
      <c r="L2950" s="6">
        <f>HYPERLINK("https://fin.land.naver.com/articles/2653296345", "매물Link")</f>
        <v/>
      </c>
      <c r="M2950" s="6">
        <f>HYPERLINK("https://map.naver.com/p/search/조치원읍 번암리 2-4", "지도Link")</f>
        <v/>
      </c>
      <c r="N2950" s="6">
        <f>HYPERLINK("http://www.eum.go.kr/web/ar/lu/luLandDet.jsp?pnu=3611025031100020004&amp;isNoScr=script&amp;mode=search", "토지이음")</f>
        <v/>
      </c>
      <c r="O2950" s="3" t="inlineStr">
        <is>
          <t>세종소담황금</t>
        </is>
      </c>
      <c r="P2950" s="4" t="n">
        <v>1</v>
      </c>
      <c r="Q2950" s="4" t="n">
        <v>10154</v>
      </c>
      <c r="R2950" s="3" t="inlineStr">
        <is>
          <t>지정되지않음</t>
        </is>
      </c>
      <c r="S2950" s="3" t="inlineStr">
        <is>
          <t>과수원</t>
        </is>
      </c>
      <c r="T2950" s="3" t="inlineStr">
        <is>
          <t>완경사</t>
        </is>
      </c>
      <c r="U2950" s="3" t="inlineStr">
        <is>
          <t>자루형</t>
        </is>
      </c>
      <c r="V2950" s="3" t="inlineStr">
        <is>
          <t>세로한면(가)</t>
        </is>
      </c>
    </row>
    <row r="2951">
      <c r="A2951" s="3" t="inlineStr">
        <is>
          <t>조치원읍 번암리 66-1</t>
        </is>
      </c>
      <c r="B2951" s="3" t="inlineStr">
        <is>
          <t>제2종일반주거지역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100000</v>
      </c>
      <c r="G2951" s="4" t="n">
        <v>1084</v>
      </c>
      <c r="H2951" s="4" t="n">
        <v>328</v>
      </c>
      <c r="I2951" s="5" t="n">
        <v>304.9</v>
      </c>
      <c r="J2951" s="5" t="n">
        <v>120.7</v>
      </c>
      <c r="K2951" s="3" t="inlineStr">
        <is>
          <t>죽림리 2차선 접한 저렴한토지 상업용건물 추천</t>
        </is>
      </c>
      <c r="L2951" s="6">
        <f>HYPERLINK("https://fin.land.naver.com/articles/2651708138", "매물Link")</f>
        <v/>
      </c>
      <c r="M2951" s="6">
        <f>HYPERLINK("https://map.naver.com/p/search/조치원읍 번암리 66-1", "지도Link")</f>
        <v/>
      </c>
      <c r="N2951" s="6">
        <f>HYPERLINK("http://www.eum.go.kr/web/ar/lu/luLandDet.jsp?pnu=3611025031100660001&amp;isNoScr=script&amp;mode=search",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500</v>
      </c>
      <c r="R2951" s="3" t="inlineStr">
        <is>
          <t>지정되지않음</t>
        </is>
      </c>
      <c r="S2951" s="3" t="inlineStr">
        <is>
          <t>전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소로한면</t>
        </is>
      </c>
    </row>
    <row r="2952">
      <c r="A2952" s="3" t="inlineStr">
        <is>
          <t>조치원읍 번암리 86-1</t>
        </is>
      </c>
      <c r="B2952" s="3" t="inlineStr">
        <is>
          <t>제2종일반주거지역</t>
        </is>
      </c>
      <c r="C2952" s="3" t="inlineStr">
        <is>
          <t>과수원</t>
        </is>
      </c>
      <c r="D2952" s="3" t="inlineStr">
        <is>
          <t>대</t>
        </is>
      </c>
      <c r="E2952" s="3" t="inlineStr">
        <is>
          <t>매매</t>
        </is>
      </c>
      <c r="F2952" s="4" t="n">
        <v>50000</v>
      </c>
      <c r="G2952" s="4" t="n">
        <v>331</v>
      </c>
      <c r="H2952" s="4" t="n">
        <v>100</v>
      </c>
      <c r="I2952" s="5" t="n">
        <v>500</v>
      </c>
      <c r="J2952" s="5" t="n">
        <v>190.1</v>
      </c>
      <c r="K2952" s="3" t="inlineStr">
        <is>
          <t>초기 투자 부담 적고 활용도 높은 규모</t>
        </is>
      </c>
      <c r="L2952" s="6">
        <f>HYPERLINK("https://fin.land.naver.com/articles/2655184087", "매물Link")</f>
        <v/>
      </c>
      <c r="M2952" s="6">
        <f>HYPERLINK("https://map.naver.com/p/search/조치원읍 번암리 86-1", "지도Link")</f>
        <v/>
      </c>
      <c r="N2952" s="6">
        <f>HYPERLINK("http://www.eum.go.kr/web/ar/lu/luLandDet.jsp?pnu=3611025031100860001&amp;isNoScr=script&amp;mode=search", "토지이음")</f>
        <v/>
      </c>
      <c r="O2952" s="3" t="inlineStr">
        <is>
          <t>더KEY</t>
        </is>
      </c>
      <c r="P2952" s="4" t="n">
        <v>1</v>
      </c>
      <c r="Q2952" s="4" t="n">
        <v>331</v>
      </c>
      <c r="R2952" s="3" t="inlineStr">
        <is>
          <t>지정되지않음</t>
        </is>
      </c>
      <c r="S2952" s="3" t="inlineStr">
        <is>
          <t>과수원</t>
        </is>
      </c>
      <c r="T2952" s="3" t="inlineStr">
        <is>
          <t>완경사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번암리 86-3</t>
        </is>
      </c>
      <c r="B2953" s="3" t="inlineStr">
        <is>
          <t>제2종일반주거지역</t>
        </is>
      </c>
      <c r="C2953" s="3" t="inlineStr">
        <is>
          <t>과수원</t>
        </is>
      </c>
      <c r="D2953" s="3" t="inlineStr">
        <is>
          <t>과수원</t>
        </is>
      </c>
      <c r="E2953" s="3" t="inlineStr">
        <is>
          <t>매매</t>
        </is>
      </c>
      <c r="F2953" s="4" t="n">
        <v>356000</v>
      </c>
      <c r="G2953" s="4" t="n">
        <v>2934</v>
      </c>
      <c r="H2953" s="4" t="n">
        <v>888</v>
      </c>
      <c r="I2953" s="5" t="n">
        <v>400.9</v>
      </c>
      <c r="J2953" s="5" t="n">
        <v>181.1</v>
      </c>
      <c r="K2953" s="3" t="inlineStr">
        <is>
          <t>도로접도 우수한 조치원 제2종주거 2,934㎡ 일괄부지</t>
        </is>
      </c>
      <c r="L2953" s="6">
        <f>HYPERLINK("https://fin.land.naver.com/articles/2653049898", "매물Link")</f>
        <v/>
      </c>
      <c r="M2953" s="6">
        <f>HYPERLINK("https://map.naver.com/p/search/조치원읍 번암리 86-3", "지도Link")</f>
        <v/>
      </c>
      <c r="N2953" s="6">
        <f>HYPERLINK("http://www.eum.go.kr/web/ar/lu/luLandDet.jsp?pnu=3611025031100860003&amp;isNoScr=script&amp;mode=search", "토지이음")</f>
        <v/>
      </c>
      <c r="O2953" s="3" t="inlineStr">
        <is>
          <t>세종소담황금</t>
        </is>
      </c>
      <c r="P2953" s="4" t="n">
        <v>1</v>
      </c>
      <c r="Q2953" s="4" t="n">
        <v>980</v>
      </c>
      <c r="R2953" s="3" t="inlineStr">
        <is>
          <t>지정되지않음</t>
        </is>
      </c>
      <c r="S2953" s="3" t="inlineStr">
        <is>
          <t>과수원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조치원읍 번암리 96-2</t>
        </is>
      </c>
      <c r="B2954" s="3" t="inlineStr">
        <is>
          <t>제2종일반주거지역</t>
        </is>
      </c>
      <c r="C2954" s="3" t="inlineStr">
        <is>
          <t>전</t>
        </is>
      </c>
      <c r="D2954" s="3" t="inlineStr">
        <is>
          <t>전</t>
        </is>
      </c>
      <c r="E2954" s="3" t="inlineStr">
        <is>
          <t>매매</t>
        </is>
      </c>
      <c r="F2954" s="4" t="n">
        <v>180000</v>
      </c>
      <c r="G2954" s="4" t="n">
        <v>943</v>
      </c>
      <c r="H2954" s="4" t="n">
        <v>285</v>
      </c>
      <c r="I2954" s="5" t="n">
        <v>631.6</v>
      </c>
      <c r="J2954" s="5" t="n">
        <v>222.5</v>
      </c>
      <c r="K2954" s="3" t="inlineStr">
        <is>
          <t>도시지역내 2종일반주거지역 토지</t>
        </is>
      </c>
      <c r="L2954" s="6">
        <f>HYPERLINK("https://fin.land.naver.com/articles/2650856620", "매물Link")</f>
        <v/>
      </c>
      <c r="M2954" s="6">
        <f>HYPERLINK("https://map.naver.com/p/search/조치원읍 번암리 96-2", "지도Link")</f>
        <v/>
      </c>
      <c r="N2954" s="6">
        <f>HYPERLINK("http://www.eum.go.kr/web/ar/lu/luLandDet.jsp?pnu=3611025031100960002&amp;isNoScr=script&amp;mode=search", "토지이음")</f>
        <v/>
      </c>
      <c r="O2954" s="3" t="inlineStr">
        <is>
          <t>세종대박</t>
        </is>
      </c>
      <c r="P2954" s="4" t="n">
        <v>1</v>
      </c>
      <c r="Q2954" s="4" t="n">
        <v>943</v>
      </c>
      <c r="R2954" s="3" t="inlineStr">
        <is>
          <t>지정되지않음</t>
        </is>
      </c>
      <c r="S2954" s="3" t="inlineStr">
        <is>
          <t>전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중로한면</t>
        </is>
      </c>
    </row>
    <row r="2955">
      <c r="A2955" s="3" t="inlineStr">
        <is>
          <t>조치원읍 봉산리 108-1</t>
        </is>
      </c>
      <c r="B2955" s="3" t="inlineStr">
        <is>
          <t>자연녹지지역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245000</v>
      </c>
      <c r="G2955" s="4" t="n">
        <v>2188</v>
      </c>
      <c r="H2955" s="4" t="n">
        <v>662</v>
      </c>
      <c r="I2955" s="5" t="n">
        <v>370.1</v>
      </c>
      <c r="J2955" s="5" t="n">
        <v>153.9</v>
      </c>
      <c r="K2955" s="3" t="inlineStr">
        <is>
          <t>추천. 조치원 근생용지 추천</t>
        </is>
      </c>
      <c r="L2955" s="6">
        <f>HYPERLINK("https://fin.land.naver.com/articles/2651923205", "매물Link")</f>
        <v/>
      </c>
      <c r="M2955" s="6">
        <f>HYPERLINK("https://map.naver.com/p/search/조치원읍 봉산리 108-1", "지도Link")</f>
        <v/>
      </c>
      <c r="N2955" s="6">
        <f>HYPERLINK("http://www.eum.go.kr/web/ar/lu/luLandDet.jsp?pnu=3611025033101080001&amp;isNoScr=script&amp;mode=search", "토지이음")</f>
        <v/>
      </c>
      <c r="O2955" s="3" t="inlineStr">
        <is>
          <t>강아지풀</t>
        </is>
      </c>
      <c r="P2955" s="4" t="n">
        <v>1</v>
      </c>
      <c r="Q2955" s="4" t="n">
        <v>2188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조치원읍 봉산리 171-3</t>
        </is>
      </c>
      <c r="B2956" s="3" t="inlineStr">
        <is>
          <t>자연녹지지역</t>
        </is>
      </c>
      <c r="C2956" s="3" t="inlineStr">
        <is>
          <t>답</t>
        </is>
      </c>
      <c r="D2956" s="3" t="inlineStr">
        <is>
          <t>답</t>
        </is>
      </c>
      <c r="E2956" s="3" t="inlineStr">
        <is>
          <t>매매</t>
        </is>
      </c>
      <c r="F2956" s="4" t="n">
        <v>210000</v>
      </c>
      <c r="G2956" s="4" t="n">
        <v>2313</v>
      </c>
      <c r="H2956" s="4" t="n">
        <v>700</v>
      </c>
      <c r="I2956" s="5" t="n">
        <v>300</v>
      </c>
      <c r="J2956" s="5" t="n">
        <v>129.9</v>
      </c>
      <c r="K2956" s="3" t="inlineStr">
        <is>
          <t>세종시 조치원 도심 700,  중로접 토지, 코너위치, 투자 1순위</t>
        </is>
      </c>
      <c r="L2956" s="6">
        <f>HYPERLINK("https://fin.land.naver.com/articles/2650315346", "매물Link")</f>
        <v/>
      </c>
      <c r="M2956" s="6">
        <f>HYPERLINK("https://map.naver.com/p/search/조치원읍 봉산리 171-3", "지도Link")</f>
        <v/>
      </c>
      <c r="N2956" s="6">
        <f>HYPERLINK("http://www.eum.go.kr/web/ar/lu/luLandDet.jsp?pnu=3611025033101710003&amp;isNoScr=script&amp;mode=search", "토지이음")</f>
        <v/>
      </c>
      <c r="O2956" s="3" t="inlineStr">
        <is>
          <t>세종공감</t>
        </is>
      </c>
      <c r="P2956" s="4" t="n">
        <v>1</v>
      </c>
      <c r="Q2956" s="4" t="n">
        <v>2313</v>
      </c>
      <c r="R2956" s="3" t="inlineStr">
        <is>
          <t>지정되지않음</t>
        </is>
      </c>
      <c r="S2956" s="3" t="inlineStr">
        <is>
          <t>답</t>
        </is>
      </c>
      <c r="T2956" s="3" t="inlineStr">
        <is>
          <t>평지</t>
        </is>
      </c>
      <c r="U2956" s="3" t="inlineStr">
        <is>
          <t>사다리형</t>
        </is>
      </c>
      <c r="V2956" s="3" t="inlineStr">
        <is>
          <t>중로각지</t>
        </is>
      </c>
    </row>
    <row r="2957">
      <c r="A2957" s="3" t="inlineStr">
        <is>
          <t>조치원읍 봉산리 171-5</t>
        </is>
      </c>
      <c r="B2957" s="3" t="inlineStr">
        <is>
          <t>자연녹지지역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140000</v>
      </c>
      <c r="G2957" s="4" t="n">
        <v>1695</v>
      </c>
      <c r="H2957" s="4" t="n">
        <v>513</v>
      </c>
      <c r="I2957" s="5" t="n">
        <v>272.9</v>
      </c>
      <c r="J2957" s="5" t="n">
        <v>135.2</v>
      </c>
      <c r="K2957" s="3" t="inlineStr">
        <is>
          <t>세종시 조치원읍 봉산리 토지 2필지 일괄매매입니다.</t>
        </is>
      </c>
      <c r="L2957" s="6">
        <f>HYPERLINK("https://fin.land.naver.com/articles/2654882877", "매물Link")</f>
        <v/>
      </c>
      <c r="M2957" s="6">
        <f>HYPERLINK("https://map.naver.com/p/search/조치원읍 봉산리 171-5", "지도Link")</f>
        <v/>
      </c>
      <c r="N2957" s="6">
        <f>HYPERLINK("http://www.eum.go.kr/web/ar/lu/luLandDet.jsp?pnu=3611025033101710005&amp;isNoScr=script&amp;mode=search",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499</v>
      </c>
      <c r="R2957" s="3" t="inlineStr">
        <is>
          <t>지정되지않음</t>
        </is>
      </c>
      <c r="S2957" s="3" t="inlineStr">
        <is>
          <t>답창고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중로한면</t>
        </is>
      </c>
    </row>
    <row r="2958">
      <c r="A2958" s="3" t="inlineStr">
        <is>
          <t>조치원읍 봉산리 224</t>
        </is>
      </c>
      <c r="B2958" s="3" t="inlineStr">
        <is>
          <t>자연녹지지역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70000</v>
      </c>
      <c r="G2958" s="4" t="n">
        <v>1756</v>
      </c>
      <c r="H2958" s="4" t="n">
        <v>531</v>
      </c>
      <c r="I2958" s="5" t="n">
        <v>131.8</v>
      </c>
      <c r="J2958" s="5" t="n">
        <v>70.90000000000001</v>
      </c>
      <c r="K2958" s="3" t="inlineStr">
        <is>
          <t>위치가 곧 미래입니다 가격 협상 빠르게 해 주신데요</t>
        </is>
      </c>
      <c r="L2958" s="6">
        <f>HYPERLINK("https://fin.land.naver.com/articles/2654324247", "매물Link")</f>
        <v/>
      </c>
      <c r="M2958" s="6">
        <f>HYPERLINK("https://map.naver.com/p/search/조치원읍 봉산리 224", "지도Link")</f>
        <v/>
      </c>
      <c r="N2958" s="6">
        <f>HYPERLINK("http://www.eum.go.kr/web/ar/lu/luLandDet.jsp?pnu=3611025033102240000&amp;isNoScr=script&amp;mode=search", "토지이음")</f>
        <v/>
      </c>
      <c r="O2958" s="3" t="inlineStr">
        <is>
          <t>세종시삼성래미안</t>
        </is>
      </c>
      <c r="P2958" s="4" t="n">
        <v>1</v>
      </c>
      <c r="Q2958" s="4" t="n">
        <v>1756</v>
      </c>
      <c r="R2958" s="3" t="inlineStr">
        <is>
          <t>지정되지않음</t>
        </is>
      </c>
      <c r="S2958" s="3" t="inlineStr">
        <is>
          <t>전기타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조치원읍 봉산리 262-5</t>
        </is>
      </c>
      <c r="B2959" s="3" t="inlineStr">
        <is>
          <t>자연녹지지역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50000</v>
      </c>
      <c r="G2959" s="4" t="n">
        <v>760</v>
      </c>
      <c r="H2959" s="4" t="n">
        <v>230</v>
      </c>
      <c r="I2959" s="5" t="n">
        <v>217.4</v>
      </c>
      <c r="J2959" s="5" t="n">
        <v>95.5</v>
      </c>
      <c r="K2959" s="3" t="inlineStr">
        <is>
          <t>투자가치가 높은 세종시 조치원읍 봉산리 토지매매</t>
        </is>
      </c>
      <c r="L2959" s="6">
        <f>HYPERLINK("https://fin.land.naver.com/articles/2653218031", "매물Link")</f>
        <v/>
      </c>
      <c r="M2959" s="6">
        <f>HYPERLINK("https://map.naver.com/p/search/조치원읍 봉산리 262-5", "지도Link")</f>
        <v/>
      </c>
      <c r="N2959" s="6">
        <f>HYPERLINK("http://www.eum.go.kr/web/ar/lu/luLandDet.jsp?pnu=3611025033102620005&amp;isNoScr=script&amp;mode=search", "토지이음")</f>
        <v/>
      </c>
      <c r="O2959" s="3" t="inlineStr">
        <is>
          <t>비전</t>
        </is>
      </c>
      <c r="P2959" s="4" t="n">
        <v>1</v>
      </c>
      <c r="Q2959" s="4" t="n">
        <v>760</v>
      </c>
      <c r="R2959" s="3" t="inlineStr">
        <is>
          <t>지정되지않음</t>
        </is>
      </c>
      <c r="S2959" s="3" t="inlineStr">
        <is>
          <t>답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봉산리 270-2</t>
        </is>
      </c>
      <c r="B2960" s="3" t="inlineStr">
        <is>
          <t>자연녹지지역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110000</v>
      </c>
      <c r="G2960" s="4" t="n">
        <v>774</v>
      </c>
      <c r="H2960" s="4" t="n">
        <v>234</v>
      </c>
      <c r="I2960" s="5" t="n">
        <v>470.1</v>
      </c>
      <c r="J2960" s="5" t="n">
        <v>169.9</v>
      </c>
      <c r="K2960" s="3" t="inlineStr">
        <is>
          <t>가격협의가능,2차선도로접, 개발호재지역근접, 투자용추천</t>
        </is>
      </c>
      <c r="L2960" s="6">
        <f>HYPERLINK("https://fin.land.naver.com/articles/2653555232", "매물Link")</f>
        <v/>
      </c>
      <c r="M2960" s="6">
        <f>HYPERLINK("https://map.naver.com/p/search/조치원읍 봉산리 270-2", "지도Link")</f>
        <v/>
      </c>
      <c r="N2960" s="6">
        <f>HYPERLINK("http://www.eum.go.kr/web/ar/lu/luLandDet.jsp?pnu=3611025033102700002&amp;isNoScr=script&amp;mode=search", "토지이음")</f>
        <v/>
      </c>
      <c r="O2960" s="3" t="inlineStr">
        <is>
          <t>현대아이파크</t>
        </is>
      </c>
      <c r="P2960" s="4" t="n">
        <v>1</v>
      </c>
      <c r="Q2960" s="4" t="n">
        <v>774</v>
      </c>
      <c r="R2960" s="3" t="inlineStr">
        <is>
          <t>지정되지않음</t>
        </is>
      </c>
      <c r="S2960" s="3" t="inlineStr">
        <is>
          <t>주거기타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소로각지</t>
        </is>
      </c>
    </row>
    <row r="2961">
      <c r="A2961" s="3" t="inlineStr">
        <is>
          <t>조치원읍 봉산리 273</t>
        </is>
      </c>
      <c r="B2961" s="3" t="inlineStr">
        <is>
          <t>계획관리지역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76000</v>
      </c>
      <c r="G2961" s="4" t="n">
        <v>1009</v>
      </c>
      <c r="H2961" s="4" t="n">
        <v>305</v>
      </c>
      <c r="I2961" s="5" t="n">
        <v>249.2</v>
      </c>
      <c r="J2961" s="5" t="n">
        <v>75.8</v>
      </c>
      <c r="K2961" s="3" t="inlineStr"/>
      <c r="L2961" s="6">
        <f>HYPERLINK("https://fin.land.naver.com/articles/2650829738", "매물Link")</f>
        <v/>
      </c>
      <c r="M2961" s="6">
        <f>HYPERLINK("https://map.naver.com/p/search/조치원읍 봉산리 273", "지도Link")</f>
        <v/>
      </c>
      <c r="N2961" s="6">
        <f>HYPERLINK("http://www.eum.go.kr/web/ar/lu/luLandDet.jsp?pnu=3611025033102730000&amp;isNoScr=script&amp;mode=search", "토지이음")</f>
        <v/>
      </c>
      <c r="O2961" s="3" t="inlineStr">
        <is>
          <t>세종지평</t>
        </is>
      </c>
      <c r="P2961" s="4" t="n">
        <v>1</v>
      </c>
      <c r="Q2961" s="4" t="n">
        <v>1010</v>
      </c>
      <c r="R2961" s="3" t="inlineStr">
        <is>
          <t>자연녹지지역</t>
        </is>
      </c>
      <c r="S2961" s="3" t="inlineStr">
        <is>
          <t>전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소로한면</t>
        </is>
      </c>
    </row>
    <row r="2962">
      <c r="A2962" s="3" t="inlineStr">
        <is>
          <t>조치원읍 봉산리 273-2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180000</v>
      </c>
      <c r="G2962" s="4" t="n">
        <v>1949</v>
      </c>
      <c r="H2962" s="4" t="n">
        <v>590</v>
      </c>
      <c r="I2962" s="5" t="n">
        <v>305.1</v>
      </c>
      <c r="J2962" s="5" t="n">
        <v>74.40000000000001</v>
      </c>
      <c r="K2962" s="3" t="inlineStr">
        <is>
          <t>봉산리  귀한 계획관리지역  2차선도로 접.토지거래허가구역. 투자추천매물</t>
        </is>
      </c>
      <c r="L2962" s="6">
        <f>HYPERLINK("https://fin.land.naver.com/articles/2652950737", "매물Link")</f>
        <v/>
      </c>
      <c r="M2962" s="6">
        <f>HYPERLINK("https://map.naver.com/p/search/조치원읍 봉산리 273-2", "지도Link")</f>
        <v/>
      </c>
      <c r="N2962" s="6">
        <f>HYPERLINK("http://www.eum.go.kr/web/ar/lu/luLandDet.jsp?pnu=3611025033102730002&amp;isNoScr=script&amp;mode=search", "토지이음")</f>
        <v/>
      </c>
      <c r="O2962" s="3" t="inlineStr">
        <is>
          <t>세종보물</t>
        </is>
      </c>
      <c r="P2962" s="4" t="n">
        <v>1</v>
      </c>
      <c r="Q2962" s="4" t="n">
        <v>1949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소로한면</t>
        </is>
      </c>
    </row>
    <row r="2963">
      <c r="A2963" s="3" t="inlineStr">
        <is>
          <t>조치원읍 봉산리 295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329200</v>
      </c>
      <c r="G2963" s="4" t="n">
        <v>4353</v>
      </c>
      <c r="H2963" s="4" t="n">
        <v>1317</v>
      </c>
      <c r="I2963" s="5" t="n">
        <v>250</v>
      </c>
      <c r="J2963" s="5" t="n">
        <v>70.7</v>
      </c>
      <c r="K2963" s="3" t="inlineStr">
        <is>
          <t>nan</t>
        </is>
      </c>
      <c r="L2963" s="6">
        <f>HYPERLINK("https://fin.land.naver.com/articles/2655149236", "매물Link")</f>
        <v/>
      </c>
      <c r="M2963" s="6">
        <f>HYPERLINK("https://map.naver.com/p/search/조치원읍 봉산리 295", "지도Link")</f>
        <v/>
      </c>
      <c r="N2963" s="6">
        <f>HYPERLINK("http://www.eum.go.kr/web/ar/lu/luLandDet.jsp?pnu=3611025033102950000&amp;isNoScr=script&amp;mode=search", "토지이음")</f>
        <v/>
      </c>
      <c r="O2963" s="3" t="inlineStr">
        <is>
          <t>오송랜드</t>
        </is>
      </c>
      <c r="P2963" s="4" t="n">
        <v>1</v>
      </c>
      <c r="Q2963" s="4" t="n">
        <v>2226</v>
      </c>
      <c r="R2963" s="3" t="inlineStr">
        <is>
          <t>지정되지않음</t>
        </is>
      </c>
      <c r="S2963" s="3" t="inlineStr">
        <is>
          <t>전기타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조치원읍 봉산리 303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151580</v>
      </c>
      <c r="G2964" s="4" t="n">
        <v>2277</v>
      </c>
      <c r="H2964" s="4" t="n">
        <v>689</v>
      </c>
      <c r="I2964" s="5" t="n">
        <v>220</v>
      </c>
      <c r="J2964" s="5" t="n">
        <v>62.3</v>
      </c>
      <c r="K2964" s="3" t="inlineStr">
        <is>
          <t>nan</t>
        </is>
      </c>
      <c r="L2964" s="6">
        <f>HYPERLINK("https://fin.land.naver.com/articles/2655148684", "매물Link")</f>
        <v/>
      </c>
      <c r="M2964" s="6">
        <f>HYPERLINK("https://map.naver.com/p/search/조치원읍 봉산리 303", "지도Link")</f>
        <v/>
      </c>
      <c r="N2964" s="6">
        <f>HYPERLINK("http://www.eum.go.kr/web/ar/lu/luLandDet.jsp?pnu=3611025033103030000&amp;isNoScr=script&amp;mode=search", "토지이음")</f>
        <v/>
      </c>
      <c r="O2964" s="3" t="inlineStr">
        <is>
          <t>오송랜드</t>
        </is>
      </c>
      <c r="P2964" s="4" t="n">
        <v>1</v>
      </c>
      <c r="Q2964" s="4" t="n">
        <v>2278</v>
      </c>
      <c r="R2964" s="3" t="inlineStr">
        <is>
          <t>지정되지않음</t>
        </is>
      </c>
      <c r="S2964" s="3" t="inlineStr">
        <is>
          <t>전기타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봉산리 365</t>
        </is>
      </c>
      <c r="B2965" s="3" t="inlineStr">
        <is>
          <t>준주거지역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1300000</v>
      </c>
      <c r="G2965" s="4" t="n">
        <v>4444</v>
      </c>
      <c r="H2965" s="4" t="n">
        <v>1344</v>
      </c>
      <c r="I2965" s="5" t="n">
        <v>967.3</v>
      </c>
      <c r="J2965" s="5" t="n">
        <v>256</v>
      </c>
      <c r="K2965" s="3" t="inlineStr">
        <is>
          <t>최고의 입지조건 토지 입니다.</t>
        </is>
      </c>
      <c r="L2965" s="6">
        <f>HYPERLINK("https://fin.land.naver.com/articles/2654394177", "매물Link")</f>
        <v/>
      </c>
      <c r="M2965" s="6">
        <f>HYPERLINK("https://map.naver.com/p/search/조치원읍 봉산리 365", "지도Link")</f>
        <v/>
      </c>
      <c r="N2965" s="6">
        <f>HYPERLINK("http://www.eum.go.kr/web/ar/lu/luLandDet.jsp?pnu=3611025033103650000&amp;isNoScr=script&amp;mode=search", "토지이음")</f>
        <v/>
      </c>
      <c r="O2965" s="3" t="inlineStr">
        <is>
          <t>척척</t>
        </is>
      </c>
      <c r="P2965" s="4" t="n">
        <v>1</v>
      </c>
      <c r="Q2965" s="4" t="n">
        <v>4444</v>
      </c>
      <c r="R2965" s="3" t="inlineStr">
        <is>
          <t>지정되지않음</t>
        </is>
      </c>
      <c r="S2965" s="3" t="inlineStr">
        <is>
          <t>상업나지</t>
        </is>
      </c>
      <c r="T2965" s="3" t="inlineStr">
        <is>
          <t>평지</t>
        </is>
      </c>
      <c r="U2965" s="3" t="inlineStr">
        <is>
          <t>사다리형</t>
        </is>
      </c>
      <c r="V2965" s="3" t="inlineStr">
        <is>
          <t>중로각지</t>
        </is>
      </c>
    </row>
    <row r="2966">
      <c r="A2966" s="3" t="inlineStr">
        <is>
          <t>조치원읍 봉산리 393</t>
        </is>
      </c>
      <c r="B2966" s="3" t="inlineStr">
        <is>
          <t>준주거지역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450000</v>
      </c>
      <c r="G2966" s="4" t="n">
        <v>828</v>
      </c>
      <c r="H2966" s="4" t="n">
        <v>250</v>
      </c>
      <c r="I2966" s="5" t="n">
        <v>1800</v>
      </c>
      <c r="J2966" s="5" t="n">
        <v>274.4</v>
      </c>
      <c r="K2966" s="3" t="inlineStr">
        <is>
          <t>조치원 서북부지구 아파트 앞 중심상권 토지</t>
        </is>
      </c>
      <c r="L2966" s="6">
        <f>HYPERLINK("https://fin.land.naver.com/articles/2650856619", "매물Link")</f>
        <v/>
      </c>
      <c r="M2966" s="6">
        <f>HYPERLINK("https://map.naver.com/p/search/조치원읍 봉산리 393", "지도Link")</f>
        <v/>
      </c>
      <c r="N2966" s="6">
        <f>HYPERLINK("http://www.eum.go.kr/web/ar/lu/luLandDet.jsp?pnu=3611025033103930000&amp;isNoScr=script&amp;mode=search", "토지이음")</f>
        <v/>
      </c>
      <c r="O2966" s="3" t="inlineStr">
        <is>
          <t>세종대박</t>
        </is>
      </c>
      <c r="P2966" s="4" t="n">
        <v>1</v>
      </c>
      <c r="Q2966" s="4" t="n">
        <v>828.7</v>
      </c>
      <c r="R2966" s="3" t="inlineStr">
        <is>
          <t>지정되지않음</t>
        </is>
      </c>
      <c r="S2966" s="3" t="inlineStr">
        <is>
          <t>상업나지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중로각지</t>
        </is>
      </c>
    </row>
    <row r="2967">
      <c r="A2967" s="3" t="inlineStr">
        <is>
          <t>조치원읍 봉산리 393</t>
        </is>
      </c>
      <c r="B2967" s="3" t="inlineStr">
        <is>
          <t>준주거지역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375000</v>
      </c>
      <c r="G2967" s="4" t="n">
        <v>828</v>
      </c>
      <c r="H2967" s="4" t="n">
        <v>250</v>
      </c>
      <c r="I2967" s="5" t="n">
        <v>1500</v>
      </c>
      <c r="J2967" s="5" t="n">
        <v>274.4</v>
      </c>
      <c r="K2967" s="3" t="inlineStr">
        <is>
          <t>조치원 서북부지구 준주거 대지 매매</t>
        </is>
      </c>
      <c r="L2967" s="6">
        <f>HYPERLINK("https://fin.land.naver.com/articles/2655625037", "매물Link")</f>
        <v/>
      </c>
      <c r="M2967" s="6">
        <f>HYPERLINK("https://map.naver.com/p/search/조치원읍 봉산리 393", "지도Link")</f>
        <v/>
      </c>
      <c r="N2967" s="6">
        <f>HYPERLINK("http://www.eum.go.kr/web/ar/lu/luLandDet.jsp?pnu=3611025033103930000&amp;isNoScr=script&amp;mode=search",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828.7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가로장방</t>
        </is>
      </c>
      <c r="V2967" s="3" t="inlineStr">
        <is>
          <t>중로각지</t>
        </is>
      </c>
    </row>
    <row r="2968">
      <c r="A2968" s="3" t="inlineStr">
        <is>
          <t>조치원읍 봉산리 산20-15</t>
        </is>
      </c>
      <c r="B2968" s="3" t="inlineStr">
        <is>
          <t>보전녹지지역</t>
        </is>
      </c>
      <c r="C2968" s="3" t="inlineStr">
        <is>
          <t>임야</t>
        </is>
      </c>
      <c r="D2968" s="3" t="inlineStr">
        <is>
          <t>임야</t>
        </is>
      </c>
      <c r="E2968" s="3" t="inlineStr">
        <is>
          <t>매매</t>
        </is>
      </c>
      <c r="F2968" s="4" t="n">
        <v>16084</v>
      </c>
      <c r="G2968" s="4" t="n">
        <v>13291</v>
      </c>
      <c r="H2968" s="4" t="n">
        <v>4021</v>
      </c>
      <c r="I2968" s="5" t="n">
        <v>4</v>
      </c>
      <c r="J2968" s="5" t="n">
        <v>4.1</v>
      </c>
      <c r="K2968" s="3" t="inlineStr">
        <is>
          <t>맹지 빠른매도원함 조치원읍  주변 땅 발전성 높고요 매물 가치 좋아요</t>
        </is>
      </c>
      <c r="L2968" s="6">
        <f>HYPERLINK("https://fin.land.naver.com/articles/2654866870", "매물Link")</f>
        <v/>
      </c>
      <c r="M2968" s="6">
        <f>HYPERLINK("https://map.naver.com/p/search/조치원읍 봉산리 산20-15", "지도Link")</f>
        <v/>
      </c>
      <c r="N2968" s="6">
        <f>HYPERLINK("http://www.eum.go.kr/web/ar/lu/luLandDet.jsp?pnu=3611025033200200015&amp;isNoScr=script&amp;mode=search", "토지이음")</f>
        <v/>
      </c>
      <c r="O2968" s="3" t="inlineStr">
        <is>
          <t>삼성래미안</t>
        </is>
      </c>
      <c r="P2968" s="4" t="n">
        <v>3</v>
      </c>
      <c r="Q2968" s="4" t="n">
        <v>13291</v>
      </c>
      <c r="R2968" s="3" t="inlineStr">
        <is>
          <t>자연녹지지역</t>
        </is>
      </c>
      <c r="S2968" s="3" t="inlineStr">
        <is>
          <t>자연림</t>
        </is>
      </c>
      <c r="T2968" s="3" t="inlineStr">
        <is>
          <t>급경사</t>
        </is>
      </c>
      <c r="U2968" s="3" t="inlineStr">
        <is>
          <t>부정형</t>
        </is>
      </c>
      <c r="V2968" s="3" t="inlineStr">
        <is>
          <t>맹지</t>
        </is>
      </c>
    </row>
    <row r="2969">
      <c r="A2969" s="3" t="inlineStr">
        <is>
          <t>조치원읍 상리 98</t>
        </is>
      </c>
      <c r="B2969" s="3" t="inlineStr">
        <is>
          <t>일반상업지역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90000</v>
      </c>
      <c r="G2969" s="4" t="n">
        <v>427</v>
      </c>
      <c r="H2969" s="4" t="n">
        <v>129</v>
      </c>
      <c r="I2969" s="5" t="n">
        <v>697.7</v>
      </c>
      <c r="J2969" s="5" t="n">
        <v>478</v>
      </c>
      <c r="K2969" s="3" t="inlineStr">
        <is>
          <t>급매 조치원 터미널 인근 도시지역 일반상업지역 지목 대</t>
        </is>
      </c>
      <c r="L2969" s="6">
        <f>HYPERLINK("https://fin.land.naver.com/articles/2654653194", "매물Link")</f>
        <v/>
      </c>
      <c r="M2969" s="6">
        <f>HYPERLINK("https://map.naver.com/p/search/조치원읍 상리 98", "지도Link")</f>
        <v/>
      </c>
      <c r="N2969" s="6">
        <f>HYPERLINK("http://www.eum.go.kr/web/ar/lu/luLandDet.jsp?pnu=3611025022100980000&amp;isNoScr=script&amp;mode=search", "토지이음")</f>
        <v/>
      </c>
      <c r="O2969" s="3" t="inlineStr">
        <is>
          <t>오송퍼스트영웅</t>
        </is>
      </c>
      <c r="P2969" s="4" t="n">
        <v>1</v>
      </c>
      <c r="Q2969" s="4" t="n">
        <v>427</v>
      </c>
      <c r="R2969" s="3" t="inlineStr">
        <is>
          <t>지정되지않음</t>
        </is>
      </c>
      <c r="S2969" s="3" t="inlineStr">
        <is>
          <t>주상나지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소로한면</t>
        </is>
      </c>
    </row>
    <row r="2970">
      <c r="A2970" s="3" t="inlineStr">
        <is>
          <t>조치원읍 서창리 105-10</t>
        </is>
      </c>
      <c r="B2970" s="3" t="inlineStr">
        <is>
          <t>제1종일반주거지역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185000</v>
      </c>
      <c r="G2970" s="4" t="n">
        <v>1685</v>
      </c>
      <c r="H2970" s="4" t="n">
        <v>510</v>
      </c>
      <c r="I2970" s="5" t="n">
        <v>362.7</v>
      </c>
      <c r="J2970" s="5" t="n">
        <v>228.2</v>
      </c>
      <c r="K2970" s="3" t="inlineStr">
        <is>
          <t>4차선 대로접, 물류 및 자동차 관련시설 추천</t>
        </is>
      </c>
      <c r="L2970" s="6">
        <f>HYPERLINK("https://fin.land.naver.com/articles/2654787719", "매물Link")</f>
        <v/>
      </c>
      <c r="M2970" s="6">
        <f>HYPERLINK("https://map.naver.com/p/search/조치원읍 서창리 105-10", "지도Link")</f>
        <v/>
      </c>
      <c r="N2970" s="6">
        <f>HYPERLINK("http://www.eum.go.kr/web/ar/lu/luLandDet.jsp?pnu=3611025034101050010&amp;isNoScr=script&amp;mode=search", "토지이음")</f>
        <v/>
      </c>
      <c r="O2970" s="3" t="inlineStr">
        <is>
          <t>세종소담114</t>
        </is>
      </c>
      <c r="P2970" s="4" t="n">
        <v>1</v>
      </c>
      <c r="Q2970" s="4" t="n">
        <v>1685</v>
      </c>
      <c r="R2970" s="3" t="inlineStr">
        <is>
          <t>자연녹지지역</t>
        </is>
      </c>
      <c r="S2970" s="3" t="inlineStr">
        <is>
          <t>주상나지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서창리 106-4</t>
        </is>
      </c>
      <c r="B2971" s="3" t="inlineStr">
        <is>
          <t>제1종일반주거지역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60000</v>
      </c>
      <c r="G2971" s="4" t="n">
        <v>540</v>
      </c>
      <c r="H2971" s="4" t="n">
        <v>163</v>
      </c>
      <c r="I2971" s="5" t="n">
        <v>368.1</v>
      </c>
      <c r="J2971" s="5" t="n">
        <v>194.8</v>
      </c>
      <c r="K2971" s="3" t="inlineStr">
        <is>
          <t>카센타 세차장 등으로 활용하면 좋을 근생시설과 단독주택을 일괄매매합니다</t>
        </is>
      </c>
      <c r="L2971" s="6">
        <f>HYPERLINK("https://fin.land.naver.com/articles/2650939295", "매물Link")</f>
        <v/>
      </c>
      <c r="M2971" s="6">
        <f>HYPERLINK("https://map.naver.com/p/search/조치원읍 서창리 106-4", "지도Link")</f>
        <v/>
      </c>
      <c r="N2971" s="6">
        <f>HYPERLINK("http://www.eum.go.kr/web/ar/lu/luLandDet.jsp?pnu=3611025034101060004&amp;isNoScr=script&amp;mode=search", "토지이음")</f>
        <v/>
      </c>
      <c r="O2971" s="3" t="inlineStr">
        <is>
          <t>스마일세종</t>
        </is>
      </c>
      <c r="P2971" s="4" t="n">
        <v>1</v>
      </c>
      <c r="Q2971" s="4" t="n">
        <v>540.1</v>
      </c>
      <c r="R2971" s="3" t="inlineStr">
        <is>
          <t>지정되지않음</t>
        </is>
      </c>
      <c r="S2971" s="3" t="inlineStr">
        <is>
          <t>주상용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조치원읍 서창리 124-2</t>
        </is>
      </c>
      <c r="B2972" s="3" t="inlineStr">
        <is>
          <t>자연녹지지역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98700</v>
      </c>
      <c r="G2972" s="4" t="n">
        <v>1086</v>
      </c>
      <c r="H2972" s="4" t="n">
        <v>329</v>
      </c>
      <c r="I2972" s="5" t="n">
        <v>300</v>
      </c>
      <c r="J2972" s="5" t="n">
        <v>108</v>
      </c>
      <c r="K2972" s="3" t="inlineStr">
        <is>
          <t>도시지역.자연녹지지역.공공청사</t>
        </is>
      </c>
      <c r="L2972" s="6">
        <f>HYPERLINK("https://fin.land.naver.com/articles/2651200819", "매물Link")</f>
        <v/>
      </c>
      <c r="M2972" s="6">
        <f>HYPERLINK("https://map.naver.com/p/search/조치원읍 서창리 124-2", "지도Link")</f>
        <v/>
      </c>
      <c r="N2972" s="6">
        <f>HYPERLINK("http://www.eum.go.kr/web/ar/lu/luLandDet.jsp?pnu=3611025034101240002&amp;isNoScr=script&amp;mode=search", "토지이음")</f>
        <v/>
      </c>
      <c r="O2972" s="3" t="inlineStr">
        <is>
          <t>광주역포스코</t>
        </is>
      </c>
      <c r="P2972" s="4" t="n">
        <v>1</v>
      </c>
      <c r="Q2972" s="4" t="n">
        <v>1086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중로각지</t>
        </is>
      </c>
    </row>
    <row r="2973">
      <c r="A2973" s="3" t="inlineStr">
        <is>
          <t>조치원읍 서창리 138-2</t>
        </is>
      </c>
      <c r="B2973" s="3" t="inlineStr">
        <is>
          <t>제2종일반주거지역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84960</v>
      </c>
      <c r="G2973" s="4" t="n">
        <v>620</v>
      </c>
      <c r="H2973" s="4" t="n">
        <v>188</v>
      </c>
      <c r="I2973" s="5" t="n">
        <v>451.9</v>
      </c>
      <c r="J2973" s="5" t="n">
        <v>178.5</v>
      </c>
      <c r="K2973" s="3" t="inlineStr">
        <is>
          <t>세종시 조치원읍 서창리 토지 급매 고려대,세종여고옆 제2종주거620㎡급매</t>
        </is>
      </c>
      <c r="L2973" s="6">
        <f>HYPERLINK("https://fin.land.naver.com/articles/2650379617", "매물Link")</f>
        <v/>
      </c>
      <c r="M2973" s="6">
        <f>HYPERLINK("https://map.naver.com/p/search/조치원읍 서창리 138-2", "지도Link")</f>
        <v/>
      </c>
      <c r="N2973" s="6">
        <f>HYPERLINK("http://www.eum.go.kr/web/ar/lu/luLandDet.jsp?pnu=3611025034101380002&amp;isNoScr=script&amp;mode=search", "토지이음")</f>
        <v/>
      </c>
      <c r="O2973" s="3" t="inlineStr">
        <is>
          <t>세종</t>
        </is>
      </c>
      <c r="P2973" s="4" t="n">
        <v>2</v>
      </c>
      <c r="Q2973" s="4" t="n">
        <v>289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소로한면</t>
        </is>
      </c>
    </row>
    <row r="2974">
      <c r="A2974" s="3" t="inlineStr">
        <is>
          <t>조치원읍 서창리 138-2</t>
        </is>
      </c>
      <c r="B2974" s="3" t="inlineStr">
        <is>
          <t>제2종일반주거지역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85000</v>
      </c>
      <c r="G2974" s="4" t="n">
        <v>620</v>
      </c>
      <c r="H2974" s="4" t="n">
        <v>188</v>
      </c>
      <c r="I2974" s="5" t="n">
        <v>452.1</v>
      </c>
      <c r="J2974" s="5" t="n">
        <v>178.5</v>
      </c>
      <c r="K2974" s="3" t="inlineStr">
        <is>
          <t>서창리 토지 매매</t>
        </is>
      </c>
      <c r="L2974" s="6">
        <f>HYPERLINK("https://fin.land.naver.com/articles/2654528622", "매물Link")</f>
        <v/>
      </c>
      <c r="M2974" s="6">
        <f>HYPERLINK("https://map.naver.com/p/search/조치원읍 서창리 138-2", "지도Link")</f>
        <v/>
      </c>
      <c r="N2974" s="6">
        <f>HYPERLINK("http://www.eum.go.kr/web/ar/lu/luLandDet.jsp?pnu=3611025034101380002&amp;isNoScr=script&amp;mode=search", "토지이음")</f>
        <v/>
      </c>
      <c r="O2974" s="3" t="inlineStr">
        <is>
          <t>김준희</t>
        </is>
      </c>
      <c r="P2974" s="4" t="n">
        <v>1</v>
      </c>
      <c r="Q2974" s="4" t="n">
        <v>289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소로한면</t>
        </is>
      </c>
    </row>
    <row r="2975">
      <c r="A2975" s="3" t="inlineStr">
        <is>
          <t>조치원읍 서창리 138-2</t>
        </is>
      </c>
      <c r="B2975" s="3" t="inlineStr">
        <is>
          <t>제2종일반주거지역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85000</v>
      </c>
      <c r="G2975" s="4" t="n">
        <v>620</v>
      </c>
      <c r="H2975" s="4" t="n">
        <v>188</v>
      </c>
      <c r="I2975" s="5" t="n">
        <v>452.1</v>
      </c>
      <c r="J2975" s="5" t="n">
        <v>178.5</v>
      </c>
      <c r="K2975" s="3" t="inlineStr">
        <is>
          <t>서창리 2종일반주거,2차선접 코너 나대지 급매,원룸신축 추천</t>
        </is>
      </c>
      <c r="L2975" s="6">
        <f>HYPERLINK("https://fin.land.naver.com/articles/2655068847", "매물Link")</f>
        <v/>
      </c>
      <c r="M2975" s="6">
        <f>HYPERLINK("https://map.naver.com/p/search/조치원읍 서창리 138-2", "지도Link")</f>
        <v/>
      </c>
      <c r="N2975" s="6">
        <f>HYPERLINK("http://www.eum.go.kr/web/ar/lu/luLandDet.jsp?pnu=3611025034101380002&amp;isNoScr=script&amp;mode=search", "토지이음")</f>
        <v/>
      </c>
      <c r="O2975" s="3" t="inlineStr">
        <is>
          <t>광장</t>
        </is>
      </c>
      <c r="P2975" s="4" t="n">
        <v>1</v>
      </c>
      <c r="Q2975" s="4" t="n">
        <v>289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사다리형</t>
        </is>
      </c>
      <c r="V2975" s="3" t="inlineStr">
        <is>
          <t>소로한면</t>
        </is>
      </c>
    </row>
    <row r="2976">
      <c r="A2976" s="3" t="inlineStr">
        <is>
          <t>조치원읍 서창리 138-5</t>
        </is>
      </c>
      <c r="B2976" s="3" t="inlineStr">
        <is>
          <t>제2종일반주거지역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85000</v>
      </c>
      <c r="G2976" s="4" t="n">
        <v>620</v>
      </c>
      <c r="H2976" s="4" t="n">
        <v>188</v>
      </c>
      <c r="I2976" s="5" t="n">
        <v>452.1</v>
      </c>
      <c r="J2976" s="5" t="n">
        <v>178.5</v>
      </c>
      <c r="K2976" s="3" t="inlineStr">
        <is>
          <t>2차선도로 및 후면도로에도 접한 제2종일반주거지역의 근린생활시설 상가부지</t>
        </is>
      </c>
      <c r="L2976" s="6">
        <f>HYPERLINK("https://fin.land.naver.com/articles/2650732863", "매물Link")</f>
        <v/>
      </c>
      <c r="M2976" s="6">
        <f>HYPERLINK("https://map.naver.com/p/search/조치원읍 서창리 138-5", "지도Link")</f>
        <v/>
      </c>
      <c r="N2976" s="6">
        <f>HYPERLINK("http://www.eum.go.kr/web/ar/lu/luLandDet.jsp?pnu=3611025034101380005&amp;isNoScr=script&amp;mode=search", "토지이음")</f>
        <v/>
      </c>
      <c r="O2976" s="3" t="inlineStr">
        <is>
          <t>스마일세종</t>
        </is>
      </c>
      <c r="P2976" s="4" t="n">
        <v>2</v>
      </c>
      <c r="Q2976" s="4" t="n">
        <v>331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소로한면</t>
        </is>
      </c>
    </row>
    <row r="2977">
      <c r="A2977" s="3" t="inlineStr">
        <is>
          <t>조치원읍 서창리 152-2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63000</v>
      </c>
      <c r="G2977" s="4" t="n">
        <v>328</v>
      </c>
      <c r="H2977" s="4" t="n">
        <v>99</v>
      </c>
      <c r="I2977" s="5" t="n">
        <v>636.4</v>
      </c>
      <c r="J2977" s="5" t="n">
        <v>237.3</v>
      </c>
      <c r="K2977" s="3" t="inlineStr">
        <is>
          <t>급매,고려대학교 인근,도로접 도시.2종일반주거지역,다용도 건축가능</t>
        </is>
      </c>
      <c r="L2977" s="6">
        <f>HYPERLINK("https://fin.land.naver.com/articles/2655574032", "매물Link")</f>
        <v/>
      </c>
      <c r="M2977" s="6">
        <f>HYPERLINK("https://map.naver.com/p/search/조치원읍 서창리 152-2", "지도Link")</f>
        <v/>
      </c>
      <c r="N2977" s="6">
        <f>HYPERLINK("http://www.eum.go.kr/web/ar/lu/luLandDet.jsp?pnu=3611025034101520002&amp;isNoScr=script&amp;mode=search", "토지이음")</f>
        <v/>
      </c>
      <c r="O2977" s="3" t="inlineStr">
        <is>
          <t>고운맘</t>
        </is>
      </c>
      <c r="P2977" s="4" t="n">
        <v>1</v>
      </c>
      <c r="Q2977" s="4" t="n">
        <v>328</v>
      </c>
      <c r="R2977" s="3" t="inlineStr">
        <is>
          <t>지정되지않음</t>
        </is>
      </c>
      <c r="S2977" s="3" t="inlineStr">
        <is>
          <t>단독</t>
        </is>
      </c>
      <c r="T2977" s="3" t="inlineStr">
        <is>
          <t>평지</t>
        </is>
      </c>
      <c r="U2977" s="3" t="inlineStr">
        <is>
          <t>사다리형</t>
        </is>
      </c>
      <c r="V2977" s="3" t="inlineStr">
        <is>
          <t>소로한면</t>
        </is>
      </c>
    </row>
    <row r="2978">
      <c r="A2978" s="3" t="inlineStr">
        <is>
          <t>조치원읍 서창리 168-2</t>
        </is>
      </c>
      <c r="B2978" s="3" t="inlineStr">
        <is>
          <t>준주거지역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120000</v>
      </c>
      <c r="G2978" s="4" t="n">
        <v>732</v>
      </c>
      <c r="H2978" s="4" t="n">
        <v>221</v>
      </c>
      <c r="I2978" s="5" t="n">
        <v>543</v>
      </c>
      <c r="J2978" s="5" t="n">
        <v>320.9</v>
      </c>
      <c r="K2978" s="3" t="inlineStr">
        <is>
          <t>준주거지역 추천매물 고대 정문근처</t>
        </is>
      </c>
      <c r="L2978" s="6">
        <f>HYPERLINK("https://fin.land.naver.com/articles/2653992281", "매물Link")</f>
        <v/>
      </c>
      <c r="M2978" s="6">
        <f>HYPERLINK("https://map.naver.com/p/search/조치원읍 서창리 168-2", "지도Link")</f>
        <v/>
      </c>
      <c r="N2978" s="6">
        <f>HYPERLINK("http://www.eum.go.kr/web/ar/lu/luLandDet.jsp?pnu=3611025034101680002&amp;isNoScr=script&amp;mode=search", "토지이음")</f>
        <v/>
      </c>
      <c r="O2978" s="3" t="inlineStr">
        <is>
          <t>김준희</t>
        </is>
      </c>
      <c r="P2978" s="4" t="n">
        <v>1</v>
      </c>
      <c r="Q2978" s="4" t="n">
        <v>732</v>
      </c>
      <c r="R2978" s="3" t="inlineStr">
        <is>
          <t>지정되지않음</t>
        </is>
      </c>
      <c r="S2978" s="3" t="inlineStr">
        <is>
          <t>주거기타</t>
        </is>
      </c>
      <c r="T2978" s="3" t="inlineStr">
        <is>
          <t>평지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서창리 168-2</t>
        </is>
      </c>
      <c r="B2979" s="3" t="inlineStr">
        <is>
          <t>준주거지역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120000</v>
      </c>
      <c r="G2979" s="4" t="n">
        <v>732</v>
      </c>
      <c r="H2979" s="4" t="n">
        <v>221</v>
      </c>
      <c r="I2979" s="5" t="n">
        <v>543</v>
      </c>
      <c r="J2979" s="5" t="n">
        <v>320.9</v>
      </c>
      <c r="K2979" s="3" t="inlineStr">
        <is>
          <t>근생부지로 좋은 고려대학교 인근 3거리 코너 각지에 있는 준주거지역 대지</t>
        </is>
      </c>
      <c r="L2979" s="6">
        <f>HYPERLINK("https://fin.land.naver.com/articles/2652409745", "매물Link")</f>
        <v/>
      </c>
      <c r="M2979" s="6">
        <f>HYPERLINK("https://map.naver.com/p/search/조치원읍 서창리 168-2", "지도Link")</f>
        <v/>
      </c>
      <c r="N2979" s="6">
        <f>HYPERLINK("http://www.eum.go.kr/web/ar/lu/luLandDet.jsp?pnu=3611025034101680002&amp;isNoScr=script&amp;mode=search", "토지이음")</f>
        <v/>
      </c>
      <c r="O2979" s="3" t="inlineStr">
        <is>
          <t>스마일세종</t>
        </is>
      </c>
      <c r="P2979" s="4" t="n">
        <v>1</v>
      </c>
      <c r="Q2979" s="4" t="n">
        <v>732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서창리 168-31</t>
        </is>
      </c>
      <c r="B2980" s="3" t="inlineStr">
        <is>
          <t>준주거지역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30000</v>
      </c>
      <c r="G2980" s="4" t="n">
        <v>148</v>
      </c>
      <c r="H2980" s="4" t="n">
        <v>45</v>
      </c>
      <c r="I2980" s="5" t="n">
        <v>666.7</v>
      </c>
      <c r="J2980" s="5" t="n">
        <v>307.9</v>
      </c>
      <c r="K2980" s="3" t="inlineStr">
        <is>
          <t>급매, 서창리 준주거지역 토지</t>
        </is>
      </c>
      <c r="L2980" s="6">
        <f>HYPERLINK("https://fin.land.naver.com/articles/2653950500", "매물Link")</f>
        <v/>
      </c>
      <c r="M2980" s="6">
        <f>HYPERLINK("https://map.naver.com/p/search/조치원읍 서창리 168-31", "지도Link")</f>
        <v/>
      </c>
      <c r="N2980" s="6">
        <f>HYPERLINK("http://www.eum.go.kr/web/ar/lu/luLandDet.jsp?pnu=3611025034101680031&amp;isNoScr=script&amp;mode=search", "토지이음")</f>
        <v/>
      </c>
      <c r="O2980" s="3" t="inlineStr">
        <is>
          <t>KB세종</t>
        </is>
      </c>
      <c r="P2980" s="4" t="n">
        <v>1</v>
      </c>
      <c r="Q2980" s="4" t="n">
        <v>148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조치원읍 서창리 182-16</t>
        </is>
      </c>
      <c r="B2981" s="3" t="inlineStr">
        <is>
          <t>제1종일반주거지역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29000</v>
      </c>
      <c r="G2981" s="4" t="n">
        <v>446</v>
      </c>
      <c r="H2981" s="4" t="n">
        <v>135</v>
      </c>
      <c r="I2981" s="5" t="n">
        <v>214.8</v>
      </c>
      <c r="J2981" s="5" t="n">
        <v>201.7</v>
      </c>
      <c r="K2981" s="3" t="inlineStr">
        <is>
          <t>nan</t>
        </is>
      </c>
      <c r="L2981" s="6">
        <f>HYPERLINK("https://fin.land.naver.com/articles/2650246902", "매물Link")</f>
        <v/>
      </c>
      <c r="M2981" s="6">
        <f>HYPERLINK("https://map.naver.com/p/search/조치원읍 서창리 182-16", "지도Link")</f>
        <v/>
      </c>
      <c r="N2981" s="6">
        <f>HYPERLINK("http://www.eum.go.kr/web/ar/lu/luLandDet.jsp?pnu=3611025034101820016&amp;isNoScr=script&amp;mode=search", "토지이음")</f>
        <v/>
      </c>
      <c r="O2981" s="3" t="inlineStr">
        <is>
          <t>찬스</t>
        </is>
      </c>
      <c r="P2981" s="4" t="n">
        <v>1</v>
      </c>
      <c r="Q2981" s="4" t="n">
        <v>446</v>
      </c>
      <c r="R2981" s="3" t="inlineStr">
        <is>
          <t>지정되지않음</t>
        </is>
      </c>
      <c r="S2981" s="3" t="inlineStr">
        <is>
          <t>단독</t>
        </is>
      </c>
      <c r="T2981" s="3" t="inlineStr">
        <is>
          <t>완경사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조치원읍 서창리 248-18</t>
        </is>
      </c>
      <c r="B2982" s="3" t="inlineStr">
        <is>
          <t>자연녹지지역</t>
        </is>
      </c>
      <c r="C2982" s="3" t="inlineStr">
        <is>
          <t>과수원</t>
        </is>
      </c>
      <c r="D2982" s="3" t="inlineStr">
        <is>
          <t>과수원</t>
        </is>
      </c>
      <c r="E2982" s="3" t="inlineStr">
        <is>
          <t>매매</t>
        </is>
      </c>
      <c r="F2982" s="4" t="n">
        <v>58000</v>
      </c>
      <c r="G2982" s="4" t="n">
        <v>713</v>
      </c>
      <c r="H2982" s="4" t="n">
        <v>216</v>
      </c>
      <c r="I2982" s="5" t="n">
        <v>268.5</v>
      </c>
      <c r="J2982" s="5" t="n">
        <v>103.3</v>
      </c>
      <c r="K2982" s="3" t="inlineStr">
        <is>
          <t>세종여고 인근 토지매매</t>
        </is>
      </c>
      <c r="L2982" s="6">
        <f>HYPERLINK("https://fin.land.naver.com/articles/2654530627", "매물Link")</f>
        <v/>
      </c>
      <c r="M2982" s="6">
        <f>HYPERLINK("https://map.naver.com/p/search/조치원읍 서창리 248-18", "지도Link")</f>
        <v/>
      </c>
      <c r="N2982" s="6">
        <f>HYPERLINK("http://www.eum.go.kr/web/ar/lu/luLandDet.jsp?pnu=3611025034102480018&amp;isNoScr=script&amp;mode=search", "토지이음")</f>
        <v/>
      </c>
      <c r="O2982" s="3" t="inlineStr">
        <is>
          <t>김준희</t>
        </is>
      </c>
      <c r="P2982" s="4" t="n">
        <v>1</v>
      </c>
      <c r="Q2982" s="4" t="n">
        <v>377</v>
      </c>
      <c r="R2982" s="3" t="inlineStr">
        <is>
          <t>지정되지않음</t>
        </is>
      </c>
      <c r="S2982" s="3" t="inlineStr">
        <is>
          <t>과수원</t>
        </is>
      </c>
      <c r="T2982" s="3" t="inlineStr">
        <is>
          <t>완경사</t>
        </is>
      </c>
      <c r="U2982" s="3" t="inlineStr">
        <is>
          <t>부정형</t>
        </is>
      </c>
      <c r="V2982" s="3" t="inlineStr">
        <is>
          <t>소로한면</t>
        </is>
      </c>
    </row>
    <row r="2983">
      <c r="A2983" s="3" t="inlineStr">
        <is>
          <t>조치원읍 서창리 250</t>
        </is>
      </c>
      <c r="B2983" s="3" t="inlineStr">
        <is>
          <t>제2종일반주거지역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90000</v>
      </c>
      <c r="G2983" s="4" t="n">
        <v>540</v>
      </c>
      <c r="H2983" s="4" t="n">
        <v>163</v>
      </c>
      <c r="I2983" s="5" t="n">
        <v>552.1</v>
      </c>
      <c r="J2983" s="5" t="n">
        <v>184.3</v>
      </c>
      <c r="K2983" s="3" t="inlineStr">
        <is>
          <t>조치원 서창리 제2종일반주거지역 코너각지 토지매매</t>
        </is>
      </c>
      <c r="L2983" s="6">
        <f>HYPERLINK("https://fin.land.naver.com/articles/2654445705", "매물Link")</f>
        <v/>
      </c>
      <c r="M2983" s="6">
        <f>HYPERLINK("https://map.naver.com/p/search/조치원읍 서창리 250", "지도Link")</f>
        <v/>
      </c>
      <c r="N2983" s="6">
        <f>HYPERLINK("http://www.eum.go.kr/web/ar/lu/luLandDet.jsp?pnu=3611025034102500000&amp;isNoScr=script&amp;mode=search", "토지이음")</f>
        <v/>
      </c>
      <c r="O2983" s="3" t="inlineStr">
        <is>
          <t>the다올</t>
        </is>
      </c>
      <c r="P2983" s="4" t="n">
        <v>2</v>
      </c>
      <c r="Q2983" s="4" t="n">
        <v>540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완경사</t>
        </is>
      </c>
      <c r="U2983" s="3" t="inlineStr">
        <is>
          <t>사다리형</t>
        </is>
      </c>
      <c r="V2983" s="3" t="inlineStr">
        <is>
          <t>소로각지</t>
        </is>
      </c>
    </row>
    <row r="2984">
      <c r="A2984" s="3" t="inlineStr">
        <is>
          <t>조치원읍 서창리 26-3</t>
        </is>
      </c>
      <c r="B2984" s="3" t="inlineStr">
        <is>
          <t>자연녹지지역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76650</v>
      </c>
      <c r="G2984" s="4" t="n">
        <v>724</v>
      </c>
      <c r="H2984" s="4" t="n">
        <v>219</v>
      </c>
      <c r="I2984" s="5" t="n">
        <v>350</v>
      </c>
      <c r="J2984" s="5" t="n">
        <v>148.7</v>
      </c>
      <c r="K2984" s="3" t="inlineStr">
        <is>
          <t>시세보다 저렴하며,
근생 및 단독주택, 월세 90만원</t>
        </is>
      </c>
      <c r="L2984" s="6">
        <f>HYPERLINK("https://fin.land.naver.com/articles/2652026776", "매물Link")</f>
        <v/>
      </c>
      <c r="M2984" s="6">
        <f>HYPERLINK("https://map.naver.com/p/search/조치원읍 서창리 26-3", "지도Link")</f>
        <v/>
      </c>
      <c r="N2984" s="6">
        <f>HYPERLINK("http://www.eum.go.kr/web/ar/lu/luLandDet.jsp?pnu=3611025034100260003&amp;isNoScr=script&amp;mode=search", "토지이음")</f>
        <v/>
      </c>
      <c r="O2984" s="3" t="inlineStr">
        <is>
          <t>세종땅전문</t>
        </is>
      </c>
      <c r="P2984" s="4" t="n">
        <v>1</v>
      </c>
      <c r="Q2984" s="4" t="n">
        <v>724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서창리 291-8</t>
        </is>
      </c>
      <c r="B2985" s="3" t="inlineStr">
        <is>
          <t>제2종일반주거지역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55000</v>
      </c>
      <c r="G2985" s="4" t="n">
        <v>299</v>
      </c>
      <c r="H2985" s="4" t="n">
        <v>90</v>
      </c>
      <c r="I2985" s="5" t="n">
        <v>611.1</v>
      </c>
      <c r="J2985" s="5" t="n">
        <v>348.4</v>
      </c>
      <c r="K2985" s="3" t="inlineStr">
        <is>
          <t>서창리 다가구주택이나 상가를 지을수 있는 제2종일반주거지역의 대지입니다</t>
        </is>
      </c>
      <c r="L2985" s="6">
        <f>HYPERLINK("https://fin.land.naver.com/articles/2653589519", "매물Link")</f>
        <v/>
      </c>
      <c r="M2985" s="6">
        <f>HYPERLINK("https://map.naver.com/p/search/조치원읍 서창리 291-8", "지도Link")</f>
        <v/>
      </c>
      <c r="N2985" s="6">
        <f>HYPERLINK("http://www.eum.go.kr/web/ar/lu/luLandDet.jsp?pnu=3611025034102910008&amp;isNoScr=script&amp;mode=search", "토지이음")</f>
        <v/>
      </c>
      <c r="O2985" s="3" t="inlineStr">
        <is>
          <t>스마일세종</t>
        </is>
      </c>
      <c r="P2985" s="4" t="n">
        <v>1</v>
      </c>
      <c r="Q2985" s="4" t="n">
        <v>299</v>
      </c>
      <c r="R2985" s="3" t="inlineStr">
        <is>
          <t>지정되지않음</t>
        </is>
      </c>
      <c r="S2985" s="3" t="inlineStr">
        <is>
          <t>주상기타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소로각지</t>
        </is>
      </c>
    </row>
    <row r="2986">
      <c r="A2986" s="3" t="inlineStr">
        <is>
          <t>조치원읍 서창리 293-4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24638</v>
      </c>
      <c r="G2986" s="4" t="n">
        <v>181</v>
      </c>
      <c r="H2986" s="4" t="n">
        <v>55</v>
      </c>
      <c r="I2986" s="5" t="n">
        <v>448</v>
      </c>
      <c r="J2986" s="5" t="n">
        <v>289.3</v>
      </c>
      <c r="K2986" s="3" t="inlineStr">
        <is>
          <t>nan</t>
        </is>
      </c>
      <c r="L2986" s="6">
        <f>HYPERLINK("https://fin.land.naver.com/articles/2652217321", "매물Link")</f>
        <v/>
      </c>
      <c r="M2986" s="6">
        <f>HYPERLINK("https://map.naver.com/p/search/조치원읍 서창리 293-4", "지도Link")</f>
        <v/>
      </c>
      <c r="N2986" s="6">
        <f>HYPERLINK("http://www.eum.go.kr/web/ar/lu/luLandDet.jsp?pnu=3611025034102930004&amp;isNoScr=script&amp;mode=search", "토지이음")</f>
        <v/>
      </c>
      <c r="O2986" s="3" t="inlineStr">
        <is>
          <t>한일</t>
        </is>
      </c>
      <c r="P2986" s="4" t="n">
        <v>1</v>
      </c>
      <c r="Q2986" s="4" t="n">
        <v>181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세로한면(가)</t>
        </is>
      </c>
    </row>
    <row r="2987">
      <c r="A2987" s="3" t="inlineStr">
        <is>
          <t>조치원읍 서창리 306</t>
        </is>
      </c>
      <c r="B2987" s="3" t="inlineStr">
        <is>
          <t>준주거지역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221000</v>
      </c>
      <c r="G2987" s="4" t="n">
        <v>731</v>
      </c>
      <c r="H2987" s="4" t="n">
        <v>221</v>
      </c>
      <c r="I2987" s="5" t="n">
        <v>1000</v>
      </c>
      <c r="J2987" s="5" t="n">
        <v>274.4</v>
      </c>
      <c r="K2987" s="3" t="inlineStr">
        <is>
          <t>조치원서북부지구 가치상승. 투자가치 우수.</t>
        </is>
      </c>
      <c r="L2987" s="6">
        <f>HYPERLINK("https://fin.land.naver.com/articles/2652222097", "매물Link")</f>
        <v/>
      </c>
      <c r="M2987" s="6">
        <f>HYPERLINK("https://map.naver.com/p/search/조치원읍 서창리 306", "지도Link")</f>
        <v/>
      </c>
      <c r="N2987" s="6">
        <f>HYPERLINK("http://www.eum.go.kr/web/ar/lu/luLandDet.jsp?pnu=3611025034103060000&amp;isNoScr=script&amp;mode=search", "토지이음")</f>
        <v/>
      </c>
      <c r="O2987" s="3" t="inlineStr">
        <is>
          <t>진행</t>
        </is>
      </c>
      <c r="P2987" s="4" t="n">
        <v>1</v>
      </c>
      <c r="Q2987" s="4" t="n">
        <v>731</v>
      </c>
      <c r="R2987" s="3" t="inlineStr">
        <is>
          <t>지정되지않음</t>
        </is>
      </c>
      <c r="S2987" s="3" t="inlineStr">
        <is>
          <t>상업나지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중로각지</t>
        </is>
      </c>
    </row>
    <row r="2988">
      <c r="A2988" s="3" t="inlineStr">
        <is>
          <t>조치원읍 서창리 54-1</t>
        </is>
      </c>
      <c r="B2988" s="3" t="inlineStr">
        <is>
          <t>자연녹지지역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165000</v>
      </c>
      <c r="G2988" s="4" t="n">
        <v>915</v>
      </c>
      <c r="H2988" s="4" t="n">
        <v>277</v>
      </c>
      <c r="I2988" s="5" t="n">
        <v>595.7</v>
      </c>
      <c r="J2988" s="5" t="n">
        <v>113.6</v>
      </c>
      <c r="K2988" s="3" t="inlineStr">
        <is>
          <t>nan</t>
        </is>
      </c>
      <c r="L2988" s="6">
        <f>HYPERLINK("https://fin.land.naver.com/articles/2651060447", "매물Link")</f>
        <v/>
      </c>
      <c r="M2988" s="6">
        <f>HYPERLINK("https://map.naver.com/p/search/조치원읍 서창리 54-1", "지도Link")</f>
        <v/>
      </c>
      <c r="N2988" s="6">
        <f>HYPERLINK("http://www.eum.go.kr/web/ar/lu/luLandDet.jsp?pnu=3611025034100540001&amp;isNoScr=script&amp;mode=search", "토지이음")</f>
        <v/>
      </c>
      <c r="O2988" s="3" t="inlineStr">
        <is>
          <t>세종문화길</t>
        </is>
      </c>
      <c r="P2988" s="4" t="n">
        <v>1</v>
      </c>
      <c r="Q2988" s="4" t="n">
        <v>915</v>
      </c>
      <c r="R2988" s="3" t="inlineStr">
        <is>
          <t>지정되지않음</t>
        </is>
      </c>
      <c r="S2988" s="3" t="inlineStr">
        <is>
          <t>답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광대로한면</t>
        </is>
      </c>
    </row>
    <row r="2989">
      <c r="A2989" s="3" t="inlineStr">
        <is>
          <t>조치원읍 서창리 93-20</t>
        </is>
      </c>
      <c r="B2989" s="3" t="inlineStr">
        <is>
          <t>자연녹지지역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150000</v>
      </c>
      <c r="G2989" s="4" t="n">
        <v>2921</v>
      </c>
      <c r="H2989" s="4" t="n">
        <v>884</v>
      </c>
      <c r="I2989" s="5" t="n">
        <v>169.7</v>
      </c>
      <c r="J2989" s="5" t="n">
        <v>59.7</v>
      </c>
      <c r="K2989" s="3" t="inlineStr">
        <is>
          <t>토지급매 조치원역 인근 대규모 부지 정비소, 세차장, 요양원 추천</t>
        </is>
      </c>
      <c r="L2989" s="6">
        <f>HYPERLINK("https://fin.land.naver.com/articles/2652108627", "매물Link")</f>
        <v/>
      </c>
      <c r="M2989" s="6">
        <f>HYPERLINK("https://map.naver.com/p/search/조치원읍 서창리 93-20", "지도Link")</f>
        <v/>
      </c>
      <c r="N2989" s="6">
        <f>HYPERLINK("http://www.eum.go.kr/web/ar/lu/luLandDet.jsp?pnu=3611025034100930020&amp;isNoScr=script&amp;mode=search", "토지이음")</f>
        <v/>
      </c>
      <c r="O2989" s="3" t="inlineStr">
        <is>
          <t>다모아</t>
        </is>
      </c>
      <c r="P2989" s="4" t="n">
        <v>1</v>
      </c>
      <c r="Q2989" s="4" t="n">
        <v>2575</v>
      </c>
      <c r="R2989" s="3" t="inlineStr">
        <is>
          <t>지정되지않음</t>
        </is>
      </c>
      <c r="S2989" s="3" t="inlineStr">
        <is>
          <t>답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조치원읍 서창리 93-20</t>
        </is>
      </c>
      <c r="B2990" s="3" t="inlineStr">
        <is>
          <t>자연녹지지역</t>
        </is>
      </c>
      <c r="C2990" s="3" t="inlineStr">
        <is>
          <t>답</t>
        </is>
      </c>
      <c r="D2990" s="3" t="inlineStr">
        <is>
          <t>답</t>
        </is>
      </c>
      <c r="E2990" s="3" t="inlineStr">
        <is>
          <t>매매</t>
        </is>
      </c>
      <c r="F2990" s="4" t="n">
        <v>150000</v>
      </c>
      <c r="G2990" s="4" t="n">
        <v>2920</v>
      </c>
      <c r="H2990" s="4" t="n">
        <v>883</v>
      </c>
      <c r="I2990" s="5" t="n">
        <v>169.9</v>
      </c>
      <c r="J2990" s="5" t="n">
        <v>59.7</v>
      </c>
      <c r="K2990" s="3" t="inlineStr">
        <is>
          <t>nan</t>
        </is>
      </c>
      <c r="L2990" s="6">
        <f>HYPERLINK("https://fin.land.naver.com/articles/2650423179", "매물Link")</f>
        <v/>
      </c>
      <c r="M2990" s="6">
        <f>HYPERLINK("https://map.naver.com/p/search/조치원읍 서창리 93-20", "지도Link")</f>
        <v/>
      </c>
      <c r="N2990" s="6">
        <f>HYPERLINK("http://www.eum.go.kr/web/ar/lu/luLandDet.jsp?pnu=3611025034100930020&amp;isNoScr=script&amp;mode=search", "토지이음")</f>
        <v/>
      </c>
      <c r="O2990" s="3" t="inlineStr">
        <is>
          <t>현대</t>
        </is>
      </c>
      <c r="P2990" s="4" t="n">
        <v>1</v>
      </c>
      <c r="Q2990" s="4" t="n">
        <v>2575</v>
      </c>
      <c r="R2990" s="3" t="inlineStr">
        <is>
          <t>지정되지않음</t>
        </is>
      </c>
      <c r="S2990" s="3" t="inlineStr">
        <is>
          <t>답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맹지</t>
        </is>
      </c>
    </row>
    <row r="2991">
      <c r="A2991" s="3" t="inlineStr">
        <is>
          <t>조치원읍 서창리 93-20</t>
        </is>
      </c>
      <c r="B2991" s="3" t="inlineStr">
        <is>
          <t>자연녹지지역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150000</v>
      </c>
      <c r="G2991" s="4" t="n">
        <v>2921</v>
      </c>
      <c r="H2991" s="4" t="n">
        <v>884</v>
      </c>
      <c r="I2991" s="5" t="n">
        <v>169.7</v>
      </c>
      <c r="J2991" s="5" t="n">
        <v>59.7</v>
      </c>
      <c r="K2991" s="3" t="inlineStr">
        <is>
          <t>조치원 생활권 평탄 대형부지 소형창고 차량보관시설 검토</t>
        </is>
      </c>
      <c r="L2991" s="6">
        <f>HYPERLINK("https://fin.land.naver.com/articles/2650423353", "매물Link")</f>
        <v/>
      </c>
      <c r="M2991" s="6">
        <f>HYPERLINK("https://map.naver.com/p/search/조치원읍 서창리 93-20", "지도Link")</f>
        <v/>
      </c>
      <c r="N2991" s="6">
        <f>HYPERLINK("http://www.eum.go.kr/web/ar/lu/luLandDet.jsp?pnu=3611025034100930020&amp;isNoScr=script&amp;mode=search", "토지이음")</f>
        <v/>
      </c>
      <c r="O2991" s="3" t="inlineStr">
        <is>
          <t>세종소담황금</t>
        </is>
      </c>
      <c r="P2991" s="4" t="n">
        <v>1</v>
      </c>
      <c r="Q2991" s="4" t="n">
        <v>2575</v>
      </c>
      <c r="R2991" s="3" t="inlineStr">
        <is>
          <t>지정되지않음</t>
        </is>
      </c>
      <c r="S2991" s="3" t="inlineStr">
        <is>
          <t>답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맹지</t>
        </is>
      </c>
    </row>
    <row r="2992">
      <c r="A2992" s="3" t="inlineStr">
        <is>
          <t>조치원읍 서창리 93-20</t>
        </is>
      </c>
      <c r="B2992" s="3" t="inlineStr">
        <is>
          <t>자연녹지지역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180000</v>
      </c>
      <c r="G2992" s="4" t="n">
        <v>2921</v>
      </c>
      <c r="H2992" s="4" t="n">
        <v>884</v>
      </c>
      <c r="I2992" s="5" t="n">
        <v>203.6</v>
      </c>
      <c r="J2992" s="5" t="n">
        <v>59.7</v>
      </c>
      <c r="K2992" s="3" t="inlineStr">
        <is>
          <t>3필지 일괄매매</t>
        </is>
      </c>
      <c r="L2992" s="6">
        <f>HYPERLINK("https://fin.land.naver.com/articles/2652420151", "매물Link")</f>
        <v/>
      </c>
      <c r="M2992" s="6">
        <f>HYPERLINK("https://map.naver.com/p/search/조치원읍 서창리 93-20", "지도Link")</f>
        <v/>
      </c>
      <c r="N2992" s="6">
        <f>HYPERLINK("http://www.eum.go.kr/web/ar/lu/luLandDet.jsp?pnu=3611025034100930020&amp;isNoScr=script&amp;mode=search", "토지이음")</f>
        <v/>
      </c>
      <c r="O2992" s="3" t="inlineStr">
        <is>
          <t>오송좋은날</t>
        </is>
      </c>
      <c r="P2992" s="4" t="n">
        <v>1</v>
      </c>
      <c r="Q2992" s="4" t="n">
        <v>2575</v>
      </c>
      <c r="R2992" s="3" t="inlineStr">
        <is>
          <t>지정되지않음</t>
        </is>
      </c>
      <c r="S2992" s="3" t="inlineStr">
        <is>
          <t>답</t>
        </is>
      </c>
      <c r="T2992" s="3" t="inlineStr">
        <is>
          <t>평지</t>
        </is>
      </c>
      <c r="U2992" s="3" t="inlineStr">
        <is>
          <t>부정형</t>
        </is>
      </c>
      <c r="V2992" s="3" t="inlineStr">
        <is>
          <t>맹지</t>
        </is>
      </c>
    </row>
    <row r="2993">
      <c r="A2993" s="3" t="inlineStr">
        <is>
          <t>조치원읍 서창리 93-20</t>
        </is>
      </c>
      <c r="B2993" s="3" t="inlineStr">
        <is>
          <t>자연녹지지역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2921</v>
      </c>
      <c r="H2993" s="4" t="n">
        <v>884</v>
      </c>
      <c r="I2993" s="5" t="n">
        <v>169.7</v>
      </c>
      <c r="J2993" s="5" t="n">
        <v>59.7</v>
      </c>
      <c r="K2993" s="3" t="inlineStr">
        <is>
          <t>서창리 자연녹지 883P,창고 고물상 차량정비소등 추천,조율</t>
        </is>
      </c>
      <c r="L2993" s="6">
        <f>HYPERLINK("https://fin.land.naver.com/articles/2654115439", "매물Link")</f>
        <v/>
      </c>
      <c r="M2993" s="6">
        <f>HYPERLINK("https://map.naver.com/p/search/조치원읍 서창리 93-20", "지도Link")</f>
        <v/>
      </c>
      <c r="N2993" s="6">
        <f>HYPERLINK("http://www.eum.go.kr/web/ar/lu/luLandDet.jsp?pnu=3611025034100930020&amp;isNoScr=script&amp;mode=search", "토지이음")</f>
        <v/>
      </c>
      <c r="O2993" s="3" t="inlineStr">
        <is>
          <t>광장</t>
        </is>
      </c>
      <c r="P2993" s="4" t="n">
        <v>2</v>
      </c>
      <c r="Q2993" s="4" t="n">
        <v>2575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조치원읍 서창리 95-3</t>
        </is>
      </c>
      <c r="B2994" s="3" t="inlineStr">
        <is>
          <t>자연녹지지역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120000</v>
      </c>
      <c r="G2994" s="4" t="n">
        <v>1293</v>
      </c>
      <c r="H2994" s="4" t="n">
        <v>391</v>
      </c>
      <c r="I2994" s="5" t="n">
        <v>306.9</v>
      </c>
      <c r="J2994" s="5" t="n">
        <v>157.6</v>
      </c>
      <c r="K2994" s="3" t="inlineStr">
        <is>
          <t>서창리 토지 매매 자연녹지</t>
        </is>
      </c>
      <c r="L2994" s="6">
        <f>HYPERLINK("https://fin.land.naver.com/articles/2653992204", "매물Link")</f>
        <v/>
      </c>
      <c r="M2994" s="6">
        <f>HYPERLINK("https://map.naver.com/p/search/조치원읍 서창리 95-3", "지도Link")</f>
        <v/>
      </c>
      <c r="N2994" s="6">
        <f>HYPERLINK("http://www.eum.go.kr/web/ar/lu/luLandDet.jsp?pnu=3611025034100950003&amp;isNoScr=script&amp;mode=search", "토지이음")</f>
        <v/>
      </c>
      <c r="O2994" s="3" t="inlineStr">
        <is>
          <t>김준희</t>
        </is>
      </c>
      <c r="P2994" s="4" t="n">
        <v>1</v>
      </c>
      <c r="Q2994" s="4" t="n">
        <v>255</v>
      </c>
      <c r="R2994" s="3" t="inlineStr">
        <is>
          <t>제1종일반주거지역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중로한면</t>
        </is>
      </c>
    </row>
    <row r="2995">
      <c r="A2995" s="3" t="inlineStr">
        <is>
          <t>조치원읍 신안리 171-7</t>
        </is>
      </c>
      <c r="B2995" s="3" t="inlineStr">
        <is>
          <t>자연녹지지역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57000</v>
      </c>
      <c r="G2995" s="4" t="n">
        <v>1046</v>
      </c>
      <c r="H2995" s="4" t="n">
        <v>316</v>
      </c>
      <c r="I2995" s="5" t="n">
        <v>180.4</v>
      </c>
      <c r="J2995" s="5" t="n">
        <v>108.5</v>
      </c>
      <c r="K2995" s="3" t="inlineStr">
        <is>
          <t>세종 조치원읍 성장관리계획구역 토지 매매</t>
        </is>
      </c>
      <c r="L2995" s="6">
        <f>HYPERLINK("https://fin.land.naver.com/articles/2650361043", "매물Link")</f>
        <v/>
      </c>
      <c r="M2995" s="6">
        <f>HYPERLINK("https://map.naver.com/p/search/조치원읍 신안리 171-7", "지도Link")</f>
        <v/>
      </c>
      <c r="N2995" s="6">
        <f>HYPERLINK("http://www.eum.go.kr/web/ar/lu/luLandDet.jsp?pnu=3611025032101710007&amp;isNoScr=script&amp;mode=search", "토지이음")</f>
        <v/>
      </c>
      <c r="O2995" s="3" t="inlineStr">
        <is>
          <t>세종몽땅</t>
        </is>
      </c>
      <c r="P2995" s="4" t="n">
        <v>1</v>
      </c>
      <c r="Q2995" s="4" t="n">
        <v>1046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세로한면(가)</t>
        </is>
      </c>
    </row>
    <row r="2996">
      <c r="A2996" s="3" t="inlineStr">
        <is>
          <t>조치원읍 신안리 193-2</t>
        </is>
      </c>
      <c r="B2996" s="3" t="inlineStr">
        <is>
          <t>자연녹지지역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46000</v>
      </c>
      <c r="G2996" s="4" t="n">
        <v>529</v>
      </c>
      <c r="H2996" s="4" t="n">
        <v>160</v>
      </c>
      <c r="I2996" s="5" t="n">
        <v>287.5</v>
      </c>
      <c r="J2996" s="5" t="n">
        <v>147.6</v>
      </c>
      <c r="K2996" s="3" t="inlineStr">
        <is>
          <t>급매,국도1호선 서창역 인근 알토란 나대지,월룸.단독주택.투자용추천</t>
        </is>
      </c>
      <c r="L2996" s="6">
        <f>HYPERLINK("https://fin.land.naver.com/articles/2651742010", "매물Link")</f>
        <v/>
      </c>
      <c r="M2996" s="6">
        <f>HYPERLINK("https://map.naver.com/p/search/조치원읍 신안리 193-2", "지도Link")</f>
        <v/>
      </c>
      <c r="N2996" s="6">
        <f>HYPERLINK("http://www.eum.go.kr/web/ar/lu/luLandDet.jsp?pnu=3611025032101930002&amp;isNoScr=script&amp;mode=search", "토지이음")</f>
        <v/>
      </c>
      <c r="O2996" s="3" t="inlineStr">
        <is>
          <t>고운맘</t>
        </is>
      </c>
      <c r="P2996" s="4" t="n">
        <v>1</v>
      </c>
      <c r="Q2996" s="4" t="n">
        <v>397</v>
      </c>
      <c r="R2996" s="3" t="inlineStr">
        <is>
          <t>지정되지않음</t>
        </is>
      </c>
      <c r="S2996" s="3" t="inlineStr">
        <is>
          <t>단독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세로한면(불)</t>
        </is>
      </c>
    </row>
    <row r="2997">
      <c r="A2997" s="3" t="inlineStr">
        <is>
          <t>조치원읍 신안리 243-10</t>
        </is>
      </c>
      <c r="B2997" s="3" t="inlineStr">
        <is>
          <t>자연녹지지역</t>
        </is>
      </c>
      <c r="C2997" s="3" t="inlineStr">
        <is>
          <t>과수원</t>
        </is>
      </c>
      <c r="D2997" s="3" t="inlineStr">
        <is>
          <t>과수원</t>
        </is>
      </c>
      <c r="E2997" s="3" t="inlineStr">
        <is>
          <t>매매</t>
        </is>
      </c>
      <c r="F2997" s="4" t="n">
        <v>98000</v>
      </c>
      <c r="G2997" s="4" t="n">
        <v>1620</v>
      </c>
      <c r="H2997" s="4" t="n">
        <v>490</v>
      </c>
      <c r="I2997" s="5" t="n">
        <v>200</v>
      </c>
      <c r="J2997" s="5" t="n">
        <v>76.5</v>
      </c>
      <c r="K2997" s="3" t="inlineStr">
        <is>
          <t>서창역세권 개발예정지, 홍익대학교 인접, 철도보호지구</t>
        </is>
      </c>
      <c r="L2997" s="6">
        <f>HYPERLINK("https://fin.land.naver.com/articles/2652107211", "매물Link")</f>
        <v/>
      </c>
      <c r="M2997" s="6">
        <f>HYPERLINK("https://map.naver.com/p/search/조치원읍 신안리 243-10", "지도Link")</f>
        <v/>
      </c>
      <c r="N2997" s="6">
        <f>HYPERLINK("http://www.eum.go.kr/web/ar/lu/luLandDet.jsp?pnu=3611025032102430010&amp;isNoScr=script&amp;mode=search", "토지이음")</f>
        <v/>
      </c>
      <c r="O2997" s="3" t="inlineStr">
        <is>
          <t>미스터홈즈강남지사</t>
        </is>
      </c>
      <c r="P2997" s="4" t="n">
        <v>1</v>
      </c>
      <c r="Q2997" s="4" t="n">
        <v>1620</v>
      </c>
      <c r="R2997" s="3" t="inlineStr">
        <is>
          <t>지정되지않음</t>
        </is>
      </c>
      <c r="S2997" s="3" t="inlineStr">
        <is>
          <t>과수원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조치원읍 신안리 341-17</t>
        </is>
      </c>
      <c r="B2998" s="3" t="inlineStr">
        <is>
          <t>제2종일반주거지역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65000</v>
      </c>
      <c r="G2998" s="4" t="n">
        <v>433</v>
      </c>
      <c r="H2998" s="4" t="n">
        <v>131</v>
      </c>
      <c r="I2998" s="5" t="n">
        <v>496.2</v>
      </c>
      <c r="J2998" s="5" t="n">
        <v>233.8</v>
      </c>
      <c r="K2998" s="3" t="inlineStr">
        <is>
          <t>홍익대 근접 거리, 원룸 지으실 분 추천요.</t>
        </is>
      </c>
      <c r="L2998" s="6">
        <f>HYPERLINK("https://fin.land.naver.com/articles/2650467431", "매물Link")</f>
        <v/>
      </c>
      <c r="M2998" s="6">
        <f>HYPERLINK("https://map.naver.com/p/search/조치원읍 신안리 341-17", "지도Link")</f>
        <v/>
      </c>
      <c r="N2998" s="6">
        <f>HYPERLINK("http://www.eum.go.kr/web/ar/lu/luLandDet.jsp?pnu=3611025032103410017&amp;isNoScr=script&amp;mode=search",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337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정방형</t>
        </is>
      </c>
      <c r="V2998" s="3" t="inlineStr">
        <is>
          <t>세로한면(가)</t>
        </is>
      </c>
    </row>
    <row r="2999">
      <c r="A2999" s="3" t="inlineStr">
        <is>
          <t>조치원읍 신안리 35-17</t>
        </is>
      </c>
      <c r="B2999" s="3" t="inlineStr">
        <is>
          <t>제2종일반주거지역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285000</v>
      </c>
      <c r="G2999" s="4" t="n">
        <v>1653</v>
      </c>
      <c r="H2999" s="4" t="n">
        <v>500</v>
      </c>
      <c r="I2999" s="5" t="n">
        <v>570</v>
      </c>
      <c r="J2999" s="5" t="n">
        <v>430.4</v>
      </c>
      <c r="K2999" s="3" t="inlineStr">
        <is>
          <t>도시지역 대로접, 2종일반주거지역,넓은 면적 위치좋은 토지</t>
        </is>
      </c>
      <c r="L2999" s="6">
        <f>HYPERLINK("https://fin.land.naver.com/articles/2653435544", "매물Link")</f>
        <v/>
      </c>
      <c r="M2999" s="6">
        <f>HYPERLINK("https://map.naver.com/p/search/조치원읍 신안리 35-17", "지도Link")</f>
        <v/>
      </c>
      <c r="N2999" s="6">
        <f>HYPERLINK("http://www.eum.go.kr/web/ar/lu/luLandDet.jsp?pnu=3611025032100350017&amp;isNoScr=script&amp;mode=search", "토지이음")</f>
        <v/>
      </c>
      <c r="O2999" s="3" t="inlineStr">
        <is>
          <t>고운맘</t>
        </is>
      </c>
      <c r="P2999" s="4" t="n">
        <v>1</v>
      </c>
      <c r="Q2999" s="4" t="n">
        <v>1653</v>
      </c>
      <c r="R2999" s="3" t="inlineStr">
        <is>
          <t>지정되지않음</t>
        </is>
      </c>
      <c r="S2999" s="3" t="inlineStr">
        <is>
          <t>상업나지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광대로한면</t>
        </is>
      </c>
    </row>
    <row r="3000">
      <c r="A3000" s="3" t="inlineStr">
        <is>
          <t>조치원읍 신안리 383-1</t>
        </is>
      </c>
      <c r="B3000" s="3" t="inlineStr">
        <is>
          <t>제2종일반주거지역</t>
        </is>
      </c>
      <c r="C3000" s="3" t="inlineStr">
        <is>
          <t>답</t>
        </is>
      </c>
      <c r="D3000" s="3" t="inlineStr">
        <is>
          <t>대</t>
        </is>
      </c>
      <c r="E3000" s="3" t="inlineStr">
        <is>
          <t>매매</t>
        </is>
      </c>
      <c r="F3000" s="4" t="n">
        <v>30000</v>
      </c>
      <c r="G3000" s="4" t="n">
        <v>264</v>
      </c>
      <c r="H3000" s="4" t="n">
        <v>80</v>
      </c>
      <c r="I3000" s="5" t="n">
        <v>375</v>
      </c>
      <c r="J3000" s="5" t="n">
        <v>200.1</v>
      </c>
      <c r="K3000" s="3" t="inlineStr">
        <is>
          <t>2차선도로접,대학교 주변 상권좋음</t>
        </is>
      </c>
      <c r="L3000" s="6">
        <f>HYPERLINK("https://fin.land.naver.com/articles/2651577930", "매물Link")</f>
        <v/>
      </c>
      <c r="M3000" s="6">
        <f>HYPERLINK("https://map.naver.com/p/search/조치원읍 신안리 383-1", "지도Link")</f>
        <v/>
      </c>
      <c r="N3000" s="6">
        <f>HYPERLINK("http://www.eum.go.kr/web/ar/lu/luLandDet.jsp?pnu=3611025032103830001&amp;isNoScr=script&amp;mode=search", "토지이음")</f>
        <v/>
      </c>
      <c r="O3000" s="3" t="inlineStr">
        <is>
          <t>세종연동탑</t>
        </is>
      </c>
      <c r="P3000" s="4" t="n">
        <v>2</v>
      </c>
      <c r="Q3000" s="4" t="n">
        <v>265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세로한면(가)</t>
        </is>
      </c>
    </row>
    <row r="3001">
      <c r="A3001" s="3" t="inlineStr">
        <is>
          <t>조치원읍 신안리 390</t>
        </is>
      </c>
      <c r="B3001" s="3" t="inlineStr">
        <is>
          <t>제2종일반주거지역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120000</v>
      </c>
      <c r="G3001" s="4" t="n">
        <v>525</v>
      </c>
      <c r="H3001" s="4" t="n">
        <v>159</v>
      </c>
      <c r="I3001" s="5" t="n">
        <v>754.7</v>
      </c>
      <c r="J3001" s="5" t="n">
        <v>418.5</v>
      </c>
      <c r="K3001" s="3" t="inlineStr">
        <is>
          <t>대지가격으로 매매합니다.12억평750만원</t>
        </is>
      </c>
      <c r="L3001" s="6">
        <f>HYPERLINK("https://fin.land.naver.com/articles/2650957174", "매물Link")</f>
        <v/>
      </c>
      <c r="M3001" s="6">
        <f>HYPERLINK("https://map.naver.com/p/search/조치원읍 신안리 390", "지도Link")</f>
        <v/>
      </c>
      <c r="N3001" s="6">
        <f>HYPERLINK("http://www.eum.go.kr/web/ar/lu/luLandDet.jsp?pnu=3611025032103900000&amp;isNoScr=script&amp;mode=search", "토지이음")</f>
        <v/>
      </c>
      <c r="O3001" s="3" t="inlineStr">
        <is>
          <t>고잔역</t>
        </is>
      </c>
      <c r="P3001" s="4" t="n">
        <v>1</v>
      </c>
      <c r="Q3001" s="4" t="n">
        <v>515</v>
      </c>
      <c r="R3001" s="3" t="inlineStr">
        <is>
          <t>지정되지않음</t>
        </is>
      </c>
      <c r="S3001" s="3" t="inlineStr">
        <is>
          <t>상업용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중로각지</t>
        </is>
      </c>
    </row>
    <row r="3002">
      <c r="A3002" s="3" t="inlineStr">
        <is>
          <t>조치원읍 신안리 436-1</t>
        </is>
      </c>
      <c r="B3002" s="3" t="inlineStr">
        <is>
          <t>자연녹지지역</t>
        </is>
      </c>
      <c r="C3002" s="3" t="inlineStr">
        <is>
          <t>답</t>
        </is>
      </c>
      <c r="D3002" s="3" t="inlineStr">
        <is>
          <t>답</t>
        </is>
      </c>
      <c r="E3002" s="3" t="inlineStr">
        <is>
          <t>매매</t>
        </is>
      </c>
      <c r="F3002" s="4" t="n">
        <v>45000</v>
      </c>
      <c r="G3002" s="4" t="n">
        <v>661</v>
      </c>
      <c r="H3002" s="4" t="n">
        <v>200</v>
      </c>
      <c r="I3002" s="5" t="n">
        <v>225</v>
      </c>
      <c r="J3002" s="5" t="n">
        <v>64.59999999999999</v>
      </c>
      <c r="K3002" s="3" t="inlineStr">
        <is>
          <t>대단지아파트인근, 신안지구개발예정지 인근, 전원주택지 등 다용도 가능</t>
        </is>
      </c>
      <c r="L3002" s="6">
        <f>HYPERLINK("https://fin.land.naver.com/articles/2650311385", "매물Link")</f>
        <v/>
      </c>
      <c r="M3002" s="6">
        <f>HYPERLINK("https://map.naver.com/p/search/조치원읍 신안리 436-1", "지도Link")</f>
        <v/>
      </c>
      <c r="N3002" s="6">
        <f>HYPERLINK("http://www.eum.go.kr/web/ar/lu/luLandDet.jsp?pnu=3611025032104360001&amp;isNoScr=script&amp;mode=search", "토지이음")</f>
        <v/>
      </c>
      <c r="O3002" s="3" t="inlineStr">
        <is>
          <t>세종공감</t>
        </is>
      </c>
      <c r="P3002" s="4" t="n">
        <v>2</v>
      </c>
      <c r="Q3002" s="4" t="n">
        <v>661</v>
      </c>
      <c r="R3002" s="3" t="inlineStr">
        <is>
          <t>지정되지않음</t>
        </is>
      </c>
      <c r="S3002" s="3" t="inlineStr">
        <is>
          <t>전</t>
        </is>
      </c>
      <c r="T3002" s="3" t="inlineStr">
        <is>
          <t>완경사</t>
        </is>
      </c>
      <c r="U3002" s="3" t="inlineStr">
        <is>
          <t>부정형</t>
        </is>
      </c>
      <c r="V3002" s="3" t="inlineStr">
        <is>
          <t>세로한면(가)</t>
        </is>
      </c>
    </row>
    <row r="3003">
      <c r="A3003" s="3" t="inlineStr">
        <is>
          <t>조치원읍 신안리 436-3</t>
        </is>
      </c>
      <c r="B3003" s="3" t="inlineStr">
        <is>
          <t>자연녹지지역</t>
        </is>
      </c>
      <c r="C3003" s="3" t="inlineStr">
        <is>
          <t>전</t>
        </is>
      </c>
      <c r="D3003" s="3" t="inlineStr">
        <is>
          <t>답</t>
        </is>
      </c>
      <c r="E3003" s="3" t="inlineStr">
        <is>
          <t>매매</t>
        </is>
      </c>
      <c r="F3003" s="4" t="n">
        <v>46000</v>
      </c>
      <c r="G3003" s="4" t="n">
        <v>662</v>
      </c>
      <c r="H3003" s="4" t="n">
        <v>200</v>
      </c>
      <c r="I3003" s="5" t="n">
        <v>230</v>
      </c>
      <c r="J3003" s="5" t="n">
        <v>67.8</v>
      </c>
      <c r="K3003" s="3" t="inlineStr">
        <is>
          <t>조치원읍 신안리 자연녹지 토지, 네모반듯, 신안지구 개발지, 단독주택</t>
        </is>
      </c>
      <c r="L3003" s="6">
        <f>HYPERLINK("https://fin.land.naver.com/articles/2654029198", "매물Link")</f>
        <v/>
      </c>
      <c r="M3003" s="6">
        <f>HYPERLINK("https://map.naver.com/p/search/조치원읍 신안리 436-3", "지도Link")</f>
        <v/>
      </c>
      <c r="N3003" s="6">
        <f>HYPERLINK("http://www.eum.go.kr/web/ar/lu/luLandDet.jsp?pnu=3611025032104360003&amp;isNoScr=script&amp;mode=search", "토지이음")</f>
        <v/>
      </c>
      <c r="O3003" s="3" t="inlineStr">
        <is>
          <t>스카이</t>
        </is>
      </c>
      <c r="P3003" s="4" t="n">
        <v>1</v>
      </c>
      <c r="Q3003" s="4" t="n">
        <v>662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사다리형</t>
        </is>
      </c>
      <c r="V3003" s="3" t="inlineStr">
        <is>
          <t>세로한면(가)</t>
        </is>
      </c>
    </row>
    <row r="3004">
      <c r="A3004" s="3" t="inlineStr">
        <is>
          <t>조치원읍 신안리 436-3</t>
        </is>
      </c>
      <c r="B3004" s="3" t="inlineStr">
        <is>
          <t>자연녹지지역</t>
        </is>
      </c>
      <c r="C3004" s="3" t="inlineStr">
        <is>
          <t>전</t>
        </is>
      </c>
      <c r="D3004" s="3" t="inlineStr">
        <is>
          <t>답</t>
        </is>
      </c>
      <c r="E3004" s="3" t="inlineStr">
        <is>
          <t>매매</t>
        </is>
      </c>
      <c r="F3004" s="4" t="n">
        <v>45000</v>
      </c>
      <c r="G3004" s="4" t="n">
        <v>662</v>
      </c>
      <c r="H3004" s="4" t="n">
        <v>200</v>
      </c>
      <c r="I3004" s="5" t="n">
        <v>225</v>
      </c>
      <c r="J3004" s="5" t="n">
        <v>67.8</v>
      </c>
      <c r="K3004" s="3" t="inlineStr">
        <is>
          <t>이편한세상아파트초근접,신안지구공동주택예정지인근</t>
        </is>
      </c>
      <c r="L3004" s="6">
        <f>HYPERLINK("https://fin.land.naver.com/articles/2651520680", "매물Link")</f>
        <v/>
      </c>
      <c r="M3004" s="6">
        <f>HYPERLINK("https://map.naver.com/p/search/조치원읍 신안리 436-3", "지도Link")</f>
        <v/>
      </c>
      <c r="N3004" s="6">
        <f>HYPERLINK("http://www.eum.go.kr/web/ar/lu/luLandDet.jsp?pnu=3611025032104360003&amp;isNoScr=script&amp;mode=search", "토지이음")</f>
        <v/>
      </c>
      <c r="O3004" s="3" t="inlineStr">
        <is>
          <t>담뜰</t>
        </is>
      </c>
      <c r="P3004" s="4" t="n">
        <v>1</v>
      </c>
      <c r="Q3004" s="4" t="n">
        <v>662</v>
      </c>
      <c r="R3004" s="3" t="inlineStr">
        <is>
          <t>지정되지않음</t>
        </is>
      </c>
      <c r="S3004" s="3" t="inlineStr">
        <is>
          <t>전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세로한면(가)</t>
        </is>
      </c>
    </row>
    <row r="3005">
      <c r="A3005" s="3" t="inlineStr">
        <is>
          <t>조치원읍 신안리 436-4</t>
        </is>
      </c>
      <c r="B3005" s="3" t="inlineStr">
        <is>
          <t>자연녹지지역</t>
        </is>
      </c>
      <c r="C3005" s="3" t="inlineStr">
        <is>
          <t>전</t>
        </is>
      </c>
      <c r="D3005" s="3" t="inlineStr">
        <is>
          <t>답</t>
        </is>
      </c>
      <c r="E3005" s="3" t="inlineStr">
        <is>
          <t>매매</t>
        </is>
      </c>
      <c r="F3005" s="4" t="n">
        <v>120000</v>
      </c>
      <c r="G3005" s="4" t="n">
        <v>1256</v>
      </c>
      <c r="H3005" s="4" t="n">
        <v>380</v>
      </c>
      <c r="I3005" s="5" t="n">
        <v>315.8</v>
      </c>
      <c r="J3005" s="5" t="n">
        <v>72.2</v>
      </c>
      <c r="K3005" s="3" t="inlineStr">
        <is>
          <t>신안리 이편한세상 아파트 초인접, 3면 포장도로 접한 음식점,커피숍</t>
        </is>
      </c>
      <c r="L3005" s="6">
        <f>HYPERLINK("https://fin.land.naver.com/articles/2650955165", "매물Link")</f>
        <v/>
      </c>
      <c r="M3005" s="6">
        <f>HYPERLINK("https://map.naver.com/p/search/조치원읍 신안리 436-4", "지도Link")</f>
        <v/>
      </c>
      <c r="N3005" s="6">
        <f>HYPERLINK("http://www.eum.go.kr/web/ar/lu/luLandDet.jsp?pnu=3611025032104360004&amp;isNoScr=script&amp;mode=search", "토지이음")</f>
        <v/>
      </c>
      <c r="O3005" s="3" t="inlineStr">
        <is>
          <t>세종나라</t>
        </is>
      </c>
      <c r="P3005" s="4" t="n">
        <v>1</v>
      </c>
      <c r="Q3005" s="4" t="n">
        <v>932</v>
      </c>
      <c r="R3005" s="3" t="inlineStr">
        <is>
          <t>지정되지않음</t>
        </is>
      </c>
      <c r="S3005" s="3" t="inlineStr">
        <is>
          <t>전</t>
        </is>
      </c>
      <c r="T3005" s="3" t="inlineStr">
        <is>
          <t>완경사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조치원읍 신안리 436-4</t>
        </is>
      </c>
      <c r="B3006" s="3" t="inlineStr">
        <is>
          <t>자연녹지지역</t>
        </is>
      </c>
      <c r="C3006" s="3" t="inlineStr">
        <is>
          <t>전</t>
        </is>
      </c>
      <c r="D3006" s="3" t="inlineStr">
        <is>
          <t>답</t>
        </is>
      </c>
      <c r="E3006" s="3" t="inlineStr">
        <is>
          <t>매매</t>
        </is>
      </c>
      <c r="F3006" s="4" t="n">
        <v>120000</v>
      </c>
      <c r="G3006" s="4" t="n">
        <v>1256</v>
      </c>
      <c r="H3006" s="4" t="n">
        <v>380</v>
      </c>
      <c r="I3006" s="5" t="n">
        <v>315.8</v>
      </c>
      <c r="J3006" s="5" t="n">
        <v>72.2</v>
      </c>
      <c r="K3006" s="3" t="inlineStr">
        <is>
          <t>신안리 자연녹지 토지, 3면도로 접, 아파트개발지 옆, 근생시설 등</t>
        </is>
      </c>
      <c r="L3006" s="6">
        <f>HYPERLINK("https://fin.land.naver.com/articles/2654029011", "매물Link")</f>
        <v/>
      </c>
      <c r="M3006" s="6">
        <f>HYPERLINK("https://map.naver.com/p/search/조치원읍 신안리 436-4", "지도Link")</f>
        <v/>
      </c>
      <c r="N3006" s="6">
        <f>HYPERLINK("http://www.eum.go.kr/web/ar/lu/luLandDet.jsp?pnu=3611025032104360004&amp;isNoScr=script&amp;mode=search", "토지이음")</f>
        <v/>
      </c>
      <c r="O3006" s="3" t="inlineStr">
        <is>
          <t>스카이</t>
        </is>
      </c>
      <c r="P3006" s="4" t="n">
        <v>1</v>
      </c>
      <c r="Q3006" s="4" t="n">
        <v>932</v>
      </c>
      <c r="R3006" s="3" t="inlineStr">
        <is>
          <t>지정되지않음</t>
        </is>
      </c>
      <c r="S3006" s="3" t="inlineStr">
        <is>
          <t>전</t>
        </is>
      </c>
      <c r="T3006" s="3" t="inlineStr">
        <is>
          <t>완경사</t>
        </is>
      </c>
      <c r="U3006" s="3" t="inlineStr">
        <is>
          <t>사다리형</t>
        </is>
      </c>
      <c r="V3006" s="3" t="inlineStr">
        <is>
          <t>소로한면</t>
        </is>
      </c>
    </row>
    <row r="3007">
      <c r="A3007" s="3" t="inlineStr">
        <is>
          <t>조치원읍 신안리 445-4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150000</v>
      </c>
      <c r="G3007" s="4" t="n">
        <v>635</v>
      </c>
      <c r="H3007" s="4" t="n">
        <v>192</v>
      </c>
      <c r="I3007" s="5" t="n">
        <v>781.2</v>
      </c>
      <c r="J3007" s="5" t="n">
        <v>336.2</v>
      </c>
      <c r="K3007" s="3" t="inlineStr">
        <is>
          <t>입지가 최상인 토지입니다.</t>
        </is>
      </c>
      <c r="L3007" s="6">
        <f>HYPERLINK("https://fin.land.naver.com/articles/2655662987", "매물Link")</f>
        <v/>
      </c>
      <c r="M3007" s="6">
        <f>HYPERLINK("https://map.naver.com/p/search/조치원읍 신안리 445-4", "지도Link")</f>
        <v/>
      </c>
      <c r="N3007" s="6">
        <f>HYPERLINK("http://www.eum.go.kr/web/ar/lu/luLandDet.jsp?pnu=3611025032104450004&amp;isNoScr=script&amp;mode=search", "토지이음")</f>
        <v/>
      </c>
      <c r="O3007" s="3" t="inlineStr">
        <is>
          <t>부자터</t>
        </is>
      </c>
      <c r="P3007" s="4" t="n">
        <v>1</v>
      </c>
      <c r="Q3007" s="4" t="n">
        <v>635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조치원읍 신안리 산13</t>
        </is>
      </c>
      <c r="B3008" s="3" t="inlineStr">
        <is>
          <t>자연녹지지역</t>
        </is>
      </c>
      <c r="C3008" s="3" t="inlineStr">
        <is>
          <t>임야</t>
        </is>
      </c>
      <c r="D3008" s="3" t="inlineStr">
        <is>
          <t>임야</t>
        </is>
      </c>
      <c r="E3008" s="3" t="inlineStr">
        <is>
          <t>매매</t>
        </is>
      </c>
      <c r="F3008" s="4" t="n">
        <v>300000</v>
      </c>
      <c r="G3008" s="4" t="n">
        <v>10909</v>
      </c>
      <c r="H3008" s="4" t="n">
        <v>3300</v>
      </c>
      <c r="I3008" s="5" t="n">
        <v>90.90000000000001</v>
      </c>
      <c r="J3008" s="5" t="n">
        <v>18.7</v>
      </c>
      <c r="K3008" s="3" t="inlineStr">
        <is>
          <t>제2종일반주거지역 성장관리계획구역</t>
        </is>
      </c>
      <c r="L3008" s="6">
        <f>HYPERLINK("https://fin.land.naver.com/articles/2652865397", "매물Link")</f>
        <v/>
      </c>
      <c r="M3008" s="6">
        <f>HYPERLINK("https://map.naver.com/p/search/조치원읍 신안리 산13", "지도Link")</f>
        <v/>
      </c>
      <c r="N3008" s="6">
        <f>HYPERLINK("http://www.eum.go.kr/web/ar/lu/luLandDet.jsp?pnu=3611025032200130000&amp;isNoScr=script&amp;mode=search", "토지이음")</f>
        <v/>
      </c>
      <c r="O3008" s="3" t="inlineStr">
        <is>
          <t>건국</t>
        </is>
      </c>
      <c r="P3008" s="4" t="n">
        <v>1</v>
      </c>
      <c r="Q3008" s="4" t="n">
        <v>10909</v>
      </c>
      <c r="R3008" s="3" t="inlineStr">
        <is>
          <t>제2종일반주거지역</t>
        </is>
      </c>
      <c r="S3008" s="3" t="inlineStr">
        <is>
          <t>자연림</t>
        </is>
      </c>
      <c r="T3008" s="3" t="inlineStr">
        <is>
          <t>급경사</t>
        </is>
      </c>
      <c r="U3008" s="3" t="inlineStr">
        <is>
          <t>부정형</t>
        </is>
      </c>
      <c r="V3008" s="3" t="inlineStr">
        <is>
          <t>맹지</t>
        </is>
      </c>
    </row>
    <row r="3009">
      <c r="A3009" s="3" t="inlineStr">
        <is>
          <t>조치원읍 신안리 산8-37</t>
        </is>
      </c>
      <c r="B3009" s="3" t="inlineStr">
        <is>
          <t>자연녹지지역</t>
        </is>
      </c>
      <c r="C3009" s="3" t="inlineStr">
        <is>
          <t>임야</t>
        </is>
      </c>
      <c r="D3009" s="3" t="inlineStr">
        <is>
          <t>임야</t>
        </is>
      </c>
      <c r="E3009" s="3" t="inlineStr">
        <is>
          <t>매매</t>
        </is>
      </c>
      <c r="F3009" s="4" t="n">
        <v>150000</v>
      </c>
      <c r="G3009" s="4" t="n">
        <v>10118</v>
      </c>
      <c r="H3009" s="4" t="n">
        <v>3061</v>
      </c>
      <c r="I3009" s="5" t="n">
        <v>49</v>
      </c>
      <c r="J3009" s="5" t="n">
        <v>9.199999999999999</v>
      </c>
      <c r="K3009" s="3" t="inlineStr">
        <is>
          <t>총5필지,세종 홍대근접,도로접</t>
        </is>
      </c>
      <c r="L3009" s="6">
        <f>HYPERLINK("https://fin.land.naver.com/articles/2651521476", "매물Link")</f>
        <v/>
      </c>
      <c r="M3009" s="6">
        <f>HYPERLINK("https://map.naver.com/p/search/조치원읍 신안리 산8-37", "지도Link")</f>
        <v/>
      </c>
      <c r="N3009" s="6">
        <f>HYPERLINK("http://www.eum.go.kr/web/ar/lu/luLandDet.jsp?pnu=3611025032200080037&amp;isNoScr=script&amp;mode=search", "토지이음")</f>
        <v/>
      </c>
      <c r="O3009" s="3" t="inlineStr">
        <is>
          <t>담뜰</t>
        </is>
      </c>
      <c r="P3009" s="4" t="n">
        <v>1</v>
      </c>
      <c r="Q3009" s="4" t="n">
        <v>1652</v>
      </c>
      <c r="R3009" s="3" t="inlineStr">
        <is>
          <t>보전녹지지역</t>
        </is>
      </c>
      <c r="S3009" s="3" t="inlineStr">
        <is>
          <t>자연림</t>
        </is>
      </c>
      <c r="T3009" s="3" t="inlineStr">
        <is>
          <t>급경사</t>
        </is>
      </c>
      <c r="U3009" s="3" t="inlineStr">
        <is>
          <t>사다리형</t>
        </is>
      </c>
      <c r="V3009" s="3" t="inlineStr">
        <is>
          <t>맹지</t>
        </is>
      </c>
    </row>
    <row r="3010">
      <c r="A3010" s="3" t="inlineStr">
        <is>
          <t>조치원읍 신흥리 1-5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77000</v>
      </c>
      <c r="G3010" s="4" t="n">
        <v>513</v>
      </c>
      <c r="H3010" s="4" t="n">
        <v>155</v>
      </c>
      <c r="I3010" s="5" t="n">
        <v>496.8</v>
      </c>
      <c r="J3010" s="5" t="n">
        <v>188.2</v>
      </c>
      <c r="K3010" s="3" t="inlineStr">
        <is>
          <t>신흥리 코너 넓은 나대지 활용가치좋음,금액협의</t>
        </is>
      </c>
      <c r="L3010" s="6">
        <f>HYPERLINK("https://fin.land.naver.com/articles/2651981278", "매물Link")</f>
        <v/>
      </c>
      <c r="M3010" s="6">
        <f>HYPERLINK("https://map.naver.com/p/search/조치원읍 신흥리 1-5", "지도Link")</f>
        <v/>
      </c>
      <c r="N3010" s="6">
        <f>HYPERLINK("http://www.eum.go.kr/web/ar/lu/luLandDet.jsp?pnu=3611025029100010005&amp;isNoScr=script&amp;mode=search", "토지이음")</f>
        <v/>
      </c>
      <c r="O3010" s="3" t="inlineStr">
        <is>
          <t>다옴</t>
        </is>
      </c>
      <c r="P3010" s="4" t="n">
        <v>1</v>
      </c>
      <c r="Q3010" s="4" t="n">
        <v>513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소로각지</t>
        </is>
      </c>
    </row>
    <row r="3011">
      <c r="A3011" s="3" t="inlineStr">
        <is>
          <t>조치원읍 신흥리 100-2</t>
        </is>
      </c>
      <c r="B3011" s="3" t="inlineStr">
        <is>
          <t>제2종일반주거지역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17000</v>
      </c>
      <c r="G3011" s="4" t="n">
        <v>188</v>
      </c>
      <c r="H3011" s="4" t="n">
        <v>57</v>
      </c>
      <c r="I3011" s="5" t="n">
        <v>298.2</v>
      </c>
      <c r="J3011" s="5" t="n">
        <v>196.8</v>
      </c>
      <c r="K3011" s="3" t="inlineStr">
        <is>
          <t>신흥리 2종일반주거지역 급매. 맹지이나 진입로 있음</t>
        </is>
      </c>
      <c r="L3011" s="6">
        <f>HYPERLINK("https://fin.land.naver.com/articles/2652663257", "매물Link")</f>
        <v/>
      </c>
      <c r="M3011" s="6">
        <f>HYPERLINK("https://map.naver.com/p/search/조치원읍 신흥리 100-2", "지도Link")</f>
        <v/>
      </c>
      <c r="N3011" s="6">
        <f>HYPERLINK("http://www.eum.go.kr/web/ar/lu/luLandDet.jsp?pnu=3611025029101000002&amp;isNoScr=script&amp;mode=search", "토지이음")</f>
        <v/>
      </c>
      <c r="O3011" s="3" t="inlineStr">
        <is>
          <t>세종대장</t>
        </is>
      </c>
      <c r="P3011" s="4" t="n">
        <v>1</v>
      </c>
      <c r="Q3011" s="4" t="n">
        <v>188</v>
      </c>
      <c r="R3011" s="3" t="inlineStr">
        <is>
          <t>지정되지않음</t>
        </is>
      </c>
      <c r="S3011" s="3" t="inlineStr">
        <is>
          <t>단독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세로한면(불)</t>
        </is>
      </c>
    </row>
    <row r="3012">
      <c r="A3012" s="3" t="inlineStr">
        <is>
          <t>조치원읍 신흥리 198-1</t>
        </is>
      </c>
      <c r="B3012" s="3" t="inlineStr">
        <is>
          <t>제2종일반주거지역</t>
        </is>
      </c>
      <c r="C3012" s="3" t="inlineStr">
        <is>
          <t>잡종지</t>
        </is>
      </c>
      <c r="D3012" s="3" t="inlineStr">
        <is>
          <t>잡종지</t>
        </is>
      </c>
      <c r="E3012" s="3" t="inlineStr">
        <is>
          <t>매매</t>
        </is>
      </c>
      <c r="F3012" s="4" t="n">
        <v>390000</v>
      </c>
      <c r="G3012" s="4" t="n">
        <v>1797</v>
      </c>
      <c r="H3012" s="4" t="n">
        <v>544</v>
      </c>
      <c r="I3012" s="5" t="n">
        <v>716.9</v>
      </c>
      <c r="J3012" s="5" t="n">
        <v>435.4</v>
      </c>
      <c r="K3012" s="3" t="inlineStr">
        <is>
          <t>신흥 아파트단지 중심지역 대도로변 코너각지</t>
        </is>
      </c>
      <c r="L3012" s="6">
        <f>HYPERLINK("https://fin.land.naver.com/articles/2654528051", "매물Link")</f>
        <v/>
      </c>
      <c r="M3012" s="6">
        <f>HYPERLINK("https://map.naver.com/p/search/조치원읍 신흥리 198-1", "지도Link")</f>
        <v/>
      </c>
      <c r="N3012" s="6">
        <f>HYPERLINK("http://www.eum.go.kr/web/ar/lu/luLandDet.jsp?pnu=3611025029101980001&amp;isNoScr=script&amp;mode=search", "토지이음")</f>
        <v/>
      </c>
      <c r="O3012" s="3" t="inlineStr">
        <is>
          <t>뉴신세계</t>
        </is>
      </c>
      <c r="P3012" s="4" t="n">
        <v>2</v>
      </c>
      <c r="Q3012" s="4" t="n">
        <v>1797</v>
      </c>
      <c r="R3012" s="3" t="inlineStr">
        <is>
          <t>지정되지않음</t>
        </is>
      </c>
      <c r="S3012" s="3" t="inlineStr">
        <is>
          <t>상업용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중로각지</t>
        </is>
      </c>
    </row>
    <row r="3013">
      <c r="A3013" s="3" t="inlineStr">
        <is>
          <t>조치원읍 신흥리 288-1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31000</v>
      </c>
      <c r="G3013" s="4" t="n">
        <v>245</v>
      </c>
      <c r="H3013" s="4" t="n">
        <v>74</v>
      </c>
      <c r="I3013" s="5" t="n">
        <v>418.9</v>
      </c>
      <c r="J3013" s="5" t="n">
        <v>246.6</v>
      </c>
      <c r="K3013" s="3" t="inlineStr">
        <is>
          <t>추천. 조치원 신흥사거리 대지</t>
        </is>
      </c>
      <c r="L3013" s="6">
        <f>HYPERLINK("https://fin.land.naver.com/articles/2654805366", "매물Link")</f>
        <v/>
      </c>
      <c r="M3013" s="6">
        <f>HYPERLINK("https://map.naver.com/p/search/조치원읍 신흥리 288-1", "지도Link")</f>
        <v/>
      </c>
      <c r="N3013" s="6">
        <f>HYPERLINK("http://www.eum.go.kr/web/ar/lu/luLandDet.jsp?pnu=3611025029102880001&amp;isNoScr=script&amp;mode=search", "토지이음")</f>
        <v/>
      </c>
      <c r="O3013" s="3" t="inlineStr">
        <is>
          <t>강아지풀</t>
        </is>
      </c>
      <c r="P3013" s="4" t="n">
        <v>1</v>
      </c>
      <c r="Q3013" s="4" t="n">
        <v>245</v>
      </c>
      <c r="R3013" s="3" t="inlineStr">
        <is>
          <t>지정되지않음</t>
        </is>
      </c>
      <c r="S3013" s="3" t="inlineStr">
        <is>
          <t>단독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조치원읍 신흥리 288-1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31000</v>
      </c>
      <c r="G3014" s="4" t="n">
        <v>245</v>
      </c>
      <c r="H3014" s="4" t="n">
        <v>74</v>
      </c>
      <c r="I3014" s="5" t="n">
        <v>418.9</v>
      </c>
      <c r="J3014" s="5" t="n">
        <v>246.6</v>
      </c>
      <c r="K3014" s="3" t="inlineStr">
        <is>
          <t>투자가치가 높은 세종시 조치원읍 신흥리 토지</t>
        </is>
      </c>
      <c r="L3014" s="6">
        <f>HYPERLINK("https://fin.land.naver.com/articles/2654358579", "매물Link")</f>
        <v/>
      </c>
      <c r="M3014" s="6">
        <f>HYPERLINK("https://map.naver.com/p/search/조치원읍 신흥리 288-1", "지도Link")</f>
        <v/>
      </c>
      <c r="N3014" s="6">
        <f>HYPERLINK("http://www.eum.go.kr/web/ar/lu/luLandDet.jsp?pnu=3611025029102880001&amp;isNoScr=script&amp;mode=search", "토지이음")</f>
        <v/>
      </c>
      <c r="O3014" s="3" t="inlineStr">
        <is>
          <t>비전</t>
        </is>
      </c>
      <c r="P3014" s="4" t="n">
        <v>1</v>
      </c>
      <c r="Q3014" s="4" t="n">
        <v>245</v>
      </c>
      <c r="R3014" s="3" t="inlineStr">
        <is>
          <t>지정되지않음</t>
        </is>
      </c>
      <c r="S3014" s="3" t="inlineStr">
        <is>
          <t>단독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조치원읍 신흥리 288-2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45000</v>
      </c>
      <c r="G3015" s="4" t="n">
        <v>299</v>
      </c>
      <c r="H3015" s="4" t="n">
        <v>90</v>
      </c>
      <c r="I3015" s="5" t="n">
        <v>500</v>
      </c>
      <c r="J3015" s="5" t="n">
        <v>244.2</v>
      </c>
      <c r="K3015" s="3" t="inlineStr">
        <is>
          <t>투자가치가 높은 세종시 조치원읍 신흥리 토지</t>
        </is>
      </c>
      <c r="L3015" s="6">
        <f>HYPERLINK("https://fin.land.naver.com/articles/2654230232", "매물Link")</f>
        <v/>
      </c>
      <c r="M3015" s="6">
        <f>HYPERLINK("https://map.naver.com/p/search/조치원읍 신흥리 288-2", "지도Link")</f>
        <v/>
      </c>
      <c r="N3015" s="6">
        <f>HYPERLINK("http://www.eum.go.kr/web/ar/lu/luLandDet.jsp?pnu=3611025029102880002&amp;isNoScr=script&amp;mode=search", "토지이음")</f>
        <v/>
      </c>
      <c r="O3015" s="3" t="inlineStr">
        <is>
          <t>비전</t>
        </is>
      </c>
      <c r="P3015" s="4" t="n">
        <v>1</v>
      </c>
      <c r="Q3015" s="4" t="n">
        <v>299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조치원읍 신흥리 304-1</t>
        </is>
      </c>
      <c r="B3016" s="3" t="inlineStr">
        <is>
          <t>제1종일반주거지역</t>
        </is>
      </c>
      <c r="C3016" s="3" t="inlineStr">
        <is>
          <t>전</t>
        </is>
      </c>
      <c r="D3016" s="3" t="inlineStr">
        <is>
          <t>전</t>
        </is>
      </c>
      <c r="E3016" s="3" t="inlineStr">
        <is>
          <t>매매</t>
        </is>
      </c>
      <c r="F3016" s="4" t="n">
        <v>205000</v>
      </c>
      <c r="G3016" s="4" t="n">
        <v>1679</v>
      </c>
      <c r="H3016" s="4" t="n">
        <v>508</v>
      </c>
      <c r="I3016" s="5" t="n">
        <v>403.5</v>
      </c>
      <c r="J3016" s="5" t="n">
        <v>147.3</v>
      </c>
      <c r="K3016" s="3" t="inlineStr">
        <is>
          <t>이쁜 모양의 토지 분할매수도 가능</t>
        </is>
      </c>
      <c r="L3016" s="6">
        <f>HYPERLINK("https://fin.land.naver.com/articles/2651577271", "매물Link")</f>
        <v/>
      </c>
      <c r="M3016" s="6">
        <f>HYPERLINK("https://map.naver.com/p/search/조치원읍 신흥리 304-1", "지도Link")</f>
        <v/>
      </c>
      <c r="N3016" s="6">
        <f>HYPERLINK("http://www.eum.go.kr/web/ar/lu/luLandDet.jsp?pnu=3611025029103040001&amp;isNoScr=script&amp;mode=search", "토지이음")</f>
        <v/>
      </c>
      <c r="O3016" s="3" t="inlineStr">
        <is>
          <t>여기로</t>
        </is>
      </c>
      <c r="P3016" s="4" t="n">
        <v>1</v>
      </c>
      <c r="Q3016" s="4" t="n">
        <v>1667</v>
      </c>
      <c r="R3016" s="3" t="inlineStr">
        <is>
          <t>지정되지않음</t>
        </is>
      </c>
      <c r="S3016" s="3" t="inlineStr">
        <is>
          <t>과수원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신흥리 49-19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33000</v>
      </c>
      <c r="G3017" s="4" t="n">
        <v>239</v>
      </c>
      <c r="H3017" s="4" t="n">
        <v>72</v>
      </c>
      <c r="I3017" s="5" t="n">
        <v>458.3</v>
      </c>
      <c r="J3017" s="5" t="n">
        <v>161.8</v>
      </c>
      <c r="K3017" s="3" t="inlineStr">
        <is>
          <t>급,조치원역 뒤,신축,투자,보유 좋은 저렴토지</t>
        </is>
      </c>
      <c r="L3017" s="6">
        <f>HYPERLINK("https://fin.land.naver.com/articles/2651980448", "매물Link")</f>
        <v/>
      </c>
      <c r="M3017" s="6">
        <f>HYPERLINK("https://map.naver.com/p/search/조치원읍 신흥리 49-19", "지도Link")</f>
        <v/>
      </c>
      <c r="N3017" s="6">
        <f>HYPERLINK("http://www.eum.go.kr/web/ar/lu/luLandDet.jsp?pnu=3611025029100490019&amp;isNoScr=script&amp;mode=search", "토지이음")</f>
        <v/>
      </c>
      <c r="O3017" s="3" t="inlineStr">
        <is>
          <t>다옴</t>
        </is>
      </c>
      <c r="P3017" s="4" t="n">
        <v>1</v>
      </c>
      <c r="Q3017" s="4" t="n">
        <v>130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자루형</t>
        </is>
      </c>
      <c r="V3017" s="3" t="inlineStr">
        <is>
          <t>세로한면(가)</t>
        </is>
      </c>
    </row>
    <row r="3018">
      <c r="A3018" s="3" t="inlineStr">
        <is>
          <t>조치원읍 신흥리 55-2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22000</v>
      </c>
      <c r="G3018" s="4" t="n">
        <v>121</v>
      </c>
      <c r="H3018" s="4" t="n">
        <v>37</v>
      </c>
      <c r="I3018" s="5" t="n">
        <v>594.6</v>
      </c>
      <c r="J3018" s="5" t="n">
        <v>187.2</v>
      </c>
      <c r="K3018" s="3" t="inlineStr">
        <is>
          <t>보건소옆 코너각지 토지매매</t>
        </is>
      </c>
      <c r="L3018" s="6">
        <f>HYPERLINK("https://fin.land.naver.com/articles/2653068635", "매물Link")</f>
        <v/>
      </c>
      <c r="M3018" s="6">
        <f>HYPERLINK("https://map.naver.com/p/search/조치원읍 신흥리 55-2", "지도Link")</f>
        <v/>
      </c>
      <c r="N3018" s="6">
        <f>HYPERLINK("http://www.eum.go.kr/web/ar/lu/luLandDet.jsp?pnu=3611025029100550002&amp;isNoScr=script&amp;mode=search", "토지이음")</f>
        <v/>
      </c>
      <c r="O3018" s="3" t="inlineStr">
        <is>
          <t>세종땅사랑</t>
        </is>
      </c>
      <c r="P3018" s="4" t="n">
        <v>1</v>
      </c>
      <c r="Q3018" s="4" t="n">
        <v>121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사다리형</t>
        </is>
      </c>
      <c r="V3018" s="3" t="inlineStr">
        <is>
          <t>소로각지</t>
        </is>
      </c>
    </row>
    <row r="3019">
      <c r="A3019" s="3" t="inlineStr">
        <is>
          <t>조치원읍 신흥리 62-8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63900</v>
      </c>
      <c r="G3019" s="4" t="n">
        <v>469</v>
      </c>
      <c r="H3019" s="4" t="n">
        <v>142</v>
      </c>
      <c r="I3019" s="5" t="n">
        <v>450</v>
      </c>
      <c r="J3019" s="5" t="n">
        <v>302.4</v>
      </c>
      <c r="K3019" s="3" t="inlineStr">
        <is>
          <t>신흥리 2차선 접한 토지 사옥및주택추천</t>
        </is>
      </c>
      <c r="L3019" s="6">
        <f>HYPERLINK("https://fin.land.naver.com/articles/2651708291", "매물Link")</f>
        <v/>
      </c>
      <c r="M3019" s="6">
        <f>HYPERLINK("https://map.naver.com/p/search/조치원읍 신흥리 62-8", "지도Link")</f>
        <v/>
      </c>
      <c r="N3019" s="6">
        <f>HYPERLINK("http://www.eum.go.kr/web/ar/lu/luLandDet.jsp?pnu=3611025029100620008&amp;isNoScr=script&amp;mode=search", "토지이음")</f>
        <v/>
      </c>
      <c r="O3019" s="3" t="inlineStr">
        <is>
          <t>OK수</t>
        </is>
      </c>
      <c r="P3019" s="4" t="n">
        <v>1</v>
      </c>
      <c r="Q3019" s="4" t="n">
        <v>400</v>
      </c>
      <c r="R3019" s="3" t="inlineStr">
        <is>
          <t>지정되지않음</t>
        </is>
      </c>
      <c r="S3019" s="3" t="inlineStr">
        <is>
          <t>공업용</t>
        </is>
      </c>
      <c r="T3019" s="3" t="inlineStr">
        <is>
          <t>평지</t>
        </is>
      </c>
      <c r="U3019" s="3" t="inlineStr">
        <is>
          <t>자루형</t>
        </is>
      </c>
      <c r="V3019" s="3" t="inlineStr">
        <is>
          <t>소로한면</t>
        </is>
      </c>
    </row>
    <row r="3020">
      <c r="A3020" s="3" t="inlineStr">
        <is>
          <t>조치원읍 신흥리 63-42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260000</v>
      </c>
      <c r="G3020" s="4" t="n">
        <v>787</v>
      </c>
      <c r="H3020" s="4" t="n">
        <v>238</v>
      </c>
      <c r="I3020" s="5" t="n">
        <v>1092.4</v>
      </c>
      <c r="J3020" s="5" t="n">
        <v>400.7</v>
      </c>
      <c r="K3020" s="3" t="inlineStr">
        <is>
          <t>세종시보건소 옆 4차로 도로 코너 토지로 2필지 일괄 매매.</t>
        </is>
      </c>
      <c r="L3020" s="6">
        <f>HYPERLINK("https://fin.land.naver.com/articles/2655717033", "매물Link")</f>
        <v/>
      </c>
      <c r="M3020" s="6">
        <f>HYPERLINK("https://map.naver.com/p/search/조치원읍 신흥리 63-42", "지도Link")</f>
        <v/>
      </c>
      <c r="N3020" s="6">
        <f>HYPERLINK("http://www.eum.go.kr/web/ar/lu/luLandDet.jsp?pnu=3611025029100630042&amp;isNoScr=script&amp;mode=search", "토지이음")</f>
        <v/>
      </c>
      <c r="O3020" s="3" t="inlineStr">
        <is>
          <t>세종대장</t>
        </is>
      </c>
      <c r="P3020" s="4" t="n">
        <v>1</v>
      </c>
      <c r="Q3020" s="4" t="n">
        <v>395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광대소각</t>
        </is>
      </c>
    </row>
    <row r="3021">
      <c r="A3021" s="3" t="inlineStr">
        <is>
          <t>조치원읍 원리 8-9</t>
        </is>
      </c>
      <c r="B3021" s="3" t="inlineStr">
        <is>
          <t>일반상업지역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260000</v>
      </c>
      <c r="G3021" s="4" t="n">
        <v>546</v>
      </c>
      <c r="H3021" s="4" t="n">
        <v>165</v>
      </c>
      <c r="I3021" s="5" t="n">
        <v>1575.8</v>
      </c>
      <c r="J3021" s="5" t="n">
        <v>1082.3</v>
      </c>
      <c r="K3021" s="3" t="inlineStr">
        <is>
          <t>nan</t>
        </is>
      </c>
      <c r="L3021" s="6">
        <f>HYPERLINK("https://fin.land.naver.com/articles/2651529141", "매물Link")</f>
        <v/>
      </c>
      <c r="M3021" s="6">
        <f>HYPERLINK("https://map.naver.com/p/search/조치원읍 원리 8-9", "지도Link")</f>
        <v/>
      </c>
      <c r="N3021" s="6">
        <f>HYPERLINK("http://www.eum.go.kr/web/ar/lu/luLandDet.jsp?pnu=3611025021100080009&amp;isNoScr=script&amp;mode=search", "토지이음")</f>
        <v/>
      </c>
      <c r="O3021" s="3" t="inlineStr">
        <is>
          <t>한아름</t>
        </is>
      </c>
      <c r="P3021" s="4" t="n">
        <v>1</v>
      </c>
      <c r="Q3021" s="4" t="n">
        <v>473.1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정리 52-6</t>
        </is>
      </c>
      <c r="B3022" s="3" t="inlineStr">
        <is>
          <t>준주거지역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260000</v>
      </c>
      <c r="G3022" s="4" t="n">
        <v>1191</v>
      </c>
      <c r="H3022" s="4" t="n">
        <v>360</v>
      </c>
      <c r="I3022" s="5" t="n">
        <v>722.2</v>
      </c>
      <c r="J3022" s="5" t="n">
        <v>194.4</v>
      </c>
      <c r="K3022" s="3" t="inlineStr">
        <is>
          <t>전통시장 근접한 대지로 단독주택 또는 원룸건축에 좋은 위치입니다.</t>
        </is>
      </c>
      <c r="L3022" s="6">
        <f>HYPERLINK("https://fin.land.naver.com/articles/2655515277", "매물Link")</f>
        <v/>
      </c>
      <c r="M3022" s="6">
        <f>HYPERLINK("https://map.naver.com/p/search/조치원읍 정리 52-6", "지도Link")</f>
        <v/>
      </c>
      <c r="N3022" s="6">
        <f>HYPERLINK("http://www.eum.go.kr/web/ar/lu/luLandDet.jsp?pnu=3611025025100520006&amp;isNoScr=script&amp;mode=search", "토지이음")</f>
        <v/>
      </c>
      <c r="O3022" s="3" t="inlineStr">
        <is>
          <t>가람</t>
        </is>
      </c>
      <c r="P3022" s="4" t="n">
        <v>1</v>
      </c>
      <c r="Q3022" s="4" t="n">
        <v>468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세로한면(가)</t>
        </is>
      </c>
    </row>
    <row r="3023">
      <c r="A3023" s="3" t="inlineStr">
        <is>
          <t>조치원읍 정리 87-8</t>
        </is>
      </c>
      <c r="B3023" s="3" t="inlineStr">
        <is>
          <t>일반상업지역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89000</v>
      </c>
      <c r="G3023" s="4" t="n">
        <v>326</v>
      </c>
      <c r="H3023" s="4" t="n">
        <v>99</v>
      </c>
      <c r="I3023" s="5" t="n">
        <v>899</v>
      </c>
      <c r="J3023" s="5" t="n">
        <v>335.5</v>
      </c>
      <c r="K3023" s="3" t="inlineStr">
        <is>
          <t>조치원시장내, 일반상업 알짜토지,다양활용가능</t>
        </is>
      </c>
      <c r="L3023" s="6">
        <f>HYPERLINK("https://fin.land.naver.com/articles/2651333398", "매물Link")</f>
        <v/>
      </c>
      <c r="M3023" s="6">
        <f>HYPERLINK("https://map.naver.com/p/search/조치원읍 정리 87-8", "지도Link")</f>
        <v/>
      </c>
      <c r="N3023" s="6">
        <f>HYPERLINK("http://www.eum.go.kr/web/ar/lu/luLandDet.jsp?pnu=3611025025100870008&amp;isNoScr=script&amp;mode=search", "토지이음")</f>
        <v/>
      </c>
      <c r="O3023" s="3" t="inlineStr">
        <is>
          <t>다옴</t>
        </is>
      </c>
      <c r="P3023" s="4" t="n">
        <v>1</v>
      </c>
      <c r="Q3023" s="4" t="n">
        <v>326</v>
      </c>
      <c r="R3023" s="3" t="inlineStr">
        <is>
          <t>지정되지않음</t>
        </is>
      </c>
      <c r="S3023" s="3" t="inlineStr">
        <is>
          <t>상업용</t>
        </is>
      </c>
      <c r="T3023" s="3" t="inlineStr">
        <is>
          <t>평지</t>
        </is>
      </c>
      <c r="U3023" s="3" t="inlineStr">
        <is>
          <t>자루형</t>
        </is>
      </c>
      <c r="V3023" s="3" t="inlineStr">
        <is>
          <t>세로한면(가)</t>
        </is>
      </c>
    </row>
    <row r="3024">
      <c r="A3024" s="3" t="inlineStr">
        <is>
          <t>조치원읍 죽림리 156-15</t>
        </is>
      </c>
      <c r="B3024" s="3" t="inlineStr">
        <is>
          <t>일반상업지역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245000</v>
      </c>
      <c r="G3024" s="4" t="n">
        <v>810</v>
      </c>
      <c r="H3024" s="4" t="n">
        <v>245</v>
      </c>
      <c r="I3024" s="5" t="n">
        <v>1000</v>
      </c>
      <c r="J3024" s="5" t="n">
        <v>119.3</v>
      </c>
      <c r="K3024" s="3" t="inlineStr">
        <is>
          <t>2차선변 일반상업지역, 투자가치 최고</t>
        </is>
      </c>
      <c r="L3024" s="6">
        <f>HYPERLINK("https://fin.land.naver.com/articles/2650316280", "매물Link")</f>
        <v/>
      </c>
      <c r="M3024" s="6">
        <f>HYPERLINK("https://map.naver.com/p/search/조치원읍 죽림리 156-15", "지도Link")</f>
        <v/>
      </c>
      <c r="N3024" s="6">
        <f>HYPERLINK("http://www.eum.go.kr/web/ar/lu/luLandDet.jsp?pnu=3611025030101560015&amp;isNoScr=script&amp;mode=search", "토지이음")</f>
        <v/>
      </c>
      <c r="O3024" s="3" t="inlineStr">
        <is>
          <t>세종공감</t>
        </is>
      </c>
      <c r="P3024" s="4" t="n">
        <v>1</v>
      </c>
      <c r="Q3024" s="4" t="n">
        <v>716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세로한면(불)</t>
        </is>
      </c>
    </row>
    <row r="3025">
      <c r="A3025" s="3" t="inlineStr">
        <is>
          <t>조치원읍 죽림리 178-1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36000</v>
      </c>
      <c r="G3025" s="4" t="n">
        <v>168</v>
      </c>
      <c r="H3025" s="4" t="n">
        <v>51</v>
      </c>
      <c r="I3025" s="5" t="n">
        <v>705.9</v>
      </c>
      <c r="J3025" s="5" t="n">
        <v>210.4</v>
      </c>
      <c r="K3025" s="3" t="inlineStr">
        <is>
          <t>죽림리 토지매매, 제2종일반주거지역, 도로 접함</t>
        </is>
      </c>
      <c r="L3025" s="6">
        <f>HYPERLINK("https://fin.land.naver.com/articles/2655354978", "매물Link")</f>
        <v/>
      </c>
      <c r="M3025" s="6">
        <f>HYPERLINK("https://map.naver.com/p/search/조치원읍 죽림리 178-1", "지도Link")</f>
        <v/>
      </c>
      <c r="N3025" s="6">
        <f>HYPERLINK("http://www.eum.go.kr/web/ar/lu/luLandDet.jsp?pnu=3611025030101780001&amp;isNoScr=script&amp;mode=search", "토지이음")</f>
        <v/>
      </c>
      <c r="O3025" s="3" t="inlineStr">
        <is>
          <t>하늘</t>
        </is>
      </c>
      <c r="P3025" s="4" t="n">
        <v>1</v>
      </c>
      <c r="Q3025" s="4" t="n">
        <v>168.3</v>
      </c>
      <c r="R3025" s="3" t="inlineStr">
        <is>
          <t>지정되지않음</t>
        </is>
      </c>
      <c r="S3025" s="3" t="inlineStr">
        <is>
          <t>단독</t>
        </is>
      </c>
      <c r="T3025" s="3" t="inlineStr">
        <is>
          <t>평지</t>
        </is>
      </c>
      <c r="U3025" s="3" t="inlineStr">
        <is>
          <t>정방형</t>
        </is>
      </c>
      <c r="V3025" s="3" t="inlineStr">
        <is>
          <t>소로각지</t>
        </is>
      </c>
    </row>
    <row r="3026">
      <c r="A3026" s="3" t="inlineStr">
        <is>
          <t>조치원읍 죽림리 184-15</t>
        </is>
      </c>
      <c r="B3026" s="3" t="inlineStr">
        <is>
          <t>제2종일반주거지역</t>
        </is>
      </c>
      <c r="C3026" s="3" t="inlineStr">
        <is>
          <t>전</t>
        </is>
      </c>
      <c r="D3026" s="3" t="inlineStr">
        <is>
          <t>전</t>
        </is>
      </c>
      <c r="E3026" s="3" t="inlineStr">
        <is>
          <t>매매</t>
        </is>
      </c>
      <c r="F3026" s="4" t="n">
        <v>48500</v>
      </c>
      <c r="G3026" s="4" t="n">
        <v>321</v>
      </c>
      <c r="H3026" s="4" t="n">
        <v>97</v>
      </c>
      <c r="I3026" s="5" t="n">
        <v>500</v>
      </c>
      <c r="J3026" s="5" t="n">
        <v>198.2</v>
      </c>
      <c r="K3026" s="3" t="inlineStr">
        <is>
          <t>2차선3거리코너,주변아파트.상가주택형성,투자가치좋아요</t>
        </is>
      </c>
      <c r="L3026" s="6">
        <f>HYPERLINK("https://fin.land.naver.com/articles/2651762596", "매물Link")</f>
        <v/>
      </c>
      <c r="M3026" s="6">
        <f>HYPERLINK("https://map.naver.com/p/search/조치원읍 죽림리 184-15", "지도Link")</f>
        <v/>
      </c>
      <c r="N3026" s="6">
        <f>HYPERLINK("http://www.eum.go.kr/web/ar/lu/luLandDet.jsp?pnu=3611025030101840015&amp;isNoScr=script&amp;mode=search", "토지이음")</f>
        <v/>
      </c>
      <c r="O3026" s="3" t="inlineStr">
        <is>
          <t>힐스테이트행복</t>
        </is>
      </c>
      <c r="P3026" s="4" t="n">
        <v>1</v>
      </c>
      <c r="Q3026" s="4" t="n">
        <v>321.2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부정형</t>
        </is>
      </c>
      <c r="V3026" s="3" t="inlineStr">
        <is>
          <t>소로각지</t>
        </is>
      </c>
    </row>
    <row r="3027">
      <c r="A3027" s="3" t="inlineStr">
        <is>
          <t>조치원읍 죽림리 240</t>
        </is>
      </c>
      <c r="B3027" s="3" t="inlineStr">
        <is>
          <t>제2종일반주거지역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700000</v>
      </c>
      <c r="G3027" s="4" t="n">
        <v>4045</v>
      </c>
      <c r="H3027" s="4" t="n">
        <v>1224</v>
      </c>
      <c r="I3027" s="5" t="n">
        <v>571.9</v>
      </c>
      <c r="J3027" s="5" t="n">
        <v>131.4</v>
      </c>
      <c r="K3027" s="3" t="inlineStr">
        <is>
          <t>2면 도로접한 도시지역,근생시설,제2종일반주거지역,다용도 사용가능</t>
        </is>
      </c>
      <c r="L3027" s="6">
        <f>HYPERLINK("https://fin.land.naver.com/articles/2653434524", "매물Link")</f>
        <v/>
      </c>
      <c r="M3027" s="6">
        <f>HYPERLINK("https://map.naver.com/p/search/조치원읍 죽림리 240", "지도Link")</f>
        <v/>
      </c>
      <c r="N3027" s="6">
        <f>HYPERLINK("http://www.eum.go.kr/web/ar/lu/luLandDet.jsp?pnu=3611025030102400000&amp;isNoScr=script&amp;mode=search", "토지이음")</f>
        <v/>
      </c>
      <c r="O3027" s="3" t="inlineStr">
        <is>
          <t>고운맘</t>
        </is>
      </c>
      <c r="P3027" s="4" t="n">
        <v>1</v>
      </c>
      <c r="Q3027" s="4" t="n">
        <v>2590</v>
      </c>
      <c r="R3027" s="3" t="inlineStr">
        <is>
          <t>지정되지않음</t>
        </is>
      </c>
      <c r="S3027" s="3" t="inlineStr">
        <is>
          <t>전기타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소로한면</t>
        </is>
      </c>
    </row>
    <row r="3028">
      <c r="A3028" s="3" t="inlineStr">
        <is>
          <t>조치원읍 죽림리 315-2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695000</v>
      </c>
      <c r="G3028" s="4" t="n">
        <v>5079</v>
      </c>
      <c r="H3028" s="4" t="n">
        <v>1536</v>
      </c>
      <c r="I3028" s="5" t="n">
        <v>452.5</v>
      </c>
      <c r="J3028" s="5" t="n">
        <v>124.8</v>
      </c>
      <c r="K3028" s="3" t="inlineStr">
        <is>
          <t>Click 홈플러스 옆 3필지 도로접 Click</t>
        </is>
      </c>
      <c r="L3028" s="6">
        <f>HYPERLINK("https://fin.land.naver.com/articles/2651207978", "매물Link")</f>
        <v/>
      </c>
      <c r="M3028" s="6">
        <f>HYPERLINK("https://map.naver.com/p/search/조치원읍 죽림리 315-2", "지도Link")</f>
        <v/>
      </c>
      <c r="N3028" s="6">
        <f>HYPERLINK("http://www.eum.go.kr/web/ar/lu/luLandDet.jsp?pnu=3611025030103150002&amp;isNoScr=script&amp;mode=search", "토지이음")</f>
        <v/>
      </c>
      <c r="O3028" s="3" t="inlineStr">
        <is>
          <t>해뜰</t>
        </is>
      </c>
      <c r="P3028" s="4" t="n">
        <v>1</v>
      </c>
      <c r="Q3028" s="4" t="n">
        <v>3538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부정형</t>
        </is>
      </c>
      <c r="V3028" s="3" t="inlineStr">
        <is>
          <t>광대로한면</t>
        </is>
      </c>
    </row>
    <row r="3029">
      <c r="A3029" s="3" t="inlineStr">
        <is>
          <t>조치원읍 죽림리 333-3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240000</v>
      </c>
      <c r="G3029" s="4" t="n">
        <v>1061</v>
      </c>
      <c r="H3029" s="4" t="n">
        <v>321</v>
      </c>
      <c r="I3029" s="5" t="n">
        <v>747.7</v>
      </c>
      <c r="J3029" s="5" t="n">
        <v>311.8</v>
      </c>
      <c r="K3029" s="3" t="inlineStr">
        <is>
          <t>nan</t>
        </is>
      </c>
      <c r="L3029" s="6">
        <f>HYPERLINK("https://fin.land.naver.com/articles/2651553883", "매물Link")</f>
        <v/>
      </c>
      <c r="M3029" s="6">
        <f>HYPERLINK("https://map.naver.com/p/search/조치원읍 죽림리 333-3", "지도Link")</f>
        <v/>
      </c>
      <c r="N3029" s="6">
        <f>HYPERLINK("http://www.eum.go.kr/web/ar/lu/luLandDet.jsp?pnu=3611025030103330003&amp;isNoScr=script&amp;mode=search", "토지이음")</f>
        <v/>
      </c>
      <c r="O3029" s="3" t="inlineStr">
        <is>
          <t>태원</t>
        </is>
      </c>
      <c r="P3029" s="4" t="n">
        <v>1</v>
      </c>
      <c r="Q3029" s="4" t="n">
        <v>945</v>
      </c>
      <c r="R3029" s="3" t="inlineStr">
        <is>
          <t>지정되지않음</t>
        </is>
      </c>
      <c r="S3029" s="3" t="inlineStr">
        <is>
          <t>주상용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광대소각</t>
        </is>
      </c>
    </row>
    <row r="3030">
      <c r="A3030" s="3" t="inlineStr">
        <is>
          <t>조치원읍 죽림리 342</t>
        </is>
      </c>
      <c r="B3030" s="3" t="inlineStr">
        <is>
          <t>제2종일반주거지역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110000</v>
      </c>
      <c r="G3030" s="4" t="n">
        <v>587</v>
      </c>
      <c r="H3030" s="4" t="n">
        <v>178</v>
      </c>
      <c r="I3030" s="5" t="n">
        <v>618</v>
      </c>
      <c r="J3030" s="5" t="n">
        <v>190.2</v>
      </c>
      <c r="K3030" s="3" t="inlineStr">
        <is>
          <t>세종북부경찰서와 파밀리에아파트, 그리고 원룸이 인접해 있음</t>
        </is>
      </c>
      <c r="L3030" s="6">
        <f>HYPERLINK("https://fin.land.naver.com/articles/2652786093", "매물Link")</f>
        <v/>
      </c>
      <c r="M3030" s="6">
        <f>HYPERLINK("https://map.naver.com/p/search/조치원읍 죽림리 342", "지도Link")</f>
        <v/>
      </c>
      <c r="N3030" s="6">
        <f>HYPERLINK("http://www.eum.go.kr/web/ar/lu/luLandDet.jsp?pnu=3611025030103420000&amp;isNoScr=script&amp;mode=search", "토지이음")</f>
        <v/>
      </c>
      <c r="O3030" s="3" t="inlineStr">
        <is>
          <t>가람</t>
        </is>
      </c>
      <c r="P3030" s="4" t="n">
        <v>1</v>
      </c>
      <c r="Q3030" s="4" t="n">
        <v>587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사다리형</t>
        </is>
      </c>
      <c r="V3030" s="3" t="inlineStr">
        <is>
          <t>중로한면</t>
        </is>
      </c>
    </row>
    <row r="3031">
      <c r="A3031" s="3" t="inlineStr">
        <is>
          <t>조치원읍 침산리 111-18</t>
        </is>
      </c>
      <c r="B3031" s="3" t="inlineStr">
        <is>
          <t>제2종일반주거지역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11400</v>
      </c>
      <c r="G3031" s="4" t="n">
        <v>102</v>
      </c>
      <c r="H3031" s="4" t="n">
        <v>31</v>
      </c>
      <c r="I3031" s="5" t="n">
        <v>367.7</v>
      </c>
      <c r="J3031" s="5" t="n">
        <v>175.7</v>
      </c>
      <c r="K3031" s="3" t="inlineStr">
        <is>
          <t>조치원 침산리 토지 매매 102㎡ 단독필지</t>
        </is>
      </c>
      <c r="L3031" s="6">
        <f>HYPERLINK("https://fin.land.naver.com/articles/2651350442", "매물Link")</f>
        <v/>
      </c>
      <c r="M3031" s="6">
        <f>HYPERLINK("https://map.naver.com/p/search/조치원읍 침산리 111-18", "지도Link")</f>
        <v/>
      </c>
      <c r="N3031" s="6">
        <f>HYPERLINK("http://www.eum.go.kr/web/ar/lu/luLandDet.jsp?pnu=3611025028101110018&amp;isNoScr=script&amp;mode=search", "토지이음")</f>
        <v/>
      </c>
      <c r="O3031" s="3" t="inlineStr">
        <is>
          <t>세종공감</t>
        </is>
      </c>
      <c r="P3031" s="4" t="n">
        <v>1</v>
      </c>
      <c r="Q3031" s="4" t="n">
        <v>102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세로한면(가)</t>
        </is>
      </c>
    </row>
    <row r="3032">
      <c r="A3032" s="3" t="inlineStr">
        <is>
          <t>조치원읍 침산리 123-2</t>
        </is>
      </c>
      <c r="B3032" s="3" t="inlineStr">
        <is>
          <t>제2종일반주거지역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27000</v>
      </c>
      <c r="G3032" s="4" t="n">
        <v>238</v>
      </c>
      <c r="H3032" s="4" t="n">
        <v>72</v>
      </c>
      <c r="I3032" s="5" t="n">
        <v>375</v>
      </c>
      <c r="J3032" s="5" t="n">
        <v>177.6</v>
      </c>
      <c r="K3032" s="3" t="inlineStr">
        <is>
          <t>조치원역인접.나대지상태.상가주택부지.장기투자가치.교통편리.제2종주거지역</t>
        </is>
      </c>
      <c r="L3032" s="6">
        <f>HYPERLINK("https://fin.land.naver.com/articles/2654868027", "매물Link")</f>
        <v/>
      </c>
      <c r="M3032" s="6">
        <f>HYPERLINK("https://map.naver.com/p/search/조치원읍 침산리 123-2", "지도Link")</f>
        <v/>
      </c>
      <c r="N3032" s="6">
        <f>HYPERLINK("http://www.eum.go.kr/web/ar/lu/luLandDet.jsp?pnu=3611025028101230002&amp;isNoScr=script&amp;mode=search", "토지이음")</f>
        <v/>
      </c>
      <c r="O3032" s="3" t="inlineStr">
        <is>
          <t>돈방석</t>
        </is>
      </c>
      <c r="P3032" s="4" t="n">
        <v>1</v>
      </c>
      <c r="Q3032" s="4" t="n">
        <v>238</v>
      </c>
      <c r="R3032" s="3" t="inlineStr">
        <is>
          <t>지정되지않음</t>
        </is>
      </c>
      <c r="S3032" s="3" t="inlineStr">
        <is>
          <t>단독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세로한면(가)</t>
        </is>
      </c>
    </row>
    <row r="3033">
      <c r="A3033" s="3" t="inlineStr">
        <is>
          <t>조치원읍 침산리 144-9</t>
        </is>
      </c>
      <c r="B3033" s="3" t="inlineStr">
        <is>
          <t>제2종일반주거지역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52000</v>
      </c>
      <c r="G3033" s="4" t="n">
        <v>129</v>
      </c>
      <c r="H3033" s="4" t="n">
        <v>39</v>
      </c>
      <c r="I3033" s="5" t="n">
        <v>1333.3</v>
      </c>
      <c r="J3033" s="5" t="n">
        <v>404.6</v>
      </c>
      <c r="K3033" s="3" t="inlineStr">
        <is>
          <t>조치원역바로뒤,2층건물 포함 일괄매매</t>
        </is>
      </c>
      <c r="L3033" s="6">
        <f>HYPERLINK("https://fin.land.naver.com/articles/2652801000", "매물Link")</f>
        <v/>
      </c>
      <c r="M3033" s="6">
        <f>HYPERLINK("https://map.naver.com/p/search/조치원읍 침산리 144-9", "지도Link")</f>
        <v/>
      </c>
      <c r="N3033" s="6">
        <f>HYPERLINK("http://www.eum.go.kr/web/ar/lu/luLandDet.jsp?pnu=3611025028101440009&amp;isNoScr=script&amp;mode=search", "토지이음")</f>
        <v/>
      </c>
      <c r="O3033" s="3" t="inlineStr">
        <is>
          <t>다옴</t>
        </is>
      </c>
      <c r="P3033" s="4" t="n">
        <v>1</v>
      </c>
      <c r="Q3033" s="4" t="n">
        <v>129</v>
      </c>
      <c r="R3033" s="3" t="inlineStr">
        <is>
          <t>지정되지않음</t>
        </is>
      </c>
      <c r="S3033" s="3" t="inlineStr">
        <is>
          <t>주상용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중로한면</t>
        </is>
      </c>
    </row>
    <row r="3034">
      <c r="A3034" s="3" t="inlineStr">
        <is>
          <t>조치원읍 침산리 167-10</t>
        </is>
      </c>
      <c r="B3034" s="3" t="inlineStr">
        <is>
          <t>제2종일반주거지역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95000</v>
      </c>
      <c r="G3034" s="4" t="n">
        <v>332</v>
      </c>
      <c r="H3034" s="4" t="n">
        <v>100</v>
      </c>
      <c r="I3034" s="5" t="n">
        <v>950</v>
      </c>
      <c r="J3034" s="5" t="n">
        <v>440.3</v>
      </c>
      <c r="K3034" s="3" t="inlineStr">
        <is>
          <t>조치원역뒤, 상가포함 좋은입지 일괄매매</t>
        </is>
      </c>
      <c r="L3034" s="6">
        <f>HYPERLINK("https://fin.land.naver.com/articles/2651077314", "매물Link")</f>
        <v/>
      </c>
      <c r="M3034" s="6">
        <f>HYPERLINK("https://map.naver.com/p/search/조치원읍 침산리 167-10", "지도Link")</f>
        <v/>
      </c>
      <c r="N3034" s="6">
        <f>HYPERLINK("http://www.eum.go.kr/web/ar/lu/luLandDet.jsp?pnu=3611025028101670010&amp;isNoScr=script&amp;mode=search", "토지이음")</f>
        <v/>
      </c>
      <c r="O3034" s="3" t="inlineStr">
        <is>
          <t>다옴</t>
        </is>
      </c>
      <c r="P3034" s="4" t="n">
        <v>1</v>
      </c>
      <c r="Q3034" s="4" t="n">
        <v>332</v>
      </c>
      <c r="R3034" s="3" t="inlineStr">
        <is>
          <t>지정되지않음</t>
        </is>
      </c>
      <c r="S3034" s="3" t="inlineStr">
        <is>
          <t>상업용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광대로한면</t>
        </is>
      </c>
    </row>
    <row r="3035">
      <c r="A3035" s="3" t="inlineStr">
        <is>
          <t>조치원읍 침산리 185-13</t>
        </is>
      </c>
      <c r="B3035" s="3" t="inlineStr">
        <is>
          <t>제2종일반주거지역</t>
        </is>
      </c>
      <c r="C3035" s="3" t="inlineStr">
        <is>
          <t>임야</t>
        </is>
      </c>
      <c r="D3035" s="3" t="inlineStr">
        <is>
          <t>임야</t>
        </is>
      </c>
      <c r="E3035" s="3" t="inlineStr">
        <is>
          <t>매매</t>
        </is>
      </c>
      <c r="F3035" s="4" t="n">
        <v>33000</v>
      </c>
      <c r="G3035" s="4" t="n">
        <v>283</v>
      </c>
      <c r="H3035" s="4" t="n">
        <v>86</v>
      </c>
      <c r="I3035" s="5" t="n">
        <v>383.7</v>
      </c>
      <c r="J3035" s="5" t="n">
        <v>136.4</v>
      </c>
      <c r="K3035" s="3" t="inlineStr">
        <is>
          <t>조치원역세권 개발 배후지.도시가스.상하수도 연결 완료</t>
        </is>
      </c>
      <c r="L3035" s="6">
        <f>HYPERLINK("https://fin.land.naver.com/articles/2651803543", "매물Link")</f>
        <v/>
      </c>
      <c r="M3035" s="6">
        <f>HYPERLINK("https://map.naver.com/p/search/조치원읍 침산리 185-13", "지도Link")</f>
        <v/>
      </c>
      <c r="N3035" s="6">
        <f>HYPERLINK("http://www.eum.go.kr/web/ar/lu/luLandDet.jsp?pnu=3611025028101850013&amp;isNoScr=script&amp;mode=search", "토지이음")</f>
        <v/>
      </c>
      <c r="O3035" s="3" t="inlineStr">
        <is>
          <t>굿모닝</t>
        </is>
      </c>
      <c r="P3035" s="4" t="n">
        <v>1</v>
      </c>
      <c r="Q3035" s="4" t="n">
        <v>283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세로한면(가)</t>
        </is>
      </c>
    </row>
    <row r="3036">
      <c r="A3036" s="3" t="inlineStr">
        <is>
          <t>조치원읍 침산리 185-19</t>
        </is>
      </c>
      <c r="B3036" s="3" t="inlineStr">
        <is>
          <t>제1종일반주거지역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80400</v>
      </c>
      <c r="G3036" s="4" t="n">
        <v>664</v>
      </c>
      <c r="H3036" s="4" t="n">
        <v>201</v>
      </c>
      <c r="I3036" s="5" t="n">
        <v>400</v>
      </c>
      <c r="J3036" s="5" t="n">
        <v>155.1</v>
      </c>
      <c r="K3036" s="3" t="inlineStr">
        <is>
          <t>침산리 위치 좋은 곳으로 커피숍이나 음식점 자리</t>
        </is>
      </c>
      <c r="L3036" s="6">
        <f>HYPERLINK("https://fin.land.naver.com/articles/2653950425", "매물Link")</f>
        <v/>
      </c>
      <c r="M3036" s="6">
        <f>HYPERLINK("https://map.naver.com/p/search/조치원읍 침산리 185-19", "지도Link")</f>
        <v/>
      </c>
      <c r="N3036" s="6">
        <f>HYPERLINK("http://www.eum.go.kr/web/ar/lu/luLandDet.jsp?pnu=3611025028101850019&amp;isNoScr=script&amp;mode=search", "토지이음")</f>
        <v/>
      </c>
      <c r="O3036" s="3" t="inlineStr">
        <is>
          <t>KB세종</t>
        </is>
      </c>
      <c r="P3036" s="4" t="n">
        <v>1</v>
      </c>
      <c r="Q3036" s="4" t="n">
        <v>580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세로한면(가)</t>
        </is>
      </c>
    </row>
    <row r="3037">
      <c r="A3037" s="3" t="inlineStr">
        <is>
          <t>조치원읍 침산리 203</t>
        </is>
      </c>
      <c r="B3037" s="3" t="inlineStr">
        <is>
          <t>제1종일반주거지역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193000</v>
      </c>
      <c r="G3037" s="4" t="n">
        <v>2362</v>
      </c>
      <c r="H3037" s="4" t="n">
        <v>715</v>
      </c>
      <c r="I3037" s="5" t="n">
        <v>269.9</v>
      </c>
      <c r="J3037" s="5" t="n">
        <v>187</v>
      </c>
      <c r="K3037" s="3" t="inlineStr">
        <is>
          <t>1번국도 인근토지로 지대가 높고 다양한 용도로 활용가능. 가격조율 가능.</t>
        </is>
      </c>
      <c r="L3037" s="6">
        <f>HYPERLINK("https://fin.land.naver.com/articles/2653505780", "매물Link")</f>
        <v/>
      </c>
      <c r="M3037" s="6">
        <f>HYPERLINK("https://map.naver.com/p/search/조치원읍 침산리 203", "지도Link")</f>
        <v/>
      </c>
      <c r="N3037" s="6">
        <f>HYPERLINK("http://www.eum.go.kr/web/ar/lu/luLandDet.jsp?pnu=3611025028102030000&amp;isNoScr=script&amp;mode=search", "토지이음")</f>
        <v/>
      </c>
      <c r="O3037" s="3" t="inlineStr">
        <is>
          <t>세종대장</t>
        </is>
      </c>
      <c r="P3037" s="4" t="n">
        <v>1</v>
      </c>
      <c r="Q3037" s="4" t="n">
        <v>2362</v>
      </c>
      <c r="R3037" s="3" t="inlineStr">
        <is>
          <t>지정되지않음</t>
        </is>
      </c>
      <c r="S3037" s="3" t="inlineStr">
        <is>
          <t>전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광대로한면</t>
        </is>
      </c>
    </row>
    <row r="3038">
      <c r="A3038" s="3" t="inlineStr">
        <is>
          <t>조치원읍 침산리 216-2</t>
        </is>
      </c>
      <c r="B3038" s="3" t="inlineStr">
        <is>
          <t>제1종일반주거지역</t>
        </is>
      </c>
      <c r="C3038" s="3" t="inlineStr">
        <is>
          <t>잡종지</t>
        </is>
      </c>
      <c r="D3038" s="3" t="inlineStr">
        <is>
          <t>잡종지</t>
        </is>
      </c>
      <c r="E3038" s="3" t="inlineStr">
        <is>
          <t>매매</t>
        </is>
      </c>
      <c r="F3038" s="4" t="n">
        <v>250000</v>
      </c>
      <c r="G3038" s="4" t="n">
        <v>1422</v>
      </c>
      <c r="H3038" s="4" t="n">
        <v>430</v>
      </c>
      <c r="I3038" s="5" t="n">
        <v>581.4</v>
      </c>
      <c r="J3038" s="5" t="n">
        <v>412.6</v>
      </c>
      <c r="K3038" s="3" t="inlineStr">
        <is>
          <t>nan</t>
        </is>
      </c>
      <c r="L3038" s="6">
        <f>HYPERLINK("https://fin.land.naver.com/articles/2655366672", "매물Link")</f>
        <v/>
      </c>
      <c r="M3038" s="6">
        <f>HYPERLINK("https://map.naver.com/p/search/조치원읍 침산리 216-2", "지도Link")</f>
        <v/>
      </c>
      <c r="N3038" s="6">
        <f>HYPERLINK("http://www.eum.go.kr/web/ar/lu/luLandDet.jsp?pnu=3611025028102160002&amp;isNoScr=script&amp;mode=search", "토지이음")</f>
        <v/>
      </c>
      <c r="O3038" s="3" t="inlineStr">
        <is>
          <t>세종문화길</t>
        </is>
      </c>
      <c r="P3038" s="4" t="n">
        <v>1</v>
      </c>
      <c r="Q3038" s="4" t="n">
        <v>1422</v>
      </c>
      <c r="R3038" s="3" t="inlineStr">
        <is>
          <t>지정되지않음</t>
        </is>
      </c>
      <c r="S3038" s="3" t="inlineStr">
        <is>
          <t>상업용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중로한면</t>
        </is>
      </c>
    </row>
    <row r="3039">
      <c r="A3039" s="3" t="inlineStr">
        <is>
          <t>조치원읍 침산리 219-3</t>
        </is>
      </c>
      <c r="B3039" s="3" t="inlineStr">
        <is>
          <t>제1종일반주거지역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268000</v>
      </c>
      <c r="G3039" s="4" t="n">
        <v>1971</v>
      </c>
      <c r="H3039" s="4" t="n">
        <v>596</v>
      </c>
      <c r="I3039" s="5" t="n">
        <v>449.7</v>
      </c>
      <c r="J3039" s="5" t="n">
        <v>183.4</v>
      </c>
      <c r="K3039" s="3" t="inlineStr">
        <is>
          <t>제1종일반주거지역, 코너토지,조치원하이마트,예술회관,조치원복컴등 인근위치</t>
        </is>
      </c>
      <c r="L3039" s="6">
        <f>HYPERLINK("https://fin.land.naver.com/articles/2650636285", "매물Link")</f>
        <v/>
      </c>
      <c r="M3039" s="6">
        <f>HYPERLINK("https://map.naver.com/p/search/조치원읍 침산리 219-3", "지도Link")</f>
        <v/>
      </c>
      <c r="N3039" s="6">
        <f>HYPERLINK("http://www.eum.go.kr/web/ar/lu/luLandDet.jsp?pnu=3611025028102190003&amp;isNoScr=script&amp;mode=search", "토지이음")</f>
        <v/>
      </c>
      <c r="O3039" s="3" t="inlineStr">
        <is>
          <t>세종일조</t>
        </is>
      </c>
      <c r="P3039" s="4" t="n">
        <v>1</v>
      </c>
      <c r="Q3039" s="4" t="n">
        <v>1887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침산리 219-3</t>
        </is>
      </c>
      <c r="B3040" s="3" t="inlineStr">
        <is>
          <t>제1종일반주거지역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268000</v>
      </c>
      <c r="G3040" s="4" t="n">
        <v>1971</v>
      </c>
      <c r="H3040" s="4" t="n">
        <v>596</v>
      </c>
      <c r="I3040" s="5" t="n">
        <v>449.7</v>
      </c>
      <c r="J3040" s="5" t="n">
        <v>183.4</v>
      </c>
      <c r="K3040" s="3" t="inlineStr">
        <is>
          <t>도도리파크, 문화예술회관 맞은편 토지</t>
        </is>
      </c>
      <c r="L3040" s="6">
        <f>HYPERLINK("https://fin.land.naver.com/articles/2654897799", "매물Link")</f>
        <v/>
      </c>
      <c r="M3040" s="6">
        <f>HYPERLINK("https://map.naver.com/p/search/조치원읍 침산리 219-3", "지도Link")</f>
        <v/>
      </c>
      <c r="N3040" s="6">
        <f>HYPERLINK("http://www.eum.go.kr/web/ar/lu/luLandDet.jsp?pnu=3611025028102190003&amp;isNoScr=script&amp;mode=search", "토지이음")</f>
        <v/>
      </c>
      <c r="O3040" s="3" t="inlineStr">
        <is>
          <t>KB세종</t>
        </is>
      </c>
      <c r="P3040" s="4" t="n">
        <v>1</v>
      </c>
      <c r="Q3040" s="4" t="n">
        <v>1887</v>
      </c>
      <c r="R3040" s="3" t="inlineStr">
        <is>
          <t>지정되지않음</t>
        </is>
      </c>
      <c r="S3040" s="3" t="inlineStr">
        <is>
          <t>전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중로한면</t>
        </is>
      </c>
    </row>
    <row r="3041">
      <c r="A3041" s="3" t="inlineStr">
        <is>
          <t>조치원읍 침산리 219-7</t>
        </is>
      </c>
      <c r="B3041" s="3" t="inlineStr">
        <is>
          <t>제1종일반주거지역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136000</v>
      </c>
      <c r="G3041" s="4" t="n">
        <v>566</v>
      </c>
      <c r="H3041" s="4" t="n">
        <v>171</v>
      </c>
      <c r="I3041" s="5" t="n">
        <v>795.3</v>
      </c>
      <c r="J3041" s="5" t="n">
        <v>272.3</v>
      </c>
      <c r="K3041" s="3" t="inlineStr">
        <is>
          <t>침산리 대로변 넓고반듯한 토지 매매,다양활용</t>
        </is>
      </c>
      <c r="L3041" s="6">
        <f>HYPERLINK("https://fin.land.naver.com/articles/2652805884", "매물Link")</f>
        <v/>
      </c>
      <c r="M3041" s="6">
        <f>HYPERLINK("https://map.naver.com/p/search/조치원읍 침산리 219-7", "지도Link")</f>
        <v/>
      </c>
      <c r="N3041" s="6">
        <f>HYPERLINK("http://www.eum.go.kr/web/ar/lu/luLandDet.jsp?pnu=3611025028102190007&amp;isNoScr=script&amp;mode=search", "토지이음")</f>
        <v/>
      </c>
      <c r="O3041" s="3" t="inlineStr">
        <is>
          <t>다옴</t>
        </is>
      </c>
      <c r="P3041" s="4" t="n">
        <v>1</v>
      </c>
      <c r="Q3041" s="4" t="n">
        <v>566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중로각지</t>
        </is>
      </c>
    </row>
    <row r="3042">
      <c r="A3042" s="3" t="inlineStr">
        <is>
          <t>조치원읍 침산리 255-7</t>
        </is>
      </c>
      <c r="B3042" s="3" t="inlineStr">
        <is>
          <t>제2종일반주거지역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40000</v>
      </c>
      <c r="G3042" s="4" t="n">
        <v>251</v>
      </c>
      <c r="H3042" s="4" t="n">
        <v>76</v>
      </c>
      <c r="I3042" s="5" t="n">
        <v>526.3</v>
      </c>
      <c r="J3042" s="5" t="n">
        <v>289.8</v>
      </c>
      <c r="K3042" s="3" t="inlineStr">
        <is>
          <t>침산리 건축가능한 대지매물</t>
        </is>
      </c>
      <c r="L3042" s="6">
        <f>HYPERLINK("https://fin.land.naver.com/articles/2650857783", "매물Link")</f>
        <v/>
      </c>
      <c r="M3042" s="6">
        <f>HYPERLINK("https://map.naver.com/p/search/조치원읍 침산리 255-7", "지도Link")</f>
        <v/>
      </c>
      <c r="N3042" s="6">
        <f>HYPERLINK("http://www.eum.go.kr/web/ar/lu/luLandDet.jsp?pnu=3611025028102550007&amp;isNoScr=script&amp;mode=search", "토지이음")</f>
        <v/>
      </c>
      <c r="O3042" s="3" t="inlineStr">
        <is>
          <t>상희</t>
        </is>
      </c>
      <c r="P3042" s="4" t="n">
        <v>1</v>
      </c>
      <c r="Q3042" s="4" t="n">
        <v>251.7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정방형</t>
        </is>
      </c>
      <c r="V3042" s="3" t="inlineStr">
        <is>
          <t>세로한면(가)</t>
        </is>
      </c>
    </row>
    <row r="3043">
      <c r="A3043" s="3" t="inlineStr">
        <is>
          <t>조치원읍 침산리 262-2</t>
        </is>
      </c>
      <c r="B3043" s="3" t="inlineStr">
        <is>
          <t>제2종일반주거지역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55000</v>
      </c>
      <c r="G3043" s="4" t="n">
        <v>160</v>
      </c>
      <c r="H3043" s="4" t="n">
        <v>48</v>
      </c>
      <c r="I3043" s="5" t="n">
        <v>1145.8</v>
      </c>
      <c r="J3043" s="5" t="n">
        <v>376.9</v>
      </c>
      <c r="K3043" s="3" t="inlineStr">
        <is>
          <t>음식점으로 성업중인 토지와 상가 건물을 일괄하여 매매합니다.</t>
        </is>
      </c>
      <c r="L3043" s="6">
        <f>HYPERLINK("https://fin.land.naver.com/articles/2652461844", "매물Link")</f>
        <v/>
      </c>
      <c r="M3043" s="6">
        <f>HYPERLINK("https://map.naver.com/p/search/조치원읍 침산리 262-2", "지도Link")</f>
        <v/>
      </c>
      <c r="N3043" s="6">
        <f>HYPERLINK("http://www.eum.go.kr/web/ar/lu/luLandDet.jsp?pnu=3611025028102620002&amp;isNoScr=script&amp;mode=search", "토지이음")</f>
        <v/>
      </c>
      <c r="O3043" s="3" t="inlineStr">
        <is>
          <t>스마일세종</t>
        </is>
      </c>
      <c r="P3043" s="4" t="n">
        <v>1</v>
      </c>
      <c r="Q3043" s="4" t="n">
        <v>160.5</v>
      </c>
      <c r="R3043" s="3" t="inlineStr">
        <is>
          <t>지정되지않음</t>
        </is>
      </c>
      <c r="S3043" s="3" t="inlineStr">
        <is>
          <t>주상기타</t>
        </is>
      </c>
      <c r="T3043" s="3" t="inlineStr">
        <is>
          <t>평지</t>
        </is>
      </c>
      <c r="U3043" s="3" t="inlineStr">
        <is>
          <t>정방형</t>
        </is>
      </c>
      <c r="V3043" s="3" t="inlineStr">
        <is>
          <t>세로한면(가)</t>
        </is>
      </c>
    </row>
    <row r="3044">
      <c r="A3044" s="3" t="inlineStr">
        <is>
          <t>조치원읍 침산리 270-6</t>
        </is>
      </c>
      <c r="B3044" s="3" t="inlineStr">
        <is>
          <t>제2종일반주거지역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100000</v>
      </c>
      <c r="G3044" s="4" t="n">
        <v>345</v>
      </c>
      <c r="H3044" s="4" t="n">
        <v>104</v>
      </c>
      <c r="I3044" s="5" t="n">
        <v>961.5</v>
      </c>
      <c r="J3044" s="5" t="n">
        <v>570.2</v>
      </c>
      <c r="K3044" s="3" t="inlineStr">
        <is>
          <t>침산먹자중심,대로변 접한 반듯한 알짜토지</t>
        </is>
      </c>
      <c r="L3044" s="6">
        <f>HYPERLINK("https://fin.land.naver.com/articles/2653941730", "매물Link")</f>
        <v/>
      </c>
      <c r="M3044" s="6">
        <f>HYPERLINK("https://map.naver.com/p/search/조치원읍 침산리 270-6", "지도Link")</f>
        <v/>
      </c>
      <c r="N3044" s="6">
        <f>HYPERLINK("http://www.eum.go.kr/web/ar/lu/luLandDet.jsp?pnu=3611025028102700006&amp;isNoScr=script&amp;mode=search", "토지이음")</f>
        <v/>
      </c>
      <c r="O3044" s="3" t="inlineStr">
        <is>
          <t>다옴</t>
        </is>
      </c>
      <c r="P3044" s="4" t="n">
        <v>1</v>
      </c>
      <c r="Q3044" s="4" t="n">
        <v>345.3</v>
      </c>
      <c r="R3044" s="3" t="inlineStr">
        <is>
          <t>지정되지않음</t>
        </is>
      </c>
      <c r="S3044" s="3" t="inlineStr">
        <is>
          <t>상업용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중로한면</t>
        </is>
      </c>
    </row>
    <row r="3045">
      <c r="A3045" s="3" t="inlineStr">
        <is>
          <t>조치원읍 침산리 272-9</t>
        </is>
      </c>
      <c r="B3045" s="3" t="inlineStr">
        <is>
          <t>제2종일반주거지역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40000</v>
      </c>
      <c r="G3045" s="4" t="n">
        <v>187</v>
      </c>
      <c r="H3045" s="4" t="n">
        <v>57</v>
      </c>
      <c r="I3045" s="5" t="n">
        <v>701.8</v>
      </c>
      <c r="J3045" s="5" t="n">
        <v>323.2</v>
      </c>
      <c r="K3045" s="3" t="inlineStr">
        <is>
          <t>nan</t>
        </is>
      </c>
      <c r="L3045" s="6">
        <f>HYPERLINK("https://fin.land.naver.com/articles/2653948599", "매물Link")</f>
        <v/>
      </c>
      <c r="M3045" s="6">
        <f>HYPERLINK("https://map.naver.com/p/search/조치원읍 침산리 272-9", "지도Link")</f>
        <v/>
      </c>
      <c r="N3045" s="6">
        <f>HYPERLINK("http://www.eum.go.kr/web/ar/lu/luLandDet.jsp?pnu=3611025028102720009&amp;isNoScr=script&amp;mode=search", "토지이음")</f>
        <v/>
      </c>
      <c r="O3045" s="3" t="inlineStr">
        <is>
          <t>KB세종</t>
        </is>
      </c>
      <c r="P3045" s="4" t="n">
        <v>1</v>
      </c>
      <c r="Q3045" s="4" t="n">
        <v>187.5</v>
      </c>
      <c r="R3045" s="3" t="inlineStr">
        <is>
          <t>지정되지않음</t>
        </is>
      </c>
      <c r="S3045" s="3" t="inlineStr">
        <is>
          <t>주거기타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소로각지</t>
        </is>
      </c>
    </row>
    <row r="3046">
      <c r="A3046" s="3" t="inlineStr">
        <is>
          <t>조치원읍 침산리 278-1</t>
        </is>
      </c>
      <c r="B3046" s="3" t="inlineStr">
        <is>
          <t>제2종일반주거지역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100000</v>
      </c>
      <c r="G3046" s="4" t="n">
        <v>281</v>
      </c>
      <c r="H3046" s="4" t="n">
        <v>85</v>
      </c>
      <c r="I3046" s="5" t="n">
        <v>1176.5</v>
      </c>
      <c r="J3046" s="5" t="n">
        <v>363.6</v>
      </c>
      <c r="K3046" s="3" t="inlineStr">
        <is>
          <t>침산리 대로접한 귀한토지</t>
        </is>
      </c>
      <c r="L3046" s="6">
        <f>HYPERLINK("https://fin.land.naver.com/articles/2655699832", "매물Link")</f>
        <v/>
      </c>
      <c r="M3046" s="6">
        <f>HYPERLINK("https://map.naver.com/p/search/조치원읍 침산리 278-1", "지도Link")</f>
        <v/>
      </c>
      <c r="N3046" s="6">
        <f>HYPERLINK("http://www.eum.go.kr/web/ar/lu/luLandDet.jsp?pnu=3611025028102780001&amp;isNoScr=script&amp;mode=search", "토지이음")</f>
        <v/>
      </c>
      <c r="O3046" s="3" t="inlineStr">
        <is>
          <t>동백</t>
        </is>
      </c>
      <c r="P3046" s="4" t="n">
        <v>1</v>
      </c>
      <c r="Q3046" s="4" t="n">
        <v>281.3</v>
      </c>
      <c r="R3046" s="3" t="inlineStr">
        <is>
          <t>지정되지않음</t>
        </is>
      </c>
      <c r="S3046" s="3" t="inlineStr">
        <is>
          <t>상업용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조치원읍 침산리 283-8</t>
        </is>
      </c>
      <c r="B3047" s="3" t="inlineStr">
        <is>
          <t>제2종일반주거지역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55000</v>
      </c>
      <c r="G3047" s="4" t="n">
        <v>265</v>
      </c>
      <c r="H3047" s="4" t="n">
        <v>80</v>
      </c>
      <c r="I3047" s="5" t="n">
        <v>687.5</v>
      </c>
      <c r="J3047" s="5" t="n">
        <v>441.7</v>
      </c>
      <c r="K3047" s="3" t="inlineStr">
        <is>
          <t>코너 대지 매매</t>
        </is>
      </c>
      <c r="L3047" s="6">
        <f>HYPERLINK("https://fin.land.naver.com/articles/2651765054", "매물Link")</f>
        <v/>
      </c>
      <c r="M3047" s="6">
        <f>HYPERLINK("https://map.naver.com/p/search/조치원읍 침산리 283-8", "지도Link")</f>
        <v/>
      </c>
      <c r="N3047" s="6">
        <f>HYPERLINK("http://www.eum.go.kr/web/ar/lu/luLandDet.jsp?pnu=3611025028102830008&amp;isNoScr=script&amp;mode=search", "토지이음")</f>
        <v/>
      </c>
      <c r="O3047" s="3" t="inlineStr">
        <is>
          <t>찬스</t>
        </is>
      </c>
      <c r="P3047" s="4" t="n">
        <v>1</v>
      </c>
      <c r="Q3047" s="4" t="n">
        <v>265.6</v>
      </c>
      <c r="R3047" s="3" t="inlineStr">
        <is>
          <t>지정되지않음</t>
        </is>
      </c>
      <c r="S3047" s="3" t="inlineStr">
        <is>
          <t>주상기타</t>
        </is>
      </c>
      <c r="T3047" s="3" t="inlineStr">
        <is>
          <t>평지</t>
        </is>
      </c>
      <c r="U3047" s="3" t="inlineStr">
        <is>
          <t>세로장방</t>
        </is>
      </c>
      <c r="V3047" s="3" t="inlineStr">
        <is>
          <t>소로각지</t>
        </is>
      </c>
    </row>
    <row r="3048">
      <c r="A3048" s="3" t="inlineStr">
        <is>
          <t>조치원읍 침산리 283-9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월세</t>
        </is>
      </c>
      <c r="F3048" s="4" t="n">
        <v>2000</v>
      </c>
      <c r="G3048" s="4" t="n">
        <v>248</v>
      </c>
      <c r="H3048" s="4" t="n">
        <v>75</v>
      </c>
      <c r="I3048" s="5" t="n">
        <v>1.1</v>
      </c>
      <c r="J3048" s="5" t="n">
        <v>283.1</v>
      </c>
      <c r="K3048" s="3" t="inlineStr">
        <is>
          <t>nan</t>
        </is>
      </c>
      <c r="L3048" s="6">
        <f>HYPERLINK("https://fin.land.naver.com/articles/2650644582", "매물Link")</f>
        <v/>
      </c>
      <c r="M3048" s="6">
        <f>HYPERLINK("https://map.naver.com/p/search/조치원읍 침산리 283-9", "지도Link")</f>
        <v/>
      </c>
      <c r="N3048" s="6">
        <f>HYPERLINK("http://www.eum.go.kr/web/ar/lu/luLandDet.jsp?pnu=3611025028102830009&amp;isNoScr=script&amp;mode=search", "토지이음")</f>
        <v/>
      </c>
      <c r="O3048" s="3" t="inlineStr">
        <is>
          <t>세종문화길</t>
        </is>
      </c>
      <c r="P3048" s="4" t="n">
        <v>1</v>
      </c>
      <c r="Q3048" s="4" t="n">
        <v>248.8</v>
      </c>
      <c r="R3048" s="3" t="inlineStr">
        <is>
          <t>지정되지않음</t>
        </is>
      </c>
      <c r="S3048" s="3" t="inlineStr">
        <is>
          <t>주거기타</t>
        </is>
      </c>
      <c r="T3048" s="3" t="inlineStr">
        <is>
          <t>평지</t>
        </is>
      </c>
      <c r="U3048" s="3" t="inlineStr">
        <is>
          <t>세로장방</t>
        </is>
      </c>
      <c r="V3048" s="3" t="inlineStr">
        <is>
          <t>세로한면(가)</t>
        </is>
      </c>
    </row>
    <row r="3049">
      <c r="A3049" s="3" t="inlineStr">
        <is>
          <t>조치원읍 침산리 284-9</t>
        </is>
      </c>
      <c r="B3049" s="3" t="inlineStr">
        <is>
          <t>제2종일반주거지역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60000</v>
      </c>
      <c r="G3049" s="4" t="n">
        <v>238</v>
      </c>
      <c r="H3049" s="4" t="n">
        <v>72</v>
      </c>
      <c r="I3049" s="5" t="n">
        <v>833.3</v>
      </c>
      <c r="J3049" s="5" t="n">
        <v>283.1</v>
      </c>
      <c r="K3049" s="3" t="inlineStr">
        <is>
          <t>스타벅스가 선택한 그 입지, 세종 조치원 침산리 금쪽같은 토지 매매</t>
        </is>
      </c>
      <c r="L3049" s="6">
        <f>HYPERLINK("https://fin.land.naver.com/articles/2654652330", "매물Link")</f>
        <v/>
      </c>
      <c r="M3049" s="6">
        <f>HYPERLINK("https://map.naver.com/p/search/조치원읍 침산리 284-9", "지도Link")</f>
        <v/>
      </c>
      <c r="N3049" s="6">
        <f>HYPERLINK("http://www.eum.go.kr/web/ar/lu/luLandDet.jsp?pnu=3611025028102840009&amp;isNoScr=script&amp;mode=search", "토지이음")</f>
        <v/>
      </c>
      <c r="O3049" s="3" t="inlineStr">
        <is>
          <t>찬스</t>
        </is>
      </c>
      <c r="P3049" s="4" t="n">
        <v>1</v>
      </c>
      <c r="Q3049" s="4" t="n">
        <v>238.8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세로한면(가)</t>
        </is>
      </c>
    </row>
    <row r="3050">
      <c r="A3050" s="3" t="inlineStr">
        <is>
          <t>조치원읍 침산리 285-16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38630</v>
      </c>
      <c r="G3050" s="4" t="n">
        <v>255</v>
      </c>
      <c r="H3050" s="4" t="n">
        <v>77</v>
      </c>
      <c r="I3050" s="5" t="n">
        <v>501.7</v>
      </c>
      <c r="J3050" s="5" t="n">
        <v>301.6</v>
      </c>
      <c r="K3050" s="3" t="inlineStr">
        <is>
          <t>구역정리된 지역임</t>
        </is>
      </c>
      <c r="L3050" s="6">
        <f>HYPERLINK("https://fin.land.naver.com/articles/2652215917", "매물Link")</f>
        <v/>
      </c>
      <c r="M3050" s="6">
        <f>HYPERLINK("https://map.naver.com/p/search/조치원읍 침산리 285-16", "지도Link")</f>
        <v/>
      </c>
      <c r="N3050" s="6">
        <f>HYPERLINK("http://www.eum.go.kr/web/ar/lu/luLandDet.jsp?pnu=3611025028102850016&amp;isNoScr=script&amp;mode=search", "토지이음")</f>
        <v/>
      </c>
      <c r="O3050" s="3" t="inlineStr">
        <is>
          <t>한일</t>
        </is>
      </c>
      <c r="P3050" s="4" t="n">
        <v>1</v>
      </c>
      <c r="Q3050" s="4" t="n">
        <v>255.4</v>
      </c>
      <c r="R3050" s="3" t="inlineStr">
        <is>
          <t>지정되지않음</t>
        </is>
      </c>
      <c r="S3050" s="3" t="inlineStr">
        <is>
          <t>주상기타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소로한면</t>
        </is>
      </c>
    </row>
    <row r="3051">
      <c r="A3051" s="3" t="inlineStr">
        <is>
          <t>조치원읍 침산리 40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256000</v>
      </c>
      <c r="G3051" s="4" t="n">
        <v>2116</v>
      </c>
      <c r="H3051" s="4" t="n">
        <v>640</v>
      </c>
      <c r="I3051" s="5" t="n">
        <v>400</v>
      </c>
      <c r="J3051" s="5" t="n">
        <v>177.6</v>
      </c>
      <c r="K3051" s="3" t="inlineStr">
        <is>
          <t>침산리 토지매매</t>
        </is>
      </c>
      <c r="L3051" s="6">
        <f>HYPERLINK("https://fin.land.naver.com/articles/2654532187", "매물Link")</f>
        <v/>
      </c>
      <c r="M3051" s="6">
        <f>HYPERLINK("https://map.naver.com/p/search/조치원읍 침산리 40", "지도Link")</f>
        <v/>
      </c>
      <c r="N3051" s="6">
        <f>HYPERLINK("http://www.eum.go.kr/web/ar/lu/luLandDet.jsp?pnu=3611025028100400000&amp;isNoScr=script&amp;mode=search", "토지이음")</f>
        <v/>
      </c>
      <c r="O3051" s="3" t="inlineStr">
        <is>
          <t>김준희</t>
        </is>
      </c>
      <c r="P3051" s="4" t="n">
        <v>1</v>
      </c>
      <c r="Q3051" s="4" t="n">
        <v>1924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조치원읍 침산리 79-4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700000</v>
      </c>
      <c r="G3052" s="4" t="n">
        <v>1842</v>
      </c>
      <c r="H3052" s="4" t="n">
        <v>557</v>
      </c>
      <c r="I3052" s="5" t="n">
        <v>1256.7</v>
      </c>
      <c r="J3052" s="5" t="n">
        <v>416.9</v>
      </c>
      <c r="K3052" s="3" t="inlineStr">
        <is>
          <t>1번국도와 55m 접해있어 근린생활시설을 지으면 좋은 일반주거지역 대지</t>
        </is>
      </c>
      <c r="L3052" s="6">
        <f>HYPERLINK("https://fin.land.naver.com/articles/2650207703", "매물Link")</f>
        <v/>
      </c>
      <c r="M3052" s="6">
        <f>HYPERLINK("https://map.naver.com/p/search/조치원읍 침산리 79-4", "지도Link")</f>
        <v/>
      </c>
      <c r="N3052" s="6">
        <f>HYPERLINK("http://www.eum.go.kr/web/ar/lu/luLandDet.jsp?pnu=3611025028100790004&amp;isNoScr=script&amp;mode=search",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1380</v>
      </c>
      <c r="R3052" s="3" t="inlineStr">
        <is>
          <t>지정되지않음</t>
        </is>
      </c>
      <c r="S3052" s="3" t="inlineStr">
        <is>
          <t>상업기타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광대로한면</t>
        </is>
      </c>
    </row>
    <row r="3053">
      <c r="A3053" s="3" t="inlineStr">
        <is>
          <t>조치원읍 평리 101-2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60000</v>
      </c>
      <c r="G3053" s="4" t="n">
        <v>356</v>
      </c>
      <c r="H3053" s="4" t="n">
        <v>108</v>
      </c>
      <c r="I3053" s="5" t="n">
        <v>555.6</v>
      </c>
      <c r="J3053" s="5" t="n">
        <v>175.8</v>
      </c>
      <c r="K3053" s="3" t="inlineStr">
        <is>
          <t>8미터도로연접, 다가구부지 추천매매</t>
        </is>
      </c>
      <c r="L3053" s="6">
        <f>HYPERLINK("https://fin.land.naver.com/articles/2653056560", "매물Link")</f>
        <v/>
      </c>
      <c r="M3053" s="6">
        <f>HYPERLINK("https://map.naver.com/p/search/조치원읍 평리 101-2", "지도Link")</f>
        <v/>
      </c>
      <c r="N3053" s="6">
        <f>HYPERLINK("http://www.eum.go.kr/web/ar/lu/luLandDet.jsp?pnu=3611025023101010002&amp;isNoScr=script&amp;mode=search", "토지이음")</f>
        <v/>
      </c>
      <c r="O3053" s="3" t="inlineStr">
        <is>
          <t>Home</t>
        </is>
      </c>
      <c r="P3053" s="4" t="n">
        <v>1</v>
      </c>
      <c r="Q3053" s="4" t="n">
        <v>356</v>
      </c>
      <c r="R3053" s="3" t="inlineStr">
        <is>
          <t>지정되지않음</t>
        </is>
      </c>
      <c r="S3053" s="3" t="inlineStr">
        <is>
          <t>단독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세로한면(가)</t>
        </is>
      </c>
    </row>
    <row r="3054">
      <c r="A3054" s="3" t="inlineStr">
        <is>
          <t>조치원읍 평리 101-2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60000</v>
      </c>
      <c r="G3054" s="4" t="n">
        <v>356</v>
      </c>
      <c r="H3054" s="4" t="n">
        <v>108</v>
      </c>
      <c r="I3054" s="5" t="n">
        <v>555.6</v>
      </c>
      <c r="J3054" s="5" t="n">
        <v>175.8</v>
      </c>
      <c r="K3054" s="3" t="inlineStr">
        <is>
          <t>남향토지,도로지분포함,조치원 시장 도보5분거리 위치,</t>
        </is>
      </c>
      <c r="L3054" s="6">
        <f>HYPERLINK("https://fin.land.naver.com/articles/2652137848", "매물Link")</f>
        <v/>
      </c>
      <c r="M3054" s="6">
        <f>HYPERLINK("https://map.naver.com/p/search/조치원읍 평리 101-2", "지도Link")</f>
        <v/>
      </c>
      <c r="N3054" s="6">
        <f>HYPERLINK("http://www.eum.go.kr/web/ar/lu/luLandDet.jsp?pnu=3611025023101010002&amp;isNoScr=script&amp;mode=search", "토지이음")</f>
        <v/>
      </c>
      <c r="O3054" s="3" t="inlineStr">
        <is>
          <t>담뜰</t>
        </is>
      </c>
      <c r="P3054" s="4" t="n">
        <v>1</v>
      </c>
      <c r="Q3054" s="4" t="n">
        <v>356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부정형</t>
        </is>
      </c>
      <c r="V3054" s="3" t="inlineStr">
        <is>
          <t>세로한면(가)</t>
        </is>
      </c>
    </row>
    <row r="3055">
      <c r="A3055" s="3" t="inlineStr">
        <is>
          <t>집현동 1203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215000</v>
      </c>
      <c r="G3055" s="4" t="n">
        <v>569</v>
      </c>
      <c r="H3055" s="4" t="n">
        <v>172</v>
      </c>
      <c r="I3055" s="5" t="n">
        <v>1250</v>
      </c>
      <c r="J3055" s="5" t="n">
        <v>320.7</v>
      </c>
      <c r="K3055" s="3" t="inlineStr">
        <is>
          <t>일반음식점 가능 2종근생, 자이 1200세대 정문 앞 횡단보도 버스정류장</t>
        </is>
      </c>
      <c r="L3055" s="6">
        <f>HYPERLINK("https://fin.land.naver.com/articles/2650179158", "매물Link")</f>
        <v/>
      </c>
      <c r="M3055" s="6">
        <f>HYPERLINK("https://map.naver.com/p/search/집현동 1203", "지도Link")</f>
        <v/>
      </c>
      <c r="N3055" s="6">
        <f>HYPERLINK("http://www.eum.go.kr/web/ar/lu/luLandDet.jsp?pnu=3611011800112030000&amp;isNoScr=script&amp;mode=search", "토지이음")</f>
        <v/>
      </c>
      <c r="O3055" s="3" t="inlineStr">
        <is>
          <t>오송3산단  사무소</t>
        </is>
      </c>
      <c r="P3055" s="4" t="n">
        <v>1</v>
      </c>
      <c r="Q3055" s="4" t="n">
        <v>569.7</v>
      </c>
      <c r="R3055" s="3" t="inlineStr">
        <is>
          <t>지정되지않음</t>
        </is>
      </c>
      <c r="S3055" s="3" t="inlineStr">
        <is>
          <t>상업나지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광대소각</t>
        </is>
      </c>
    </row>
    <row r="3056">
      <c r="A3056" s="3" t="inlineStr">
        <is>
          <t>집현동 1217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42000</v>
      </c>
      <c r="G3056" s="4" t="n">
        <v>320</v>
      </c>
      <c r="H3056" s="4" t="n">
        <v>97</v>
      </c>
      <c r="I3056" s="5" t="n">
        <v>433</v>
      </c>
      <c r="J3056" s="5" t="n">
        <v>267.1</v>
      </c>
      <c r="K3056" s="3" t="inlineStr">
        <is>
          <t>급매 남향 상권 삼성천 가까운 선호위치</t>
        </is>
      </c>
      <c r="L3056" s="6">
        <f>HYPERLINK("https://fin.land.naver.com/articles/2650653419", "매물Link")</f>
        <v/>
      </c>
      <c r="M3056" s="6">
        <f>HYPERLINK("https://map.naver.com/p/search/집현동 1217", "지도Link")</f>
        <v/>
      </c>
      <c r="N3056" s="6">
        <f>HYPERLINK("http://www.eum.go.kr/web/ar/lu/luLandDet.jsp?pnu=3611011800112170000&amp;isNoScr=script&amp;mode=search",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320.9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세로장방</t>
        </is>
      </c>
      <c r="V3056" s="3" t="inlineStr">
        <is>
          <t>소로한면</t>
        </is>
      </c>
    </row>
    <row r="3057">
      <c r="A3057" s="3" t="inlineStr">
        <is>
          <t>집현동 1219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42000</v>
      </c>
      <c r="G3057" s="4" t="n">
        <v>318</v>
      </c>
      <c r="H3057" s="4" t="n">
        <v>96</v>
      </c>
      <c r="I3057" s="5" t="n">
        <v>437.5</v>
      </c>
      <c r="J3057" s="5" t="n">
        <v>277.7</v>
      </c>
      <c r="K3057" s="3" t="inlineStr">
        <is>
          <t>급매 집현동D1 남향택지 상가 학교가까움</t>
        </is>
      </c>
      <c r="L3057" s="6">
        <f>HYPERLINK("https://fin.land.naver.com/articles/2653175765", "매물Link")</f>
        <v/>
      </c>
      <c r="M3057" s="6">
        <f>HYPERLINK("https://map.naver.com/p/search/집현동 1219", "지도Link")</f>
        <v/>
      </c>
      <c r="N3057" s="6">
        <f>HYPERLINK("http://www.eum.go.kr/web/ar/lu/luLandDet.jsp?pnu=3611011800112190000&amp;isNoScr=script&amp;mode=search", "토지이음")</f>
        <v/>
      </c>
      <c r="O3057" s="3" t="inlineStr">
        <is>
          <t>세종스타</t>
        </is>
      </c>
      <c r="P3057" s="4" t="n">
        <v>2</v>
      </c>
      <c r="Q3057" s="4" t="n">
        <v>318.9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소로각지</t>
        </is>
      </c>
    </row>
    <row r="3058">
      <c r="A3058" s="3" t="inlineStr">
        <is>
          <t>집현동 1226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54000</v>
      </c>
      <c r="G3058" s="4" t="n">
        <v>305</v>
      </c>
      <c r="H3058" s="4" t="n">
        <v>92</v>
      </c>
      <c r="I3058" s="5" t="n">
        <v>587</v>
      </c>
      <c r="J3058" s="5" t="n">
        <v>267.1</v>
      </c>
      <c r="K3058" s="3" t="inlineStr">
        <is>
          <t>삼성천인근 남북트인위치 남쪽 보행로접함</t>
        </is>
      </c>
      <c r="L3058" s="6">
        <f>HYPERLINK("https://fin.land.naver.com/articles/2652943039", "매물Link")</f>
        <v/>
      </c>
      <c r="M3058" s="6">
        <f>HYPERLINK("https://map.naver.com/p/search/집현동 1226", "지도Link")</f>
        <v/>
      </c>
      <c r="N3058" s="6">
        <f>HYPERLINK("http://www.eum.go.kr/web/ar/lu/luLandDet.jsp?pnu=3611011800112260000&amp;isNoScr=script&amp;mode=search", "토지이음")</f>
        <v/>
      </c>
      <c r="O3058" s="3" t="inlineStr">
        <is>
          <t>세종스타</t>
        </is>
      </c>
      <c r="P3058" s="4" t="n">
        <v>2</v>
      </c>
      <c r="Q3058" s="4" t="n">
        <v>305.3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집현동 1226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54000</v>
      </c>
      <c r="G3059" s="4" t="n">
        <v>305</v>
      </c>
      <c r="H3059" s="4" t="n">
        <v>92</v>
      </c>
      <c r="I3059" s="5" t="n">
        <v>587</v>
      </c>
      <c r="J3059" s="5" t="n">
        <v>267.1</v>
      </c>
      <c r="K3059" s="3" t="inlineStr">
        <is>
          <t>집현동 위치 좋은 단독주택, 사거리 코너 입지</t>
        </is>
      </c>
      <c r="L3059" s="6">
        <f>HYPERLINK("https://fin.land.naver.com/articles/2652843192", "매물Link")</f>
        <v/>
      </c>
      <c r="M3059" s="6">
        <f>HYPERLINK("https://map.naver.com/p/search/집현동 1226", "지도Link")</f>
        <v/>
      </c>
      <c r="N3059" s="6">
        <f>HYPERLINK("http://www.eum.go.kr/web/ar/lu/luLandDet.jsp?pnu=3611011800112260000&amp;isNoScr=script&amp;mode=search", "토지이음")</f>
        <v/>
      </c>
      <c r="O3059" s="3" t="inlineStr">
        <is>
          <t>세종무지개</t>
        </is>
      </c>
      <c r="P3059" s="4" t="n">
        <v>1</v>
      </c>
      <c r="Q3059" s="4" t="n">
        <v>305.3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집현동 1226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54000</v>
      </c>
      <c r="G3060" s="4" t="n">
        <v>305</v>
      </c>
      <c r="H3060" s="4" t="n">
        <v>92</v>
      </c>
      <c r="I3060" s="5" t="n">
        <v>587</v>
      </c>
      <c r="J3060" s="5" t="n">
        <v>267.1</v>
      </c>
      <c r="K3060" s="3" t="inlineStr">
        <is>
          <t>집현동 위치 좋은 단독주택 토지매매, 사거리 코너 입지</t>
        </is>
      </c>
      <c r="L3060" s="6">
        <f>HYPERLINK("https://fin.land.naver.com/articles/2654229358", "매물Link")</f>
        <v/>
      </c>
      <c r="M3060" s="6">
        <f>HYPERLINK("https://map.naver.com/p/search/집현동 1226", "지도Link")</f>
        <v/>
      </c>
      <c r="N3060" s="6">
        <f>HYPERLINK("http://www.eum.go.kr/web/ar/lu/luLandDet.jsp?pnu=3611011800112260000&amp;isNoScr=script&amp;mode=search",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305.3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세로장방</t>
        </is>
      </c>
      <c r="V3060" s="3" t="inlineStr">
        <is>
          <t>소로한면</t>
        </is>
      </c>
    </row>
    <row r="3061">
      <c r="A3061" s="3" t="inlineStr">
        <is>
          <t>집현동 1231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39000</v>
      </c>
      <c r="G3061" s="4" t="n">
        <v>255</v>
      </c>
      <c r="H3061" s="4" t="n">
        <v>77</v>
      </c>
      <c r="I3061" s="5" t="n">
        <v>506.5</v>
      </c>
      <c r="J3061" s="5" t="n">
        <v>264.5</v>
      </c>
      <c r="K3061" s="3" t="inlineStr">
        <is>
          <t>세종시 집현동 부담이 적은 단독주택지 매매</t>
        </is>
      </c>
      <c r="L3061" s="6">
        <f>HYPERLINK("https://fin.land.naver.com/articles/2655175152", "매물Link")</f>
        <v/>
      </c>
      <c r="M3061" s="6">
        <f>HYPERLINK("https://map.naver.com/p/search/집현동 1231", "지도Link")</f>
        <v/>
      </c>
      <c r="N3061" s="6">
        <f>HYPERLINK("http://www.eum.go.kr/web/ar/lu/luLandDet.jsp?pnu=3611011800112310000&amp;isNoScr=script&amp;mode=search", "토지이음")</f>
        <v/>
      </c>
      <c r="O3061" s="3" t="inlineStr">
        <is>
          <t>킹세종</t>
        </is>
      </c>
      <c r="P3061" s="4" t="n">
        <v>1</v>
      </c>
      <c r="Q3061" s="4" t="n">
        <v>255.7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세로장방</t>
        </is>
      </c>
      <c r="V3061" s="3" t="inlineStr">
        <is>
          <t>소로한면</t>
        </is>
      </c>
    </row>
    <row r="3062">
      <c r="A3062" s="3" t="inlineStr">
        <is>
          <t>집현동 1240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40800</v>
      </c>
      <c r="G3062" s="4" t="n">
        <v>273</v>
      </c>
      <c r="H3062" s="4" t="n">
        <v>83</v>
      </c>
      <c r="I3062" s="5" t="n">
        <v>491.6</v>
      </c>
      <c r="J3062" s="5" t="n">
        <v>264.5</v>
      </c>
      <c r="K3062" s="3" t="inlineStr">
        <is>
          <t>nan</t>
        </is>
      </c>
      <c r="L3062" s="6">
        <f>HYPERLINK("https://fin.land.naver.com/articles/2654263055", "매물Link")</f>
        <v/>
      </c>
      <c r="M3062" s="6">
        <f>HYPERLINK("https://map.naver.com/p/search/집현동 1240", "지도Link")</f>
        <v/>
      </c>
      <c r="N3062" s="6">
        <f>HYPERLINK("http://www.eum.go.kr/web/ar/lu/luLandDet.jsp?pnu=3611011800112400000&amp;isNoScr=script&amp;mode=search", "토지이음")</f>
        <v/>
      </c>
      <c r="O3062" s="3" t="inlineStr">
        <is>
          <t>우리들</t>
        </is>
      </c>
      <c r="P3062" s="4" t="n">
        <v>1</v>
      </c>
      <c r="Q3062" s="4" t="n">
        <v>273.9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집현동 1244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323</v>
      </c>
      <c r="H3063" s="4" t="n">
        <v>98</v>
      </c>
      <c r="I3063" s="5" t="n">
        <v>612.2</v>
      </c>
      <c r="J3063" s="5" t="n">
        <v>275</v>
      </c>
      <c r="K3063" s="3" t="inlineStr">
        <is>
          <t>최고위치 코너각지 공원뷰 삼성천뷰</t>
        </is>
      </c>
      <c r="L3063" s="6">
        <f>HYPERLINK("https://fin.land.naver.com/articles/2655194330", "매물Link")</f>
        <v/>
      </c>
      <c r="M3063" s="6">
        <f>HYPERLINK("https://map.naver.com/p/search/집현동 1244", "지도Link")</f>
        <v/>
      </c>
      <c r="N3063" s="6">
        <f>HYPERLINK("http://www.eum.go.kr/web/ar/lu/luLandDet.jsp?pnu=3611011800112440000&amp;isNoScr=script&amp;mode=search", "토지이음")</f>
        <v/>
      </c>
      <c r="O3063" s="3" t="inlineStr">
        <is>
          <t>세종스타</t>
        </is>
      </c>
      <c r="P3063" s="4" t="n">
        <v>2</v>
      </c>
      <c r="Q3063" s="4" t="n">
        <v>323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가로장방</t>
        </is>
      </c>
      <c r="V3063" s="3" t="inlineStr">
        <is>
          <t>소로각지</t>
        </is>
      </c>
    </row>
    <row r="3064">
      <c r="A3064" s="3" t="inlineStr">
        <is>
          <t>집현동 1244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60000</v>
      </c>
      <c r="G3064" s="4" t="n">
        <v>323</v>
      </c>
      <c r="H3064" s="4" t="n">
        <v>98</v>
      </c>
      <c r="I3064" s="5" t="n">
        <v>612.2</v>
      </c>
      <c r="J3064" s="5" t="n">
        <v>275</v>
      </c>
      <c r="K3064" s="3" t="inlineStr">
        <is>
          <t>코너각지 위치한 토지매매, 공원과 삼성천 뷰 가능</t>
        </is>
      </c>
      <c r="L3064" s="6">
        <f>HYPERLINK("https://fin.land.naver.com/articles/2655487522", "매물Link")</f>
        <v/>
      </c>
      <c r="M3064" s="6">
        <f>HYPERLINK("https://map.naver.com/p/search/집현동 1244", "지도Link")</f>
        <v/>
      </c>
      <c r="N3064" s="6">
        <f>HYPERLINK("http://www.eum.go.kr/web/ar/lu/luLandDet.jsp?pnu=3611011800112440000&amp;isNoScr=script&amp;mode=search", "토지이음")</f>
        <v/>
      </c>
      <c r="O3064" s="3" t="inlineStr">
        <is>
          <t>세종무지개</t>
        </is>
      </c>
      <c r="P3064" s="4" t="n">
        <v>1</v>
      </c>
      <c r="Q3064" s="4" t="n">
        <v>323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소로각지</t>
        </is>
      </c>
    </row>
    <row r="3065">
      <c r="A3065" s="3" t="inlineStr">
        <is>
          <t>집현동 1255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42000</v>
      </c>
      <c r="G3065" s="4" t="n">
        <v>277</v>
      </c>
      <c r="H3065" s="4" t="n">
        <v>84</v>
      </c>
      <c r="I3065" s="5" t="n">
        <v>500</v>
      </c>
      <c r="J3065" s="5" t="n">
        <v>275</v>
      </c>
      <c r="K3065" s="3" t="inlineStr">
        <is>
          <t>추천. 집현동 코너 택지</t>
        </is>
      </c>
      <c r="L3065" s="6">
        <f>HYPERLINK("https://fin.land.naver.com/articles/2651894833", "매물Link")</f>
        <v/>
      </c>
      <c r="M3065" s="6">
        <f>HYPERLINK("https://map.naver.com/p/search/집현동 1255", "지도Link")</f>
        <v/>
      </c>
      <c r="N3065" s="6">
        <f>HYPERLINK("http://www.eum.go.kr/web/ar/lu/luLandDet.jsp?pnu=3611011800112550000&amp;isNoScr=script&amp;mode=search", "토지이음")</f>
        <v/>
      </c>
      <c r="O3065" s="3" t="inlineStr">
        <is>
          <t>강아지풀</t>
        </is>
      </c>
      <c r="P3065" s="4" t="n">
        <v>1</v>
      </c>
      <c r="Q3065" s="4" t="n">
        <v>277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가로장방</t>
        </is>
      </c>
      <c r="V3065" s="3" t="inlineStr">
        <is>
          <t>소로각지</t>
        </is>
      </c>
    </row>
    <row r="3066">
      <c r="A3066" s="3" t="inlineStr">
        <is>
          <t>집현동 1281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160000</v>
      </c>
      <c r="G3066" s="4" t="n">
        <v>521</v>
      </c>
      <c r="H3066" s="4" t="n">
        <v>158</v>
      </c>
      <c r="I3066" s="5" t="n">
        <v>1012.7</v>
      </c>
      <c r="J3066" s="5" t="n">
        <v>320.7</v>
      </c>
      <c r="K3066" s="3" t="inlineStr">
        <is>
          <t>급매 집현동 횡단보도앞 위치좋은 근생부지</t>
        </is>
      </c>
      <c r="L3066" s="6">
        <f>HYPERLINK("https://fin.land.naver.com/articles/2653666306", "매물Link")</f>
        <v/>
      </c>
      <c r="M3066" s="6">
        <f>HYPERLINK("https://map.naver.com/p/search/집현동 1281", "지도Link")</f>
        <v/>
      </c>
      <c r="N3066" s="6">
        <f>HYPERLINK("http://www.eum.go.kr/web/ar/lu/luLandDet.jsp?pnu=3611011800112810000&amp;isNoScr=script&amp;mode=search",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520.5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정방형</t>
        </is>
      </c>
      <c r="V3066" s="3" t="inlineStr">
        <is>
          <t>광대소각</t>
        </is>
      </c>
    </row>
    <row r="3067">
      <c r="A3067" s="3" t="inlineStr">
        <is>
          <t>집현동 1303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45000</v>
      </c>
      <c r="G3067" s="4" t="n">
        <v>308</v>
      </c>
      <c r="H3067" s="4" t="n">
        <v>93</v>
      </c>
      <c r="I3067" s="5" t="n">
        <v>483.9</v>
      </c>
      <c r="J3067" s="5" t="n">
        <v>268.2</v>
      </c>
      <c r="K3067" s="3" t="inlineStr">
        <is>
          <t>D2 남향 보행로접 조율가능</t>
        </is>
      </c>
      <c r="L3067" s="6">
        <f>HYPERLINK("https://fin.land.naver.com/articles/2650653318", "매물Link")</f>
        <v/>
      </c>
      <c r="M3067" s="6">
        <f>HYPERLINK("https://map.naver.com/p/search/집현동 1303", "지도Link")</f>
        <v/>
      </c>
      <c r="N3067" s="6">
        <f>HYPERLINK("http://www.eum.go.kr/web/ar/lu/luLandDet.jsp?pnu=3611011800113030000&amp;isNoScr=script&amp;mode=search",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308.7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집현동 1304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47000</v>
      </c>
      <c r="G3068" s="4" t="n">
        <v>309</v>
      </c>
      <c r="H3068" s="4" t="n">
        <v>93</v>
      </c>
      <c r="I3068" s="5" t="n">
        <v>505.4</v>
      </c>
      <c r="J3068" s="5" t="n">
        <v>268.2</v>
      </c>
      <c r="K3068" s="3" t="inlineStr">
        <is>
          <t>명성공인, 전용93, 집현동 택지 추천 매물</t>
        </is>
      </c>
      <c r="L3068" s="6">
        <f>HYPERLINK("https://fin.land.naver.com/articles/2653841370", "매물Link")</f>
        <v/>
      </c>
      <c r="M3068" s="6">
        <f>HYPERLINK("https://map.naver.com/p/search/집현동 1304", "지도Link")</f>
        <v/>
      </c>
      <c r="N3068" s="6">
        <f>HYPERLINK("http://www.eum.go.kr/web/ar/lu/luLandDet.jsp?pnu=3611011800113040000&amp;isNoScr=script&amp;mode=search", "토지이음")</f>
        <v/>
      </c>
      <c r="O3068" s="3" t="inlineStr">
        <is>
          <t>명성</t>
        </is>
      </c>
      <c r="P3068" s="4" t="n">
        <v>1</v>
      </c>
      <c r="Q3068" s="4" t="n">
        <v>308.7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집현동 1307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61000</v>
      </c>
      <c r="G3069" s="4" t="n">
        <v>300</v>
      </c>
      <c r="H3069" s="4" t="n">
        <v>91</v>
      </c>
      <c r="I3069" s="5" t="n">
        <v>670.3</v>
      </c>
      <c r="J3069" s="5" t="n">
        <v>278.9</v>
      </c>
      <c r="K3069" s="3" t="inlineStr">
        <is>
          <t>남향 코너 택지｜공원 조망 삼성천 괴화산 숲세권</t>
        </is>
      </c>
      <c r="L3069" s="6">
        <f>HYPERLINK("https://fin.land.naver.com/articles/2655725259", "매물Link")</f>
        <v/>
      </c>
      <c r="M3069" s="6">
        <f>HYPERLINK("https://map.naver.com/p/search/집현동 1307", "지도Link")</f>
        <v/>
      </c>
      <c r="N3069" s="6">
        <f>HYPERLINK("http://www.eum.go.kr/web/ar/lu/luLandDet.jsp?pnu=3611011800113070000&amp;isNoScr=script&amp;mode=search", "토지이음")</f>
        <v/>
      </c>
      <c r="O3069" s="3" t="inlineStr">
        <is>
          <t>세종신한</t>
        </is>
      </c>
      <c r="P3069" s="4" t="n">
        <v>1</v>
      </c>
      <c r="Q3069" s="4" t="n">
        <v>300.7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가로장방</t>
        </is>
      </c>
      <c r="V3069" s="3" t="inlineStr">
        <is>
          <t>소로각지</t>
        </is>
      </c>
    </row>
    <row r="3070">
      <c r="A3070" s="3" t="inlineStr">
        <is>
          <t>집현동 1310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37000</v>
      </c>
      <c r="G3070" s="4" t="n">
        <v>279</v>
      </c>
      <c r="H3070" s="4" t="n">
        <v>84</v>
      </c>
      <c r="I3070" s="5" t="n">
        <v>440.5</v>
      </c>
      <c r="J3070" s="5" t="n">
        <v>265.5</v>
      </c>
      <c r="K3070" s="3" t="inlineStr">
        <is>
          <t>급매 D2 남북트인위치 남향 건축가능</t>
        </is>
      </c>
      <c r="L3070" s="6">
        <f>HYPERLINK("https://fin.land.naver.com/articles/2655021935", "매물Link")</f>
        <v/>
      </c>
      <c r="M3070" s="6">
        <f>HYPERLINK("https://map.naver.com/p/search/집현동 1310", "지도Link")</f>
        <v/>
      </c>
      <c r="N3070" s="6">
        <f>HYPERLINK("http://www.eum.go.kr/web/ar/lu/luLandDet.jsp?pnu=3611011800113100000&amp;isNoScr=script&amp;mode=search", "토지이음")</f>
        <v/>
      </c>
      <c r="O3070" s="3" t="inlineStr">
        <is>
          <t>세종스타</t>
        </is>
      </c>
      <c r="P3070" s="4" t="n">
        <v>2</v>
      </c>
      <c r="Q3070" s="4" t="n">
        <v>279.8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집현동 1325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45000</v>
      </c>
      <c r="G3071" s="4" t="n">
        <v>305</v>
      </c>
      <c r="H3071" s="4" t="n">
        <v>92</v>
      </c>
      <c r="I3071" s="5" t="n">
        <v>489.1</v>
      </c>
      <c r="J3071" s="5" t="n">
        <v>265.5</v>
      </c>
      <c r="K3071" s="3" t="inlineStr">
        <is>
          <t>nan</t>
        </is>
      </c>
      <c r="L3071" s="6">
        <f>HYPERLINK("https://fin.land.naver.com/articles/2651658100", "매물Link")</f>
        <v/>
      </c>
      <c r="M3071" s="6">
        <f>HYPERLINK("https://map.naver.com/p/search/집현동 1325", "지도Link")</f>
        <v/>
      </c>
      <c r="N3071" s="6">
        <f>HYPERLINK("http://www.eum.go.kr/web/ar/lu/luLandDet.jsp?pnu=3611011800113250000&amp;isNoScr=script&amp;mode=search", "토지이음")</f>
        <v/>
      </c>
      <c r="O3071" s="3" t="inlineStr">
        <is>
          <t>열린자이</t>
        </is>
      </c>
      <c r="P3071" s="4" t="n">
        <v>1</v>
      </c>
      <c r="Q3071" s="4" t="n">
        <v>304.8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집현동 1334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50000</v>
      </c>
      <c r="G3072" s="4" t="n">
        <v>309</v>
      </c>
      <c r="H3072" s="4" t="n">
        <v>93</v>
      </c>
      <c r="I3072" s="5" t="n">
        <v>537.6</v>
      </c>
      <c r="J3072" s="5" t="n">
        <v>265.5</v>
      </c>
      <c r="K3072" s="3" t="inlineStr">
        <is>
          <t>공원앞 위치좋은단독택지매매 가격조정가능</t>
        </is>
      </c>
      <c r="L3072" s="6">
        <f>HYPERLINK("https://fin.land.naver.com/articles/2653688105", "매물Link")</f>
        <v/>
      </c>
      <c r="M3072" s="6">
        <f>HYPERLINK("https://map.naver.com/p/search/집현동 1334", "지도Link")</f>
        <v/>
      </c>
      <c r="N3072" s="6">
        <f>HYPERLINK("http://www.eum.go.kr/web/ar/lu/luLandDet.jsp?pnu=3611011800113340000&amp;isNoScr=script&amp;mode=search", "토지이음")</f>
        <v/>
      </c>
      <c r="O3072" s="3" t="inlineStr">
        <is>
          <t>고운동리치세종</t>
        </is>
      </c>
      <c r="P3072" s="4" t="n">
        <v>1</v>
      </c>
      <c r="Q3072" s="4" t="n">
        <v>309.8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집현동 1337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55000</v>
      </c>
      <c r="G3073" s="4" t="n">
        <v>357</v>
      </c>
      <c r="H3073" s="4" t="n">
        <v>108</v>
      </c>
      <c r="I3073" s="5" t="n">
        <v>509.3</v>
      </c>
      <c r="J3073" s="5" t="n">
        <v>276</v>
      </c>
      <c r="K3073" s="3" t="inlineStr">
        <is>
          <t>코너자리로 위치좋은 단독택지 가격조정가능</t>
        </is>
      </c>
      <c r="L3073" s="6">
        <f>HYPERLINK("https://fin.land.naver.com/articles/2654718143", "매물Link")</f>
        <v/>
      </c>
      <c r="M3073" s="6">
        <f>HYPERLINK("https://map.naver.com/p/search/집현동 1337", "지도Link")</f>
        <v/>
      </c>
      <c r="N3073" s="6">
        <f>HYPERLINK("http://www.eum.go.kr/web/ar/lu/luLandDet.jsp?pnu=3611011800113370000&amp;isNoScr=script&amp;mode=search", "토지이음")</f>
        <v/>
      </c>
      <c r="O3073" s="3" t="inlineStr">
        <is>
          <t>고운동리치세종</t>
        </is>
      </c>
      <c r="P3073" s="4" t="n">
        <v>1</v>
      </c>
      <c r="Q3073" s="4" t="n">
        <v>357.7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가로장방</t>
        </is>
      </c>
      <c r="V3073" s="3" t="inlineStr">
        <is>
          <t>소로각지</t>
        </is>
      </c>
    </row>
    <row r="3074">
      <c r="A3074" s="3" t="inlineStr">
        <is>
          <t>집현동 1343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60000</v>
      </c>
      <c r="G3074" s="4" t="n">
        <v>390</v>
      </c>
      <c r="H3074" s="4" t="n">
        <v>118</v>
      </c>
      <c r="I3074" s="5" t="n">
        <v>508.5</v>
      </c>
      <c r="J3074" s="5" t="n">
        <v>278.9</v>
      </c>
      <c r="K3074" s="3" t="inlineStr">
        <is>
          <t>탁트인 공원조망 위치최상 왼쪽시유지접 지대높음</t>
        </is>
      </c>
      <c r="L3074" s="6">
        <f>HYPERLINK("https://fin.land.naver.com/articles/2650653242", "매물Link")</f>
        <v/>
      </c>
      <c r="M3074" s="6">
        <f>HYPERLINK("https://map.naver.com/p/search/집현동 1343", "지도Link")</f>
        <v/>
      </c>
      <c r="N3074" s="6">
        <f>HYPERLINK("http://www.eum.go.kr/web/ar/lu/luLandDet.jsp?pnu=3611011800113430000&amp;isNoScr=script&amp;mode=search", "토지이음")</f>
        <v/>
      </c>
      <c r="O3074" s="3" t="inlineStr">
        <is>
          <t>세종스타</t>
        </is>
      </c>
      <c r="P3074" s="4" t="n">
        <v>1</v>
      </c>
      <c r="Q3074" s="4" t="n">
        <v>390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가로장방</t>
        </is>
      </c>
      <c r="V3074" s="3" t="inlineStr">
        <is>
          <t>소로각지</t>
        </is>
      </c>
    </row>
    <row r="3075">
      <c r="A3075" s="3" t="inlineStr">
        <is>
          <t>집현동 1348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55000</v>
      </c>
      <c r="G3075" s="4" t="n">
        <v>414</v>
      </c>
      <c r="H3075" s="4" t="n">
        <v>125</v>
      </c>
      <c r="I3075" s="5" t="n">
        <v>440</v>
      </c>
      <c r="J3075" s="5" t="n">
        <v>278.9</v>
      </c>
      <c r="K3075" s="3" t="inlineStr">
        <is>
          <t>위치좋은 집현동토지매매 평수넓어요</t>
        </is>
      </c>
      <c r="L3075" s="6">
        <f>HYPERLINK("https://fin.land.naver.com/articles/2652656500", "매물Link")</f>
        <v/>
      </c>
      <c r="M3075" s="6">
        <f>HYPERLINK("https://map.naver.com/p/search/집현동 1348", "지도Link")</f>
        <v/>
      </c>
      <c r="N3075" s="6">
        <f>HYPERLINK("http://www.eum.go.kr/web/ar/lu/luLandDet.jsp?pnu=3611011800113480000&amp;isNoScr=script&amp;mode=search", "토지이음")</f>
        <v/>
      </c>
      <c r="O3075" s="3" t="inlineStr">
        <is>
          <t>고운동리치세종</t>
        </is>
      </c>
      <c r="P3075" s="4" t="n">
        <v>2</v>
      </c>
      <c r="Q3075" s="4" t="n">
        <v>414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가로장방</t>
        </is>
      </c>
      <c r="V3075" s="3" t="inlineStr">
        <is>
          <t>소로각지</t>
        </is>
      </c>
    </row>
    <row r="3076">
      <c r="A3076" s="3" t="inlineStr">
        <is>
          <t>한솔동 1000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40500</v>
      </c>
      <c r="G3076" s="4" t="n">
        <v>277</v>
      </c>
      <c r="H3076" s="4" t="n">
        <v>84</v>
      </c>
      <c r="I3076" s="5" t="n">
        <v>482.1</v>
      </c>
      <c r="J3076" s="5" t="n">
        <v>314.9</v>
      </c>
      <c r="K3076" s="3" t="inlineStr">
        <is>
          <t>채광좋음 상권가깝고 뒤로 보행로접함</t>
        </is>
      </c>
      <c r="L3076" s="6">
        <f>HYPERLINK("https://fin.land.naver.com/articles/2655187154", "매물Link")</f>
        <v/>
      </c>
      <c r="M3076" s="6">
        <f>HYPERLINK("https://map.naver.com/p/search/한솔동 1000", "지도Link")</f>
        <v/>
      </c>
      <c r="N3076" s="6">
        <f>HYPERLINK("http://www.eum.go.kr/web/ar/lu/luLandDet.jsp?pnu=3611010600110000000&amp;isNoScr=script&amp;mode=search", "토지이음")</f>
        <v/>
      </c>
      <c r="O3076" s="3" t="inlineStr">
        <is>
          <t>세종스타</t>
        </is>
      </c>
      <c r="P3076" s="4" t="n">
        <v>1</v>
      </c>
      <c r="Q3076" s="4" t="n">
        <v>277.5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소로각지</t>
        </is>
      </c>
    </row>
    <row r="3077">
      <c r="A3077" s="3" t="inlineStr">
        <is>
          <t>한솔동 1000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41500</v>
      </c>
      <c r="G3077" s="4" t="n">
        <v>277</v>
      </c>
      <c r="H3077" s="4" t="n">
        <v>84</v>
      </c>
      <c r="I3077" s="5" t="n">
        <v>494</v>
      </c>
      <c r="J3077" s="5" t="n">
        <v>314.9</v>
      </c>
      <c r="K3077" s="3" t="inlineStr">
        <is>
          <t>급매, 84.1p, 삼거리 코너, 상가와 공원 인근</t>
        </is>
      </c>
      <c r="L3077" s="6">
        <f>HYPERLINK("https://fin.land.naver.com/articles/2654218385", "매물Link")</f>
        <v/>
      </c>
      <c r="M3077" s="6">
        <f>HYPERLINK("https://map.naver.com/p/search/한솔동 1000", "지도Link")</f>
        <v/>
      </c>
      <c r="N3077" s="6">
        <f>HYPERLINK("http://www.eum.go.kr/web/ar/lu/luLandDet.jsp?pnu=3611010600110000000&amp;isNoScr=script&amp;mode=search", "토지이음")</f>
        <v/>
      </c>
      <c r="O3077" s="3" t="inlineStr">
        <is>
          <t>명진</t>
        </is>
      </c>
      <c r="P3077" s="4" t="n">
        <v>1</v>
      </c>
      <c r="Q3077" s="4" t="n">
        <v>277.5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1000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41500</v>
      </c>
      <c r="G3078" s="4" t="n">
        <v>275</v>
      </c>
      <c r="H3078" s="4" t="n">
        <v>83</v>
      </c>
      <c r="I3078" s="5" t="n">
        <v>500</v>
      </c>
      <c r="J3078" s="5" t="n">
        <v>314.9</v>
      </c>
      <c r="K3078" s="3" t="inlineStr">
        <is>
          <t>급매, 총 84.1p, 삼거리 코너 토지</t>
        </is>
      </c>
      <c r="L3078" s="6">
        <f>HYPERLINK("https://fin.land.naver.com/articles/2652841509", "매물Link")</f>
        <v/>
      </c>
      <c r="M3078" s="6">
        <f>HYPERLINK("https://map.naver.com/p/search/한솔동 1000", "지도Link")</f>
        <v/>
      </c>
      <c r="N3078" s="6">
        <f>HYPERLINK("http://www.eum.go.kr/web/ar/lu/luLandDet.jsp?pnu=3611010600110000000&amp;isNoScr=script&amp;mode=search", "토지이음")</f>
        <v/>
      </c>
      <c r="O3078" s="3" t="inlineStr">
        <is>
          <t>세종무지개</t>
        </is>
      </c>
      <c r="P3078" s="4" t="n">
        <v>1</v>
      </c>
      <c r="Q3078" s="4" t="n">
        <v>277.5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1003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52000</v>
      </c>
      <c r="G3079" s="4" t="n">
        <v>277</v>
      </c>
      <c r="H3079" s="4" t="n">
        <v>84</v>
      </c>
      <c r="I3079" s="5" t="n">
        <v>619</v>
      </c>
      <c r="J3079" s="5" t="n">
        <v>314.9</v>
      </c>
      <c r="K3079" s="3" t="inlineStr">
        <is>
          <t>가치있는  즉시 신축 가능 추천  단독주택 도심속전원 시내 시외 진출입</t>
        </is>
      </c>
      <c r="L3079" s="6">
        <f>HYPERLINK("https://fin.land.naver.com/articles/2651707666", "매물Link")</f>
        <v/>
      </c>
      <c r="M3079" s="6">
        <f>HYPERLINK("https://map.naver.com/p/search/한솔동 1003", "지도Link")</f>
        <v/>
      </c>
      <c r="N3079" s="6">
        <f>HYPERLINK("http://www.eum.go.kr/web/ar/lu/luLandDet.jsp?pnu=3611010600110030000&amp;isNoScr=script&amp;mode=search", "토지이음")</f>
        <v/>
      </c>
      <c r="O3079" s="3" t="inlineStr">
        <is>
          <t>세종시삼성래미안</t>
        </is>
      </c>
      <c r="P3079" s="4" t="n">
        <v>1</v>
      </c>
      <c r="Q3079" s="4" t="n">
        <v>277.8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정방형</t>
        </is>
      </c>
      <c r="V3079" s="3" t="inlineStr">
        <is>
          <t>소로각지</t>
        </is>
      </c>
    </row>
    <row r="3080">
      <c r="A3080" s="3" t="inlineStr">
        <is>
          <t>한솔동 1005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50000</v>
      </c>
      <c r="G3080" s="4" t="n">
        <v>277</v>
      </c>
      <c r="H3080" s="4" t="n">
        <v>84</v>
      </c>
      <c r="I3080" s="5" t="n">
        <v>595.2</v>
      </c>
      <c r="J3080" s="5" t="n">
        <v>314.9</v>
      </c>
      <c r="K3080" s="3" t="inlineStr">
        <is>
          <t>급매 채광최상 남서향막힘없음 초중고5분내</t>
        </is>
      </c>
      <c r="L3080" s="6">
        <f>HYPERLINK("https://fin.land.naver.com/articles/2652441626", "매물Link")</f>
        <v/>
      </c>
      <c r="M3080" s="6">
        <f>HYPERLINK("https://map.naver.com/p/search/한솔동 1005", "지도Link")</f>
        <v/>
      </c>
      <c r="N3080" s="6">
        <f>HYPERLINK("http://www.eum.go.kr/web/ar/lu/luLandDet.jsp?pnu=3611010600110050000&amp;isNoScr=script&amp;mode=search", "토지이음")</f>
        <v/>
      </c>
      <c r="O3080" s="3" t="inlineStr">
        <is>
          <t>세종스타</t>
        </is>
      </c>
      <c r="P3080" s="4" t="n">
        <v>1</v>
      </c>
      <c r="Q3080" s="4" t="n">
        <v>276.7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소로각지</t>
        </is>
      </c>
    </row>
    <row r="3081">
      <c r="A3081" s="3" t="inlineStr">
        <is>
          <t>한솔동 1006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62000</v>
      </c>
      <c r="G3081" s="4" t="n">
        <v>394</v>
      </c>
      <c r="H3081" s="4" t="n">
        <v>119</v>
      </c>
      <c r="I3081" s="5" t="n">
        <v>521</v>
      </c>
      <c r="J3081" s="5" t="n">
        <v>314.9</v>
      </c>
      <c r="K3081" s="3" t="inlineStr">
        <is>
          <t>단독주택 토지, 학군인접</t>
        </is>
      </c>
      <c r="L3081" s="6">
        <f>HYPERLINK("https://fin.land.naver.com/articles/2652841375", "매물Link")</f>
        <v/>
      </c>
      <c r="M3081" s="6">
        <f>HYPERLINK("https://map.naver.com/p/search/한솔동 1006", "지도Link")</f>
        <v/>
      </c>
      <c r="N3081" s="6">
        <f>HYPERLINK("http://www.eum.go.kr/web/ar/lu/luLandDet.jsp?pnu=3611010600110060000&amp;isNoScr=script&amp;mode=search", "토지이음")</f>
        <v/>
      </c>
      <c r="O3081" s="3" t="inlineStr">
        <is>
          <t>세종무지개</t>
        </is>
      </c>
      <c r="P3081" s="4" t="n">
        <v>1</v>
      </c>
      <c r="Q3081" s="4" t="n">
        <v>394.9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소로각지</t>
        </is>
      </c>
    </row>
    <row r="3082">
      <c r="A3082" s="3" t="inlineStr">
        <is>
          <t>한솔동 1006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59500</v>
      </c>
      <c r="G3082" s="4" t="n">
        <v>395</v>
      </c>
      <c r="H3082" s="4" t="n">
        <v>119</v>
      </c>
      <c r="I3082" s="5" t="n">
        <v>500</v>
      </c>
      <c r="J3082" s="5" t="n">
        <v>314.9</v>
      </c>
      <c r="K3082" s="3" t="inlineStr">
        <is>
          <t>넓은평형 평단가 저렴한택지 추가조율가능</t>
        </is>
      </c>
      <c r="L3082" s="6">
        <f>HYPERLINK("https://fin.land.naver.com/articles/2652410227", "매물Link")</f>
        <v/>
      </c>
      <c r="M3082" s="6">
        <f>HYPERLINK("https://map.naver.com/p/search/한솔동 1006", "지도Link")</f>
        <v/>
      </c>
      <c r="N3082" s="6">
        <f>HYPERLINK("http://www.eum.go.kr/web/ar/lu/luLandDet.jsp?pnu=3611010600110060000&amp;isNoScr=script&amp;mode=search", "토지이음")</f>
        <v/>
      </c>
      <c r="O3082" s="3" t="inlineStr">
        <is>
          <t>세종스타</t>
        </is>
      </c>
      <c r="P3082" s="4" t="n">
        <v>1</v>
      </c>
      <c r="Q3082" s="4" t="n">
        <v>394.9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정방형</t>
        </is>
      </c>
      <c r="V3082" s="3" t="inlineStr">
        <is>
          <t>소로각지</t>
        </is>
      </c>
    </row>
    <row r="3083">
      <c r="A3083" s="3" t="inlineStr">
        <is>
          <t>한솔동 1006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62000</v>
      </c>
      <c r="G3083" s="4" t="n">
        <v>394</v>
      </c>
      <c r="H3083" s="4" t="n">
        <v>119</v>
      </c>
      <c r="I3083" s="5" t="n">
        <v>521</v>
      </c>
      <c r="J3083" s="5" t="n">
        <v>314.9</v>
      </c>
      <c r="K3083" s="3" t="inlineStr">
        <is>
          <t>총 119.7p, 대형면적 단독주택토지, 한솔초.중.고 인접</t>
        </is>
      </c>
      <c r="L3083" s="6">
        <f>HYPERLINK("https://fin.land.naver.com/articles/2654225978", "매물Link")</f>
        <v/>
      </c>
      <c r="M3083" s="6">
        <f>HYPERLINK("https://map.naver.com/p/search/한솔동 1006", "지도Link")</f>
        <v/>
      </c>
      <c r="N3083" s="6">
        <f>HYPERLINK("http://www.eum.go.kr/web/ar/lu/luLandDet.jsp?pnu=3611010600110060000&amp;isNoScr=script&amp;mode=search", "토지이음")</f>
        <v/>
      </c>
      <c r="O3083" s="3" t="inlineStr">
        <is>
          <t>명진</t>
        </is>
      </c>
      <c r="P3083" s="4" t="n">
        <v>1</v>
      </c>
      <c r="Q3083" s="4" t="n">
        <v>394.9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정방형</t>
        </is>
      </c>
      <c r="V3083" s="3" t="inlineStr">
        <is>
          <t>소로각지</t>
        </is>
      </c>
    </row>
    <row r="3084">
      <c r="A3084" s="3" t="inlineStr">
        <is>
          <t>한솔동 1007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62000</v>
      </c>
      <c r="G3084" s="4" t="n">
        <v>395</v>
      </c>
      <c r="H3084" s="4" t="n">
        <v>119</v>
      </c>
      <c r="I3084" s="5" t="n">
        <v>521</v>
      </c>
      <c r="J3084" s="5" t="n">
        <v>302.8</v>
      </c>
      <c r="K3084" s="3" t="inlineStr">
        <is>
          <t>조정가능 한솔초중고 이마트 코스트코 인근 단독 주택지</t>
        </is>
      </c>
      <c r="L3084" s="6">
        <f>HYPERLINK("https://fin.land.naver.com/articles/2655546678", "매물Link")</f>
        <v/>
      </c>
      <c r="M3084" s="6">
        <f>HYPERLINK("https://map.naver.com/p/search/한솔동 1007", "지도Link")</f>
        <v/>
      </c>
      <c r="N3084" s="6">
        <f>HYPERLINK("http://www.eum.go.kr/web/ar/lu/luLandDet.jsp?pnu=3611010600110070000&amp;isNoScr=script&amp;mode=search", "토지이음")</f>
        <v/>
      </c>
      <c r="O3084" s="3" t="inlineStr">
        <is>
          <t>그래그</t>
        </is>
      </c>
      <c r="P3084" s="4" t="n">
        <v>1</v>
      </c>
      <c r="Q3084" s="4" t="n">
        <v>395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1033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51000</v>
      </c>
      <c r="G3085" s="4" t="n">
        <v>302</v>
      </c>
      <c r="H3085" s="4" t="n">
        <v>91</v>
      </c>
      <c r="I3085" s="5" t="n">
        <v>560.4</v>
      </c>
      <c r="J3085" s="5" t="n">
        <v>314.9</v>
      </c>
      <c r="K3085" s="3" t="inlineStr">
        <is>
          <t>네모 반듯한  내 집 지을 예쁜  토지.주변 인프라 좋음</t>
        </is>
      </c>
      <c r="L3085" s="6">
        <f>HYPERLINK("https://fin.land.naver.com/articles/2650388988", "매물Link")</f>
        <v/>
      </c>
      <c r="M3085" s="6">
        <f>HYPERLINK("https://map.naver.com/p/search/한솔동 1033", "지도Link")</f>
        <v/>
      </c>
      <c r="N3085" s="6">
        <f>HYPERLINK("http://www.eum.go.kr/web/ar/lu/luLandDet.jsp?pnu=3611010600110330000&amp;isNoScr=script&amp;mode=search", "토지이음")</f>
        <v/>
      </c>
      <c r="O3085" s="3" t="inlineStr">
        <is>
          <t>석촌</t>
        </is>
      </c>
      <c r="P3085" s="4" t="n">
        <v>1</v>
      </c>
      <c r="Q3085" s="4" t="n">
        <v>302.1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정방형</t>
        </is>
      </c>
      <c r="V3085" s="3" t="inlineStr">
        <is>
          <t>소로각지</t>
        </is>
      </c>
    </row>
    <row r="3086">
      <c r="A3086" s="3" t="inlineStr">
        <is>
          <t>한솔동 1036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55000</v>
      </c>
      <c r="G3086" s="4" t="n">
        <v>403</v>
      </c>
      <c r="H3086" s="4" t="n">
        <v>122</v>
      </c>
      <c r="I3086" s="5" t="n">
        <v>450.8</v>
      </c>
      <c r="J3086" s="5" t="n">
        <v>290.7</v>
      </c>
      <c r="K3086" s="3" t="inlineStr">
        <is>
          <t>가격 좋은 넓은 평형 토지매매, 조율도 가능</t>
        </is>
      </c>
      <c r="L3086" s="6">
        <f>HYPERLINK("https://fin.land.naver.com/articles/2650427563", "매물Link")</f>
        <v/>
      </c>
      <c r="M3086" s="6">
        <f>HYPERLINK("https://map.naver.com/p/search/한솔동 1036", "지도Link")</f>
        <v/>
      </c>
      <c r="N3086" s="6">
        <f>HYPERLINK("http://www.eum.go.kr/web/ar/lu/luLandDet.jsp?pnu=3611010600110360000&amp;isNoScr=script&amp;mode=search", "토지이음")</f>
        <v/>
      </c>
      <c r="O3086" s="3" t="inlineStr">
        <is>
          <t>세종무지개</t>
        </is>
      </c>
      <c r="P3086" s="4" t="n">
        <v>1</v>
      </c>
      <c r="Q3086" s="4" t="n">
        <v>405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자루형</t>
        </is>
      </c>
      <c r="V3086" s="3" t="inlineStr">
        <is>
          <t>소로한면</t>
        </is>
      </c>
    </row>
    <row r="3087">
      <c r="A3087" s="3" t="inlineStr">
        <is>
          <t>한솔동 1048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41000</v>
      </c>
      <c r="G3087" s="4" t="n">
        <v>294</v>
      </c>
      <c r="H3087" s="4" t="n">
        <v>89</v>
      </c>
      <c r="I3087" s="5" t="n">
        <v>460.7</v>
      </c>
      <c r="J3087" s="5" t="n">
        <v>373.6</v>
      </c>
      <c r="K3087" s="3" t="inlineStr">
        <is>
          <t>남향,교육,상권,교통 생활편리한 한솔동 단독주택지 입니다.</t>
        </is>
      </c>
      <c r="L3087" s="6">
        <f>HYPERLINK("https://fin.land.naver.com/articles/2655008457", "매물Link")</f>
        <v/>
      </c>
      <c r="M3087" s="6">
        <f>HYPERLINK("https://map.naver.com/p/search/한솔동 1048", "지도Link")</f>
        <v/>
      </c>
      <c r="N3087" s="6">
        <f>HYPERLINK("http://www.eum.go.kr/web/ar/lu/luLandDet.jsp?pnu=3611010600110480000&amp;isNoScr=script&amp;mode=search", "토지이음")</f>
        <v/>
      </c>
      <c r="O3087" s="3" t="inlineStr">
        <is>
          <t>디아트성심</t>
        </is>
      </c>
      <c r="P3087" s="4" t="n">
        <v>1</v>
      </c>
      <c r="Q3087" s="4" t="n">
        <v>294.2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1050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50000</v>
      </c>
      <c r="G3088" s="4" t="n">
        <v>294</v>
      </c>
      <c r="H3088" s="4" t="n">
        <v>89</v>
      </c>
      <c r="I3088" s="5" t="n">
        <v>561.8</v>
      </c>
      <c r="J3088" s="5" t="n">
        <v>373.6</v>
      </c>
      <c r="K3088" s="3" t="inlineStr">
        <is>
          <t>남향,교육,상권,교통 생활편리한 한솔동 단독주택지 입니다.</t>
        </is>
      </c>
      <c r="L3088" s="6">
        <f>HYPERLINK("https://fin.land.naver.com/articles/2655008399", "매물Link")</f>
        <v/>
      </c>
      <c r="M3088" s="6">
        <f>HYPERLINK("https://map.naver.com/p/search/한솔동 1050", "지도Link")</f>
        <v/>
      </c>
      <c r="N3088" s="6">
        <f>HYPERLINK("http://www.eum.go.kr/web/ar/lu/luLandDet.jsp?pnu=3611010600110500000&amp;isNoScr=script&amp;mode=search",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294.3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한솔동 1059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50000</v>
      </c>
      <c r="G3089" s="4" t="n">
        <v>312</v>
      </c>
      <c r="H3089" s="4" t="n">
        <v>94</v>
      </c>
      <c r="I3089" s="5" t="n">
        <v>531.9</v>
      </c>
      <c r="J3089" s="5" t="n">
        <v>373.6</v>
      </c>
      <c r="K3089" s="3" t="inlineStr">
        <is>
          <t>상가 및 대중교통 이용 편리한 위치,근린공원 근접</t>
        </is>
      </c>
      <c r="L3089" s="6">
        <f>HYPERLINK("https://fin.land.naver.com/articles/2653795767", "매물Link")</f>
        <v/>
      </c>
      <c r="M3089" s="6">
        <f>HYPERLINK("https://map.naver.com/p/search/한솔동 1059", "지도Link")</f>
        <v/>
      </c>
      <c r="N3089" s="6">
        <f>HYPERLINK("http://www.eum.go.kr/web/ar/lu/luLandDet.jsp?pnu=3611010600110590000&amp;isNoScr=script&amp;mode=search", "토지이음")</f>
        <v/>
      </c>
      <c r="O3089" s="3" t="inlineStr">
        <is>
          <t>현대파라곤</t>
        </is>
      </c>
      <c r="P3089" s="4" t="n">
        <v>2</v>
      </c>
      <c r="Q3089" s="4" t="n">
        <v>312.4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한솔동 1080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59000</v>
      </c>
      <c r="G3090" s="4" t="n">
        <v>301</v>
      </c>
      <c r="H3090" s="4" t="n">
        <v>91</v>
      </c>
      <c r="I3090" s="5" t="n">
        <v>648.4</v>
      </c>
      <c r="J3090" s="5" t="n">
        <v>369.3</v>
      </c>
      <c r="K3090" s="3" t="inlineStr">
        <is>
          <t>총 91.2p, 근린공원인근, 조율가능</t>
        </is>
      </c>
      <c r="L3090" s="6">
        <f>HYPERLINK("https://fin.land.naver.com/articles/2652839380", "매물Link")</f>
        <v/>
      </c>
      <c r="M3090" s="6">
        <f>HYPERLINK("https://map.naver.com/p/search/한솔동 1080", "지도Link")</f>
        <v/>
      </c>
      <c r="N3090" s="6">
        <f>HYPERLINK("http://www.eum.go.kr/web/ar/lu/luLandDet.jsp?pnu=3611010600110800000&amp;isNoScr=script&amp;mode=search", "토지이음")</f>
        <v/>
      </c>
      <c r="O3090" s="3" t="inlineStr">
        <is>
          <t>세종무지개</t>
        </is>
      </c>
      <c r="P3090" s="4" t="n">
        <v>1</v>
      </c>
      <c r="Q3090" s="4" t="n">
        <v>301.1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1080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59000</v>
      </c>
      <c r="G3091" s="4" t="n">
        <v>301</v>
      </c>
      <c r="H3091" s="4" t="n">
        <v>91</v>
      </c>
      <c r="I3091" s="5" t="n">
        <v>648.4</v>
      </c>
      <c r="J3091" s="5" t="n">
        <v>369.3</v>
      </c>
      <c r="K3091" s="3" t="inlineStr">
        <is>
          <t>총 91.2p, 한솔동 전원주택지, 위치좋은 토지</t>
        </is>
      </c>
      <c r="L3091" s="6">
        <f>HYPERLINK("https://fin.land.naver.com/articles/2654927736", "매물Link")</f>
        <v/>
      </c>
      <c r="M3091" s="6">
        <f>HYPERLINK("https://map.naver.com/p/search/한솔동 1080", "지도Link")</f>
        <v/>
      </c>
      <c r="N3091" s="6">
        <f>HYPERLINK("http://www.eum.go.kr/web/ar/lu/luLandDet.jsp?pnu=3611010600110800000&amp;isNoScr=script&amp;mode=search", "토지이음")</f>
        <v/>
      </c>
      <c r="O3091" s="3" t="inlineStr">
        <is>
          <t>명진</t>
        </is>
      </c>
      <c r="P3091" s="4" t="n">
        <v>1</v>
      </c>
      <c r="Q3091" s="4" t="n">
        <v>301.1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1086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60000</v>
      </c>
      <c r="G3092" s="4" t="n">
        <v>310</v>
      </c>
      <c r="H3092" s="4" t="n">
        <v>94</v>
      </c>
      <c r="I3092" s="5" t="n">
        <v>638.3</v>
      </c>
      <c r="J3092" s="5" t="n">
        <v>377.2</v>
      </c>
      <c r="K3092" s="3" t="inlineStr">
        <is>
          <t>nan</t>
        </is>
      </c>
      <c r="L3092" s="6">
        <f>HYPERLINK("https://fin.land.naver.com/articles/2655011623", "매물Link")</f>
        <v/>
      </c>
      <c r="M3092" s="6">
        <f>HYPERLINK("https://map.naver.com/p/search/한솔동 1086", "지도Link")</f>
        <v/>
      </c>
      <c r="N3092" s="6">
        <f>HYPERLINK("http://www.eum.go.kr/web/ar/lu/luLandDet.jsp?pnu=3611010600110860000&amp;isNoScr=script&amp;mode=search", "토지이음")</f>
        <v/>
      </c>
      <c r="O3092" s="3" t="inlineStr">
        <is>
          <t>디아트성심</t>
        </is>
      </c>
      <c r="P3092" s="4" t="n">
        <v>1</v>
      </c>
      <c r="Q3092" s="4" t="n">
        <v>302.9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한솔동 1086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60000</v>
      </c>
      <c r="G3093" s="4" t="n">
        <v>302</v>
      </c>
      <c r="H3093" s="4" t="n">
        <v>91</v>
      </c>
      <c r="I3093" s="5" t="n">
        <v>659.3</v>
      </c>
      <c r="J3093" s="5" t="n">
        <v>377.2</v>
      </c>
      <c r="K3093" s="3" t="inlineStr">
        <is>
          <t>황제급매 즉시신축 핵심시설 어울린 전원주택 먼곳 찾을필요 없을것 같아요</t>
        </is>
      </c>
      <c r="L3093" s="6">
        <f>HYPERLINK("https://fin.land.naver.com/articles/2654861252", "매물Link")</f>
        <v/>
      </c>
      <c r="M3093" s="6">
        <f>HYPERLINK("https://map.naver.com/p/search/한솔동 1086", "지도Link")</f>
        <v/>
      </c>
      <c r="N3093" s="6">
        <f>HYPERLINK("http://www.eum.go.kr/web/ar/lu/luLandDet.jsp?pnu=3611010600110860000&amp;isNoScr=script&amp;mode=search", "토지이음")</f>
        <v/>
      </c>
      <c r="O3093" s="3" t="inlineStr">
        <is>
          <t>삼성래미안</t>
        </is>
      </c>
      <c r="P3093" s="4" t="n">
        <v>3</v>
      </c>
      <c r="Q3093" s="4" t="n">
        <v>302.9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한솔동 1087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85000</v>
      </c>
      <c r="G3094" s="4" t="n">
        <v>305</v>
      </c>
      <c r="H3094" s="4" t="n">
        <v>92</v>
      </c>
      <c r="I3094" s="5" t="n">
        <v>923.9</v>
      </c>
      <c r="J3094" s="5" t="n">
        <v>377.2</v>
      </c>
      <c r="K3094" s="3" t="inlineStr">
        <is>
          <t>nan</t>
        </is>
      </c>
      <c r="L3094" s="6">
        <f>HYPERLINK("https://fin.land.naver.com/articles/2655007481", "매물Link")</f>
        <v/>
      </c>
      <c r="M3094" s="6">
        <f>HYPERLINK("https://map.naver.com/p/search/한솔동 1087", "지도Link")</f>
        <v/>
      </c>
      <c r="N3094" s="6">
        <f>HYPERLINK("http://www.eum.go.kr/web/ar/lu/luLandDet.jsp?pnu=3611010600110870000&amp;isNoScr=script&amp;mode=search",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303.9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세로장방</t>
        </is>
      </c>
      <c r="V3094" s="3" t="inlineStr">
        <is>
          <t>소로한면</t>
        </is>
      </c>
    </row>
    <row r="3095">
      <c r="A3095" s="3" t="inlineStr">
        <is>
          <t>한솔동 1098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80000</v>
      </c>
      <c r="G3095" s="4" t="n">
        <v>314</v>
      </c>
      <c r="H3095" s="4" t="n">
        <v>95</v>
      </c>
      <c r="I3095" s="5" t="n">
        <v>842.1</v>
      </c>
      <c r="J3095" s="5" t="n">
        <v>373.6</v>
      </c>
      <c r="K3095" s="3" t="inlineStr">
        <is>
          <t>삼거리 코너입지, 한솔동 단독주택지</t>
        </is>
      </c>
      <c r="L3095" s="6">
        <f>HYPERLINK("https://fin.land.naver.com/articles/2650427968", "매물Link")</f>
        <v/>
      </c>
      <c r="M3095" s="6">
        <f>HYPERLINK("https://map.naver.com/p/search/한솔동 1098", "지도Link")</f>
        <v/>
      </c>
      <c r="N3095" s="6">
        <f>HYPERLINK("http://www.eum.go.kr/web/ar/lu/luLandDet.jsp?pnu=3611010600110980000&amp;isNoScr=script&amp;mode=search", "토지이음")</f>
        <v/>
      </c>
      <c r="O3095" s="3" t="inlineStr">
        <is>
          <t>세종무지개</t>
        </is>
      </c>
      <c r="P3095" s="4" t="n">
        <v>1</v>
      </c>
      <c r="Q3095" s="4" t="n">
        <v>314.9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1098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80000</v>
      </c>
      <c r="G3096" s="4" t="n">
        <v>314</v>
      </c>
      <c r="H3096" s="4" t="n">
        <v>95</v>
      </c>
      <c r="I3096" s="5" t="n">
        <v>842.1</v>
      </c>
      <c r="J3096" s="5" t="n">
        <v>373.6</v>
      </c>
      <c r="K3096" s="3" t="inlineStr">
        <is>
          <t>조건 파격조율가능 도심속전원 시내 시외 진출입편리 이곳은 엘도라도입니다</t>
        </is>
      </c>
      <c r="L3096" s="6">
        <f>HYPERLINK("https://fin.land.naver.com/articles/2654203210", "매물Link")</f>
        <v/>
      </c>
      <c r="M3096" s="6">
        <f>HYPERLINK("https://map.naver.com/p/search/한솔동 1098", "지도Link")</f>
        <v/>
      </c>
      <c r="N3096" s="6">
        <f>HYPERLINK("http://www.eum.go.kr/web/ar/lu/luLandDet.jsp?pnu=3611010600110980000&amp;isNoScr=script&amp;mode=search", "토지이음")</f>
        <v/>
      </c>
      <c r="O3096" s="3" t="inlineStr">
        <is>
          <t>세종시삼성래미안</t>
        </is>
      </c>
      <c r="P3096" s="4" t="n">
        <v>1</v>
      </c>
      <c r="Q3096" s="4" t="n">
        <v>314.9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소로한면</t>
        </is>
      </c>
    </row>
    <row r="3097">
      <c r="A3097" s="3" t="inlineStr">
        <is>
          <t>한솔동 1098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80000</v>
      </c>
      <c r="G3097" s="4" t="n">
        <v>314</v>
      </c>
      <c r="H3097" s="4" t="n">
        <v>95</v>
      </c>
      <c r="I3097" s="5" t="n">
        <v>842.1</v>
      </c>
      <c r="J3097" s="5" t="n">
        <v>373.6</v>
      </c>
      <c r="K3097" s="3" t="inlineStr">
        <is>
          <t>95.4p, 삼거리코너 맞은편, 새뜸1단지 앞 단독주택 토지</t>
        </is>
      </c>
      <c r="L3097" s="6">
        <f>HYPERLINK("https://fin.land.naver.com/articles/2654927138", "매물Link")</f>
        <v/>
      </c>
      <c r="M3097" s="6">
        <f>HYPERLINK("https://map.naver.com/p/search/한솔동 1098", "지도Link")</f>
        <v/>
      </c>
      <c r="N3097" s="6">
        <f>HYPERLINK("http://www.eum.go.kr/web/ar/lu/luLandDet.jsp?pnu=3611010600110980000&amp;isNoScr=script&amp;mode=search", "토지이음")</f>
        <v/>
      </c>
      <c r="O3097" s="3" t="inlineStr">
        <is>
          <t>명진</t>
        </is>
      </c>
      <c r="P3097" s="4" t="n">
        <v>1</v>
      </c>
      <c r="Q3097" s="4" t="n">
        <v>314.9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1122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80000</v>
      </c>
      <c r="G3098" s="4" t="n">
        <v>310</v>
      </c>
      <c r="H3098" s="4" t="n">
        <v>94</v>
      </c>
      <c r="I3098" s="5" t="n">
        <v>851.1</v>
      </c>
      <c r="J3098" s="5" t="n">
        <v>376.9</v>
      </c>
      <c r="K3098" s="3" t="inlineStr">
        <is>
          <t>한솔동 단독주택 토지매매</t>
        </is>
      </c>
      <c r="L3098" s="6">
        <f>HYPERLINK("https://fin.land.naver.com/articles/2650427036", "매물Link")</f>
        <v/>
      </c>
      <c r="M3098" s="6">
        <f>HYPERLINK("https://map.naver.com/p/search/한솔동 1122", "지도Link")</f>
        <v/>
      </c>
      <c r="N3098" s="6">
        <f>HYPERLINK("http://www.eum.go.kr/web/ar/lu/luLandDet.jsp?pnu=3611010600111220000&amp;isNoScr=script&amp;mode=search", "토지이음")</f>
        <v/>
      </c>
      <c r="O3098" s="3" t="inlineStr">
        <is>
          <t>세종무지개</t>
        </is>
      </c>
      <c r="P3098" s="4" t="n">
        <v>1</v>
      </c>
      <c r="Q3098" s="4" t="n">
        <v>310.1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세로장방</t>
        </is>
      </c>
      <c r="V3098" s="3" t="inlineStr">
        <is>
          <t>소로한면</t>
        </is>
      </c>
    </row>
    <row r="3099">
      <c r="A3099" s="3" t="inlineStr">
        <is>
          <t>한솔동 1122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80000</v>
      </c>
      <c r="G3099" s="4" t="n">
        <v>310</v>
      </c>
      <c r="H3099" s="4" t="n">
        <v>94</v>
      </c>
      <c r="I3099" s="5" t="n">
        <v>851.1</v>
      </c>
      <c r="J3099" s="5" t="n">
        <v>376.9</v>
      </c>
      <c r="K3099" s="3" t="inlineStr">
        <is>
          <t>총 94p, 한솔동 단독주택지 토지</t>
        </is>
      </c>
      <c r="L3099" s="6">
        <f>HYPERLINK("https://fin.land.naver.com/articles/2654920463", "매물Link")</f>
        <v/>
      </c>
      <c r="M3099" s="6">
        <f>HYPERLINK("https://map.naver.com/p/search/한솔동 1122", "지도Link")</f>
        <v/>
      </c>
      <c r="N3099" s="6">
        <f>HYPERLINK("http://www.eum.go.kr/web/ar/lu/luLandDet.jsp?pnu=3611010600111220000&amp;isNoScr=script&amp;mode=search", "토지이음")</f>
        <v/>
      </c>
      <c r="O3099" s="3" t="inlineStr">
        <is>
          <t>명진</t>
        </is>
      </c>
      <c r="P3099" s="4" t="n">
        <v>1</v>
      </c>
      <c r="Q3099" s="4" t="n">
        <v>310.1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한솔동 1135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55000</v>
      </c>
      <c r="G3100" s="4" t="n">
        <v>309</v>
      </c>
      <c r="H3100" s="4" t="n">
        <v>93</v>
      </c>
      <c r="I3100" s="5" t="n">
        <v>591.4</v>
      </c>
      <c r="J3100" s="5" t="n">
        <v>376.9</v>
      </c>
      <c r="K3100" s="3" t="inlineStr">
        <is>
          <t>새롬동과 한솔동사이 경사진 단독전용 택지,협의가능</t>
        </is>
      </c>
      <c r="L3100" s="6">
        <f>HYPERLINK("https://fin.land.naver.com/articles/2653031834", "매물Link")</f>
        <v/>
      </c>
      <c r="M3100" s="6">
        <f>HYPERLINK("https://map.naver.com/p/search/한솔동 1135", "지도Link")</f>
        <v/>
      </c>
      <c r="N3100" s="6">
        <f>HYPERLINK("http://www.eum.go.kr/web/ar/lu/luLandDet.jsp?pnu=3611010600111350000&amp;isNoScr=script&amp;mode=search", "토지이음")</f>
        <v/>
      </c>
      <c r="O3100" s="3" t="inlineStr">
        <is>
          <t>세종나라</t>
        </is>
      </c>
      <c r="P3100" s="4" t="n">
        <v>2</v>
      </c>
      <c r="Q3100" s="4" t="n">
        <v>309.9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한솔동 1152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75000</v>
      </c>
      <c r="G3101" s="4" t="n">
        <v>309</v>
      </c>
      <c r="H3101" s="4" t="n">
        <v>93</v>
      </c>
      <c r="I3101" s="5" t="n">
        <v>806.5</v>
      </c>
      <c r="J3101" s="5" t="n">
        <v>376.9</v>
      </c>
      <c r="K3101" s="3" t="inlineStr">
        <is>
          <t>한솔동 인기주택지중 좋은위치의 저렴한 택지로 조율 가능함</t>
        </is>
      </c>
      <c r="L3101" s="6">
        <f>HYPERLINK("https://fin.land.naver.com/articles/2654594075", "매물Link")</f>
        <v/>
      </c>
      <c r="M3101" s="6">
        <f>HYPERLINK("https://map.naver.com/p/search/한솔동 1152", "지도Link")</f>
        <v/>
      </c>
      <c r="N3101" s="6">
        <f>HYPERLINK("http://www.eum.go.kr/web/ar/lu/luLandDet.jsp?pnu=3611010600111520000&amp;isNoScr=script&amp;mode=search", "토지이음")</f>
        <v/>
      </c>
      <c r="O3101" s="3" t="inlineStr">
        <is>
          <t>바로그</t>
        </is>
      </c>
      <c r="P3101" s="4" t="n">
        <v>1</v>
      </c>
      <c r="Q3101" s="4" t="n">
        <v>309.4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한솔동 1175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90000</v>
      </c>
      <c r="G3102" s="4" t="n">
        <v>407</v>
      </c>
      <c r="H3102" s="4" t="n">
        <v>123</v>
      </c>
      <c r="I3102" s="5" t="n">
        <v>731.7</v>
      </c>
      <c r="J3102" s="5" t="n">
        <v>389.8</v>
      </c>
      <c r="K3102" s="3" t="inlineStr">
        <is>
          <t>nan</t>
        </is>
      </c>
      <c r="L3102" s="6">
        <f>HYPERLINK("https://fin.land.naver.com/articles/2655008691", "매물Link")</f>
        <v/>
      </c>
      <c r="M3102" s="6">
        <f>HYPERLINK("https://map.naver.com/p/search/한솔동 1175", "지도Link")</f>
        <v/>
      </c>
      <c r="N3102" s="6">
        <f>HYPERLINK("http://www.eum.go.kr/web/ar/lu/luLandDet.jsp?pnu=3611010600111750000&amp;isNoScr=script&amp;mode=search", "토지이음")</f>
        <v/>
      </c>
      <c r="O3102" s="3" t="inlineStr">
        <is>
          <t>디아트성심</t>
        </is>
      </c>
      <c r="P3102" s="4" t="n">
        <v>1</v>
      </c>
      <c r="Q3102" s="4" t="n">
        <v>407.1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정방형</t>
        </is>
      </c>
      <c r="V3102" s="3" t="inlineStr">
        <is>
          <t>소로한면</t>
        </is>
      </c>
    </row>
    <row r="3103">
      <c r="A3103" s="3" t="inlineStr">
        <is>
          <t>한솔동 1175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90000</v>
      </c>
      <c r="G3103" s="4" t="n">
        <v>407</v>
      </c>
      <c r="H3103" s="4" t="n">
        <v>123</v>
      </c>
      <c r="I3103" s="5" t="n">
        <v>731.7</v>
      </c>
      <c r="J3103" s="5" t="n">
        <v>389.8</v>
      </c>
      <c r="K3103" s="3" t="inlineStr">
        <is>
          <t>총 123.4p, 새뜸1단지 맞은편</t>
        </is>
      </c>
      <c r="L3103" s="6">
        <f>HYPERLINK("https://fin.land.naver.com/articles/2654232425", "매물Link")</f>
        <v/>
      </c>
      <c r="M3103" s="6">
        <f>HYPERLINK("https://map.naver.com/p/search/한솔동 1175", "지도Link")</f>
        <v/>
      </c>
      <c r="N3103" s="6">
        <f>HYPERLINK("http://www.eum.go.kr/web/ar/lu/luLandDet.jsp?pnu=3611010600111750000&amp;isNoScr=script&amp;mode=search", "토지이음")</f>
        <v/>
      </c>
      <c r="O3103" s="3" t="inlineStr">
        <is>
          <t>명진</t>
        </is>
      </c>
      <c r="P3103" s="4" t="n">
        <v>1</v>
      </c>
      <c r="Q3103" s="4" t="n">
        <v>407.1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정방형</t>
        </is>
      </c>
      <c r="V3103" s="3" t="inlineStr">
        <is>
          <t>소로한면</t>
        </is>
      </c>
    </row>
    <row r="3104">
      <c r="A3104" s="3" t="inlineStr">
        <is>
          <t>한솔동 1175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90000</v>
      </c>
      <c r="G3104" s="4" t="n">
        <v>407</v>
      </c>
      <c r="H3104" s="4" t="n">
        <v>123</v>
      </c>
      <c r="I3104" s="5" t="n">
        <v>731.7</v>
      </c>
      <c r="J3104" s="5" t="n">
        <v>389.8</v>
      </c>
      <c r="K3104" s="3" t="inlineStr">
        <is>
          <t>넓은 평형 토지매매, 한솔동</t>
        </is>
      </c>
      <c r="L3104" s="6">
        <f>HYPERLINK("https://fin.land.naver.com/articles/2650427381", "매물Link")</f>
        <v/>
      </c>
      <c r="M3104" s="6">
        <f>HYPERLINK("https://map.naver.com/p/search/한솔동 1175", "지도Link")</f>
        <v/>
      </c>
      <c r="N3104" s="6">
        <f>HYPERLINK("http://www.eum.go.kr/web/ar/lu/luLandDet.jsp?pnu=3611010600111750000&amp;isNoScr=script&amp;mode=search", "토지이음")</f>
        <v/>
      </c>
      <c r="O3104" s="3" t="inlineStr">
        <is>
          <t>세종무지개</t>
        </is>
      </c>
      <c r="P3104" s="4" t="n">
        <v>1</v>
      </c>
      <c r="Q3104" s="4" t="n">
        <v>407.1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정방형</t>
        </is>
      </c>
      <c r="V3104" s="3" t="inlineStr">
        <is>
          <t>소로한면</t>
        </is>
      </c>
    </row>
    <row r="3105">
      <c r="A3105" s="3" t="inlineStr">
        <is>
          <t>한솔동 1187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60000</v>
      </c>
      <c r="G3105" s="4" t="n">
        <v>420</v>
      </c>
      <c r="H3105" s="4" t="n">
        <v>127</v>
      </c>
      <c r="I3105" s="5" t="n">
        <v>472.4</v>
      </c>
      <c r="J3105" s="5" t="n">
        <v>391.7</v>
      </c>
      <c r="K3105" s="3" t="inlineStr">
        <is>
          <t>대형평수 코너각지 위치최상 조율협의</t>
        </is>
      </c>
      <c r="L3105" s="6">
        <f>HYPERLINK("https://fin.land.naver.com/articles/2655186672", "매물Link")</f>
        <v/>
      </c>
      <c r="M3105" s="6">
        <f>HYPERLINK("https://map.naver.com/p/search/한솔동 1187", "지도Link")</f>
        <v/>
      </c>
      <c r="N3105" s="6">
        <f>HYPERLINK("http://www.eum.go.kr/web/ar/lu/luLandDet.jsp?pnu=3611010600111870000&amp;isNoScr=script&amp;mode=search", "토지이음")</f>
        <v/>
      </c>
      <c r="O3105" s="3" t="inlineStr">
        <is>
          <t>세종스타</t>
        </is>
      </c>
      <c r="P3105" s="4" t="n">
        <v>2</v>
      </c>
      <c r="Q3105" s="4" t="n">
        <v>420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소로각지</t>
        </is>
      </c>
    </row>
    <row r="3106">
      <c r="A3106" s="3" t="inlineStr">
        <is>
          <t>한솔동 1193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65000</v>
      </c>
      <c r="G3106" s="4" t="n">
        <v>320</v>
      </c>
      <c r="H3106" s="4" t="n">
        <v>97</v>
      </c>
      <c r="I3106" s="5" t="n">
        <v>670.1</v>
      </c>
      <c r="J3106" s="5" t="n">
        <v>391.7</v>
      </c>
      <c r="K3106" s="3" t="inlineStr">
        <is>
          <t>코너위치좋은한솔동단독택지매매 가격조정가능</t>
        </is>
      </c>
      <c r="L3106" s="6">
        <f>HYPERLINK("https://fin.land.naver.com/articles/2651789377", "매물Link")</f>
        <v/>
      </c>
      <c r="M3106" s="6">
        <f>HYPERLINK("https://map.naver.com/p/search/한솔동 1193", "지도Link")</f>
        <v/>
      </c>
      <c r="N3106" s="6">
        <f>HYPERLINK("http://www.eum.go.kr/web/ar/lu/luLandDet.jsp?pnu=3611010600111930000&amp;isNoScr=script&amp;mode=search", "토지이음")</f>
        <v/>
      </c>
      <c r="O3106" s="3" t="inlineStr">
        <is>
          <t>고운동리치세종</t>
        </is>
      </c>
      <c r="P3106" s="4" t="n">
        <v>2</v>
      </c>
      <c r="Q3106" s="4" t="n">
        <v>320.1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소로각지</t>
        </is>
      </c>
    </row>
    <row r="3107">
      <c r="A3107" s="3" t="inlineStr">
        <is>
          <t>한솔동 1194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49000</v>
      </c>
      <c r="G3107" s="4" t="n">
        <v>335</v>
      </c>
      <c r="H3107" s="4" t="n">
        <v>101</v>
      </c>
      <c r="I3107" s="5" t="n">
        <v>485.1</v>
      </c>
      <c r="J3107" s="5" t="n">
        <v>376.9</v>
      </c>
      <c r="K3107" s="3" t="inlineStr">
        <is>
          <t>101p.단독택지.1분거리.학원.마트.초중고.5분.단독주택.전원주택.추천</t>
        </is>
      </c>
      <c r="L3107" s="6">
        <f>HYPERLINK("https://fin.land.naver.com/articles/2654690294", "매물Link")</f>
        <v/>
      </c>
      <c r="M3107" s="6">
        <f>HYPERLINK("https://map.naver.com/p/search/한솔동 1194", "지도Link")</f>
        <v/>
      </c>
      <c r="N3107" s="6">
        <f>HYPERLINK("http://www.eum.go.kr/web/ar/lu/luLandDet.jsp?pnu=3611010600111940000&amp;isNoScr=script&amp;mode=search", "토지이음")</f>
        <v/>
      </c>
      <c r="O3107" s="3" t="inlineStr">
        <is>
          <t>원</t>
        </is>
      </c>
      <c r="P3107" s="4" t="n">
        <v>1</v>
      </c>
      <c r="Q3107" s="4" t="n">
        <v>335.4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세로장방</t>
        </is>
      </c>
      <c r="V3107" s="3" t="inlineStr">
        <is>
          <t>소로한면</t>
        </is>
      </c>
    </row>
    <row r="3108">
      <c r="A3108" s="3" t="inlineStr">
        <is>
          <t>한솔동 1194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49000</v>
      </c>
      <c r="G3108" s="4" t="n">
        <v>335</v>
      </c>
      <c r="H3108" s="4" t="n">
        <v>101</v>
      </c>
      <c r="I3108" s="5" t="n">
        <v>485.1</v>
      </c>
      <c r="J3108" s="5" t="n">
        <v>376.9</v>
      </c>
      <c r="K3108" s="3" t="inlineStr">
        <is>
          <t>급매 추가조율가능 한솔D2 최저가 초중고도보 상권인접</t>
        </is>
      </c>
      <c r="L3108" s="6">
        <f>HYPERLINK("https://fin.land.naver.com/articles/2655177545", "매물Link")</f>
        <v/>
      </c>
      <c r="M3108" s="6">
        <f>HYPERLINK("https://map.naver.com/p/search/한솔동 1194", "지도Link")</f>
        <v/>
      </c>
      <c r="N3108" s="6">
        <f>HYPERLINK("http://www.eum.go.kr/web/ar/lu/luLandDet.jsp?pnu=3611010600111940000&amp;isNoScr=script&amp;mode=search", "토지이음")</f>
        <v/>
      </c>
      <c r="O3108" s="3" t="inlineStr">
        <is>
          <t>세종스타</t>
        </is>
      </c>
      <c r="P3108" s="4" t="n">
        <v>2</v>
      </c>
      <c r="Q3108" s="4" t="n">
        <v>335.4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한솔동 1197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75000</v>
      </c>
      <c r="G3109" s="4" t="n">
        <v>320</v>
      </c>
      <c r="H3109" s="4" t="n">
        <v>97</v>
      </c>
      <c r="I3109" s="5" t="n">
        <v>773.2</v>
      </c>
      <c r="J3109" s="5" t="n">
        <v>391.7</v>
      </c>
      <c r="K3109" s="3" t="inlineStr">
        <is>
          <t>공원앞 코너각지토지 97p 답답하지않은 위치</t>
        </is>
      </c>
      <c r="L3109" s="6">
        <f>HYPERLINK("https://fin.land.naver.com/articles/2653171975", "매물Link")</f>
        <v/>
      </c>
      <c r="M3109" s="6">
        <f>HYPERLINK("https://map.naver.com/p/search/한솔동 1197", "지도Link")</f>
        <v/>
      </c>
      <c r="N3109" s="6">
        <f>HYPERLINK("http://www.eum.go.kr/web/ar/lu/luLandDet.jsp?pnu=3611010600111970000&amp;isNoScr=script&amp;mode=search", "토지이음")</f>
        <v/>
      </c>
      <c r="O3109" s="3" t="inlineStr">
        <is>
          <t>세종365</t>
        </is>
      </c>
      <c r="P3109" s="4" t="n">
        <v>1</v>
      </c>
      <c r="Q3109" s="4" t="n">
        <v>320.4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소로각지</t>
        </is>
      </c>
    </row>
    <row r="3110">
      <c r="A3110" s="3" t="inlineStr">
        <is>
          <t>한솔동 1201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60000</v>
      </c>
      <c r="G3110" s="4" t="n">
        <v>294</v>
      </c>
      <c r="H3110" s="4" t="n">
        <v>89</v>
      </c>
      <c r="I3110" s="5" t="n">
        <v>674.2</v>
      </c>
      <c r="J3110" s="5" t="n">
        <v>376.9</v>
      </c>
      <c r="K3110" s="3" t="inlineStr">
        <is>
          <t>위치좋은 단독주택지, 직접보시면 더 좋아요</t>
        </is>
      </c>
      <c r="L3110" s="6">
        <f>HYPERLINK("https://fin.land.naver.com/articles/2654798480", "매물Link")</f>
        <v/>
      </c>
      <c r="M3110" s="6">
        <f>HYPERLINK("https://map.naver.com/p/search/한솔동 1201", "지도Link")</f>
        <v/>
      </c>
      <c r="N3110" s="6">
        <f>HYPERLINK("http://www.eum.go.kr/web/ar/lu/luLandDet.jsp?pnu=3611010600112010000&amp;isNoScr=script&amp;mode=search", "토지이음")</f>
        <v/>
      </c>
      <c r="O3110" s="3" t="inlineStr">
        <is>
          <t>리브</t>
        </is>
      </c>
      <c r="P3110" s="4" t="n">
        <v>1</v>
      </c>
      <c r="Q3110" s="4" t="n">
        <v>294.6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한솔동 1207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50000</v>
      </c>
      <c r="G3111" s="4" t="n">
        <v>329</v>
      </c>
      <c r="H3111" s="4" t="n">
        <v>100</v>
      </c>
      <c r="I3111" s="5" t="n">
        <v>500</v>
      </c>
      <c r="J3111" s="5" t="n">
        <v>376.9</v>
      </c>
      <c r="K3111" s="3" t="inlineStr">
        <is>
          <t>총 99.8p, 조율가능, 네모반듯한 남향 예쁜 토지</t>
        </is>
      </c>
      <c r="L3111" s="6">
        <f>HYPERLINK("https://fin.land.naver.com/articles/2651947606", "매물Link")</f>
        <v/>
      </c>
      <c r="M3111" s="6">
        <f>HYPERLINK("https://map.naver.com/p/search/한솔동 1207", "지도Link")</f>
        <v/>
      </c>
      <c r="N3111" s="6">
        <f>HYPERLINK("http://www.eum.go.kr/web/ar/lu/luLandDet.jsp?pnu=3611010600112070000&amp;isNoScr=script&amp;mode=search", "토지이음")</f>
        <v/>
      </c>
      <c r="O3111" s="3" t="inlineStr">
        <is>
          <t>명진</t>
        </is>
      </c>
      <c r="P3111" s="4" t="n">
        <v>1</v>
      </c>
      <c r="Q3111" s="4" t="n">
        <v>329.5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소로한면</t>
        </is>
      </c>
    </row>
    <row r="3112">
      <c r="A3112" s="3" t="inlineStr">
        <is>
          <t>한솔동 1207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50000</v>
      </c>
      <c r="G3112" s="4" t="n">
        <v>329</v>
      </c>
      <c r="H3112" s="4" t="n">
        <v>100</v>
      </c>
      <c r="I3112" s="5" t="n">
        <v>500</v>
      </c>
      <c r="J3112" s="5" t="n">
        <v>376.9</v>
      </c>
      <c r="K3112" s="3" t="inlineStr">
        <is>
          <t>인기지역 D2 땅모양좋음 조율가능</t>
        </is>
      </c>
      <c r="L3112" s="6">
        <f>HYPERLINK("https://fin.land.naver.com/articles/2650653609", "매물Link")</f>
        <v/>
      </c>
      <c r="M3112" s="6">
        <f>HYPERLINK("https://map.naver.com/p/search/한솔동 1207", "지도Link")</f>
        <v/>
      </c>
      <c r="N3112" s="6">
        <f>HYPERLINK("http://www.eum.go.kr/web/ar/lu/luLandDet.jsp?pnu=3611010600112070000&amp;isNoScr=script&amp;mode=search", "토지이음")</f>
        <v/>
      </c>
      <c r="O3112" s="3" t="inlineStr">
        <is>
          <t>세종스타</t>
        </is>
      </c>
      <c r="P3112" s="4" t="n">
        <v>1</v>
      </c>
      <c r="Q3112" s="4" t="n">
        <v>329.5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소로한면</t>
        </is>
      </c>
    </row>
    <row r="3113">
      <c r="A3113" s="3" t="inlineStr">
        <is>
          <t>한솔동 1207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50000</v>
      </c>
      <c r="G3113" s="4" t="n">
        <v>329</v>
      </c>
      <c r="H3113" s="4" t="n">
        <v>100</v>
      </c>
      <c r="I3113" s="5" t="n">
        <v>500</v>
      </c>
      <c r="J3113" s="5" t="n">
        <v>376.9</v>
      </c>
      <c r="K3113" s="3" t="inlineStr">
        <is>
          <t>네모 반듯한 예쁜 토지 매매, 입지 굿</t>
        </is>
      </c>
      <c r="L3113" s="6">
        <f>HYPERLINK("https://fin.land.naver.com/articles/2650893847", "매물Link")</f>
        <v/>
      </c>
      <c r="M3113" s="6">
        <f>HYPERLINK("https://map.naver.com/p/search/한솔동 1207", "지도Link")</f>
        <v/>
      </c>
      <c r="N3113" s="6">
        <f>HYPERLINK("http://www.eum.go.kr/web/ar/lu/luLandDet.jsp?pnu=3611010600112070000&amp;isNoScr=script&amp;mode=search", "토지이음")</f>
        <v/>
      </c>
      <c r="O3113" s="3" t="inlineStr">
        <is>
          <t>세종무지개</t>
        </is>
      </c>
      <c r="P3113" s="4" t="n">
        <v>1</v>
      </c>
      <c r="Q3113" s="4" t="n">
        <v>329.5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한솔동 1208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45000</v>
      </c>
      <c r="G3114" s="4" t="n">
        <v>299</v>
      </c>
      <c r="H3114" s="4" t="n">
        <v>90</v>
      </c>
      <c r="I3114" s="5" t="n">
        <v>500</v>
      </c>
      <c r="J3114" s="5" t="n">
        <v>376.9</v>
      </c>
      <c r="K3114" s="3" t="inlineStr">
        <is>
          <t>nan</t>
        </is>
      </c>
      <c r="L3114" s="6">
        <f>HYPERLINK("https://fin.land.naver.com/articles/2654337391", "매물Link")</f>
        <v/>
      </c>
      <c r="M3114" s="6">
        <f>HYPERLINK("https://map.naver.com/p/search/한솔동 1208", "지도Link")</f>
        <v/>
      </c>
      <c r="N3114" s="6">
        <f>HYPERLINK("http://www.eum.go.kr/web/ar/lu/luLandDet.jsp?pnu=3611010600112080000&amp;isNoScr=script&amp;mode=search", "토지이음")</f>
        <v/>
      </c>
      <c r="O3114" s="3" t="inlineStr">
        <is>
          <t>봄마중</t>
        </is>
      </c>
      <c r="P3114" s="4" t="n">
        <v>1</v>
      </c>
      <c r="Q3114" s="4" t="n">
        <v>299.8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1211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39000</v>
      </c>
      <c r="G3115" s="4" t="n">
        <v>323</v>
      </c>
      <c r="H3115" s="4" t="n">
        <v>98</v>
      </c>
      <c r="I3115" s="5" t="n">
        <v>398</v>
      </c>
      <c r="J3115" s="5" t="n">
        <v>373.6</v>
      </c>
      <c r="K3115" s="3" t="inlineStr">
        <is>
          <t>생활편리한 한솔동 단독주택지입니다.</t>
        </is>
      </c>
      <c r="L3115" s="6">
        <f>HYPERLINK("https://fin.land.naver.com/articles/2655008964", "매물Link")</f>
        <v/>
      </c>
      <c r="M3115" s="6">
        <f>HYPERLINK("https://map.naver.com/p/search/한솔동 1211", "지도Link")</f>
        <v/>
      </c>
      <c r="N3115" s="6">
        <f>HYPERLINK("http://www.eum.go.kr/web/ar/lu/luLandDet.jsp?pnu=3611010600112110000&amp;isNoScr=script&amp;mode=search", "토지이음")</f>
        <v/>
      </c>
      <c r="O3115" s="3" t="inlineStr">
        <is>
          <t>디아트성심</t>
        </is>
      </c>
      <c r="P3115" s="4" t="n">
        <v>1</v>
      </c>
      <c r="Q3115" s="4" t="n">
        <v>323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소로한면</t>
        </is>
      </c>
    </row>
    <row r="3116">
      <c r="A3116" s="3" t="inlineStr">
        <is>
          <t>한솔동 1211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39000</v>
      </c>
      <c r="G3116" s="4" t="n">
        <v>323</v>
      </c>
      <c r="H3116" s="4" t="n">
        <v>98</v>
      </c>
      <c r="I3116" s="5" t="n">
        <v>398</v>
      </c>
      <c r="J3116" s="5" t="n">
        <v>373.6</v>
      </c>
      <c r="K3116" s="3" t="inlineStr">
        <is>
          <t>nan</t>
        </is>
      </c>
      <c r="L3116" s="6">
        <f>HYPERLINK("https://fin.land.naver.com/articles/2655515706", "매물Link")</f>
        <v/>
      </c>
      <c r="M3116" s="6">
        <f>HYPERLINK("https://map.naver.com/p/search/한솔동 1211", "지도Link")</f>
        <v/>
      </c>
      <c r="N3116" s="6">
        <f>HYPERLINK("http://www.eum.go.kr/web/ar/lu/luLandDet.jsp?pnu=3611010600112110000&amp;isNoScr=script&amp;mode=search", "토지이음")</f>
        <v/>
      </c>
      <c r="O3116" s="3" t="inlineStr">
        <is>
          <t>고운동리치세종</t>
        </is>
      </c>
      <c r="P3116" s="4" t="n">
        <v>2</v>
      </c>
      <c r="Q3116" s="4" t="n">
        <v>323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정방형</t>
        </is>
      </c>
      <c r="V3116" s="3" t="inlineStr">
        <is>
          <t>소로한면</t>
        </is>
      </c>
    </row>
    <row r="3117">
      <c r="A3117" s="3" t="inlineStr">
        <is>
          <t>한솔동 865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80000</v>
      </c>
      <c r="G3117" s="4" t="n">
        <v>353</v>
      </c>
      <c r="H3117" s="4" t="n">
        <v>107</v>
      </c>
      <c r="I3117" s="5" t="n">
        <v>747.7</v>
      </c>
      <c r="J3117" s="5" t="n">
        <v>403</v>
      </c>
      <c r="K3117" s="3" t="inlineStr">
        <is>
          <t>세종시 한솔동 도심속 전원주택부지 매매</t>
        </is>
      </c>
      <c r="L3117" s="6">
        <f>HYPERLINK("https://fin.land.naver.com/articles/2651763249", "매물Link")</f>
        <v/>
      </c>
      <c r="M3117" s="6">
        <f>HYPERLINK("https://map.naver.com/p/search/한솔동 865", "지도Link")</f>
        <v/>
      </c>
      <c r="N3117" s="6">
        <f>HYPERLINK("http://www.eum.go.kr/web/ar/lu/luLandDet.jsp?pnu=3611010600108650000&amp;isNoScr=script&amp;mode=search", "토지이음")</f>
        <v/>
      </c>
      <c r="O3117" s="3" t="inlineStr">
        <is>
          <t>전원</t>
        </is>
      </c>
      <c r="P3117" s="4" t="n">
        <v>2</v>
      </c>
      <c r="Q3117" s="4" t="n">
        <v>353.4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소로한면</t>
        </is>
      </c>
    </row>
    <row r="3118">
      <c r="A3118" s="3" t="inlineStr">
        <is>
          <t>한솔동 865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80000</v>
      </c>
      <c r="G3118" s="4" t="n">
        <v>353</v>
      </c>
      <c r="H3118" s="4" t="n">
        <v>107</v>
      </c>
      <c r="I3118" s="5" t="n">
        <v>747.7</v>
      </c>
      <c r="J3118" s="5" t="n">
        <v>403</v>
      </c>
      <c r="K3118" s="3" t="inlineStr">
        <is>
          <t>총 107.1p, 한솔동 단독주택지</t>
        </is>
      </c>
      <c r="L3118" s="6">
        <f>HYPERLINK("https://fin.land.naver.com/articles/2653682654", "매물Link")</f>
        <v/>
      </c>
      <c r="M3118" s="6">
        <f>HYPERLINK("https://map.naver.com/p/search/한솔동 865", "지도Link")</f>
        <v/>
      </c>
      <c r="N3118" s="6">
        <f>HYPERLINK("http://www.eum.go.kr/web/ar/lu/luLandDet.jsp?pnu=3611010600108650000&amp;isNoScr=script&amp;mode=search", "토지이음")</f>
        <v/>
      </c>
      <c r="O3118" s="3" t="inlineStr">
        <is>
          <t>명진</t>
        </is>
      </c>
      <c r="P3118" s="4" t="n">
        <v>1</v>
      </c>
      <c r="Q3118" s="4" t="n">
        <v>353.4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소로한면</t>
        </is>
      </c>
    </row>
    <row r="3119">
      <c r="A3119" s="3" t="inlineStr">
        <is>
          <t>한솔동 865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80000</v>
      </c>
      <c r="G3119" s="4" t="n">
        <v>352</v>
      </c>
      <c r="H3119" s="4" t="n">
        <v>106</v>
      </c>
      <c r="I3119" s="5" t="n">
        <v>754.7</v>
      </c>
      <c r="J3119" s="5" t="n">
        <v>403</v>
      </c>
      <c r="K3119" s="3" t="inlineStr">
        <is>
          <t>공원 인근, 조용한고 편리한 단독주택지 토지매매</t>
        </is>
      </c>
      <c r="L3119" s="6">
        <f>HYPERLINK("https://fin.land.naver.com/articles/2650427090", "매물Link")</f>
        <v/>
      </c>
      <c r="M3119" s="6">
        <f>HYPERLINK("https://map.naver.com/p/search/한솔동 865", "지도Link")</f>
        <v/>
      </c>
      <c r="N3119" s="6">
        <f>HYPERLINK("http://www.eum.go.kr/web/ar/lu/luLandDet.jsp?pnu=3611010600108650000&amp;isNoScr=script&amp;mode=search", "토지이음")</f>
        <v/>
      </c>
      <c r="O3119" s="3" t="inlineStr">
        <is>
          <t>세종무지개</t>
        </is>
      </c>
      <c r="P3119" s="4" t="n">
        <v>1</v>
      </c>
      <c r="Q3119" s="4" t="n">
        <v>353.4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한솔동 865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80000</v>
      </c>
      <c r="G3120" s="4" t="n">
        <v>353</v>
      </c>
      <c r="H3120" s="4" t="n">
        <v>107</v>
      </c>
      <c r="I3120" s="5" t="n">
        <v>747.7</v>
      </c>
      <c r="J3120" s="5" t="n">
        <v>403</v>
      </c>
      <c r="K3120" s="3" t="inlineStr">
        <is>
          <t>nan</t>
        </is>
      </c>
      <c r="L3120" s="6">
        <f>HYPERLINK("https://fin.land.naver.com/articles/2655007350", "매물Link")</f>
        <v/>
      </c>
      <c r="M3120" s="6">
        <f>HYPERLINK("https://map.naver.com/p/search/한솔동 865", "지도Link")</f>
        <v/>
      </c>
      <c r="N3120" s="6">
        <f>HYPERLINK("http://www.eum.go.kr/web/ar/lu/luLandDet.jsp?pnu=3611010600108650000&amp;isNoScr=script&amp;mode=search", "토지이음")</f>
        <v/>
      </c>
      <c r="O3120" s="3" t="inlineStr">
        <is>
          <t>디아트성심</t>
        </is>
      </c>
      <c r="P3120" s="4" t="n">
        <v>1</v>
      </c>
      <c r="Q3120" s="4" t="n">
        <v>353.4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소로한면</t>
        </is>
      </c>
    </row>
    <row r="3121">
      <c r="A3121" s="3" t="inlineStr">
        <is>
          <t>한솔동 874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62000</v>
      </c>
      <c r="G3121" s="4" t="n">
        <v>304</v>
      </c>
      <c r="H3121" s="4" t="n">
        <v>92</v>
      </c>
      <c r="I3121" s="5" t="n">
        <v>673.9</v>
      </c>
      <c r="J3121" s="5" t="n">
        <v>394.7</v>
      </c>
      <c r="K3121" s="3" t="inlineStr">
        <is>
          <t>nan</t>
        </is>
      </c>
      <c r="L3121" s="6">
        <f>HYPERLINK("https://fin.land.naver.com/articles/2655009445", "매물Link")</f>
        <v/>
      </c>
      <c r="M3121" s="6">
        <f>HYPERLINK("https://map.naver.com/p/search/한솔동 874", "지도Link")</f>
        <v/>
      </c>
      <c r="N3121" s="6">
        <f>HYPERLINK("http://www.eum.go.kr/web/ar/lu/luLandDet.jsp?pnu=3611010600108740000&amp;isNoScr=script&amp;mode=search", "토지이음")</f>
        <v/>
      </c>
      <c r="O3121" s="3" t="inlineStr">
        <is>
          <t>디아트성심</t>
        </is>
      </c>
      <c r="P3121" s="4" t="n">
        <v>1</v>
      </c>
      <c r="Q3121" s="4" t="n">
        <v>325.8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소로한면</t>
        </is>
      </c>
    </row>
    <row r="3122">
      <c r="A3122" s="3" t="inlineStr">
        <is>
          <t>한솔동 877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61000</v>
      </c>
      <c r="G3122" s="4" t="n">
        <v>326</v>
      </c>
      <c r="H3122" s="4" t="n">
        <v>99</v>
      </c>
      <c r="I3122" s="5" t="n">
        <v>616.2</v>
      </c>
      <c r="J3122" s="5" t="n">
        <v>394.7</v>
      </c>
      <c r="K3122" s="3" t="inlineStr">
        <is>
          <t>nan</t>
        </is>
      </c>
      <c r="L3122" s="6">
        <f>HYPERLINK("https://fin.land.naver.com/articles/2655011453", "매물Link")</f>
        <v/>
      </c>
      <c r="M3122" s="6">
        <f>HYPERLINK("https://map.naver.com/p/search/한솔동 877", "지도Link")</f>
        <v/>
      </c>
      <c r="N3122" s="6">
        <f>HYPERLINK("http://www.eum.go.kr/web/ar/lu/luLandDet.jsp?pnu=3611010600108770000&amp;isNoScr=script&amp;mode=search", "토지이음")</f>
        <v/>
      </c>
      <c r="O3122" s="3" t="inlineStr">
        <is>
          <t>디아트성심</t>
        </is>
      </c>
      <c r="P3122" s="4" t="n">
        <v>1</v>
      </c>
      <c r="Q3122" s="4" t="n">
        <v>326.5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소로한면</t>
        </is>
      </c>
    </row>
    <row r="3123">
      <c r="A3123" s="3" t="inlineStr">
        <is>
          <t>한솔동 885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57000</v>
      </c>
      <c r="G3123" s="4" t="n">
        <v>292</v>
      </c>
      <c r="H3123" s="4" t="n">
        <v>88</v>
      </c>
      <c r="I3123" s="5" t="n">
        <v>647.7</v>
      </c>
      <c r="J3123" s="5" t="n">
        <v>410.9</v>
      </c>
      <c r="K3123" s="3" t="inlineStr">
        <is>
          <t>D1 귀한매물 새롬동학원가도보 조율가능</t>
        </is>
      </c>
      <c r="L3123" s="6">
        <f>HYPERLINK("https://fin.land.naver.com/articles/2652410283", "매물Link")</f>
        <v/>
      </c>
      <c r="M3123" s="6">
        <f>HYPERLINK("https://map.naver.com/p/search/한솔동 885", "지도Link")</f>
        <v/>
      </c>
      <c r="N3123" s="6">
        <f>HYPERLINK("http://www.eum.go.kr/web/ar/lu/luLandDet.jsp?pnu=3611010600108850000&amp;isNoScr=script&amp;mode=search", "토지이음")</f>
        <v/>
      </c>
      <c r="O3123" s="3" t="inlineStr">
        <is>
          <t>세종스타</t>
        </is>
      </c>
      <c r="P3123" s="4" t="n">
        <v>1</v>
      </c>
      <c r="Q3123" s="4" t="n">
        <v>292.2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한솔동 967</t>
        </is>
      </c>
      <c r="B3124" s="3" t="inlineStr">
        <is>
          <t>준주거지역</t>
        </is>
      </c>
      <c r="C3124" s="3" t="inlineStr">
        <is>
          <t>주차장</t>
        </is>
      </c>
      <c r="D3124" s="3" t="inlineStr">
        <is>
          <t>주차장</t>
        </is>
      </c>
      <c r="E3124" s="3" t="inlineStr">
        <is>
          <t>매매</t>
        </is>
      </c>
      <c r="F3124" s="4" t="n">
        <v>580000</v>
      </c>
      <c r="G3124" s="4" t="n">
        <v>1407</v>
      </c>
      <c r="H3124" s="4" t="n">
        <v>426</v>
      </c>
      <c r="I3124" s="5" t="n">
        <v>1361.5</v>
      </c>
      <c r="J3124" s="5" t="n">
        <v>741.2</v>
      </c>
      <c r="K3124" s="3" t="inlineStr">
        <is>
          <t>세종 첫마을 넓은 주차장으로 대형마트나 고급 식당 사옥 추천 드립니다</t>
        </is>
      </c>
      <c r="L3124" s="6">
        <f>HYPERLINK("https://fin.land.naver.com/articles/2652035481", "매물Link")</f>
        <v/>
      </c>
      <c r="M3124" s="6">
        <f>HYPERLINK("https://map.naver.com/p/search/한솔동 967", "지도Link")</f>
        <v/>
      </c>
      <c r="N3124" s="6">
        <f>HYPERLINK("http://www.eum.go.kr/web/ar/lu/luLandDet.jsp?pnu=3611010600109670000&amp;isNoScr=script&amp;mode=search", "토지이음")</f>
        <v/>
      </c>
      <c r="O3124" s="3" t="inlineStr">
        <is>
          <t>자이행복</t>
        </is>
      </c>
      <c r="P3124" s="4" t="n">
        <v>1</v>
      </c>
      <c r="Q3124" s="4" t="n">
        <v>1407</v>
      </c>
      <c r="R3124" s="3" t="inlineStr">
        <is>
          <t>지정되지않음</t>
        </is>
      </c>
      <c r="S3124" s="3" t="inlineStr">
        <is>
          <t>주차장등</t>
        </is>
      </c>
      <c r="T3124" s="3" t="inlineStr">
        <is>
          <t>평지</t>
        </is>
      </c>
      <c r="U3124" s="3" t="inlineStr">
        <is>
          <t>가로장방</t>
        </is>
      </c>
      <c r="V3124" s="3" t="inlineStr">
        <is>
          <t>중로한면</t>
        </is>
      </c>
    </row>
    <row r="3125">
      <c r="A3125" s="3" t="inlineStr">
        <is>
          <t>한솔동 989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55000</v>
      </c>
      <c r="G3125" s="4" t="n">
        <v>326</v>
      </c>
      <c r="H3125" s="4" t="n">
        <v>99</v>
      </c>
      <c r="I3125" s="5" t="n">
        <v>555.6</v>
      </c>
      <c r="J3125" s="5" t="n">
        <v>302.8</v>
      </c>
      <c r="K3125" s="3" t="inlineStr">
        <is>
          <t>생활 인프라가 완비된 2생활권 내 희소성 높은 알짜 토지.</t>
        </is>
      </c>
      <c r="L3125" s="6">
        <f>HYPERLINK("https://fin.land.naver.com/articles/2654570640", "매물Link")</f>
        <v/>
      </c>
      <c r="M3125" s="6">
        <f>HYPERLINK("https://map.naver.com/p/search/한솔동 989", "지도Link")</f>
        <v/>
      </c>
      <c r="N3125" s="6">
        <f>HYPERLINK("http://www.eum.go.kr/web/ar/lu/luLandDet.jsp?pnu=3611010600109890000&amp;isNoScr=script&amp;mode=search", "토지이음")</f>
        <v/>
      </c>
      <c r="O3125" s="3" t="inlineStr">
        <is>
          <t>이룸</t>
        </is>
      </c>
      <c r="P3125" s="4" t="n">
        <v>1</v>
      </c>
      <c r="Q3125" s="4" t="n">
        <v>326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한솔동 992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55000</v>
      </c>
      <c r="G3126" s="4" t="n">
        <v>355</v>
      </c>
      <c r="H3126" s="4" t="n">
        <v>107</v>
      </c>
      <c r="I3126" s="5" t="n">
        <v>514</v>
      </c>
      <c r="J3126" s="5" t="n">
        <v>314.9</v>
      </c>
      <c r="K3126" s="3" t="inlineStr">
        <is>
          <t>조율가능 공원낀위치 상권최인접 한솔초중고 도보5분</t>
        </is>
      </c>
      <c r="L3126" s="6">
        <f>HYPERLINK("https://fin.land.naver.com/articles/2653667235", "매물Link")</f>
        <v/>
      </c>
      <c r="M3126" s="6">
        <f>HYPERLINK("https://map.naver.com/p/search/한솔동 992", "지도Link")</f>
        <v/>
      </c>
      <c r="N3126" s="6">
        <f>HYPERLINK("http://www.eum.go.kr/web/ar/lu/luLandDet.jsp?pnu=3611010600109920000&amp;isNoScr=script&amp;mode=search", "토지이음")</f>
        <v/>
      </c>
      <c r="O3126" s="3" t="inlineStr">
        <is>
          <t>세종스타</t>
        </is>
      </c>
      <c r="P3126" s="4" t="n">
        <v>1</v>
      </c>
      <c r="Q3126" s="4" t="n">
        <v>355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소로각지</t>
        </is>
      </c>
    </row>
    <row r="3127">
      <c r="A3127" s="3" t="inlineStr">
        <is>
          <t>해밀동 678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155000</v>
      </c>
      <c r="G3127" s="4" t="n">
        <v>446</v>
      </c>
      <c r="H3127" s="4" t="n">
        <v>135</v>
      </c>
      <c r="I3127" s="5" t="n">
        <v>1148.1</v>
      </c>
      <c r="J3127" s="5" t="n">
        <v>379.2</v>
      </c>
      <c r="K3127" s="3" t="inlineStr">
        <is>
          <t>조율가능 N4 코너각지 3층건축가능 사옥 음식점 카페 애견샵 추천</t>
        </is>
      </c>
      <c r="L3127" s="6">
        <f>HYPERLINK("https://fin.land.naver.com/articles/2652136712", "매물Link")</f>
        <v/>
      </c>
      <c r="M3127" s="6">
        <f>HYPERLINK("https://map.naver.com/p/search/해밀동 678", "지도Link")</f>
        <v/>
      </c>
      <c r="N3127" s="6">
        <f>HYPERLINK("http://www.eum.go.kr/web/ar/lu/luLandDet.jsp?pnu=3611011600106780000&amp;isNoScr=script&amp;mode=search", "토지이음")</f>
        <v/>
      </c>
      <c r="O3127" s="3" t="inlineStr">
        <is>
          <t>세종스타</t>
        </is>
      </c>
      <c r="P3127" s="4" t="n">
        <v>1</v>
      </c>
      <c r="Q3127" s="4" t="n">
        <v>446.4</v>
      </c>
      <c r="R3127" s="3" t="inlineStr">
        <is>
          <t>지정되지않음</t>
        </is>
      </c>
      <c r="S3127" s="3" t="inlineStr">
        <is>
          <t>상업나지</t>
        </is>
      </c>
      <c r="T3127" s="3" t="inlineStr">
        <is>
          <t>평지</t>
        </is>
      </c>
      <c r="U3127" s="3" t="inlineStr">
        <is>
          <t>사다리형</t>
        </is>
      </c>
      <c r="V3127" s="3" t="inlineStr">
        <is>
          <t>중로한면</t>
        </is>
      </c>
    </row>
    <row r="3128">
      <c r="A3128" s="3" t="inlineStr">
        <is>
          <t>해밀동 687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145000</v>
      </c>
      <c r="G3128" s="4" t="n">
        <v>403</v>
      </c>
      <c r="H3128" s="4" t="n">
        <v>122</v>
      </c>
      <c r="I3128" s="5" t="n">
        <v>1188.5</v>
      </c>
      <c r="J3128" s="5" t="n">
        <v>383.1</v>
      </c>
      <c r="K3128" s="3" t="inlineStr">
        <is>
          <t>N5 근생부지 3층건축가능</t>
        </is>
      </c>
      <c r="L3128" s="6">
        <f>HYPERLINK("https://fin.land.naver.com/articles/2653666438", "매물Link")</f>
        <v/>
      </c>
      <c r="M3128" s="6">
        <f>HYPERLINK("https://map.naver.com/p/search/해밀동 687", "지도Link")</f>
        <v/>
      </c>
      <c r="N3128" s="6">
        <f>HYPERLINK("http://www.eum.go.kr/web/ar/lu/luLandDet.jsp?pnu=3611011600106870000&amp;isNoScr=script&amp;mode=search", "토지이음")</f>
        <v/>
      </c>
      <c r="O3128" s="3" t="inlineStr">
        <is>
          <t>세종스타</t>
        </is>
      </c>
      <c r="P3128" s="4" t="n">
        <v>1</v>
      </c>
      <c r="Q3128" s="4" t="n">
        <v>403.2</v>
      </c>
      <c r="R3128" s="3" t="inlineStr">
        <is>
          <t>지정되지않음</t>
        </is>
      </c>
      <c r="S3128" s="3" t="inlineStr">
        <is>
          <t>상업나지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중로한면</t>
        </is>
      </c>
    </row>
    <row r="3129">
      <c r="A3129" s="3" t="inlineStr">
        <is>
          <t>해밀동 700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401300</v>
      </c>
      <c r="G3129" s="4" t="n">
        <v>2949</v>
      </c>
      <c r="H3129" s="4" t="n">
        <v>892</v>
      </c>
      <c r="I3129" s="5" t="n">
        <v>449.9</v>
      </c>
      <c r="J3129" s="5" t="n">
        <v>219.8</v>
      </c>
      <c r="K3129" s="3" t="inlineStr">
        <is>
          <t>해밀동 제1종전용주거 타운하우스 부지, 15가구 개발가능</t>
        </is>
      </c>
      <c r="L3129" s="6">
        <f>HYPERLINK("https://fin.land.naver.com/articles/2654022827", "매물Link")</f>
        <v/>
      </c>
      <c r="M3129" s="6">
        <f>HYPERLINK("https://map.naver.com/p/search/해밀동 700", "지도Link")</f>
        <v/>
      </c>
      <c r="N3129" s="6">
        <f>HYPERLINK("http://www.eum.go.kr/web/ar/lu/luLandDet.jsp?pnu=3611011600107000000&amp;isNoScr=script&amp;mode=search", "토지이음")</f>
        <v/>
      </c>
      <c r="O3129" s="3" t="inlineStr">
        <is>
          <t>스카이</t>
        </is>
      </c>
      <c r="P3129" s="4" t="n">
        <v>1</v>
      </c>
      <c r="Q3129" s="4" t="n">
        <v>2948.1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소로한면</t>
        </is>
      </c>
    </row>
    <row r="3130">
      <c r="A3130" s="3" t="inlineStr">
        <is>
          <t>해밀동 702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431600</v>
      </c>
      <c r="G3130" s="4" t="n">
        <v>3170</v>
      </c>
      <c r="H3130" s="4" t="n">
        <v>959</v>
      </c>
      <c r="I3130" s="5" t="n">
        <v>450.1</v>
      </c>
      <c r="J3130" s="5" t="n">
        <v>219.8</v>
      </c>
      <c r="K3130" s="3" t="inlineStr">
        <is>
          <t>세종시 해밀동 토지 매매 숲속 타운하우스 15가구 부지 대지 3,170㎡</t>
        </is>
      </c>
      <c r="L3130" s="6">
        <f>HYPERLINK("https://fin.land.naver.com/articles/2651744353", "매물Link")</f>
        <v/>
      </c>
      <c r="M3130" s="6">
        <f>HYPERLINK("https://map.naver.com/p/search/해밀동 702", "지도Link")</f>
        <v/>
      </c>
      <c r="N3130" s="6">
        <f>HYPERLINK("http://www.eum.go.kr/web/ar/lu/luLandDet.jsp?pnu=3611011600107020000&amp;isNoScr=script&amp;mode=search", "토지이음")</f>
        <v/>
      </c>
      <c r="O3130" s="3" t="inlineStr">
        <is>
          <t>세종</t>
        </is>
      </c>
      <c r="P3130" s="4" t="n">
        <v>1</v>
      </c>
      <c r="Q3130" s="4" t="n">
        <v>3170.9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해밀동 704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60000</v>
      </c>
      <c r="G3131" s="4" t="n">
        <v>289</v>
      </c>
      <c r="H3131" s="4" t="n">
        <v>87</v>
      </c>
      <c r="I3131" s="5" t="n">
        <v>689.7</v>
      </c>
      <c r="J3131" s="5" t="n">
        <v>241.1</v>
      </c>
      <c r="K3131" s="3" t="inlineStr">
        <is>
          <t>조율가능 지대높음 원수산뷰 학교,상가 가까움</t>
        </is>
      </c>
      <c r="L3131" s="6">
        <f>HYPERLINK("https://fin.land.naver.com/articles/2652136537", "매물Link")</f>
        <v/>
      </c>
      <c r="M3131" s="6">
        <f>HYPERLINK("https://map.naver.com/p/search/해밀동 704", "지도Link")</f>
        <v/>
      </c>
      <c r="N3131" s="6">
        <f>HYPERLINK("http://www.eum.go.kr/web/ar/lu/luLandDet.jsp?pnu=3611011600107040000&amp;isNoScr=script&amp;mode=search",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289.4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해밀동 713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58000</v>
      </c>
      <c r="G3132" s="4" t="n">
        <v>324</v>
      </c>
      <c r="H3132" s="4" t="n">
        <v>98</v>
      </c>
      <c r="I3132" s="5" t="n">
        <v>591.8</v>
      </c>
      <c r="J3132" s="5" t="n">
        <v>241.1</v>
      </c>
      <c r="K3132" s="3" t="inlineStr">
        <is>
          <t>98.18p, 해밀동 네모 반듯한 단독주택 토지매매</t>
        </is>
      </c>
      <c r="L3132" s="6">
        <f>HYPERLINK("https://fin.land.naver.com/articles/2654925092", "매물Link")</f>
        <v/>
      </c>
      <c r="M3132" s="6">
        <f>HYPERLINK("https://map.naver.com/p/search/해밀동 713", "지도Link")</f>
        <v/>
      </c>
      <c r="N3132" s="6">
        <f>HYPERLINK("http://www.eum.go.kr/web/ar/lu/luLandDet.jsp?pnu=3611011600107130000&amp;isNoScr=script&amp;mode=search", "토지이음")</f>
        <v/>
      </c>
      <c r="O3132" s="3" t="inlineStr">
        <is>
          <t>명진</t>
        </is>
      </c>
      <c r="P3132" s="4" t="n">
        <v>1</v>
      </c>
      <c r="Q3132" s="4" t="n">
        <v>324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정방형</t>
        </is>
      </c>
      <c r="V3132" s="3" t="inlineStr">
        <is>
          <t>소로한면</t>
        </is>
      </c>
    </row>
    <row r="3133">
      <c r="A3133" s="3" t="inlineStr">
        <is>
          <t>해밀동 713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58000</v>
      </c>
      <c r="G3133" s="4" t="n">
        <v>324</v>
      </c>
      <c r="H3133" s="4" t="n">
        <v>98</v>
      </c>
      <c r="I3133" s="5" t="n">
        <v>591.8</v>
      </c>
      <c r="J3133" s="5" t="n">
        <v>241.1</v>
      </c>
      <c r="K3133" s="3" t="inlineStr">
        <is>
          <t>조율가능 남동향 트인위치 땅모양 좋음</t>
        </is>
      </c>
      <c r="L3133" s="6">
        <f>HYPERLINK("https://fin.land.naver.com/articles/2655182096", "매물Link")</f>
        <v/>
      </c>
      <c r="M3133" s="6">
        <f>HYPERLINK("https://map.naver.com/p/search/해밀동 713", "지도Link")</f>
        <v/>
      </c>
      <c r="N3133" s="6">
        <f>HYPERLINK("http://www.eum.go.kr/web/ar/lu/luLandDet.jsp?pnu=3611011600107130000&amp;isNoScr=script&amp;mode=search", "토지이음")</f>
        <v/>
      </c>
      <c r="O3133" s="3" t="inlineStr">
        <is>
          <t>세종스타</t>
        </is>
      </c>
      <c r="P3133" s="4" t="n">
        <v>1</v>
      </c>
      <c r="Q3133" s="4" t="n">
        <v>324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정방형</t>
        </is>
      </c>
      <c r="V3133" s="3" t="inlineStr">
        <is>
          <t>소로한면</t>
        </is>
      </c>
    </row>
    <row r="3134">
      <c r="A3134" s="3" t="inlineStr">
        <is>
          <t>해밀동 756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57000</v>
      </c>
      <c r="G3134" s="4" t="n">
        <v>326</v>
      </c>
      <c r="H3134" s="4" t="n">
        <v>99</v>
      </c>
      <c r="I3134" s="5" t="n">
        <v>575.8</v>
      </c>
      <c r="J3134" s="5" t="n">
        <v>241.1</v>
      </c>
      <c r="K3134" s="3" t="inlineStr">
        <is>
          <t>조율가능 넓은평수 코너 보행로접</t>
        </is>
      </c>
      <c r="L3134" s="6">
        <f>HYPERLINK("https://fin.land.naver.com/articles/2652942604", "매물Link")</f>
        <v/>
      </c>
      <c r="M3134" s="6">
        <f>HYPERLINK("https://map.naver.com/p/search/해밀동 756", "지도Link")</f>
        <v/>
      </c>
      <c r="N3134" s="6">
        <f>HYPERLINK("http://www.eum.go.kr/web/ar/lu/luLandDet.jsp?pnu=3611011600107560000&amp;isNoScr=script&amp;mode=search", "토지이음")</f>
        <v/>
      </c>
      <c r="O3134" s="3" t="inlineStr">
        <is>
          <t>세종스타</t>
        </is>
      </c>
      <c r="P3134" s="4" t="n">
        <v>1</v>
      </c>
      <c r="Q3134" s="4" t="n">
        <v>326.4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정방형</t>
        </is>
      </c>
      <c r="V3134" s="3" t="inlineStr">
        <is>
          <t>소로한면</t>
        </is>
      </c>
    </row>
    <row r="3135">
      <c r="A3135" s="3" t="inlineStr">
        <is>
          <t>해밀동 777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56500</v>
      </c>
      <c r="G3135" s="4" t="n">
        <v>294</v>
      </c>
      <c r="H3135" s="4" t="n">
        <v>89</v>
      </c>
      <c r="I3135" s="5" t="n">
        <v>634.8</v>
      </c>
      <c r="J3135" s="5" t="n">
        <v>243.3</v>
      </c>
      <c r="K3135" s="3" t="inlineStr">
        <is>
          <t>남향 원수산조망 뒷쪽 보행로접</t>
        </is>
      </c>
      <c r="L3135" s="6">
        <f>HYPERLINK("https://fin.land.naver.com/articles/2653837563", "매물Link")</f>
        <v/>
      </c>
      <c r="M3135" s="6">
        <f>HYPERLINK("https://map.naver.com/p/search/해밀동 777", "지도Link")</f>
        <v/>
      </c>
      <c r="N3135" s="6">
        <f>HYPERLINK("http://www.eum.go.kr/web/ar/lu/luLandDet.jsp?pnu=3611011600107770000&amp;isNoScr=script&amp;mode=search", "토지이음")</f>
        <v/>
      </c>
      <c r="O3135" s="3" t="inlineStr">
        <is>
          <t>세종스타</t>
        </is>
      </c>
      <c r="P3135" s="4" t="n">
        <v>1</v>
      </c>
      <c r="Q3135" s="4" t="n">
        <v>294.8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해밀동 777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56500</v>
      </c>
      <c r="G3136" s="4" t="n">
        <v>294</v>
      </c>
      <c r="H3136" s="4" t="n">
        <v>89</v>
      </c>
      <c r="I3136" s="5" t="n">
        <v>634.8</v>
      </c>
      <c r="J3136" s="5" t="n">
        <v>243.3</v>
      </c>
      <c r="K3136" s="3" t="inlineStr">
        <is>
          <t>해밀동 가격 좋은 단독주택 매매, 공원인근</t>
        </is>
      </c>
      <c r="L3136" s="6">
        <f>HYPERLINK("https://fin.land.naver.com/articles/2653569861", "매물Link")</f>
        <v/>
      </c>
      <c r="M3136" s="6">
        <f>HYPERLINK("https://map.naver.com/p/search/해밀동 777", "지도Link")</f>
        <v/>
      </c>
      <c r="N3136" s="6">
        <f>HYPERLINK("http://www.eum.go.kr/web/ar/lu/luLandDet.jsp?pnu=3611011600107770000&amp;isNoScr=script&amp;mode=search", "토지이음")</f>
        <v/>
      </c>
      <c r="O3136" s="3" t="inlineStr">
        <is>
          <t>세종무지개</t>
        </is>
      </c>
      <c r="P3136" s="4" t="n">
        <v>1</v>
      </c>
      <c r="Q3136" s="4" t="n">
        <v>294.8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사다리형</t>
        </is>
      </c>
      <c r="V3136" s="3" t="inlineStr">
        <is>
          <t>소로한면</t>
        </is>
      </c>
    </row>
    <row r="3137">
      <c r="A3137" s="3" t="inlineStr">
        <is>
          <t>해밀동 806</t>
        </is>
      </c>
      <c r="B3137" s="3" t="inlineStr">
        <is>
          <t>제1종전용주거지역</t>
        </is>
      </c>
      <c r="C3137" s="3" t="inlineStr">
        <is>
          <t>도로</t>
        </is>
      </c>
      <c r="D3137" s="3" t="inlineStr">
        <is>
          <t>대</t>
        </is>
      </c>
      <c r="E3137" s="3" t="inlineStr">
        <is>
          <t>매매</t>
        </is>
      </c>
      <c r="F3137" s="4" t="n">
        <v>70000</v>
      </c>
      <c r="G3137" s="4" t="n">
        <v>314</v>
      </c>
      <c r="H3137" s="4" t="n">
        <v>95</v>
      </c>
      <c r="I3137" s="5" t="n">
        <v>736.8</v>
      </c>
      <c r="J3137" s="5" t="n">
        <v>79.59999999999999</v>
      </c>
      <c r="K3137" s="3" t="inlineStr">
        <is>
          <t>조율가능 시유지접한 지대높음</t>
        </is>
      </c>
      <c r="L3137" s="6">
        <f>HYPERLINK("https://fin.land.naver.com/articles/2651299558", "매물Link")</f>
        <v/>
      </c>
      <c r="M3137" s="6">
        <f>HYPERLINK("https://map.naver.com/p/search/해밀동 806", "지도Link")</f>
        <v/>
      </c>
      <c r="N3137" s="6">
        <f>HYPERLINK("http://www.eum.go.kr/web/ar/lu/luLandDet.jsp?pnu=3611011600108060000&amp;isNoScr=script&amp;mode=search",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5372.8</v>
      </c>
      <c r="R3137" s="3" t="inlineStr">
        <is>
          <t>지정되지않음</t>
        </is>
      </c>
      <c r="S3137" s="3" t="inlineStr">
        <is>
          <t>도로등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지정되지않음</t>
        </is>
      </c>
    </row>
    <row r="3138">
      <c r="A3138" s="3" t="inlineStr">
        <is>
          <t>현도면 노산리 10</t>
        </is>
      </c>
      <c r="B3138" s="3" t="inlineStr">
        <is>
          <t>개발제한구역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9900</v>
      </c>
      <c r="G3138" s="4" t="n">
        <v>660</v>
      </c>
      <c r="H3138" s="4" t="n">
        <v>200</v>
      </c>
      <c r="I3138" s="5" t="n">
        <v>49.5</v>
      </c>
      <c r="J3138" s="5" t="n">
        <v>19.3</v>
      </c>
      <c r="K3138" s="3" t="inlineStr">
        <is>
          <t>2차선 도로에 접하고 남향으로 해가 잘 들고 금강이 보이는 주말농장부지</t>
        </is>
      </c>
      <c r="L3138" s="6">
        <f>HYPERLINK("https://fin.land.naver.com/articles/2650884587", "매물Link")</f>
        <v/>
      </c>
      <c r="M3138" s="6">
        <f>HYPERLINK("https://map.naver.com/p/search/현도면 노산리 10", "지도Link")</f>
        <v/>
      </c>
      <c r="N3138" s="6">
        <f>HYPERLINK("http://www.eum.go.kr/web/ar/lu/luLandDet.jsp?pnu=4311232030100100000&amp;isNoScr=script&amp;mode=search",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660</v>
      </c>
      <c r="R3138" s="3" t="inlineStr">
        <is>
          <t>지정되지않음</t>
        </is>
      </c>
      <c r="S3138" s="3" t="inlineStr">
        <is>
          <t>답</t>
        </is>
      </c>
      <c r="T3138" s="3" t="inlineStr">
        <is>
          <t>완경사</t>
        </is>
      </c>
      <c r="U3138" s="3" t="inlineStr">
        <is>
          <t>부정형</t>
        </is>
      </c>
      <c r="V3138" s="3" t="inlineStr">
        <is>
          <t>세로한면(불)</t>
        </is>
      </c>
    </row>
    <row r="3139">
      <c r="A3139" s="3" t="inlineStr">
        <is>
          <t>현도면 노산리 136</t>
        </is>
      </c>
      <c r="B3139" s="3" t="inlineStr">
        <is>
          <t>개발제한구역</t>
        </is>
      </c>
      <c r="C3139" s="3" t="inlineStr">
        <is>
          <t>답</t>
        </is>
      </c>
      <c r="D3139" s="3" t="inlineStr">
        <is>
          <t>답</t>
        </is>
      </c>
      <c r="E3139" s="3" t="inlineStr">
        <is>
          <t>매매</t>
        </is>
      </c>
      <c r="F3139" s="4" t="n">
        <v>31185</v>
      </c>
      <c r="G3139" s="4" t="n">
        <v>4943</v>
      </c>
      <c r="H3139" s="4" t="n">
        <v>1495</v>
      </c>
      <c r="I3139" s="5" t="n">
        <v>20.9</v>
      </c>
      <c r="J3139" s="5" t="n">
        <v>9.1</v>
      </c>
      <c r="K3139" s="3" t="inlineStr">
        <is>
          <t>nan</t>
        </is>
      </c>
      <c r="L3139" s="6">
        <f>HYPERLINK("https://fin.land.naver.com/articles/2653643840", "매물Link")</f>
        <v/>
      </c>
      <c r="M3139" s="6">
        <f>HYPERLINK("https://map.naver.com/p/search/현도면 노산리 136", "지도Link")</f>
        <v/>
      </c>
      <c r="N3139" s="6">
        <f>HYPERLINK("http://www.eum.go.kr/web/ar/lu/luLandDet.jsp?pnu=4311232030101360000&amp;isNoScr=script&amp;mode=search", "토지이음")</f>
        <v/>
      </c>
      <c r="O3139" s="3" t="inlineStr">
        <is>
          <t>미르</t>
        </is>
      </c>
      <c r="P3139" s="4" t="n">
        <v>1</v>
      </c>
      <c r="Q3139" s="4" t="n">
        <v>1498</v>
      </c>
      <c r="R3139" s="3" t="inlineStr">
        <is>
          <t>지정되지않음</t>
        </is>
      </c>
      <c r="S3139" s="3" t="inlineStr">
        <is>
          <t>답</t>
        </is>
      </c>
      <c r="T3139" s="3" t="inlineStr">
        <is>
          <t>완경사</t>
        </is>
      </c>
      <c r="U3139" s="3" t="inlineStr">
        <is>
          <t>부정형</t>
        </is>
      </c>
      <c r="V3139" s="3" t="inlineStr">
        <is>
          <t>세로한면(불)</t>
        </is>
      </c>
    </row>
    <row r="3140">
      <c r="A3140" s="3" t="inlineStr">
        <is>
          <t>현도면 노산리 2</t>
        </is>
      </c>
      <c r="B3140" s="3" t="inlineStr">
        <is>
          <t>개발제한구역</t>
        </is>
      </c>
      <c r="C3140" s="3" t="inlineStr">
        <is>
          <t>답</t>
        </is>
      </c>
      <c r="D3140" s="3" t="inlineStr">
        <is>
          <t>전</t>
        </is>
      </c>
      <c r="E3140" s="3" t="inlineStr">
        <is>
          <t>매매</t>
        </is>
      </c>
      <c r="F3140" s="4" t="n">
        <v>14000</v>
      </c>
      <c r="G3140" s="4" t="n">
        <v>762</v>
      </c>
      <c r="H3140" s="4" t="n">
        <v>231</v>
      </c>
      <c r="I3140" s="5" t="n">
        <v>60.6</v>
      </c>
      <c r="J3140" s="5" t="n">
        <v>21.4</v>
      </c>
      <c r="K3140" s="3" t="inlineStr">
        <is>
          <t>아주 귀한 위치 좋은 농지 2차선 도로에 접한 전으로 주말농장, 텃밭 등</t>
        </is>
      </c>
      <c r="L3140" s="6">
        <f>HYPERLINK("https://fin.land.naver.com/articles/2653599342", "매물Link")</f>
        <v/>
      </c>
      <c r="M3140" s="6">
        <f>HYPERLINK("https://map.naver.com/p/search/현도면 노산리 2", "지도Link")</f>
        <v/>
      </c>
      <c r="N3140" s="6">
        <f>HYPERLINK("http://www.eum.go.kr/web/ar/lu/luLandDet.jsp?pnu=4311232030100020000&amp;isNoScr=script&amp;mode=search", "토지이음")</f>
        <v/>
      </c>
      <c r="O3140" s="3" t="inlineStr">
        <is>
          <t>대전토지로무소</t>
        </is>
      </c>
      <c r="P3140" s="4" t="n">
        <v>1</v>
      </c>
      <c r="Q3140" s="4" t="n">
        <v>762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부정형</t>
        </is>
      </c>
      <c r="V3140" s="3" t="inlineStr">
        <is>
          <t>소로한면</t>
        </is>
      </c>
    </row>
    <row r="3141">
      <c r="A3141" s="3" t="inlineStr">
        <is>
          <t>현도면 노산리 224-2</t>
        </is>
      </c>
      <c r="B3141" s="3" t="inlineStr">
        <is>
          <t>개발제한구역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12500</v>
      </c>
      <c r="G3141" s="4" t="n">
        <v>1130</v>
      </c>
      <c r="H3141" s="4" t="n">
        <v>342</v>
      </c>
      <c r="I3141" s="5" t="n">
        <v>36.5</v>
      </c>
      <c r="J3141" s="5" t="n">
        <v>15.2</v>
      </c>
      <c r="K3141" s="3" t="inlineStr">
        <is>
          <t>대전 청주 근교에 농장 찾는 분께 추천</t>
        </is>
      </c>
      <c r="L3141" s="6">
        <f>HYPERLINK("https://fin.land.naver.com/articles/2652653735", "매물Link")</f>
        <v/>
      </c>
      <c r="M3141" s="6">
        <f>HYPERLINK("https://map.naver.com/p/search/현도면 노산리 224-2", "지도Link")</f>
        <v/>
      </c>
      <c r="N3141" s="6">
        <f>HYPERLINK("http://www.eum.go.kr/web/ar/lu/luLandDet.jsp?pnu=4311232030102240002&amp;isNoScr=script&amp;mode=search", "토지이음")</f>
        <v/>
      </c>
      <c r="O3141" s="3" t="inlineStr">
        <is>
          <t>대별</t>
        </is>
      </c>
      <c r="P3141" s="4" t="n">
        <v>1</v>
      </c>
      <c r="Q3141" s="4" t="n">
        <v>873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맹지</t>
        </is>
      </c>
    </row>
    <row r="3142">
      <c r="A3142" s="3" t="inlineStr">
        <is>
          <t>현도면 노산리 293</t>
        </is>
      </c>
      <c r="B3142" s="3" t="inlineStr">
        <is>
          <t>개발제한구역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21000</v>
      </c>
      <c r="G3142" s="4" t="n">
        <v>1805</v>
      </c>
      <c r="H3142" s="4" t="n">
        <v>546</v>
      </c>
      <c r="I3142" s="5" t="n">
        <v>38.5</v>
      </c>
      <c r="J3142" s="5" t="n">
        <v>18.1</v>
      </c>
      <c r="K3142" s="3" t="inlineStr">
        <is>
          <t>양면도로 접 해가 잘드는 네모 반듯한 토지 주말농장 농지원부용 투자 등</t>
        </is>
      </c>
      <c r="L3142" s="6">
        <f>HYPERLINK("https://fin.land.naver.com/articles/2651942681", "매물Link")</f>
        <v/>
      </c>
      <c r="M3142" s="6">
        <f>HYPERLINK("https://map.naver.com/p/search/현도면 노산리 293", "지도Link")</f>
        <v/>
      </c>
      <c r="N3142" s="6">
        <f>HYPERLINK("http://www.eum.go.kr/web/ar/lu/luLandDet.jsp?pnu=4311232030102930000&amp;isNoScr=script&amp;mode=search", "토지이음")</f>
        <v/>
      </c>
      <c r="O3142" s="3" t="inlineStr">
        <is>
          <t>대전토지로무소</t>
        </is>
      </c>
      <c r="P3142" s="4" t="n">
        <v>1</v>
      </c>
      <c r="Q3142" s="4" t="n">
        <v>1805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세로한면(가)</t>
        </is>
      </c>
    </row>
    <row r="3143">
      <c r="A3143" s="3" t="inlineStr">
        <is>
          <t>현도면 노산리 293-1</t>
        </is>
      </c>
      <c r="B3143" s="3" t="inlineStr">
        <is>
          <t>개발제한구역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14500</v>
      </c>
      <c r="G3143" s="4" t="n">
        <v>1136</v>
      </c>
      <c r="H3143" s="4" t="n">
        <v>344</v>
      </c>
      <c r="I3143" s="5" t="n">
        <v>42.2</v>
      </c>
      <c r="J3143" s="5" t="n">
        <v>18.1</v>
      </c>
      <c r="K3143" s="3" t="inlineStr">
        <is>
          <t>서원구 현도면 답 매매 진입 도로 있음</t>
        </is>
      </c>
      <c r="L3143" s="6">
        <f>HYPERLINK("https://fin.land.naver.com/articles/2655611258", "매물Link")</f>
        <v/>
      </c>
      <c r="M3143" s="6">
        <f>HYPERLINK("https://map.naver.com/p/search/현도면 노산리 293-1", "지도Link")</f>
        <v/>
      </c>
      <c r="N3143" s="6">
        <f>HYPERLINK("http://www.eum.go.kr/web/ar/lu/luLandDet.jsp?pnu=4311232030102930001&amp;isNoScr=script&amp;mode=search", "토지이음")</f>
        <v/>
      </c>
      <c r="O3143" s="3" t="inlineStr">
        <is>
          <t>365사무소</t>
        </is>
      </c>
      <c r="P3143" s="4" t="n">
        <v>1</v>
      </c>
      <c r="Q3143" s="4" t="n">
        <v>1136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세로한면(가)</t>
        </is>
      </c>
    </row>
    <row r="3144">
      <c r="A3144" s="3" t="inlineStr">
        <is>
          <t>현도면 노산리 423</t>
        </is>
      </c>
      <c r="B3144" s="3" t="inlineStr">
        <is>
          <t>개발제한구역</t>
        </is>
      </c>
      <c r="C3144" s="3" t="inlineStr">
        <is>
          <t>답</t>
        </is>
      </c>
      <c r="D3144" s="3" t="inlineStr">
        <is>
          <t>전</t>
        </is>
      </c>
      <c r="E3144" s="3" t="inlineStr">
        <is>
          <t>매매</t>
        </is>
      </c>
      <c r="F3144" s="4" t="n">
        <v>25200</v>
      </c>
      <c r="G3144" s="4" t="n">
        <v>2195</v>
      </c>
      <c r="H3144" s="4" t="n">
        <v>664</v>
      </c>
      <c r="I3144" s="5" t="n">
        <v>38</v>
      </c>
      <c r="J3144" s="5" t="n">
        <v>17.1</v>
      </c>
      <c r="K3144" s="3" t="inlineStr">
        <is>
          <t>nan</t>
        </is>
      </c>
      <c r="L3144" s="6">
        <f>HYPERLINK("https://fin.land.naver.com/articles/2654783849", "매물Link")</f>
        <v/>
      </c>
      <c r="M3144" s="6">
        <f>HYPERLINK("https://map.naver.com/p/search/현도면 노산리 423", "지도Link")</f>
        <v/>
      </c>
      <c r="N3144" s="6">
        <f>HYPERLINK("http://www.eum.go.kr/web/ar/lu/luLandDet.jsp?pnu=4311232030104230000&amp;isNoScr=script&amp;mode=search", "토지이음")</f>
        <v/>
      </c>
      <c r="O3144" s="3" t="inlineStr">
        <is>
          <t>강성원</t>
        </is>
      </c>
      <c r="P3144" s="4" t="n">
        <v>1</v>
      </c>
      <c r="Q3144" s="4" t="n">
        <v>2195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평지</t>
        </is>
      </c>
      <c r="U3144" s="3" t="inlineStr">
        <is>
          <t>사다리형</t>
        </is>
      </c>
      <c r="V3144" s="3" t="inlineStr">
        <is>
          <t>세로한면(불)</t>
        </is>
      </c>
    </row>
    <row r="3145">
      <c r="A3145" s="3" t="inlineStr">
        <is>
          <t>현도면 노산리 498</t>
        </is>
      </c>
      <c r="B3145" s="3" t="inlineStr">
        <is>
          <t>개발제한구역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29000</v>
      </c>
      <c r="G3145" s="4" t="n">
        <v>3022</v>
      </c>
      <c r="H3145" s="4" t="n">
        <v>914</v>
      </c>
      <c r="I3145" s="5" t="n">
        <v>31.7</v>
      </c>
      <c r="J3145" s="5" t="n">
        <v>19.2</v>
      </c>
      <c r="K3145" s="3" t="inlineStr">
        <is>
          <t>신탄진에서 가깝고 경치좋고 해가 잘드는 주말 농지 추천</t>
        </is>
      </c>
      <c r="L3145" s="6">
        <f>HYPERLINK("https://fin.land.naver.com/articles/2651923687", "매물Link")</f>
        <v/>
      </c>
      <c r="M3145" s="6">
        <f>HYPERLINK("https://map.naver.com/p/search/현도면 노산리 498", "지도Link")</f>
        <v/>
      </c>
      <c r="N3145" s="6">
        <f>HYPERLINK("http://www.eum.go.kr/web/ar/lu/luLandDet.jsp?pnu=4311232030104980000&amp;isNoScr=script&amp;mode=search", "토지이음")</f>
        <v/>
      </c>
      <c r="O3145" s="3" t="inlineStr">
        <is>
          <t>대전토지로무소</t>
        </is>
      </c>
      <c r="P3145" s="4" t="n">
        <v>1</v>
      </c>
      <c r="Q3145" s="4" t="n">
        <v>3022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평지</t>
        </is>
      </c>
      <c r="U3145" s="3" t="inlineStr">
        <is>
          <t>세로장방</t>
        </is>
      </c>
      <c r="V3145" s="3" t="inlineStr">
        <is>
          <t>세로한면(가)</t>
        </is>
      </c>
    </row>
    <row r="3146">
      <c r="A3146" s="3" t="inlineStr">
        <is>
          <t>현도면 노산리 531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12600</v>
      </c>
      <c r="G3146" s="4" t="n">
        <v>1389</v>
      </c>
      <c r="H3146" s="4" t="n">
        <v>420</v>
      </c>
      <c r="I3146" s="5" t="n">
        <v>30</v>
      </c>
      <c r="J3146" s="5" t="n">
        <v>19.2</v>
      </c>
      <c r="K3146" s="3" t="inlineStr">
        <is>
          <t>농업진흥구역,진입도로 양호.</t>
        </is>
      </c>
      <c r="L3146" s="6">
        <f>HYPERLINK("https://fin.land.naver.com/articles/2650978586", "매물Link")</f>
        <v/>
      </c>
      <c r="M3146" s="6">
        <f>HYPERLINK("https://map.naver.com/p/search/현도면 노산리 531", "지도Link")</f>
        <v/>
      </c>
      <c r="N3146" s="6">
        <f>HYPERLINK("http://www.eum.go.kr/web/ar/lu/luLandDet.jsp?pnu=4311232030105310000&amp;isNoScr=script&amp;mode=search", "토지이음")</f>
        <v/>
      </c>
      <c r="O3146" s="3" t="inlineStr">
        <is>
          <t>햇님</t>
        </is>
      </c>
      <c r="P3146" s="4" t="n">
        <v>2</v>
      </c>
      <c r="Q3146" s="4" t="n">
        <v>1389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세로한면(가)</t>
        </is>
      </c>
    </row>
    <row r="3147">
      <c r="A3147" s="3" t="inlineStr">
        <is>
          <t>현도면 노산리 547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9900</v>
      </c>
      <c r="G3147" s="4" t="n">
        <v>1271</v>
      </c>
      <c r="H3147" s="4" t="n">
        <v>384</v>
      </c>
      <c r="I3147" s="5" t="n">
        <v>25.8</v>
      </c>
      <c r="J3147" s="5" t="n">
        <v>19.2</v>
      </c>
      <c r="K3147" s="3" t="inlineStr">
        <is>
          <t>주변시세보다 월등히 저렴한 소형토지, 포장도로 접 해가 잘드는 주말농장</t>
        </is>
      </c>
      <c r="L3147" s="6">
        <f>HYPERLINK("https://fin.land.naver.com/articles/2654968983", "매물Link")</f>
        <v/>
      </c>
      <c r="M3147" s="6">
        <f>HYPERLINK("https://map.naver.com/p/search/현도면 노산리 547", "지도Link")</f>
        <v/>
      </c>
      <c r="N3147" s="6">
        <f>HYPERLINK("http://www.eum.go.kr/web/ar/lu/luLandDet.jsp?pnu=4311232030105470000&amp;isNoScr=script&amp;mode=search",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1272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세로한면(가)</t>
        </is>
      </c>
    </row>
    <row r="3148">
      <c r="A3148" s="3" t="inlineStr">
        <is>
          <t>현도면 노산리 600</t>
        </is>
      </c>
      <c r="B3148" s="3" t="inlineStr">
        <is>
          <t>개발제한구역</t>
        </is>
      </c>
      <c r="C3148" s="3" t="inlineStr">
        <is>
          <t>전</t>
        </is>
      </c>
      <c r="D3148" s="3" t="inlineStr">
        <is>
          <t>전</t>
        </is>
      </c>
      <c r="E3148" s="3" t="inlineStr">
        <is>
          <t>매매</t>
        </is>
      </c>
      <c r="F3148" s="4" t="n">
        <v>32000</v>
      </c>
      <c r="G3148" s="4" t="n">
        <v>2960</v>
      </c>
      <c r="H3148" s="4" t="n">
        <v>895</v>
      </c>
      <c r="I3148" s="5" t="n">
        <v>35.8</v>
      </c>
      <c r="J3148" s="5" t="n">
        <v>20.6</v>
      </c>
      <c r="K3148" s="3" t="inlineStr">
        <is>
          <t>햇볕이 잘들고 공기가 좋은 농지로 현재 전으로 사용, 신탄진에서 10분</t>
        </is>
      </c>
      <c r="L3148" s="6">
        <f>HYPERLINK("https://fin.land.naver.com/articles/2654904918", "매물Link")</f>
        <v/>
      </c>
      <c r="M3148" s="6">
        <f>HYPERLINK("https://map.naver.com/p/search/현도면 노산리 600", "지도Link")</f>
        <v/>
      </c>
      <c r="N3148" s="6">
        <f>HYPERLINK("http://www.eum.go.kr/web/ar/lu/luLandDet.jsp?pnu=4311232030106000000&amp;isNoScr=script&amp;mode=search", "토지이음")</f>
        <v/>
      </c>
      <c r="O3148" s="3" t="inlineStr">
        <is>
          <t>대전토지로무소</t>
        </is>
      </c>
      <c r="P3148" s="4" t="n">
        <v>1</v>
      </c>
      <c r="Q3148" s="4" t="n">
        <v>2960</v>
      </c>
      <c r="R3148" s="3" t="inlineStr">
        <is>
          <t>지정되지않음</t>
        </is>
      </c>
      <c r="S3148" s="3" t="inlineStr">
        <is>
          <t>전</t>
        </is>
      </c>
      <c r="T3148" s="3" t="inlineStr">
        <is>
          <t>평지</t>
        </is>
      </c>
      <c r="U3148" s="3" t="inlineStr">
        <is>
          <t>부정형</t>
        </is>
      </c>
      <c r="V3148" s="3" t="inlineStr">
        <is>
          <t>세로한면(가)</t>
        </is>
      </c>
    </row>
    <row r="3149">
      <c r="A3149" s="3" t="inlineStr">
        <is>
          <t>현도면 노산리 600</t>
        </is>
      </c>
      <c r="B3149" s="3" t="inlineStr">
        <is>
          <t>개발제한구역</t>
        </is>
      </c>
      <c r="C3149" s="3" t="inlineStr">
        <is>
          <t>전</t>
        </is>
      </c>
      <c r="D3149" s="3" t="inlineStr">
        <is>
          <t>전</t>
        </is>
      </c>
      <c r="E3149" s="3" t="inlineStr">
        <is>
          <t>매매</t>
        </is>
      </c>
      <c r="F3149" s="4" t="n">
        <v>32000</v>
      </c>
      <c r="G3149" s="4" t="n">
        <v>2960</v>
      </c>
      <c r="H3149" s="4" t="n">
        <v>895</v>
      </c>
      <c r="I3149" s="5" t="n">
        <v>35.8</v>
      </c>
      <c r="J3149" s="5" t="n">
        <v>20.6</v>
      </c>
      <c r="K3149" s="3" t="inlineStr">
        <is>
          <t>노산리 도로가 농지 매매, 신탄진지역 차로 10분 거리</t>
        </is>
      </c>
      <c r="L3149" s="6">
        <f>HYPERLINK("https://fin.land.naver.com/articles/2655015775", "매물Link")</f>
        <v/>
      </c>
      <c r="M3149" s="6">
        <f>HYPERLINK("https://map.naver.com/p/search/현도면 노산리 600", "지도Link")</f>
        <v/>
      </c>
      <c r="N3149" s="6">
        <f>HYPERLINK("http://www.eum.go.kr/web/ar/lu/luLandDet.jsp?pnu=4311232030106000000&amp;isNoScr=script&amp;mode=search", "토지이음")</f>
        <v/>
      </c>
      <c r="O3149" s="3" t="inlineStr">
        <is>
          <t>복돼지</t>
        </is>
      </c>
      <c r="P3149" s="4" t="n">
        <v>1</v>
      </c>
      <c r="Q3149" s="4" t="n">
        <v>2960</v>
      </c>
      <c r="R3149" s="3" t="inlineStr">
        <is>
          <t>지정되지않음</t>
        </is>
      </c>
      <c r="S3149" s="3" t="inlineStr">
        <is>
          <t>전</t>
        </is>
      </c>
      <c r="T3149" s="3" t="inlineStr">
        <is>
          <t>평지</t>
        </is>
      </c>
      <c r="U3149" s="3" t="inlineStr">
        <is>
          <t>부정형</t>
        </is>
      </c>
      <c r="V3149" s="3" t="inlineStr">
        <is>
          <t>세로한면(가)</t>
        </is>
      </c>
    </row>
    <row r="3150">
      <c r="A3150" s="3" t="inlineStr">
        <is>
          <t>현도면 노산리 65-3</t>
        </is>
      </c>
      <c r="B3150" s="3" t="inlineStr">
        <is>
          <t>자연녹지지역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34800</v>
      </c>
      <c r="G3150" s="4" t="n">
        <v>884</v>
      </c>
      <c r="H3150" s="4" t="n">
        <v>267</v>
      </c>
      <c r="I3150" s="5" t="n">
        <v>130.3</v>
      </c>
      <c r="J3150" s="5" t="n">
        <v>50.3</v>
      </c>
      <c r="K3150" s="3" t="inlineStr">
        <is>
          <t>대청댐 인근, 신탄진네거리에서 차량으로 5분 거리</t>
        </is>
      </c>
      <c r="L3150" s="6">
        <f>HYPERLINK("https://fin.land.naver.com/articles/2651588237", "매물Link")</f>
        <v/>
      </c>
      <c r="M3150" s="6">
        <f>HYPERLINK("https://map.naver.com/p/search/현도면 노산리 65-3", "지도Link")</f>
        <v/>
      </c>
      <c r="N3150" s="6">
        <f>HYPERLINK("http://www.eum.go.kr/web/ar/lu/luLandDet.jsp?pnu=4311232030100650003&amp;isNoScr=script&amp;mode=search", "토지이음")</f>
        <v/>
      </c>
      <c r="O3150" s="3" t="inlineStr">
        <is>
          <t>대지</t>
        </is>
      </c>
      <c r="P3150" s="4" t="n">
        <v>1</v>
      </c>
      <c r="Q3150" s="4" t="n">
        <v>350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평지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노산리 693-8</t>
        </is>
      </c>
      <c r="B3151" s="3" t="inlineStr">
        <is>
          <t>제1종일반주거지역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80000</v>
      </c>
      <c r="G3151" s="4" t="n">
        <v>2674</v>
      </c>
      <c r="H3151" s="4" t="n">
        <v>809</v>
      </c>
      <c r="I3151" s="5" t="n">
        <v>98.90000000000001</v>
      </c>
      <c r="J3151" s="5" t="n">
        <v>66.2</v>
      </c>
      <c r="K3151" s="3" t="inlineStr">
        <is>
          <t>가격 좋고 위치 좋은 대지  답입니다</t>
        </is>
      </c>
      <c r="L3151" s="6">
        <f>HYPERLINK("https://fin.land.naver.com/articles/2653572344", "매물Link")</f>
        <v/>
      </c>
      <c r="M3151" s="6">
        <f>HYPERLINK("https://map.naver.com/p/search/현도면 노산리 693-8", "지도Link")</f>
        <v/>
      </c>
      <c r="N3151" s="6">
        <f>HYPERLINK("http://www.eum.go.kr/web/ar/lu/luLandDet.jsp?pnu=4311232030106930008&amp;isNoScr=script&amp;mode=search", "토지이음")</f>
        <v/>
      </c>
      <c r="O3151" s="3" t="inlineStr">
        <is>
          <t>대웅</t>
        </is>
      </c>
      <c r="P3151" s="4" t="n">
        <v>1</v>
      </c>
      <c r="Q3151" s="4" t="n">
        <v>261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평지</t>
        </is>
      </c>
      <c r="U3151" s="3" t="inlineStr">
        <is>
          <t>사다리형</t>
        </is>
      </c>
      <c r="V3151" s="3" t="inlineStr">
        <is>
          <t>세로한면(가)</t>
        </is>
      </c>
    </row>
    <row r="3152">
      <c r="A3152" s="3" t="inlineStr">
        <is>
          <t>현도면 달계리 173</t>
        </is>
      </c>
      <c r="B3152" s="3" t="inlineStr">
        <is>
          <t>개발제한구역</t>
        </is>
      </c>
      <c r="C3152" s="3" t="inlineStr">
        <is>
          <t>답</t>
        </is>
      </c>
      <c r="D3152" s="3" t="inlineStr">
        <is>
          <t>답</t>
        </is>
      </c>
      <c r="E3152" s="3" t="inlineStr">
        <is>
          <t>매매</t>
        </is>
      </c>
      <c r="F3152" s="4" t="n">
        <v>25200</v>
      </c>
      <c r="G3152" s="4" t="n">
        <v>2080</v>
      </c>
      <c r="H3152" s="4" t="n">
        <v>629</v>
      </c>
      <c r="I3152" s="5" t="n">
        <v>40.1</v>
      </c>
      <c r="J3152" s="5" t="n">
        <v>13.2</v>
      </c>
      <c r="K3152" s="3" t="inlineStr">
        <is>
          <t>도로인접, 코너각지, 지형이 좋은 토지</t>
        </is>
      </c>
      <c r="L3152" s="6">
        <f>HYPERLINK("https://fin.land.naver.com/articles/2651028521", "매물Link")</f>
        <v/>
      </c>
      <c r="M3152" s="6">
        <f>HYPERLINK("https://map.naver.com/p/search/현도면 달계리 173", "지도Link")</f>
        <v/>
      </c>
      <c r="N3152" s="6">
        <f>HYPERLINK("http://www.eum.go.kr/web/ar/lu/luLandDet.jsp?pnu=4311232031101730000&amp;isNoScr=script&amp;mode=search", "토지이음")</f>
        <v/>
      </c>
      <c r="O3152" s="3" t="inlineStr">
        <is>
          <t>대지</t>
        </is>
      </c>
      <c r="P3152" s="4" t="n">
        <v>2</v>
      </c>
      <c r="Q3152" s="4" t="n">
        <v>2080</v>
      </c>
      <c r="R3152" s="3" t="inlineStr">
        <is>
          <t>지정되지않음</t>
        </is>
      </c>
      <c r="S3152" s="3" t="inlineStr">
        <is>
          <t>답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달계리 173</t>
        </is>
      </c>
      <c r="B3153" s="3" t="inlineStr">
        <is>
          <t>개발제한구역</t>
        </is>
      </c>
      <c r="C3153" s="3" t="inlineStr">
        <is>
          <t>답</t>
        </is>
      </c>
      <c r="D3153" s="3" t="inlineStr">
        <is>
          <t>답</t>
        </is>
      </c>
      <c r="E3153" s="3" t="inlineStr">
        <is>
          <t>매매</t>
        </is>
      </c>
      <c r="F3153" s="4" t="n">
        <v>25000</v>
      </c>
      <c r="G3153" s="4" t="n">
        <v>2080</v>
      </c>
      <c r="H3153" s="4" t="n">
        <v>629</v>
      </c>
      <c r="I3153" s="5" t="n">
        <v>39.7</v>
      </c>
      <c r="J3153" s="5" t="n">
        <v>13.2</v>
      </c>
      <c r="K3153" s="3" t="inlineStr">
        <is>
          <t>컨테이너 있는 주말농장 코너각지 해가 잘 들고 도로접 접근성 좋음</t>
        </is>
      </c>
      <c r="L3153" s="6">
        <f>HYPERLINK("https://fin.land.naver.com/articles/2654968391", "매물Link")</f>
        <v/>
      </c>
      <c r="M3153" s="6">
        <f>HYPERLINK("https://map.naver.com/p/search/현도면 달계리 173", "지도Link")</f>
        <v/>
      </c>
      <c r="N3153" s="6">
        <f>HYPERLINK("http://www.eum.go.kr/web/ar/lu/luLandDet.jsp?pnu=4311232031101730000&amp;isNoScr=script&amp;mode=search", "토지이음")</f>
        <v/>
      </c>
      <c r="O3153" s="3" t="inlineStr">
        <is>
          <t>대전토지로무소</t>
        </is>
      </c>
      <c r="P3153" s="4" t="n">
        <v>1</v>
      </c>
      <c r="Q3153" s="4" t="n">
        <v>2080</v>
      </c>
      <c r="R3153" s="3" t="inlineStr">
        <is>
          <t>지정되지않음</t>
        </is>
      </c>
      <c r="S3153" s="3" t="inlineStr">
        <is>
          <t>답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세로한면(가)</t>
        </is>
      </c>
    </row>
    <row r="3154">
      <c r="A3154" s="3" t="inlineStr">
        <is>
          <t>현도면 달계리 269-1</t>
        </is>
      </c>
      <c r="B3154" s="3" t="inlineStr">
        <is>
          <t>개발제한구역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12500</v>
      </c>
      <c r="G3154" s="4" t="n">
        <v>6851</v>
      </c>
      <c r="H3154" s="4" t="n">
        <v>2072</v>
      </c>
      <c r="I3154" s="5" t="n">
        <v>6</v>
      </c>
      <c r="J3154" s="5" t="n">
        <v>2.1</v>
      </c>
      <c r="K3154" s="3" t="inlineStr">
        <is>
          <t>도로에 붙은 임</t>
        </is>
      </c>
      <c r="L3154" s="6">
        <f>HYPERLINK("https://fin.land.naver.com/articles/2651418962", "매물Link")</f>
        <v/>
      </c>
      <c r="M3154" s="6">
        <f>HYPERLINK("https://map.naver.com/p/search/현도면 달계리 269-1", "지도Link")</f>
        <v/>
      </c>
      <c r="N3154" s="6">
        <f>HYPERLINK("http://www.eum.go.kr/web/ar/lu/luLandDet.jsp?pnu=4311232031102690001&amp;isNoScr=script&amp;mode=search", "토지이음")</f>
        <v/>
      </c>
      <c r="O3154" s="3" t="inlineStr">
        <is>
          <t>오송이가</t>
        </is>
      </c>
      <c r="P3154" s="4" t="n">
        <v>1</v>
      </c>
      <c r="Q3154" s="4" t="n">
        <v>6851</v>
      </c>
      <c r="R3154" s="3" t="inlineStr">
        <is>
          <t>자연녹지지역</t>
        </is>
      </c>
      <c r="S3154" s="3" t="inlineStr">
        <is>
          <t>임야기타</t>
        </is>
      </c>
      <c r="T3154" s="3" t="inlineStr">
        <is>
          <t>완경사</t>
        </is>
      </c>
      <c r="U3154" s="3" t="inlineStr">
        <is>
          <t>부정형</t>
        </is>
      </c>
      <c r="V3154" s="3" t="inlineStr">
        <is>
          <t>소로한면</t>
        </is>
      </c>
    </row>
    <row r="3155">
      <c r="A3155" s="3" t="inlineStr">
        <is>
          <t>현도면 달계리 589</t>
        </is>
      </c>
      <c r="B3155" s="3" t="inlineStr">
        <is>
          <t>제1종일반주거지역</t>
        </is>
      </c>
      <c r="C3155" s="3" t="inlineStr">
        <is>
          <t>답</t>
        </is>
      </c>
      <c r="D3155" s="3" t="inlineStr">
        <is>
          <t>답</t>
        </is>
      </c>
      <c r="E3155" s="3" t="inlineStr">
        <is>
          <t>매매</t>
        </is>
      </c>
      <c r="F3155" s="4" t="n">
        <v>400000</v>
      </c>
      <c r="G3155" s="4" t="n">
        <v>5014</v>
      </c>
      <c r="H3155" s="4" t="n">
        <v>1517</v>
      </c>
      <c r="I3155" s="5" t="n">
        <v>263.7</v>
      </c>
      <c r="J3155" s="5" t="n">
        <v>75.2</v>
      </c>
      <c r="K3155" s="3" t="inlineStr">
        <is>
          <t>7차선 도로접, 최고의 입지, 제조업 및 근생용 토지 매매</t>
        </is>
      </c>
      <c r="L3155" s="6">
        <f>HYPERLINK("https://fin.land.naver.com/articles/2655232623", "매물Link")</f>
        <v/>
      </c>
      <c r="M3155" s="6">
        <f>HYPERLINK("https://map.naver.com/p/search/현도면 달계리 589", "지도Link")</f>
        <v/>
      </c>
      <c r="N3155" s="6">
        <f>HYPERLINK("http://www.eum.go.kr/web/ar/lu/luLandDet.jsp?pnu=4311232031105890000&amp;isNoScr=script&amp;mode=search", "토지이음")</f>
        <v/>
      </c>
      <c r="O3155" s="3" t="inlineStr">
        <is>
          <t>금화랜드</t>
        </is>
      </c>
      <c r="P3155" s="4" t="n">
        <v>1</v>
      </c>
      <c r="Q3155" s="4" t="n">
        <v>5014.2</v>
      </c>
      <c r="R3155" s="3" t="inlineStr">
        <is>
          <t>지정되지않음</t>
        </is>
      </c>
      <c r="S3155" s="3" t="inlineStr">
        <is>
          <t>답</t>
        </is>
      </c>
      <c r="T3155" s="3" t="inlineStr">
        <is>
          <t>평지</t>
        </is>
      </c>
      <c r="U3155" s="3" t="inlineStr">
        <is>
          <t>사다리형</t>
        </is>
      </c>
      <c r="V3155" s="3" t="inlineStr">
        <is>
          <t>중로한면</t>
        </is>
      </c>
    </row>
    <row r="3156">
      <c r="A3156" s="3" t="inlineStr">
        <is>
          <t>현도면 달계리 589</t>
        </is>
      </c>
      <c r="B3156" s="3" t="inlineStr">
        <is>
          <t>제1종일반주거지역</t>
        </is>
      </c>
      <c r="C3156" s="3" t="inlineStr">
        <is>
          <t>답</t>
        </is>
      </c>
      <c r="D3156" s="3" t="inlineStr">
        <is>
          <t>답</t>
        </is>
      </c>
      <c r="E3156" s="3" t="inlineStr">
        <is>
          <t>매매</t>
        </is>
      </c>
      <c r="F3156" s="4" t="n">
        <v>400000</v>
      </c>
      <c r="G3156" s="4" t="n">
        <v>5014</v>
      </c>
      <c r="H3156" s="4" t="n">
        <v>1517</v>
      </c>
      <c r="I3156" s="5" t="n">
        <v>263.7</v>
      </c>
      <c r="J3156" s="5" t="n">
        <v>75.2</v>
      </c>
      <c r="K3156" s="3" t="inlineStr">
        <is>
          <t>급 매매 즉시 건축 가능한 대로변 토지 매매, 광고 효과 및 노출 최고</t>
        </is>
      </c>
      <c r="L3156" s="6">
        <f>HYPERLINK("https://fin.land.naver.com/articles/2650686686", "매물Link")</f>
        <v/>
      </c>
      <c r="M3156" s="6">
        <f>HYPERLINK("https://map.naver.com/p/search/현도면 달계리 589", "지도Link")</f>
        <v/>
      </c>
      <c r="N3156" s="6">
        <f>HYPERLINK("http://www.eum.go.kr/web/ar/lu/luLandDet.jsp?pnu=4311232031105890000&amp;isNoScr=script&amp;mode=search", "토지이음")</f>
        <v/>
      </c>
      <c r="O3156" s="3" t="inlineStr">
        <is>
          <t>대전토지로무소</t>
        </is>
      </c>
      <c r="P3156" s="4" t="n">
        <v>1</v>
      </c>
      <c r="Q3156" s="4" t="n">
        <v>5014.2</v>
      </c>
      <c r="R3156" s="3" t="inlineStr">
        <is>
          <t>지정되지않음</t>
        </is>
      </c>
      <c r="S3156" s="3" t="inlineStr">
        <is>
          <t>답</t>
        </is>
      </c>
      <c r="T3156" s="3" t="inlineStr">
        <is>
          <t>평지</t>
        </is>
      </c>
      <c r="U3156" s="3" t="inlineStr">
        <is>
          <t>사다리형</t>
        </is>
      </c>
      <c r="V3156" s="3" t="inlineStr">
        <is>
          <t>중로한면</t>
        </is>
      </c>
    </row>
    <row r="3157">
      <c r="A3157" s="3" t="inlineStr">
        <is>
          <t>현도면 달계리 67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대</t>
        </is>
      </c>
      <c r="E3157" s="3" t="inlineStr">
        <is>
          <t>매매</t>
        </is>
      </c>
      <c r="F3157" s="4" t="n">
        <v>30000</v>
      </c>
      <c r="G3157" s="4" t="n">
        <v>2914</v>
      </c>
      <c r="H3157" s="4" t="n">
        <v>881</v>
      </c>
      <c r="I3157" s="5" t="n">
        <v>34.1</v>
      </c>
      <c r="J3157" s="5" t="n">
        <v>17.2</v>
      </c>
      <c r="K3157" s="3" t="inlineStr">
        <is>
          <t>개발 제한구역 답 대토 가능합니다.</t>
        </is>
      </c>
      <c r="L3157" s="6">
        <f>HYPERLINK("https://fin.land.naver.com/articles/2654579684", "매물Link")</f>
        <v/>
      </c>
      <c r="M3157" s="6">
        <f>HYPERLINK("https://map.naver.com/p/search/현도면 달계리 67", "지도Link")</f>
        <v/>
      </c>
      <c r="N3157" s="6">
        <f>HYPERLINK("http://www.eum.go.kr/web/ar/lu/luLandDet.jsp?pnu=4311232031100670000&amp;isNoScr=script&amp;mode=search", "토지이음")</f>
        <v/>
      </c>
      <c r="O3157" s="3" t="inlineStr">
        <is>
          <t>한평</t>
        </is>
      </c>
      <c r="P3157" s="4" t="n">
        <v>1</v>
      </c>
      <c r="Q3157" s="4" t="n">
        <v>2914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소로한면</t>
        </is>
      </c>
    </row>
    <row r="3158">
      <c r="A3158" s="3" t="inlineStr">
        <is>
          <t>현도면 달계리 산84-4</t>
        </is>
      </c>
      <c r="B3158" s="3" t="inlineStr">
        <is>
          <t>개발제한구역</t>
        </is>
      </c>
      <c r="C3158" s="3" t="inlineStr">
        <is>
          <t>임야</t>
        </is>
      </c>
      <c r="D3158" s="3" t="inlineStr">
        <is>
          <t>임야</t>
        </is>
      </c>
      <c r="E3158" s="3" t="inlineStr">
        <is>
          <t>매매</t>
        </is>
      </c>
      <c r="F3158" s="4" t="n">
        <v>32000</v>
      </c>
      <c r="G3158" s="4" t="n">
        <v>3306</v>
      </c>
      <c r="H3158" s="4" t="n">
        <v>1000</v>
      </c>
      <c r="I3158" s="5" t="n">
        <v>32</v>
      </c>
      <c r="J3158" s="5" t="n">
        <v>1.9</v>
      </c>
      <c r="K3158" s="3" t="inlineStr">
        <is>
          <t>nan</t>
        </is>
      </c>
      <c r="L3158" s="6">
        <f>HYPERLINK("https://fin.land.naver.com/articles/2651730630", "매물Link")</f>
        <v/>
      </c>
      <c r="M3158" s="6">
        <f>HYPERLINK("https://map.naver.com/p/search/현도면 달계리 산84-4", "지도Link")</f>
        <v/>
      </c>
      <c r="N3158" s="6">
        <f>HYPERLINK("http://www.eum.go.kr/web/ar/lu/luLandDet.jsp?pnu=4311232031200840004&amp;isNoScr=script&amp;mode=search", "토지이음")</f>
        <v/>
      </c>
      <c r="O3158" s="3" t="inlineStr">
        <is>
          <t>우리동네</t>
        </is>
      </c>
      <c r="P3158" s="4" t="n">
        <v>1</v>
      </c>
      <c r="Q3158" s="4" t="n">
        <v>2562</v>
      </c>
      <c r="R3158" s="3" t="inlineStr">
        <is>
          <t>지정되지않음</t>
        </is>
      </c>
      <c r="S3158" s="3" t="inlineStr">
        <is>
          <t>자연림</t>
        </is>
      </c>
      <c r="T3158" s="3" t="inlineStr">
        <is>
          <t>완경사</t>
        </is>
      </c>
      <c r="U3158" s="3" t="inlineStr">
        <is>
          <t>부정형</t>
        </is>
      </c>
      <c r="V3158" s="3" t="inlineStr">
        <is>
          <t>세로한면(불)</t>
        </is>
      </c>
    </row>
    <row r="3159">
      <c r="A3159" s="3" t="inlineStr">
        <is>
          <t>현도면 매봉리 224-12</t>
        </is>
      </c>
      <c r="B3159" s="3" t="inlineStr">
        <is>
          <t>일반상업지역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95000</v>
      </c>
      <c r="G3159" s="4" t="n">
        <v>576</v>
      </c>
      <c r="H3159" s="4" t="n">
        <v>174</v>
      </c>
      <c r="I3159" s="5" t="n">
        <v>546</v>
      </c>
      <c r="J3159" s="5" t="n">
        <v>88.5</v>
      </c>
      <c r="K3159" s="3" t="inlineStr">
        <is>
          <t>충북 청주 서원구 현도면 주택 포함 땅 투자할분 추천</t>
        </is>
      </c>
      <c r="L3159" s="6">
        <f>HYPERLINK("https://fin.land.naver.com/articles/2650427457", "매물Link")</f>
        <v/>
      </c>
      <c r="M3159" s="6">
        <f>HYPERLINK("https://map.naver.com/p/search/현도면 매봉리 224-12", "지도Link")</f>
        <v/>
      </c>
      <c r="N3159" s="6">
        <f>HYPERLINK("http://www.eum.go.kr/web/ar/lu/luLandDet.jsp?pnu=4311232032102240012&amp;isNoScr=script&amp;mode=search", "토지이음")</f>
        <v/>
      </c>
      <c r="O3159" s="3" t="inlineStr">
        <is>
          <t>신도시</t>
        </is>
      </c>
      <c r="P3159" s="4" t="n">
        <v>1</v>
      </c>
      <c r="Q3159" s="4" t="n">
        <v>576</v>
      </c>
      <c r="R3159" s="3" t="inlineStr">
        <is>
          <t>지정되지않음</t>
        </is>
      </c>
      <c r="S3159" s="3" t="inlineStr">
        <is>
          <t>단독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매봉리 248-5</t>
        </is>
      </c>
      <c r="B3160" s="3" t="inlineStr">
        <is>
          <t>제1종일반주거지역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21000</v>
      </c>
      <c r="G3160" s="4" t="n">
        <v>359</v>
      </c>
      <c r="H3160" s="4" t="n">
        <v>109</v>
      </c>
      <c r="I3160" s="5" t="n">
        <v>192.7</v>
      </c>
      <c r="J3160" s="5" t="n">
        <v>90</v>
      </c>
      <c r="K3160" s="3" t="inlineStr">
        <is>
          <t>교통 편리한 지역 주택 및 창고 용지 적합한 나대지 매매</t>
        </is>
      </c>
      <c r="L3160" s="6">
        <f>HYPERLINK("https://fin.land.naver.com/articles/2651933999", "매물Link")</f>
        <v/>
      </c>
      <c r="M3160" s="6">
        <f>HYPERLINK("https://map.naver.com/p/search/현도면 매봉리 248-5", "지도Link")</f>
        <v/>
      </c>
      <c r="N3160" s="6">
        <f>HYPERLINK("http://www.eum.go.kr/web/ar/lu/luLandDet.jsp?pnu=4311232032102480005&amp;isNoScr=script&amp;mode=search",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359</v>
      </c>
      <c r="R3160" s="3" t="inlineStr">
        <is>
          <t>지정되지않음</t>
        </is>
      </c>
      <c r="S3160" s="3" t="inlineStr">
        <is>
          <t>단독</t>
        </is>
      </c>
      <c r="T3160" s="3" t="inlineStr">
        <is>
          <t>평지</t>
        </is>
      </c>
      <c r="U3160" s="3" t="inlineStr">
        <is>
          <t>부정형</t>
        </is>
      </c>
      <c r="V3160" s="3" t="inlineStr">
        <is>
          <t>세로각지(가)</t>
        </is>
      </c>
    </row>
    <row r="3161">
      <c r="A3161" s="3" t="inlineStr">
        <is>
          <t>현도면 매봉리 269-1</t>
        </is>
      </c>
      <c r="B3161" s="3" t="inlineStr">
        <is>
          <t>제2종일반주거지역</t>
        </is>
      </c>
      <c r="C3161" s="3" t="inlineStr">
        <is>
          <t>창고용지</t>
        </is>
      </c>
      <c r="D3161" s="3" t="inlineStr">
        <is>
          <t>창고용지</t>
        </is>
      </c>
      <c r="E3161" s="3" t="inlineStr">
        <is>
          <t>매매</t>
        </is>
      </c>
      <c r="F3161" s="4" t="n">
        <v>420000</v>
      </c>
      <c r="G3161" s="4" t="n">
        <v>3933</v>
      </c>
      <c r="H3161" s="4" t="n">
        <v>1190</v>
      </c>
      <c r="I3161" s="5" t="n">
        <v>352.9</v>
      </c>
      <c r="J3161" s="5" t="n">
        <v>84.90000000000001</v>
      </c>
      <c r="K3161" s="3" t="inlineStr">
        <is>
          <t>신탄진IC,남청주IC 가깝고 6차선 대로변에 위치, 광고효과 최고</t>
        </is>
      </c>
      <c r="L3161" s="6">
        <f>HYPERLINK("https://fin.land.naver.com/articles/2654290590", "매물Link")</f>
        <v/>
      </c>
      <c r="M3161" s="6">
        <f>HYPERLINK("https://map.naver.com/p/search/현도면 매봉리 269-1", "지도Link")</f>
        <v/>
      </c>
      <c r="N3161" s="6">
        <f>HYPERLINK("http://www.eum.go.kr/web/ar/lu/luLandDet.jsp?pnu=4311232032102690001&amp;isNoScr=script&amp;mode=search", "토지이음")</f>
        <v/>
      </c>
      <c r="O3161" s="3" t="inlineStr">
        <is>
          <t>(주)미르</t>
        </is>
      </c>
      <c r="P3161" s="4" t="n">
        <v>1</v>
      </c>
      <c r="Q3161" s="4" t="n">
        <v>1479</v>
      </c>
      <c r="R3161" s="3" t="inlineStr">
        <is>
          <t>지정되지않음</t>
        </is>
      </c>
      <c r="S3161" s="3" t="inlineStr">
        <is>
          <t>공업기타</t>
        </is>
      </c>
      <c r="T3161" s="3" t="inlineStr">
        <is>
          <t>평지</t>
        </is>
      </c>
      <c r="U3161" s="3" t="inlineStr">
        <is>
          <t>부정형</t>
        </is>
      </c>
      <c r="V3161" s="3" t="inlineStr">
        <is>
          <t>소로한면</t>
        </is>
      </c>
    </row>
    <row r="3162">
      <c r="A3162" s="3" t="inlineStr">
        <is>
          <t>현도면 매봉리 269-1</t>
        </is>
      </c>
      <c r="B3162" s="3" t="inlineStr">
        <is>
          <t>제2종일반주거지역</t>
        </is>
      </c>
      <c r="C3162" s="3" t="inlineStr">
        <is>
          <t>창고용지</t>
        </is>
      </c>
      <c r="D3162" s="3" t="inlineStr">
        <is>
          <t>대</t>
        </is>
      </c>
      <c r="E3162" s="3" t="inlineStr">
        <is>
          <t>매매</t>
        </is>
      </c>
      <c r="F3162" s="4" t="n">
        <v>420000</v>
      </c>
      <c r="G3162" s="4" t="n">
        <v>3934</v>
      </c>
      <c r="H3162" s="4" t="n">
        <v>1190</v>
      </c>
      <c r="I3162" s="5" t="n">
        <v>352.9</v>
      </c>
      <c r="J3162" s="5" t="n">
        <v>84.90000000000001</v>
      </c>
      <c r="K3162" s="3" t="inlineStr">
        <is>
          <t>즉시사용가능 4차선 대도로 광고 전시 효과 최상 회사 사옥  전시장 부지</t>
        </is>
      </c>
      <c r="L3162" s="6">
        <f>HYPERLINK("https://fin.land.naver.com/articles/2651939280", "매물Link")</f>
        <v/>
      </c>
      <c r="M3162" s="6">
        <f>HYPERLINK("https://map.naver.com/p/search/현도면 매봉리 269-1", "지도Link")</f>
        <v/>
      </c>
      <c r="N3162" s="6">
        <f>HYPERLINK("http://www.eum.go.kr/web/ar/lu/luLandDet.jsp?pnu=4311232032102690001&amp;isNoScr=script&amp;mode=search", "토지이음")</f>
        <v/>
      </c>
      <c r="O3162" s="3" t="inlineStr">
        <is>
          <t>대전토지로무소</t>
        </is>
      </c>
      <c r="P3162" s="4" t="n">
        <v>1</v>
      </c>
      <c r="Q3162" s="4" t="n">
        <v>1479</v>
      </c>
      <c r="R3162" s="3" t="inlineStr">
        <is>
          <t>지정되지않음</t>
        </is>
      </c>
      <c r="S3162" s="3" t="inlineStr">
        <is>
          <t>공업기타</t>
        </is>
      </c>
      <c r="T3162" s="3" t="inlineStr">
        <is>
          <t>평지</t>
        </is>
      </c>
      <c r="U3162" s="3" t="inlineStr">
        <is>
          <t>부정형</t>
        </is>
      </c>
      <c r="V3162" s="3" t="inlineStr">
        <is>
          <t>소로한면</t>
        </is>
      </c>
    </row>
    <row r="3163">
      <c r="A3163" s="3" t="inlineStr">
        <is>
          <t>현도면 매봉리 269-1</t>
        </is>
      </c>
      <c r="B3163" s="3" t="inlineStr">
        <is>
          <t>제2종일반주거지역</t>
        </is>
      </c>
      <c r="C3163" s="3" t="inlineStr">
        <is>
          <t>창고용지</t>
        </is>
      </c>
      <c r="D3163" s="3" t="inlineStr">
        <is>
          <t>대</t>
        </is>
      </c>
      <c r="E3163" s="3" t="inlineStr">
        <is>
          <t>매매</t>
        </is>
      </c>
      <c r="F3163" s="4" t="n">
        <v>420000</v>
      </c>
      <c r="G3163" s="4" t="n">
        <v>3934</v>
      </c>
      <c r="H3163" s="4" t="n">
        <v>1190</v>
      </c>
      <c r="I3163" s="5" t="n">
        <v>352.9</v>
      </c>
      <c r="J3163" s="5" t="n">
        <v>84.90000000000001</v>
      </c>
      <c r="K3163" s="3" t="inlineStr">
        <is>
          <t>6차선 접한 창고 있는 토지, 광고효과 최상의 토지매매</t>
        </is>
      </c>
      <c r="L3163" s="6">
        <f>HYPERLINK("https://fin.land.naver.com/articles/2650693880", "매물Link")</f>
        <v/>
      </c>
      <c r="M3163" s="6">
        <f>HYPERLINK("https://map.naver.com/p/search/현도면 매봉리 269-1", "지도Link")</f>
        <v/>
      </c>
      <c r="N3163" s="6">
        <f>HYPERLINK("http://www.eum.go.kr/web/ar/lu/luLandDet.jsp?pnu=4311232032102690001&amp;isNoScr=script&amp;mode=search", "토지이음")</f>
        <v/>
      </c>
      <c r="O3163" s="3" t="inlineStr">
        <is>
          <t>금화랜드</t>
        </is>
      </c>
      <c r="P3163" s="4" t="n">
        <v>1</v>
      </c>
      <c r="Q3163" s="4" t="n">
        <v>1479</v>
      </c>
      <c r="R3163" s="3" t="inlineStr">
        <is>
          <t>지정되지않음</t>
        </is>
      </c>
      <c r="S3163" s="3" t="inlineStr">
        <is>
          <t>공업기타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매봉리 269-11</t>
        </is>
      </c>
      <c r="B3164" s="3" t="inlineStr">
        <is>
          <t>제2종일반주거지역</t>
        </is>
      </c>
      <c r="C3164" s="3" t="inlineStr">
        <is>
          <t>창고용지</t>
        </is>
      </c>
      <c r="D3164" s="3" t="inlineStr">
        <is>
          <t>창고용지</t>
        </is>
      </c>
      <c r="E3164" s="3" t="inlineStr">
        <is>
          <t>매매</t>
        </is>
      </c>
      <c r="F3164" s="4" t="n">
        <v>250000</v>
      </c>
      <c r="G3164" s="4" t="n">
        <v>2682</v>
      </c>
      <c r="H3164" s="4" t="n">
        <v>811</v>
      </c>
      <c r="I3164" s="5" t="n">
        <v>308.3</v>
      </c>
      <c r="J3164" s="5" t="n">
        <v>95.2</v>
      </c>
      <c r="K3164" s="3" t="inlineStr">
        <is>
          <t>창고,공장,사옥,전시장,프렌차이즈,대형카페 등으로 추천,차량 진출입 편리</t>
        </is>
      </c>
      <c r="L3164" s="6">
        <f>HYPERLINK("https://fin.land.naver.com/articles/2653723517", "매물Link")</f>
        <v/>
      </c>
      <c r="M3164" s="6">
        <f>HYPERLINK("https://map.naver.com/p/search/현도면 매봉리 269-11", "지도Link")</f>
        <v/>
      </c>
      <c r="N3164" s="6">
        <f>HYPERLINK("http://www.eum.go.kr/web/ar/lu/luLandDet.jsp?pnu=4311232032102690011&amp;isNoScr=script&amp;mode=search", "토지이음")</f>
        <v/>
      </c>
      <c r="O3164" s="3" t="inlineStr">
        <is>
          <t>금화랜드</t>
        </is>
      </c>
      <c r="P3164" s="4" t="n">
        <v>1</v>
      </c>
      <c r="Q3164" s="4" t="n">
        <v>1917</v>
      </c>
      <c r="R3164" s="3" t="inlineStr">
        <is>
          <t>지정되지않음</t>
        </is>
      </c>
      <c r="S3164" s="3" t="inlineStr">
        <is>
          <t>공업기타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중로한면</t>
        </is>
      </c>
    </row>
    <row r="3165">
      <c r="A3165" s="3" t="inlineStr">
        <is>
          <t>현도면 매봉리 311</t>
        </is>
      </c>
      <c r="B3165" s="3" t="inlineStr">
        <is>
          <t>제1종일반주거지역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42000</v>
      </c>
      <c r="G3165" s="4" t="n">
        <v>1161</v>
      </c>
      <c r="H3165" s="4" t="n">
        <v>351</v>
      </c>
      <c r="I3165" s="5" t="n">
        <v>119.7</v>
      </c>
      <c r="J3165" s="5" t="n">
        <v>62.9</v>
      </c>
      <c r="K3165" s="3" t="inlineStr">
        <is>
          <t>창고 공장 투자 농작용</t>
        </is>
      </c>
      <c r="L3165" s="6">
        <f>HYPERLINK("https://fin.land.naver.com/articles/2653467727", "매물Link")</f>
        <v/>
      </c>
      <c r="M3165" s="6">
        <f>HYPERLINK("https://map.naver.com/p/search/현도면 매봉리 311", "지도Link")</f>
        <v/>
      </c>
      <c r="N3165" s="6">
        <f>HYPERLINK("http://www.eum.go.kr/web/ar/lu/luLandDet.jsp?pnu=4311232032103110000&amp;isNoScr=script&amp;mode=search", "토지이음")</f>
        <v/>
      </c>
      <c r="O3165" s="3" t="inlineStr">
        <is>
          <t>브라운스톤행복</t>
        </is>
      </c>
      <c r="P3165" s="4" t="n">
        <v>1</v>
      </c>
      <c r="Q3165" s="4" t="n">
        <v>50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상삼리 117-1</t>
        </is>
      </c>
      <c r="B3166" s="3" t="inlineStr">
        <is>
          <t>계획관리지역</t>
        </is>
      </c>
      <c r="C3166" s="3" t="inlineStr">
        <is>
          <t>답</t>
        </is>
      </c>
      <c r="D3166" s="3" t="inlineStr">
        <is>
          <t>답</t>
        </is>
      </c>
      <c r="E3166" s="3" t="inlineStr">
        <is>
          <t>매매</t>
        </is>
      </c>
      <c r="F3166" s="4" t="n">
        <v>317500</v>
      </c>
      <c r="G3166" s="4" t="n">
        <v>10496</v>
      </c>
      <c r="H3166" s="4" t="n">
        <v>3175</v>
      </c>
      <c r="I3166" s="5" t="n">
        <v>100</v>
      </c>
      <c r="J3166" s="5" t="n">
        <v>21.9</v>
      </c>
      <c r="K3166" s="3" t="inlineStr">
        <is>
          <t>남청주IC 2km 계획관리 2차선도로접, 공장물류창고 신축 최적지</t>
        </is>
      </c>
      <c r="L3166" s="6">
        <f>HYPERLINK("https://fin.land.naver.com/articles/2654089309", "매물Link")</f>
        <v/>
      </c>
      <c r="M3166" s="6">
        <f>HYPERLINK("https://map.naver.com/p/search/현도면 상삼리 117-1", "지도Link")</f>
        <v/>
      </c>
      <c r="N3166" s="6">
        <f>HYPERLINK("http://www.eum.go.kr/web/ar/lu/luLandDet.jsp?pnu=4311232021101170001&amp;isNoScr=script&amp;mode=search", "토지이음")</f>
        <v/>
      </c>
      <c r="O3166" s="3" t="inlineStr">
        <is>
          <t>신탄진다온</t>
        </is>
      </c>
      <c r="P3166" s="4" t="n">
        <v>1</v>
      </c>
      <c r="Q3166" s="4" t="n">
        <v>2251</v>
      </c>
      <c r="R3166" s="3" t="inlineStr">
        <is>
          <t>지정되지않음</t>
        </is>
      </c>
      <c r="S3166" s="3" t="inlineStr">
        <is>
          <t>답</t>
        </is>
      </c>
      <c r="T3166" s="3" t="inlineStr">
        <is>
          <t>완경사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상삼리 117-1</t>
        </is>
      </c>
      <c r="B3167" s="3" t="inlineStr">
        <is>
          <t>계획관리지역</t>
        </is>
      </c>
      <c r="C3167" s="3" t="inlineStr">
        <is>
          <t>답</t>
        </is>
      </c>
      <c r="D3167" s="3" t="inlineStr">
        <is>
          <t>답</t>
        </is>
      </c>
      <c r="E3167" s="3" t="inlineStr">
        <is>
          <t>매매</t>
        </is>
      </c>
      <c r="F3167" s="4" t="n">
        <v>317500</v>
      </c>
      <c r="G3167" s="4" t="n">
        <v>10496</v>
      </c>
      <c r="H3167" s="4" t="n">
        <v>3175</v>
      </c>
      <c r="I3167" s="5" t="n">
        <v>100</v>
      </c>
      <c r="J3167" s="5" t="n">
        <v>21.9</v>
      </c>
      <c r="K3167" s="3" t="inlineStr">
        <is>
          <t>계획관리지역 대형부지, 공장,창고, 물류  최적지 강력추</t>
        </is>
      </c>
      <c r="L3167" s="6">
        <f>HYPERLINK("https://fin.land.naver.com/articles/2652372212", "매물Link")</f>
        <v/>
      </c>
      <c r="M3167" s="6">
        <f>HYPERLINK("https://map.naver.com/p/search/현도면 상삼리 117-1", "지도Link")</f>
        <v/>
      </c>
      <c r="N3167" s="6">
        <f>HYPERLINK("http://www.eum.go.kr/web/ar/lu/luLandDet.jsp?pnu=4311232021101170001&amp;isNoScr=script&amp;mode=search", "토지이음")</f>
        <v/>
      </c>
      <c r="O3167" s="3" t="inlineStr">
        <is>
          <t>우주</t>
        </is>
      </c>
      <c r="P3167" s="4" t="n">
        <v>2</v>
      </c>
      <c r="Q3167" s="4" t="n">
        <v>2251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완경사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상삼리 117-1</t>
        </is>
      </c>
      <c r="B3168" s="3" t="inlineStr">
        <is>
          <t>계획관리지역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380000</v>
      </c>
      <c r="G3168" s="4" t="n">
        <v>10496</v>
      </c>
      <c r="H3168" s="4" t="n">
        <v>3175</v>
      </c>
      <c r="I3168" s="5" t="n">
        <v>119.7</v>
      </c>
      <c r="J3168" s="5" t="n">
        <v>21.9</v>
      </c>
      <c r="K3168" s="3" t="inlineStr">
        <is>
          <t>남청주IC 인접한 토지 매매입니다.</t>
        </is>
      </c>
      <c r="L3168" s="6">
        <f>HYPERLINK("https://fin.land.naver.com/articles/2654924234", "매물Link")</f>
        <v/>
      </c>
      <c r="M3168" s="6">
        <f>HYPERLINK("https://map.naver.com/p/search/현도면 상삼리 117-1", "지도Link")</f>
        <v/>
      </c>
      <c r="N3168" s="6">
        <f>HYPERLINK("http://www.eum.go.kr/web/ar/lu/luLandDet.jsp?pnu=4311232021101170001&amp;isNoScr=script&amp;mode=search", "토지이음")</f>
        <v/>
      </c>
      <c r="O3168" s="3" t="inlineStr">
        <is>
          <t>테크노밸리  사무소</t>
        </is>
      </c>
      <c r="P3168" s="4" t="n">
        <v>1</v>
      </c>
      <c r="Q3168" s="4" t="n">
        <v>2251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상삼리 117-1</t>
        </is>
      </c>
      <c r="B3169" s="3" t="inlineStr">
        <is>
          <t>계획관리지역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317500</v>
      </c>
      <c r="G3169" s="4" t="n">
        <v>10496</v>
      </c>
      <c r="H3169" s="4" t="n">
        <v>3175</v>
      </c>
      <c r="I3169" s="5" t="n">
        <v>100</v>
      </c>
      <c r="J3169" s="5" t="n">
        <v>21.9</v>
      </c>
      <c r="K3169" s="3" t="inlineStr">
        <is>
          <t>남청주IC인근 2차선 도로접한 계획관리지역. 공장,물류창고 추천.</t>
        </is>
      </c>
      <c r="L3169" s="6">
        <f>HYPERLINK("https://fin.land.naver.com/articles/2653047094", "매물Link")</f>
        <v/>
      </c>
      <c r="M3169" s="6">
        <f>HYPERLINK("https://map.naver.com/p/search/현도면 상삼리 117-1", "지도Link")</f>
        <v/>
      </c>
      <c r="N3169" s="6">
        <f>HYPERLINK("http://www.eum.go.kr/web/ar/lu/luLandDet.jsp?pnu=4311232021101170001&amp;isNoScr=script&amp;mode=search", "토지이음")</f>
        <v/>
      </c>
      <c r="O3169" s="3" t="inlineStr">
        <is>
          <t>세종대장</t>
        </is>
      </c>
      <c r="P3169" s="4" t="n">
        <v>1</v>
      </c>
      <c r="Q3169" s="4" t="n">
        <v>2251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상삼리 117-1</t>
        </is>
      </c>
      <c r="B3170" s="3" t="inlineStr">
        <is>
          <t>계획관리지역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381000</v>
      </c>
      <c r="G3170" s="4" t="n">
        <v>10495</v>
      </c>
      <c r="H3170" s="4" t="n">
        <v>3175</v>
      </c>
      <c r="I3170" s="5" t="n">
        <v>120</v>
      </c>
      <c r="J3170" s="5" t="n">
        <v>21.9</v>
      </c>
      <c r="K3170" s="3" t="inlineStr">
        <is>
          <t>청주IC 인근 입니다  공장부지 창고부지 주차장 부지 넓고 좋습니다</t>
        </is>
      </c>
      <c r="L3170" s="6">
        <f>HYPERLINK("https://fin.land.naver.com/articles/2654596838", "매물Link")</f>
        <v/>
      </c>
      <c r="M3170" s="6">
        <f>HYPERLINK("https://map.naver.com/p/search/현도면 상삼리 117-1", "지도Link")</f>
        <v/>
      </c>
      <c r="N3170" s="6">
        <f>HYPERLINK("http://www.eum.go.kr/web/ar/lu/luLandDet.jsp?pnu=4311232021101170001&amp;isNoScr=script&amp;mode=search", "토지이음")</f>
        <v/>
      </c>
      <c r="O3170" s="3" t="inlineStr">
        <is>
          <t>동일스위트대표</t>
        </is>
      </c>
      <c r="P3170" s="4" t="n">
        <v>3</v>
      </c>
      <c r="Q3170" s="4" t="n">
        <v>2251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상삼리 122</t>
        </is>
      </c>
      <c r="B3171" s="3" t="inlineStr">
        <is>
          <t>계획관리지역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317000</v>
      </c>
      <c r="G3171" s="4" t="n">
        <v>10496</v>
      </c>
      <c r="H3171" s="4" t="n">
        <v>3175</v>
      </c>
      <c r="I3171" s="5" t="n">
        <v>99.8</v>
      </c>
      <c r="J3171" s="5" t="n">
        <v>24.1</v>
      </c>
      <c r="K3171" s="3" t="inlineStr">
        <is>
          <t>남청주IC 5분, 2차선 도로변 현도면 대형 공장부지, 물류창고부지 급매</t>
        </is>
      </c>
      <c r="L3171" s="6">
        <f>HYPERLINK("https://fin.land.naver.com/articles/2654665727", "매물Link")</f>
        <v/>
      </c>
      <c r="M3171" s="6">
        <f>HYPERLINK("https://map.naver.com/p/search/현도면 상삼리 122", "지도Link")</f>
        <v/>
      </c>
      <c r="N3171" s="6">
        <f>HYPERLINK("http://www.eum.go.kr/web/ar/lu/luLandDet.jsp?pnu=4311232021101220000&amp;isNoScr=script&amp;mode=search", "토지이음")</f>
        <v/>
      </c>
      <c r="O3171" s="3" t="inlineStr">
        <is>
          <t>청담</t>
        </is>
      </c>
      <c r="P3171" s="4" t="n">
        <v>1</v>
      </c>
      <c r="Q3171" s="4" t="n">
        <v>1718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소로한면</t>
        </is>
      </c>
    </row>
    <row r="3172">
      <c r="A3172" s="3" t="inlineStr">
        <is>
          <t>현도면 상삼리 122</t>
        </is>
      </c>
      <c r="B3172" s="3" t="inlineStr">
        <is>
          <t>계획관리지역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380000</v>
      </c>
      <c r="G3172" s="4" t="n">
        <v>10496</v>
      </c>
      <c r="H3172" s="4" t="n">
        <v>3175</v>
      </c>
      <c r="I3172" s="5" t="n">
        <v>119.7</v>
      </c>
      <c r="J3172" s="5" t="n">
        <v>24.1</v>
      </c>
      <c r="K3172" s="3" t="inlineStr">
        <is>
          <t>즉시 건축 가능한  2차선 도로 접한 공장 및 창고 부지</t>
        </is>
      </c>
      <c r="L3172" s="6">
        <f>HYPERLINK("https://fin.land.naver.com/articles/2651916730", "매물Link")</f>
        <v/>
      </c>
      <c r="M3172" s="6">
        <f>HYPERLINK("https://map.naver.com/p/search/현도면 상삼리 122", "지도Link")</f>
        <v/>
      </c>
      <c r="N3172" s="6">
        <f>HYPERLINK("http://www.eum.go.kr/web/ar/lu/luLandDet.jsp?pnu=4311232021101220000&amp;isNoScr=script&amp;mode=search",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1718</v>
      </c>
      <c r="R3172" s="3" t="inlineStr">
        <is>
          <t>지정되지않음</t>
        </is>
      </c>
      <c r="S3172" s="3" t="inlineStr">
        <is>
          <t>답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소로한면</t>
        </is>
      </c>
    </row>
    <row r="3173">
      <c r="A3173" s="3" t="inlineStr">
        <is>
          <t>현도면 상삼리 122</t>
        </is>
      </c>
      <c r="B3173" s="3" t="inlineStr">
        <is>
          <t>계획관리지역</t>
        </is>
      </c>
      <c r="C3173" s="3" t="inlineStr">
        <is>
          <t>답</t>
        </is>
      </c>
      <c r="D3173" s="3" t="inlineStr">
        <is>
          <t>답</t>
        </is>
      </c>
      <c r="E3173" s="3" t="inlineStr">
        <is>
          <t>매매</t>
        </is>
      </c>
      <c r="F3173" s="4" t="n">
        <v>381000</v>
      </c>
      <c r="G3173" s="4" t="n">
        <v>10496</v>
      </c>
      <c r="H3173" s="4" t="n">
        <v>3175</v>
      </c>
      <c r="I3173" s="5" t="n">
        <v>120</v>
      </c>
      <c r="J3173" s="5" t="n">
        <v>24.1</v>
      </c>
      <c r="K3173" s="3" t="inlineStr">
        <is>
          <t>OK. 급매. 계획관리지역, 성장관리계획구역.</t>
        </is>
      </c>
      <c r="L3173" s="6">
        <f>HYPERLINK("https://fin.land.naver.com/articles/2654953572", "매물Link")</f>
        <v/>
      </c>
      <c r="M3173" s="6">
        <f>HYPERLINK("https://map.naver.com/p/search/현도면 상삼리 122", "지도Link")</f>
        <v/>
      </c>
      <c r="N3173" s="6">
        <f>HYPERLINK("http://www.eum.go.kr/web/ar/lu/luLandDet.jsp?pnu=4311232021101220000&amp;isNoScr=script&amp;mode=search", "토지이음")</f>
        <v/>
      </c>
      <c r="O3173" s="3" t="inlineStr">
        <is>
          <t>OK</t>
        </is>
      </c>
      <c r="P3173" s="4" t="n">
        <v>1</v>
      </c>
      <c r="Q3173" s="4" t="n">
        <v>1718</v>
      </c>
      <c r="R3173" s="3" t="inlineStr">
        <is>
          <t>지정되지않음</t>
        </is>
      </c>
      <c r="S3173" s="3" t="inlineStr">
        <is>
          <t>답</t>
        </is>
      </c>
      <c r="T3173" s="3" t="inlineStr">
        <is>
          <t>완경사</t>
        </is>
      </c>
      <c r="U3173" s="3" t="inlineStr">
        <is>
          <t>부정형</t>
        </is>
      </c>
      <c r="V3173" s="3" t="inlineStr">
        <is>
          <t>소로한면</t>
        </is>
      </c>
    </row>
    <row r="3174">
      <c r="A3174" s="3" t="inlineStr">
        <is>
          <t>현도면 상삼리 122</t>
        </is>
      </c>
      <c r="B3174" s="3" t="inlineStr">
        <is>
          <t>계획관리지역</t>
        </is>
      </c>
      <c r="C3174" s="3" t="inlineStr">
        <is>
          <t>답</t>
        </is>
      </c>
      <c r="D3174" s="3" t="inlineStr">
        <is>
          <t>답</t>
        </is>
      </c>
      <c r="E3174" s="3" t="inlineStr">
        <is>
          <t>매매</t>
        </is>
      </c>
      <c r="F3174" s="4" t="n">
        <v>317500</v>
      </c>
      <c r="G3174" s="4" t="n">
        <v>10496</v>
      </c>
      <c r="H3174" s="4" t="n">
        <v>3175</v>
      </c>
      <c r="I3174" s="5" t="n">
        <v>100</v>
      </c>
      <c r="J3174" s="5" t="n">
        <v>24.1</v>
      </c>
      <c r="K3174" s="3" t="inlineStr">
        <is>
          <t>남청주ic 부근 물류창고부지 계획관리 2차선변</t>
        </is>
      </c>
      <c r="L3174" s="6">
        <f>HYPERLINK("https://fin.land.naver.com/articles/2652728751", "매물Link")</f>
        <v/>
      </c>
      <c r="M3174" s="6">
        <f>HYPERLINK("https://map.naver.com/p/search/현도면 상삼리 122", "지도Link")</f>
        <v/>
      </c>
      <c r="N3174" s="6">
        <f>HYPERLINK("http://www.eum.go.kr/web/ar/lu/luLandDet.jsp?pnu=4311232021101220000&amp;isNoScr=script&amp;mode=search", "토지이음")</f>
        <v/>
      </c>
      <c r="O3174" s="3" t="inlineStr">
        <is>
          <t>세종이룸</t>
        </is>
      </c>
      <c r="P3174" s="4" t="n">
        <v>1</v>
      </c>
      <c r="Q3174" s="4" t="n">
        <v>1718</v>
      </c>
      <c r="R3174" s="3" t="inlineStr">
        <is>
          <t>지정되지않음</t>
        </is>
      </c>
      <c r="S3174" s="3" t="inlineStr">
        <is>
          <t>답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소로한면</t>
        </is>
      </c>
    </row>
    <row r="3175">
      <c r="A3175" s="3" t="inlineStr">
        <is>
          <t>현도면 상삼리 141</t>
        </is>
      </c>
      <c r="B3175" s="3" t="inlineStr">
        <is>
          <t>계획관리지역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100000</v>
      </c>
      <c r="G3175" s="4" t="n">
        <v>3101</v>
      </c>
      <c r="H3175" s="4" t="n">
        <v>938</v>
      </c>
      <c r="I3175" s="5" t="n">
        <v>106.6</v>
      </c>
      <c r="J3175" s="5" t="n">
        <v>42.7</v>
      </c>
      <c r="K3175" s="3" t="inlineStr">
        <is>
          <t>주변 시세보다 저렴한 공장 및 창고 부지</t>
        </is>
      </c>
      <c r="L3175" s="6">
        <f>HYPERLINK("https://fin.land.naver.com/articles/2655402899", "매물Link")</f>
        <v/>
      </c>
      <c r="M3175" s="6">
        <f>HYPERLINK("https://map.naver.com/p/search/현도면 상삼리 141", "지도Link")</f>
        <v/>
      </c>
      <c r="N3175" s="6">
        <f>HYPERLINK("http://www.eum.go.kr/web/ar/lu/luLandDet.jsp?pnu=4311232021101410000&amp;isNoScr=script&amp;mode=search", "토지이음")</f>
        <v/>
      </c>
      <c r="O3175" s="3" t="inlineStr">
        <is>
          <t>대전토지로무소</t>
        </is>
      </c>
      <c r="P3175" s="4" t="n">
        <v>1</v>
      </c>
      <c r="Q3175" s="4" t="n">
        <v>2648</v>
      </c>
      <c r="R3175" s="3" t="inlineStr">
        <is>
          <t>지정되지않음</t>
        </is>
      </c>
      <c r="S3175" s="3" t="inlineStr">
        <is>
          <t>단독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세로한면(가)</t>
        </is>
      </c>
    </row>
    <row r="3176">
      <c r="A3176" s="3" t="inlineStr">
        <is>
          <t>현도면 상삼리 141</t>
        </is>
      </c>
      <c r="B3176" s="3" t="inlineStr">
        <is>
          <t>계획관리지역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100000</v>
      </c>
      <c r="G3176" s="4" t="n">
        <v>2648</v>
      </c>
      <c r="H3176" s="4" t="n">
        <v>801</v>
      </c>
      <c r="I3176" s="5" t="n">
        <v>124.8</v>
      </c>
      <c r="J3176" s="5" t="n">
        <v>42.7</v>
      </c>
      <c r="K3176" s="3" t="inlineStr">
        <is>
          <t>현재토지에  A동 단층주택 B동은 창고로 사용하고있음</t>
        </is>
      </c>
      <c r="L3176" s="6">
        <f>HYPERLINK("https://fin.land.naver.com/articles/2652036405", "매물Link")</f>
        <v/>
      </c>
      <c r="M3176" s="6">
        <f>HYPERLINK("https://map.naver.com/p/search/현도면 상삼리 141", "지도Link")</f>
        <v/>
      </c>
      <c r="N3176" s="6">
        <f>HYPERLINK("http://www.eum.go.kr/web/ar/lu/luLandDet.jsp?pnu=4311232021101410000&amp;isNoScr=script&amp;mode=search", "토지이음")</f>
        <v/>
      </c>
      <c r="O3176" s="3" t="inlineStr">
        <is>
          <t>사랑방</t>
        </is>
      </c>
      <c r="P3176" s="4" t="n">
        <v>1</v>
      </c>
      <c r="Q3176" s="4" t="n">
        <v>2648</v>
      </c>
      <c r="R3176" s="3" t="inlineStr">
        <is>
          <t>지정되지않음</t>
        </is>
      </c>
      <c r="S3176" s="3" t="inlineStr">
        <is>
          <t>단독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세로한면(가)</t>
        </is>
      </c>
    </row>
    <row r="3177">
      <c r="A3177" s="3" t="inlineStr">
        <is>
          <t>현도면 상삼리 195-1</t>
        </is>
      </c>
      <c r="B3177" s="3" t="inlineStr">
        <is>
          <t>계획관리지역</t>
        </is>
      </c>
      <c r="C3177" s="3" t="inlineStr">
        <is>
          <t>전</t>
        </is>
      </c>
      <c r="D3177" s="3" t="inlineStr">
        <is>
          <t>대</t>
        </is>
      </c>
      <c r="E3177" s="3" t="inlineStr">
        <is>
          <t>매매</t>
        </is>
      </c>
      <c r="F3177" s="4" t="n">
        <v>406000</v>
      </c>
      <c r="G3177" s="4" t="n">
        <v>10341</v>
      </c>
      <c r="H3177" s="4" t="n">
        <v>3128</v>
      </c>
      <c r="I3177" s="5" t="n">
        <v>129.8</v>
      </c>
      <c r="J3177" s="5" t="n">
        <v>21.4</v>
      </c>
      <c r="K3177" s="3" t="inlineStr">
        <is>
          <t>공장,물류창고 등으로 추천드릴 토지,남청주IC 2분거리</t>
        </is>
      </c>
      <c r="L3177" s="6">
        <f>HYPERLINK("https://fin.land.naver.com/articles/2653724152", "매물Link")</f>
        <v/>
      </c>
      <c r="M3177" s="6">
        <f>HYPERLINK("https://map.naver.com/p/search/현도면 상삼리 195-1", "지도Link")</f>
        <v/>
      </c>
      <c r="N3177" s="6">
        <f>HYPERLINK("http://www.eum.go.kr/web/ar/lu/luLandDet.jsp?pnu=4311232021101950001&amp;isNoScr=script&amp;mode=search", "토지이음")</f>
        <v/>
      </c>
      <c r="O3177" s="3" t="inlineStr">
        <is>
          <t>금화랜드</t>
        </is>
      </c>
      <c r="P3177" s="4" t="n">
        <v>3</v>
      </c>
      <c r="Q3177" s="4" t="n">
        <v>1530</v>
      </c>
      <c r="R3177" s="3" t="inlineStr">
        <is>
          <t>지정되지않음</t>
        </is>
      </c>
      <c r="S3177" s="3" t="inlineStr">
        <is>
          <t>전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맹지</t>
        </is>
      </c>
    </row>
    <row r="3178">
      <c r="A3178" s="3" t="inlineStr">
        <is>
          <t>현도면 상삼리 243</t>
        </is>
      </c>
      <c r="B3178" s="3" t="inlineStr">
        <is>
          <t>계획관리지역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13000</v>
      </c>
      <c r="G3178" s="4" t="n">
        <v>893</v>
      </c>
      <c r="H3178" s="4" t="n">
        <v>270</v>
      </c>
      <c r="I3178" s="5" t="n">
        <v>48.1</v>
      </c>
      <c r="J3178" s="5" t="n">
        <v>38.5</v>
      </c>
      <c r="K3178" s="3" t="inlineStr">
        <is>
          <t>nan</t>
        </is>
      </c>
      <c r="L3178" s="6">
        <f>HYPERLINK("https://fin.land.naver.com/articles/2651444147", "매물Link")</f>
        <v/>
      </c>
      <c r="M3178" s="6">
        <f>HYPERLINK("https://map.naver.com/p/search/현도면 상삼리 243", "지도Link")</f>
        <v/>
      </c>
      <c r="N3178" s="6">
        <f>HYPERLINK("http://www.eum.go.kr/web/ar/lu/luLandDet.jsp?pnu=4311232021102430000&amp;isNoScr=script&amp;mode=search", "토지이음")</f>
        <v/>
      </c>
      <c r="O3178" s="3" t="inlineStr">
        <is>
          <t>오송베스트</t>
        </is>
      </c>
      <c r="P3178" s="4" t="n">
        <v>1</v>
      </c>
      <c r="Q3178" s="4" t="n">
        <v>893</v>
      </c>
      <c r="R3178" s="3" t="inlineStr">
        <is>
          <t>지정되지않음</t>
        </is>
      </c>
      <c r="S3178" s="3" t="inlineStr">
        <is>
          <t>단독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세로한면(불)</t>
        </is>
      </c>
    </row>
    <row r="3179">
      <c r="A3179" s="3" t="inlineStr">
        <is>
          <t>현도면 상삼리 256-4</t>
        </is>
      </c>
      <c r="B3179" s="3" t="inlineStr">
        <is>
          <t>계획관리지역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12300</v>
      </c>
      <c r="G3179" s="4" t="n">
        <v>681</v>
      </c>
      <c r="H3179" s="4" t="n">
        <v>206</v>
      </c>
      <c r="I3179" s="5" t="n">
        <v>59.7</v>
      </c>
      <c r="J3179" s="5" t="n">
        <v>40.4</v>
      </c>
      <c r="K3179" s="3" t="inlineStr">
        <is>
          <t>주택신축부지매매 구옥철거필요함</t>
        </is>
      </c>
      <c r="L3179" s="6">
        <f>HYPERLINK("https://fin.land.naver.com/articles/2652834840", "매물Link")</f>
        <v/>
      </c>
      <c r="M3179" s="6">
        <f>HYPERLINK("https://map.naver.com/p/search/현도면 상삼리 256-4", "지도Link")</f>
        <v/>
      </c>
      <c r="N3179" s="6">
        <f>HYPERLINK("http://www.eum.go.kr/web/ar/lu/luLandDet.jsp?pnu=4311232021102560004&amp;isNoScr=script&amp;mode=search", "토지이음")</f>
        <v/>
      </c>
      <c r="O3179" s="3" t="inlineStr">
        <is>
          <t>거림합동</t>
        </is>
      </c>
      <c r="P3179" s="4" t="n">
        <v>1</v>
      </c>
      <c r="Q3179" s="4" t="n">
        <v>681</v>
      </c>
      <c r="R3179" s="3" t="inlineStr">
        <is>
          <t>지정되지않음</t>
        </is>
      </c>
      <c r="S3179" s="3" t="inlineStr">
        <is>
          <t>단독</t>
        </is>
      </c>
      <c r="T3179" s="3" t="inlineStr">
        <is>
          <t>완경사</t>
        </is>
      </c>
      <c r="U3179" s="3" t="inlineStr">
        <is>
          <t>사다리형</t>
        </is>
      </c>
      <c r="V3179" s="3" t="inlineStr">
        <is>
          <t>세로한면(불)</t>
        </is>
      </c>
    </row>
    <row r="3180">
      <c r="A3180" s="3" t="inlineStr">
        <is>
          <t>현도면 상삼리 260-1</t>
        </is>
      </c>
      <c r="B3180" s="3" t="inlineStr">
        <is>
          <t>계획관리지역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74800</v>
      </c>
      <c r="G3180" s="4" t="n">
        <v>3099</v>
      </c>
      <c r="H3180" s="4" t="n">
        <v>937</v>
      </c>
      <c r="I3180" s="5" t="n">
        <v>79.8</v>
      </c>
      <c r="J3180" s="5" t="n">
        <v>38.8</v>
      </c>
      <c r="K3180" s="3" t="inlineStr">
        <is>
          <t>지목이 대지라 농지전용없이 건축가능, 공장 및 창고 등 용도다양함</t>
        </is>
      </c>
      <c r="L3180" s="6">
        <f>HYPERLINK("https://fin.land.naver.com/articles/2654901453", "매물Link")</f>
        <v/>
      </c>
      <c r="M3180" s="6">
        <f>HYPERLINK("https://map.naver.com/p/search/현도면 상삼리 260-1", "지도Link")</f>
        <v/>
      </c>
      <c r="N3180" s="6">
        <f>HYPERLINK("http://www.eum.go.kr/web/ar/lu/luLandDet.jsp?pnu=4311232021102600001&amp;isNoScr=script&amp;mode=search", "토지이음")</f>
        <v/>
      </c>
      <c r="O3180" s="3" t="inlineStr">
        <is>
          <t>대전토지로무소</t>
        </is>
      </c>
      <c r="P3180" s="4" t="n">
        <v>1</v>
      </c>
      <c r="Q3180" s="4" t="n">
        <v>3012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완경사</t>
        </is>
      </c>
      <c r="U3180" s="3" t="inlineStr">
        <is>
          <t>부정형</t>
        </is>
      </c>
      <c r="V3180" s="3" t="inlineStr">
        <is>
          <t>세로한면(불)</t>
        </is>
      </c>
    </row>
    <row r="3181">
      <c r="A3181" s="3" t="inlineStr">
        <is>
          <t>현도면 상삼리 293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25900</v>
      </c>
      <c r="G3181" s="4" t="n">
        <v>2446</v>
      </c>
      <c r="H3181" s="4" t="n">
        <v>740</v>
      </c>
      <c r="I3181" s="5" t="n">
        <v>35</v>
      </c>
      <c r="J3181" s="5" t="n">
        <v>20.8</v>
      </c>
      <c r="K3181" s="3" t="inlineStr">
        <is>
          <t>농로 있음, 계획관리지역, 성장관리계획구역</t>
        </is>
      </c>
      <c r="L3181" s="6">
        <f>HYPERLINK("https://fin.land.naver.com/articles/2655015793", "매물Link")</f>
        <v/>
      </c>
      <c r="M3181" s="6">
        <f>HYPERLINK("https://map.naver.com/p/search/현도면 상삼리 293", "지도Link")</f>
        <v/>
      </c>
      <c r="N3181" s="6">
        <f>HYPERLINK("http://www.eum.go.kr/web/ar/lu/luLandDet.jsp?pnu=4311232021102930000&amp;isNoScr=script&amp;mode=search", "토지이음")</f>
        <v/>
      </c>
      <c r="O3181" s="3" t="inlineStr">
        <is>
          <t>복돼지</t>
        </is>
      </c>
      <c r="P3181" s="4" t="n">
        <v>1</v>
      </c>
      <c r="Q3181" s="4" t="n">
        <v>2446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세로한면(가)</t>
        </is>
      </c>
    </row>
    <row r="3182">
      <c r="A3182" s="3" t="inlineStr">
        <is>
          <t>현도면 시동리 126</t>
        </is>
      </c>
      <c r="B3182" s="3" t="inlineStr">
        <is>
          <t>개발제한구역</t>
        </is>
      </c>
      <c r="C3182" s="3" t="inlineStr">
        <is>
          <t>답</t>
        </is>
      </c>
      <c r="D3182" s="3" t="inlineStr">
        <is>
          <t>답</t>
        </is>
      </c>
      <c r="E3182" s="3" t="inlineStr">
        <is>
          <t>매매</t>
        </is>
      </c>
      <c r="F3182" s="4" t="n">
        <v>18900</v>
      </c>
      <c r="G3182" s="4" t="n">
        <v>3117</v>
      </c>
      <c r="H3182" s="4" t="n">
        <v>943</v>
      </c>
      <c r="I3182" s="5" t="n">
        <v>20</v>
      </c>
      <c r="J3182" s="5" t="n">
        <v>9.199999999999999</v>
      </c>
      <c r="K3182" s="3" t="inlineStr">
        <is>
          <t>복토후 밭으로 사용가능하며 투자용으로 적격입니다</t>
        </is>
      </c>
      <c r="L3182" s="6">
        <f>HYPERLINK("https://fin.land.naver.com/articles/2652711749", "매물Link")</f>
        <v/>
      </c>
      <c r="M3182" s="6">
        <f>HYPERLINK("https://map.naver.com/p/search/현도면 시동리 126", "지도Link")</f>
        <v/>
      </c>
      <c r="N3182" s="6">
        <f>HYPERLINK("http://www.eum.go.kr/web/ar/lu/luLandDet.jsp?pnu=4311232025101260000&amp;isNoScr=script&amp;mode=search", "토지이음")</f>
        <v/>
      </c>
      <c r="O3182" s="3" t="inlineStr">
        <is>
          <t>대웅</t>
        </is>
      </c>
      <c r="P3182" s="4" t="n">
        <v>1</v>
      </c>
      <c r="Q3182" s="4" t="n">
        <v>3117</v>
      </c>
      <c r="R3182" s="3" t="inlineStr">
        <is>
          <t>지정되지않음</t>
        </is>
      </c>
      <c r="S3182" s="3" t="inlineStr">
        <is>
          <t>답</t>
        </is>
      </c>
      <c r="T3182" s="3" t="inlineStr">
        <is>
          <t>완경사</t>
        </is>
      </c>
      <c r="U3182" s="3" t="inlineStr">
        <is>
          <t>부정형</t>
        </is>
      </c>
      <c r="V3182" s="3" t="inlineStr">
        <is>
          <t>세로한면(불)</t>
        </is>
      </c>
    </row>
    <row r="3183">
      <c r="A3183" s="3" t="inlineStr">
        <is>
          <t>현도면 시동리 218</t>
        </is>
      </c>
      <c r="B3183" s="3" t="inlineStr">
        <is>
          <t>생산관리지역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17000</v>
      </c>
      <c r="G3183" s="4" t="n">
        <v>761</v>
      </c>
      <c r="H3183" s="4" t="n">
        <v>230</v>
      </c>
      <c r="I3183" s="5" t="n">
        <v>73.90000000000001</v>
      </c>
      <c r="J3183" s="5" t="n">
        <v>29</v>
      </c>
      <c r="K3183" s="3" t="inlineStr">
        <is>
          <t>도로옆으로 국유지 약 100여평이상 무상으로 사용중 입니다</t>
        </is>
      </c>
      <c r="L3183" s="6">
        <f>HYPERLINK("https://fin.land.naver.com/articles/2652712084", "매물Link")</f>
        <v/>
      </c>
      <c r="M3183" s="6">
        <f>HYPERLINK("https://map.naver.com/p/search/현도면 시동리 218", "지도Link")</f>
        <v/>
      </c>
      <c r="N3183" s="6">
        <f>HYPERLINK("http://www.eum.go.kr/web/ar/lu/luLandDet.jsp?pnu=4311232025102180000&amp;isNoScr=script&amp;mode=search", "토지이음")</f>
        <v/>
      </c>
      <c r="O3183" s="3" t="inlineStr">
        <is>
          <t>대웅</t>
        </is>
      </c>
      <c r="P3183" s="4" t="n">
        <v>1</v>
      </c>
      <c r="Q3183" s="4" t="n">
        <v>761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평지</t>
        </is>
      </c>
      <c r="U3183" s="3" t="inlineStr">
        <is>
          <t>부정형</t>
        </is>
      </c>
      <c r="V3183" s="3" t="inlineStr">
        <is>
          <t>소로한면</t>
        </is>
      </c>
    </row>
    <row r="3184">
      <c r="A3184" s="3" t="inlineStr">
        <is>
          <t>현도면 시동리 297</t>
        </is>
      </c>
      <c r="B3184" s="3" t="inlineStr">
        <is>
          <t>개발제한구역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26000</v>
      </c>
      <c r="G3184" s="4" t="n">
        <v>2142</v>
      </c>
      <c r="H3184" s="4" t="n">
        <v>648</v>
      </c>
      <c r="I3184" s="5" t="n">
        <v>40.1</v>
      </c>
      <c r="J3184" s="5" t="n">
        <v>6.8</v>
      </c>
      <c r="K3184" s="3" t="inlineStr">
        <is>
          <t>도로인접, 차량진입 가능, 수도, 전기, 컨테이너</t>
        </is>
      </c>
      <c r="L3184" s="6">
        <f>HYPERLINK("https://fin.land.naver.com/articles/2654568689", "매물Link")</f>
        <v/>
      </c>
      <c r="M3184" s="6">
        <f>HYPERLINK("https://map.naver.com/p/search/현도면 시동리 297", "지도Link")</f>
        <v/>
      </c>
      <c r="N3184" s="6">
        <f>HYPERLINK("http://www.eum.go.kr/web/ar/lu/luLandDet.jsp?pnu=4311232025102970000&amp;isNoScr=script&amp;mode=search", "토지이음")</f>
        <v/>
      </c>
      <c r="O3184" s="3" t="inlineStr">
        <is>
          <t>대지</t>
        </is>
      </c>
      <c r="P3184" s="4" t="n">
        <v>1</v>
      </c>
      <c r="Q3184" s="4" t="n">
        <v>2142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완경사</t>
        </is>
      </c>
      <c r="U3184" s="3" t="inlineStr">
        <is>
          <t>부정형</t>
        </is>
      </c>
      <c r="V3184" s="3" t="inlineStr">
        <is>
          <t>세로한면(불)</t>
        </is>
      </c>
    </row>
    <row r="3185">
      <c r="A3185" s="3" t="inlineStr">
        <is>
          <t>현도면 양지리 230-8</t>
        </is>
      </c>
      <c r="B3185" s="3" t="inlineStr">
        <is>
          <t>제1종일반주거지역</t>
        </is>
      </c>
      <c r="C3185" s="3" t="inlineStr">
        <is>
          <t>전</t>
        </is>
      </c>
      <c r="D3185" s="3" t="inlineStr">
        <is>
          <t>전</t>
        </is>
      </c>
      <c r="E3185" s="3" t="inlineStr">
        <is>
          <t>매매</t>
        </is>
      </c>
      <c r="F3185" s="4" t="n">
        <v>47000</v>
      </c>
      <c r="G3185" s="4" t="n">
        <v>1109</v>
      </c>
      <c r="H3185" s="4" t="n">
        <v>335</v>
      </c>
      <c r="I3185" s="5" t="n">
        <v>140.3</v>
      </c>
      <c r="J3185" s="5" t="n">
        <v>39.4</v>
      </c>
      <c r="K3185" s="3" t="inlineStr">
        <is>
          <t>즉시 사용 가능한 주거지역 토지 도로 접한 해 잘 드는 창고 주택 용지</t>
        </is>
      </c>
      <c r="L3185" s="6">
        <f>HYPERLINK("https://fin.land.naver.com/articles/2651947076", "매물Link")</f>
        <v/>
      </c>
      <c r="M3185" s="6">
        <f>HYPERLINK("https://map.naver.com/p/search/현도면 양지리 230-8", "지도Link")</f>
        <v/>
      </c>
      <c r="N3185" s="6">
        <f>HYPERLINK("http://www.eum.go.kr/web/ar/lu/luLandDet.jsp?pnu=4311232033102300008&amp;isNoScr=script&amp;mode=search", "토지이음")</f>
        <v/>
      </c>
      <c r="O3185" s="3" t="inlineStr">
        <is>
          <t>대전토지로무소</t>
        </is>
      </c>
      <c r="P3185" s="4" t="n">
        <v>1</v>
      </c>
      <c r="Q3185" s="4" t="n">
        <v>1037</v>
      </c>
      <c r="R3185" s="3" t="inlineStr">
        <is>
          <t>지정되지않음</t>
        </is>
      </c>
      <c r="S3185" s="3" t="inlineStr">
        <is>
          <t>전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양지리 41-8</t>
        </is>
      </c>
      <c r="B3186" s="3" t="inlineStr">
        <is>
          <t>개발제한구역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500000</v>
      </c>
      <c r="G3186" s="4" t="n">
        <v>6126</v>
      </c>
      <c r="H3186" s="4" t="n">
        <v>1853</v>
      </c>
      <c r="I3186" s="5" t="n">
        <v>269.8</v>
      </c>
      <c r="J3186" s="5" t="n">
        <v>100.5</v>
      </c>
      <c r="K3186" s="3" t="inlineStr">
        <is>
          <t>17번 국도에 접하고 금강을 마주보는 천혜의 요지, 카페 가든 최적지</t>
        </is>
      </c>
      <c r="L3186" s="6">
        <f>HYPERLINK("https://fin.land.naver.com/articles/2654902415", "매물Link")</f>
        <v/>
      </c>
      <c r="M3186" s="6">
        <f>HYPERLINK("https://map.naver.com/p/search/현도면 양지리 41-8", "지도Link")</f>
        <v/>
      </c>
      <c r="N3186" s="6">
        <f>HYPERLINK("http://www.eum.go.kr/web/ar/lu/luLandDet.jsp?pnu=4311232033100410008&amp;isNoScr=script&amp;mode=search", "토지이음")</f>
        <v/>
      </c>
      <c r="O3186" s="3" t="inlineStr">
        <is>
          <t>대전토지로무소</t>
        </is>
      </c>
      <c r="P3186" s="4" t="n">
        <v>1</v>
      </c>
      <c r="Q3186" s="4" t="n">
        <v>797</v>
      </c>
      <c r="R3186" s="3" t="inlineStr">
        <is>
          <t>지정되지않음</t>
        </is>
      </c>
      <c r="S3186" s="3" t="inlineStr">
        <is>
          <t>상업용</t>
        </is>
      </c>
      <c r="T3186" s="3" t="inlineStr">
        <is>
          <t>완경사</t>
        </is>
      </c>
      <c r="U3186" s="3" t="inlineStr">
        <is>
          <t>가로장방</t>
        </is>
      </c>
      <c r="V3186" s="3" t="inlineStr">
        <is>
          <t>중로한면</t>
        </is>
      </c>
    </row>
    <row r="3187">
      <c r="A3187" s="3" t="inlineStr">
        <is>
          <t>현도면 우록리 109-3</t>
        </is>
      </c>
      <c r="B3187" s="3" t="inlineStr">
        <is>
          <t>계획관리지역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15000</v>
      </c>
      <c r="G3187" s="4" t="n">
        <v>687</v>
      </c>
      <c r="H3187" s="4" t="n">
        <v>208</v>
      </c>
      <c r="I3187" s="5" t="n">
        <v>72.09999999999999</v>
      </c>
      <c r="J3187" s="5" t="n">
        <v>36.3</v>
      </c>
      <c r="K3187" s="3" t="inlineStr">
        <is>
          <t>위치 좋은 전원주택지 입니다.</t>
        </is>
      </c>
      <c r="L3187" s="6">
        <f>HYPERLINK("https://fin.land.naver.com/articles/2654497296", "매물Link")</f>
        <v/>
      </c>
      <c r="M3187" s="6">
        <f>HYPERLINK("https://map.naver.com/p/search/현도면 우록리 109-3", "지도Link")</f>
        <v/>
      </c>
      <c r="N3187" s="6">
        <f>HYPERLINK("http://www.eum.go.kr/web/ar/lu/luLandDet.jsp?pnu=4311232024101090003&amp;isNoScr=script&amp;mode=search", "토지이음")</f>
        <v/>
      </c>
      <c r="O3187" s="3" t="inlineStr">
        <is>
          <t>대웅</t>
        </is>
      </c>
      <c r="P3187" s="4" t="n">
        <v>1</v>
      </c>
      <c r="Q3187" s="4" t="n">
        <v>687</v>
      </c>
      <c r="R3187" s="3" t="inlineStr">
        <is>
          <t>지정되지않음</t>
        </is>
      </c>
      <c r="S3187" s="3" t="inlineStr">
        <is>
          <t>주거기타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세로한면(가)</t>
        </is>
      </c>
    </row>
    <row r="3188">
      <c r="A3188" s="3" t="inlineStr">
        <is>
          <t>현도면 우록리 109-5</t>
        </is>
      </c>
      <c r="B3188" s="3" t="inlineStr">
        <is>
          <t>계획관리지역</t>
        </is>
      </c>
      <c r="C3188" s="3" t="inlineStr">
        <is>
          <t>임야</t>
        </is>
      </c>
      <c r="D3188" s="3" t="inlineStr">
        <is>
          <t>임야</t>
        </is>
      </c>
      <c r="E3188" s="3" t="inlineStr">
        <is>
          <t>매매</t>
        </is>
      </c>
      <c r="F3188" s="4" t="n">
        <v>25200</v>
      </c>
      <c r="G3188" s="4" t="n">
        <v>1020</v>
      </c>
      <c r="H3188" s="4" t="n">
        <v>309</v>
      </c>
      <c r="I3188" s="5" t="n">
        <v>81.59999999999999</v>
      </c>
      <c r="J3188" s="5" t="n">
        <v>4</v>
      </c>
      <c r="K3188" s="3" t="inlineStr">
        <is>
          <t>계획관리지역의 3필지 토지 매매입니다.</t>
        </is>
      </c>
      <c r="L3188" s="6">
        <f>HYPERLINK("https://fin.land.naver.com/articles/2652719034", "매물Link")</f>
        <v/>
      </c>
      <c r="M3188" s="6">
        <f>HYPERLINK("https://map.naver.com/p/search/현도면 우록리 109-5", "지도Link")</f>
        <v/>
      </c>
      <c r="N3188" s="6">
        <f>HYPERLINK("http://www.eum.go.kr/web/ar/lu/luLandDet.jsp?pnu=4311232024101090005&amp;isNoScr=script&amp;mode=search", "토지이음")</f>
        <v/>
      </c>
      <c r="O3188" s="3" t="inlineStr">
        <is>
          <t>진행</t>
        </is>
      </c>
      <c r="P3188" s="4" t="n">
        <v>1</v>
      </c>
      <c r="Q3188" s="4" t="n">
        <v>1020</v>
      </c>
      <c r="R3188" s="3" t="inlineStr">
        <is>
          <t>지정되지않음</t>
        </is>
      </c>
      <c r="S3188" s="3" t="inlineStr">
        <is>
          <t>자연림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세로한면(가)</t>
        </is>
      </c>
    </row>
    <row r="3189">
      <c r="A3189" s="3" t="inlineStr">
        <is>
          <t>현도면 우록리 300</t>
        </is>
      </c>
      <c r="B3189" s="3" t="inlineStr">
        <is>
          <t>생산관리지역</t>
        </is>
      </c>
      <c r="C3189" s="3" t="inlineStr">
        <is>
          <t>답</t>
        </is>
      </c>
      <c r="D3189" s="3" t="inlineStr">
        <is>
          <t>답</t>
        </is>
      </c>
      <c r="E3189" s="3" t="inlineStr">
        <is>
          <t>매매</t>
        </is>
      </c>
      <c r="F3189" s="4" t="n">
        <v>43000</v>
      </c>
      <c r="G3189" s="4" t="n">
        <v>4056</v>
      </c>
      <c r="H3189" s="4" t="n">
        <v>1227</v>
      </c>
      <c r="I3189" s="5" t="n">
        <v>35</v>
      </c>
      <c r="J3189" s="5" t="n">
        <v>18.3</v>
      </c>
      <c r="K3189" s="3" t="inlineStr">
        <is>
          <t>nan</t>
        </is>
      </c>
      <c r="L3189" s="6">
        <f>HYPERLINK("https://fin.land.naver.com/articles/2650595663", "매물Link")</f>
        <v/>
      </c>
      <c r="M3189" s="6">
        <f>HYPERLINK("https://map.naver.com/p/search/현도면 우록리 300", "지도Link")</f>
        <v/>
      </c>
      <c r="N3189" s="6">
        <f>HYPERLINK("http://www.eum.go.kr/web/ar/lu/luLandDet.jsp?pnu=4311232024103000000&amp;isNoScr=script&amp;mode=search", "토지이음")</f>
        <v/>
      </c>
      <c r="O3189" s="3" t="inlineStr">
        <is>
          <t>대웅</t>
        </is>
      </c>
      <c r="P3189" s="4" t="n">
        <v>2</v>
      </c>
      <c r="Q3189" s="4" t="n">
        <v>1996</v>
      </c>
      <c r="R3189" s="3" t="inlineStr">
        <is>
          <t>지정되지않음</t>
        </is>
      </c>
      <c r="S3189" s="3" t="inlineStr">
        <is>
          <t>답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세로한면(가)</t>
        </is>
      </c>
    </row>
    <row r="3190">
      <c r="A3190" s="3" t="inlineStr">
        <is>
          <t>현도면 우록리 330</t>
        </is>
      </c>
      <c r="B3190" s="3" t="inlineStr">
        <is>
          <t>생산관리지역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75000</v>
      </c>
      <c r="G3190" s="4" t="n">
        <v>565</v>
      </c>
      <c r="H3190" s="4" t="n">
        <v>171</v>
      </c>
      <c r="I3190" s="5" t="n">
        <v>438.6</v>
      </c>
      <c r="J3190" s="5" t="n">
        <v>35</v>
      </c>
      <c r="K3190" s="3" t="inlineStr">
        <is>
          <t>nan</t>
        </is>
      </c>
      <c r="L3190" s="6">
        <f>HYPERLINK("https://fin.land.naver.com/articles/2655174096", "매물Link")</f>
        <v/>
      </c>
      <c r="M3190" s="6">
        <f>HYPERLINK("https://map.naver.com/p/search/현도면 우록리 330", "지도Link")</f>
        <v/>
      </c>
      <c r="N3190" s="6">
        <f>HYPERLINK("http://www.eum.go.kr/web/ar/lu/luLandDet.jsp?pnu=4311232024103300000&amp;isNoScr=script&amp;mode=search", "토지이음")</f>
        <v/>
      </c>
      <c r="O3190" s="3" t="inlineStr">
        <is>
          <t>청주지웰프로</t>
        </is>
      </c>
      <c r="P3190" s="4" t="n">
        <v>1</v>
      </c>
      <c r="Q3190" s="4" t="n">
        <v>564</v>
      </c>
      <c r="R3190" s="3" t="inlineStr">
        <is>
          <t>지정되지않음</t>
        </is>
      </c>
      <c r="S3190" s="3" t="inlineStr">
        <is>
          <t>단독</t>
        </is>
      </c>
      <c r="T3190" s="3" t="inlineStr">
        <is>
          <t>평지</t>
        </is>
      </c>
      <c r="U3190" s="3" t="inlineStr">
        <is>
          <t>사다리형</t>
        </is>
      </c>
      <c r="V3190" s="3" t="inlineStr">
        <is>
          <t>세로한면(가)</t>
        </is>
      </c>
    </row>
    <row r="3191">
      <c r="A3191" s="3" t="inlineStr">
        <is>
          <t>현도면 우록리 478-2</t>
        </is>
      </c>
      <c r="B3191" s="3" t="inlineStr">
        <is>
          <t>계획관리지역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26000</v>
      </c>
      <c r="G3191" s="4" t="n">
        <v>468</v>
      </c>
      <c r="H3191" s="4" t="n">
        <v>142</v>
      </c>
      <c r="I3191" s="5" t="n">
        <v>183.1</v>
      </c>
      <c r="J3191" s="5" t="n">
        <v>42.7</v>
      </c>
      <c r="K3191" s="3" t="inlineStr">
        <is>
          <t>조용한 전원생활 원하시는분께 적극 추천</t>
        </is>
      </c>
      <c r="L3191" s="6">
        <f>HYPERLINK("https://fin.land.naver.com/articles/2654087557", "매물Link")</f>
        <v/>
      </c>
      <c r="M3191" s="6">
        <f>HYPERLINK("https://map.naver.com/p/search/현도면 우록리 478-2", "지도Link")</f>
        <v/>
      </c>
      <c r="N3191" s="6">
        <f>HYPERLINK("http://www.eum.go.kr/web/ar/lu/luLandDet.jsp?pnu=4311232024104780002&amp;isNoScr=script&amp;mode=search", "토지이음")</f>
        <v/>
      </c>
      <c r="O3191" s="3" t="inlineStr">
        <is>
          <t>114</t>
        </is>
      </c>
      <c r="P3191" s="4" t="n">
        <v>1</v>
      </c>
      <c r="Q3191" s="4" t="n">
        <v>468</v>
      </c>
      <c r="R3191" s="3" t="inlineStr">
        <is>
          <t>지정되지않음</t>
        </is>
      </c>
      <c r="S3191" s="3" t="inlineStr">
        <is>
          <t>단독</t>
        </is>
      </c>
      <c r="T3191" s="3" t="inlineStr">
        <is>
          <t>평지</t>
        </is>
      </c>
      <c r="U3191" s="3" t="inlineStr">
        <is>
          <t>부정형</t>
        </is>
      </c>
      <c r="V3191" s="3" t="inlineStr">
        <is>
          <t>세로한면(가)</t>
        </is>
      </c>
    </row>
    <row r="3192">
      <c r="A3192" s="3" t="inlineStr">
        <is>
          <t>현도면 우록리 480-1</t>
        </is>
      </c>
      <c r="B3192" s="3" t="inlineStr">
        <is>
          <t>생산관리지역</t>
        </is>
      </c>
      <c r="C3192" s="3" t="inlineStr">
        <is>
          <t>전</t>
        </is>
      </c>
      <c r="D3192" s="3" t="inlineStr">
        <is>
          <t>전</t>
        </is>
      </c>
      <c r="E3192" s="3" t="inlineStr">
        <is>
          <t>매매</t>
        </is>
      </c>
      <c r="F3192" s="4" t="n">
        <v>60000</v>
      </c>
      <c r="G3192" s="4" t="n">
        <v>2503</v>
      </c>
      <c r="H3192" s="4" t="n">
        <v>757</v>
      </c>
      <c r="I3192" s="5" t="n">
        <v>79.3</v>
      </c>
      <c r="J3192" s="5" t="n">
        <v>33.6</v>
      </c>
      <c r="K3192" s="3" t="inlineStr">
        <is>
          <t>동남.방서지구 인접, 3순환로 최적의 수혜지, 도로접한 알짜매물</t>
        </is>
      </c>
      <c r="L3192" s="6">
        <f>HYPERLINK("https://fin.land.naver.com/articles/2654086833", "매물Link")</f>
        <v/>
      </c>
      <c r="M3192" s="6">
        <f>HYPERLINK("https://map.naver.com/p/search/현도면 우록리 480-1", "지도Link")</f>
        <v/>
      </c>
      <c r="N3192" s="6">
        <f>HYPERLINK("http://www.eum.go.kr/web/ar/lu/luLandDet.jsp?pnu=4311232024104800001&amp;isNoScr=script&amp;mode=search", "토지이음")</f>
        <v/>
      </c>
      <c r="O3192" s="3" t="inlineStr">
        <is>
          <t>114</t>
        </is>
      </c>
      <c r="P3192" s="4" t="n">
        <v>1</v>
      </c>
      <c r="Q3192" s="4" t="n">
        <v>407</v>
      </c>
      <c r="R3192" s="3" t="inlineStr">
        <is>
          <t>지정되지않음</t>
        </is>
      </c>
      <c r="S3192" s="3" t="inlineStr">
        <is>
          <t>전</t>
        </is>
      </c>
      <c r="T3192" s="3" t="inlineStr">
        <is>
          <t>평지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우록리 481</t>
        </is>
      </c>
      <c r="B3193" s="3" t="inlineStr">
        <is>
          <t>생산관리지역</t>
        </is>
      </c>
      <c r="C3193" s="3" t="inlineStr">
        <is>
          <t>답</t>
        </is>
      </c>
      <c r="D3193" s="3" t="inlineStr">
        <is>
          <t>답</t>
        </is>
      </c>
      <c r="E3193" s="3" t="inlineStr">
        <is>
          <t>매매</t>
        </is>
      </c>
      <c r="F3193" s="4" t="n">
        <v>45000</v>
      </c>
      <c r="G3193" s="4" t="n">
        <v>2503</v>
      </c>
      <c r="H3193" s="4" t="n">
        <v>757</v>
      </c>
      <c r="I3193" s="5" t="n">
        <v>59.4</v>
      </c>
      <c r="J3193" s="5" t="n">
        <v>33.6</v>
      </c>
      <c r="K3193" s="3" t="inlineStr">
        <is>
          <t>급매, 생산관리 농지로 도로접, 창고,2종근생제조업, 단독주택지 추천</t>
        </is>
      </c>
      <c r="L3193" s="6">
        <f>HYPERLINK("https://fin.land.naver.com/articles/2654808923", "매물Link")</f>
        <v/>
      </c>
      <c r="M3193" s="6">
        <f>HYPERLINK("https://map.naver.com/p/search/현도면 우록리 481", "지도Link")</f>
        <v/>
      </c>
      <c r="N3193" s="6">
        <f>HYPERLINK("http://www.eum.go.kr/web/ar/lu/luLandDet.jsp?pnu=4311232024104810000&amp;isNoScr=script&amp;mode=search", "토지이음")</f>
        <v/>
      </c>
      <c r="O3193" s="3" t="inlineStr">
        <is>
          <t>세종복댕이</t>
        </is>
      </c>
      <c r="P3193" s="4" t="n">
        <v>1</v>
      </c>
      <c r="Q3193" s="4" t="n">
        <v>929</v>
      </c>
      <c r="R3193" s="3" t="inlineStr">
        <is>
          <t>지정되지않음</t>
        </is>
      </c>
      <c r="S3193" s="3" t="inlineStr">
        <is>
          <t>답</t>
        </is>
      </c>
      <c r="T3193" s="3" t="inlineStr">
        <is>
          <t>평지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우록리 604-1</t>
        </is>
      </c>
      <c r="B3194" s="3" t="inlineStr">
        <is>
          <t>생산관리지역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72000</v>
      </c>
      <c r="G3194" s="4" t="n">
        <v>4018</v>
      </c>
      <c r="H3194" s="4" t="n">
        <v>1215</v>
      </c>
      <c r="I3194" s="5" t="n">
        <v>59.3</v>
      </c>
      <c r="J3194" s="5" t="n">
        <v>22.1</v>
      </c>
      <c r="K3194" s="3" t="inlineStr">
        <is>
          <t>현도면 지적정리 완료, 모양좋은 토지</t>
        </is>
      </c>
      <c r="L3194" s="6">
        <f>HYPERLINK("https://fin.land.naver.com/articles/2651561768", "매물Link")</f>
        <v/>
      </c>
      <c r="M3194" s="6">
        <f>HYPERLINK("https://map.naver.com/p/search/현도면 우록리 604-1", "지도Link")</f>
        <v/>
      </c>
      <c r="N3194" s="6">
        <f>HYPERLINK("http://www.eum.go.kr/web/ar/lu/luLandDet.jsp?pnu=4311232024106040001&amp;isNoScr=script&amp;mode=search", "토지이음")</f>
        <v/>
      </c>
      <c r="O3194" s="3" t="inlineStr">
        <is>
          <t>부엉이</t>
        </is>
      </c>
      <c r="P3194" s="4" t="n">
        <v>1</v>
      </c>
      <c r="Q3194" s="4" t="n">
        <v>1574</v>
      </c>
      <c r="R3194" s="3" t="inlineStr">
        <is>
          <t>계획관리지역</t>
        </is>
      </c>
      <c r="S3194" s="3" t="inlineStr">
        <is>
          <t>답</t>
        </is>
      </c>
      <c r="T3194" s="3" t="inlineStr">
        <is>
          <t>평지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우록리 89</t>
        </is>
      </c>
      <c r="B3195" s="3" t="inlineStr">
        <is>
          <t>보전관리지역</t>
        </is>
      </c>
      <c r="C3195" s="3" t="inlineStr">
        <is>
          <t>전</t>
        </is>
      </c>
      <c r="D3195" s="3" t="inlineStr">
        <is>
          <t>전</t>
        </is>
      </c>
      <c r="E3195" s="3" t="inlineStr">
        <is>
          <t>매매</t>
        </is>
      </c>
      <c r="F3195" s="4" t="n">
        <v>10000</v>
      </c>
      <c r="G3195" s="4" t="n">
        <v>1064</v>
      </c>
      <c r="H3195" s="4" t="n">
        <v>322</v>
      </c>
      <c r="I3195" s="5" t="n">
        <v>31.1</v>
      </c>
      <c r="J3195" s="5" t="n">
        <v>7.7</v>
      </c>
      <c r="K3195" s="3" t="inlineStr">
        <is>
          <t>맹지매매 차량진입로는 있으며 주말농장으로 추천</t>
        </is>
      </c>
      <c r="L3195" s="6">
        <f>HYPERLINK("https://fin.land.naver.com/articles/2655229113", "매물Link")</f>
        <v/>
      </c>
      <c r="M3195" s="6">
        <f>HYPERLINK("https://map.naver.com/p/search/현도면 우록리 89", "지도Link")</f>
        <v/>
      </c>
      <c r="N3195" s="6">
        <f>HYPERLINK("http://www.eum.go.kr/web/ar/lu/luLandDet.jsp?pnu=4311232024100890000&amp;isNoScr=script&amp;mode=search", "토지이음")</f>
        <v/>
      </c>
      <c r="O3195" s="3" t="inlineStr">
        <is>
          <t>대운</t>
        </is>
      </c>
      <c r="P3195" s="4" t="n">
        <v>1</v>
      </c>
      <c r="Q3195" s="4" t="n">
        <v>1064</v>
      </c>
      <c r="R3195" s="3" t="inlineStr">
        <is>
          <t>지정되지않음</t>
        </is>
      </c>
      <c r="S3195" s="3" t="inlineStr">
        <is>
          <t>전</t>
        </is>
      </c>
      <c r="T3195" s="3" t="inlineStr">
        <is>
          <t>급경사</t>
        </is>
      </c>
      <c r="U3195" s="3" t="inlineStr">
        <is>
          <t>부정형</t>
        </is>
      </c>
      <c r="V3195" s="3" t="inlineStr">
        <is>
          <t>맹지</t>
        </is>
      </c>
    </row>
    <row r="3196">
      <c r="A3196" s="3" t="inlineStr">
        <is>
          <t>현도면 죽암리 184-16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잡종지</t>
        </is>
      </c>
      <c r="E3196" s="3" t="inlineStr">
        <is>
          <t>매매</t>
        </is>
      </c>
      <c r="F3196" s="4" t="n">
        <v>224400</v>
      </c>
      <c r="G3196" s="4" t="n">
        <v>6743</v>
      </c>
      <c r="H3196" s="4" t="n">
        <v>2040</v>
      </c>
      <c r="I3196" s="5" t="n">
        <v>110</v>
      </c>
      <c r="J3196" s="5" t="n">
        <v>2.4</v>
      </c>
      <c r="K3196" s="3" t="inlineStr">
        <is>
          <t>계획관리지역 잡종지 남청주IC 5분창고포함198㎡자동차물류</t>
        </is>
      </c>
      <c r="L3196" s="6">
        <f>HYPERLINK("https://fin.land.naver.com/articles/2652332379", "매물Link")</f>
        <v/>
      </c>
      <c r="M3196" s="6">
        <f>HYPERLINK("https://map.naver.com/p/search/현도면 죽암리 184-16", "지도Link")</f>
        <v/>
      </c>
      <c r="N3196" s="6">
        <f>HYPERLINK("http://www.eum.go.kr/web/ar/lu/luLandDet.jsp?pnu=4311232034101840016&amp;isNoScr=script&amp;mode=search", "토지이음")</f>
        <v/>
      </c>
      <c r="O3196" s="3" t="inlineStr">
        <is>
          <t>우주</t>
        </is>
      </c>
      <c r="P3196" s="4" t="n">
        <v>1</v>
      </c>
      <c r="Q3196" s="4" t="n">
        <v>230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완경사</t>
        </is>
      </c>
      <c r="U3196" s="3" t="inlineStr">
        <is>
          <t>사다리형</t>
        </is>
      </c>
      <c r="V3196" s="3" t="inlineStr">
        <is>
          <t>맹지</t>
        </is>
      </c>
    </row>
    <row r="3197">
      <c r="A3197" s="3" t="inlineStr">
        <is>
          <t>현도면 죽암리 184-16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잡종지</t>
        </is>
      </c>
      <c r="E3197" s="3" t="inlineStr">
        <is>
          <t>매매</t>
        </is>
      </c>
      <c r="F3197" s="4" t="n">
        <v>230000</v>
      </c>
      <c r="G3197" s="4" t="n">
        <v>6744</v>
      </c>
      <c r="H3197" s="4" t="n">
        <v>2040</v>
      </c>
      <c r="I3197" s="5" t="n">
        <v>112.7</v>
      </c>
      <c r="J3197" s="5" t="n">
        <v>2.4</v>
      </c>
      <c r="K3197" s="3" t="inlineStr">
        <is>
          <t>2차선 도로접, 남청주 I.C 4분거리, 공장,물류창고추천</t>
        </is>
      </c>
      <c r="L3197" s="6">
        <f>HYPERLINK("https://fin.land.naver.com/articles/2654897612", "매물Link")</f>
        <v/>
      </c>
      <c r="M3197" s="6">
        <f>HYPERLINK("https://map.naver.com/p/search/현도면 죽암리 184-16", "지도Link")</f>
        <v/>
      </c>
      <c r="N3197" s="6">
        <f>HYPERLINK("http://www.eum.go.kr/web/ar/lu/luLandDet.jsp?pnu=4311232034101840016&amp;isNoScr=script&amp;mode=search", "토지이음")</f>
        <v/>
      </c>
      <c r="O3197" s="3" t="inlineStr">
        <is>
          <t>플러스자이합동</t>
        </is>
      </c>
      <c r="P3197" s="4" t="n">
        <v>1</v>
      </c>
      <c r="Q3197" s="4" t="n">
        <v>230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완경사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죽암리 184-9</t>
        </is>
      </c>
      <c r="B3198" s="3" t="inlineStr">
        <is>
          <t>계획관리지역</t>
        </is>
      </c>
      <c r="C3198" s="3" t="inlineStr">
        <is>
          <t>잡종지</t>
        </is>
      </c>
      <c r="D3198" s="3" t="inlineStr">
        <is>
          <t>잡종지</t>
        </is>
      </c>
      <c r="E3198" s="3" t="inlineStr">
        <is>
          <t>매매</t>
        </is>
      </c>
      <c r="F3198" s="4" t="n">
        <v>265000</v>
      </c>
      <c r="G3198" s="4" t="n">
        <v>6744</v>
      </c>
      <c r="H3198" s="4" t="n">
        <v>2040</v>
      </c>
      <c r="I3198" s="5" t="n">
        <v>129.9</v>
      </c>
      <c r="J3198" s="5" t="n">
        <v>63</v>
      </c>
      <c r="K3198" s="3" t="inlineStr">
        <is>
          <t>남청주 IC인접한 토지 매매입니다.</t>
        </is>
      </c>
      <c r="L3198" s="6">
        <f>HYPERLINK("https://fin.land.naver.com/articles/2650812953", "매물Link")</f>
        <v/>
      </c>
      <c r="M3198" s="6">
        <f>HYPERLINK("https://map.naver.com/p/search/현도면 죽암리 184-9", "지도Link")</f>
        <v/>
      </c>
      <c r="N3198" s="6">
        <f>HYPERLINK("http://www.eum.go.kr/web/ar/lu/luLandDet.jsp?pnu=4311232034101840009&amp;isNoScr=script&amp;mode=search", "토지이음")</f>
        <v/>
      </c>
      <c r="O3198" s="3" t="inlineStr">
        <is>
          <t>테크노밸리  사무소</t>
        </is>
      </c>
      <c r="P3198" s="4" t="n">
        <v>1</v>
      </c>
      <c r="Q3198" s="4" t="n">
        <v>6514</v>
      </c>
      <c r="R3198" s="3" t="inlineStr">
        <is>
          <t>지정되지않음</t>
        </is>
      </c>
      <c r="S3198" s="3" t="inlineStr">
        <is>
          <t>공업기타</t>
        </is>
      </c>
      <c r="T3198" s="3" t="inlineStr">
        <is>
          <t>완경사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현도면 죽암리 184-9</t>
        </is>
      </c>
      <c r="B3199" s="3" t="inlineStr">
        <is>
          <t>계획관리지역</t>
        </is>
      </c>
      <c r="C3199" s="3" t="inlineStr">
        <is>
          <t>잡종지</t>
        </is>
      </c>
      <c r="D3199" s="3" t="inlineStr">
        <is>
          <t>잡종지</t>
        </is>
      </c>
      <c r="E3199" s="3" t="inlineStr">
        <is>
          <t>매매</t>
        </is>
      </c>
      <c r="F3199" s="4" t="n">
        <v>265000</v>
      </c>
      <c r="G3199" s="4" t="n">
        <v>6743</v>
      </c>
      <c r="H3199" s="4" t="n">
        <v>2040</v>
      </c>
      <c r="I3199" s="5" t="n">
        <v>129.9</v>
      </c>
      <c r="J3199" s="5" t="n">
        <v>63</v>
      </c>
      <c r="K3199" s="3" t="inlineStr">
        <is>
          <t>IC인근  공장부지 창고부지 좋습니다</t>
        </is>
      </c>
      <c r="L3199" s="6">
        <f>HYPERLINK("https://fin.land.naver.com/articles/2655409542", "매물Link")</f>
        <v/>
      </c>
      <c r="M3199" s="6">
        <f>HYPERLINK("https://map.naver.com/p/search/현도면 죽암리 184-9", "지도Link")</f>
        <v/>
      </c>
      <c r="N3199" s="6">
        <f>HYPERLINK("http://www.eum.go.kr/web/ar/lu/luLandDet.jsp?pnu=4311232034101840009&amp;isNoScr=script&amp;mode=search", "토지이음")</f>
        <v/>
      </c>
      <c r="O3199" s="3" t="inlineStr">
        <is>
          <t>동일스위트대표</t>
        </is>
      </c>
      <c r="P3199" s="4" t="n">
        <v>4</v>
      </c>
      <c r="Q3199" s="4" t="n">
        <v>6514</v>
      </c>
      <c r="R3199" s="3" t="inlineStr">
        <is>
          <t>지정되지않음</t>
        </is>
      </c>
      <c r="S3199" s="3" t="inlineStr">
        <is>
          <t>공업기타</t>
        </is>
      </c>
      <c r="T3199" s="3" t="inlineStr">
        <is>
          <t>완경사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현도면 죽암리 184-9</t>
        </is>
      </c>
      <c r="B3200" s="3" t="inlineStr">
        <is>
          <t>계획관리지역</t>
        </is>
      </c>
      <c r="C3200" s="3" t="inlineStr">
        <is>
          <t>잡종지</t>
        </is>
      </c>
      <c r="D3200" s="3" t="inlineStr">
        <is>
          <t>잡종지</t>
        </is>
      </c>
      <c r="E3200" s="3" t="inlineStr">
        <is>
          <t>월세</t>
        </is>
      </c>
      <c r="F3200" s="4" t="n">
        <v>10000</v>
      </c>
      <c r="G3200" s="4" t="n">
        <v>6514</v>
      </c>
      <c r="H3200" s="4" t="n">
        <v>1970</v>
      </c>
      <c r="I3200" s="5" t="n">
        <v>0.4</v>
      </c>
      <c r="J3200" s="5" t="n">
        <v>63</v>
      </c>
      <c r="K3200" s="3" t="inlineStr">
        <is>
          <t>남청주IC에서 5분거리, 현제 화물자동차 매매상사, 즉시입주가능</t>
        </is>
      </c>
      <c r="L3200" s="6">
        <f>HYPERLINK("https://fin.land.naver.com/articles/2652777346", "매물Link")</f>
        <v/>
      </c>
      <c r="M3200" s="6">
        <f>HYPERLINK("https://map.naver.com/p/search/현도면 죽암리 184-9", "지도Link")</f>
        <v/>
      </c>
      <c r="N3200" s="6">
        <f>HYPERLINK("http://www.eum.go.kr/web/ar/lu/luLandDet.jsp?pnu=4311232034101840009&amp;isNoScr=script&amp;mode=search", "토지이음")</f>
        <v/>
      </c>
      <c r="O3200" s="3" t="inlineStr">
        <is>
          <t>금화랜드</t>
        </is>
      </c>
      <c r="P3200" s="4" t="n">
        <v>1</v>
      </c>
      <c r="Q3200" s="4" t="n">
        <v>6514</v>
      </c>
      <c r="R3200" s="3" t="inlineStr">
        <is>
          <t>지정되지않음</t>
        </is>
      </c>
      <c r="S3200" s="3" t="inlineStr">
        <is>
          <t>공업기타</t>
        </is>
      </c>
      <c r="T3200" s="3" t="inlineStr">
        <is>
          <t>완경사</t>
        </is>
      </c>
      <c r="U3200" s="3" t="inlineStr">
        <is>
          <t>사다리형</t>
        </is>
      </c>
      <c r="V3200" s="3" t="inlineStr">
        <is>
          <t>소로한면</t>
        </is>
      </c>
    </row>
    <row r="3201">
      <c r="A3201" s="3" t="inlineStr">
        <is>
          <t>현도면 죽암리 184-9</t>
        </is>
      </c>
      <c r="B3201" s="3" t="inlineStr">
        <is>
          <t>계획관리지역</t>
        </is>
      </c>
      <c r="C3201" s="3" t="inlineStr">
        <is>
          <t>잡종지</t>
        </is>
      </c>
      <c r="D3201" s="3" t="inlineStr">
        <is>
          <t>잡종지</t>
        </is>
      </c>
      <c r="E3201" s="3" t="inlineStr">
        <is>
          <t>월세</t>
        </is>
      </c>
      <c r="F3201" s="4" t="n">
        <v>10000</v>
      </c>
      <c r="G3201" s="4" t="n">
        <v>6744</v>
      </c>
      <c r="H3201" s="4" t="n">
        <v>2040</v>
      </c>
      <c r="I3201" s="5" t="n">
        <v>0.4</v>
      </c>
      <c r="J3201" s="5" t="n">
        <v>63</v>
      </c>
      <c r="K3201" s="3" t="inlineStr">
        <is>
          <t>즉시사용가능한 나대지 야적장 화물자동차매매상사, 공장 및 창고 부지</t>
        </is>
      </c>
      <c r="L3201" s="6">
        <f>HYPERLINK("https://fin.land.naver.com/articles/2654969454", "매물Link")</f>
        <v/>
      </c>
      <c r="M3201" s="6">
        <f>HYPERLINK("https://map.naver.com/p/search/현도면 죽암리 184-9", "지도Link")</f>
        <v/>
      </c>
      <c r="N3201" s="6">
        <f>HYPERLINK("http://www.eum.go.kr/web/ar/lu/luLandDet.jsp?pnu=4311232034101840009&amp;isNoScr=script&amp;mode=search", "토지이음")</f>
        <v/>
      </c>
      <c r="O3201" s="3" t="inlineStr">
        <is>
          <t>대전토지로무소</t>
        </is>
      </c>
      <c r="P3201" s="4" t="n">
        <v>1</v>
      </c>
      <c r="Q3201" s="4" t="n">
        <v>6514</v>
      </c>
      <c r="R3201" s="3" t="inlineStr">
        <is>
          <t>지정되지않음</t>
        </is>
      </c>
      <c r="S3201" s="3" t="inlineStr">
        <is>
          <t>공업기타</t>
        </is>
      </c>
      <c r="T3201" s="3" t="inlineStr">
        <is>
          <t>완경사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현도면 죽암리 184-9</t>
        </is>
      </c>
      <c r="B3202" s="3" t="inlineStr">
        <is>
          <t>계획관리지역</t>
        </is>
      </c>
      <c r="C3202" s="3" t="inlineStr">
        <is>
          <t>잡종지</t>
        </is>
      </c>
      <c r="D3202" s="3" t="inlineStr">
        <is>
          <t>잡종지</t>
        </is>
      </c>
      <c r="E3202" s="3" t="inlineStr">
        <is>
          <t>매매</t>
        </is>
      </c>
      <c r="F3202" s="4" t="n">
        <v>223000</v>
      </c>
      <c r="G3202" s="4" t="n">
        <v>6744</v>
      </c>
      <c r="H3202" s="4" t="n">
        <v>2040</v>
      </c>
      <c r="I3202" s="5" t="n">
        <v>109.3</v>
      </c>
      <c r="J3202" s="5" t="n">
        <v>63</v>
      </c>
      <c r="K3202" s="3" t="inlineStr">
        <is>
          <t>즉시사용가능 재활용부지  화물자동차매매상사, 공장부지 , 창고 부지</t>
        </is>
      </c>
      <c r="L3202" s="6">
        <f>HYPERLINK("https://fin.land.naver.com/articles/2655486888", "매물Link")</f>
        <v/>
      </c>
      <c r="M3202" s="6">
        <f>HYPERLINK("https://map.naver.com/p/search/현도면 죽암리 184-9", "지도Link")</f>
        <v/>
      </c>
      <c r="N3202" s="6">
        <f>HYPERLINK("http://www.eum.go.kr/web/ar/lu/luLandDet.jsp?pnu=4311232034101840009&amp;isNoScr=script&amp;mode=search", "토지이음")</f>
        <v/>
      </c>
      <c r="O3202" s="3" t="inlineStr">
        <is>
          <t>대전토지로무소</t>
        </is>
      </c>
      <c r="P3202" s="4" t="n">
        <v>1</v>
      </c>
      <c r="Q3202" s="4" t="n">
        <v>6514</v>
      </c>
      <c r="R3202" s="3" t="inlineStr">
        <is>
          <t>지정되지않음</t>
        </is>
      </c>
      <c r="S3202" s="3" t="inlineStr">
        <is>
          <t>공업기타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현도면 죽암리 184-9</t>
        </is>
      </c>
      <c r="B3203" s="3" t="inlineStr">
        <is>
          <t>계획관리지역</t>
        </is>
      </c>
      <c r="C3203" s="3" t="inlineStr">
        <is>
          <t>잡종지</t>
        </is>
      </c>
      <c r="D3203" s="3" t="inlineStr">
        <is>
          <t>임야</t>
        </is>
      </c>
      <c r="E3203" s="3" t="inlineStr">
        <is>
          <t>매매</t>
        </is>
      </c>
      <c r="F3203" s="4" t="n">
        <v>275400</v>
      </c>
      <c r="G3203" s="4" t="n">
        <v>6743</v>
      </c>
      <c r="H3203" s="4" t="n">
        <v>2040</v>
      </c>
      <c r="I3203" s="5" t="n">
        <v>135</v>
      </c>
      <c r="J3203" s="5" t="n">
        <v>63</v>
      </c>
      <c r="K3203" s="3" t="inlineStr">
        <is>
          <t>nan</t>
        </is>
      </c>
      <c r="L3203" s="6">
        <f>HYPERLINK("https://fin.land.naver.com/articles/2655425181", "매물Link")</f>
        <v/>
      </c>
      <c r="M3203" s="6">
        <f>HYPERLINK("https://map.naver.com/p/search/현도면 죽암리 184-9", "지도Link")</f>
        <v/>
      </c>
      <c r="N3203" s="6">
        <f>HYPERLINK("http://www.eum.go.kr/web/ar/lu/luLandDet.jsp?pnu=4311232034101840009&amp;isNoScr=script&amp;mode=search", "토지이음")</f>
        <v/>
      </c>
      <c r="O3203" s="3" t="inlineStr">
        <is>
          <t>청주합동</t>
        </is>
      </c>
      <c r="P3203" s="4" t="n">
        <v>2</v>
      </c>
      <c r="Q3203" s="4" t="n">
        <v>6514</v>
      </c>
      <c r="R3203" s="3" t="inlineStr">
        <is>
          <t>지정되지않음</t>
        </is>
      </c>
      <c r="S3203" s="3" t="inlineStr">
        <is>
          <t>공업기타</t>
        </is>
      </c>
      <c r="T3203" s="3" t="inlineStr">
        <is>
          <t>완경사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현도면 죽암리 184-9</t>
        </is>
      </c>
      <c r="B3204" s="3" t="inlineStr">
        <is>
          <t>계획관리지역</t>
        </is>
      </c>
      <c r="C3204" s="3" t="inlineStr">
        <is>
          <t>잡종지</t>
        </is>
      </c>
      <c r="D3204" s="3" t="inlineStr">
        <is>
          <t>잡종지</t>
        </is>
      </c>
      <c r="E3204" s="3" t="inlineStr">
        <is>
          <t>매매</t>
        </is>
      </c>
      <c r="F3204" s="4" t="n">
        <v>276000</v>
      </c>
      <c r="G3204" s="4" t="n">
        <v>6514</v>
      </c>
      <c r="H3204" s="4" t="n">
        <v>1970</v>
      </c>
      <c r="I3204" s="5" t="n">
        <v>140.1</v>
      </c>
      <c r="J3204" s="5" t="n">
        <v>63</v>
      </c>
      <c r="K3204" s="3" t="inlineStr">
        <is>
          <t>OK. 급매. 계획관리지역, 성장관리계획구역.</t>
        </is>
      </c>
      <c r="L3204" s="6">
        <f>HYPERLINK("https://fin.land.naver.com/articles/2654953187", "매물Link")</f>
        <v/>
      </c>
      <c r="M3204" s="6">
        <f>HYPERLINK("https://map.naver.com/p/search/현도면 죽암리 184-9", "지도Link")</f>
        <v/>
      </c>
      <c r="N3204" s="6">
        <f>HYPERLINK("http://www.eum.go.kr/web/ar/lu/luLandDet.jsp?pnu=4311232034101840009&amp;isNoScr=script&amp;mode=search", "토지이음")</f>
        <v/>
      </c>
      <c r="O3204" s="3" t="inlineStr">
        <is>
          <t>OK</t>
        </is>
      </c>
      <c r="P3204" s="4" t="n">
        <v>1</v>
      </c>
      <c r="Q3204" s="4" t="n">
        <v>6514</v>
      </c>
      <c r="R3204" s="3" t="inlineStr">
        <is>
          <t>지정되지않음</t>
        </is>
      </c>
      <c r="S3204" s="3" t="inlineStr">
        <is>
          <t>공업기타</t>
        </is>
      </c>
      <c r="T3204" s="3" t="inlineStr">
        <is>
          <t>완경사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현도면 죽암리 184-9</t>
        </is>
      </c>
      <c r="B3205" s="3" t="inlineStr">
        <is>
          <t>계획관리지역</t>
        </is>
      </c>
      <c r="C3205" s="3" t="inlineStr">
        <is>
          <t>잡종지</t>
        </is>
      </c>
      <c r="D3205" s="3" t="inlineStr">
        <is>
          <t>대</t>
        </is>
      </c>
      <c r="E3205" s="3" t="inlineStr">
        <is>
          <t>매매</t>
        </is>
      </c>
      <c r="F3205" s="4" t="n">
        <v>224400</v>
      </c>
      <c r="G3205" s="4" t="n">
        <v>6743</v>
      </c>
      <c r="H3205" s="4" t="n">
        <v>2040</v>
      </c>
      <c r="I3205" s="5" t="n">
        <v>110</v>
      </c>
      <c r="J3205" s="5" t="n">
        <v>63</v>
      </c>
      <c r="K3205" s="3" t="inlineStr">
        <is>
          <t>화물자동차매매상사 허가 승계 가능, 물류창고, 중장비 렌탈 및 야적장</t>
        </is>
      </c>
      <c r="L3205" s="6">
        <f>HYPERLINK("https://fin.land.naver.com/articles/2650575924", "매물Link")</f>
        <v/>
      </c>
      <c r="M3205" s="6">
        <f>HYPERLINK("https://map.naver.com/p/search/현도면 죽암리 184-9", "지도Link")</f>
        <v/>
      </c>
      <c r="N3205" s="6">
        <f>HYPERLINK("http://www.eum.go.kr/web/ar/lu/luLandDet.jsp?pnu=4311232034101840009&amp;isNoScr=script&amp;mode=search", "토지이음")</f>
        <v/>
      </c>
      <c r="O3205" s="3" t="inlineStr">
        <is>
          <t>부원</t>
        </is>
      </c>
      <c r="P3205" s="4" t="n">
        <v>1</v>
      </c>
      <c r="Q3205" s="4" t="n">
        <v>6514</v>
      </c>
      <c r="R3205" s="3" t="inlineStr">
        <is>
          <t>지정되지않음</t>
        </is>
      </c>
      <c r="S3205" s="3" t="inlineStr">
        <is>
          <t>공업기타</t>
        </is>
      </c>
      <c r="T3205" s="3" t="inlineStr">
        <is>
          <t>완경사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현도면 죽전리 356-3</t>
        </is>
      </c>
      <c r="B3206" s="3" t="inlineStr">
        <is>
          <t>계획관리지역</t>
        </is>
      </c>
      <c r="C3206" s="3" t="inlineStr">
        <is>
          <t>전</t>
        </is>
      </c>
      <c r="D3206" s="3" t="inlineStr">
        <is>
          <t>전</t>
        </is>
      </c>
      <c r="E3206" s="3" t="inlineStr">
        <is>
          <t>매매</t>
        </is>
      </c>
      <c r="F3206" s="4" t="n">
        <v>52800</v>
      </c>
      <c r="G3206" s="4" t="n">
        <v>919</v>
      </c>
      <c r="H3206" s="4" t="n">
        <v>278</v>
      </c>
      <c r="I3206" s="5" t="n">
        <v>189.9</v>
      </c>
      <c r="J3206" s="5" t="n">
        <v>31.7</v>
      </c>
      <c r="K3206" s="3" t="inlineStr">
        <is>
          <t>도로에 접한 농지 매매</t>
        </is>
      </c>
      <c r="L3206" s="6">
        <f>HYPERLINK("https://fin.land.naver.com/articles/2655015930", "매물Link")</f>
        <v/>
      </c>
      <c r="M3206" s="6">
        <f>HYPERLINK("https://map.naver.com/p/search/현도면 죽전리 356-3", "지도Link")</f>
        <v/>
      </c>
      <c r="N3206" s="6">
        <f>HYPERLINK("http://www.eum.go.kr/web/ar/lu/luLandDet.jsp?pnu=4311232023103560003&amp;isNoScr=script&amp;mode=search",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919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세로한면(가)</t>
        </is>
      </c>
    </row>
    <row r="3207">
      <c r="A3207" s="3" t="inlineStr">
        <is>
          <t>현도면 죽전리 356-3</t>
        </is>
      </c>
      <c r="B3207" s="3" t="inlineStr">
        <is>
          <t>계획관리지역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52000</v>
      </c>
      <c r="G3207" s="4" t="n">
        <v>919</v>
      </c>
      <c r="H3207" s="4" t="n">
        <v>278</v>
      </c>
      <c r="I3207" s="5" t="n">
        <v>187.1</v>
      </c>
      <c r="J3207" s="5" t="n">
        <v>31.7</v>
      </c>
      <c r="K3207" s="3" t="inlineStr">
        <is>
          <t>전면이 넓은 토지로 공장부지, 창고부지, 야적장 등 용도다양함</t>
        </is>
      </c>
      <c r="L3207" s="6">
        <f>HYPERLINK("https://fin.land.naver.com/articles/2655487390", "매물Link")</f>
        <v/>
      </c>
      <c r="M3207" s="6">
        <f>HYPERLINK("https://map.naver.com/p/search/현도면 죽전리 356-3", "지도Link")</f>
        <v/>
      </c>
      <c r="N3207" s="6">
        <f>HYPERLINK("http://www.eum.go.kr/web/ar/lu/luLandDet.jsp?pnu=4311232023103560003&amp;isNoScr=script&amp;mode=search",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919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세로한면(가)</t>
        </is>
      </c>
    </row>
    <row r="3208">
      <c r="A3208" s="3" t="inlineStr">
        <is>
          <t>현도면 죽전리 594-3</t>
        </is>
      </c>
      <c r="B3208" s="3" t="inlineStr">
        <is>
          <t>계획관리지역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29700</v>
      </c>
      <c r="G3208" s="4" t="n">
        <v>984</v>
      </c>
      <c r="H3208" s="4" t="n">
        <v>298</v>
      </c>
      <c r="I3208" s="5" t="n">
        <v>99.7</v>
      </c>
      <c r="J3208" s="5" t="n">
        <v>31.6</v>
      </c>
      <c r="K3208" s="3" t="inlineStr">
        <is>
          <t>계획관리지역 토지 공장이나 창고부지 추천</t>
        </is>
      </c>
      <c r="L3208" s="6">
        <f>HYPERLINK("https://fin.land.naver.com/articles/2652887475", "매물Link")</f>
        <v/>
      </c>
      <c r="M3208" s="6">
        <f>HYPERLINK("https://map.naver.com/p/search/현도면 죽전리 594-3", "지도Link")</f>
        <v/>
      </c>
      <c r="N3208" s="6">
        <f>HYPERLINK("http://www.eum.go.kr/web/ar/lu/luLandDet.jsp?pnu=4311232023105940003&amp;isNoScr=script&amp;mode=search", "토지이음")</f>
        <v/>
      </c>
      <c r="O3208" s="3" t="inlineStr">
        <is>
          <t>대전토지로무소</t>
        </is>
      </c>
      <c r="P3208" s="4" t="n">
        <v>1</v>
      </c>
      <c r="Q3208" s="4" t="n">
        <v>984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세로한면(불)</t>
        </is>
      </c>
    </row>
    <row r="3209">
      <c r="A3209" s="3" t="inlineStr">
        <is>
          <t>현도면 중삼리 165</t>
        </is>
      </c>
      <c r="B3209" s="3" t="inlineStr">
        <is>
          <t>계획관리지역</t>
        </is>
      </c>
      <c r="C3209" s="3" t="inlineStr">
        <is>
          <t>전</t>
        </is>
      </c>
      <c r="D3209" s="3" t="inlineStr">
        <is>
          <t>전</t>
        </is>
      </c>
      <c r="E3209" s="3" t="inlineStr">
        <is>
          <t>매매</t>
        </is>
      </c>
      <c r="F3209" s="4" t="n">
        <v>13800</v>
      </c>
      <c r="G3209" s="4" t="n">
        <v>1071</v>
      </c>
      <c r="H3209" s="4" t="n">
        <v>324</v>
      </c>
      <c r="I3209" s="5" t="n">
        <v>42.6</v>
      </c>
      <c r="J3209" s="5" t="n">
        <v>20.1</v>
      </c>
      <c r="K3209" s="3" t="inlineStr">
        <is>
          <t>계획관리지역 토지로 , 향후 개발지로 투자가치 있는곳임.</t>
        </is>
      </c>
      <c r="L3209" s="6">
        <f>HYPERLINK("https://fin.land.naver.com/articles/2654695492", "매물Link")</f>
        <v/>
      </c>
      <c r="M3209" s="6">
        <f>HYPERLINK("https://map.naver.com/p/search/현도면 중삼리 165", "지도Link")</f>
        <v/>
      </c>
      <c r="N3209" s="6">
        <f>HYPERLINK("http://www.eum.go.kr/web/ar/lu/luLandDet.jsp?pnu=4311232022101650000&amp;isNoScr=script&amp;mode=search", "토지이음")</f>
        <v/>
      </c>
      <c r="O3209" s="3" t="inlineStr">
        <is>
          <t>포시즌</t>
        </is>
      </c>
      <c r="P3209" s="4" t="n">
        <v>1</v>
      </c>
      <c r="Q3209" s="4" t="n">
        <v>1071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사다리형</t>
        </is>
      </c>
      <c r="V3209" s="3" t="inlineStr">
        <is>
          <t>맹지</t>
        </is>
      </c>
    </row>
    <row r="3210">
      <c r="A3210" s="3" t="inlineStr">
        <is>
          <t>현도면 중삼리 208</t>
        </is>
      </c>
      <c r="B3210" s="3" t="inlineStr">
        <is>
          <t>계획관리지역</t>
        </is>
      </c>
      <c r="C3210" s="3" t="inlineStr">
        <is>
          <t>전</t>
        </is>
      </c>
      <c r="D3210" s="3" t="inlineStr">
        <is>
          <t>전</t>
        </is>
      </c>
      <c r="E3210" s="3" t="inlineStr">
        <is>
          <t>매매</t>
        </is>
      </c>
      <c r="F3210" s="4" t="n">
        <v>550000</v>
      </c>
      <c r="G3210" s="4" t="n">
        <v>9071</v>
      </c>
      <c r="H3210" s="4" t="n">
        <v>2744</v>
      </c>
      <c r="I3210" s="5" t="n">
        <v>200.4</v>
      </c>
      <c r="J3210" s="5" t="n">
        <v>32.9</v>
      </c>
      <c r="K3210" s="3" t="inlineStr">
        <is>
          <t>8m도로접, 제2종 근생허가득, 토목공사 완료, 공장추천</t>
        </is>
      </c>
      <c r="L3210" s="6">
        <f>HYPERLINK("https://fin.land.naver.com/articles/2650560726", "매물Link")</f>
        <v/>
      </c>
      <c r="M3210" s="6">
        <f>HYPERLINK("https://map.naver.com/p/search/현도면 중삼리 208", "지도Link")</f>
        <v/>
      </c>
      <c r="N3210" s="6">
        <f>HYPERLINK("http://www.eum.go.kr/web/ar/lu/luLandDet.jsp?pnu=4311232022102080000&amp;isNoScr=script&amp;mode=search", "토지이음")</f>
        <v/>
      </c>
      <c r="O3210" s="3" t="inlineStr">
        <is>
          <t>플러스자이합동</t>
        </is>
      </c>
      <c r="P3210" s="4" t="n">
        <v>1</v>
      </c>
      <c r="Q3210" s="4" t="n">
        <v>2506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소로한면</t>
        </is>
      </c>
    </row>
    <row r="3211">
      <c r="A3211" s="3" t="inlineStr">
        <is>
          <t>현도면 중삼리 217</t>
        </is>
      </c>
      <c r="B3211" s="3" t="inlineStr">
        <is>
          <t>계획관리지역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530000</v>
      </c>
      <c r="G3211" s="4" t="n">
        <v>8813</v>
      </c>
      <c r="H3211" s="4" t="n">
        <v>2666</v>
      </c>
      <c r="I3211" s="5" t="n">
        <v>198.8</v>
      </c>
      <c r="J3211" s="5" t="n">
        <v>28.9</v>
      </c>
      <c r="K3211" s="3" t="inlineStr">
        <is>
          <t>2,700여평 나대지 8M 도로접 창고 공장 허가득 나대지 토목공사완료</t>
        </is>
      </c>
      <c r="L3211" s="6">
        <f>HYPERLINK("https://fin.land.naver.com/articles/2650651106", "매물Link")</f>
        <v/>
      </c>
      <c r="M3211" s="6">
        <f>HYPERLINK("https://map.naver.com/p/search/현도면 중삼리 217", "지도Link")</f>
        <v/>
      </c>
      <c r="N3211" s="6">
        <f>HYPERLINK("http://www.eum.go.kr/web/ar/lu/luLandDet.jsp?pnu=4311232022102170000&amp;isNoScr=script&amp;mode=search", "토지이음")</f>
        <v/>
      </c>
      <c r="O3211" s="3" t="inlineStr">
        <is>
          <t>이매촌삼성</t>
        </is>
      </c>
      <c r="P3211" s="4" t="n">
        <v>1</v>
      </c>
      <c r="Q3211" s="4" t="n">
        <v>2701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소로한면</t>
        </is>
      </c>
    </row>
    <row r="3212">
      <c r="A3212" s="3" t="inlineStr">
        <is>
          <t>현도면 중삼리 297-12</t>
        </is>
      </c>
      <c r="B3212" s="3" t="inlineStr">
        <is>
          <t>계획관리지역</t>
        </is>
      </c>
      <c r="C3212" s="3" t="inlineStr">
        <is>
          <t>잡종지</t>
        </is>
      </c>
      <c r="D3212" s="3" t="inlineStr">
        <is>
          <t>잡종지</t>
        </is>
      </c>
      <c r="E3212" s="3" t="inlineStr">
        <is>
          <t>매매</t>
        </is>
      </c>
      <c r="F3212" s="4" t="n">
        <v>151000</v>
      </c>
      <c r="G3212" s="4" t="n">
        <v>2527</v>
      </c>
      <c r="H3212" s="4" t="n">
        <v>764</v>
      </c>
      <c r="I3212" s="5" t="n">
        <v>197.6</v>
      </c>
      <c r="J3212" s="5" t="n">
        <v>48.9</v>
      </c>
      <c r="K3212" s="3" t="inlineStr">
        <is>
          <t>현재 자원순환시설로 성업중,공장,창고,자동차관련시설 등 추천</t>
        </is>
      </c>
      <c r="L3212" s="6">
        <f>HYPERLINK("https://fin.land.naver.com/articles/2654608888", "매물Link")</f>
        <v/>
      </c>
      <c r="M3212" s="6">
        <f>HYPERLINK("https://map.naver.com/p/search/현도면 중삼리 297-12", "지도Link")</f>
        <v/>
      </c>
      <c r="N3212" s="6">
        <f>HYPERLINK("http://www.eum.go.kr/web/ar/lu/luLandDet.jsp?pnu=4311232022102970012&amp;isNoScr=script&amp;mode=search", "토지이음")</f>
        <v/>
      </c>
      <c r="O3212" s="3" t="inlineStr">
        <is>
          <t>금화랜드</t>
        </is>
      </c>
      <c r="P3212" s="4" t="n">
        <v>1</v>
      </c>
      <c r="Q3212" s="4" t="n">
        <v>2167</v>
      </c>
      <c r="R3212" s="3" t="inlineStr">
        <is>
          <t>지정되지않음</t>
        </is>
      </c>
      <c r="S3212" s="3" t="inlineStr">
        <is>
          <t>공업기타</t>
        </is>
      </c>
      <c r="T3212" s="3" t="inlineStr">
        <is>
          <t>완경사</t>
        </is>
      </c>
      <c r="U3212" s="3" t="inlineStr">
        <is>
          <t>사다리형</t>
        </is>
      </c>
      <c r="V3212" s="3" t="inlineStr">
        <is>
          <t>세로한면(가)</t>
        </is>
      </c>
    </row>
    <row r="3213">
      <c r="A3213" s="3" t="inlineStr">
        <is>
          <t>현도면 중삼리 347</t>
        </is>
      </c>
      <c r="B3213" s="3" t="inlineStr">
        <is>
          <t>계획관리지역</t>
        </is>
      </c>
      <c r="C3213" s="3" t="inlineStr">
        <is>
          <t>전</t>
        </is>
      </c>
      <c r="D3213" s="3" t="inlineStr">
        <is>
          <t>공장용지</t>
        </is>
      </c>
      <c r="E3213" s="3" t="inlineStr">
        <is>
          <t>매매</t>
        </is>
      </c>
      <c r="F3213" s="4" t="n">
        <v>230000</v>
      </c>
      <c r="G3213" s="4" t="n">
        <v>10211</v>
      </c>
      <c r="H3213" s="4" t="n">
        <v>3089</v>
      </c>
      <c r="I3213" s="5" t="n">
        <v>74.5</v>
      </c>
      <c r="J3213" s="5" t="n">
        <v>20.9</v>
      </c>
      <c r="K3213" s="3" t="inlineStr">
        <is>
          <t>토목공사완료.</t>
        </is>
      </c>
      <c r="L3213" s="6">
        <f>HYPERLINK("https://fin.land.naver.com/articles/2655174551", "매물Link")</f>
        <v/>
      </c>
      <c r="M3213" s="6">
        <f>HYPERLINK("https://map.naver.com/p/search/현도면 중삼리 347", "지도Link")</f>
        <v/>
      </c>
      <c r="N3213" s="6">
        <f>HYPERLINK("http://www.eum.go.kr/web/ar/lu/luLandDet.jsp?pnu=4311232022103470000&amp;isNoScr=script&amp;mode=search", "토지이음")</f>
        <v/>
      </c>
      <c r="O3213" s="3" t="inlineStr">
        <is>
          <t>대전명품</t>
        </is>
      </c>
      <c r="P3213" s="4" t="n">
        <v>1</v>
      </c>
      <c r="Q3213" s="4" t="n">
        <v>321</v>
      </c>
      <c r="R3213" s="3" t="inlineStr">
        <is>
          <t>지정되지않음</t>
        </is>
      </c>
      <c r="S3213" s="3" t="inlineStr">
        <is>
          <t>전</t>
        </is>
      </c>
      <c r="T3213" s="3" t="inlineStr">
        <is>
          <t>완경사</t>
        </is>
      </c>
      <c r="U3213" s="3" t="inlineStr">
        <is>
          <t>부정형</t>
        </is>
      </c>
      <c r="V3213" s="3" t="inlineStr">
        <is>
          <t>맹지</t>
        </is>
      </c>
    </row>
    <row r="3214">
      <c r="A3214" s="3" t="inlineStr">
        <is>
          <t>현도면 중삼리 351</t>
        </is>
      </c>
      <c r="B3214" s="3" t="inlineStr">
        <is>
          <t>계획관리지역</t>
        </is>
      </c>
      <c r="C3214" s="3" t="inlineStr">
        <is>
          <t>전</t>
        </is>
      </c>
      <c r="D3214" s="3" t="inlineStr">
        <is>
          <t>임야</t>
        </is>
      </c>
      <c r="E3214" s="3" t="inlineStr">
        <is>
          <t>매매</t>
        </is>
      </c>
      <c r="F3214" s="4" t="n">
        <v>1140000</v>
      </c>
      <c r="G3214" s="4" t="n">
        <v>44628</v>
      </c>
      <c r="H3214" s="4" t="n">
        <v>13500</v>
      </c>
      <c r="I3214" s="5" t="n">
        <v>84.40000000000001</v>
      </c>
      <c r="J3214" s="5" t="n">
        <v>22</v>
      </c>
      <c r="K3214" s="3" t="inlineStr">
        <is>
          <t>남청주 IC약 5분거리 위치한 물류 부지 및 공장,창고 용지 입니다</t>
        </is>
      </c>
      <c r="L3214" s="6">
        <f>HYPERLINK("https://fin.land.naver.com/articles/2655244033", "매물Link")</f>
        <v/>
      </c>
      <c r="M3214" s="6">
        <f>HYPERLINK("https://map.naver.com/p/search/현도면 중삼리 351", "지도Link")</f>
        <v/>
      </c>
      <c r="N3214" s="6">
        <f>HYPERLINK("http://www.eum.go.kr/web/ar/lu/luLandDet.jsp?pnu=4311232022103510000&amp;isNoScr=script&amp;mode=search", "토지이음")</f>
        <v/>
      </c>
      <c r="O3214" s="3" t="inlineStr">
        <is>
          <t>더행복</t>
        </is>
      </c>
      <c r="P3214" s="4" t="n">
        <v>1</v>
      </c>
      <c r="Q3214" s="4" t="n">
        <v>565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세로한면(불)</t>
        </is>
      </c>
    </row>
    <row r="3215">
      <c r="A3215" s="3" t="inlineStr">
        <is>
          <t>현도면 중삼리 351</t>
        </is>
      </c>
      <c r="B3215" s="3" t="inlineStr">
        <is>
          <t>계획관리지역</t>
        </is>
      </c>
      <c r="C3215" s="3" t="inlineStr">
        <is>
          <t>전</t>
        </is>
      </c>
      <c r="D3215" s="3" t="inlineStr">
        <is>
          <t>전</t>
        </is>
      </c>
      <c r="E3215" s="3" t="inlineStr">
        <is>
          <t>매매</t>
        </is>
      </c>
      <c r="F3215" s="4" t="n">
        <v>1140000</v>
      </c>
      <c r="G3215" s="4" t="n">
        <v>44628</v>
      </c>
      <c r="H3215" s="4" t="n">
        <v>13500</v>
      </c>
      <c r="I3215" s="5" t="n">
        <v>84.40000000000001</v>
      </c>
      <c r="J3215" s="5" t="n">
        <v>22</v>
      </c>
      <c r="K3215" s="3" t="inlineStr">
        <is>
          <t>남청주IC 5분, 개발행위허가 완료 산업용 개발 부지 급매</t>
        </is>
      </c>
      <c r="L3215" s="6">
        <f>HYPERLINK("https://fin.land.naver.com/articles/2655715992", "매물Link")</f>
        <v/>
      </c>
      <c r="M3215" s="6">
        <f>HYPERLINK("https://map.naver.com/p/search/현도면 중삼리 351", "지도Link")</f>
        <v/>
      </c>
      <c r="N3215" s="6">
        <f>HYPERLINK("http://www.eum.go.kr/web/ar/lu/luLandDet.jsp?pnu=4311232022103510000&amp;isNoScr=script&amp;mode=search", "토지이음")</f>
        <v/>
      </c>
      <c r="O3215" s="3" t="inlineStr">
        <is>
          <t>월드</t>
        </is>
      </c>
      <c r="P3215" s="4" t="n">
        <v>1</v>
      </c>
      <c r="Q3215" s="4" t="n">
        <v>565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세로한면(불)</t>
        </is>
      </c>
    </row>
    <row r="3216">
      <c r="A3216" s="3" t="inlineStr">
        <is>
          <t>현도면 중삼리 357</t>
        </is>
      </c>
      <c r="B3216" s="3" t="inlineStr">
        <is>
          <t>계획관리지역</t>
        </is>
      </c>
      <c r="C3216" s="3" t="inlineStr">
        <is>
          <t>전</t>
        </is>
      </c>
      <c r="D3216" s="3" t="inlineStr">
        <is>
          <t>전</t>
        </is>
      </c>
      <c r="E3216" s="3" t="inlineStr">
        <is>
          <t>매매</t>
        </is>
      </c>
      <c r="F3216" s="4" t="n">
        <v>1140000</v>
      </c>
      <c r="G3216" s="4" t="n">
        <v>44628</v>
      </c>
      <c r="H3216" s="4" t="n">
        <v>13500</v>
      </c>
      <c r="I3216" s="5" t="n">
        <v>84.40000000000001</v>
      </c>
      <c r="J3216" s="5" t="n">
        <v>22.9</v>
      </c>
      <c r="K3216" s="3" t="inlineStr">
        <is>
          <t>nan</t>
        </is>
      </c>
      <c r="L3216" s="6">
        <f>HYPERLINK("https://fin.land.naver.com/articles/2655492876", "매물Link")</f>
        <v/>
      </c>
      <c r="M3216" s="6">
        <f>HYPERLINK("https://map.naver.com/p/search/현도면 중삼리 357", "지도Link")</f>
        <v/>
      </c>
      <c r="N3216" s="6">
        <f>HYPERLINK("http://www.eum.go.kr/web/ar/lu/luLandDet.jsp?pnu=4311232022103570000&amp;isNoScr=script&amp;mode=search", "토지이음")</f>
        <v/>
      </c>
      <c r="O3216" s="3" t="inlineStr">
        <is>
          <t>대전토지로무소</t>
        </is>
      </c>
      <c r="P3216" s="4" t="n">
        <v>1</v>
      </c>
      <c r="Q3216" s="4" t="n">
        <v>605</v>
      </c>
      <c r="R3216" s="3" t="inlineStr">
        <is>
          <t>지정되지않음</t>
        </is>
      </c>
      <c r="S3216" s="3" t="inlineStr">
        <is>
          <t>전</t>
        </is>
      </c>
      <c r="T3216" s="3" t="inlineStr">
        <is>
          <t>완경사</t>
        </is>
      </c>
      <c r="U3216" s="3" t="inlineStr">
        <is>
          <t>사다리형</t>
        </is>
      </c>
      <c r="V3216" s="3" t="inlineStr">
        <is>
          <t>맹지</t>
        </is>
      </c>
    </row>
    <row r="3217">
      <c r="A3217" s="3" t="inlineStr">
        <is>
          <t>현도면 중삼리 4-3</t>
        </is>
      </c>
      <c r="B3217" s="3" t="inlineStr">
        <is>
          <t>계획관리지역</t>
        </is>
      </c>
      <c r="C3217" s="3" t="inlineStr">
        <is>
          <t>전</t>
        </is>
      </c>
      <c r="D3217" s="3" t="inlineStr">
        <is>
          <t>전</t>
        </is>
      </c>
      <c r="E3217" s="3" t="inlineStr">
        <is>
          <t>매매</t>
        </is>
      </c>
      <c r="F3217" s="4" t="n">
        <v>45000</v>
      </c>
      <c r="G3217" s="4" t="n">
        <v>1775</v>
      </c>
      <c r="H3217" s="4" t="n">
        <v>537</v>
      </c>
      <c r="I3217" s="5" t="n">
        <v>83.8</v>
      </c>
      <c r="J3217" s="5" t="n">
        <v>26.3</v>
      </c>
      <c r="K3217" s="3" t="inlineStr">
        <is>
          <t>진출입 용이, 공장 지대로 민원발생 없음, 공장 및 창고 용지로 추천</t>
        </is>
      </c>
      <c r="L3217" s="6">
        <f>HYPERLINK("https://fin.land.naver.com/articles/2651477083", "매물Link")</f>
        <v/>
      </c>
      <c r="M3217" s="6">
        <f>HYPERLINK("https://map.naver.com/p/search/현도면 중삼리 4-3", "지도Link")</f>
        <v/>
      </c>
      <c r="N3217" s="6">
        <f>HYPERLINK("http://www.eum.go.kr/web/ar/lu/luLandDet.jsp?pnu=4311232022100040003&amp;isNoScr=script&amp;mode=search", "토지이음")</f>
        <v/>
      </c>
      <c r="O3217" s="3" t="inlineStr">
        <is>
          <t>제이</t>
        </is>
      </c>
      <c r="P3217" s="4" t="n">
        <v>1</v>
      </c>
      <c r="Q3217" s="4" t="n">
        <v>1775</v>
      </c>
      <c r="R3217" s="3" t="inlineStr">
        <is>
          <t>지정되지않음</t>
        </is>
      </c>
      <c r="S3217" s="3" t="inlineStr">
        <is>
          <t>전</t>
        </is>
      </c>
      <c r="T3217" s="3" t="inlineStr">
        <is>
          <t>완경사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중삼리 산 20-33</t>
        </is>
      </c>
      <c r="B3218" s="3" t="inlineStr">
        <is>
          <t>계획관리지역</t>
        </is>
      </c>
      <c r="C3218" s="3" t="inlineStr">
        <is>
          <t>임야</t>
        </is>
      </c>
      <c r="D3218" s="3" t="inlineStr">
        <is>
          <t>임야</t>
        </is>
      </c>
      <c r="E3218" s="3" t="inlineStr">
        <is>
          <t>매매</t>
        </is>
      </c>
      <c r="F3218" s="4" t="n">
        <v>387000</v>
      </c>
      <c r="G3218" s="4" t="n">
        <v>12790</v>
      </c>
      <c r="H3218" s="4" t="n">
        <v>3869</v>
      </c>
      <c r="I3218" s="5" t="n">
        <v>100</v>
      </c>
      <c r="J3218" s="5" t="n">
        <v>5.8</v>
      </c>
      <c r="K3218" s="3" t="inlineStr">
        <is>
          <t>8M도로접 공장허가득 남청주ic 5분거리</t>
        </is>
      </c>
      <c r="L3218" s="6">
        <f>HYPERLINK("https://fin.land.naver.com/articles/2653108400", "매물Link")</f>
        <v/>
      </c>
      <c r="M3218" s="6">
        <f>HYPERLINK("https://map.naver.com/p/search/현도면 중삼리 산 20-33", "지도Link")</f>
        <v/>
      </c>
      <c r="N3218" s="6">
        <f>HYPERLINK("http://www.eum.go.kr/web/ar/lu/luLandDet.jsp?pnu=4311232022200200033&amp;isNoScr=script&amp;mode=search", "토지이음")</f>
        <v/>
      </c>
      <c r="O3218" s="3" t="inlineStr">
        <is>
          <t>플러스태양</t>
        </is>
      </c>
      <c r="P3218" s="4" t="n">
        <v>1</v>
      </c>
      <c r="Q3218" s="4" t="n">
        <v>8838</v>
      </c>
      <c r="R3218" s="3" t="inlineStr">
        <is>
          <t>지정되지않음</t>
        </is>
      </c>
      <c r="S3218" s="3" t="inlineStr">
        <is>
          <t>자연림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맹지</t>
        </is>
      </c>
    </row>
    <row r="3219">
      <c r="A3219" s="3" t="inlineStr">
        <is>
          <t>현도면 중삼리 산 20-33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전</t>
        </is>
      </c>
      <c r="E3219" s="3" t="inlineStr">
        <is>
          <t>매매</t>
        </is>
      </c>
      <c r="F3219" s="4" t="n">
        <v>387000</v>
      </c>
      <c r="G3219" s="4" t="n">
        <v>12188</v>
      </c>
      <c r="H3219" s="4" t="n">
        <v>3687</v>
      </c>
      <c r="I3219" s="5" t="n">
        <v>105</v>
      </c>
      <c r="J3219" s="5" t="n">
        <v>5.8</v>
      </c>
      <c r="K3219" s="3" t="inlineStr">
        <is>
          <t>공장부지.2차선도로접</t>
        </is>
      </c>
      <c r="L3219" s="6">
        <f>HYPERLINK("https://fin.land.naver.com/articles/2654974376", "매물Link")</f>
        <v/>
      </c>
      <c r="M3219" s="6">
        <f>HYPERLINK("https://map.naver.com/p/search/현도면 중삼리 산 20-33", "지도Link")</f>
        <v/>
      </c>
      <c r="N3219" s="6">
        <f>HYPERLINK("http://www.eum.go.kr/web/ar/lu/luLandDet.jsp?pnu=4311232022200200033&amp;isNoScr=script&amp;mode=search", "토지이음")</f>
        <v/>
      </c>
      <c r="O3219" s="3" t="inlineStr">
        <is>
          <t>세종로또</t>
        </is>
      </c>
      <c r="P3219" s="4" t="n">
        <v>1</v>
      </c>
      <c r="Q3219" s="4" t="n">
        <v>8838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맹지</t>
        </is>
      </c>
    </row>
    <row r="3220">
      <c r="A3220" s="3" t="inlineStr">
        <is>
          <t>현도면 중삼리 산 6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대</t>
        </is>
      </c>
      <c r="E3220" s="3" t="inlineStr">
        <is>
          <t>매매</t>
        </is>
      </c>
      <c r="F3220" s="4" t="n">
        <v>250000</v>
      </c>
      <c r="G3220" s="4" t="n">
        <v>7954</v>
      </c>
      <c r="H3220" s="4" t="n">
        <v>2406</v>
      </c>
      <c r="I3220" s="5" t="n">
        <v>103.9</v>
      </c>
      <c r="J3220" s="5" t="n">
        <v>6.4</v>
      </c>
      <c r="K3220" s="3" t="inlineStr">
        <is>
          <t>남청주IC와 가까워 대형차 진출입이 편리한곳, 현도산업단지 인근에위치</t>
        </is>
      </c>
      <c r="L3220" s="6">
        <f>HYPERLINK("https://fin.land.naver.com/articles/2654296609", "매물Link")</f>
        <v/>
      </c>
      <c r="M3220" s="6">
        <f>HYPERLINK("https://map.naver.com/p/search/현도면 중삼리 산 6", "지도Link")</f>
        <v/>
      </c>
      <c r="N3220" s="6">
        <f>HYPERLINK("http://www.eum.go.kr/web/ar/lu/luLandDet.jsp?pnu=4311232022200060000&amp;isNoScr=script&amp;mode=search", "토지이음")</f>
        <v/>
      </c>
      <c r="O3220" s="3" t="inlineStr">
        <is>
          <t>(주)미르</t>
        </is>
      </c>
      <c r="P3220" s="4" t="n">
        <v>2</v>
      </c>
      <c r="Q3220" s="4" t="n">
        <v>6149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세로한면(가)</t>
        </is>
      </c>
    </row>
    <row r="3221">
      <c r="A3221" s="3" t="inlineStr">
        <is>
          <t>현도면 중삼리 산 8-15</t>
        </is>
      </c>
      <c r="B3221" s="3" t="inlineStr">
        <is>
          <t>계획관리지역</t>
        </is>
      </c>
      <c r="C3221" s="3" t="inlineStr">
        <is>
          <t>임야</t>
        </is>
      </c>
      <c r="D3221" s="3" t="inlineStr">
        <is>
          <t>임야</t>
        </is>
      </c>
      <c r="E3221" s="3" t="inlineStr">
        <is>
          <t>매매</t>
        </is>
      </c>
      <c r="F3221" s="4" t="n">
        <v>500000</v>
      </c>
      <c r="G3221" s="4" t="n">
        <v>19443</v>
      </c>
      <c r="H3221" s="4" t="n">
        <v>5882</v>
      </c>
      <c r="I3221" s="5" t="n">
        <v>85</v>
      </c>
      <c r="J3221" s="5" t="n">
        <v>4.6</v>
      </c>
      <c r="K3221" s="3" t="inlineStr">
        <is>
          <t>활용도 좋은 계획관리지역으로 토목 공사 완료된 넓은 토지</t>
        </is>
      </c>
      <c r="L3221" s="6">
        <f>HYPERLINK("https://fin.land.naver.com/articles/2654968921", "매물Link")</f>
        <v/>
      </c>
      <c r="M3221" s="6">
        <f>HYPERLINK("https://map.naver.com/p/search/현도면 중삼리 산 8-15", "지도Link")</f>
        <v/>
      </c>
      <c r="N3221" s="6">
        <f>HYPERLINK("http://www.eum.go.kr/web/ar/lu/luLandDet.jsp?pnu=4311232022200080015&amp;isNoScr=script&amp;mode=search", "토지이음")</f>
        <v/>
      </c>
      <c r="O3221" s="3" t="inlineStr">
        <is>
          <t>(주)미르</t>
        </is>
      </c>
      <c r="P3221" s="4" t="n">
        <v>1</v>
      </c>
      <c r="Q3221" s="4" t="n">
        <v>12831</v>
      </c>
      <c r="R3221" s="3" t="inlineStr">
        <is>
          <t>지정되지않음</t>
        </is>
      </c>
      <c r="S3221" s="3" t="inlineStr">
        <is>
          <t>자연림</t>
        </is>
      </c>
      <c r="T3221" s="3" t="inlineStr">
        <is>
          <t>급경사</t>
        </is>
      </c>
      <c r="U3221" s="3" t="inlineStr">
        <is>
          <t>사다리형</t>
        </is>
      </c>
      <c r="V3221" s="3" t="inlineStr">
        <is>
          <t>맹지</t>
        </is>
      </c>
    </row>
    <row r="3222">
      <c r="A3222" s="3" t="inlineStr">
        <is>
          <t>현도면 중삼리 산 8-15</t>
        </is>
      </c>
      <c r="B3222" s="3" t="inlineStr">
        <is>
          <t>계획관리지역</t>
        </is>
      </c>
      <c r="C3222" s="3" t="inlineStr">
        <is>
          <t>임야</t>
        </is>
      </c>
      <c r="D3222" s="3" t="inlineStr">
        <is>
          <t>임야</t>
        </is>
      </c>
      <c r="E3222" s="3" t="inlineStr">
        <is>
          <t>매매</t>
        </is>
      </c>
      <c r="F3222" s="4" t="n">
        <v>500000</v>
      </c>
      <c r="G3222" s="4" t="n">
        <v>19443</v>
      </c>
      <c r="H3222" s="4" t="n">
        <v>5882</v>
      </c>
      <c r="I3222" s="5" t="n">
        <v>85</v>
      </c>
      <c r="J3222" s="5" t="n">
        <v>4.6</v>
      </c>
      <c r="K3222" s="3" t="inlineStr">
        <is>
          <t>토목공사완료된 공장부지</t>
        </is>
      </c>
      <c r="L3222" s="6">
        <f>HYPERLINK("https://fin.land.naver.com/articles/2655173810", "매물Link")</f>
        <v/>
      </c>
      <c r="M3222" s="6">
        <f>HYPERLINK("https://map.naver.com/p/search/현도면 중삼리 산 8-15", "지도Link")</f>
        <v/>
      </c>
      <c r="N3222" s="6">
        <f>HYPERLINK("http://www.eum.go.kr/web/ar/lu/luLandDet.jsp?pnu=4311232022200080015&amp;isNoScr=script&amp;mode=search", "토지이음")</f>
        <v/>
      </c>
      <c r="O3222" s="3" t="inlineStr">
        <is>
          <t>대전명품</t>
        </is>
      </c>
      <c r="P3222" s="4" t="n">
        <v>1</v>
      </c>
      <c r="Q3222" s="4" t="n">
        <v>12831</v>
      </c>
      <c r="R3222" s="3" t="inlineStr">
        <is>
          <t>지정되지않음</t>
        </is>
      </c>
      <c r="S3222" s="3" t="inlineStr">
        <is>
          <t>자연림</t>
        </is>
      </c>
      <c r="T3222" s="3" t="inlineStr">
        <is>
          <t>급경사</t>
        </is>
      </c>
      <c r="U3222" s="3" t="inlineStr">
        <is>
          <t>사다리형</t>
        </is>
      </c>
      <c r="V3222" s="3" t="inlineStr">
        <is>
          <t>맹지</t>
        </is>
      </c>
    </row>
    <row r="3223">
      <c r="A3223" s="3" t="inlineStr">
        <is>
          <t>현도면 중삼리 산 8-16</t>
        </is>
      </c>
      <c r="B3223" s="3" t="inlineStr">
        <is>
          <t>계획관리지역</t>
        </is>
      </c>
      <c r="C3223" s="3" t="inlineStr">
        <is>
          <t>임야</t>
        </is>
      </c>
      <c r="D3223" s="3" t="inlineStr">
        <is>
          <t>임야</t>
        </is>
      </c>
      <c r="E3223" s="3" t="inlineStr">
        <is>
          <t>매매</t>
        </is>
      </c>
      <c r="F3223" s="4" t="n">
        <v>230000</v>
      </c>
      <c r="G3223" s="4" t="n">
        <v>9904</v>
      </c>
      <c r="H3223" s="4" t="n">
        <v>2996</v>
      </c>
      <c r="I3223" s="5" t="n">
        <v>76.8</v>
      </c>
      <c r="J3223" s="5" t="n">
        <v>4.6</v>
      </c>
      <c r="K3223" s="3" t="inlineStr">
        <is>
          <t>활용도 좋은 계획관리지역으로 토목 공사 완료된 넓은 토지</t>
        </is>
      </c>
      <c r="L3223" s="6">
        <f>HYPERLINK("https://fin.land.naver.com/articles/2654780098", "매물Link")</f>
        <v/>
      </c>
      <c r="M3223" s="6">
        <f>HYPERLINK("https://map.naver.com/p/search/현도면 중삼리 산 8-16", "지도Link")</f>
        <v/>
      </c>
      <c r="N3223" s="6">
        <f>HYPERLINK("http://www.eum.go.kr/web/ar/lu/luLandDet.jsp?pnu=4311232022200080016&amp;isNoScr=script&amp;mode=search", "토지이음")</f>
        <v/>
      </c>
      <c r="O3223" s="3" t="inlineStr">
        <is>
          <t>(주)미르</t>
        </is>
      </c>
      <c r="P3223" s="4" t="n">
        <v>1</v>
      </c>
      <c r="Q3223" s="4" t="n">
        <v>8470</v>
      </c>
      <c r="R3223" s="3" t="inlineStr">
        <is>
          <t>지정되지않음</t>
        </is>
      </c>
      <c r="S3223" s="3" t="inlineStr">
        <is>
          <t>자연림</t>
        </is>
      </c>
      <c r="T3223" s="3" t="inlineStr">
        <is>
          <t>급경사</t>
        </is>
      </c>
      <c r="U3223" s="3" t="inlineStr">
        <is>
          <t>부정형</t>
        </is>
      </c>
      <c r="V3223" s="3" t="inlineStr">
        <is>
          <t>맹지</t>
        </is>
      </c>
    </row>
    <row r="3224">
      <c r="A3224" s="3" t="inlineStr">
        <is>
          <t>현도면 중삼리 산7-1</t>
        </is>
      </c>
      <c r="B3224" s="3" t="inlineStr">
        <is>
          <t>계획관리지역</t>
        </is>
      </c>
      <c r="C3224" s="3" t="inlineStr">
        <is>
          <t>임야</t>
        </is>
      </c>
      <c r="D3224" s="3" t="inlineStr">
        <is>
          <t>임야</t>
        </is>
      </c>
      <c r="E3224" s="3" t="inlineStr">
        <is>
          <t>매매</t>
        </is>
      </c>
      <c r="F3224" s="4" t="n">
        <v>1500000</v>
      </c>
      <c r="G3224" s="4" t="n">
        <v>39570</v>
      </c>
      <c r="H3224" s="4" t="n">
        <v>11970</v>
      </c>
      <c r="I3224" s="5" t="n">
        <v>125.3</v>
      </c>
      <c r="J3224" s="5" t="n">
        <v>6.4</v>
      </c>
      <c r="K3224" s="3" t="inlineStr">
        <is>
          <t>남청주ic 6분거리 물류창고허가득한 토지 매매</t>
        </is>
      </c>
      <c r="L3224" s="6">
        <f>HYPERLINK("https://fin.land.naver.com/articles/2654178584", "매물Link")</f>
        <v/>
      </c>
      <c r="M3224" s="6">
        <f>HYPERLINK("https://map.naver.com/p/search/현도면 중삼리 산7-1", "지도Link")</f>
        <v/>
      </c>
      <c r="N3224" s="6">
        <f>HYPERLINK("http://www.eum.go.kr/web/ar/lu/luLandDet.jsp?pnu=4311232022200070001&amp;isNoScr=script&amp;mode=search", "토지이음")</f>
        <v/>
      </c>
      <c r="O3224" s="3" t="inlineStr">
        <is>
          <t>더원</t>
        </is>
      </c>
      <c r="P3224" s="4" t="n">
        <v>1</v>
      </c>
      <c r="Q3224" s="4" t="n">
        <v>34141</v>
      </c>
      <c r="R3224" s="3" t="inlineStr">
        <is>
          <t>지정되지않음</t>
        </is>
      </c>
      <c r="S3224" s="3" t="inlineStr">
        <is>
          <t>자연림</t>
        </is>
      </c>
      <c r="T3224" s="3" t="inlineStr">
        <is>
          <t>완경사</t>
        </is>
      </c>
      <c r="U3224" s="3" t="inlineStr">
        <is>
          <t>부정형</t>
        </is>
      </c>
      <c r="V3224" s="3" t="inlineStr">
        <is>
          <t>세로한면(가)</t>
        </is>
      </c>
    </row>
    <row r="3225">
      <c r="A3225" s="3" t="inlineStr">
        <is>
          <t>현도면 중삼리 산7-1</t>
        </is>
      </c>
      <c r="B3225" s="3" t="inlineStr">
        <is>
          <t>계획관리지역</t>
        </is>
      </c>
      <c r="C3225" s="3" t="inlineStr">
        <is>
          <t>임야</t>
        </is>
      </c>
      <c r="D3225" s="3" t="inlineStr">
        <is>
          <t>임야</t>
        </is>
      </c>
      <c r="E3225" s="3" t="inlineStr">
        <is>
          <t>매매</t>
        </is>
      </c>
      <c r="F3225" s="4" t="n">
        <v>1500000</v>
      </c>
      <c r="G3225" s="4" t="n">
        <v>34141</v>
      </c>
      <c r="H3225" s="4" t="n">
        <v>10328</v>
      </c>
      <c r="I3225" s="5" t="n">
        <v>145.2</v>
      </c>
      <c r="J3225" s="5" t="n">
        <v>6.4</v>
      </c>
      <c r="K3225" s="3" t="inlineStr">
        <is>
          <t>물류창고부지 허가득</t>
        </is>
      </c>
      <c r="L3225" s="6">
        <f>HYPERLINK("https://fin.land.naver.com/articles/2651895185", "매물Link")</f>
        <v/>
      </c>
      <c r="M3225" s="6">
        <f>HYPERLINK("https://map.naver.com/p/search/현도면 중삼리 산7-1", "지도Link")</f>
        <v/>
      </c>
      <c r="N3225" s="6">
        <f>HYPERLINK("http://www.eum.go.kr/web/ar/lu/luLandDet.jsp?pnu=4311232022200070001&amp;isNoScr=script&amp;mode=search", "토지이음")</f>
        <v/>
      </c>
      <c r="O3225" s="3" t="inlineStr">
        <is>
          <t>케이투(k2)</t>
        </is>
      </c>
      <c r="P3225" s="4" t="n">
        <v>1</v>
      </c>
      <c r="Q3225" s="4" t="n">
        <v>34141</v>
      </c>
      <c r="R3225" s="3" t="inlineStr">
        <is>
          <t>지정되지않음</t>
        </is>
      </c>
      <c r="S3225" s="3" t="inlineStr">
        <is>
          <t>자연림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중삼리 산7-2</t>
        </is>
      </c>
      <c r="B3226" s="3" t="inlineStr">
        <is>
          <t>계획관리지역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1500000</v>
      </c>
      <c r="G3226" s="4" t="n">
        <v>39570</v>
      </c>
      <c r="H3226" s="4" t="n">
        <v>11970</v>
      </c>
      <c r="I3226" s="5" t="n">
        <v>125.3</v>
      </c>
      <c r="J3226" s="5" t="n">
        <v>4.9</v>
      </c>
      <c r="K3226" s="3" t="inlineStr">
        <is>
          <t>남청주IC 5분거리, 물류창고로 허가득한 토지 매매</t>
        </is>
      </c>
      <c r="L3226" s="6">
        <f>HYPERLINK("https://fin.land.naver.com/articles/2652790912", "매물Link")</f>
        <v/>
      </c>
      <c r="M3226" s="6">
        <f>HYPERLINK("https://map.naver.com/p/search/현도면 중삼리 산7-2", "지도Link")</f>
        <v/>
      </c>
      <c r="N3226" s="6">
        <f>HYPERLINK("http://www.eum.go.kr/web/ar/lu/luLandDet.jsp?pnu=4311232022200070002&amp;isNoScr=script&amp;mode=search", "토지이음")</f>
        <v/>
      </c>
      <c r="O3226" s="3" t="inlineStr">
        <is>
          <t>금화랜드</t>
        </is>
      </c>
      <c r="P3226" s="4" t="n">
        <v>1</v>
      </c>
      <c r="Q3226" s="4" t="n">
        <v>298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급경사</t>
        </is>
      </c>
      <c r="U3226" s="3" t="inlineStr">
        <is>
          <t>부정형</t>
        </is>
      </c>
      <c r="V3226" s="3" t="inlineStr">
        <is>
          <t>맹지</t>
        </is>
      </c>
    </row>
    <row r="3227">
      <c r="A3227" s="3" t="inlineStr">
        <is>
          <t>현도면 중척리 398-1</t>
        </is>
      </c>
      <c r="B3227" s="3" t="inlineStr">
        <is>
          <t>개발제한구역</t>
        </is>
      </c>
      <c r="C3227" s="3" t="inlineStr">
        <is>
          <t>전</t>
        </is>
      </c>
      <c r="D3227" s="3" t="inlineStr">
        <is>
          <t>전</t>
        </is>
      </c>
      <c r="E3227" s="3" t="inlineStr">
        <is>
          <t>매매</t>
        </is>
      </c>
      <c r="F3227" s="4" t="n">
        <v>25000</v>
      </c>
      <c r="G3227" s="4" t="n">
        <v>1986</v>
      </c>
      <c r="H3227" s="4" t="n">
        <v>601</v>
      </c>
      <c r="I3227" s="5" t="n">
        <v>41.6</v>
      </c>
      <c r="J3227" s="5" t="n">
        <v>22.3</v>
      </c>
      <c r="K3227" s="3" t="inlineStr">
        <is>
          <t>버스길에 접 , 토지모양이 네모 반듯함, 투자가치가 있는 좋은 토지</t>
        </is>
      </c>
      <c r="L3227" s="6">
        <f>HYPERLINK("https://fin.land.naver.com/articles/2655488231", "매물Link")</f>
        <v/>
      </c>
      <c r="M3227" s="6">
        <f>HYPERLINK("https://map.naver.com/p/search/현도면 중척리 398-1", "지도Link")</f>
        <v/>
      </c>
      <c r="N3227" s="6">
        <f>HYPERLINK("http://www.eum.go.kr/web/ar/lu/luLandDet.jsp?pnu=4311232028103980001&amp;isNoScr=script&amp;mode=search", "토지이음")</f>
        <v/>
      </c>
      <c r="O3227" s="3" t="inlineStr">
        <is>
          <t>대전토지로무소</t>
        </is>
      </c>
      <c r="P3227" s="4" t="n">
        <v>1</v>
      </c>
      <c r="Q3227" s="4" t="n">
        <v>1986</v>
      </c>
      <c r="R3227" s="3" t="inlineStr">
        <is>
          <t>지정되지않음</t>
        </is>
      </c>
      <c r="S3227" s="3" t="inlineStr">
        <is>
          <t>전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중척리 398-1</t>
        </is>
      </c>
      <c r="B3228" s="3" t="inlineStr">
        <is>
          <t>개발제한구역</t>
        </is>
      </c>
      <c r="C3228" s="3" t="inlineStr">
        <is>
          <t>전</t>
        </is>
      </c>
      <c r="D3228" s="3" t="inlineStr">
        <is>
          <t>전</t>
        </is>
      </c>
      <c r="E3228" s="3" t="inlineStr">
        <is>
          <t>매매</t>
        </is>
      </c>
      <c r="F3228" s="4" t="n">
        <v>25000</v>
      </c>
      <c r="G3228" s="4" t="n">
        <v>1986</v>
      </c>
      <c r="H3228" s="4" t="n">
        <v>601</v>
      </c>
      <c r="I3228" s="5" t="n">
        <v>41.6</v>
      </c>
      <c r="J3228" s="5" t="n">
        <v>22.3</v>
      </c>
      <c r="K3228" s="3" t="inlineStr">
        <is>
          <t>중척리 토지매매, 도로옆, 버스 다니는 길, 네모난 모양</t>
        </is>
      </c>
      <c r="L3228" s="6">
        <f>HYPERLINK("https://fin.land.naver.com/articles/2654178590", "매물Link")</f>
        <v/>
      </c>
      <c r="M3228" s="6">
        <f>HYPERLINK("https://map.naver.com/p/search/현도면 중척리 398-1", "지도Link")</f>
        <v/>
      </c>
      <c r="N3228" s="6">
        <f>HYPERLINK("http://www.eum.go.kr/web/ar/lu/luLandDet.jsp?pnu=4311232028103980001&amp;isNoScr=script&amp;mode=search", "토지이음")</f>
        <v/>
      </c>
      <c r="O3228" s="3" t="inlineStr">
        <is>
          <t>복돼지</t>
        </is>
      </c>
      <c r="P3228" s="4" t="n">
        <v>1</v>
      </c>
      <c r="Q3228" s="4" t="n">
        <v>1986</v>
      </c>
      <c r="R3228" s="3" t="inlineStr">
        <is>
          <t>지정되지않음</t>
        </is>
      </c>
      <c r="S3228" s="3" t="inlineStr">
        <is>
          <t>전</t>
        </is>
      </c>
      <c r="T3228" s="3" t="inlineStr">
        <is>
          <t>평지</t>
        </is>
      </c>
      <c r="U3228" s="3" t="inlineStr">
        <is>
          <t>사다리형</t>
        </is>
      </c>
      <c r="V3228" s="3" t="inlineStr">
        <is>
          <t>세로한면(가)</t>
        </is>
      </c>
    </row>
    <row r="3229">
      <c r="A3229" s="3" t="inlineStr">
        <is>
          <t>현도면 중척리 462-44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22070</v>
      </c>
      <c r="G3229" s="4" t="n">
        <v>3647</v>
      </c>
      <c r="H3229" s="4" t="n">
        <v>1103</v>
      </c>
      <c r="I3229" s="5" t="n">
        <v>20</v>
      </c>
      <c r="J3229" s="5" t="n">
        <v>20.5</v>
      </c>
      <c r="K3229" s="3" t="inlineStr">
        <is>
          <t>금강 인근, 소도로 인접</t>
        </is>
      </c>
      <c r="L3229" s="6">
        <f>HYPERLINK("https://fin.land.naver.com/articles/2653662424", "매물Link")</f>
        <v/>
      </c>
      <c r="M3229" s="6">
        <f>HYPERLINK("https://map.naver.com/p/search/현도면 중척리 462-44", "지도Link")</f>
        <v/>
      </c>
      <c r="N3229" s="6">
        <f>HYPERLINK("http://www.eum.go.kr/web/ar/lu/luLandDet.jsp?pnu=4311232028104620044&amp;isNoScr=script&amp;mode=search", "토지이음")</f>
        <v/>
      </c>
      <c r="O3229" s="3" t="inlineStr">
        <is>
          <t>대지</t>
        </is>
      </c>
      <c r="P3229" s="4" t="n">
        <v>1</v>
      </c>
      <c r="Q3229" s="4" t="n">
        <v>3647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세로한면(가)</t>
        </is>
      </c>
    </row>
    <row r="3230">
      <c r="A3230" s="3" t="inlineStr">
        <is>
          <t>현도면 중척리 462-9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21000</v>
      </c>
      <c r="G3230" s="4" t="n">
        <v>2000</v>
      </c>
      <c r="H3230" s="4" t="n">
        <v>605</v>
      </c>
      <c r="I3230" s="5" t="n">
        <v>34.7</v>
      </c>
      <c r="J3230" s="5" t="n">
        <v>20.5</v>
      </c>
      <c r="K3230" s="3" t="inlineStr">
        <is>
          <t>버스길에 접해 접근성 편리  투자 가치 있는 주말 농장  토지 매매</t>
        </is>
      </c>
      <c r="L3230" s="6">
        <f>HYPERLINK("https://fin.land.naver.com/articles/2654903350", "매물Link")</f>
        <v/>
      </c>
      <c r="M3230" s="6">
        <f>HYPERLINK("https://map.naver.com/p/search/현도면 중척리 462-9", "지도Link")</f>
        <v/>
      </c>
      <c r="N3230" s="6">
        <f>HYPERLINK("http://www.eum.go.kr/web/ar/lu/luLandDet.jsp?pnu=4311232028104620009&amp;isNoScr=script&amp;mode=search",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2000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세로장방</t>
        </is>
      </c>
      <c r="V3230" s="3" t="inlineStr">
        <is>
          <t>세로한면(가)</t>
        </is>
      </c>
    </row>
    <row r="3231">
      <c r="A3231" s="3" t="inlineStr">
        <is>
          <t>현도면 중척리 462-9</t>
        </is>
      </c>
      <c r="B3231" s="3" t="inlineStr">
        <is>
          <t>개발제한구역</t>
        </is>
      </c>
      <c r="C3231" s="3" t="inlineStr">
        <is>
          <t>전</t>
        </is>
      </c>
      <c r="D3231" s="3" t="inlineStr">
        <is>
          <t>전</t>
        </is>
      </c>
      <c r="E3231" s="3" t="inlineStr">
        <is>
          <t>매매</t>
        </is>
      </c>
      <c r="F3231" s="4" t="n">
        <v>24200</v>
      </c>
      <c r="G3231" s="4" t="n">
        <v>2000</v>
      </c>
      <c r="H3231" s="4" t="n">
        <v>605</v>
      </c>
      <c r="I3231" s="5" t="n">
        <v>40</v>
      </c>
      <c r="J3231" s="5" t="n">
        <v>20.5</v>
      </c>
      <c r="K3231" s="3" t="inlineStr">
        <is>
          <t>도로가, 직사각형 모양, 신탄진지역 차로 10분거리</t>
        </is>
      </c>
      <c r="L3231" s="6">
        <f>HYPERLINK("https://fin.land.naver.com/articles/2655015917", "매물Link")</f>
        <v/>
      </c>
      <c r="M3231" s="6">
        <f>HYPERLINK("https://map.naver.com/p/search/현도면 중척리 462-9", "지도Link")</f>
        <v/>
      </c>
      <c r="N3231" s="6">
        <f>HYPERLINK("http://www.eum.go.kr/web/ar/lu/luLandDet.jsp?pnu=4311232028104620009&amp;isNoScr=script&amp;mode=search", "토지이음")</f>
        <v/>
      </c>
      <c r="O3231" s="3" t="inlineStr">
        <is>
          <t>복돼지</t>
        </is>
      </c>
      <c r="P3231" s="4" t="n">
        <v>1</v>
      </c>
      <c r="Q3231" s="4" t="n">
        <v>2000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세로장방</t>
        </is>
      </c>
      <c r="V3231" s="3" t="inlineStr">
        <is>
          <t>세로한면(가)</t>
        </is>
      </c>
    </row>
    <row r="3232">
      <c r="A3232" s="3" t="inlineStr">
        <is>
          <t>현도면 중척리 473-11</t>
        </is>
      </c>
      <c r="B3232" s="3" t="inlineStr">
        <is>
          <t>개발제한구역</t>
        </is>
      </c>
      <c r="C3232" s="3" t="inlineStr">
        <is>
          <t>임야</t>
        </is>
      </c>
      <c r="D3232" s="3" t="inlineStr">
        <is>
          <t>임야</t>
        </is>
      </c>
      <c r="E3232" s="3" t="inlineStr">
        <is>
          <t>매매</t>
        </is>
      </c>
      <c r="F3232" s="4" t="n">
        <v>13000</v>
      </c>
      <c r="G3232" s="4" t="n">
        <v>990</v>
      </c>
      <c r="H3232" s="4" t="n">
        <v>299</v>
      </c>
      <c r="I3232" s="5" t="n">
        <v>43.5</v>
      </c>
      <c r="J3232" s="5" t="n">
        <v>19.2</v>
      </c>
      <c r="K3232" s="3" t="inlineStr">
        <is>
          <t>주말농장,도로접, 평탄한 전</t>
        </is>
      </c>
      <c r="L3232" s="6">
        <f>HYPERLINK("https://fin.land.naver.com/articles/2654680343", "매물Link")</f>
        <v/>
      </c>
      <c r="M3232" s="6">
        <f>HYPERLINK("https://map.naver.com/p/search/현도면 중척리 473-11", "지도Link")</f>
        <v/>
      </c>
      <c r="N3232" s="6">
        <f>HYPERLINK("http://www.eum.go.kr/web/ar/lu/luLandDet.jsp?pnu=4311232028104730011&amp;isNoScr=script&amp;mode=search", "토지이음")</f>
        <v/>
      </c>
      <c r="O3232" s="3" t="inlineStr">
        <is>
          <t>우리동네</t>
        </is>
      </c>
      <c r="P3232" s="4" t="n">
        <v>1</v>
      </c>
      <c r="Q3232" s="4" t="n">
        <v>990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평지</t>
        </is>
      </c>
      <c r="U3232" s="3" t="inlineStr">
        <is>
          <t>세로장방</t>
        </is>
      </c>
      <c r="V3232" s="3" t="inlineStr">
        <is>
          <t>세로한면(가)</t>
        </is>
      </c>
    </row>
    <row r="3233">
      <c r="A3233" s="3" t="inlineStr">
        <is>
          <t>현도면 중척리 484-1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26000</v>
      </c>
      <c r="G3233" s="4" t="n">
        <v>1653</v>
      </c>
      <c r="H3233" s="4" t="n">
        <v>500</v>
      </c>
      <c r="I3233" s="5" t="n">
        <v>52</v>
      </c>
      <c r="J3233" s="5" t="n">
        <v>20.1</v>
      </c>
      <c r="K3233" s="3" t="inlineStr">
        <is>
          <t>도로가 코너에 접한 토지, 비닐하우스 2동 설치됨</t>
        </is>
      </c>
      <c r="L3233" s="6">
        <f>HYPERLINK("https://fin.land.naver.com/articles/2655015888", "매물Link")</f>
        <v/>
      </c>
      <c r="M3233" s="6">
        <f>HYPERLINK("https://map.naver.com/p/search/현도면 중척리 484-1", "지도Link")</f>
        <v/>
      </c>
      <c r="N3233" s="6">
        <f>HYPERLINK("http://www.eum.go.kr/web/ar/lu/luLandDet.jsp?pnu=4311232028104840001&amp;isNoScr=script&amp;mode=search", "토지이음")</f>
        <v/>
      </c>
      <c r="O3233" s="3" t="inlineStr">
        <is>
          <t>복돼지</t>
        </is>
      </c>
      <c r="P3233" s="4" t="n">
        <v>1</v>
      </c>
      <c r="Q3233" s="4" t="n">
        <v>836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평지</t>
        </is>
      </c>
      <c r="U3233" s="3" t="inlineStr">
        <is>
          <t>부정형</t>
        </is>
      </c>
      <c r="V3233" s="3" t="inlineStr">
        <is>
          <t>세로각지(가)</t>
        </is>
      </c>
    </row>
    <row r="3234">
      <c r="A3234" s="3" t="inlineStr">
        <is>
          <t>현도면 중척리 484-1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26000</v>
      </c>
      <c r="G3234" s="4" t="n">
        <v>1653</v>
      </c>
      <c r="H3234" s="4" t="n">
        <v>500</v>
      </c>
      <c r="I3234" s="5" t="n">
        <v>52</v>
      </c>
      <c r="J3234" s="5" t="n">
        <v>20.1</v>
      </c>
      <c r="K3234" s="3" t="inlineStr">
        <is>
          <t>접근성 좋고 관정 전기 하우스 있는 주말 농장 용지, 자연 녹지 매매</t>
        </is>
      </c>
      <c r="L3234" s="6">
        <f>HYPERLINK("https://fin.land.naver.com/articles/2654906573", "매물Link")</f>
        <v/>
      </c>
      <c r="M3234" s="6">
        <f>HYPERLINK("https://map.naver.com/p/search/현도면 중척리 484-1", "지도Link")</f>
        <v/>
      </c>
      <c r="N3234" s="6">
        <f>HYPERLINK("http://www.eum.go.kr/web/ar/lu/luLandDet.jsp?pnu=4311232028104840001&amp;isNoScr=script&amp;mode=search", "토지이음")</f>
        <v/>
      </c>
      <c r="O3234" s="3" t="inlineStr">
        <is>
          <t>대전토지로무소</t>
        </is>
      </c>
      <c r="P3234" s="4" t="n">
        <v>1</v>
      </c>
      <c r="Q3234" s="4" t="n">
        <v>836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세로각지(가)</t>
        </is>
      </c>
    </row>
    <row r="3235">
      <c r="A3235" s="3" t="inlineStr">
        <is>
          <t>현도면 하석리 124</t>
        </is>
      </c>
      <c r="B3235" s="3" t="inlineStr">
        <is>
          <t>개발제한구역</t>
        </is>
      </c>
      <c r="C3235" s="3" t="inlineStr">
        <is>
          <t>전</t>
        </is>
      </c>
      <c r="D3235" s="3" t="inlineStr">
        <is>
          <t>전</t>
        </is>
      </c>
      <c r="E3235" s="3" t="inlineStr">
        <is>
          <t>매매</t>
        </is>
      </c>
      <c r="F3235" s="4" t="n">
        <v>7900</v>
      </c>
      <c r="G3235" s="4" t="n">
        <v>2612</v>
      </c>
      <c r="H3235" s="4" t="n">
        <v>790</v>
      </c>
      <c r="I3235" s="5" t="n">
        <v>10</v>
      </c>
      <c r="J3235" s="5" t="n">
        <v>4.9</v>
      </c>
      <c r="K3235" s="3" t="inlineStr">
        <is>
          <t>급 매매 포장도로 접한 아주 저렴한 주말 농장 용지 매매, 농막설치 가능</t>
        </is>
      </c>
      <c r="L3235" s="6">
        <f>HYPERLINK("https://fin.land.naver.com/articles/2652882582", "매물Link")</f>
        <v/>
      </c>
      <c r="M3235" s="6">
        <f>HYPERLINK("https://map.naver.com/p/search/현도면 하석리 124", "지도Link")</f>
        <v/>
      </c>
      <c r="N3235" s="6">
        <f>HYPERLINK("http://www.eum.go.kr/web/ar/lu/luLandDet.jsp?pnu=4311232029101240000&amp;isNoScr=script&amp;mode=search", "토지이음")</f>
        <v/>
      </c>
      <c r="O3235" s="3" t="inlineStr">
        <is>
          <t>대전토지로무소</t>
        </is>
      </c>
      <c r="P3235" s="4" t="n">
        <v>2</v>
      </c>
      <c r="Q3235" s="4" t="n">
        <v>2612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완경사</t>
        </is>
      </c>
      <c r="U3235" s="3" t="inlineStr">
        <is>
          <t>사다리형</t>
        </is>
      </c>
      <c r="V3235" s="3" t="inlineStr">
        <is>
          <t>세로한면(가)</t>
        </is>
      </c>
    </row>
    <row r="3236">
      <c r="A3236" s="3" t="inlineStr">
        <is>
          <t>현도면 하석리 21-4</t>
        </is>
      </c>
      <c r="B3236" s="3" t="inlineStr">
        <is>
          <t>개발제한구역</t>
        </is>
      </c>
      <c r="C3236" s="3" t="inlineStr">
        <is>
          <t>대</t>
        </is>
      </c>
      <c r="D3236" s="3" t="inlineStr">
        <is>
          <t>대</t>
        </is>
      </c>
      <c r="E3236" s="3" t="inlineStr">
        <is>
          <t>매매</t>
        </is>
      </c>
      <c r="F3236" s="4" t="n">
        <v>140000</v>
      </c>
      <c r="G3236" s="4" t="n">
        <v>1679</v>
      </c>
      <c r="H3236" s="4" t="n">
        <v>508</v>
      </c>
      <c r="I3236" s="5" t="n">
        <v>275.6</v>
      </c>
      <c r="J3236" s="5" t="n">
        <v>101</v>
      </c>
      <c r="K3236" s="3" t="inlineStr">
        <is>
          <t>현재 식당으로 성업중 주택 및 식당건물 두체포함일괄매도원함</t>
        </is>
      </c>
      <c r="L3236" s="6">
        <f>HYPERLINK("https://fin.land.naver.com/articles/2652660855", "매물Link")</f>
        <v/>
      </c>
      <c r="M3236" s="6">
        <f>HYPERLINK("https://map.naver.com/p/search/현도면 하석리 21-4", "지도Link")</f>
        <v/>
      </c>
      <c r="N3236" s="6">
        <f>HYPERLINK("http://www.eum.go.kr/web/ar/lu/luLandDet.jsp?pnu=4311232029100210004&amp;isNoScr=script&amp;mode=search", "토지이음")</f>
        <v/>
      </c>
      <c r="O3236" s="3" t="inlineStr">
        <is>
          <t>신동아영화</t>
        </is>
      </c>
      <c r="P3236" s="4" t="n">
        <v>1</v>
      </c>
      <c r="Q3236" s="4" t="n">
        <v>567</v>
      </c>
      <c r="R3236" s="3" t="inlineStr">
        <is>
          <t>지정되지않음</t>
        </is>
      </c>
      <c r="S3236" s="3" t="inlineStr">
        <is>
          <t>상업용</t>
        </is>
      </c>
      <c r="T3236" s="3" t="inlineStr">
        <is>
          <t>평지</t>
        </is>
      </c>
      <c r="U3236" s="3" t="inlineStr">
        <is>
          <t>세로장방</t>
        </is>
      </c>
      <c r="V3236" s="3" t="inlineStr">
        <is>
          <t>소로한면</t>
        </is>
      </c>
    </row>
    <row r="3237">
      <c r="A3237" s="3" t="inlineStr">
        <is>
          <t>현도면 하석리 21-4</t>
        </is>
      </c>
      <c r="B3237" s="3" t="inlineStr">
        <is>
          <t>개발제한구역</t>
        </is>
      </c>
      <c r="C3237" s="3" t="inlineStr">
        <is>
          <t>대</t>
        </is>
      </c>
      <c r="D3237" s="3" t="inlineStr">
        <is>
          <t>대</t>
        </is>
      </c>
      <c r="E3237" s="3" t="inlineStr">
        <is>
          <t>매매</t>
        </is>
      </c>
      <c r="F3237" s="4" t="n">
        <v>140000</v>
      </c>
      <c r="G3237" s="4" t="n">
        <v>1679</v>
      </c>
      <c r="H3237" s="4" t="n">
        <v>508</v>
      </c>
      <c r="I3237" s="5" t="n">
        <v>275.6</v>
      </c>
      <c r="J3237" s="5" t="n">
        <v>101</v>
      </c>
      <c r="K3237" s="3" t="inlineStr">
        <is>
          <t>아주귀한 대청댐 인접, 일반음식점 대형카페, 가든 , 아주저렴한 매물</t>
        </is>
      </c>
      <c r="L3237" s="6">
        <f>HYPERLINK("https://fin.land.naver.com/articles/2654927609", "매물Link")</f>
        <v/>
      </c>
      <c r="M3237" s="6">
        <f>HYPERLINK("https://map.naver.com/p/search/현도면 하석리 21-4", "지도Link")</f>
        <v/>
      </c>
      <c r="N3237" s="6">
        <f>HYPERLINK("http://www.eum.go.kr/web/ar/lu/luLandDet.jsp?pnu=4311232029100210004&amp;isNoScr=script&amp;mode=search", "토지이음")</f>
        <v/>
      </c>
      <c r="O3237" s="3" t="inlineStr">
        <is>
          <t>대전토지로무소</t>
        </is>
      </c>
      <c r="P3237" s="4" t="n">
        <v>1</v>
      </c>
      <c r="Q3237" s="4" t="n">
        <v>567</v>
      </c>
      <c r="R3237" s="3" t="inlineStr">
        <is>
          <t>지정되지않음</t>
        </is>
      </c>
      <c r="S3237" s="3" t="inlineStr">
        <is>
          <t>상업용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소로한면</t>
        </is>
      </c>
    </row>
    <row r="3238">
      <c r="A3238" s="3" t="inlineStr">
        <is>
          <t>현도면 하석리 471</t>
        </is>
      </c>
      <c r="B3238" s="3" t="inlineStr">
        <is>
          <t>개발제한구역</t>
        </is>
      </c>
      <c r="C3238" s="3" t="inlineStr">
        <is>
          <t>전</t>
        </is>
      </c>
      <c r="D3238" s="3" t="inlineStr">
        <is>
          <t>전</t>
        </is>
      </c>
      <c r="E3238" s="3" t="inlineStr">
        <is>
          <t>매매</t>
        </is>
      </c>
      <c r="F3238" s="4" t="n">
        <v>8000</v>
      </c>
      <c r="G3238" s="4" t="n">
        <v>1174</v>
      </c>
      <c r="H3238" s="4" t="n">
        <v>355</v>
      </c>
      <c r="I3238" s="5" t="n">
        <v>22.5</v>
      </c>
      <c r="J3238" s="5" t="n">
        <v>9.199999999999999</v>
      </c>
      <c r="K3238" s="3" t="inlineStr">
        <is>
          <t>청주시 서원구 현도면 하석리 토지매매</t>
        </is>
      </c>
      <c r="L3238" s="6">
        <f>HYPERLINK("https://fin.land.naver.com/articles/2655019426", "매물Link")</f>
        <v/>
      </c>
      <c r="M3238" s="6">
        <f>HYPERLINK("https://map.naver.com/p/search/현도면 하석리 471", "지도Link")</f>
        <v/>
      </c>
      <c r="N3238" s="6">
        <f>HYPERLINK("http://www.eum.go.kr/web/ar/lu/luLandDet.jsp?pnu=4311232029104710000&amp;isNoScr=script&amp;mode=search", "토지이음")</f>
        <v/>
      </c>
      <c r="O3238" s="3" t="inlineStr">
        <is>
          <t>포도</t>
        </is>
      </c>
      <c r="P3238" s="4" t="n">
        <v>1</v>
      </c>
      <c r="Q3238" s="4" t="n">
        <v>1174</v>
      </c>
      <c r="R3238" s="3" t="inlineStr">
        <is>
          <t>지정되지않음</t>
        </is>
      </c>
      <c r="S3238" s="3" t="inlineStr">
        <is>
          <t>전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맹지</t>
        </is>
      </c>
    </row>
    <row r="3239">
      <c r="A3239" s="3" t="inlineStr">
        <is>
          <t>현도면 하석리 560</t>
        </is>
      </c>
      <c r="B3239" s="3" t="inlineStr">
        <is>
          <t>개발제한구역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18000</v>
      </c>
      <c r="G3239" s="4" t="n">
        <v>2398</v>
      </c>
      <c r="H3239" s="4" t="n">
        <v>725</v>
      </c>
      <c r="I3239" s="5" t="n">
        <v>24.8</v>
      </c>
      <c r="J3239" s="5" t="n">
        <v>8.9</v>
      </c>
      <c r="K3239" s="3" t="inlineStr">
        <is>
          <t>접근성 아주 좋고 비옥한 토지입니다</t>
        </is>
      </c>
      <c r="L3239" s="6">
        <f>HYPERLINK("https://fin.land.naver.com/articles/2651423344", "매물Link")</f>
        <v/>
      </c>
      <c r="M3239" s="6">
        <f>HYPERLINK("https://map.naver.com/p/search/현도면 하석리 560", "지도Link")</f>
        <v/>
      </c>
      <c r="N3239" s="6">
        <f>HYPERLINK("http://www.eum.go.kr/web/ar/lu/luLandDet.jsp?pnu=4311232029105600000&amp;isNoScr=script&amp;mode=search", "토지이음")</f>
        <v/>
      </c>
      <c r="O3239" s="3" t="inlineStr">
        <is>
          <t>대웅</t>
        </is>
      </c>
      <c r="P3239" s="4" t="n">
        <v>1</v>
      </c>
      <c r="Q3239" s="4" t="n">
        <v>2398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하석리 660</t>
        </is>
      </c>
      <c r="B3240" s="3" t="inlineStr">
        <is>
          <t>개발제한구역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15600</v>
      </c>
      <c r="G3240" s="4" t="n">
        <v>2038</v>
      </c>
      <c r="H3240" s="4" t="n">
        <v>616</v>
      </c>
      <c r="I3240" s="5" t="n">
        <v>25.3</v>
      </c>
      <c r="J3240" s="5" t="n">
        <v>11.3</v>
      </c>
      <c r="K3240" s="3" t="inlineStr">
        <is>
          <t>경지정리된 논이며 개발제한구역 입니다</t>
        </is>
      </c>
      <c r="L3240" s="6">
        <f>HYPERLINK("https://fin.land.naver.com/articles/2653571380", "매물Link")</f>
        <v/>
      </c>
      <c r="M3240" s="6">
        <f>HYPERLINK("https://map.naver.com/p/search/현도면 하석리 660", "지도Link")</f>
        <v/>
      </c>
      <c r="N3240" s="6">
        <f>HYPERLINK("http://www.eum.go.kr/web/ar/lu/luLandDet.jsp?pnu=4311232029106600000&amp;isNoScr=script&amp;mode=search", "토지이음")</f>
        <v/>
      </c>
      <c r="O3240" s="3" t="inlineStr">
        <is>
          <t>대웅</t>
        </is>
      </c>
      <c r="P3240" s="4" t="n">
        <v>1</v>
      </c>
      <c r="Q3240" s="4" t="n">
        <v>2038.1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평지</t>
        </is>
      </c>
      <c r="U3240" s="3" t="inlineStr">
        <is>
          <t>세로장방</t>
        </is>
      </c>
      <c r="V3240" s="3" t="inlineStr">
        <is>
          <t>세로한면(가)</t>
        </is>
      </c>
    </row>
    <row r="3241">
      <c r="A3241" s="3" t="inlineStr">
        <is>
          <t>현도면 하석리 산 80</t>
        </is>
      </c>
      <c r="B3241" s="3" t="inlineStr">
        <is>
          <t>개발제한구역</t>
        </is>
      </c>
      <c r="C3241" s="3" t="inlineStr">
        <is>
          <t>임야</t>
        </is>
      </c>
      <c r="D3241" s="3" t="inlineStr">
        <is>
          <t>임야</t>
        </is>
      </c>
      <c r="E3241" s="3" t="inlineStr">
        <is>
          <t>매매</t>
        </is>
      </c>
      <c r="F3241" s="4" t="n">
        <v>15000</v>
      </c>
      <c r="G3241" s="4" t="n">
        <v>19438</v>
      </c>
      <c r="H3241" s="4" t="n">
        <v>5880</v>
      </c>
      <c r="I3241" s="5" t="n">
        <v>2.6</v>
      </c>
      <c r="J3241" s="5" t="n">
        <v>1.9</v>
      </c>
      <c r="K3241" s="3" t="inlineStr">
        <is>
          <t>대청댐 인근 임야</t>
        </is>
      </c>
      <c r="L3241" s="6">
        <f>HYPERLINK("https://fin.land.naver.com/articles/2653857625", "매물Link")</f>
        <v/>
      </c>
      <c r="M3241" s="6">
        <f>HYPERLINK("https://map.naver.com/p/search/현도면 하석리 산 80", "지도Link")</f>
        <v/>
      </c>
      <c r="N3241" s="6">
        <f>HYPERLINK("http://www.eum.go.kr/web/ar/lu/luLandDet.jsp?pnu=4311232029200800000&amp;isNoScr=script&amp;mode=search", "토지이음")</f>
        <v/>
      </c>
      <c r="O3241" s="3" t="inlineStr">
        <is>
          <t>한평</t>
        </is>
      </c>
      <c r="P3241" s="4" t="n">
        <v>1</v>
      </c>
      <c r="Q3241" s="4" t="n">
        <v>19438</v>
      </c>
      <c r="R3241" s="3" t="inlineStr">
        <is>
          <t>지정되지않음</t>
        </is>
      </c>
      <c r="S3241" s="3" t="inlineStr">
        <is>
          <t>자연림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맹지</t>
        </is>
      </c>
    </row>
  </sheetData>
  <autoFilter ref="A1:V32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2000</v>
      </c>
      <c r="C305" s="4" t="n">
        <v>615</v>
      </c>
      <c r="D305" s="4" t="n">
        <v>186.0375</v>
      </c>
      <c r="E305" s="5" t="n">
        <v>10.8</v>
      </c>
      <c r="F305" s="3" t="inlineStr">
        <is>
          <t>현도면</t>
        </is>
      </c>
      <c r="G305" s="3" t="inlineStr">
        <is>
          <t>매봉리</t>
        </is>
      </c>
      <c r="H305" s="3" t="inlineStr">
        <is>
          <t>개발제한구역</t>
        </is>
      </c>
      <c r="I305" s="3" t="inlineStr">
        <is>
          <t>전</t>
        </is>
      </c>
      <c r="J305" s="3" t="inlineStr">
        <is>
          <t>현도면</t>
        </is>
      </c>
    </row>
    <row r="306">
      <c r="A306" s="3" t="n">
        <v>2026</v>
      </c>
      <c r="B306" s="4" t="n">
        <v>56000</v>
      </c>
      <c r="C306" s="4" t="n">
        <v>2006</v>
      </c>
      <c r="D306" s="4" t="n">
        <v>606.8149999999999</v>
      </c>
      <c r="E306" s="5" t="n">
        <v>92.3</v>
      </c>
      <c r="F306" s="3" t="inlineStr">
        <is>
          <t>남이면</t>
        </is>
      </c>
      <c r="G306" s="3" t="inlineStr">
        <is>
          <t>석판리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2026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현도면</t>
        </is>
      </c>
      <c r="G307" s="3" t="inlineStr">
        <is>
          <t>매봉리</t>
        </is>
      </c>
      <c r="H307" s="3" t="inlineStr">
        <is>
          <t>개발제한구역</t>
        </is>
      </c>
      <c r="I307" s="3" t="inlineStr">
        <is>
          <t>전</t>
        </is>
      </c>
      <c r="J307" s="3" t="inlineStr">
        <is>
          <t>현도면</t>
        </is>
      </c>
    </row>
    <row r="308">
      <c r="A308" s="3" t="n">
        <v>2026</v>
      </c>
      <c r="B308" s="4" t="n">
        <v>1900</v>
      </c>
      <c r="C308" s="4" t="n">
        <v>90</v>
      </c>
      <c r="D308" s="4" t="n">
        <v>27.225</v>
      </c>
      <c r="E308" s="5" t="n">
        <v>69.8</v>
      </c>
      <c r="F308" s="3" t="inlineStr">
        <is>
          <t>현도면</t>
        </is>
      </c>
      <c r="G308" s="3" t="inlineStr">
        <is>
          <t>매봉리</t>
        </is>
      </c>
      <c r="H308" s="3" t="inlineStr">
        <is>
          <t>개발제한구역</t>
        </is>
      </c>
      <c r="I308" s="3" t="inlineStr">
        <is>
          <t>대</t>
        </is>
      </c>
      <c r="J308" s="3" t="inlineStr">
        <is>
          <t>현도면</t>
        </is>
      </c>
    </row>
    <row r="309">
      <c r="A309" s="3" t="n">
        <v>2026</v>
      </c>
      <c r="B309" s="4" t="n">
        <v>350</v>
      </c>
      <c r="C309" s="4" t="n">
        <v>320</v>
      </c>
      <c r="D309" s="4" t="n">
        <v>96.8</v>
      </c>
      <c r="E309" s="5" t="n">
        <v>3.6</v>
      </c>
      <c r="F309" s="3" t="inlineStr">
        <is>
          <t>현도면</t>
        </is>
      </c>
      <c r="G309" s="3" t="inlineStr">
        <is>
          <t>시동리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현도면</t>
        </is>
      </c>
    </row>
    <row r="310">
      <c r="A310" s="3" t="n">
        <v>2026</v>
      </c>
      <c r="B310" s="4" t="n">
        <v>7345</v>
      </c>
      <c r="C310" s="4" t="n">
        <v>639</v>
      </c>
      <c r="D310" s="4" t="n">
        <v>193.2975</v>
      </c>
      <c r="E310" s="5" t="n">
        <v>38</v>
      </c>
      <c r="F310" s="3" t="inlineStr">
        <is>
          <t>남이면</t>
        </is>
      </c>
      <c r="G310" s="3" t="inlineStr">
        <is>
          <t>팔봉리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44778</v>
      </c>
      <c r="C311" s="4" t="n">
        <v>5521</v>
      </c>
      <c r="D311" s="4" t="n">
        <v>1670.1025</v>
      </c>
      <c r="E311" s="5" t="n">
        <v>26.8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자연녹지지역</t>
        </is>
      </c>
      <c r="I311" s="3" t="inlineStr">
        <is>
          <t>전</t>
        </is>
      </c>
      <c r="J311" s="3" t="inlineStr">
        <is>
          <t>남이면</t>
        </is>
      </c>
    </row>
    <row r="312">
      <c r="A312" s="3" t="n">
        <v>2026</v>
      </c>
      <c r="B312" s="4" t="n">
        <v>29782</v>
      </c>
      <c r="C312" s="4" t="n">
        <v>2321</v>
      </c>
      <c r="D312" s="4" t="n">
        <v>702.1025</v>
      </c>
      <c r="E312" s="5" t="n">
        <v>42.4</v>
      </c>
      <c r="F312" s="3" t="inlineStr">
        <is>
          <t>남이면</t>
        </is>
      </c>
      <c r="G312" s="3" t="inlineStr">
        <is>
          <t>구미리</t>
        </is>
      </c>
      <c r="H312" s="3" t="inlineStr">
        <is>
          <t>계획관리지역</t>
        </is>
      </c>
      <c r="I312" s="3" t="inlineStr">
        <is>
          <t>공장용지</t>
        </is>
      </c>
      <c r="J312" s="3" t="inlineStr">
        <is>
          <t>남이면</t>
        </is>
      </c>
    </row>
    <row r="313">
      <c r="A313" s="3" t="n">
        <v>2026</v>
      </c>
      <c r="B313" s="4" t="n">
        <v>16183</v>
      </c>
      <c r="C313" s="4" t="n">
        <v>1210</v>
      </c>
      <c r="D313" s="4" t="n">
        <v>366.025</v>
      </c>
      <c r="E313" s="5" t="n">
        <v>44.2</v>
      </c>
      <c r="F313" s="3" t="inlineStr">
        <is>
          <t>남이면</t>
        </is>
      </c>
      <c r="G313" s="3" t="inlineStr">
        <is>
          <t>구미리</t>
        </is>
      </c>
      <c r="H313" s="3" t="inlineStr">
        <is>
          <t>계획관리지역</t>
        </is>
      </c>
      <c r="I313" s="3" t="inlineStr">
        <is>
          <t>공장용지</t>
        </is>
      </c>
      <c r="J313" s="3" t="inlineStr">
        <is>
          <t>남이면</t>
        </is>
      </c>
    </row>
    <row r="314">
      <c r="A314" s="3" t="n">
        <v>2026</v>
      </c>
      <c r="B314" s="4" t="n">
        <v>70257</v>
      </c>
      <c r="C314" s="4" t="n">
        <v>5253</v>
      </c>
      <c r="D314" s="4" t="n">
        <v>1589.0325</v>
      </c>
      <c r="E314" s="5" t="n">
        <v>44.2</v>
      </c>
      <c r="F314" s="3" t="inlineStr">
        <is>
          <t>남이면</t>
        </is>
      </c>
      <c r="G314" s="3" t="inlineStr">
        <is>
          <t>구미리</t>
        </is>
      </c>
      <c r="H314" s="3" t="inlineStr">
        <is>
          <t>계획관리지역</t>
        </is>
      </c>
      <c r="I314" s="3" t="inlineStr">
        <is>
          <t>공장용지</t>
        </is>
      </c>
      <c r="J314" s="3" t="inlineStr">
        <is>
          <t>남이면</t>
        </is>
      </c>
    </row>
    <row r="315">
      <c r="A315" s="3" t="n">
        <v>2026</v>
      </c>
      <c r="B315" s="4" t="n">
        <v>197</v>
      </c>
      <c r="C315" s="4" t="n">
        <v>100</v>
      </c>
      <c r="D315" s="4" t="n">
        <v>30.25</v>
      </c>
      <c r="E315" s="5" t="n">
        <v>6.5</v>
      </c>
      <c r="F315" s="3" t="inlineStr">
        <is>
          <t>남이면</t>
        </is>
      </c>
      <c r="G315" s="3" t="inlineStr">
        <is>
          <t>구미리</t>
        </is>
      </c>
      <c r="H315" s="3" t="inlineStr">
        <is>
          <t>계획관리지역</t>
        </is>
      </c>
      <c r="I315" s="3" t="inlineStr">
        <is>
          <t>임야</t>
        </is>
      </c>
      <c r="J315" s="3" t="inlineStr">
        <is>
          <t>남이면</t>
        </is>
      </c>
    </row>
    <row r="316">
      <c r="A316" s="3" t="n">
        <v>2026</v>
      </c>
      <c r="B316" s="4" t="n">
        <v>4000</v>
      </c>
      <c r="C316" s="4" t="n">
        <v>232</v>
      </c>
      <c r="D316" s="4" t="n">
        <v>70.17999999999999</v>
      </c>
      <c r="E316" s="5" t="n">
        <v>57</v>
      </c>
      <c r="F316" s="3" t="inlineStr">
        <is>
          <t>남이면</t>
        </is>
      </c>
      <c r="G316" s="3" t="inlineStr">
        <is>
          <t>외천리</t>
        </is>
      </c>
      <c r="H316" s="3" t="inlineStr">
        <is>
          <t>계획관리지역</t>
        </is>
      </c>
      <c r="I316" s="3" t="inlineStr">
        <is>
          <t>대</t>
        </is>
      </c>
      <c r="J316" s="3" t="inlineStr">
        <is>
          <t>남이면</t>
        </is>
      </c>
    </row>
    <row r="317">
      <c r="A317" s="3" t="n">
        <v>2026</v>
      </c>
      <c r="B317" s="4" t="n">
        <v>10000</v>
      </c>
      <c r="C317" s="4" t="n">
        <v>338</v>
      </c>
      <c r="D317" s="4" t="n">
        <v>102.245</v>
      </c>
      <c r="E317" s="5" t="n">
        <v>97.8</v>
      </c>
      <c r="F317" s="3" t="inlineStr">
        <is>
          <t>현도면</t>
        </is>
      </c>
      <c r="G317" s="3" t="inlineStr">
        <is>
          <t>죽전리</t>
        </is>
      </c>
      <c r="H317" s="3" t="inlineStr">
        <is>
          <t>생산관리지역</t>
        </is>
      </c>
      <c r="I317" s="3" t="inlineStr">
        <is>
          <t>전</t>
        </is>
      </c>
      <c r="J317" s="3" t="inlineStr">
        <is>
          <t>현도면</t>
        </is>
      </c>
    </row>
    <row r="318">
      <c r="A318" s="3" t="n">
        <v>2026</v>
      </c>
      <c r="B318" s="4" t="n">
        <v>5700</v>
      </c>
      <c r="C318" s="4" t="n">
        <v>428</v>
      </c>
      <c r="D318" s="4" t="n">
        <v>129.47</v>
      </c>
      <c r="E318" s="5" t="n">
        <v>44</v>
      </c>
      <c r="F318" s="3" t="inlineStr">
        <is>
          <t>현도면</t>
        </is>
      </c>
      <c r="G318" s="3" t="inlineStr">
        <is>
          <t>상삼리</t>
        </is>
      </c>
      <c r="H318" s="3" t="inlineStr">
        <is>
          <t>계획관리지역</t>
        </is>
      </c>
      <c r="I318" s="3" t="inlineStr">
        <is>
          <t>창고용지</t>
        </is>
      </c>
      <c r="J318" s="3" t="inlineStr">
        <is>
          <t>현도면</t>
        </is>
      </c>
    </row>
    <row r="319">
      <c r="A319" s="3" t="n">
        <v>2026</v>
      </c>
      <c r="B319" s="4" t="n">
        <v>12000</v>
      </c>
      <c r="C319" s="4" t="n">
        <v>2478</v>
      </c>
      <c r="D319" s="4" t="n">
        <v>749.595</v>
      </c>
      <c r="E319" s="5" t="n">
        <v>16</v>
      </c>
      <c r="F319" s="3" t="inlineStr">
        <is>
          <t>현도면</t>
        </is>
      </c>
      <c r="G319" s="3" t="inlineStr">
        <is>
          <t>상삼리</t>
        </is>
      </c>
      <c r="H319" s="3" t="inlineStr">
        <is>
          <t>계획관리지역</t>
        </is>
      </c>
      <c r="I319" s="3" t="inlineStr">
        <is>
          <t>임야</t>
        </is>
      </c>
      <c r="J319" s="3" t="inlineStr">
        <is>
          <t>현도면</t>
        </is>
      </c>
    </row>
    <row r="320">
      <c r="A320" s="3" t="n">
        <v>2024</v>
      </c>
      <c r="B320" s="4" t="n">
        <v>30000</v>
      </c>
      <c r="C320" s="4" t="n">
        <v>344</v>
      </c>
      <c r="D320" s="4" t="n">
        <v>104.06</v>
      </c>
      <c r="E320" s="5" t="n">
        <v>288.3</v>
      </c>
      <c r="F320" s="3" t="inlineStr">
        <is>
          <t>조치원읍</t>
        </is>
      </c>
      <c r="G320" s="3" t="inlineStr">
        <is>
          <t>신안리</t>
        </is>
      </c>
      <c r="H320" s="3" t="inlineStr">
        <is>
          <t>제1종일반주거지역</t>
        </is>
      </c>
      <c r="I320" s="3" t="inlineStr">
        <is>
          <t>대</t>
        </is>
      </c>
      <c r="J320" s="3" t="inlineStr">
        <is>
          <t>조치원읍</t>
        </is>
      </c>
    </row>
    <row r="321">
      <c r="A321" s="3" t="n">
        <v>2025</v>
      </c>
      <c r="B321" s="4" t="n">
        <v>12000</v>
      </c>
      <c r="C321" s="4" t="n">
        <v>1237</v>
      </c>
      <c r="D321" s="4" t="n">
        <v>374.1925</v>
      </c>
      <c r="E321" s="5" t="n">
        <v>32.1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자연녹지지역</t>
        </is>
      </c>
      <c r="I321" s="3" t="inlineStr">
        <is>
          <t>임야</t>
        </is>
      </c>
      <c r="J321" s="3" t="inlineStr">
        <is>
          <t>연서면</t>
        </is>
      </c>
    </row>
    <row r="322">
      <c r="A322" s="3" t="n">
        <v>2026</v>
      </c>
      <c r="B322" s="4" t="n">
        <v>51500</v>
      </c>
      <c r="C322" s="4" t="n">
        <v>354</v>
      </c>
      <c r="D322" s="4" t="n">
        <v>107.085</v>
      </c>
      <c r="E322" s="5" t="n">
        <v>480.9</v>
      </c>
      <c r="F322" s="3" t="inlineStr">
        <is>
          <t>한솔동</t>
        </is>
      </c>
      <c r="G322" s="3" t="inlineStr"/>
      <c r="H322" s="3" t="inlineStr">
        <is>
          <t>제1종전용주거지역</t>
        </is>
      </c>
      <c r="I322" s="3" t="inlineStr">
        <is>
          <t>대</t>
        </is>
      </c>
      <c r="J322" s="3" t="inlineStr">
        <is>
          <t>한솔동</t>
        </is>
      </c>
    </row>
    <row r="323">
      <c r="A323" s="3" t="n">
        <v>2024</v>
      </c>
      <c r="B323" s="4" t="n">
        <v>40000</v>
      </c>
      <c r="C323" s="4" t="n">
        <v>1157</v>
      </c>
      <c r="D323" s="4" t="n">
        <v>349.9925</v>
      </c>
      <c r="E323" s="5" t="n">
        <v>114.3</v>
      </c>
      <c r="F323" s="3" t="inlineStr">
        <is>
          <t>장군면</t>
        </is>
      </c>
      <c r="G323" s="3" t="inlineStr">
        <is>
          <t>도계리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장군면</t>
        </is>
      </c>
    </row>
    <row r="324">
      <c r="A324" s="3" t="n">
        <v>2024</v>
      </c>
      <c r="B324" s="4" t="n">
        <v>24000</v>
      </c>
      <c r="C324" s="4" t="n">
        <v>60992</v>
      </c>
      <c r="D324" s="4" t="n">
        <v>18450.08</v>
      </c>
      <c r="E324" s="5" t="n">
        <v>1.3</v>
      </c>
      <c r="F324" s="3" t="inlineStr">
        <is>
          <t>금남면</t>
        </is>
      </c>
      <c r="G324" s="3" t="inlineStr">
        <is>
          <t>호탄리</t>
        </is>
      </c>
      <c r="H324" s="3" t="inlineStr">
        <is>
          <t>보전녹지지역</t>
        </is>
      </c>
      <c r="I324" s="3" t="inlineStr">
        <is>
          <t>임야</t>
        </is>
      </c>
      <c r="J324" s="3" t="inlineStr">
        <is>
          <t>금남면</t>
        </is>
      </c>
    </row>
    <row r="325">
      <c r="A325" s="3" t="n">
        <v>2024</v>
      </c>
      <c r="B325" s="4" t="n">
        <v>76500</v>
      </c>
      <c r="C325" s="4" t="n">
        <v>972</v>
      </c>
      <c r="D325" s="4" t="n">
        <v>294.03</v>
      </c>
      <c r="E325" s="5" t="n">
        <v>260.2</v>
      </c>
      <c r="F325" s="3" t="inlineStr">
        <is>
          <t>연서면</t>
        </is>
      </c>
      <c r="G325" s="3" t="inlineStr">
        <is>
          <t>월하리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연서면</t>
        </is>
      </c>
    </row>
    <row r="326">
      <c r="A326" s="3" t="n">
        <v>2024</v>
      </c>
      <c r="B326" s="4" t="n">
        <v>17000</v>
      </c>
      <c r="C326" s="4" t="n">
        <v>198</v>
      </c>
      <c r="D326" s="4" t="n">
        <v>59.895</v>
      </c>
      <c r="E326" s="5" t="n">
        <v>283.8</v>
      </c>
      <c r="F326" s="3" t="inlineStr">
        <is>
          <t>연서면</t>
        </is>
      </c>
      <c r="G326" s="3" t="inlineStr">
        <is>
          <t>월하리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연서면</t>
        </is>
      </c>
    </row>
    <row r="327">
      <c r="A327" s="3" t="n">
        <v>2024</v>
      </c>
      <c r="B327" s="4" t="n">
        <v>7000</v>
      </c>
      <c r="C327" s="4" t="n">
        <v>129</v>
      </c>
      <c r="D327" s="4" t="n">
        <v>39.0225</v>
      </c>
      <c r="E327" s="5" t="n">
        <v>179.4</v>
      </c>
      <c r="F327" s="3" t="inlineStr">
        <is>
          <t>연서면</t>
        </is>
      </c>
      <c r="G327" s="3" t="inlineStr">
        <is>
          <t>월하리</t>
        </is>
      </c>
      <c r="H327" s="3" t="inlineStr">
        <is>
          <t>자연녹지지역</t>
        </is>
      </c>
      <c r="I327" s="3" t="inlineStr">
        <is>
          <t>도로</t>
        </is>
      </c>
      <c r="J327" s="3" t="inlineStr">
        <is>
          <t>연서면</t>
        </is>
      </c>
    </row>
    <row r="328">
      <c r="A328" s="3" t="n">
        <v>2024</v>
      </c>
      <c r="B328" s="4" t="n">
        <v>60000</v>
      </c>
      <c r="C328" s="4" t="n">
        <v>2605</v>
      </c>
      <c r="D328" s="4" t="n">
        <v>788.0124999999999</v>
      </c>
      <c r="E328" s="5" t="n">
        <v>76.09999999999999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과수원</t>
        </is>
      </c>
      <c r="J328" s="3" t="inlineStr">
        <is>
          <t>연서면</t>
        </is>
      </c>
    </row>
    <row r="329">
      <c r="A329" s="3" t="n">
        <v>2024</v>
      </c>
      <c r="B329" s="4" t="n">
        <v>23300</v>
      </c>
      <c r="C329" s="4" t="n">
        <v>2262</v>
      </c>
      <c r="D329" s="4" t="n">
        <v>684.255</v>
      </c>
      <c r="E329" s="5" t="n">
        <v>34.1</v>
      </c>
      <c r="F329" s="3" t="inlineStr">
        <is>
          <t>전의면</t>
        </is>
      </c>
      <c r="G329" s="3" t="inlineStr">
        <is>
          <t>양곡리</t>
        </is>
      </c>
      <c r="H329" s="3" t="inlineStr">
        <is>
          <t>계획관리지역</t>
        </is>
      </c>
      <c r="I329" s="3" t="inlineStr">
        <is>
          <t>답</t>
        </is>
      </c>
      <c r="J329" s="3" t="inlineStr">
        <is>
          <t>전의면</t>
        </is>
      </c>
    </row>
    <row r="330">
      <c r="A330" s="3" t="n">
        <v>2024</v>
      </c>
      <c r="B330" s="4" t="n">
        <v>23940</v>
      </c>
      <c r="C330" s="4" t="n">
        <v>440</v>
      </c>
      <c r="D330" s="4" t="n">
        <v>133.1</v>
      </c>
      <c r="E330" s="5" t="n">
        <v>179.9</v>
      </c>
      <c r="F330" s="3" t="inlineStr">
        <is>
          <t>장군면</t>
        </is>
      </c>
      <c r="G330" s="3" t="inlineStr">
        <is>
          <t>금암리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장군면</t>
        </is>
      </c>
    </row>
    <row r="331">
      <c r="A331" s="3" t="n">
        <v>2024</v>
      </c>
      <c r="B331" s="4" t="n">
        <v>6500</v>
      </c>
      <c r="C331" s="4" t="n">
        <v>374</v>
      </c>
      <c r="D331" s="4" t="n">
        <v>113.135</v>
      </c>
      <c r="E331" s="5" t="n">
        <v>57.5</v>
      </c>
      <c r="F331" s="3" t="inlineStr">
        <is>
          <t>금남면</t>
        </is>
      </c>
      <c r="G331" s="3" t="inlineStr">
        <is>
          <t>성강리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금남면</t>
        </is>
      </c>
    </row>
    <row r="332">
      <c r="A332" s="3" t="n">
        <v>2024</v>
      </c>
      <c r="B332" s="4" t="n">
        <v>5000</v>
      </c>
      <c r="C332" s="4" t="n">
        <v>1651</v>
      </c>
      <c r="D332" s="4" t="n">
        <v>499.4275</v>
      </c>
      <c r="E332" s="5" t="n">
        <v>10</v>
      </c>
      <c r="F332" s="3" t="inlineStr">
        <is>
          <t>전동면</t>
        </is>
      </c>
      <c r="G332" s="3" t="inlineStr">
        <is>
          <t>봉대리</t>
        </is>
      </c>
      <c r="H332" s="3" t="inlineStr">
        <is>
          <t>보전관리지역</t>
        </is>
      </c>
      <c r="I332" s="3" t="inlineStr">
        <is>
          <t>임야</t>
        </is>
      </c>
      <c r="J332" s="3" t="inlineStr">
        <is>
          <t>전동면</t>
        </is>
      </c>
    </row>
    <row r="333">
      <c r="A333" s="3" t="n">
        <v>2024</v>
      </c>
      <c r="B333" s="4" t="n">
        <v>11858</v>
      </c>
      <c r="C333" s="4" t="n">
        <v>702</v>
      </c>
      <c r="D333" s="4" t="n">
        <v>212.355</v>
      </c>
      <c r="E333" s="5" t="n">
        <v>55.8</v>
      </c>
      <c r="F333" s="3" t="inlineStr">
        <is>
          <t>전동면</t>
        </is>
      </c>
      <c r="G333" s="3" t="inlineStr">
        <is>
          <t>보덕리</t>
        </is>
      </c>
      <c r="H333" s="3" t="inlineStr">
        <is>
          <t>보전관리지역</t>
        </is>
      </c>
      <c r="I333" s="3" t="inlineStr">
        <is>
          <t>전</t>
        </is>
      </c>
      <c r="J333" s="3" t="inlineStr">
        <is>
          <t>전동면</t>
        </is>
      </c>
    </row>
    <row r="334">
      <c r="A334" s="3" t="n">
        <v>2024</v>
      </c>
      <c r="B334" s="4" t="n">
        <v>27229</v>
      </c>
      <c r="C334" s="4" t="n">
        <v>1612</v>
      </c>
      <c r="D334" s="4" t="n">
        <v>487.63</v>
      </c>
      <c r="E334" s="5" t="n">
        <v>55.8</v>
      </c>
      <c r="F334" s="3" t="inlineStr">
        <is>
          <t>전동면</t>
        </is>
      </c>
      <c r="G334" s="3" t="inlineStr">
        <is>
          <t>보덕리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전동면</t>
        </is>
      </c>
    </row>
    <row r="335">
      <c r="A335" s="3" t="n">
        <v>2024</v>
      </c>
      <c r="B335" s="4" t="n">
        <v>41000</v>
      </c>
      <c r="C335" s="4" t="n">
        <v>991</v>
      </c>
      <c r="D335" s="4" t="n">
        <v>299.7775</v>
      </c>
      <c r="E335" s="5" t="n">
        <v>136.8</v>
      </c>
      <c r="F335" s="3" t="inlineStr">
        <is>
          <t>장군면</t>
        </is>
      </c>
      <c r="G335" s="3" t="inlineStr">
        <is>
          <t>산학리</t>
        </is>
      </c>
      <c r="H335" s="3" t="inlineStr">
        <is>
          <t>계획관리지역</t>
        </is>
      </c>
      <c r="I335" s="3" t="inlineStr">
        <is>
          <t>답</t>
        </is>
      </c>
      <c r="J335" s="3" t="inlineStr">
        <is>
          <t>장군면</t>
        </is>
      </c>
    </row>
    <row r="336">
      <c r="A336" s="3" t="n">
        <v>2024</v>
      </c>
      <c r="B336" s="4" t="n">
        <v>55800</v>
      </c>
      <c r="C336" s="4" t="n">
        <v>2460</v>
      </c>
      <c r="D336" s="4" t="n">
        <v>744.15</v>
      </c>
      <c r="E336" s="5" t="n">
        <v>75</v>
      </c>
      <c r="F336" s="3" t="inlineStr">
        <is>
          <t>장군면</t>
        </is>
      </c>
      <c r="G336" s="3" t="inlineStr">
        <is>
          <t>봉안리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장군면</t>
        </is>
      </c>
    </row>
    <row r="337">
      <c r="A337" s="3" t="n">
        <v>2024</v>
      </c>
      <c r="B337" s="4" t="n">
        <v>69570</v>
      </c>
      <c r="C337" s="4" t="n">
        <v>2555</v>
      </c>
      <c r="D337" s="4" t="n">
        <v>772.8874999999999</v>
      </c>
      <c r="E337" s="5" t="n">
        <v>90</v>
      </c>
      <c r="F337" s="3" t="inlineStr">
        <is>
          <t>전동면</t>
        </is>
      </c>
      <c r="G337" s="3" t="inlineStr">
        <is>
          <t>미곡리</t>
        </is>
      </c>
      <c r="H337" s="3" t="inlineStr">
        <is>
          <t>생산관리지역</t>
        </is>
      </c>
      <c r="I337" s="3" t="inlineStr">
        <is>
          <t>답</t>
        </is>
      </c>
      <c r="J337" s="3" t="inlineStr">
        <is>
          <t>전동면</t>
        </is>
      </c>
    </row>
    <row r="338">
      <c r="A338" s="3" t="n">
        <v>2024</v>
      </c>
      <c r="B338" s="4" t="n">
        <v>27180</v>
      </c>
      <c r="C338" s="4" t="n">
        <v>998</v>
      </c>
      <c r="D338" s="4" t="n">
        <v>301.895</v>
      </c>
      <c r="E338" s="5" t="n">
        <v>90</v>
      </c>
      <c r="F338" s="3" t="inlineStr">
        <is>
          <t>전동면</t>
        </is>
      </c>
      <c r="G338" s="3" t="inlineStr">
        <is>
          <t>미곡리</t>
        </is>
      </c>
      <c r="H338" s="3" t="inlineStr">
        <is>
          <t>생산관리지역</t>
        </is>
      </c>
      <c r="I338" s="3" t="inlineStr">
        <is>
          <t>답</t>
        </is>
      </c>
      <c r="J338" s="3" t="inlineStr">
        <is>
          <t>전동면</t>
        </is>
      </c>
    </row>
    <row r="339">
      <c r="A339" s="3" t="n">
        <v>2024</v>
      </c>
      <c r="B339" s="4" t="n">
        <v>19000</v>
      </c>
      <c r="C339" s="4" t="n">
        <v>1415</v>
      </c>
      <c r="D339" s="4" t="n">
        <v>428.0375</v>
      </c>
      <c r="E339" s="5" t="n">
        <v>44.4</v>
      </c>
      <c r="F339" s="3" t="inlineStr">
        <is>
          <t>전동면</t>
        </is>
      </c>
      <c r="G339" s="3" t="inlineStr">
        <is>
          <t>송곡리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전동면</t>
        </is>
      </c>
    </row>
    <row r="340">
      <c r="A340" s="3" t="n">
        <v>2024</v>
      </c>
      <c r="B340" s="4" t="n">
        <v>30000</v>
      </c>
      <c r="C340" s="4" t="n">
        <v>1010</v>
      </c>
      <c r="D340" s="4" t="n">
        <v>305.525</v>
      </c>
      <c r="E340" s="5" t="n">
        <v>98.2</v>
      </c>
      <c r="F340" s="3" t="inlineStr">
        <is>
          <t>연서면</t>
        </is>
      </c>
      <c r="G340" s="3" t="inlineStr">
        <is>
          <t>신대리</t>
        </is>
      </c>
      <c r="H340" s="3" t="inlineStr">
        <is>
          <t>생산관리지역</t>
        </is>
      </c>
      <c r="I340" s="3" t="inlineStr">
        <is>
          <t>답</t>
        </is>
      </c>
      <c r="J340" s="3" t="inlineStr">
        <is>
          <t>연서면</t>
        </is>
      </c>
    </row>
    <row r="341">
      <c r="A341" s="3" t="n">
        <v>2024</v>
      </c>
      <c r="B341" s="4" t="n">
        <v>30000</v>
      </c>
      <c r="C341" s="4" t="n">
        <v>1010</v>
      </c>
      <c r="D341" s="4" t="n">
        <v>305.525</v>
      </c>
      <c r="E341" s="5" t="n">
        <v>98.2</v>
      </c>
      <c r="F341" s="3" t="inlineStr">
        <is>
          <t>연서면</t>
        </is>
      </c>
      <c r="G341" s="3" t="inlineStr">
        <is>
          <t>신대리</t>
        </is>
      </c>
      <c r="H341" s="3" t="inlineStr">
        <is>
          <t>생산관리지역</t>
        </is>
      </c>
      <c r="I341" s="3" t="inlineStr">
        <is>
          <t>답</t>
        </is>
      </c>
      <c r="J341" s="3" t="inlineStr">
        <is>
          <t>연서면</t>
        </is>
      </c>
    </row>
    <row r="342">
      <c r="A342" s="3" t="n">
        <v>2024</v>
      </c>
      <c r="B342" s="4" t="n">
        <v>47500</v>
      </c>
      <c r="C342" s="4" t="n">
        <v>1550</v>
      </c>
      <c r="D342" s="4" t="n">
        <v>468.875</v>
      </c>
      <c r="E342" s="5" t="n">
        <v>101.3</v>
      </c>
      <c r="F342" s="3" t="inlineStr">
        <is>
          <t>금남면</t>
        </is>
      </c>
      <c r="G342" s="3" t="inlineStr">
        <is>
          <t>두만리</t>
        </is>
      </c>
      <c r="H342" s="3" t="inlineStr">
        <is>
          <t>개발제한구역</t>
        </is>
      </c>
      <c r="I342" s="3" t="inlineStr">
        <is>
          <t>전</t>
        </is>
      </c>
      <c r="J342" s="3" t="inlineStr">
        <is>
          <t>금남면</t>
        </is>
      </c>
    </row>
    <row r="343">
      <c r="A343" s="3" t="n">
        <v>2024</v>
      </c>
      <c r="B343" s="4" t="n">
        <v>6210</v>
      </c>
      <c r="C343" s="4" t="n">
        <v>1770</v>
      </c>
      <c r="D343" s="4" t="n">
        <v>535.425</v>
      </c>
      <c r="E343" s="5" t="n">
        <v>11.6</v>
      </c>
      <c r="F343" s="3" t="inlineStr">
        <is>
          <t>금남면</t>
        </is>
      </c>
      <c r="G343" s="3" t="inlineStr">
        <is>
          <t>두만리</t>
        </is>
      </c>
      <c r="H343" s="3" t="inlineStr">
        <is>
          <t>개발제한구역</t>
        </is>
      </c>
      <c r="I343" s="3" t="inlineStr">
        <is>
          <t>임야</t>
        </is>
      </c>
      <c r="J343" s="3" t="inlineStr">
        <is>
          <t>금남면</t>
        </is>
      </c>
    </row>
    <row r="344">
      <c r="A344" s="3" t="n">
        <v>2024</v>
      </c>
      <c r="B344" s="4" t="n">
        <v>290</v>
      </c>
      <c r="C344" s="4" t="n">
        <v>104</v>
      </c>
      <c r="D344" s="4" t="n">
        <v>31.46</v>
      </c>
      <c r="E344" s="5" t="n">
        <v>9.199999999999999</v>
      </c>
      <c r="F344" s="3" t="inlineStr">
        <is>
          <t>금남면</t>
        </is>
      </c>
      <c r="G344" s="3" t="inlineStr">
        <is>
          <t>두만리</t>
        </is>
      </c>
      <c r="H344" s="3" t="inlineStr">
        <is>
          <t>개발제한구역</t>
        </is>
      </c>
      <c r="I344" s="3" t="inlineStr">
        <is>
          <t>임야</t>
        </is>
      </c>
      <c r="J344" s="3" t="inlineStr">
        <is>
          <t>금남면</t>
        </is>
      </c>
    </row>
    <row r="345">
      <c r="A345" s="3" t="n">
        <v>2024</v>
      </c>
      <c r="B345" s="4" t="n">
        <v>8000</v>
      </c>
      <c r="C345" s="4" t="n">
        <v>783</v>
      </c>
      <c r="D345" s="4" t="n">
        <v>236.8575</v>
      </c>
      <c r="E345" s="5" t="n">
        <v>33.8</v>
      </c>
      <c r="F345" s="3" t="inlineStr">
        <is>
          <t>금남면</t>
        </is>
      </c>
      <c r="G345" s="3" t="inlineStr">
        <is>
          <t>용담리</t>
        </is>
      </c>
      <c r="H345" s="3" t="inlineStr">
        <is>
          <t>개발제한구역</t>
        </is>
      </c>
      <c r="I345" s="3" t="inlineStr">
        <is>
          <t>묘지</t>
        </is>
      </c>
      <c r="J345" s="3" t="inlineStr">
        <is>
          <t>금남면</t>
        </is>
      </c>
    </row>
    <row r="346">
      <c r="A346" s="3" t="n">
        <v>2024</v>
      </c>
      <c r="B346" s="4" t="n">
        <v>68780</v>
      </c>
      <c r="C346" s="4" t="n">
        <v>857</v>
      </c>
      <c r="D346" s="4" t="n">
        <v>259.2425</v>
      </c>
      <c r="E346" s="5" t="n">
        <v>265.3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2026</v>
      </c>
      <c r="B347" s="4" t="n">
        <v>209</v>
      </c>
      <c r="C347" s="4" t="n">
        <v>9</v>
      </c>
      <c r="D347" s="4" t="n">
        <v>2.7225</v>
      </c>
      <c r="E347" s="5" t="n">
        <v>76.8</v>
      </c>
      <c r="F347" s="3" t="inlineStr">
        <is>
          <t>남이면</t>
        </is>
      </c>
      <c r="G347" s="3" t="inlineStr">
        <is>
          <t>부용외천리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남이면</t>
        </is>
      </c>
    </row>
    <row r="348">
      <c r="A348" s="3" t="n">
        <v>2026</v>
      </c>
      <c r="B348" s="4" t="n">
        <v>25000</v>
      </c>
      <c r="C348" s="4" t="n">
        <v>1826</v>
      </c>
      <c r="D348" s="4" t="n">
        <v>552.365</v>
      </c>
      <c r="E348" s="5" t="n">
        <v>45.3</v>
      </c>
      <c r="F348" s="3" t="inlineStr">
        <is>
          <t>남이면</t>
        </is>
      </c>
      <c r="G348" s="3" t="inlineStr">
        <is>
          <t>구암리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2000</v>
      </c>
      <c r="C349" s="4" t="n">
        <v>594.3</v>
      </c>
      <c r="D349" s="4" t="n">
        <v>179.77575</v>
      </c>
      <c r="E349" s="5" t="n">
        <v>11.1</v>
      </c>
      <c r="F349" s="3" t="inlineStr">
        <is>
          <t>현도면</t>
        </is>
      </c>
      <c r="G349" s="3" t="inlineStr">
        <is>
          <t>노산리</t>
        </is>
      </c>
      <c r="H349" s="3" t="inlineStr">
        <is>
          <t>제1종일반주거지역</t>
        </is>
      </c>
      <c r="I349" s="3" t="inlineStr">
        <is>
          <t>임야</t>
        </is>
      </c>
      <c r="J349" s="3" t="inlineStr">
        <is>
          <t>현도면</t>
        </is>
      </c>
    </row>
    <row r="350">
      <c r="A350" s="3" t="n">
        <v>2026</v>
      </c>
      <c r="B350" s="4" t="n">
        <v>56600</v>
      </c>
      <c r="C350" s="4" t="n">
        <v>4982</v>
      </c>
      <c r="D350" s="4" t="n">
        <v>1507.055</v>
      </c>
      <c r="E350" s="5" t="n">
        <v>37.6</v>
      </c>
      <c r="F350" s="3" t="inlineStr">
        <is>
          <t>남이면</t>
        </is>
      </c>
      <c r="G350" s="3" t="inlineStr">
        <is>
          <t>구미리</t>
        </is>
      </c>
      <c r="H350" s="3" t="inlineStr">
        <is>
          <t>보전관리지역</t>
        </is>
      </c>
      <c r="I350" s="3" t="inlineStr">
        <is>
          <t>대</t>
        </is>
      </c>
      <c r="J350" s="3" t="inlineStr">
        <is>
          <t>남이면</t>
        </is>
      </c>
    </row>
    <row r="351">
      <c r="A351" s="3" t="n">
        <v>2026</v>
      </c>
      <c r="B351" s="4" t="n">
        <v>13900</v>
      </c>
      <c r="C351" s="4" t="n">
        <v>2003</v>
      </c>
      <c r="D351" s="4" t="n">
        <v>605.9075</v>
      </c>
      <c r="E351" s="5" t="n">
        <v>22.9</v>
      </c>
      <c r="F351" s="3" t="inlineStr">
        <is>
          <t>남이면</t>
        </is>
      </c>
      <c r="G351" s="3" t="inlineStr">
        <is>
          <t>부용외천리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남이면</t>
        </is>
      </c>
    </row>
    <row r="352">
      <c r="A352" s="3" t="n">
        <v>2026</v>
      </c>
      <c r="B352" s="4" t="n">
        <v>17870</v>
      </c>
      <c r="C352" s="4" t="n">
        <v>591</v>
      </c>
      <c r="D352" s="4" t="n">
        <v>178.7775</v>
      </c>
      <c r="E352" s="5" t="n">
        <v>100</v>
      </c>
      <c r="F352" s="3" t="inlineStr">
        <is>
          <t>남이면</t>
        </is>
      </c>
      <c r="G352" s="3" t="inlineStr">
        <is>
          <t>구암리</t>
        </is>
      </c>
      <c r="H352" s="3" t="inlineStr">
        <is>
          <t>자연녹지지역</t>
        </is>
      </c>
      <c r="I352" s="3" t="inlineStr">
        <is>
          <t>대</t>
        </is>
      </c>
      <c r="J352" s="3" t="inlineStr">
        <is>
          <t>남이면</t>
        </is>
      </c>
    </row>
    <row r="353">
      <c r="A353" s="3" t="n">
        <v>2026</v>
      </c>
      <c r="B353" s="4" t="n">
        <v>18500</v>
      </c>
      <c r="C353" s="4" t="n">
        <v>1564.2</v>
      </c>
      <c r="D353" s="4" t="n">
        <v>473.1705</v>
      </c>
      <c r="E353" s="5" t="n">
        <v>39.1</v>
      </c>
      <c r="F353" s="3" t="inlineStr">
        <is>
          <t>남이면</t>
        </is>
      </c>
      <c r="G353" s="3" t="inlineStr">
        <is>
          <t>대련리</t>
        </is>
      </c>
      <c r="H353" s="3" t="inlineStr">
        <is>
          <t>자연녹지지역</t>
        </is>
      </c>
      <c r="I353" s="3" t="inlineStr">
        <is>
          <t>전</t>
        </is>
      </c>
      <c r="J353" s="3" t="inlineStr">
        <is>
          <t>남이면</t>
        </is>
      </c>
    </row>
    <row r="354">
      <c r="A354" s="3" t="n">
        <v>2026</v>
      </c>
      <c r="B354" s="4" t="n">
        <v>1500</v>
      </c>
      <c r="C354" s="4" t="n">
        <v>200</v>
      </c>
      <c r="D354" s="4" t="n">
        <v>60.5</v>
      </c>
      <c r="E354" s="5" t="n">
        <v>24.8</v>
      </c>
      <c r="F354" s="3" t="inlineStr">
        <is>
          <t>현도면</t>
        </is>
      </c>
      <c r="G354" s="3" t="inlineStr">
        <is>
          <t>달계리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현도면</t>
        </is>
      </c>
    </row>
    <row r="355">
      <c r="A355" s="3" t="n">
        <v>2026</v>
      </c>
      <c r="B355" s="4" t="n">
        <v>44000</v>
      </c>
      <c r="C355" s="4" t="n">
        <v>4893</v>
      </c>
      <c r="D355" s="4" t="n">
        <v>1480.1325</v>
      </c>
      <c r="E355" s="5" t="n">
        <v>29.7</v>
      </c>
      <c r="F355" s="3" t="inlineStr">
        <is>
          <t>남이면</t>
        </is>
      </c>
      <c r="G355" s="3" t="inlineStr">
        <is>
          <t>척산리</t>
        </is>
      </c>
      <c r="H355" s="3" t="inlineStr">
        <is>
          <t>생산관리지역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32418</v>
      </c>
      <c r="C356" s="4" t="n">
        <v>1521</v>
      </c>
      <c r="D356" s="4" t="n">
        <v>460.1025</v>
      </c>
      <c r="E356" s="5" t="n">
        <v>70.5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13129</v>
      </c>
      <c r="C357" s="4" t="n">
        <v>618</v>
      </c>
      <c r="D357" s="4" t="n">
        <v>186.945</v>
      </c>
      <c r="E357" s="5" t="n">
        <v>70.2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남이면</t>
        </is>
      </c>
    </row>
    <row r="358">
      <c r="A358" s="3" t="n">
        <v>2026</v>
      </c>
      <c r="B358" s="4" t="n">
        <v>1373</v>
      </c>
      <c r="C358" s="4" t="n">
        <v>65</v>
      </c>
      <c r="D358" s="4" t="n">
        <v>19.6625</v>
      </c>
      <c r="E358" s="5" t="n">
        <v>69.8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2026</v>
      </c>
      <c r="B359" s="4" t="n">
        <v>211</v>
      </c>
      <c r="C359" s="4" t="n">
        <v>83</v>
      </c>
      <c r="D359" s="4" t="n">
        <v>25.1075</v>
      </c>
      <c r="E359" s="5" t="n">
        <v>8.4</v>
      </c>
      <c r="F359" s="3" t="inlineStr">
        <is>
          <t>남이면</t>
        </is>
      </c>
      <c r="G359" s="3" t="inlineStr">
        <is>
          <t>상발리</t>
        </is>
      </c>
      <c r="H359" s="3" t="inlineStr">
        <is>
          <t>자연녹지지역</t>
        </is>
      </c>
      <c r="I359" s="3" t="inlineStr">
        <is>
          <t>도로</t>
        </is>
      </c>
      <c r="J359" s="3" t="inlineStr">
        <is>
          <t>남이면</t>
        </is>
      </c>
    </row>
    <row r="360">
      <c r="A360" s="3" t="n">
        <v>2026</v>
      </c>
      <c r="B360" s="4" t="n">
        <v>53</v>
      </c>
      <c r="C360" s="4" t="n">
        <v>19</v>
      </c>
      <c r="D360" s="4" t="n">
        <v>5.7475</v>
      </c>
      <c r="E360" s="5" t="n">
        <v>9.199999999999999</v>
      </c>
      <c r="F360" s="3" t="inlineStr">
        <is>
          <t>남이면</t>
        </is>
      </c>
      <c r="G360" s="3" t="inlineStr">
        <is>
          <t>상발리</t>
        </is>
      </c>
      <c r="H360" s="3" t="inlineStr">
        <is>
          <t>자연녹지지역</t>
        </is>
      </c>
      <c r="I360" s="3" t="inlineStr">
        <is>
          <t>도로</t>
        </is>
      </c>
      <c r="J360" s="3" t="inlineStr">
        <is>
          <t>남이면</t>
        </is>
      </c>
    </row>
    <row r="361">
      <c r="A361" s="3" t="n">
        <v>2026</v>
      </c>
      <c r="B361" s="4" t="n">
        <v>106</v>
      </c>
      <c r="C361" s="4" t="n">
        <v>37</v>
      </c>
      <c r="D361" s="4" t="n">
        <v>11.1925</v>
      </c>
      <c r="E361" s="5" t="n">
        <v>9.5</v>
      </c>
      <c r="F361" s="3" t="inlineStr">
        <is>
          <t>남이면</t>
        </is>
      </c>
      <c r="G361" s="3" t="inlineStr">
        <is>
          <t>상발리</t>
        </is>
      </c>
      <c r="H361" s="3" t="inlineStr">
        <is>
          <t>자연녹지지역</t>
        </is>
      </c>
      <c r="I361" s="3" t="inlineStr">
        <is>
          <t>도로</t>
        </is>
      </c>
      <c r="J361" s="3" t="inlineStr">
        <is>
          <t>남이면</t>
        </is>
      </c>
    </row>
    <row r="362">
      <c r="A362" s="3" t="n">
        <v>2026</v>
      </c>
      <c r="B362" s="4" t="n">
        <v>810</v>
      </c>
      <c r="C362" s="4" t="n">
        <v>37</v>
      </c>
      <c r="D362" s="4" t="n">
        <v>11.1925</v>
      </c>
      <c r="E362" s="5" t="n">
        <v>72.40000000000001</v>
      </c>
      <c r="F362" s="3" t="inlineStr">
        <is>
          <t>남이면</t>
        </is>
      </c>
      <c r="G362" s="3" t="inlineStr">
        <is>
          <t>상발리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32418</v>
      </c>
      <c r="C363" s="4" t="n">
        <v>1521</v>
      </c>
      <c r="D363" s="4" t="n">
        <v>460.1025</v>
      </c>
      <c r="E363" s="5" t="n">
        <v>70.5</v>
      </c>
      <c r="F363" s="3" t="inlineStr">
        <is>
          <t>남이면</t>
        </is>
      </c>
      <c r="G363" s="3" t="inlineStr">
        <is>
          <t>상발리</t>
        </is>
      </c>
      <c r="H363" s="3" t="inlineStr">
        <is>
          <t>자연녹지지역</t>
        </is>
      </c>
      <c r="I363" s="3" t="inlineStr">
        <is>
          <t>답</t>
        </is>
      </c>
      <c r="J363" s="3" t="inlineStr">
        <is>
          <t>남이면</t>
        </is>
      </c>
    </row>
    <row r="364">
      <c r="A364" s="3" t="n">
        <v>2026</v>
      </c>
      <c r="B364" s="4" t="n">
        <v>13129</v>
      </c>
      <c r="C364" s="4" t="n">
        <v>618</v>
      </c>
      <c r="D364" s="4" t="n">
        <v>186.945</v>
      </c>
      <c r="E364" s="5" t="n">
        <v>70.2</v>
      </c>
      <c r="F364" s="3" t="inlineStr">
        <is>
          <t>남이면</t>
        </is>
      </c>
      <c r="G364" s="3" t="inlineStr">
        <is>
          <t>상발리</t>
        </is>
      </c>
      <c r="H364" s="3" t="inlineStr">
        <is>
          <t>자연녹지지역</t>
        </is>
      </c>
      <c r="I364" s="3" t="inlineStr">
        <is>
          <t>답</t>
        </is>
      </c>
      <c r="J364" s="3" t="inlineStr">
        <is>
          <t>남이면</t>
        </is>
      </c>
    </row>
    <row r="365">
      <c r="A365" s="3" t="n">
        <v>2026</v>
      </c>
      <c r="B365" s="4" t="n">
        <v>1373</v>
      </c>
      <c r="C365" s="4" t="n">
        <v>65</v>
      </c>
      <c r="D365" s="4" t="n">
        <v>19.6625</v>
      </c>
      <c r="E365" s="5" t="n">
        <v>69.8</v>
      </c>
      <c r="F365" s="3" t="inlineStr">
        <is>
          <t>남이면</t>
        </is>
      </c>
      <c r="G365" s="3" t="inlineStr">
        <is>
          <t>상발리</t>
        </is>
      </c>
      <c r="H365" s="3" t="inlineStr">
        <is>
          <t>자연녹지지역</t>
        </is>
      </c>
      <c r="I365" s="3" t="inlineStr">
        <is>
          <t>답</t>
        </is>
      </c>
      <c r="J365" s="3" t="inlineStr">
        <is>
          <t>남이면</t>
        </is>
      </c>
    </row>
    <row r="366">
      <c r="A366" s="3" t="n">
        <v>2026</v>
      </c>
      <c r="B366" s="4" t="n">
        <v>211</v>
      </c>
      <c r="C366" s="4" t="n">
        <v>83</v>
      </c>
      <c r="D366" s="4" t="n">
        <v>25.1075</v>
      </c>
      <c r="E366" s="5" t="n">
        <v>8.4</v>
      </c>
      <c r="F366" s="3" t="inlineStr">
        <is>
          <t>남이면</t>
        </is>
      </c>
      <c r="G366" s="3" t="inlineStr">
        <is>
          <t>상발리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남이면</t>
        </is>
      </c>
    </row>
    <row r="367">
      <c r="A367" s="3" t="n">
        <v>2026</v>
      </c>
      <c r="B367" s="4" t="n">
        <v>53</v>
      </c>
      <c r="C367" s="4" t="n">
        <v>19</v>
      </c>
      <c r="D367" s="4" t="n">
        <v>5.7475</v>
      </c>
      <c r="E367" s="5" t="n">
        <v>9.199999999999999</v>
      </c>
      <c r="F367" s="3" t="inlineStr">
        <is>
          <t>남이면</t>
        </is>
      </c>
      <c r="G367" s="3" t="inlineStr">
        <is>
          <t>상발리</t>
        </is>
      </c>
      <c r="H367" s="3" t="inlineStr">
        <is>
          <t>자연녹지지역</t>
        </is>
      </c>
      <c r="I367" s="3" t="inlineStr">
        <is>
          <t>도로</t>
        </is>
      </c>
      <c r="J367" s="3" t="inlineStr">
        <is>
          <t>남이면</t>
        </is>
      </c>
    </row>
    <row r="368">
      <c r="A368" s="3" t="n">
        <v>2023</v>
      </c>
      <c r="B368" s="4" t="n">
        <v>9511</v>
      </c>
      <c r="C368" s="4" t="n">
        <v>893</v>
      </c>
      <c r="D368" s="4" t="n">
        <v>270.1325</v>
      </c>
      <c r="E368" s="5" t="n">
        <v>35.2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구거</t>
        </is>
      </c>
      <c r="J368" s="3" t="inlineStr">
        <is>
          <t>부강면</t>
        </is>
      </c>
    </row>
    <row r="369">
      <c r="A369" s="3" t="n">
        <v>2023</v>
      </c>
      <c r="B369" s="4" t="n">
        <v>2050</v>
      </c>
      <c r="C369" s="4" t="n">
        <v>55</v>
      </c>
      <c r="D369" s="4" t="n">
        <v>16.6375</v>
      </c>
      <c r="E369" s="5" t="n">
        <v>123.2</v>
      </c>
      <c r="F369" s="3" t="inlineStr">
        <is>
          <t>부강면</t>
        </is>
      </c>
      <c r="G369" s="3" t="inlineStr">
        <is>
          <t>부강리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2023</v>
      </c>
      <c r="B370" s="4" t="n">
        <v>3000</v>
      </c>
      <c r="C370" s="4" t="n">
        <v>1042</v>
      </c>
      <c r="D370" s="4" t="n">
        <v>315.205</v>
      </c>
      <c r="E370" s="5" t="n">
        <v>9.5</v>
      </c>
      <c r="F370" s="3" t="inlineStr">
        <is>
          <t>장군면</t>
        </is>
      </c>
      <c r="G370" s="3" t="inlineStr">
        <is>
          <t>산학리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2023</v>
      </c>
      <c r="B371" s="4" t="n">
        <v>31190</v>
      </c>
      <c r="C371" s="4" t="n">
        <v>2851</v>
      </c>
      <c r="D371" s="4" t="n">
        <v>862.4275</v>
      </c>
      <c r="E371" s="5" t="n">
        <v>36.2</v>
      </c>
      <c r="F371" s="3" t="inlineStr">
        <is>
          <t>금남면</t>
        </is>
      </c>
      <c r="G371" s="3" t="inlineStr">
        <is>
          <t>영대리</t>
        </is>
      </c>
      <c r="H371" s="3" t="inlineStr">
        <is>
          <t>개발제한구역</t>
        </is>
      </c>
      <c r="I371" s="3" t="inlineStr">
        <is>
          <t>답</t>
        </is>
      </c>
      <c r="J371" s="3" t="inlineStr">
        <is>
          <t>금남면</t>
        </is>
      </c>
    </row>
    <row r="372">
      <c r="A372" s="3" t="n">
        <v>2023</v>
      </c>
      <c r="B372" s="4" t="n">
        <v>1750</v>
      </c>
      <c r="C372" s="4" t="n">
        <v>171</v>
      </c>
      <c r="D372" s="4" t="n">
        <v>51.7275</v>
      </c>
      <c r="E372" s="5" t="n">
        <v>33.8</v>
      </c>
      <c r="F372" s="3" t="inlineStr">
        <is>
          <t>금남면</t>
        </is>
      </c>
      <c r="G372" s="3" t="inlineStr">
        <is>
          <t>영대리</t>
        </is>
      </c>
      <c r="H372" s="3" t="inlineStr">
        <is>
          <t>개발제한구역</t>
        </is>
      </c>
      <c r="I372" s="3" t="inlineStr">
        <is>
          <t>답</t>
        </is>
      </c>
      <c r="J372" s="3" t="inlineStr">
        <is>
          <t>금남면</t>
        </is>
      </c>
    </row>
    <row r="373">
      <c r="A373" s="3" t="n">
        <v>2023</v>
      </c>
      <c r="B373" s="4" t="n">
        <v>6000</v>
      </c>
      <c r="C373" s="4" t="n">
        <v>873</v>
      </c>
      <c r="D373" s="4" t="n">
        <v>264.0825</v>
      </c>
      <c r="E373" s="5" t="n">
        <v>22.7</v>
      </c>
      <c r="F373" s="3" t="inlineStr">
        <is>
          <t>장군면</t>
        </is>
      </c>
      <c r="G373" s="3" t="inlineStr">
        <is>
          <t>용암리</t>
        </is>
      </c>
      <c r="H373" s="3" t="inlineStr">
        <is>
          <t>생산관리지역</t>
        </is>
      </c>
      <c r="I373" s="3" t="inlineStr">
        <is>
          <t>전</t>
        </is>
      </c>
      <c r="J373" s="3" t="inlineStr">
        <is>
          <t>장군면</t>
        </is>
      </c>
    </row>
    <row r="374">
      <c r="A374" s="3" t="n">
        <v>2023</v>
      </c>
      <c r="B374" s="4" t="n">
        <v>41824</v>
      </c>
      <c r="C374" s="4" t="n">
        <v>289</v>
      </c>
      <c r="D374" s="4" t="n">
        <v>87.4225</v>
      </c>
      <c r="E374" s="5" t="n">
        <v>478.4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잡종지</t>
        </is>
      </c>
      <c r="J374" s="3" t="inlineStr">
        <is>
          <t>연동면</t>
        </is>
      </c>
    </row>
    <row r="375">
      <c r="A375" s="3" t="n">
        <v>2023</v>
      </c>
      <c r="B375" s="4" t="n">
        <v>45876</v>
      </c>
      <c r="C375" s="4" t="n">
        <v>317</v>
      </c>
      <c r="D375" s="4" t="n">
        <v>95.8925</v>
      </c>
      <c r="E375" s="5" t="n">
        <v>478.4</v>
      </c>
      <c r="F375" s="3" t="inlineStr">
        <is>
          <t>연동면</t>
        </is>
      </c>
      <c r="G375" s="3" t="inlineStr">
        <is>
          <t>명학리</t>
        </is>
      </c>
      <c r="H375" s="3" t="inlineStr">
        <is>
          <t>계획관리지역</t>
        </is>
      </c>
      <c r="I375" s="3" t="inlineStr">
        <is>
          <t>잡종지</t>
        </is>
      </c>
      <c r="J375" s="3" t="inlineStr">
        <is>
          <t>연동면</t>
        </is>
      </c>
    </row>
    <row r="376">
      <c r="A376" s="3" t="n">
        <v>2026</v>
      </c>
      <c r="B376" s="4" t="n">
        <v>18500</v>
      </c>
      <c r="C376" s="4" t="n">
        <v>1461</v>
      </c>
      <c r="D376" s="4" t="n">
        <v>441.9525</v>
      </c>
      <c r="E376" s="5" t="n">
        <v>41.9</v>
      </c>
      <c r="F376" s="3" t="inlineStr">
        <is>
          <t>남이면</t>
        </is>
      </c>
      <c r="G376" s="3" t="inlineStr">
        <is>
          <t>외천리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남이면</t>
        </is>
      </c>
    </row>
    <row r="377">
      <c r="A377" s="3" t="n">
        <v>2026</v>
      </c>
      <c r="B377" s="4" t="n">
        <v>4875</v>
      </c>
      <c r="C377" s="4" t="n">
        <v>701</v>
      </c>
      <c r="D377" s="4" t="n">
        <v>212.0525</v>
      </c>
      <c r="E377" s="5" t="n">
        <v>23</v>
      </c>
      <c r="F377" s="3" t="inlineStr">
        <is>
          <t>남이면</t>
        </is>
      </c>
      <c r="G377" s="3" t="inlineStr">
        <is>
          <t>산막리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남이면</t>
        </is>
      </c>
    </row>
    <row r="378">
      <c r="A378" s="3" t="n">
        <v>2026</v>
      </c>
      <c r="B378" s="4" t="n">
        <v>13250</v>
      </c>
      <c r="C378" s="4" t="n">
        <v>1904</v>
      </c>
      <c r="D378" s="4" t="n">
        <v>575.96</v>
      </c>
      <c r="E378" s="5" t="n">
        <v>23</v>
      </c>
      <c r="F378" s="3" t="inlineStr">
        <is>
          <t>남이면</t>
        </is>
      </c>
      <c r="G378" s="3" t="inlineStr">
        <is>
          <t>산막리</t>
        </is>
      </c>
      <c r="H378" s="3" t="inlineStr">
        <is>
          <t>보전관리지역</t>
        </is>
      </c>
      <c r="I378" s="3" t="inlineStr">
        <is>
          <t>전</t>
        </is>
      </c>
      <c r="J378" s="3" t="inlineStr">
        <is>
          <t>남이면</t>
        </is>
      </c>
    </row>
    <row r="379">
      <c r="A379" s="3" t="n">
        <v>2026</v>
      </c>
      <c r="B379" s="4" t="n">
        <v>60540</v>
      </c>
      <c r="C379" s="4" t="n">
        <v>1062</v>
      </c>
      <c r="D379" s="4" t="n">
        <v>321.255</v>
      </c>
      <c r="E379" s="5" t="n">
        <v>188.4</v>
      </c>
      <c r="F379" s="3" t="inlineStr">
        <is>
          <t>남이면</t>
        </is>
      </c>
      <c r="G379" s="3" t="inlineStr">
        <is>
          <t>부용외천리</t>
        </is>
      </c>
      <c r="H379" s="3" t="inlineStr">
        <is>
          <t>계획관리지역</t>
        </is>
      </c>
      <c r="I379" s="3" t="inlineStr">
        <is>
          <t>공장용지</t>
        </is>
      </c>
      <c r="J379" s="3" t="inlineStr">
        <is>
          <t>남이면</t>
        </is>
      </c>
    </row>
    <row r="380">
      <c r="A380" s="3" t="n">
        <v>2026</v>
      </c>
      <c r="B380" s="4" t="n">
        <v>39507</v>
      </c>
      <c r="C380" s="4" t="n">
        <v>660</v>
      </c>
      <c r="D380" s="4" t="n">
        <v>199.65</v>
      </c>
      <c r="E380" s="5" t="n">
        <v>197.9</v>
      </c>
      <c r="F380" s="3" t="inlineStr">
        <is>
          <t>남이면</t>
        </is>
      </c>
      <c r="G380" s="3" t="inlineStr">
        <is>
          <t>부용외천리</t>
        </is>
      </c>
      <c r="H380" s="3" t="inlineStr">
        <is>
          <t>계획관리지역</t>
        </is>
      </c>
      <c r="I380" s="3" t="inlineStr">
        <is>
          <t>공장용지</t>
        </is>
      </c>
      <c r="J380" s="3" t="inlineStr">
        <is>
          <t>남이면</t>
        </is>
      </c>
    </row>
    <row r="381">
      <c r="A381" s="3" t="n">
        <v>2026</v>
      </c>
      <c r="B381" s="4" t="n">
        <v>33511</v>
      </c>
      <c r="C381" s="4" t="n">
        <v>600</v>
      </c>
      <c r="D381" s="4" t="n">
        <v>181.5</v>
      </c>
      <c r="E381" s="5" t="n">
        <v>184.6</v>
      </c>
      <c r="F381" s="3" t="inlineStr">
        <is>
          <t>남이면</t>
        </is>
      </c>
      <c r="G381" s="3" t="inlineStr">
        <is>
          <t>부용외천리</t>
        </is>
      </c>
      <c r="H381" s="3" t="inlineStr">
        <is>
          <t>계획관리지역</t>
        </is>
      </c>
      <c r="I381" s="3" t="inlineStr">
        <is>
          <t>공장용지</t>
        </is>
      </c>
      <c r="J381" s="3" t="inlineStr">
        <is>
          <t>남이면</t>
        </is>
      </c>
    </row>
    <row r="382">
      <c r="A382" s="3" t="n">
        <v>2026</v>
      </c>
      <c r="B382" s="4" t="n">
        <v>12947</v>
      </c>
      <c r="C382" s="4" t="n">
        <v>2040</v>
      </c>
      <c r="D382" s="4" t="n">
        <v>617.1</v>
      </c>
      <c r="E382" s="5" t="n">
        <v>21</v>
      </c>
      <c r="F382" s="3" t="inlineStr">
        <is>
          <t>남이면</t>
        </is>
      </c>
      <c r="G382" s="3" t="inlineStr">
        <is>
          <t>비룡리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남이면</t>
        </is>
      </c>
    </row>
    <row r="383">
      <c r="A383" s="3" t="n">
        <v>2026</v>
      </c>
      <c r="B383" s="4" t="n">
        <v>24000</v>
      </c>
      <c r="C383" s="4" t="n">
        <v>4503</v>
      </c>
      <c r="D383" s="4" t="n">
        <v>1362.1575</v>
      </c>
      <c r="E383" s="5" t="n">
        <v>17.6</v>
      </c>
      <c r="F383" s="3" t="inlineStr">
        <is>
          <t>남이면</t>
        </is>
      </c>
      <c r="G383" s="3" t="inlineStr">
        <is>
          <t>갈원리</t>
        </is>
      </c>
      <c r="H383" s="3" t="inlineStr">
        <is>
          <t>자연녹지지역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2026</v>
      </c>
      <c r="B384" s="4" t="n">
        <v>600</v>
      </c>
      <c r="C384" s="4" t="n">
        <v>7</v>
      </c>
      <c r="D384" s="4" t="n">
        <v>2.1175</v>
      </c>
      <c r="E384" s="5" t="n">
        <v>283.4</v>
      </c>
      <c r="F384" s="3" t="inlineStr">
        <is>
          <t>현도면</t>
        </is>
      </c>
      <c r="G384" s="3" t="inlineStr">
        <is>
          <t>노산리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현도면</t>
        </is>
      </c>
    </row>
    <row r="385">
      <c r="A385" s="3" t="n">
        <v>2026</v>
      </c>
      <c r="B385" s="4" t="n">
        <v>2364</v>
      </c>
      <c r="C385" s="4" t="n">
        <v>38</v>
      </c>
      <c r="D385" s="4" t="n">
        <v>11.495</v>
      </c>
      <c r="E385" s="5" t="n">
        <v>205.7</v>
      </c>
      <c r="F385" s="3" t="inlineStr">
        <is>
          <t>현도면</t>
        </is>
      </c>
      <c r="G385" s="3" t="inlineStr">
        <is>
          <t>우록리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현도면</t>
        </is>
      </c>
    </row>
    <row r="386">
      <c r="A386" s="3" t="n">
        <v>2026</v>
      </c>
      <c r="B386" s="4" t="n">
        <v>1505</v>
      </c>
      <c r="C386" s="4" t="n">
        <v>20</v>
      </c>
      <c r="D386" s="4" t="n">
        <v>6.05</v>
      </c>
      <c r="E386" s="5" t="n">
        <v>248.8</v>
      </c>
      <c r="F386" s="3" t="inlineStr">
        <is>
          <t>현도면</t>
        </is>
      </c>
      <c r="G386" s="3" t="inlineStr">
        <is>
          <t>우록리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현도면</t>
        </is>
      </c>
    </row>
    <row r="387">
      <c r="A387" s="3" t="n">
        <v>2026</v>
      </c>
      <c r="B387" s="4" t="n">
        <v>1129</v>
      </c>
      <c r="C387" s="4" t="n">
        <v>15</v>
      </c>
      <c r="D387" s="4" t="n">
        <v>4.5375</v>
      </c>
      <c r="E387" s="5" t="n">
        <v>248.8</v>
      </c>
      <c r="F387" s="3" t="inlineStr">
        <is>
          <t>현도면</t>
        </is>
      </c>
      <c r="G387" s="3" t="inlineStr">
        <is>
          <t>우록리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현도면</t>
        </is>
      </c>
    </row>
    <row r="388">
      <c r="A388" s="3" t="n">
        <v>2026</v>
      </c>
      <c r="B388" s="4" t="n">
        <v>388</v>
      </c>
      <c r="C388" s="4" t="n">
        <v>5</v>
      </c>
      <c r="D388" s="4" t="n">
        <v>1.5125</v>
      </c>
      <c r="E388" s="5" t="n">
        <v>256.5</v>
      </c>
      <c r="F388" s="3" t="inlineStr">
        <is>
          <t>현도면</t>
        </is>
      </c>
      <c r="G388" s="3" t="inlineStr">
        <is>
          <t>우록리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현도면</t>
        </is>
      </c>
    </row>
    <row r="389">
      <c r="A389" s="3" t="n">
        <v>2026</v>
      </c>
      <c r="B389" s="4" t="n">
        <v>2698</v>
      </c>
      <c r="C389" s="4" t="n">
        <v>32</v>
      </c>
      <c r="D389" s="4" t="n">
        <v>9.68</v>
      </c>
      <c r="E389" s="5" t="n">
        <v>278.7</v>
      </c>
      <c r="F389" s="3" t="inlineStr">
        <is>
          <t>현도면</t>
        </is>
      </c>
      <c r="G389" s="3" t="inlineStr">
        <is>
          <t>우록리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현도면</t>
        </is>
      </c>
    </row>
    <row r="390">
      <c r="A390" s="3" t="n">
        <v>2022</v>
      </c>
      <c r="B390" s="4" t="n">
        <v>35800</v>
      </c>
      <c r="C390" s="4" t="n">
        <v>496</v>
      </c>
      <c r="D390" s="4" t="n">
        <v>150.04</v>
      </c>
      <c r="E390" s="5" t="n">
        <v>238.6</v>
      </c>
      <c r="F390" s="3" t="inlineStr">
        <is>
          <t>금남면</t>
        </is>
      </c>
      <c r="G390" s="3" t="inlineStr">
        <is>
          <t>원봉리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금남면</t>
        </is>
      </c>
    </row>
    <row r="391">
      <c r="A391" s="3" t="n">
        <v>2022</v>
      </c>
      <c r="B391" s="4" t="n">
        <v>3000</v>
      </c>
      <c r="C391" s="4" t="n">
        <v>331</v>
      </c>
      <c r="D391" s="4" t="n">
        <v>100.1275</v>
      </c>
      <c r="E391" s="5" t="n">
        <v>30</v>
      </c>
      <c r="F391" s="3" t="inlineStr">
        <is>
          <t>소정면</t>
        </is>
      </c>
      <c r="G391" s="3" t="inlineStr">
        <is>
          <t>고등리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소정면</t>
        </is>
      </c>
    </row>
    <row r="392">
      <c r="A392" s="3" t="n">
        <v>2025</v>
      </c>
      <c r="B392" s="4" t="n">
        <v>3200</v>
      </c>
      <c r="C392" s="4" t="n">
        <v>320</v>
      </c>
      <c r="D392" s="4" t="n">
        <v>96.8</v>
      </c>
      <c r="E392" s="5" t="n">
        <v>33.1</v>
      </c>
      <c r="F392" s="3" t="inlineStr">
        <is>
          <t>현도면</t>
        </is>
      </c>
      <c r="G392" s="3" t="inlineStr">
        <is>
          <t>시목리</t>
        </is>
      </c>
      <c r="H392" s="3" t="inlineStr">
        <is>
          <t>제1종일반주거지역</t>
        </is>
      </c>
      <c r="I392" s="3" t="inlineStr">
        <is>
          <t>도로</t>
        </is>
      </c>
      <c r="J392" s="3" t="inlineStr">
        <is>
          <t>현도면</t>
        </is>
      </c>
    </row>
    <row r="393">
      <c r="A393" s="3" t="n">
        <v>2025</v>
      </c>
      <c r="B393" s="4" t="n">
        <v>7040</v>
      </c>
      <c r="C393" s="4" t="n">
        <v>212</v>
      </c>
      <c r="D393" s="4" t="n">
        <v>64.13</v>
      </c>
      <c r="E393" s="5" t="n">
        <v>109.8</v>
      </c>
      <c r="F393" s="3" t="inlineStr">
        <is>
          <t>남이면</t>
        </is>
      </c>
      <c r="G393" s="3" t="inlineStr">
        <is>
          <t>가마리</t>
        </is>
      </c>
      <c r="H393" s="3" t="inlineStr">
        <is>
          <t>자연녹지지역</t>
        </is>
      </c>
      <c r="I393" s="3" t="inlineStr">
        <is>
          <t>답</t>
        </is>
      </c>
      <c r="J393" s="3" t="inlineStr">
        <is>
          <t>남이면</t>
        </is>
      </c>
    </row>
    <row r="394">
      <c r="A394" s="3" t="n">
        <v>2025</v>
      </c>
      <c r="B394" s="4" t="n">
        <v>35000</v>
      </c>
      <c r="C394" s="4" t="n">
        <v>1449</v>
      </c>
      <c r="D394" s="4" t="n">
        <v>438.3225</v>
      </c>
      <c r="E394" s="5" t="n">
        <v>79.8</v>
      </c>
      <c r="F394" s="3" t="inlineStr">
        <is>
          <t>남이면</t>
        </is>
      </c>
      <c r="G394" s="3" t="inlineStr">
        <is>
          <t>척산리</t>
        </is>
      </c>
      <c r="H394" s="3" t="inlineStr">
        <is>
          <t>자연녹지지역</t>
        </is>
      </c>
      <c r="I394" s="3" t="inlineStr">
        <is>
          <t>답</t>
        </is>
      </c>
      <c r="J394" s="3" t="inlineStr">
        <is>
          <t>남이면</t>
        </is>
      </c>
    </row>
    <row r="395">
      <c r="A395" s="3" t="n">
        <v>2025</v>
      </c>
      <c r="B395" s="4" t="n">
        <v>11344</v>
      </c>
      <c r="C395" s="4" t="n">
        <v>549</v>
      </c>
      <c r="D395" s="4" t="n">
        <v>166.0725</v>
      </c>
      <c r="E395" s="5" t="n">
        <v>68.3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보전녹지지역</t>
        </is>
      </c>
      <c r="I395" s="3" t="inlineStr">
        <is>
          <t>임야</t>
        </is>
      </c>
      <c r="J395" s="3" t="inlineStr">
        <is>
          <t>남이면</t>
        </is>
      </c>
    </row>
    <row r="396">
      <c r="A396" s="3" t="n">
        <v>2025</v>
      </c>
      <c r="B396" s="4" t="n">
        <v>1178</v>
      </c>
      <c r="C396" s="4" t="n">
        <v>57</v>
      </c>
      <c r="D396" s="4" t="n">
        <v>17.2425</v>
      </c>
      <c r="E396" s="5" t="n">
        <v>68.3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보전녹지지역</t>
        </is>
      </c>
      <c r="I396" s="3" t="inlineStr">
        <is>
          <t>임야</t>
        </is>
      </c>
      <c r="J396" s="3" t="inlineStr">
        <is>
          <t>남이면</t>
        </is>
      </c>
    </row>
    <row r="397">
      <c r="A397" s="3" t="n">
        <v>2025</v>
      </c>
      <c r="B397" s="4" t="n">
        <v>21400</v>
      </c>
      <c r="C397" s="4" t="n">
        <v>1910</v>
      </c>
      <c r="D397" s="4" t="n">
        <v>577.775</v>
      </c>
      <c r="E397" s="5" t="n">
        <v>37</v>
      </c>
      <c r="F397" s="3" t="inlineStr">
        <is>
          <t>남이면</t>
        </is>
      </c>
      <c r="G397" s="3" t="inlineStr">
        <is>
          <t>양촌리</t>
        </is>
      </c>
      <c r="H397" s="3" t="inlineStr">
        <is>
          <t>보전녹지지역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2025</v>
      </c>
      <c r="B398" s="4" t="n">
        <v>21400</v>
      </c>
      <c r="C398" s="4" t="n">
        <v>1910</v>
      </c>
      <c r="D398" s="4" t="n">
        <v>577.775</v>
      </c>
      <c r="E398" s="5" t="n">
        <v>37</v>
      </c>
      <c r="F398" s="3" t="inlineStr">
        <is>
          <t>남이면</t>
        </is>
      </c>
      <c r="G398" s="3" t="inlineStr">
        <is>
          <t>양촌리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5300</v>
      </c>
      <c r="C399" s="4" t="n">
        <v>478</v>
      </c>
      <c r="D399" s="4" t="n">
        <v>144.595</v>
      </c>
      <c r="E399" s="5" t="n">
        <v>36.7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보전녹지지역</t>
        </is>
      </c>
      <c r="I399" s="3" t="inlineStr">
        <is>
          <t>임야</t>
        </is>
      </c>
      <c r="J399" s="3" t="inlineStr">
        <is>
          <t>남이면</t>
        </is>
      </c>
    </row>
    <row r="400">
      <c r="A400" s="3" t="n">
        <v>2025</v>
      </c>
      <c r="B400" s="4" t="n">
        <v>68000</v>
      </c>
      <c r="C400" s="4" t="n">
        <v>976</v>
      </c>
      <c r="D400" s="4" t="n">
        <v>295.24</v>
      </c>
      <c r="E400" s="5" t="n">
        <v>230.3</v>
      </c>
      <c r="F400" s="3" t="inlineStr">
        <is>
          <t>남이면</t>
        </is>
      </c>
      <c r="G400" s="3" t="inlineStr">
        <is>
          <t>석실리</t>
        </is>
      </c>
      <c r="H400" s="3" t="inlineStr">
        <is>
          <t>자연녹지지역</t>
        </is>
      </c>
      <c r="I400" s="3" t="inlineStr">
        <is>
          <t>대</t>
        </is>
      </c>
      <c r="J400" s="3" t="inlineStr">
        <is>
          <t>남이면</t>
        </is>
      </c>
    </row>
    <row r="401">
      <c r="A401" s="3" t="n">
        <v>2025</v>
      </c>
      <c r="B401" s="4" t="n">
        <v>4000</v>
      </c>
      <c r="C401" s="4" t="n">
        <v>29</v>
      </c>
      <c r="D401" s="4" t="n">
        <v>8.772499999999999</v>
      </c>
      <c r="E401" s="5" t="n">
        <v>456</v>
      </c>
      <c r="F401" s="3" t="inlineStr">
        <is>
          <t>현도면</t>
        </is>
      </c>
      <c r="G401" s="3" t="inlineStr">
        <is>
          <t>하석리</t>
        </is>
      </c>
      <c r="H401" s="3" t="inlineStr">
        <is>
          <t>자연녹지지역</t>
        </is>
      </c>
      <c r="I401" s="3" t="inlineStr">
        <is>
          <t>대</t>
        </is>
      </c>
      <c r="J401" s="3" t="inlineStr">
        <is>
          <t>현도면</t>
        </is>
      </c>
    </row>
    <row r="402">
      <c r="A402" s="3" t="n">
        <v>2025</v>
      </c>
      <c r="B402" s="4" t="n">
        <v>15500</v>
      </c>
      <c r="C402" s="4" t="n">
        <v>223</v>
      </c>
      <c r="D402" s="4" t="n">
        <v>67.4575</v>
      </c>
      <c r="E402" s="5" t="n">
        <v>229.8</v>
      </c>
      <c r="F402" s="3" t="inlineStr">
        <is>
          <t>남이면</t>
        </is>
      </c>
      <c r="G402" s="3" t="inlineStr">
        <is>
          <t>부용외천리</t>
        </is>
      </c>
      <c r="H402" s="3" t="inlineStr">
        <is>
          <t>계획관리지역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2024</v>
      </c>
      <c r="B403" s="4" t="n">
        <v>7675</v>
      </c>
      <c r="C403" s="4" t="n">
        <v>492</v>
      </c>
      <c r="D403" s="4" t="n">
        <v>148.83</v>
      </c>
      <c r="E403" s="5" t="n">
        <v>51.6</v>
      </c>
      <c r="F403" s="3" t="inlineStr">
        <is>
          <t>현도면</t>
        </is>
      </c>
      <c r="G403" s="3" t="inlineStr">
        <is>
          <t>죽전리</t>
        </is>
      </c>
      <c r="H403" s="3" t="inlineStr">
        <is>
          <t>계획관리지역</t>
        </is>
      </c>
      <c r="I403" s="3" t="inlineStr">
        <is>
          <t>구거</t>
        </is>
      </c>
      <c r="J403" s="3" t="inlineStr">
        <is>
          <t>현도면</t>
        </is>
      </c>
    </row>
    <row r="404">
      <c r="A404" s="3" t="n">
        <v>2024</v>
      </c>
      <c r="B404" s="4" t="n">
        <v>7507</v>
      </c>
      <c r="C404" s="4" t="n">
        <v>196</v>
      </c>
      <c r="D404" s="4" t="n">
        <v>59.29</v>
      </c>
      <c r="E404" s="5" t="n">
        <v>126.6</v>
      </c>
      <c r="F404" s="3" t="inlineStr">
        <is>
          <t>남이면</t>
        </is>
      </c>
      <c r="G404" s="3" t="inlineStr">
        <is>
          <t>가마리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2024</v>
      </c>
      <c r="B405" s="4" t="n">
        <v>6000</v>
      </c>
      <c r="C405" s="4" t="n">
        <v>833</v>
      </c>
      <c r="D405" s="4" t="n">
        <v>251.9825</v>
      </c>
      <c r="E405" s="5" t="n">
        <v>23.8</v>
      </c>
      <c r="F405" s="3" t="inlineStr">
        <is>
          <t>현도면</t>
        </is>
      </c>
      <c r="G405" s="3" t="inlineStr">
        <is>
          <t>시목리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현도면</t>
        </is>
      </c>
    </row>
    <row r="406">
      <c r="A406" s="3" t="n">
        <v>2024</v>
      </c>
      <c r="B406" s="4" t="n">
        <v>2000</v>
      </c>
      <c r="C406" s="4" t="n">
        <v>281</v>
      </c>
      <c r="D406" s="4" t="n">
        <v>85.0025</v>
      </c>
      <c r="E406" s="5" t="n">
        <v>23.5</v>
      </c>
      <c r="F406" s="3" t="inlineStr">
        <is>
          <t>현도면</t>
        </is>
      </c>
      <c r="G406" s="3" t="inlineStr">
        <is>
          <t>시목리</t>
        </is>
      </c>
      <c r="H406" s="3" t="inlineStr">
        <is>
          <t>자연녹지지역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2024</v>
      </c>
      <c r="B407" s="4" t="n">
        <v>10700</v>
      </c>
      <c r="C407" s="4" t="n">
        <v>1074</v>
      </c>
      <c r="D407" s="4" t="n">
        <v>324.885</v>
      </c>
      <c r="E407" s="5" t="n">
        <v>32.9</v>
      </c>
      <c r="F407" s="3" t="inlineStr">
        <is>
          <t>현도면</t>
        </is>
      </c>
      <c r="G407" s="3" t="inlineStr">
        <is>
          <t>시목리</t>
        </is>
      </c>
      <c r="H407" s="3" t="inlineStr">
        <is>
          <t>자연녹지지역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2024</v>
      </c>
      <c r="B408" s="4" t="n">
        <v>4300</v>
      </c>
      <c r="C408" s="4" t="n">
        <v>479</v>
      </c>
      <c r="D408" s="4" t="n">
        <v>144.8975</v>
      </c>
      <c r="E408" s="5" t="n">
        <v>29.7</v>
      </c>
      <c r="F408" s="3" t="inlineStr">
        <is>
          <t>현도면</t>
        </is>
      </c>
      <c r="G408" s="3" t="inlineStr">
        <is>
          <t>시목리</t>
        </is>
      </c>
      <c r="H408" s="3" t="inlineStr">
        <is>
          <t>자연녹지지역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2024</v>
      </c>
      <c r="B409" s="4" t="n">
        <v>25000</v>
      </c>
      <c r="C409" s="4" t="n">
        <v>662</v>
      </c>
      <c r="D409" s="4" t="n">
        <v>200.255</v>
      </c>
      <c r="E409" s="5" t="n">
        <v>124.8</v>
      </c>
      <c r="F409" s="3" t="inlineStr">
        <is>
          <t>남이면</t>
        </is>
      </c>
      <c r="G409" s="3" t="inlineStr">
        <is>
          <t>양촌리</t>
        </is>
      </c>
      <c r="H409" s="3" t="inlineStr">
        <is>
          <t>자연녹지지역</t>
        </is>
      </c>
      <c r="I409" s="3" t="inlineStr">
        <is>
          <t>전</t>
        </is>
      </c>
      <c r="J409" s="3" t="inlineStr">
        <is>
          <t>남이면</t>
        </is>
      </c>
    </row>
    <row r="410">
      <c r="A410" s="3" t="n">
        <v>2024</v>
      </c>
      <c r="B410" s="4" t="n">
        <v>1400</v>
      </c>
      <c r="C410" s="4" t="n">
        <v>912</v>
      </c>
      <c r="D410" s="4" t="n">
        <v>275.88</v>
      </c>
      <c r="E410" s="5" t="n">
        <v>5.1</v>
      </c>
      <c r="F410" s="3" t="inlineStr">
        <is>
          <t>남이면</t>
        </is>
      </c>
      <c r="G410" s="3" t="inlineStr">
        <is>
          <t>척산리</t>
        </is>
      </c>
      <c r="H410" s="3" t="inlineStr">
        <is>
          <t>보전관리지역</t>
        </is>
      </c>
      <c r="I410" s="3" t="inlineStr">
        <is>
          <t>묘지</t>
        </is>
      </c>
      <c r="J410" s="3" t="inlineStr">
        <is>
          <t>남이면</t>
        </is>
      </c>
    </row>
    <row r="411">
      <c r="A411" s="3" t="n">
        <v>2024</v>
      </c>
      <c r="B411" s="4" t="n">
        <v>4400</v>
      </c>
      <c r="C411" s="4" t="n">
        <v>638</v>
      </c>
      <c r="D411" s="4" t="n">
        <v>192.995</v>
      </c>
      <c r="E411" s="5" t="n">
        <v>22.8</v>
      </c>
      <c r="F411" s="3" t="inlineStr">
        <is>
          <t>남이면</t>
        </is>
      </c>
      <c r="G411" s="3" t="inlineStr">
        <is>
          <t>산막리</t>
        </is>
      </c>
      <c r="H411" s="3" t="inlineStr">
        <is>
          <t>계획관리지역</t>
        </is>
      </c>
      <c r="I411" s="3" t="inlineStr">
        <is>
          <t>묘지</t>
        </is>
      </c>
      <c r="J411" s="3" t="inlineStr">
        <is>
          <t>남이면</t>
        </is>
      </c>
    </row>
    <row r="412">
      <c r="A412" s="3" t="n">
        <v>2024</v>
      </c>
      <c r="B412" s="4" t="n">
        <v>8300</v>
      </c>
      <c r="C412" s="4" t="n">
        <v>866</v>
      </c>
      <c r="D412" s="4" t="n">
        <v>261.965</v>
      </c>
      <c r="E412" s="5" t="n">
        <v>31.7</v>
      </c>
      <c r="F412" s="3" t="inlineStr">
        <is>
          <t>남이면</t>
        </is>
      </c>
      <c r="G412" s="3" t="inlineStr">
        <is>
          <t>사동리</t>
        </is>
      </c>
      <c r="H412" s="3" t="inlineStr">
        <is>
          <t>농림지역</t>
        </is>
      </c>
      <c r="I412" s="3" t="inlineStr">
        <is>
          <t>전</t>
        </is>
      </c>
      <c r="J412" s="3" t="inlineStr">
        <is>
          <t>남이면</t>
        </is>
      </c>
    </row>
    <row r="413">
      <c r="A413" s="3" t="n">
        <v>2024</v>
      </c>
      <c r="B413" s="4" t="n">
        <v>6700</v>
      </c>
      <c r="C413" s="4" t="n">
        <v>717</v>
      </c>
      <c r="D413" s="4" t="n">
        <v>216.8925</v>
      </c>
      <c r="E413" s="5" t="n">
        <v>30.9</v>
      </c>
      <c r="F413" s="3" t="inlineStr">
        <is>
          <t>남이면</t>
        </is>
      </c>
      <c r="G413" s="3" t="inlineStr">
        <is>
          <t>사동리</t>
        </is>
      </c>
      <c r="H413" s="3" t="inlineStr">
        <is>
          <t>농림지역</t>
        </is>
      </c>
      <c r="I413" s="3" t="inlineStr">
        <is>
          <t>유지</t>
        </is>
      </c>
      <c r="J413" s="3" t="inlineStr">
        <is>
          <t>남이면</t>
        </is>
      </c>
    </row>
    <row r="414">
      <c r="A414" s="3" t="n">
        <v>2024</v>
      </c>
      <c r="B414" s="4" t="n">
        <v>12138</v>
      </c>
      <c r="C414" s="4" t="n">
        <v>1183</v>
      </c>
      <c r="D414" s="4" t="n">
        <v>357.8575</v>
      </c>
      <c r="E414" s="5" t="n">
        <v>33.9</v>
      </c>
      <c r="F414" s="3" t="inlineStr">
        <is>
          <t>현도면</t>
        </is>
      </c>
      <c r="G414" s="3" t="inlineStr">
        <is>
          <t>시동리</t>
        </is>
      </c>
      <c r="H414" s="3" t="inlineStr">
        <is>
          <t>자연녹지지역</t>
        </is>
      </c>
      <c r="I414" s="3" t="inlineStr">
        <is>
          <t>답</t>
        </is>
      </c>
      <c r="J414" s="3" t="inlineStr">
        <is>
          <t>현도면</t>
        </is>
      </c>
    </row>
    <row r="415">
      <c r="A415" s="3" t="n">
        <v>2024</v>
      </c>
      <c r="B415" s="4" t="n">
        <v>28600</v>
      </c>
      <c r="C415" s="4" t="n">
        <v>641</v>
      </c>
      <c r="D415" s="4" t="n">
        <v>193.9025</v>
      </c>
      <c r="E415" s="5" t="n">
        <v>147.5</v>
      </c>
      <c r="F415" s="3" t="inlineStr">
        <is>
          <t>남이면</t>
        </is>
      </c>
      <c r="G415" s="3" t="inlineStr">
        <is>
          <t>외천리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남이면</t>
        </is>
      </c>
    </row>
    <row r="416">
      <c r="A416" s="3" t="n">
        <v>2024</v>
      </c>
      <c r="B416" s="4" t="n">
        <v>7900</v>
      </c>
      <c r="C416" s="4" t="n">
        <v>178</v>
      </c>
      <c r="D416" s="4" t="n">
        <v>53.845</v>
      </c>
      <c r="E416" s="5" t="n">
        <v>146.7</v>
      </c>
      <c r="F416" s="3" t="inlineStr">
        <is>
          <t>남이면</t>
        </is>
      </c>
      <c r="G416" s="3" t="inlineStr">
        <is>
          <t>외천리</t>
        </is>
      </c>
      <c r="H416" s="3" t="inlineStr">
        <is>
          <t>계획관리지역</t>
        </is>
      </c>
      <c r="I416" s="3" t="inlineStr">
        <is>
          <t>잡종지</t>
        </is>
      </c>
      <c r="J416" s="3" t="inlineStr">
        <is>
          <t>남이면</t>
        </is>
      </c>
    </row>
    <row r="417">
      <c r="A417" s="3" t="n">
        <v>2024</v>
      </c>
      <c r="B417" s="4" t="n">
        <v>9700</v>
      </c>
      <c r="C417" s="4" t="n">
        <v>688</v>
      </c>
      <c r="D417" s="4" t="n">
        <v>208.12</v>
      </c>
      <c r="E417" s="5" t="n">
        <v>46.6</v>
      </c>
      <c r="F417" s="3" t="inlineStr">
        <is>
          <t>남이면</t>
        </is>
      </c>
      <c r="G417" s="3" t="inlineStr">
        <is>
          <t>사동리</t>
        </is>
      </c>
      <c r="H417" s="3" t="inlineStr">
        <is>
          <t>생산관리지역</t>
        </is>
      </c>
      <c r="I417" s="3" t="inlineStr">
        <is>
          <t>공장용지</t>
        </is>
      </c>
      <c r="J417" s="3" t="inlineStr">
        <is>
          <t>남이면</t>
        </is>
      </c>
    </row>
    <row r="418">
      <c r="A418" s="3" t="n">
        <v>2024</v>
      </c>
      <c r="B418" s="4" t="n">
        <v>2890</v>
      </c>
      <c r="C418" s="4" t="n">
        <v>57</v>
      </c>
      <c r="D418" s="4" t="n">
        <v>17.2425</v>
      </c>
      <c r="E418" s="5" t="n">
        <v>167.6</v>
      </c>
      <c r="F418" s="3" t="inlineStr">
        <is>
          <t>남이면</t>
        </is>
      </c>
      <c r="G418" s="3" t="inlineStr">
        <is>
          <t>석판리</t>
        </is>
      </c>
      <c r="H418" s="3" t="inlineStr">
        <is>
          <t>보전녹지지역</t>
        </is>
      </c>
      <c r="I418" s="3" t="inlineStr">
        <is>
          <t>대</t>
        </is>
      </c>
      <c r="J418" s="3" t="inlineStr">
        <is>
          <t>남이면</t>
        </is>
      </c>
    </row>
    <row r="419">
      <c r="A419" s="3" t="n">
        <v>2024</v>
      </c>
      <c r="B419" s="4" t="n">
        <v>10230</v>
      </c>
      <c r="C419" s="4" t="n">
        <v>230.2</v>
      </c>
      <c r="D419" s="4" t="n">
        <v>69.63549999999999</v>
      </c>
      <c r="E419" s="5" t="n">
        <v>146.9</v>
      </c>
      <c r="F419" s="3" t="inlineStr">
        <is>
          <t>현도면</t>
        </is>
      </c>
      <c r="G419" s="3" t="inlineStr">
        <is>
          <t>달계리</t>
        </is>
      </c>
      <c r="H419" s="3" t="inlineStr">
        <is>
          <t>제1종일반주거지역</t>
        </is>
      </c>
      <c r="I419" s="3" t="inlineStr">
        <is>
          <t>답</t>
        </is>
      </c>
      <c r="J419" s="3" t="inlineStr">
        <is>
          <t>현도면</t>
        </is>
      </c>
    </row>
    <row r="420">
      <c r="A420" s="3" t="n">
        <v>2025</v>
      </c>
      <c r="B420" s="4" t="n">
        <v>29022</v>
      </c>
      <c r="C420" s="4" t="n">
        <v>1599</v>
      </c>
      <c r="D420" s="4" t="n">
        <v>483.6975</v>
      </c>
      <c r="E420" s="5" t="n">
        <v>60</v>
      </c>
      <c r="F420" s="3" t="inlineStr">
        <is>
          <t>남이면</t>
        </is>
      </c>
      <c r="G420" s="3" t="inlineStr">
        <is>
          <t>가좌리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2025</v>
      </c>
      <c r="B421" s="4" t="n">
        <v>15536</v>
      </c>
      <c r="C421" s="4" t="n">
        <v>856</v>
      </c>
      <c r="D421" s="4" t="n">
        <v>258.94</v>
      </c>
      <c r="E421" s="5" t="n">
        <v>60</v>
      </c>
      <c r="F421" s="3" t="inlineStr">
        <is>
          <t>남이면</t>
        </is>
      </c>
      <c r="G421" s="3" t="inlineStr">
        <is>
          <t>가좌리</t>
        </is>
      </c>
      <c r="H421" s="3" t="inlineStr">
        <is>
          <t>자연녹지지역</t>
        </is>
      </c>
      <c r="I421" s="3" t="inlineStr">
        <is>
          <t>전</t>
        </is>
      </c>
      <c r="J421" s="3" t="inlineStr">
        <is>
          <t>남이면</t>
        </is>
      </c>
    </row>
    <row r="422">
      <c r="A422" s="3" t="n">
        <v>2025</v>
      </c>
      <c r="B422" s="4" t="n">
        <v>8258</v>
      </c>
      <c r="C422" s="4" t="n">
        <v>455</v>
      </c>
      <c r="D422" s="4" t="n">
        <v>137.6375</v>
      </c>
      <c r="E422" s="5" t="n">
        <v>60</v>
      </c>
      <c r="F422" s="3" t="inlineStr">
        <is>
          <t>남이면</t>
        </is>
      </c>
      <c r="G422" s="3" t="inlineStr">
        <is>
          <t>가좌리</t>
        </is>
      </c>
      <c r="H422" s="3" t="inlineStr">
        <is>
          <t>보전녹지지역</t>
        </is>
      </c>
      <c r="I422" s="3" t="inlineStr">
        <is>
          <t>임야</t>
        </is>
      </c>
      <c r="J422" s="3" t="inlineStr">
        <is>
          <t>남이면</t>
        </is>
      </c>
    </row>
    <row r="423">
      <c r="A423" s="3" t="n">
        <v>2025</v>
      </c>
      <c r="B423" s="4" t="n">
        <v>575</v>
      </c>
      <c r="C423" s="4" t="n">
        <v>16</v>
      </c>
      <c r="D423" s="4" t="n">
        <v>4.84</v>
      </c>
      <c r="E423" s="5" t="n">
        <v>118.8</v>
      </c>
      <c r="F423" s="3" t="inlineStr">
        <is>
          <t>남이면</t>
        </is>
      </c>
      <c r="G423" s="3" t="inlineStr">
        <is>
          <t>양촌리</t>
        </is>
      </c>
      <c r="H423" s="3" t="inlineStr">
        <is>
          <t>자연녹지지역</t>
        </is>
      </c>
      <c r="I423" s="3" t="inlineStr">
        <is>
          <t>전</t>
        </is>
      </c>
      <c r="J423" s="3" t="inlineStr">
        <is>
          <t>남이면</t>
        </is>
      </c>
    </row>
    <row r="424">
      <c r="A424" s="3" t="n">
        <v>2025</v>
      </c>
      <c r="B424" s="4" t="n">
        <v>46909</v>
      </c>
      <c r="C424" s="4" t="n">
        <v>1306</v>
      </c>
      <c r="D424" s="4" t="n">
        <v>395.065</v>
      </c>
      <c r="E424" s="5" t="n">
        <v>118.7</v>
      </c>
      <c r="F424" s="3" t="inlineStr">
        <is>
          <t>남이면</t>
        </is>
      </c>
      <c r="G424" s="3" t="inlineStr">
        <is>
          <t>양촌리</t>
        </is>
      </c>
      <c r="H424" s="3" t="inlineStr">
        <is>
          <t>자연녹지지역</t>
        </is>
      </c>
      <c r="I424" s="3" t="inlineStr">
        <is>
          <t>전</t>
        </is>
      </c>
      <c r="J424" s="3" t="inlineStr">
        <is>
          <t>남이면</t>
        </is>
      </c>
    </row>
    <row r="425">
      <c r="A425" s="3" t="n">
        <v>2025</v>
      </c>
      <c r="B425" s="4" t="n">
        <v>42563</v>
      </c>
      <c r="C425" s="4" t="n">
        <v>1185</v>
      </c>
      <c r="D425" s="4" t="n">
        <v>358.4625</v>
      </c>
      <c r="E425" s="5" t="n">
        <v>118.7</v>
      </c>
      <c r="F425" s="3" t="inlineStr">
        <is>
          <t>남이면</t>
        </is>
      </c>
      <c r="G425" s="3" t="inlineStr">
        <is>
          <t>양촌리</t>
        </is>
      </c>
      <c r="H425" s="3" t="inlineStr">
        <is>
          <t>자연녹지지역</t>
        </is>
      </c>
      <c r="I425" s="3" t="inlineStr">
        <is>
          <t>전</t>
        </is>
      </c>
      <c r="J425" s="3" t="inlineStr">
        <is>
          <t>남이면</t>
        </is>
      </c>
    </row>
    <row r="426">
      <c r="A426" s="3" t="n">
        <v>2025</v>
      </c>
      <c r="B426" s="4" t="n">
        <v>32631</v>
      </c>
      <c r="C426" s="4" t="n">
        <v>846</v>
      </c>
      <c r="D426" s="4" t="n">
        <v>255.915</v>
      </c>
      <c r="E426" s="5" t="n">
        <v>127.5</v>
      </c>
      <c r="F426" s="3" t="inlineStr">
        <is>
          <t>남이면</t>
        </is>
      </c>
      <c r="G426" s="3" t="inlineStr">
        <is>
          <t>양촌리</t>
        </is>
      </c>
      <c r="H426" s="3" t="inlineStr">
        <is>
          <t>자연녹지지역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2025</v>
      </c>
      <c r="B427" s="4" t="n">
        <v>93844</v>
      </c>
      <c r="C427" s="4" t="n">
        <v>1183</v>
      </c>
      <c r="D427" s="4" t="n">
        <v>357.8575</v>
      </c>
      <c r="E427" s="5" t="n">
        <v>262.2</v>
      </c>
      <c r="F427" s="3" t="inlineStr">
        <is>
          <t>남이면</t>
        </is>
      </c>
      <c r="G427" s="3" t="inlineStr">
        <is>
          <t>양촌리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남이면</t>
        </is>
      </c>
    </row>
    <row r="428">
      <c r="A428" s="3" t="n">
        <v>2025</v>
      </c>
      <c r="B428" s="4" t="n">
        <v>101514</v>
      </c>
      <c r="C428" s="4" t="n">
        <v>1663</v>
      </c>
      <c r="D428" s="4" t="n">
        <v>503.0575</v>
      </c>
      <c r="E428" s="5" t="n">
        <v>201.8</v>
      </c>
      <c r="F428" s="3" t="inlineStr">
        <is>
          <t>남이면</t>
        </is>
      </c>
      <c r="G428" s="3" t="inlineStr">
        <is>
          <t>양촌리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2025</v>
      </c>
      <c r="B429" s="4" t="n">
        <v>26294</v>
      </c>
      <c r="C429" s="4" t="n">
        <v>255</v>
      </c>
      <c r="D429" s="4" t="n">
        <v>77.1375</v>
      </c>
      <c r="E429" s="5" t="n">
        <v>340.9</v>
      </c>
      <c r="F429" s="3" t="inlineStr">
        <is>
          <t>남이면</t>
        </is>
      </c>
      <c r="G429" s="3" t="inlineStr">
        <is>
          <t>양촌리</t>
        </is>
      </c>
      <c r="H429" s="3" t="inlineStr">
        <is>
          <t>자연녹지지역</t>
        </is>
      </c>
      <c r="I429" s="3" t="inlineStr">
        <is>
          <t>전</t>
        </is>
      </c>
      <c r="J429" s="3" t="inlineStr">
        <is>
          <t>남이면</t>
        </is>
      </c>
    </row>
    <row r="430">
      <c r="A430" s="3" t="n">
        <v>2025</v>
      </c>
      <c r="B430" s="4" t="n">
        <v>10000</v>
      </c>
      <c r="C430" s="4" t="n">
        <v>8854</v>
      </c>
      <c r="D430" s="4" t="n">
        <v>2678.335</v>
      </c>
      <c r="E430" s="5" t="n">
        <v>3.7</v>
      </c>
      <c r="F430" s="3" t="inlineStr">
        <is>
          <t>현도면</t>
        </is>
      </c>
      <c r="G430" s="3" t="inlineStr">
        <is>
          <t>노산리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현도면</t>
        </is>
      </c>
    </row>
    <row r="431">
      <c r="A431" s="3" t="n">
        <v>2025</v>
      </c>
      <c r="B431" s="4" t="n">
        <v>71795</v>
      </c>
      <c r="C431" s="4" t="n">
        <v>2421</v>
      </c>
      <c r="D431" s="4" t="n">
        <v>732.3525</v>
      </c>
      <c r="E431" s="5" t="n">
        <v>98</v>
      </c>
      <c r="F431" s="3" t="inlineStr">
        <is>
          <t>남이면</t>
        </is>
      </c>
      <c r="G431" s="3" t="inlineStr">
        <is>
          <t>수대리</t>
        </is>
      </c>
      <c r="H431" s="3" t="inlineStr">
        <is>
          <t>자연녹지지역</t>
        </is>
      </c>
      <c r="I431" s="3" t="inlineStr">
        <is>
          <t>창고용지</t>
        </is>
      </c>
      <c r="J431" s="3" t="inlineStr">
        <is>
          <t>남이면</t>
        </is>
      </c>
    </row>
    <row r="432">
      <c r="A432" s="3" t="n">
        <v>2022</v>
      </c>
      <c r="B432" s="4" t="n">
        <v>380</v>
      </c>
      <c r="C432" s="4" t="n">
        <v>21</v>
      </c>
      <c r="D432" s="4" t="n">
        <v>6.3525</v>
      </c>
      <c r="E432" s="5" t="n">
        <v>59.8</v>
      </c>
      <c r="F432" s="3" t="inlineStr">
        <is>
          <t>금남면</t>
        </is>
      </c>
      <c r="G432" s="3" t="inlineStr">
        <is>
          <t>영곡리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2024</v>
      </c>
      <c r="B433" s="4" t="n">
        <v>186828</v>
      </c>
      <c r="C433" s="4" t="n">
        <v>2141</v>
      </c>
      <c r="D433" s="4" t="n">
        <v>647.6525</v>
      </c>
      <c r="E433" s="5" t="n">
        <v>288.5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제2종일반주거지역</t>
        </is>
      </c>
      <c r="I433" s="3" t="inlineStr">
        <is>
          <t>답</t>
        </is>
      </c>
      <c r="J433" s="3" t="inlineStr">
        <is>
          <t>조치원읍</t>
        </is>
      </c>
    </row>
    <row r="434">
      <c r="A434" s="3" t="n">
        <v>2023</v>
      </c>
      <c r="B434" s="4" t="n">
        <v>16000</v>
      </c>
      <c r="C434" s="4" t="n">
        <v>258</v>
      </c>
      <c r="D434" s="4" t="n">
        <v>78.045</v>
      </c>
      <c r="E434" s="5" t="n">
        <v>205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연동면</t>
        </is>
      </c>
    </row>
    <row r="435">
      <c r="A435" s="3" t="n">
        <v>2023</v>
      </c>
      <c r="B435" s="4" t="n">
        <v>53455</v>
      </c>
      <c r="C435" s="4" t="n">
        <v>447</v>
      </c>
      <c r="D435" s="4" t="n">
        <v>135.2175</v>
      </c>
      <c r="E435" s="5" t="n">
        <v>395.3</v>
      </c>
      <c r="F435" s="3" t="inlineStr">
        <is>
          <t>연동면</t>
        </is>
      </c>
      <c r="G435" s="3" t="inlineStr">
        <is>
          <t>명학리</t>
        </is>
      </c>
      <c r="H435" s="3" t="inlineStr">
        <is>
          <t>계획관리지역</t>
        </is>
      </c>
      <c r="I435" s="3" t="inlineStr">
        <is>
          <t>잡종지</t>
        </is>
      </c>
      <c r="J435" s="3" t="inlineStr">
        <is>
          <t>연동면</t>
        </is>
      </c>
    </row>
    <row r="436">
      <c r="A436" s="3" t="n">
        <v>2023</v>
      </c>
      <c r="B436" s="4" t="n">
        <v>1913</v>
      </c>
      <c r="C436" s="4" t="n">
        <v>16</v>
      </c>
      <c r="D436" s="4" t="n">
        <v>4.84</v>
      </c>
      <c r="E436" s="5" t="n">
        <v>395.2</v>
      </c>
      <c r="F436" s="3" t="inlineStr">
        <is>
          <t>연동면</t>
        </is>
      </c>
      <c r="G436" s="3" t="inlineStr">
        <is>
          <t>명학리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연동면</t>
        </is>
      </c>
    </row>
    <row r="437">
      <c r="A437" s="3" t="n">
        <v>2023</v>
      </c>
      <c r="B437" s="4" t="n">
        <v>11610</v>
      </c>
      <c r="C437" s="4" t="n">
        <v>768</v>
      </c>
      <c r="D437" s="4" t="n">
        <v>232.32</v>
      </c>
      <c r="E437" s="5" t="n">
        <v>50</v>
      </c>
      <c r="F437" s="3" t="inlineStr">
        <is>
          <t>조치원읍</t>
        </is>
      </c>
      <c r="G437" s="3" t="inlineStr">
        <is>
          <t>신안리</t>
        </is>
      </c>
      <c r="H437" s="3" t="inlineStr">
        <is>
          <t>생산녹지지역</t>
        </is>
      </c>
      <c r="I437" s="3" t="inlineStr">
        <is>
          <t>답</t>
        </is>
      </c>
      <c r="J437" s="3" t="inlineStr">
        <is>
          <t>조치원읍</t>
        </is>
      </c>
    </row>
    <row r="438">
      <c r="A438" s="3" t="n">
        <v>2023</v>
      </c>
      <c r="B438" s="4" t="n">
        <v>28840</v>
      </c>
      <c r="C438" s="4" t="n">
        <v>1907</v>
      </c>
      <c r="D438" s="4" t="n">
        <v>576.8674999999999</v>
      </c>
      <c r="E438" s="5" t="n">
        <v>50</v>
      </c>
      <c r="F438" s="3" t="inlineStr">
        <is>
          <t>조치원읍</t>
        </is>
      </c>
      <c r="G438" s="3" t="inlineStr">
        <is>
          <t>신안리</t>
        </is>
      </c>
      <c r="H438" s="3" t="inlineStr">
        <is>
          <t>생산녹지지역</t>
        </is>
      </c>
      <c r="I438" s="3" t="inlineStr">
        <is>
          <t>답</t>
        </is>
      </c>
      <c r="J438" s="3" t="inlineStr">
        <is>
          <t>조치원읍</t>
        </is>
      </c>
    </row>
    <row r="439">
      <c r="A439" s="3" t="n">
        <v>2023</v>
      </c>
      <c r="B439" s="4" t="n">
        <v>4700</v>
      </c>
      <c r="C439" s="4" t="n">
        <v>221</v>
      </c>
      <c r="D439" s="4" t="n">
        <v>66.85249999999999</v>
      </c>
      <c r="E439" s="5" t="n">
        <v>70.3</v>
      </c>
      <c r="F439" s="3" t="inlineStr">
        <is>
          <t>부강면</t>
        </is>
      </c>
      <c r="G439" s="3" t="inlineStr">
        <is>
          <t>문곡리</t>
        </is>
      </c>
      <c r="H439" s="3" t="inlineStr">
        <is>
          <t>계획관리지역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2023</v>
      </c>
      <c r="B440" s="4" t="n">
        <v>19620</v>
      </c>
      <c r="C440" s="4" t="n">
        <v>1441</v>
      </c>
      <c r="D440" s="4" t="n">
        <v>435.9025</v>
      </c>
      <c r="E440" s="5" t="n">
        <v>45</v>
      </c>
      <c r="F440" s="3" t="inlineStr">
        <is>
          <t>전의면</t>
        </is>
      </c>
      <c r="G440" s="3" t="inlineStr">
        <is>
          <t>유천리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전의면</t>
        </is>
      </c>
    </row>
    <row r="441">
      <c r="A441" s="3" t="n">
        <v>2023</v>
      </c>
      <c r="B441" s="4" t="n">
        <v>12000</v>
      </c>
      <c r="C441" s="4" t="n">
        <v>1587</v>
      </c>
      <c r="D441" s="4" t="n">
        <v>480.0675</v>
      </c>
      <c r="E441" s="5" t="n">
        <v>25</v>
      </c>
      <c r="F441" s="3" t="inlineStr">
        <is>
          <t>장군면</t>
        </is>
      </c>
      <c r="G441" s="3" t="inlineStr">
        <is>
          <t>송정리</t>
        </is>
      </c>
      <c r="H441" s="3" t="inlineStr">
        <is>
          <t>보전관리지역</t>
        </is>
      </c>
      <c r="I441" s="3" t="inlineStr">
        <is>
          <t>임야</t>
        </is>
      </c>
      <c r="J441" s="3" t="inlineStr">
        <is>
          <t>장군면</t>
        </is>
      </c>
    </row>
    <row r="442">
      <c r="A442" s="3" t="n">
        <v>2023</v>
      </c>
      <c r="B442" s="4" t="n">
        <v>22082</v>
      </c>
      <c r="C442" s="4" t="n">
        <v>489</v>
      </c>
      <c r="D442" s="4" t="n">
        <v>147.9225</v>
      </c>
      <c r="E442" s="5" t="n">
        <v>149.3</v>
      </c>
      <c r="F442" s="3" t="inlineStr">
        <is>
          <t>연기면</t>
        </is>
      </c>
      <c r="G442" s="3" t="inlineStr">
        <is>
          <t>수산리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연기면</t>
        </is>
      </c>
    </row>
    <row r="443">
      <c r="A443" s="3" t="n">
        <v>2023</v>
      </c>
      <c r="B443" s="4" t="n">
        <v>60000</v>
      </c>
      <c r="C443" s="4" t="n">
        <v>1983</v>
      </c>
      <c r="D443" s="4" t="n">
        <v>599.8575</v>
      </c>
      <c r="E443" s="5" t="n">
        <v>100</v>
      </c>
      <c r="F443" s="3" t="inlineStr">
        <is>
          <t>연동면</t>
        </is>
      </c>
      <c r="G443" s="3" t="inlineStr">
        <is>
          <t>문주리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연동면</t>
        </is>
      </c>
    </row>
    <row r="444">
      <c r="A444" s="3" t="n">
        <v>2023</v>
      </c>
      <c r="B444" s="4" t="n">
        <v>1702</v>
      </c>
      <c r="C444" s="4" t="n">
        <v>148</v>
      </c>
      <c r="D444" s="4" t="n">
        <v>44.77</v>
      </c>
      <c r="E444" s="5" t="n">
        <v>38</v>
      </c>
      <c r="F444" s="3" t="inlineStr">
        <is>
          <t>부강면</t>
        </is>
      </c>
      <c r="G444" s="3" t="inlineStr">
        <is>
          <t>행산리</t>
        </is>
      </c>
      <c r="H444" s="3" t="inlineStr">
        <is>
          <t>농림지역</t>
        </is>
      </c>
      <c r="I444" s="3" t="inlineStr">
        <is>
          <t>하천</t>
        </is>
      </c>
      <c r="J444" s="3" t="inlineStr">
        <is>
          <t>부강면</t>
        </is>
      </c>
    </row>
    <row r="445">
      <c r="A445" s="3" t="n">
        <v>2023</v>
      </c>
      <c r="B445" s="4" t="n">
        <v>338</v>
      </c>
      <c r="C445" s="4" t="n">
        <v>36</v>
      </c>
      <c r="D445" s="4" t="n">
        <v>10.89</v>
      </c>
      <c r="E445" s="5" t="n">
        <v>31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농림지역</t>
        </is>
      </c>
      <c r="I445" s="3" t="inlineStr">
        <is>
          <t>구거</t>
        </is>
      </c>
      <c r="J445" s="3" t="inlineStr">
        <is>
          <t>부강면</t>
        </is>
      </c>
    </row>
    <row r="446">
      <c r="A446" s="3" t="n">
        <v>2023</v>
      </c>
      <c r="B446" s="4" t="n">
        <v>9200</v>
      </c>
      <c r="C446" s="4" t="n">
        <v>437.6</v>
      </c>
      <c r="D446" s="4" t="n">
        <v>132.374</v>
      </c>
      <c r="E446" s="5" t="n">
        <v>69.5</v>
      </c>
      <c r="F446" s="3" t="inlineStr">
        <is>
          <t>연동면</t>
        </is>
      </c>
      <c r="G446" s="3" t="inlineStr">
        <is>
          <t>응암리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연동면</t>
        </is>
      </c>
    </row>
    <row r="447">
      <c r="A447" s="3" t="n">
        <v>2023</v>
      </c>
      <c r="B447" s="4" t="n">
        <v>16490</v>
      </c>
      <c r="C447" s="4" t="n">
        <v>776.5</v>
      </c>
      <c r="D447" s="4" t="n">
        <v>234.89125</v>
      </c>
      <c r="E447" s="5" t="n">
        <v>70.2</v>
      </c>
      <c r="F447" s="3" t="inlineStr">
        <is>
          <t>연동면</t>
        </is>
      </c>
      <c r="G447" s="3" t="inlineStr">
        <is>
          <t>응암리</t>
        </is>
      </c>
      <c r="H447" s="3" t="inlineStr">
        <is>
          <t>농림지역</t>
        </is>
      </c>
      <c r="I447" s="3" t="inlineStr">
        <is>
          <t>답</t>
        </is>
      </c>
      <c r="J447" s="3" t="inlineStr">
        <is>
          <t>연동면</t>
        </is>
      </c>
    </row>
    <row r="448">
      <c r="A448" s="3" t="n">
        <v>2023</v>
      </c>
      <c r="B448" s="4" t="n">
        <v>27060</v>
      </c>
      <c r="C448" s="4" t="n">
        <v>600</v>
      </c>
      <c r="D448" s="4" t="n">
        <v>181.5</v>
      </c>
      <c r="E448" s="5" t="n">
        <v>149.1</v>
      </c>
      <c r="F448" s="3" t="inlineStr">
        <is>
          <t>전의면</t>
        </is>
      </c>
      <c r="G448" s="3" t="inlineStr">
        <is>
          <t>서정리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전의면</t>
        </is>
      </c>
    </row>
    <row r="449">
      <c r="A449" s="3" t="n">
        <v>2023</v>
      </c>
      <c r="B449" s="4" t="n">
        <v>13640</v>
      </c>
      <c r="C449" s="4" t="n">
        <v>500</v>
      </c>
      <c r="D449" s="4" t="n">
        <v>151.25</v>
      </c>
      <c r="E449" s="5" t="n">
        <v>90.2</v>
      </c>
      <c r="F449" s="3" t="inlineStr">
        <is>
          <t>전의면</t>
        </is>
      </c>
      <c r="G449" s="3" t="inlineStr">
        <is>
          <t>서정리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전의면</t>
        </is>
      </c>
    </row>
    <row r="450">
      <c r="A450" s="3" t="n">
        <v>2023</v>
      </c>
      <c r="B450" s="4" t="n">
        <v>13640</v>
      </c>
      <c r="C450" s="4" t="n">
        <v>500</v>
      </c>
      <c r="D450" s="4" t="n">
        <v>151.25</v>
      </c>
      <c r="E450" s="5" t="n">
        <v>90.2</v>
      </c>
      <c r="F450" s="3" t="inlineStr">
        <is>
          <t>전의면</t>
        </is>
      </c>
      <c r="G450" s="3" t="inlineStr">
        <is>
          <t>서정리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전의면</t>
        </is>
      </c>
    </row>
    <row r="451">
      <c r="A451" s="3" t="n">
        <v>2023</v>
      </c>
      <c r="B451" s="4" t="n">
        <v>10932</v>
      </c>
      <c r="C451" s="4" t="n">
        <v>245</v>
      </c>
      <c r="D451" s="4" t="n">
        <v>74.1125</v>
      </c>
      <c r="E451" s="5" t="n">
        <v>147.5</v>
      </c>
      <c r="F451" s="3" t="inlineStr">
        <is>
          <t>전의면</t>
        </is>
      </c>
      <c r="G451" s="3" t="inlineStr">
        <is>
          <t>읍내리</t>
        </is>
      </c>
      <c r="H451" s="3" t="inlineStr">
        <is>
          <t>제1종일반주거지역</t>
        </is>
      </c>
      <c r="I451" s="3" t="inlineStr">
        <is>
          <t>대</t>
        </is>
      </c>
      <c r="J451" s="3" t="inlineStr">
        <is>
          <t>전의면</t>
        </is>
      </c>
    </row>
    <row r="452">
      <c r="A452" s="3" t="n">
        <v>2023</v>
      </c>
      <c r="B452" s="4" t="n">
        <v>4510</v>
      </c>
      <c r="C452" s="4" t="n">
        <v>208</v>
      </c>
      <c r="D452" s="4" t="n">
        <v>62.92</v>
      </c>
      <c r="E452" s="5" t="n">
        <v>71.7</v>
      </c>
      <c r="F452" s="3" t="inlineStr">
        <is>
          <t>연동면</t>
        </is>
      </c>
      <c r="G452" s="3" t="inlineStr">
        <is>
          <t>문주리</t>
        </is>
      </c>
      <c r="H452" s="3" t="inlineStr">
        <is>
          <t>계획관리지역</t>
        </is>
      </c>
      <c r="I452" s="3" t="inlineStr">
        <is>
          <t>대</t>
        </is>
      </c>
      <c r="J452" s="3" t="inlineStr">
        <is>
          <t>연동면</t>
        </is>
      </c>
    </row>
    <row r="453">
      <c r="A453" s="3" t="n">
        <v>2023</v>
      </c>
      <c r="B453" s="4" t="n">
        <v>2390</v>
      </c>
      <c r="C453" s="4" t="n">
        <v>109</v>
      </c>
      <c r="D453" s="4" t="n">
        <v>32.9725</v>
      </c>
      <c r="E453" s="5" t="n">
        <v>72.5</v>
      </c>
      <c r="F453" s="3" t="inlineStr">
        <is>
          <t>연동면</t>
        </is>
      </c>
      <c r="G453" s="3" t="inlineStr">
        <is>
          <t>문주리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연동면</t>
        </is>
      </c>
    </row>
    <row r="454">
      <c r="A454" s="3" t="n">
        <v>2023</v>
      </c>
      <c r="B454" s="4" t="n">
        <v>15000</v>
      </c>
      <c r="C454" s="4" t="n">
        <v>550</v>
      </c>
      <c r="D454" s="4" t="n">
        <v>166.375</v>
      </c>
      <c r="E454" s="5" t="n">
        <v>90.2</v>
      </c>
      <c r="F454" s="3" t="inlineStr">
        <is>
          <t>전의면</t>
        </is>
      </c>
      <c r="G454" s="3" t="inlineStr">
        <is>
          <t>서정리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전의면</t>
        </is>
      </c>
    </row>
    <row r="455">
      <c r="A455" s="3" t="n">
        <v>2022</v>
      </c>
      <c r="B455" s="4" t="n">
        <v>7400</v>
      </c>
      <c r="C455" s="4" t="n">
        <v>431</v>
      </c>
      <c r="D455" s="4" t="n">
        <v>130.3775</v>
      </c>
      <c r="E455" s="5" t="n">
        <v>56.8</v>
      </c>
      <c r="F455" s="3" t="inlineStr">
        <is>
          <t>금남면</t>
        </is>
      </c>
      <c r="G455" s="3" t="inlineStr">
        <is>
          <t>발산리</t>
        </is>
      </c>
      <c r="H455" s="3" t="inlineStr">
        <is>
          <t>보전녹지지역</t>
        </is>
      </c>
      <c r="I455" s="3" t="inlineStr">
        <is>
          <t>답</t>
        </is>
      </c>
      <c r="J455" s="3" t="inlineStr">
        <is>
          <t>금남면</t>
        </is>
      </c>
    </row>
    <row r="456">
      <c r="A456" s="3" t="n">
        <v>2022</v>
      </c>
      <c r="B456" s="4" t="n">
        <v>165100</v>
      </c>
      <c r="C456" s="4" t="n">
        <v>3794.3</v>
      </c>
      <c r="D456" s="4" t="n">
        <v>1147.77575</v>
      </c>
      <c r="E456" s="5" t="n">
        <v>143.8</v>
      </c>
      <c r="F456" s="3" t="inlineStr">
        <is>
          <t>장군면</t>
        </is>
      </c>
      <c r="G456" s="3" t="inlineStr">
        <is>
          <t>용암리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장군면</t>
        </is>
      </c>
    </row>
    <row r="457">
      <c r="A457" s="3" t="n">
        <v>2022</v>
      </c>
      <c r="B457" s="4" t="n">
        <v>69216</v>
      </c>
      <c r="C457" s="4" t="n">
        <v>1475</v>
      </c>
      <c r="D457" s="4" t="n">
        <v>446.1875</v>
      </c>
      <c r="E457" s="5" t="n">
        <v>155.1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연서면</t>
        </is>
      </c>
    </row>
    <row r="458">
      <c r="A458" s="3" t="n">
        <v>2022</v>
      </c>
      <c r="B458" s="4" t="n">
        <v>376000</v>
      </c>
      <c r="C458" s="4" t="n">
        <v>12428</v>
      </c>
      <c r="D458" s="4" t="n">
        <v>3759.47</v>
      </c>
      <c r="E458" s="5" t="n">
        <v>100</v>
      </c>
      <c r="F458" s="3" t="inlineStr">
        <is>
          <t>장군면</t>
        </is>
      </c>
      <c r="G458" s="3" t="inlineStr">
        <is>
          <t>대교리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장군면</t>
        </is>
      </c>
    </row>
    <row r="459">
      <c r="A459" s="3" t="n">
        <v>2022</v>
      </c>
      <c r="B459" s="4" t="n">
        <v>200000</v>
      </c>
      <c r="C459" s="4" t="n">
        <v>13794</v>
      </c>
      <c r="D459" s="4" t="n">
        <v>4172.684999999999</v>
      </c>
      <c r="E459" s="5" t="n">
        <v>47.9</v>
      </c>
      <c r="F459" s="3" t="inlineStr">
        <is>
          <t>장군면</t>
        </is>
      </c>
      <c r="G459" s="3" t="inlineStr">
        <is>
          <t>평기리</t>
        </is>
      </c>
      <c r="H459" s="3" t="inlineStr">
        <is>
          <t>보전관리지역</t>
        </is>
      </c>
      <c r="I459" s="3" t="inlineStr">
        <is>
          <t>임야</t>
        </is>
      </c>
      <c r="J459" s="3" t="inlineStr">
        <is>
          <t>장군면</t>
        </is>
      </c>
    </row>
    <row r="460">
      <c r="A460" s="3" t="n">
        <v>2022</v>
      </c>
      <c r="B460" s="4" t="n">
        <v>191600</v>
      </c>
      <c r="C460" s="4" t="n">
        <v>13209</v>
      </c>
      <c r="D460" s="4" t="n">
        <v>3995.7225</v>
      </c>
      <c r="E460" s="5" t="n">
        <v>48</v>
      </c>
      <c r="F460" s="3" t="inlineStr">
        <is>
          <t>장군면</t>
        </is>
      </c>
      <c r="G460" s="3" t="inlineStr">
        <is>
          <t>평기리</t>
        </is>
      </c>
      <c r="H460" s="3" t="inlineStr">
        <is>
          <t>보전관리지역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2022</v>
      </c>
      <c r="B461" s="4" t="n">
        <v>3485</v>
      </c>
      <c r="C461" s="4" t="n">
        <v>144</v>
      </c>
      <c r="D461" s="4" t="n">
        <v>43.56</v>
      </c>
      <c r="E461" s="5" t="n">
        <v>80</v>
      </c>
      <c r="F461" s="3" t="inlineStr">
        <is>
          <t>장군면</t>
        </is>
      </c>
      <c r="G461" s="3" t="inlineStr">
        <is>
          <t>평기리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장군면</t>
        </is>
      </c>
    </row>
    <row r="462">
      <c r="A462" s="3" t="n">
        <v>2022</v>
      </c>
      <c r="B462" s="4" t="n">
        <v>6994</v>
      </c>
      <c r="C462" s="4" t="n">
        <v>289</v>
      </c>
      <c r="D462" s="4" t="n">
        <v>87.4225</v>
      </c>
      <c r="E462" s="5" t="n">
        <v>80</v>
      </c>
      <c r="F462" s="3" t="inlineStr">
        <is>
          <t>장군면</t>
        </is>
      </c>
      <c r="G462" s="3" t="inlineStr">
        <is>
          <t>평기리</t>
        </is>
      </c>
      <c r="H462" s="3" t="inlineStr">
        <is>
          <t>보전관리지역</t>
        </is>
      </c>
      <c r="I462" s="3" t="inlineStr">
        <is>
          <t>목장용지</t>
        </is>
      </c>
      <c r="J462" s="3" t="inlineStr">
        <is>
          <t>장군면</t>
        </is>
      </c>
    </row>
    <row r="463">
      <c r="A463" s="3" t="n">
        <v>2022</v>
      </c>
      <c r="B463" s="4" t="n">
        <v>1291</v>
      </c>
      <c r="C463" s="4" t="n">
        <v>53</v>
      </c>
      <c r="D463" s="4" t="n">
        <v>16.0325</v>
      </c>
      <c r="E463" s="5" t="n">
        <v>80.5</v>
      </c>
      <c r="F463" s="3" t="inlineStr">
        <is>
          <t>장군면</t>
        </is>
      </c>
      <c r="G463" s="3" t="inlineStr">
        <is>
          <t>평기리</t>
        </is>
      </c>
      <c r="H463" s="3" t="inlineStr">
        <is>
          <t>보전관리지역</t>
        </is>
      </c>
      <c r="I463" s="3" t="inlineStr">
        <is>
          <t>목장용지</t>
        </is>
      </c>
      <c r="J463" s="3" t="inlineStr">
        <is>
          <t>장군면</t>
        </is>
      </c>
    </row>
    <row r="464">
      <c r="A464" s="3" t="n">
        <v>2022</v>
      </c>
      <c r="B464" s="4" t="n">
        <v>12970</v>
      </c>
      <c r="C464" s="4" t="n">
        <v>536</v>
      </c>
      <c r="D464" s="4" t="n">
        <v>162.14</v>
      </c>
      <c r="E464" s="5" t="n">
        <v>80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답</t>
        </is>
      </c>
      <c r="J464" s="3" t="inlineStr">
        <is>
          <t>장군면</t>
        </is>
      </c>
    </row>
    <row r="465">
      <c r="A465" s="3" t="n">
        <v>2022</v>
      </c>
      <c r="B465" s="4" t="n">
        <v>33700</v>
      </c>
      <c r="C465" s="4" t="n">
        <v>450</v>
      </c>
      <c r="D465" s="4" t="n">
        <v>136.125</v>
      </c>
      <c r="E465" s="5" t="n">
        <v>247.6</v>
      </c>
      <c r="F465" s="3" t="inlineStr">
        <is>
          <t>장군면</t>
        </is>
      </c>
      <c r="G465" s="3" t="inlineStr">
        <is>
          <t>대교리</t>
        </is>
      </c>
      <c r="H465" s="3" t="inlineStr">
        <is>
          <t>보전관리지역</t>
        </is>
      </c>
      <c r="I465" s="3" t="inlineStr">
        <is>
          <t>대</t>
        </is>
      </c>
      <c r="J465" s="3" t="inlineStr">
        <is>
          <t>장군면</t>
        </is>
      </c>
    </row>
    <row r="466">
      <c r="A466" s="3" t="n">
        <v>2023</v>
      </c>
      <c r="B466" s="4" t="n">
        <v>1131</v>
      </c>
      <c r="C466" s="4" t="n">
        <v>298</v>
      </c>
      <c r="D466" s="4" t="n">
        <v>90.145</v>
      </c>
      <c r="E466" s="5" t="n">
        <v>12.5</v>
      </c>
      <c r="F466" s="3" t="inlineStr">
        <is>
          <t>남이면</t>
        </is>
      </c>
      <c r="G466" s="3" t="inlineStr">
        <is>
          <t>석판리</t>
        </is>
      </c>
      <c r="H466" s="3" t="inlineStr">
        <is>
          <t>보전녹지지역</t>
        </is>
      </c>
      <c r="I466" s="3" t="inlineStr">
        <is>
          <t>임야</t>
        </is>
      </c>
      <c r="J466" s="3" t="inlineStr">
        <is>
          <t>남이면</t>
        </is>
      </c>
    </row>
    <row r="467">
      <c r="A467" s="3" t="n">
        <v>2023</v>
      </c>
      <c r="B467" s="4" t="n">
        <v>5400</v>
      </c>
      <c r="C467" s="4" t="n">
        <v>345</v>
      </c>
      <c r="D467" s="4" t="n">
        <v>104.3625</v>
      </c>
      <c r="E467" s="5" t="n">
        <v>51.7</v>
      </c>
      <c r="F467" s="3" t="inlineStr">
        <is>
          <t>남이면</t>
        </is>
      </c>
      <c r="G467" s="3" t="inlineStr">
        <is>
          <t>구미리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남이면</t>
        </is>
      </c>
    </row>
    <row r="468">
      <c r="A468" s="3" t="n">
        <v>2023</v>
      </c>
      <c r="B468" s="4" t="n">
        <v>5900</v>
      </c>
      <c r="C468" s="4" t="n">
        <v>377</v>
      </c>
      <c r="D468" s="4" t="n">
        <v>114.0425</v>
      </c>
      <c r="E468" s="5" t="n">
        <v>51.7</v>
      </c>
      <c r="F468" s="3" t="inlineStr">
        <is>
          <t>남이면</t>
        </is>
      </c>
      <c r="G468" s="3" t="inlineStr">
        <is>
          <t>구미리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남이면</t>
        </is>
      </c>
    </row>
    <row r="469">
      <c r="A469" s="3" t="n">
        <v>2023</v>
      </c>
      <c r="B469" s="4" t="n">
        <v>3100</v>
      </c>
      <c r="C469" s="4" t="n">
        <v>198</v>
      </c>
      <c r="D469" s="4" t="n">
        <v>59.895</v>
      </c>
      <c r="E469" s="5" t="n">
        <v>51.8</v>
      </c>
      <c r="F469" s="3" t="inlineStr">
        <is>
          <t>남이면</t>
        </is>
      </c>
      <c r="G469" s="3" t="inlineStr">
        <is>
          <t>구미리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남이면</t>
        </is>
      </c>
    </row>
    <row r="470">
      <c r="A470" s="3" t="n">
        <v>2023</v>
      </c>
      <c r="B470" s="4" t="n">
        <v>4240</v>
      </c>
      <c r="C470" s="4" t="n">
        <v>400</v>
      </c>
      <c r="D470" s="4" t="n">
        <v>121</v>
      </c>
      <c r="E470" s="5" t="n">
        <v>35</v>
      </c>
      <c r="F470" s="3" t="inlineStr">
        <is>
          <t>현도면</t>
        </is>
      </c>
      <c r="G470" s="3" t="inlineStr">
        <is>
          <t>죽전리</t>
        </is>
      </c>
      <c r="H470" s="3" t="inlineStr">
        <is>
          <t>보전관리지역</t>
        </is>
      </c>
      <c r="I470" s="3" t="inlineStr">
        <is>
          <t>답</t>
        </is>
      </c>
      <c r="J470" s="3" t="inlineStr">
        <is>
          <t>현도면</t>
        </is>
      </c>
    </row>
    <row r="471">
      <c r="A471" s="3" t="n">
        <v>2023</v>
      </c>
      <c r="B471" s="4" t="n">
        <v>300</v>
      </c>
      <c r="C471" s="4" t="n">
        <v>29</v>
      </c>
      <c r="D471" s="4" t="n">
        <v>8.772499999999999</v>
      </c>
      <c r="E471" s="5" t="n">
        <v>34.2</v>
      </c>
      <c r="F471" s="3" t="inlineStr">
        <is>
          <t>남이면</t>
        </is>
      </c>
      <c r="G471" s="3" t="inlineStr">
        <is>
          <t>구미리</t>
        </is>
      </c>
      <c r="H471" s="3" t="inlineStr">
        <is>
          <t>농림지역</t>
        </is>
      </c>
      <c r="I471" s="3" t="inlineStr">
        <is>
          <t>답</t>
        </is>
      </c>
      <c r="J471" s="3" t="inlineStr">
        <is>
          <t>남이면</t>
        </is>
      </c>
    </row>
    <row r="472">
      <c r="A472" s="3" t="n">
        <v>2023</v>
      </c>
      <c r="B472" s="4" t="n">
        <v>1015</v>
      </c>
      <c r="C472" s="4" t="n">
        <v>11</v>
      </c>
      <c r="D472" s="4" t="n">
        <v>3.3275</v>
      </c>
      <c r="E472" s="5" t="n">
        <v>305</v>
      </c>
      <c r="F472" s="3" t="inlineStr">
        <is>
          <t>남이면</t>
        </is>
      </c>
      <c r="G472" s="3" t="inlineStr">
        <is>
          <t>가마리</t>
        </is>
      </c>
      <c r="H472" s="3" t="inlineStr">
        <is>
          <t>자연녹지지역</t>
        </is>
      </c>
      <c r="I472" s="3" t="inlineStr">
        <is>
          <t>대</t>
        </is>
      </c>
      <c r="J472" s="3" t="inlineStr">
        <is>
          <t>남이면</t>
        </is>
      </c>
    </row>
    <row r="473">
      <c r="A473" s="3" t="n">
        <v>2023</v>
      </c>
      <c r="B473" s="4" t="n">
        <v>185</v>
      </c>
      <c r="C473" s="4" t="n">
        <v>2</v>
      </c>
      <c r="D473" s="4" t="n">
        <v>0.605</v>
      </c>
      <c r="E473" s="5" t="n">
        <v>305.8</v>
      </c>
      <c r="F473" s="3" t="inlineStr">
        <is>
          <t>남이면</t>
        </is>
      </c>
      <c r="G473" s="3" t="inlineStr">
        <is>
          <t>가마리</t>
        </is>
      </c>
      <c r="H473" s="3" t="inlineStr">
        <is>
          <t>자연녹지지역</t>
        </is>
      </c>
      <c r="I473" s="3" t="inlineStr">
        <is>
          <t>도로</t>
        </is>
      </c>
      <c r="J473" s="3" t="inlineStr">
        <is>
          <t>남이면</t>
        </is>
      </c>
    </row>
    <row r="474">
      <c r="A474" s="3" t="n">
        <v>2023</v>
      </c>
      <c r="B474" s="4" t="n">
        <v>9675</v>
      </c>
      <c r="C474" s="4" t="n">
        <v>2132</v>
      </c>
      <c r="D474" s="4" t="n">
        <v>644.9299999999999</v>
      </c>
      <c r="E474" s="5" t="n">
        <v>15</v>
      </c>
      <c r="F474" s="3" t="inlineStr">
        <is>
          <t>현도면</t>
        </is>
      </c>
      <c r="G474" s="3" t="inlineStr">
        <is>
          <t>죽암리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현도면</t>
        </is>
      </c>
    </row>
    <row r="475">
      <c r="A475" s="3" t="n">
        <v>2023</v>
      </c>
      <c r="B475" s="4" t="n">
        <v>5795</v>
      </c>
      <c r="C475" s="4" t="n">
        <v>1008</v>
      </c>
      <c r="D475" s="4" t="n">
        <v>304.92</v>
      </c>
      <c r="E475" s="5" t="n">
        <v>19</v>
      </c>
      <c r="F475" s="3" t="inlineStr">
        <is>
          <t>현도면</t>
        </is>
      </c>
      <c r="G475" s="3" t="inlineStr">
        <is>
          <t>죽암리</t>
        </is>
      </c>
      <c r="H475" s="3" t="inlineStr">
        <is>
          <t>생산관리지역</t>
        </is>
      </c>
      <c r="I475" s="3" t="inlineStr">
        <is>
          <t>답</t>
        </is>
      </c>
      <c r="J475" s="3" t="inlineStr">
        <is>
          <t>현도면</t>
        </is>
      </c>
    </row>
    <row r="476">
      <c r="A476" s="3" t="n">
        <v>2023</v>
      </c>
      <c r="B476" s="4" t="n">
        <v>10697</v>
      </c>
      <c r="C476" s="4" t="n">
        <v>1861</v>
      </c>
      <c r="D476" s="4" t="n">
        <v>562.9525</v>
      </c>
      <c r="E476" s="5" t="n">
        <v>19</v>
      </c>
      <c r="F476" s="3" t="inlineStr">
        <is>
          <t>현도면</t>
        </is>
      </c>
      <c r="G476" s="3" t="inlineStr">
        <is>
          <t>죽암리</t>
        </is>
      </c>
      <c r="H476" s="3" t="inlineStr">
        <is>
          <t>생산녹지지역</t>
        </is>
      </c>
      <c r="I476" s="3" t="inlineStr">
        <is>
          <t>답</t>
        </is>
      </c>
      <c r="J476" s="3" t="inlineStr">
        <is>
          <t>현도면</t>
        </is>
      </c>
    </row>
    <row r="477">
      <c r="A477" s="3" t="n">
        <v>2023</v>
      </c>
      <c r="B477" s="4" t="n">
        <v>58170</v>
      </c>
      <c r="C477" s="4" t="n">
        <v>2888</v>
      </c>
      <c r="D477" s="4" t="n">
        <v>873.62</v>
      </c>
      <c r="E477" s="5" t="n">
        <v>66.59999999999999</v>
      </c>
      <c r="F477" s="3" t="inlineStr">
        <is>
          <t>남이면</t>
        </is>
      </c>
      <c r="G477" s="3" t="inlineStr">
        <is>
          <t>구미리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남이면</t>
        </is>
      </c>
    </row>
    <row r="478">
      <c r="A478" s="3" t="n">
        <v>2023</v>
      </c>
      <c r="B478" s="4" t="n">
        <v>46506</v>
      </c>
      <c r="C478" s="4" t="n">
        <v>2085</v>
      </c>
      <c r="D478" s="4" t="n">
        <v>630.7125</v>
      </c>
      <c r="E478" s="5" t="n">
        <v>73.7</v>
      </c>
      <c r="F478" s="3" t="inlineStr">
        <is>
          <t>남이면</t>
        </is>
      </c>
      <c r="G478" s="3" t="inlineStr">
        <is>
          <t>구미리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남이면</t>
        </is>
      </c>
    </row>
    <row r="479">
      <c r="A479" s="3" t="n">
        <v>2023</v>
      </c>
      <c r="B479" s="4" t="n">
        <v>223</v>
      </c>
      <c r="C479" s="4" t="n">
        <v>10</v>
      </c>
      <c r="D479" s="4" t="n">
        <v>3.025</v>
      </c>
      <c r="E479" s="5" t="n">
        <v>73.7</v>
      </c>
      <c r="F479" s="3" t="inlineStr">
        <is>
          <t>남이면</t>
        </is>
      </c>
      <c r="G479" s="3" t="inlineStr">
        <is>
          <t>구미리</t>
        </is>
      </c>
      <c r="H479" s="3" t="inlineStr">
        <is>
          <t>계획관리지역</t>
        </is>
      </c>
      <c r="I479" s="3" t="inlineStr">
        <is>
          <t>도로</t>
        </is>
      </c>
      <c r="J479" s="3" t="inlineStr">
        <is>
          <t>남이면</t>
        </is>
      </c>
    </row>
    <row r="480">
      <c r="A480" s="3" t="n">
        <v>2023</v>
      </c>
      <c r="B480" s="4" t="n">
        <v>535</v>
      </c>
      <c r="C480" s="4" t="n">
        <v>24</v>
      </c>
      <c r="D480" s="4" t="n">
        <v>7.26</v>
      </c>
      <c r="E480" s="5" t="n">
        <v>73.7</v>
      </c>
      <c r="F480" s="3" t="inlineStr">
        <is>
          <t>남이면</t>
        </is>
      </c>
      <c r="G480" s="3" t="inlineStr">
        <is>
          <t>구미리</t>
        </is>
      </c>
      <c r="H480" s="3" t="inlineStr">
        <is>
          <t>계획관리지역</t>
        </is>
      </c>
      <c r="I480" s="3" t="inlineStr">
        <is>
          <t>도로</t>
        </is>
      </c>
      <c r="J480" s="3" t="inlineStr">
        <is>
          <t>남이면</t>
        </is>
      </c>
    </row>
    <row r="481">
      <c r="A481" s="3" t="n">
        <v>2023</v>
      </c>
      <c r="B481" s="4" t="n">
        <v>11800</v>
      </c>
      <c r="C481" s="4" t="n">
        <v>303</v>
      </c>
      <c r="D481" s="4" t="n">
        <v>91.6575</v>
      </c>
      <c r="E481" s="5" t="n">
        <v>128.7</v>
      </c>
      <c r="F481" s="3" t="inlineStr">
        <is>
          <t>현도면</t>
        </is>
      </c>
      <c r="G481" s="3" t="inlineStr">
        <is>
          <t>선동리</t>
        </is>
      </c>
      <c r="H481" s="3" t="inlineStr">
        <is>
          <t>제1종일반주거지역</t>
        </is>
      </c>
      <c r="I481" s="3" t="inlineStr">
        <is>
          <t>대</t>
        </is>
      </c>
      <c r="J481" s="3" t="inlineStr">
        <is>
          <t>현도면</t>
        </is>
      </c>
    </row>
    <row r="482">
      <c r="A482" s="3" t="n">
        <v>2022</v>
      </c>
      <c r="B482" s="4" t="n">
        <v>27929</v>
      </c>
      <c r="C482" s="4" t="n">
        <v>839</v>
      </c>
      <c r="D482" s="4" t="n">
        <v>253.7975</v>
      </c>
      <c r="E482" s="5" t="n">
        <v>110</v>
      </c>
      <c r="F482" s="3" t="inlineStr">
        <is>
          <t>남이면</t>
        </is>
      </c>
      <c r="G482" s="3" t="inlineStr">
        <is>
          <t>양촌리</t>
        </is>
      </c>
      <c r="H482" s="3" t="inlineStr">
        <is>
          <t>보전녹지지역</t>
        </is>
      </c>
      <c r="I482" s="3" t="inlineStr">
        <is>
          <t>임야</t>
        </is>
      </c>
      <c r="J482" s="3" t="inlineStr">
        <is>
          <t>남이면</t>
        </is>
      </c>
    </row>
    <row r="483">
      <c r="A483" s="3" t="n">
        <v>2022</v>
      </c>
      <c r="B483" s="4" t="n">
        <v>16540</v>
      </c>
      <c r="C483" s="4" t="n">
        <v>2734</v>
      </c>
      <c r="D483" s="4" t="n">
        <v>827.035</v>
      </c>
      <c r="E483" s="5" t="n">
        <v>20</v>
      </c>
      <c r="F483" s="3" t="inlineStr">
        <is>
          <t>남이면</t>
        </is>
      </c>
      <c r="G483" s="3" t="inlineStr">
        <is>
          <t>산막리</t>
        </is>
      </c>
      <c r="H483" s="3" t="inlineStr">
        <is>
          <t>생산관리지역</t>
        </is>
      </c>
      <c r="I483" s="3" t="inlineStr">
        <is>
          <t>답</t>
        </is>
      </c>
      <c r="J483" s="3" t="inlineStr">
        <is>
          <t>남이면</t>
        </is>
      </c>
    </row>
    <row r="484">
      <c r="A484" s="3" t="n">
        <v>2022</v>
      </c>
      <c r="B484" s="4" t="n">
        <v>3000</v>
      </c>
      <c r="C484" s="4" t="n">
        <v>66</v>
      </c>
      <c r="D484" s="4" t="n">
        <v>19.965</v>
      </c>
      <c r="E484" s="5" t="n">
        <v>150.3</v>
      </c>
      <c r="F484" s="3" t="inlineStr">
        <is>
          <t>남이면</t>
        </is>
      </c>
      <c r="G484" s="3" t="inlineStr">
        <is>
          <t>가마리</t>
        </is>
      </c>
      <c r="H484" s="3" t="inlineStr">
        <is>
          <t>자연녹지지역</t>
        </is>
      </c>
      <c r="I484" s="3" t="inlineStr">
        <is>
          <t>임야</t>
        </is>
      </c>
      <c r="J484" s="3" t="inlineStr">
        <is>
          <t>남이면</t>
        </is>
      </c>
    </row>
    <row r="485">
      <c r="A485" s="3" t="n">
        <v>2022</v>
      </c>
      <c r="B485" s="4" t="n">
        <v>5800</v>
      </c>
      <c r="C485" s="4" t="n">
        <v>466</v>
      </c>
      <c r="D485" s="4" t="n">
        <v>140.965</v>
      </c>
      <c r="E485" s="5" t="n">
        <v>41.1</v>
      </c>
      <c r="F485" s="3" t="inlineStr">
        <is>
          <t>남이면</t>
        </is>
      </c>
      <c r="G485" s="3" t="inlineStr">
        <is>
          <t>구미리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남이면</t>
        </is>
      </c>
    </row>
    <row r="486">
      <c r="A486" s="3" t="n">
        <v>2022</v>
      </c>
      <c r="B486" s="4" t="n">
        <v>11300</v>
      </c>
      <c r="C486" s="4" t="n">
        <v>477</v>
      </c>
      <c r="D486" s="4" t="n">
        <v>144.2925</v>
      </c>
      <c r="E486" s="5" t="n">
        <v>78.3</v>
      </c>
      <c r="F486" s="3" t="inlineStr">
        <is>
          <t>남이면</t>
        </is>
      </c>
      <c r="G486" s="3" t="inlineStr">
        <is>
          <t>갈원리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남이면</t>
        </is>
      </c>
    </row>
    <row r="487">
      <c r="A487" s="3" t="n">
        <v>2022</v>
      </c>
      <c r="B487" s="4" t="n">
        <v>15000</v>
      </c>
      <c r="C487" s="4" t="n">
        <v>846</v>
      </c>
      <c r="D487" s="4" t="n">
        <v>255.915</v>
      </c>
      <c r="E487" s="5" t="n">
        <v>58.6</v>
      </c>
      <c r="F487" s="3" t="inlineStr">
        <is>
          <t>남이면</t>
        </is>
      </c>
      <c r="G487" s="3" t="inlineStr">
        <is>
          <t>문동리</t>
        </is>
      </c>
      <c r="H487" s="3" t="inlineStr">
        <is>
          <t>보전녹지지역</t>
        </is>
      </c>
      <c r="I487" s="3" t="inlineStr">
        <is>
          <t>임야</t>
        </is>
      </c>
      <c r="J487" s="3" t="inlineStr">
        <is>
          <t>남이면</t>
        </is>
      </c>
    </row>
    <row r="488">
      <c r="A488" s="3" t="n">
        <v>2022</v>
      </c>
      <c r="B488" s="4" t="n">
        <v>300</v>
      </c>
      <c r="C488" s="4" t="n">
        <v>15</v>
      </c>
      <c r="D488" s="4" t="n">
        <v>4.5375</v>
      </c>
      <c r="E488" s="5" t="n">
        <v>66.09999999999999</v>
      </c>
      <c r="F488" s="3" t="inlineStr">
        <is>
          <t>현도면</t>
        </is>
      </c>
      <c r="G488" s="3" t="inlineStr">
        <is>
          <t>노산리</t>
        </is>
      </c>
      <c r="H488" s="3" t="inlineStr">
        <is>
          <t>제1종일반주거지역</t>
        </is>
      </c>
      <c r="I488" s="3" t="inlineStr">
        <is>
          <t>대</t>
        </is>
      </c>
      <c r="J488" s="3" t="inlineStr">
        <is>
          <t>현도면</t>
        </is>
      </c>
    </row>
    <row r="489">
      <c r="A489" s="3" t="n">
        <v>2022</v>
      </c>
      <c r="B489" s="4" t="n">
        <v>12100</v>
      </c>
      <c r="C489" s="4" t="n">
        <v>504</v>
      </c>
      <c r="D489" s="4" t="n">
        <v>152.46</v>
      </c>
      <c r="E489" s="5" t="n">
        <v>79.40000000000001</v>
      </c>
      <c r="F489" s="3" t="inlineStr">
        <is>
          <t>남이면</t>
        </is>
      </c>
      <c r="G489" s="3" t="inlineStr">
        <is>
          <t>갈원리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남이면</t>
        </is>
      </c>
    </row>
    <row r="490">
      <c r="A490" s="3" t="n">
        <v>2022</v>
      </c>
      <c r="B490" s="4" t="n">
        <v>3000</v>
      </c>
      <c r="C490" s="4" t="n">
        <v>327</v>
      </c>
      <c r="D490" s="4" t="n">
        <v>98.9175</v>
      </c>
      <c r="E490" s="5" t="n">
        <v>30.3</v>
      </c>
      <c r="F490" s="3" t="inlineStr">
        <is>
          <t>남이면</t>
        </is>
      </c>
      <c r="G490" s="3" t="inlineStr">
        <is>
          <t>구미리</t>
        </is>
      </c>
      <c r="H490" s="3" t="inlineStr">
        <is>
          <t>농림지역</t>
        </is>
      </c>
      <c r="I490" s="3" t="inlineStr">
        <is>
          <t>구거</t>
        </is>
      </c>
      <c r="J490" s="3" t="inlineStr">
        <is>
          <t>남이면</t>
        </is>
      </c>
    </row>
    <row r="491">
      <c r="A491" s="3" t="n">
        <v>2022</v>
      </c>
      <c r="B491" s="4" t="n">
        <v>7590</v>
      </c>
      <c r="C491" s="4" t="n">
        <v>1091</v>
      </c>
      <c r="D491" s="4" t="n">
        <v>330.0275</v>
      </c>
      <c r="E491" s="5" t="n">
        <v>23</v>
      </c>
      <c r="F491" s="3" t="inlineStr">
        <is>
          <t>남이면</t>
        </is>
      </c>
      <c r="G491" s="3" t="inlineStr">
        <is>
          <t>문동리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남이면</t>
        </is>
      </c>
    </row>
    <row r="492">
      <c r="A492" s="3" t="n">
        <v>2022</v>
      </c>
      <c r="B492" s="4" t="n">
        <v>10462</v>
      </c>
      <c r="C492" s="4" t="n">
        <v>1441</v>
      </c>
      <c r="D492" s="4" t="n">
        <v>435.9025</v>
      </c>
      <c r="E492" s="5" t="n">
        <v>24</v>
      </c>
      <c r="F492" s="3" t="inlineStr">
        <is>
          <t>현도면</t>
        </is>
      </c>
      <c r="G492" s="3" t="inlineStr">
        <is>
          <t>달계리</t>
        </is>
      </c>
      <c r="H492" s="3" t="inlineStr">
        <is>
          <t>개발제한구역</t>
        </is>
      </c>
      <c r="I492" s="3" t="inlineStr">
        <is>
          <t>답</t>
        </is>
      </c>
      <c r="J492" s="3" t="inlineStr">
        <is>
          <t>현도면</t>
        </is>
      </c>
    </row>
    <row r="493">
      <c r="A493" s="3" t="n">
        <v>2022</v>
      </c>
      <c r="B493" s="4" t="n">
        <v>2795</v>
      </c>
      <c r="C493" s="4" t="n">
        <v>385</v>
      </c>
      <c r="D493" s="4" t="n">
        <v>116.4625</v>
      </c>
      <c r="E493" s="5" t="n">
        <v>24</v>
      </c>
      <c r="F493" s="3" t="inlineStr">
        <is>
          <t>현도면</t>
        </is>
      </c>
      <c r="G493" s="3" t="inlineStr">
        <is>
          <t>달계리</t>
        </is>
      </c>
      <c r="H493" s="3" t="inlineStr">
        <is>
          <t>자연녹지지역</t>
        </is>
      </c>
      <c r="I493" s="3" t="inlineStr">
        <is>
          <t>답</t>
        </is>
      </c>
      <c r="J493" s="3" t="inlineStr">
        <is>
          <t>현도면</t>
        </is>
      </c>
    </row>
    <row r="494">
      <c r="A494" s="3" t="n">
        <v>2022</v>
      </c>
      <c r="B494" s="4" t="n">
        <v>2055</v>
      </c>
      <c r="C494" s="4" t="n">
        <v>283</v>
      </c>
      <c r="D494" s="4" t="n">
        <v>85.6075</v>
      </c>
      <c r="E494" s="5" t="n">
        <v>24</v>
      </c>
      <c r="F494" s="3" t="inlineStr">
        <is>
          <t>현도면</t>
        </is>
      </c>
      <c r="G494" s="3" t="inlineStr">
        <is>
          <t>달계리</t>
        </is>
      </c>
      <c r="H494" s="3" t="inlineStr">
        <is>
          <t>자연녹지지역</t>
        </is>
      </c>
      <c r="I494" s="3" t="inlineStr">
        <is>
          <t>답</t>
        </is>
      </c>
      <c r="J494" s="3" t="inlineStr">
        <is>
          <t>현도면</t>
        </is>
      </c>
    </row>
    <row r="495">
      <c r="A495" s="3" t="n">
        <v>2022</v>
      </c>
      <c r="B495" s="4" t="n">
        <v>13488</v>
      </c>
      <c r="C495" s="4" t="n">
        <v>560</v>
      </c>
      <c r="D495" s="4" t="n">
        <v>169.4</v>
      </c>
      <c r="E495" s="5" t="n">
        <v>79.59999999999999</v>
      </c>
      <c r="F495" s="3" t="inlineStr">
        <is>
          <t>남이면</t>
        </is>
      </c>
      <c r="G495" s="3" t="inlineStr">
        <is>
          <t>척산리</t>
        </is>
      </c>
      <c r="H495" s="3" t="inlineStr">
        <is>
          <t>보전관리지역</t>
        </is>
      </c>
      <c r="I495" s="3" t="inlineStr">
        <is>
          <t>전</t>
        </is>
      </c>
      <c r="J495" s="3" t="inlineStr">
        <is>
          <t>남이면</t>
        </is>
      </c>
    </row>
    <row r="496">
      <c r="A496" s="3" t="n">
        <v>2022</v>
      </c>
      <c r="B496" s="4" t="n">
        <v>13512</v>
      </c>
      <c r="C496" s="4" t="n">
        <v>561</v>
      </c>
      <c r="D496" s="4" t="n">
        <v>169.7025</v>
      </c>
      <c r="E496" s="5" t="n">
        <v>79.59999999999999</v>
      </c>
      <c r="F496" s="3" t="inlineStr">
        <is>
          <t>남이면</t>
        </is>
      </c>
      <c r="G496" s="3" t="inlineStr">
        <is>
          <t>척산리</t>
        </is>
      </c>
      <c r="H496" s="3" t="inlineStr">
        <is>
          <t>보전관리지역</t>
        </is>
      </c>
      <c r="I496" s="3" t="inlineStr">
        <is>
          <t>전</t>
        </is>
      </c>
      <c r="J496" s="3" t="inlineStr">
        <is>
          <t>남이면</t>
        </is>
      </c>
    </row>
    <row r="497">
      <c r="A497" s="3" t="n">
        <v>2022</v>
      </c>
      <c r="B497" s="4" t="n">
        <v>8000</v>
      </c>
      <c r="C497" s="4" t="n">
        <v>1505</v>
      </c>
      <c r="D497" s="4" t="n">
        <v>455.2625</v>
      </c>
      <c r="E497" s="5" t="n">
        <v>17.6</v>
      </c>
      <c r="F497" s="3" t="inlineStr">
        <is>
          <t>남이면</t>
        </is>
      </c>
      <c r="G497" s="3" t="inlineStr">
        <is>
          <t>비룡리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남이면</t>
        </is>
      </c>
    </row>
    <row r="498">
      <c r="A498" s="3" t="n">
        <v>2022</v>
      </c>
      <c r="B498" s="4" t="n">
        <v>198831</v>
      </c>
      <c r="C498" s="4" t="n">
        <v>13794</v>
      </c>
      <c r="D498" s="4" t="n">
        <v>4172.684999999999</v>
      </c>
      <c r="E498" s="5" t="n">
        <v>47.7</v>
      </c>
      <c r="F498" s="3" t="inlineStr">
        <is>
          <t>장군면</t>
        </is>
      </c>
      <c r="G498" s="3" t="inlineStr">
        <is>
          <t>평기리</t>
        </is>
      </c>
      <c r="H498" s="3" t="inlineStr">
        <is>
          <t>보전관리지역</t>
        </is>
      </c>
      <c r="I498" s="3" t="inlineStr">
        <is>
          <t>임야</t>
        </is>
      </c>
      <c r="J498" s="3" t="inlineStr">
        <is>
          <t>장군면</t>
        </is>
      </c>
    </row>
    <row r="499">
      <c r="A499" s="3" t="n">
        <v>2022</v>
      </c>
      <c r="B499" s="4" t="n">
        <v>190648</v>
      </c>
      <c r="C499" s="4" t="n">
        <v>13209</v>
      </c>
      <c r="D499" s="4" t="n">
        <v>3995.7225</v>
      </c>
      <c r="E499" s="5" t="n">
        <v>47.7</v>
      </c>
      <c r="F499" s="3" t="inlineStr">
        <is>
          <t>장군면</t>
        </is>
      </c>
      <c r="G499" s="3" t="inlineStr">
        <is>
          <t>평기리</t>
        </is>
      </c>
      <c r="H499" s="3" t="inlineStr">
        <is>
          <t>보전관리지역</t>
        </is>
      </c>
      <c r="I499" s="3" t="inlineStr">
        <is>
          <t>임야</t>
        </is>
      </c>
      <c r="J499" s="3" t="inlineStr">
        <is>
          <t>장군면</t>
        </is>
      </c>
    </row>
    <row r="500">
      <c r="A500" s="3" t="n">
        <v>2022</v>
      </c>
      <c r="B500" s="4" t="n">
        <v>14565</v>
      </c>
      <c r="C500" s="4" t="n">
        <v>605</v>
      </c>
      <c r="D500" s="4" t="n">
        <v>183.0125</v>
      </c>
      <c r="E500" s="5" t="n">
        <v>79.59999999999999</v>
      </c>
      <c r="F500" s="3" t="inlineStr">
        <is>
          <t>장군면</t>
        </is>
      </c>
      <c r="G500" s="3" t="inlineStr">
        <is>
          <t>평기리</t>
        </is>
      </c>
      <c r="H500" s="3" t="inlineStr">
        <is>
          <t>보전관리지역</t>
        </is>
      </c>
      <c r="I500" s="3" t="inlineStr">
        <is>
          <t>전</t>
        </is>
      </c>
      <c r="J500" s="3" t="inlineStr">
        <is>
          <t>장군면</t>
        </is>
      </c>
    </row>
    <row r="501">
      <c r="A501" s="3" t="n">
        <v>2022</v>
      </c>
      <c r="B501" s="4" t="n">
        <v>14806</v>
      </c>
      <c r="C501" s="4" t="n">
        <v>615</v>
      </c>
      <c r="D501" s="4" t="n">
        <v>186.0375</v>
      </c>
      <c r="E501" s="5" t="n">
        <v>79.59999999999999</v>
      </c>
      <c r="F501" s="3" t="inlineStr">
        <is>
          <t>장군면</t>
        </is>
      </c>
      <c r="G501" s="3" t="inlineStr">
        <is>
          <t>평기리</t>
        </is>
      </c>
      <c r="H501" s="3" t="inlineStr">
        <is>
          <t>보전관리지역</t>
        </is>
      </c>
      <c r="I501" s="3" t="inlineStr">
        <is>
          <t>목장용지</t>
        </is>
      </c>
      <c r="J501" s="3" t="inlineStr">
        <is>
          <t>장군면</t>
        </is>
      </c>
    </row>
    <row r="502">
      <c r="A502" s="3" t="n">
        <v>2022</v>
      </c>
      <c r="B502" s="4" t="n">
        <v>11460</v>
      </c>
      <c r="C502" s="4" t="n">
        <v>476</v>
      </c>
      <c r="D502" s="4" t="n">
        <v>143.99</v>
      </c>
      <c r="E502" s="5" t="n">
        <v>79.59999999999999</v>
      </c>
      <c r="F502" s="3" t="inlineStr">
        <is>
          <t>장군면</t>
        </is>
      </c>
      <c r="G502" s="3" t="inlineStr">
        <is>
          <t>평기리</t>
        </is>
      </c>
      <c r="H502" s="3" t="inlineStr">
        <is>
          <t>보전관리지역</t>
        </is>
      </c>
      <c r="I502" s="3" t="inlineStr">
        <is>
          <t>목장용지</t>
        </is>
      </c>
      <c r="J502" s="3" t="inlineStr">
        <is>
          <t>장군면</t>
        </is>
      </c>
    </row>
    <row r="503">
      <c r="A503" s="3" t="n">
        <v>2022</v>
      </c>
      <c r="B503" s="4" t="n">
        <v>102631</v>
      </c>
      <c r="C503" s="4" t="n">
        <v>4263</v>
      </c>
      <c r="D503" s="4" t="n">
        <v>1289.5575</v>
      </c>
      <c r="E503" s="5" t="n">
        <v>79.59999999999999</v>
      </c>
      <c r="F503" s="3" t="inlineStr">
        <is>
          <t>장군면</t>
        </is>
      </c>
      <c r="G503" s="3" t="inlineStr">
        <is>
          <t>평기리</t>
        </is>
      </c>
      <c r="H503" s="3" t="inlineStr">
        <is>
          <t>보전관리지역</t>
        </is>
      </c>
      <c r="I503" s="3" t="inlineStr">
        <is>
          <t>목장용지</t>
        </is>
      </c>
      <c r="J503" s="3" t="inlineStr">
        <is>
          <t>장군면</t>
        </is>
      </c>
    </row>
    <row r="504">
      <c r="A504" s="3" t="n">
        <v>2022</v>
      </c>
      <c r="B504" s="4" t="n">
        <v>6958</v>
      </c>
      <c r="C504" s="4" t="n">
        <v>289</v>
      </c>
      <c r="D504" s="4" t="n">
        <v>87.4225</v>
      </c>
      <c r="E504" s="5" t="n">
        <v>79.59999999999999</v>
      </c>
      <c r="F504" s="3" t="inlineStr">
        <is>
          <t>장군면</t>
        </is>
      </c>
      <c r="G504" s="3" t="inlineStr">
        <is>
          <t>평기리</t>
        </is>
      </c>
      <c r="H504" s="3" t="inlineStr">
        <is>
          <t>보전관리지역</t>
        </is>
      </c>
      <c r="I504" s="3" t="inlineStr">
        <is>
          <t>목장용지</t>
        </is>
      </c>
      <c r="J504" s="3" t="inlineStr">
        <is>
          <t>장군면</t>
        </is>
      </c>
    </row>
    <row r="505">
      <c r="A505" s="3" t="n">
        <v>2022</v>
      </c>
      <c r="B505" s="4" t="n">
        <v>1276</v>
      </c>
      <c r="C505" s="4" t="n">
        <v>53</v>
      </c>
      <c r="D505" s="4" t="n">
        <v>16.0325</v>
      </c>
      <c r="E505" s="5" t="n">
        <v>79.59999999999999</v>
      </c>
      <c r="F505" s="3" t="inlineStr">
        <is>
          <t>장군면</t>
        </is>
      </c>
      <c r="G505" s="3" t="inlineStr">
        <is>
          <t>평기리</t>
        </is>
      </c>
      <c r="H505" s="3" t="inlineStr">
        <is>
          <t>보전관리지역</t>
        </is>
      </c>
      <c r="I505" s="3" t="inlineStr">
        <is>
          <t>목장용지</t>
        </is>
      </c>
      <c r="J505" s="3" t="inlineStr">
        <is>
          <t>장군면</t>
        </is>
      </c>
    </row>
    <row r="506">
      <c r="A506" s="3" t="n">
        <v>2022</v>
      </c>
      <c r="B506" s="4" t="n">
        <v>12904</v>
      </c>
      <c r="C506" s="4" t="n">
        <v>536</v>
      </c>
      <c r="D506" s="4" t="n">
        <v>162.14</v>
      </c>
      <c r="E506" s="5" t="n">
        <v>79.59999999999999</v>
      </c>
      <c r="F506" s="3" t="inlineStr">
        <is>
          <t>장군면</t>
        </is>
      </c>
      <c r="G506" s="3" t="inlineStr">
        <is>
          <t>평기리</t>
        </is>
      </c>
      <c r="H506" s="3" t="inlineStr">
        <is>
          <t>보전관리지역</t>
        </is>
      </c>
      <c r="I506" s="3" t="inlineStr">
        <is>
          <t>답</t>
        </is>
      </c>
      <c r="J506" s="3" t="inlineStr">
        <is>
          <t>장군면</t>
        </is>
      </c>
    </row>
    <row r="507">
      <c r="A507" s="3" t="n">
        <v>2022</v>
      </c>
      <c r="B507" s="4" t="n">
        <v>27000</v>
      </c>
      <c r="C507" s="4" t="n">
        <v>1411</v>
      </c>
      <c r="D507" s="4" t="n">
        <v>426.8275</v>
      </c>
      <c r="E507" s="5" t="n">
        <v>63.3</v>
      </c>
      <c r="F507" s="3" t="inlineStr">
        <is>
          <t>금남면</t>
        </is>
      </c>
      <c r="G507" s="3" t="inlineStr">
        <is>
          <t>원봉리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금남면</t>
        </is>
      </c>
    </row>
    <row r="508">
      <c r="A508" s="3" t="n">
        <v>2022</v>
      </c>
      <c r="B508" s="4" t="n">
        <v>47000</v>
      </c>
      <c r="C508" s="4" t="n">
        <v>1653</v>
      </c>
      <c r="D508" s="4" t="n">
        <v>500.0325</v>
      </c>
      <c r="E508" s="5" t="n">
        <v>94</v>
      </c>
      <c r="F508" s="3" t="inlineStr">
        <is>
          <t>금남면</t>
        </is>
      </c>
      <c r="G508" s="3" t="inlineStr">
        <is>
          <t>원봉리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금남면</t>
        </is>
      </c>
    </row>
    <row r="509">
      <c r="A509" s="3" t="n">
        <v>2026</v>
      </c>
      <c r="B509" s="4" t="n">
        <v>21900</v>
      </c>
      <c r="C509" s="4" t="n">
        <v>2413</v>
      </c>
      <c r="D509" s="4" t="n">
        <v>729.9325</v>
      </c>
      <c r="E509" s="5" t="n">
        <v>30</v>
      </c>
      <c r="F509" s="3" t="inlineStr">
        <is>
          <t>전동면</t>
        </is>
      </c>
      <c r="G509" s="3" t="inlineStr">
        <is>
          <t>봉대리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전동면</t>
        </is>
      </c>
    </row>
    <row r="510">
      <c r="A510" s="3" t="n">
        <v>2026</v>
      </c>
      <c r="B510" s="4" t="n">
        <v>14850</v>
      </c>
      <c r="C510" s="4" t="n">
        <v>1636</v>
      </c>
      <c r="D510" s="4" t="n">
        <v>494.89</v>
      </c>
      <c r="E510" s="5" t="n">
        <v>30</v>
      </c>
      <c r="F510" s="3" t="inlineStr">
        <is>
          <t>전동면</t>
        </is>
      </c>
      <c r="G510" s="3" t="inlineStr">
        <is>
          <t>봉대리</t>
        </is>
      </c>
      <c r="H510" s="3" t="inlineStr">
        <is>
          <t>생산관리지역</t>
        </is>
      </c>
      <c r="I510" s="3" t="inlineStr">
        <is>
          <t>답</t>
        </is>
      </c>
      <c r="J510" s="3" t="inlineStr">
        <is>
          <t>전동면</t>
        </is>
      </c>
    </row>
    <row r="511">
      <c r="A511" s="3" t="n">
        <v>2026</v>
      </c>
      <c r="B511" s="4" t="n">
        <v>18290</v>
      </c>
      <c r="C511" s="4" t="n">
        <v>2016</v>
      </c>
      <c r="D511" s="4" t="n">
        <v>609.84</v>
      </c>
      <c r="E511" s="5" t="n">
        <v>30</v>
      </c>
      <c r="F511" s="3" t="inlineStr">
        <is>
          <t>전동면</t>
        </is>
      </c>
      <c r="G511" s="3" t="inlineStr">
        <is>
          <t>봉대리</t>
        </is>
      </c>
      <c r="H511" s="3" t="inlineStr">
        <is>
          <t>생산관리지역</t>
        </is>
      </c>
      <c r="I511" s="3" t="inlineStr">
        <is>
          <t>답</t>
        </is>
      </c>
      <c r="J511" s="3" t="inlineStr">
        <is>
          <t>전동면</t>
        </is>
      </c>
    </row>
    <row r="512">
      <c r="A512" s="3" t="n">
        <v>2026</v>
      </c>
      <c r="B512" s="4" t="n">
        <v>5560</v>
      </c>
      <c r="C512" s="4" t="n">
        <v>612</v>
      </c>
      <c r="D512" s="4" t="n">
        <v>185.13</v>
      </c>
      <c r="E512" s="5" t="n">
        <v>30</v>
      </c>
      <c r="F512" s="3" t="inlineStr">
        <is>
          <t>전동면</t>
        </is>
      </c>
      <c r="G512" s="3" t="inlineStr">
        <is>
          <t>봉대리</t>
        </is>
      </c>
      <c r="H512" s="3" t="inlineStr">
        <is>
          <t>생산관리지역</t>
        </is>
      </c>
      <c r="I512" s="3" t="inlineStr">
        <is>
          <t>답</t>
        </is>
      </c>
      <c r="J512" s="3" t="inlineStr">
        <is>
          <t>전동면</t>
        </is>
      </c>
    </row>
    <row r="513">
      <c r="A513" s="3" t="n">
        <v>2026</v>
      </c>
      <c r="B513" s="4" t="n">
        <v>39390</v>
      </c>
      <c r="C513" s="4" t="n">
        <v>4340</v>
      </c>
      <c r="D513" s="4" t="n">
        <v>1312.85</v>
      </c>
      <c r="E513" s="5" t="n">
        <v>30</v>
      </c>
      <c r="F513" s="3" t="inlineStr">
        <is>
          <t>전동면</t>
        </is>
      </c>
      <c r="G513" s="3" t="inlineStr">
        <is>
          <t>봉대리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전동면</t>
        </is>
      </c>
    </row>
    <row r="514">
      <c r="A514" s="3" t="n">
        <v>2026</v>
      </c>
      <c r="B514" s="4" t="n">
        <v>11550</v>
      </c>
      <c r="C514" s="4" t="n">
        <v>1273</v>
      </c>
      <c r="D514" s="4" t="n">
        <v>385.0825</v>
      </c>
      <c r="E514" s="5" t="n">
        <v>30</v>
      </c>
      <c r="F514" s="3" t="inlineStr">
        <is>
          <t>전동면</t>
        </is>
      </c>
      <c r="G514" s="3" t="inlineStr">
        <is>
          <t>봉대리</t>
        </is>
      </c>
      <c r="H514" s="3" t="inlineStr">
        <is>
          <t>생산관리지역</t>
        </is>
      </c>
      <c r="I514" s="3" t="inlineStr">
        <is>
          <t>답</t>
        </is>
      </c>
      <c r="J514" s="3" t="inlineStr">
        <is>
          <t>전동면</t>
        </is>
      </c>
    </row>
    <row r="515">
      <c r="A515" s="3" t="n">
        <v>2026</v>
      </c>
      <c r="B515" s="4" t="n">
        <v>12500</v>
      </c>
      <c r="C515" s="4" t="n">
        <v>298</v>
      </c>
      <c r="D515" s="4" t="n">
        <v>90.145</v>
      </c>
      <c r="E515" s="5" t="n">
        <v>138.7</v>
      </c>
      <c r="F515" s="3" t="inlineStr">
        <is>
          <t>금남면</t>
        </is>
      </c>
      <c r="G515" s="3" t="inlineStr">
        <is>
          <t>성강리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2026</v>
      </c>
      <c r="B516" s="4" t="n">
        <v>17000</v>
      </c>
      <c r="C516" s="4" t="n">
        <v>395</v>
      </c>
      <c r="D516" s="4" t="n">
        <v>119.4875</v>
      </c>
      <c r="E516" s="5" t="n">
        <v>142.3</v>
      </c>
      <c r="F516" s="3" t="inlineStr">
        <is>
          <t>금남면</t>
        </is>
      </c>
      <c r="G516" s="3" t="inlineStr">
        <is>
          <t>성강리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2026</v>
      </c>
      <c r="B517" s="4" t="n">
        <v>23000</v>
      </c>
      <c r="C517" s="4" t="n">
        <v>195</v>
      </c>
      <c r="D517" s="4" t="n">
        <v>58.9875</v>
      </c>
      <c r="E517" s="5" t="n">
        <v>389.9</v>
      </c>
      <c r="F517" s="3" t="inlineStr">
        <is>
          <t>장군면</t>
        </is>
      </c>
      <c r="G517" s="3" t="inlineStr">
        <is>
          <t>도계리</t>
        </is>
      </c>
      <c r="H517" s="3" t="inlineStr">
        <is>
          <t>계획관리지역</t>
        </is>
      </c>
      <c r="I517" s="3" t="inlineStr">
        <is>
          <t>대</t>
        </is>
      </c>
      <c r="J517" s="3" t="inlineStr">
        <is>
          <t>장군면</t>
        </is>
      </c>
    </row>
    <row r="518">
      <c r="A518" s="3" t="n">
        <v>2026</v>
      </c>
      <c r="B518" s="4" t="n">
        <v>21000</v>
      </c>
      <c r="C518" s="4" t="n">
        <v>992</v>
      </c>
      <c r="D518" s="4" t="n">
        <v>300.08</v>
      </c>
      <c r="E518" s="5" t="n">
        <v>70</v>
      </c>
      <c r="F518" s="3" t="inlineStr">
        <is>
          <t>전의면</t>
        </is>
      </c>
      <c r="G518" s="3" t="inlineStr">
        <is>
          <t>관정리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2025</v>
      </c>
      <c r="B519" s="4" t="n">
        <v>6000</v>
      </c>
      <c r="C519" s="4" t="n">
        <v>46</v>
      </c>
      <c r="D519" s="4" t="n">
        <v>13.915</v>
      </c>
      <c r="E519" s="5" t="n">
        <v>431.2</v>
      </c>
      <c r="F519" s="3" t="inlineStr">
        <is>
          <t>조치원읍</t>
        </is>
      </c>
      <c r="G519" s="3" t="inlineStr">
        <is>
          <t>명리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45000</v>
      </c>
      <c r="C520" s="4" t="n">
        <v>303.8</v>
      </c>
      <c r="D520" s="4" t="n">
        <v>91.8995</v>
      </c>
      <c r="E520" s="5" t="n">
        <v>489.7</v>
      </c>
      <c r="F520" s="3" t="inlineStr">
        <is>
          <t>아름동</t>
        </is>
      </c>
      <c r="G520" s="3" t="inlineStr"/>
      <c r="H520" s="3" t="inlineStr">
        <is>
          <t>제1종전용주거지역</t>
        </is>
      </c>
      <c r="I520" s="3" t="inlineStr">
        <is>
          <t>대</t>
        </is>
      </c>
      <c r="J520" s="3" t="inlineStr">
        <is>
          <t>아름동</t>
        </is>
      </c>
    </row>
    <row r="521">
      <c r="A521" s="3" t="n">
        <v>2025</v>
      </c>
      <c r="B521" s="4" t="n">
        <v>1782</v>
      </c>
      <c r="C521" s="4" t="n">
        <v>216</v>
      </c>
      <c r="D521" s="4" t="n">
        <v>65.34</v>
      </c>
      <c r="E521" s="5" t="n">
        <v>27.3</v>
      </c>
      <c r="F521" s="3" t="inlineStr">
        <is>
          <t>전동면</t>
        </is>
      </c>
      <c r="G521" s="3" t="inlineStr">
        <is>
          <t>심중리</t>
        </is>
      </c>
      <c r="H521" s="3" t="inlineStr">
        <is>
          <t>일반공업지역</t>
        </is>
      </c>
      <c r="I521" s="3" t="inlineStr">
        <is>
          <t>도로</t>
        </is>
      </c>
      <c r="J521" s="3" t="inlineStr">
        <is>
          <t>전동면</t>
        </is>
      </c>
    </row>
    <row r="522">
      <c r="A522" s="3" t="n">
        <v>2025</v>
      </c>
      <c r="B522" s="4" t="n">
        <v>12100</v>
      </c>
      <c r="C522" s="4" t="n">
        <v>556</v>
      </c>
      <c r="D522" s="4" t="n">
        <v>168.19</v>
      </c>
      <c r="E522" s="5" t="n">
        <v>71.90000000000001</v>
      </c>
      <c r="F522" s="3" t="inlineStr">
        <is>
          <t>전동면</t>
        </is>
      </c>
      <c r="G522" s="3" t="inlineStr">
        <is>
          <t>송곡리</t>
        </is>
      </c>
      <c r="H522" s="3" t="inlineStr">
        <is>
          <t>계획관리지역</t>
        </is>
      </c>
      <c r="I522" s="3" t="inlineStr">
        <is>
          <t>대</t>
        </is>
      </c>
      <c r="J522" s="3" t="inlineStr">
        <is>
          <t>전동면</t>
        </is>
      </c>
    </row>
    <row r="523">
      <c r="A523" s="3" t="n">
        <v>2025</v>
      </c>
      <c r="B523" s="4" t="n">
        <v>500</v>
      </c>
      <c r="C523" s="4" t="n">
        <v>109</v>
      </c>
      <c r="D523" s="4" t="n">
        <v>32.9725</v>
      </c>
      <c r="E523" s="5" t="n">
        <v>15.2</v>
      </c>
      <c r="F523" s="3" t="inlineStr">
        <is>
          <t>소정면</t>
        </is>
      </c>
      <c r="G523" s="3" t="inlineStr">
        <is>
          <t>고등리</t>
        </is>
      </c>
      <c r="H523" s="3" t="inlineStr">
        <is>
          <t>보전관리지역</t>
        </is>
      </c>
      <c r="I523" s="3" t="inlineStr">
        <is>
          <t>임야</t>
        </is>
      </c>
      <c r="J523" s="3" t="inlineStr">
        <is>
          <t>소정면</t>
        </is>
      </c>
    </row>
    <row r="524">
      <c r="A524" s="3" t="n">
        <v>2025</v>
      </c>
      <c r="B524" s="4" t="n">
        <v>23970</v>
      </c>
      <c r="C524" s="4" t="n">
        <v>931</v>
      </c>
      <c r="D524" s="4" t="n">
        <v>281.6275</v>
      </c>
      <c r="E524" s="5" t="n">
        <v>85.09999999999999</v>
      </c>
      <c r="F524" s="3" t="inlineStr">
        <is>
          <t>금남면</t>
        </is>
      </c>
      <c r="G524" s="3" t="inlineStr">
        <is>
          <t>부용리</t>
        </is>
      </c>
      <c r="H524" s="3" t="inlineStr">
        <is>
          <t>개발제한구역</t>
        </is>
      </c>
      <c r="I524" s="3" t="inlineStr">
        <is>
          <t>답</t>
        </is>
      </c>
      <c r="J524" s="3" t="inlineStr">
        <is>
          <t>금남면</t>
        </is>
      </c>
    </row>
    <row r="525">
      <c r="A525" s="3" t="n">
        <v>2025</v>
      </c>
      <c r="B525" s="4" t="n">
        <v>3848</v>
      </c>
      <c r="C525" s="4" t="n">
        <v>225</v>
      </c>
      <c r="D525" s="4" t="n">
        <v>68.0625</v>
      </c>
      <c r="E525" s="5" t="n">
        <v>56.5</v>
      </c>
      <c r="F525" s="3" t="inlineStr">
        <is>
          <t>전동면</t>
        </is>
      </c>
      <c r="G525" s="3" t="inlineStr">
        <is>
          <t>노장리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전동면</t>
        </is>
      </c>
    </row>
    <row r="526">
      <c r="A526" s="3" t="n">
        <v>2025</v>
      </c>
      <c r="B526" s="4" t="n">
        <v>13277</v>
      </c>
      <c r="C526" s="4" t="n">
        <v>781</v>
      </c>
      <c r="D526" s="4" t="n">
        <v>236.2525</v>
      </c>
      <c r="E526" s="5" t="n">
        <v>56.2</v>
      </c>
      <c r="F526" s="3" t="inlineStr">
        <is>
          <t>전동면</t>
        </is>
      </c>
      <c r="G526" s="3" t="inlineStr">
        <is>
          <t>노장리</t>
        </is>
      </c>
      <c r="H526" s="3" t="inlineStr">
        <is>
          <t>계획관리지역</t>
        </is>
      </c>
      <c r="I526" s="3" t="inlineStr">
        <is>
          <t>전</t>
        </is>
      </c>
      <c r="J526" s="3" t="inlineStr">
        <is>
          <t>전동면</t>
        </is>
      </c>
    </row>
    <row r="527">
      <c r="A527" s="3" t="n">
        <v>2025</v>
      </c>
      <c r="B527" s="4" t="n">
        <v>129890</v>
      </c>
      <c r="C527" s="4" t="n">
        <v>8380</v>
      </c>
      <c r="D527" s="4" t="n">
        <v>2534.95</v>
      </c>
      <c r="E527" s="5" t="n">
        <v>51.2</v>
      </c>
      <c r="F527" s="3" t="inlineStr">
        <is>
          <t>전동면</t>
        </is>
      </c>
      <c r="G527" s="3" t="inlineStr">
        <is>
          <t>노장리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2025</v>
      </c>
      <c r="B528" s="4" t="n">
        <v>14600</v>
      </c>
      <c r="C528" s="4" t="n">
        <v>10909</v>
      </c>
      <c r="D528" s="4" t="n">
        <v>3299.9725</v>
      </c>
      <c r="E528" s="5" t="n">
        <v>4.4</v>
      </c>
      <c r="F528" s="3" t="inlineStr">
        <is>
          <t>전의면</t>
        </is>
      </c>
      <c r="G528" s="3" t="inlineStr">
        <is>
          <t>금사리</t>
        </is>
      </c>
      <c r="H528" s="3" t="inlineStr">
        <is>
          <t>농림지역</t>
        </is>
      </c>
      <c r="I528" s="3" t="inlineStr">
        <is>
          <t>임야</t>
        </is>
      </c>
      <c r="J528" s="3" t="inlineStr">
        <is>
          <t>전의면</t>
        </is>
      </c>
    </row>
    <row r="529">
      <c r="A529" s="3" t="n">
        <v>2025</v>
      </c>
      <c r="B529" s="4" t="n">
        <v>1800</v>
      </c>
      <c r="C529" s="4" t="n">
        <v>15</v>
      </c>
      <c r="D529" s="4" t="n">
        <v>4.5375</v>
      </c>
      <c r="E529" s="5" t="n">
        <v>396.7</v>
      </c>
      <c r="F529" s="3" t="inlineStr">
        <is>
          <t>금남면</t>
        </is>
      </c>
      <c r="G529" s="3" t="inlineStr">
        <is>
          <t>부용리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금남면</t>
        </is>
      </c>
    </row>
    <row r="530">
      <c r="A530" s="3" t="n">
        <v>2025</v>
      </c>
      <c r="B530" s="4" t="n">
        <v>720</v>
      </c>
      <c r="C530" s="4" t="n">
        <v>6</v>
      </c>
      <c r="D530" s="4" t="n">
        <v>1.815</v>
      </c>
      <c r="E530" s="5" t="n">
        <v>396.7</v>
      </c>
      <c r="F530" s="3" t="inlineStr">
        <is>
          <t>금남면</t>
        </is>
      </c>
      <c r="G530" s="3" t="inlineStr">
        <is>
          <t>부용리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금남면</t>
        </is>
      </c>
    </row>
    <row r="531">
      <c r="A531" s="3" t="n">
        <v>2022</v>
      </c>
      <c r="B531" s="4" t="n">
        <v>9050</v>
      </c>
      <c r="C531" s="4" t="n">
        <v>358</v>
      </c>
      <c r="D531" s="4" t="n">
        <v>108.295</v>
      </c>
      <c r="E531" s="5" t="n">
        <v>83.59999999999999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보전관리지역</t>
        </is>
      </c>
      <c r="I531" s="3" t="inlineStr">
        <is>
          <t>임야</t>
        </is>
      </c>
      <c r="J531" s="3" t="inlineStr">
        <is>
          <t>장군면</t>
        </is>
      </c>
    </row>
    <row r="532">
      <c r="A532" s="3" t="n">
        <v>2022</v>
      </c>
      <c r="B532" s="4" t="n">
        <v>32650</v>
      </c>
      <c r="C532" s="4" t="n">
        <v>516</v>
      </c>
      <c r="D532" s="4" t="n">
        <v>156.09</v>
      </c>
      <c r="E532" s="5" t="n">
        <v>209.2</v>
      </c>
      <c r="F532" s="3" t="inlineStr">
        <is>
          <t>연기면</t>
        </is>
      </c>
      <c r="G532" s="3" t="inlineStr">
        <is>
          <t>수산리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연기면</t>
        </is>
      </c>
    </row>
    <row r="533">
      <c r="A533" s="3" t="n">
        <v>2025</v>
      </c>
      <c r="B533" s="4" t="n">
        <v>14000</v>
      </c>
      <c r="C533" s="4" t="n">
        <v>466</v>
      </c>
      <c r="D533" s="4" t="n">
        <v>140.965</v>
      </c>
      <c r="E533" s="5" t="n">
        <v>99.3</v>
      </c>
      <c r="F533" s="3" t="inlineStr">
        <is>
          <t>연기면</t>
        </is>
      </c>
      <c r="G533" s="3" t="inlineStr">
        <is>
          <t>보통리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연기면</t>
        </is>
      </c>
    </row>
    <row r="534">
      <c r="A534" s="3" t="n">
        <v>2025</v>
      </c>
      <c r="B534" s="4" t="n">
        <v>30000</v>
      </c>
      <c r="C534" s="4" t="n">
        <v>327</v>
      </c>
      <c r="D534" s="4" t="n">
        <v>98.9175</v>
      </c>
      <c r="E534" s="5" t="n">
        <v>303.3</v>
      </c>
      <c r="F534" s="3" t="inlineStr">
        <is>
          <t>장군면</t>
        </is>
      </c>
      <c r="G534" s="3" t="inlineStr">
        <is>
          <t>봉안리</t>
        </is>
      </c>
      <c r="H534" s="3" t="inlineStr">
        <is>
          <t>계획관리지역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2025</v>
      </c>
      <c r="B535" s="4" t="n">
        <v>5300</v>
      </c>
      <c r="C535" s="4" t="n">
        <v>292</v>
      </c>
      <c r="D535" s="4" t="n">
        <v>88.33</v>
      </c>
      <c r="E535" s="5" t="n">
        <v>60</v>
      </c>
      <c r="F535" s="3" t="inlineStr">
        <is>
          <t>장군면</t>
        </is>
      </c>
      <c r="G535" s="3" t="inlineStr">
        <is>
          <t>산학리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장군면</t>
        </is>
      </c>
    </row>
    <row r="536">
      <c r="A536" s="3" t="n">
        <v>2025</v>
      </c>
      <c r="B536" s="4" t="n">
        <v>18300</v>
      </c>
      <c r="C536" s="4" t="n">
        <v>626</v>
      </c>
      <c r="D536" s="4" t="n">
        <v>189.365</v>
      </c>
      <c r="E536" s="5" t="n">
        <v>96.59999999999999</v>
      </c>
      <c r="F536" s="3" t="inlineStr">
        <is>
          <t>금남면</t>
        </is>
      </c>
      <c r="G536" s="3" t="inlineStr">
        <is>
          <t>용포리</t>
        </is>
      </c>
      <c r="H536" s="3" t="inlineStr">
        <is>
          <t>개발제한구역</t>
        </is>
      </c>
      <c r="I536" s="3" t="inlineStr">
        <is>
          <t>전</t>
        </is>
      </c>
      <c r="J536" s="3" t="inlineStr">
        <is>
          <t>금남면</t>
        </is>
      </c>
    </row>
    <row r="537">
      <c r="A537" s="3" t="n">
        <v>2025</v>
      </c>
      <c r="B537" s="4" t="n">
        <v>17700</v>
      </c>
      <c r="C537" s="4" t="n">
        <v>619</v>
      </c>
      <c r="D537" s="4" t="n">
        <v>187.2475</v>
      </c>
      <c r="E537" s="5" t="n">
        <v>94.5</v>
      </c>
      <c r="F537" s="3" t="inlineStr">
        <is>
          <t>금남면</t>
        </is>
      </c>
      <c r="G537" s="3" t="inlineStr">
        <is>
          <t>용포리</t>
        </is>
      </c>
      <c r="H537" s="3" t="inlineStr">
        <is>
          <t>개발제한구역</t>
        </is>
      </c>
      <c r="I537" s="3" t="inlineStr">
        <is>
          <t>전</t>
        </is>
      </c>
      <c r="J537" s="3" t="inlineStr">
        <is>
          <t>금남면</t>
        </is>
      </c>
    </row>
    <row r="538">
      <c r="A538" s="3" t="n">
        <v>2025</v>
      </c>
      <c r="B538" s="4" t="n">
        <v>3667250</v>
      </c>
      <c r="C538" s="4" t="n">
        <v>12106</v>
      </c>
      <c r="D538" s="4" t="n">
        <v>3662.065</v>
      </c>
      <c r="E538" s="5" t="n">
        <v>1001.4</v>
      </c>
      <c r="F538" s="3" t="inlineStr">
        <is>
          <t>집현동</t>
        </is>
      </c>
      <c r="G538" s="3" t="inlineStr"/>
      <c r="H538" s="3" t="inlineStr">
        <is>
          <t>일반상업지역</t>
        </is>
      </c>
      <c r="I538" s="3" t="inlineStr">
        <is>
          <t>대</t>
        </is>
      </c>
      <c r="J538" s="3" t="inlineStr">
        <is>
          <t>집현동</t>
        </is>
      </c>
    </row>
    <row r="539">
      <c r="A539" s="3" t="n">
        <v>2025</v>
      </c>
      <c r="B539" s="4" t="n">
        <v>950</v>
      </c>
      <c r="C539" s="4" t="n">
        <v>178</v>
      </c>
      <c r="D539" s="4" t="n">
        <v>53.845</v>
      </c>
      <c r="E539" s="5" t="n">
        <v>17.6</v>
      </c>
      <c r="F539" s="3" t="inlineStr">
        <is>
          <t>장군면</t>
        </is>
      </c>
      <c r="G539" s="3" t="inlineStr">
        <is>
          <t>금암리</t>
        </is>
      </c>
      <c r="H539" s="3" t="inlineStr">
        <is>
          <t>농림지역</t>
        </is>
      </c>
      <c r="I539" s="3" t="inlineStr">
        <is>
          <t>창고용지</t>
        </is>
      </c>
      <c r="J539" s="3" t="inlineStr">
        <is>
          <t>장군면</t>
        </is>
      </c>
    </row>
    <row r="540">
      <c r="A540" s="3" t="n">
        <v>2025</v>
      </c>
      <c r="B540" s="4" t="n">
        <v>45000</v>
      </c>
      <c r="C540" s="4" t="n">
        <v>315</v>
      </c>
      <c r="D540" s="4" t="n">
        <v>95.28749999999999</v>
      </c>
      <c r="E540" s="5" t="n">
        <v>472.3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제2종일반주거지역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2025</v>
      </c>
      <c r="B541" s="4" t="n">
        <v>37655</v>
      </c>
      <c r="C541" s="4" t="n">
        <v>307</v>
      </c>
      <c r="D541" s="4" t="n">
        <v>92.86749999999999</v>
      </c>
      <c r="E541" s="5" t="n">
        <v>405.5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제2종일반주거지역</t>
        </is>
      </c>
      <c r="I541" s="3" t="inlineStr">
        <is>
          <t>대</t>
        </is>
      </c>
      <c r="J541" s="3" t="inlineStr">
        <is>
          <t>조치원읍</t>
        </is>
      </c>
    </row>
    <row r="542">
      <c r="A542" s="3" t="n">
        <v>2025</v>
      </c>
      <c r="B542" s="4" t="n">
        <v>5887</v>
      </c>
      <c r="C542" s="4" t="n">
        <v>48</v>
      </c>
      <c r="D542" s="4" t="n">
        <v>14.52</v>
      </c>
      <c r="E542" s="5" t="n">
        <v>405.4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제2종일반주거지역</t>
        </is>
      </c>
      <c r="I542" s="3" t="inlineStr">
        <is>
          <t>대</t>
        </is>
      </c>
      <c r="J542" s="3" t="inlineStr">
        <is>
          <t>조치원읍</t>
        </is>
      </c>
    </row>
    <row r="543">
      <c r="A543" s="3" t="n">
        <v>2025</v>
      </c>
      <c r="B543" s="4" t="n">
        <v>20605</v>
      </c>
      <c r="C543" s="4" t="n">
        <v>168</v>
      </c>
      <c r="D543" s="4" t="n">
        <v>50.82</v>
      </c>
      <c r="E543" s="5" t="n">
        <v>405.5</v>
      </c>
      <c r="F543" s="3" t="inlineStr">
        <is>
          <t>조치원읍</t>
        </is>
      </c>
      <c r="G543" s="3" t="inlineStr">
        <is>
          <t>신안리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조치원읍</t>
        </is>
      </c>
    </row>
    <row r="544">
      <c r="A544" s="3" t="n">
        <v>2025</v>
      </c>
      <c r="B544" s="4" t="n">
        <v>39130</v>
      </c>
      <c r="C544" s="4" t="n">
        <v>319</v>
      </c>
      <c r="D544" s="4" t="n">
        <v>96.4975</v>
      </c>
      <c r="E544" s="5" t="n">
        <v>405.5</v>
      </c>
      <c r="F544" s="3" t="inlineStr">
        <is>
          <t>조치원읍</t>
        </is>
      </c>
      <c r="G544" s="3" t="inlineStr">
        <is>
          <t>신안리</t>
        </is>
      </c>
      <c r="H544" s="3" t="inlineStr">
        <is>
          <t>제2종일반주거지역</t>
        </is>
      </c>
      <c r="I544" s="3" t="inlineStr">
        <is>
          <t>답</t>
        </is>
      </c>
      <c r="J544" s="3" t="inlineStr">
        <is>
          <t>조치원읍</t>
        </is>
      </c>
    </row>
    <row r="545">
      <c r="A545" s="3" t="n">
        <v>2025</v>
      </c>
      <c r="B545" s="4" t="n">
        <v>42683</v>
      </c>
      <c r="C545" s="4" t="n">
        <v>348</v>
      </c>
      <c r="D545" s="4" t="n">
        <v>105.27</v>
      </c>
      <c r="E545" s="5" t="n">
        <v>405.5</v>
      </c>
      <c r="F545" s="3" t="inlineStr">
        <is>
          <t>조치원읍</t>
        </is>
      </c>
      <c r="G545" s="3" t="inlineStr">
        <is>
          <t>신안리</t>
        </is>
      </c>
      <c r="H545" s="3" t="inlineStr">
        <is>
          <t>제2종일반주거지역</t>
        </is>
      </c>
      <c r="I545" s="3" t="inlineStr">
        <is>
          <t>답</t>
        </is>
      </c>
      <c r="J545" s="3" t="inlineStr">
        <is>
          <t>조치원읍</t>
        </is>
      </c>
    </row>
    <row r="546">
      <c r="A546" s="3" t="n">
        <v>2025</v>
      </c>
      <c r="B546" s="4" t="n">
        <v>2207</v>
      </c>
      <c r="C546" s="4" t="n">
        <v>18</v>
      </c>
      <c r="D546" s="4" t="n">
        <v>5.445</v>
      </c>
      <c r="E546" s="5" t="n">
        <v>405.3</v>
      </c>
      <c r="F546" s="3" t="inlineStr">
        <is>
          <t>조치원읍</t>
        </is>
      </c>
      <c r="G546" s="3" t="inlineStr">
        <is>
          <t>신안리</t>
        </is>
      </c>
      <c r="H546" s="3" t="inlineStr">
        <is>
          <t>제2종일반주거지역</t>
        </is>
      </c>
      <c r="I546" s="3" t="inlineStr">
        <is>
          <t>답</t>
        </is>
      </c>
      <c r="J546" s="3" t="inlineStr">
        <is>
          <t>조치원읍</t>
        </is>
      </c>
    </row>
    <row r="547">
      <c r="A547" s="3" t="n">
        <v>2025</v>
      </c>
      <c r="B547" s="4" t="n">
        <v>33974</v>
      </c>
      <c r="C547" s="4" t="n">
        <v>277</v>
      </c>
      <c r="D547" s="4" t="n">
        <v>83.7925</v>
      </c>
      <c r="E547" s="5" t="n">
        <v>405.5</v>
      </c>
      <c r="F547" s="3" t="inlineStr">
        <is>
          <t>조치원읍</t>
        </is>
      </c>
      <c r="G547" s="3" t="inlineStr">
        <is>
          <t>신안리</t>
        </is>
      </c>
      <c r="H547" s="3" t="inlineStr">
        <is>
          <t>제2종일반주거지역</t>
        </is>
      </c>
      <c r="I547" s="3" t="inlineStr">
        <is>
          <t>답</t>
        </is>
      </c>
      <c r="J547" s="3" t="inlineStr">
        <is>
          <t>조치원읍</t>
        </is>
      </c>
    </row>
    <row r="548">
      <c r="A548" s="3" t="n">
        <v>2025</v>
      </c>
      <c r="B548" s="4" t="n">
        <v>37286</v>
      </c>
      <c r="C548" s="4" t="n">
        <v>304</v>
      </c>
      <c r="D548" s="4" t="n">
        <v>91.95999999999999</v>
      </c>
      <c r="E548" s="5" t="n">
        <v>405.5</v>
      </c>
      <c r="F548" s="3" t="inlineStr">
        <is>
          <t>조치원읍</t>
        </is>
      </c>
      <c r="G548" s="3" t="inlineStr">
        <is>
          <t>신안리</t>
        </is>
      </c>
      <c r="H548" s="3" t="inlineStr">
        <is>
          <t>제2종일반주거지역</t>
        </is>
      </c>
      <c r="I548" s="3" t="inlineStr">
        <is>
          <t>전</t>
        </is>
      </c>
      <c r="J548" s="3" t="inlineStr">
        <is>
          <t>조치원읍</t>
        </is>
      </c>
    </row>
    <row r="549">
      <c r="A549" s="3" t="n">
        <v>2025</v>
      </c>
      <c r="B549" s="4" t="n">
        <v>22813</v>
      </c>
      <c r="C549" s="4" t="n">
        <v>186</v>
      </c>
      <c r="D549" s="4" t="n">
        <v>56.265</v>
      </c>
      <c r="E549" s="5" t="n">
        <v>405.5</v>
      </c>
      <c r="F549" s="3" t="inlineStr">
        <is>
          <t>조치원읍</t>
        </is>
      </c>
      <c r="G549" s="3" t="inlineStr">
        <is>
          <t>신안리</t>
        </is>
      </c>
      <c r="H549" s="3" t="inlineStr">
        <is>
          <t>제2종일반주거지역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2025</v>
      </c>
      <c r="B550" s="4" t="n">
        <v>38758</v>
      </c>
      <c r="C550" s="4" t="n">
        <v>316</v>
      </c>
      <c r="D550" s="4" t="n">
        <v>95.59</v>
      </c>
      <c r="E550" s="5" t="n">
        <v>405.5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제2종일반주거지역</t>
        </is>
      </c>
      <c r="I550" s="3" t="inlineStr">
        <is>
          <t>대</t>
        </is>
      </c>
      <c r="J550" s="3" t="inlineStr">
        <is>
          <t>조치원읍</t>
        </is>
      </c>
    </row>
    <row r="551">
      <c r="A551" s="3" t="n">
        <v>2025</v>
      </c>
      <c r="B551" s="4" t="n">
        <v>39249</v>
      </c>
      <c r="C551" s="4" t="n">
        <v>320</v>
      </c>
      <c r="D551" s="4" t="n">
        <v>96.8</v>
      </c>
      <c r="E551" s="5" t="n">
        <v>405.5</v>
      </c>
      <c r="F551" s="3" t="inlineStr">
        <is>
          <t>조치원읍</t>
        </is>
      </c>
      <c r="G551" s="3" t="inlineStr">
        <is>
          <t>신안리</t>
        </is>
      </c>
      <c r="H551" s="3" t="inlineStr">
        <is>
          <t>제2종일반주거지역</t>
        </is>
      </c>
      <c r="I551" s="3" t="inlineStr">
        <is>
          <t>답</t>
        </is>
      </c>
      <c r="J551" s="3" t="inlineStr">
        <is>
          <t>조치원읍</t>
        </is>
      </c>
    </row>
    <row r="552">
      <c r="A552" s="3" t="n">
        <v>2025</v>
      </c>
      <c r="B552" s="4" t="n">
        <v>12633</v>
      </c>
      <c r="C552" s="4" t="n">
        <v>103</v>
      </c>
      <c r="D552" s="4" t="n">
        <v>31.1575</v>
      </c>
      <c r="E552" s="5" t="n">
        <v>405.5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답</t>
        </is>
      </c>
      <c r="J552" s="3" t="inlineStr">
        <is>
          <t>조치원읍</t>
        </is>
      </c>
    </row>
    <row r="553">
      <c r="A553" s="3" t="n">
        <v>2025</v>
      </c>
      <c r="B553" s="4" t="n">
        <v>52740</v>
      </c>
      <c r="C553" s="4" t="n">
        <v>430</v>
      </c>
      <c r="D553" s="4" t="n">
        <v>130.075</v>
      </c>
      <c r="E553" s="5" t="n">
        <v>405.5</v>
      </c>
      <c r="F553" s="3" t="inlineStr">
        <is>
          <t>조치원읍</t>
        </is>
      </c>
      <c r="G553" s="3" t="inlineStr">
        <is>
          <t>신안리</t>
        </is>
      </c>
      <c r="H553" s="3" t="inlineStr">
        <is>
          <t>제2종일반주거지역</t>
        </is>
      </c>
      <c r="I553" s="3" t="inlineStr">
        <is>
          <t>답</t>
        </is>
      </c>
      <c r="J553" s="3" t="inlineStr">
        <is>
          <t>조치원읍</t>
        </is>
      </c>
    </row>
    <row r="554">
      <c r="A554" s="3" t="n">
        <v>2025</v>
      </c>
      <c r="B554" s="4" t="n">
        <v>19380</v>
      </c>
      <c r="C554" s="4" t="n">
        <v>158</v>
      </c>
      <c r="D554" s="4" t="n">
        <v>47.795</v>
      </c>
      <c r="E554" s="5" t="n">
        <v>405.5</v>
      </c>
      <c r="F554" s="3" t="inlineStr">
        <is>
          <t>조치원읍</t>
        </is>
      </c>
      <c r="G554" s="3" t="inlineStr">
        <is>
          <t>신안리</t>
        </is>
      </c>
      <c r="H554" s="3" t="inlineStr">
        <is>
          <t>제2종일반주거지역</t>
        </is>
      </c>
      <c r="I554" s="3" t="inlineStr">
        <is>
          <t>답</t>
        </is>
      </c>
      <c r="J554" s="3" t="inlineStr">
        <is>
          <t>조치원읍</t>
        </is>
      </c>
    </row>
    <row r="555">
      <c r="A555" s="3" t="n">
        <v>2025</v>
      </c>
      <c r="B555" s="4" t="n">
        <v>170850</v>
      </c>
      <c r="C555" s="4" t="n">
        <v>12794</v>
      </c>
      <c r="D555" s="4" t="n">
        <v>3870.185</v>
      </c>
      <c r="E555" s="5" t="n">
        <v>44.1</v>
      </c>
      <c r="F555" s="3" t="inlineStr">
        <is>
          <t>금남면</t>
        </is>
      </c>
      <c r="G555" s="3" t="inlineStr">
        <is>
          <t>발산리</t>
        </is>
      </c>
      <c r="H555" s="3" t="inlineStr">
        <is>
          <t>개발제한구역</t>
        </is>
      </c>
      <c r="I555" s="3" t="inlineStr">
        <is>
          <t>임야</t>
        </is>
      </c>
      <c r="J555" s="3" t="inlineStr">
        <is>
          <t>금남면</t>
        </is>
      </c>
    </row>
    <row r="556">
      <c r="A556" s="3" t="n">
        <v>2025</v>
      </c>
      <c r="B556" s="4" t="n">
        <v>14650</v>
      </c>
      <c r="C556" s="4" t="n">
        <v>1097</v>
      </c>
      <c r="D556" s="4" t="n">
        <v>331.8425</v>
      </c>
      <c r="E556" s="5" t="n">
        <v>44.1</v>
      </c>
      <c r="F556" s="3" t="inlineStr">
        <is>
          <t>금남면</t>
        </is>
      </c>
      <c r="G556" s="3" t="inlineStr">
        <is>
          <t>발산리</t>
        </is>
      </c>
      <c r="H556" s="3" t="inlineStr">
        <is>
          <t>개발제한구역</t>
        </is>
      </c>
      <c r="I556" s="3" t="inlineStr">
        <is>
          <t>전</t>
        </is>
      </c>
      <c r="J556" s="3" t="inlineStr">
        <is>
          <t>금남면</t>
        </is>
      </c>
    </row>
    <row r="557">
      <c r="A557" s="3" t="n">
        <v>2025</v>
      </c>
      <c r="B557" s="4" t="n">
        <v>8750</v>
      </c>
      <c r="C557" s="4" t="n">
        <v>655</v>
      </c>
      <c r="D557" s="4" t="n">
        <v>198.1375</v>
      </c>
      <c r="E557" s="5" t="n">
        <v>44.2</v>
      </c>
      <c r="F557" s="3" t="inlineStr">
        <is>
          <t>금남면</t>
        </is>
      </c>
      <c r="G557" s="3" t="inlineStr">
        <is>
          <t>발산리</t>
        </is>
      </c>
      <c r="H557" s="3" t="inlineStr">
        <is>
          <t>개발제한구역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2025</v>
      </c>
      <c r="B558" s="4" t="n">
        <v>1250</v>
      </c>
      <c r="C558" s="4" t="n">
        <v>93</v>
      </c>
      <c r="D558" s="4" t="n">
        <v>28.1325</v>
      </c>
      <c r="E558" s="5" t="n">
        <v>44.4</v>
      </c>
      <c r="F558" s="3" t="inlineStr">
        <is>
          <t>금남면</t>
        </is>
      </c>
      <c r="G558" s="3" t="inlineStr">
        <is>
          <t>발산리</t>
        </is>
      </c>
      <c r="H558" s="3" t="inlineStr">
        <is>
          <t>개발제한구역</t>
        </is>
      </c>
      <c r="I558" s="3" t="inlineStr">
        <is>
          <t>도로</t>
        </is>
      </c>
      <c r="J558" s="3" t="inlineStr">
        <is>
          <t>금남면</t>
        </is>
      </c>
    </row>
    <row r="559">
      <c r="A559" s="3" t="n">
        <v>2025</v>
      </c>
      <c r="B559" s="4" t="n">
        <v>2500</v>
      </c>
      <c r="C559" s="4" t="n">
        <v>397</v>
      </c>
      <c r="D559" s="4" t="n">
        <v>120.0925</v>
      </c>
      <c r="E559" s="5" t="n">
        <v>20.8</v>
      </c>
      <c r="F559" s="3" t="inlineStr">
        <is>
          <t>금남면</t>
        </is>
      </c>
      <c r="G559" s="3" t="inlineStr">
        <is>
          <t>발산리</t>
        </is>
      </c>
      <c r="H559" s="3" t="inlineStr">
        <is>
          <t>개발제한구역</t>
        </is>
      </c>
      <c r="I559" s="3" t="inlineStr">
        <is>
          <t>도로</t>
        </is>
      </c>
      <c r="J559" s="3" t="inlineStr">
        <is>
          <t>금남면</t>
        </is>
      </c>
    </row>
    <row r="560">
      <c r="A560" s="3" t="n">
        <v>2026</v>
      </c>
      <c r="B560" s="4" t="n">
        <v>57000</v>
      </c>
      <c r="C560" s="4" t="n">
        <v>5136</v>
      </c>
      <c r="D560" s="4" t="n">
        <v>1553.64</v>
      </c>
      <c r="E560" s="5" t="n">
        <v>36.7</v>
      </c>
      <c r="F560" s="3" t="inlineStr">
        <is>
          <t>연동면</t>
        </is>
      </c>
      <c r="G560" s="3" t="inlineStr">
        <is>
          <t>송용리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연동면</t>
        </is>
      </c>
    </row>
    <row r="561">
      <c r="A561" s="3" t="n">
        <v>2026</v>
      </c>
      <c r="B561" s="4" t="n">
        <v>5000</v>
      </c>
      <c r="C561" s="4" t="n">
        <v>1002</v>
      </c>
      <c r="D561" s="4" t="n">
        <v>303.105</v>
      </c>
      <c r="E561" s="5" t="n">
        <v>16.5</v>
      </c>
      <c r="F561" s="3" t="inlineStr">
        <is>
          <t>전동면</t>
        </is>
      </c>
      <c r="G561" s="3" t="inlineStr">
        <is>
          <t>미곡리</t>
        </is>
      </c>
      <c r="H561" s="3" t="inlineStr">
        <is>
          <t>생산관리지역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2026</v>
      </c>
      <c r="B562" s="4" t="n">
        <v>4000</v>
      </c>
      <c r="C562" s="4" t="n">
        <v>201</v>
      </c>
      <c r="D562" s="4" t="n">
        <v>60.80249999999999</v>
      </c>
      <c r="E562" s="5" t="n">
        <v>65.8</v>
      </c>
      <c r="F562" s="3" t="inlineStr">
        <is>
          <t>연동면</t>
        </is>
      </c>
      <c r="G562" s="3" t="inlineStr">
        <is>
          <t>노송리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연동면</t>
        </is>
      </c>
    </row>
    <row r="563">
      <c r="A563" s="3" t="n">
        <v>2026</v>
      </c>
      <c r="B563" s="4" t="n">
        <v>18000</v>
      </c>
      <c r="C563" s="4" t="n">
        <v>1355</v>
      </c>
      <c r="D563" s="4" t="n">
        <v>409.8875</v>
      </c>
      <c r="E563" s="5" t="n">
        <v>43.9</v>
      </c>
      <c r="F563" s="3" t="inlineStr">
        <is>
          <t>전동면</t>
        </is>
      </c>
      <c r="G563" s="3" t="inlineStr">
        <is>
          <t>송곡리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전동면</t>
        </is>
      </c>
    </row>
    <row r="564">
      <c r="A564" s="3" t="n">
        <v>2026</v>
      </c>
      <c r="B564" s="4" t="n">
        <v>64700</v>
      </c>
      <c r="C564" s="4" t="n">
        <v>2646</v>
      </c>
      <c r="D564" s="4" t="n">
        <v>800.415</v>
      </c>
      <c r="E564" s="5" t="n">
        <v>80.8</v>
      </c>
      <c r="F564" s="3" t="inlineStr">
        <is>
          <t>금남면</t>
        </is>
      </c>
      <c r="G564" s="3" t="inlineStr">
        <is>
          <t>영곡리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금남면</t>
        </is>
      </c>
    </row>
    <row r="565">
      <c r="A565" s="3" t="n">
        <v>2026</v>
      </c>
      <c r="B565" s="4" t="n">
        <v>45300</v>
      </c>
      <c r="C565" s="4" t="n">
        <v>1852</v>
      </c>
      <c r="D565" s="4" t="n">
        <v>560.23</v>
      </c>
      <c r="E565" s="5" t="n">
        <v>80.90000000000001</v>
      </c>
      <c r="F565" s="3" t="inlineStr">
        <is>
          <t>금남면</t>
        </is>
      </c>
      <c r="G565" s="3" t="inlineStr">
        <is>
          <t>영곡리</t>
        </is>
      </c>
      <c r="H565" s="3" t="inlineStr">
        <is>
          <t>농림지역</t>
        </is>
      </c>
      <c r="I565" s="3" t="inlineStr">
        <is>
          <t>답</t>
        </is>
      </c>
      <c r="J565" s="3" t="inlineStr">
        <is>
          <t>금남면</t>
        </is>
      </c>
    </row>
    <row r="566">
      <c r="A566" s="3" t="n">
        <v>2026</v>
      </c>
      <c r="B566" s="4" t="n">
        <v>5800</v>
      </c>
      <c r="C566" s="4" t="n">
        <v>627</v>
      </c>
      <c r="D566" s="4" t="n">
        <v>189.6675</v>
      </c>
      <c r="E566" s="5" t="n">
        <v>30.6</v>
      </c>
      <c r="F566" s="3" t="inlineStr">
        <is>
          <t>장군면</t>
        </is>
      </c>
      <c r="G566" s="3" t="inlineStr">
        <is>
          <t>용암리</t>
        </is>
      </c>
      <c r="H566" s="3" t="inlineStr">
        <is>
          <t>생산관리지역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2026</v>
      </c>
      <c r="B567" s="4" t="n">
        <v>6000</v>
      </c>
      <c r="C567" s="4" t="n">
        <v>3273</v>
      </c>
      <c r="D567" s="4" t="n">
        <v>990.0825</v>
      </c>
      <c r="E567" s="5" t="n">
        <v>6.1</v>
      </c>
      <c r="F567" s="3" t="inlineStr">
        <is>
          <t>연동면</t>
        </is>
      </c>
      <c r="G567" s="3" t="inlineStr">
        <is>
          <t>명학리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연동면</t>
        </is>
      </c>
    </row>
    <row r="568">
      <c r="A568" s="3" t="n">
        <v>2026</v>
      </c>
      <c r="B568" s="4" t="n">
        <v>11700</v>
      </c>
      <c r="C568" s="4" t="n">
        <v>1226</v>
      </c>
      <c r="D568" s="4" t="n">
        <v>370.865</v>
      </c>
      <c r="E568" s="5" t="n">
        <v>31.5</v>
      </c>
      <c r="F568" s="3" t="inlineStr">
        <is>
          <t>금남면</t>
        </is>
      </c>
      <c r="G568" s="3" t="inlineStr">
        <is>
          <t>남곡리</t>
        </is>
      </c>
      <c r="H568" s="3" t="inlineStr">
        <is>
          <t>개발제한구역</t>
        </is>
      </c>
      <c r="I568" s="3" t="inlineStr">
        <is>
          <t>전</t>
        </is>
      </c>
      <c r="J568" s="3" t="inlineStr">
        <is>
          <t>금남면</t>
        </is>
      </c>
    </row>
    <row r="569">
      <c r="A569" s="3" t="n">
        <v>2026</v>
      </c>
      <c r="B569" s="4" t="n">
        <v>10000</v>
      </c>
      <c r="C569" s="4" t="n">
        <v>2281</v>
      </c>
      <c r="D569" s="4" t="n">
        <v>690.0024999999999</v>
      </c>
      <c r="E569" s="5" t="n">
        <v>14.5</v>
      </c>
      <c r="F569" s="3" t="inlineStr">
        <is>
          <t>금남면</t>
        </is>
      </c>
      <c r="G569" s="3" t="inlineStr">
        <is>
          <t>황용리</t>
        </is>
      </c>
      <c r="H569" s="3" t="inlineStr">
        <is>
          <t>개발제한구역</t>
        </is>
      </c>
      <c r="I569" s="3" t="inlineStr">
        <is>
          <t>임야</t>
        </is>
      </c>
      <c r="J569" s="3" t="inlineStr">
        <is>
          <t>금남면</t>
        </is>
      </c>
    </row>
    <row r="570">
      <c r="A570" s="3" t="n">
        <v>2026</v>
      </c>
      <c r="B570" s="4" t="n">
        <v>33078</v>
      </c>
      <c r="C570" s="4" t="n">
        <v>2956</v>
      </c>
      <c r="D570" s="4" t="n">
        <v>894.1899999999999</v>
      </c>
      <c r="E570" s="5" t="n">
        <v>37</v>
      </c>
      <c r="F570" s="3" t="inlineStr">
        <is>
          <t>연동면</t>
        </is>
      </c>
      <c r="G570" s="3" t="inlineStr">
        <is>
          <t>송용리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연동면</t>
        </is>
      </c>
    </row>
    <row r="571">
      <c r="A571" s="3" t="n">
        <v>2026</v>
      </c>
      <c r="B571" s="4" t="n">
        <v>22500</v>
      </c>
      <c r="C571" s="4" t="n">
        <v>743</v>
      </c>
      <c r="D571" s="4" t="n">
        <v>224.7575</v>
      </c>
      <c r="E571" s="5" t="n">
        <v>100.1</v>
      </c>
      <c r="F571" s="3" t="inlineStr">
        <is>
          <t>연서면</t>
        </is>
      </c>
      <c r="G571" s="3" t="inlineStr">
        <is>
          <t>고복리</t>
        </is>
      </c>
      <c r="H571" s="3" t="inlineStr">
        <is>
          <t>보전관리지역</t>
        </is>
      </c>
      <c r="I571" s="3" t="inlineStr">
        <is>
          <t>과수원</t>
        </is>
      </c>
      <c r="J571" s="3" t="inlineStr">
        <is>
          <t>연서면</t>
        </is>
      </c>
    </row>
    <row r="572">
      <c r="A572" s="3" t="n">
        <v>2026</v>
      </c>
      <c r="B572" s="4" t="n">
        <v>12800</v>
      </c>
      <c r="C572" s="4" t="n">
        <v>771</v>
      </c>
      <c r="D572" s="4" t="n">
        <v>233.2275</v>
      </c>
      <c r="E572" s="5" t="n">
        <v>54.9</v>
      </c>
      <c r="F572" s="3" t="inlineStr">
        <is>
          <t>소정면</t>
        </is>
      </c>
      <c r="G572" s="3" t="inlineStr">
        <is>
          <t>운당리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소정면</t>
        </is>
      </c>
    </row>
    <row r="573">
      <c r="A573" s="3" t="n">
        <v>2026</v>
      </c>
      <c r="B573" s="4" t="n">
        <v>42300</v>
      </c>
      <c r="C573" s="4" t="n">
        <v>335.9</v>
      </c>
      <c r="D573" s="4" t="n">
        <v>101.60975</v>
      </c>
      <c r="E573" s="5" t="n">
        <v>416.3</v>
      </c>
      <c r="F573" s="3" t="inlineStr">
        <is>
          <t>고운동</t>
        </is>
      </c>
      <c r="G573" s="3" t="inlineStr"/>
      <c r="H573" s="3" t="inlineStr">
        <is>
          <t>제1종전용주거지역</t>
        </is>
      </c>
      <c r="I573" s="3" t="inlineStr">
        <is>
          <t>대</t>
        </is>
      </c>
      <c r="J573" s="3" t="inlineStr">
        <is>
          <t>고운동</t>
        </is>
      </c>
    </row>
    <row r="574">
      <c r="A574" s="3" t="n">
        <v>2026</v>
      </c>
      <c r="B574" s="4" t="n">
        <v>20072</v>
      </c>
      <c r="C574" s="4" t="n">
        <v>1580</v>
      </c>
      <c r="D574" s="4" t="n">
        <v>477.95</v>
      </c>
      <c r="E574" s="5" t="n">
        <v>42</v>
      </c>
      <c r="F574" s="3" t="inlineStr">
        <is>
          <t>금남면</t>
        </is>
      </c>
      <c r="G574" s="3" t="inlineStr">
        <is>
          <t>영대리</t>
        </is>
      </c>
      <c r="H574" s="3" t="inlineStr">
        <is>
          <t>개발제한구역</t>
        </is>
      </c>
      <c r="I574" s="3" t="inlineStr">
        <is>
          <t>전</t>
        </is>
      </c>
      <c r="J574" s="3" t="inlineStr">
        <is>
          <t>금남면</t>
        </is>
      </c>
    </row>
    <row r="575">
      <c r="A575" s="3" t="n">
        <v>2026</v>
      </c>
      <c r="B575" s="4" t="n">
        <v>3988</v>
      </c>
      <c r="C575" s="4" t="n">
        <v>314</v>
      </c>
      <c r="D575" s="4" t="n">
        <v>94.985</v>
      </c>
      <c r="E575" s="5" t="n">
        <v>42</v>
      </c>
      <c r="F575" s="3" t="inlineStr">
        <is>
          <t>금남면</t>
        </is>
      </c>
      <c r="G575" s="3" t="inlineStr">
        <is>
          <t>영대리</t>
        </is>
      </c>
      <c r="H575" s="3" t="inlineStr">
        <is>
          <t>개발제한구역</t>
        </is>
      </c>
      <c r="I575" s="3" t="inlineStr">
        <is>
          <t>전</t>
        </is>
      </c>
      <c r="J575" s="3" t="inlineStr">
        <is>
          <t>금남면</t>
        </is>
      </c>
    </row>
    <row r="576">
      <c r="A576" s="3" t="n">
        <v>2026</v>
      </c>
      <c r="B576" s="4" t="n">
        <v>27000</v>
      </c>
      <c r="C576" s="4" t="n">
        <v>2343</v>
      </c>
      <c r="D576" s="4" t="n">
        <v>708.7574999999999</v>
      </c>
      <c r="E576" s="5" t="n">
        <v>38.1</v>
      </c>
      <c r="F576" s="3" t="inlineStr">
        <is>
          <t>연서면</t>
        </is>
      </c>
      <c r="G576" s="3" t="inlineStr">
        <is>
          <t>쌍류리</t>
        </is>
      </c>
      <c r="H576" s="3" t="inlineStr">
        <is>
          <t>생산관리지역</t>
        </is>
      </c>
      <c r="I576" s="3" t="inlineStr">
        <is>
          <t>답</t>
        </is>
      </c>
      <c r="J576" s="3" t="inlineStr">
        <is>
          <t>연서면</t>
        </is>
      </c>
    </row>
    <row r="577">
      <c r="A577" s="3" t="n">
        <v>2026</v>
      </c>
      <c r="B577" s="4" t="n">
        <v>6450</v>
      </c>
      <c r="C577" s="4" t="n">
        <v>426</v>
      </c>
      <c r="D577" s="4" t="n">
        <v>128.865</v>
      </c>
      <c r="E577" s="5" t="n">
        <v>50.1</v>
      </c>
      <c r="F577" s="3" t="inlineStr">
        <is>
          <t>전의면</t>
        </is>
      </c>
      <c r="G577" s="3" t="inlineStr">
        <is>
          <t>신정리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2026</v>
      </c>
      <c r="B578" s="4" t="n">
        <v>19830</v>
      </c>
      <c r="C578" s="4" t="n">
        <v>2469</v>
      </c>
      <c r="D578" s="4" t="n">
        <v>746.8724999999999</v>
      </c>
      <c r="E578" s="5" t="n">
        <v>26.6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전의면</t>
        </is>
      </c>
    </row>
    <row r="579">
      <c r="A579" s="3" t="n">
        <v>2026</v>
      </c>
      <c r="B579" s="4" t="n">
        <v>12000</v>
      </c>
      <c r="C579" s="4" t="n">
        <v>659</v>
      </c>
      <c r="D579" s="4" t="n">
        <v>199.3475</v>
      </c>
      <c r="E579" s="5" t="n">
        <v>60.2</v>
      </c>
      <c r="F579" s="3" t="inlineStr">
        <is>
          <t>연서면</t>
        </is>
      </c>
      <c r="G579" s="3" t="inlineStr">
        <is>
          <t>와촌리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2026</v>
      </c>
      <c r="B580" s="4" t="n">
        <v>6860</v>
      </c>
      <c r="C580" s="4" t="n">
        <v>1134</v>
      </c>
      <c r="D580" s="4" t="n">
        <v>343.035</v>
      </c>
      <c r="E580" s="5" t="n">
        <v>20</v>
      </c>
      <c r="F580" s="3" t="inlineStr">
        <is>
          <t>전의면</t>
        </is>
      </c>
      <c r="G580" s="3" t="inlineStr">
        <is>
          <t>신정리</t>
        </is>
      </c>
      <c r="H580" s="3" t="inlineStr">
        <is>
          <t>생산관리지역</t>
        </is>
      </c>
      <c r="I580" s="3" t="inlineStr">
        <is>
          <t>전</t>
        </is>
      </c>
      <c r="J580" s="3" t="inlineStr">
        <is>
          <t>전의면</t>
        </is>
      </c>
    </row>
    <row r="581">
      <c r="A581" s="3" t="n">
        <v>2026</v>
      </c>
      <c r="B581" s="4" t="n">
        <v>4400</v>
      </c>
      <c r="C581" s="4" t="n">
        <v>152</v>
      </c>
      <c r="D581" s="4" t="n">
        <v>45.98</v>
      </c>
      <c r="E581" s="5" t="n">
        <v>95.7</v>
      </c>
      <c r="F581" s="3" t="inlineStr">
        <is>
          <t>금남면</t>
        </is>
      </c>
      <c r="G581" s="3" t="inlineStr">
        <is>
          <t>원봉리</t>
        </is>
      </c>
      <c r="H581" s="3" t="inlineStr">
        <is>
          <t>생산관리지역</t>
        </is>
      </c>
      <c r="I581" s="3" t="inlineStr">
        <is>
          <t>대</t>
        </is>
      </c>
      <c r="J581" s="3" t="inlineStr">
        <is>
          <t>금남면</t>
        </is>
      </c>
    </row>
    <row r="582">
      <c r="A582" s="3" t="n">
        <v>2026</v>
      </c>
      <c r="B582" s="4" t="n">
        <v>9600</v>
      </c>
      <c r="C582" s="4" t="n">
        <v>496</v>
      </c>
      <c r="D582" s="4" t="n">
        <v>150.04</v>
      </c>
      <c r="E582" s="5" t="n">
        <v>64</v>
      </c>
      <c r="F582" s="3" t="inlineStr">
        <is>
          <t>금남면</t>
        </is>
      </c>
      <c r="G582" s="3" t="inlineStr">
        <is>
          <t>원봉리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2026</v>
      </c>
      <c r="B583" s="4" t="n">
        <v>48000</v>
      </c>
      <c r="C583" s="4" t="n">
        <v>720</v>
      </c>
      <c r="D583" s="4" t="n">
        <v>217.8</v>
      </c>
      <c r="E583" s="5" t="n">
        <v>220.4</v>
      </c>
      <c r="F583" s="3" t="inlineStr">
        <is>
          <t>장군면</t>
        </is>
      </c>
      <c r="G583" s="3" t="inlineStr">
        <is>
          <t>대교리</t>
        </is>
      </c>
      <c r="H583" s="3" t="inlineStr">
        <is>
          <t>보전관리지역</t>
        </is>
      </c>
      <c r="I583" s="3" t="inlineStr">
        <is>
          <t>대</t>
        </is>
      </c>
      <c r="J583" s="3" t="inlineStr">
        <is>
          <t>장군면</t>
        </is>
      </c>
    </row>
    <row r="584">
      <c r="A584" s="3" t="n">
        <v>2026</v>
      </c>
      <c r="B584" s="4" t="n">
        <v>47000</v>
      </c>
      <c r="C584" s="4" t="n">
        <v>351</v>
      </c>
      <c r="D584" s="4" t="n">
        <v>106.1775</v>
      </c>
      <c r="E584" s="5" t="n">
        <v>442.7</v>
      </c>
      <c r="F584" s="3" t="inlineStr">
        <is>
          <t>고운동</t>
        </is>
      </c>
      <c r="G584" s="3" t="inlineStr"/>
      <c r="H584" s="3" t="inlineStr">
        <is>
          <t>제1종전용주거지역</t>
        </is>
      </c>
      <c r="I584" s="3" t="inlineStr">
        <is>
          <t>대</t>
        </is>
      </c>
      <c r="J584" s="3" t="inlineStr">
        <is>
          <t>고운동</t>
        </is>
      </c>
    </row>
    <row r="585">
      <c r="A585" s="3" t="n">
        <v>2026</v>
      </c>
      <c r="B585" s="4" t="n">
        <v>4922</v>
      </c>
      <c r="C585" s="4" t="n">
        <v>879</v>
      </c>
      <c r="D585" s="4" t="n">
        <v>265.8975</v>
      </c>
      <c r="E585" s="5" t="n">
        <v>18.5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2024</v>
      </c>
      <c r="B586" s="4" t="n">
        <v>77646</v>
      </c>
      <c r="C586" s="4" t="n">
        <v>619</v>
      </c>
      <c r="D586" s="4" t="n">
        <v>187.2475</v>
      </c>
      <c r="E586" s="5" t="n">
        <v>414.7</v>
      </c>
      <c r="F586" s="3" t="inlineStr">
        <is>
          <t>조치원읍</t>
        </is>
      </c>
      <c r="G586" s="3" t="inlineStr">
        <is>
          <t>신안리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2024</v>
      </c>
      <c r="B587" s="4" t="n">
        <v>12320</v>
      </c>
      <c r="C587" s="4" t="n">
        <v>1663</v>
      </c>
      <c r="D587" s="4" t="n">
        <v>503.0575</v>
      </c>
      <c r="E587" s="5" t="n">
        <v>24.5</v>
      </c>
      <c r="F587" s="3" t="inlineStr">
        <is>
          <t>전동면</t>
        </is>
      </c>
      <c r="G587" s="3" t="inlineStr">
        <is>
          <t>송성리</t>
        </is>
      </c>
      <c r="H587" s="3" t="inlineStr">
        <is>
          <t>생산관리지역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2024</v>
      </c>
      <c r="B588" s="4" t="n">
        <v>209400</v>
      </c>
      <c r="C588" s="4" t="n">
        <v>18717</v>
      </c>
      <c r="D588" s="4" t="n">
        <v>5661.8925</v>
      </c>
      <c r="E588" s="5" t="n">
        <v>37</v>
      </c>
      <c r="F588" s="3" t="inlineStr">
        <is>
          <t>장군면</t>
        </is>
      </c>
      <c r="G588" s="3" t="inlineStr">
        <is>
          <t>금암리</t>
        </is>
      </c>
      <c r="H588" s="3" t="inlineStr">
        <is>
          <t>농림지역</t>
        </is>
      </c>
      <c r="I588" s="3" t="inlineStr">
        <is>
          <t>임야</t>
        </is>
      </c>
      <c r="J588" s="3" t="inlineStr">
        <is>
          <t>장군면</t>
        </is>
      </c>
    </row>
    <row r="589">
      <c r="A589" s="3" t="n">
        <v>2024</v>
      </c>
      <c r="B589" s="4" t="n">
        <v>30600</v>
      </c>
      <c r="C589" s="4" t="n">
        <v>2735</v>
      </c>
      <c r="D589" s="4" t="n">
        <v>827.3375</v>
      </c>
      <c r="E589" s="5" t="n">
        <v>37</v>
      </c>
      <c r="F589" s="3" t="inlineStr">
        <is>
          <t>장군면</t>
        </is>
      </c>
      <c r="G589" s="3" t="inlineStr">
        <is>
          <t>금암리</t>
        </is>
      </c>
      <c r="H589" s="3" t="inlineStr">
        <is>
          <t>농림지역</t>
        </is>
      </c>
      <c r="I589" s="3" t="inlineStr">
        <is>
          <t>임야</t>
        </is>
      </c>
      <c r="J589" s="3" t="inlineStr">
        <is>
          <t>장군면</t>
        </is>
      </c>
    </row>
    <row r="590">
      <c r="A590" s="3" t="n">
        <v>2024</v>
      </c>
      <c r="B590" s="4" t="n">
        <v>115000</v>
      </c>
      <c r="C590" s="4" t="n">
        <v>14118</v>
      </c>
      <c r="D590" s="4" t="n">
        <v>4270.695</v>
      </c>
      <c r="E590" s="5" t="n">
        <v>26.9</v>
      </c>
      <c r="F590" s="3" t="inlineStr">
        <is>
          <t>장군면</t>
        </is>
      </c>
      <c r="G590" s="3" t="inlineStr">
        <is>
          <t>금암리</t>
        </is>
      </c>
      <c r="H590" s="3" t="inlineStr">
        <is>
          <t>농림지역</t>
        </is>
      </c>
      <c r="I590" s="3" t="inlineStr">
        <is>
          <t>임야</t>
        </is>
      </c>
      <c r="J590" s="3" t="inlineStr">
        <is>
          <t>장군면</t>
        </is>
      </c>
    </row>
    <row r="591">
      <c r="A591" s="3" t="n">
        <v>2024</v>
      </c>
      <c r="B591" s="4" t="n">
        <v>15370</v>
      </c>
      <c r="C591" s="4" t="n">
        <v>1255</v>
      </c>
      <c r="D591" s="4" t="n">
        <v>379.6375</v>
      </c>
      <c r="E591" s="5" t="n">
        <v>40.5</v>
      </c>
      <c r="F591" s="3" t="inlineStr">
        <is>
          <t>금남면</t>
        </is>
      </c>
      <c r="G591" s="3" t="inlineStr">
        <is>
          <t>황용리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2024</v>
      </c>
      <c r="B592" s="4" t="n">
        <v>8462</v>
      </c>
      <c r="C592" s="4" t="n">
        <v>691</v>
      </c>
      <c r="D592" s="4" t="n">
        <v>209.0275</v>
      </c>
      <c r="E592" s="5" t="n">
        <v>40.5</v>
      </c>
      <c r="F592" s="3" t="inlineStr">
        <is>
          <t>금남면</t>
        </is>
      </c>
      <c r="G592" s="3" t="inlineStr">
        <is>
          <t>황용리</t>
        </is>
      </c>
      <c r="H592" s="3" t="inlineStr">
        <is>
          <t>자연녹지지역</t>
        </is>
      </c>
      <c r="I592" s="3" t="inlineStr">
        <is>
          <t>전</t>
        </is>
      </c>
      <c r="J592" s="3" t="inlineStr">
        <is>
          <t>금남면</t>
        </is>
      </c>
    </row>
    <row r="593">
      <c r="A593" s="3" t="n">
        <v>2024</v>
      </c>
      <c r="B593" s="4" t="n">
        <v>8168</v>
      </c>
      <c r="C593" s="4" t="n">
        <v>667</v>
      </c>
      <c r="D593" s="4" t="n">
        <v>201.7675</v>
      </c>
      <c r="E593" s="5" t="n">
        <v>40.5</v>
      </c>
      <c r="F593" s="3" t="inlineStr">
        <is>
          <t>금남면</t>
        </is>
      </c>
      <c r="G593" s="3" t="inlineStr">
        <is>
          <t>황용리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금남면</t>
        </is>
      </c>
    </row>
    <row r="594">
      <c r="A594" s="3" t="n">
        <v>2024</v>
      </c>
      <c r="B594" s="4" t="n">
        <v>10000</v>
      </c>
      <c r="C594" s="4" t="n">
        <v>852</v>
      </c>
      <c r="D594" s="4" t="n">
        <v>257.73</v>
      </c>
      <c r="E594" s="5" t="n">
        <v>38.8</v>
      </c>
      <c r="F594" s="3" t="inlineStr">
        <is>
          <t>금남면</t>
        </is>
      </c>
      <c r="G594" s="3" t="inlineStr">
        <is>
          <t>황용리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금남면</t>
        </is>
      </c>
    </row>
    <row r="595">
      <c r="A595" s="3" t="n">
        <v>2024</v>
      </c>
      <c r="B595" s="4" t="n">
        <v>2730</v>
      </c>
      <c r="C595" s="4" t="n">
        <v>200</v>
      </c>
      <c r="D595" s="4" t="n">
        <v>60.5</v>
      </c>
      <c r="E595" s="5" t="n">
        <v>45.1</v>
      </c>
      <c r="F595" s="3" t="inlineStr">
        <is>
          <t>전동면</t>
        </is>
      </c>
      <c r="G595" s="3" t="inlineStr">
        <is>
          <t>봉대리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전동면</t>
        </is>
      </c>
    </row>
    <row r="596">
      <c r="A596" s="3" t="n">
        <v>2024</v>
      </c>
      <c r="B596" s="4" t="n">
        <v>2200</v>
      </c>
      <c r="C596" s="4" t="n">
        <v>456</v>
      </c>
      <c r="D596" s="4" t="n">
        <v>137.94</v>
      </c>
      <c r="E596" s="5" t="n">
        <v>15.9</v>
      </c>
      <c r="F596" s="3" t="inlineStr">
        <is>
          <t>전의면</t>
        </is>
      </c>
      <c r="G596" s="3" t="inlineStr">
        <is>
          <t>신정리</t>
        </is>
      </c>
      <c r="H596" s="3" t="inlineStr">
        <is>
          <t>계획관리지역</t>
        </is>
      </c>
      <c r="I596" s="3" t="inlineStr">
        <is>
          <t>전</t>
        </is>
      </c>
      <c r="J596" s="3" t="inlineStr">
        <is>
          <t>전의면</t>
        </is>
      </c>
    </row>
    <row r="597">
      <c r="A597" s="3" t="n">
        <v>2024</v>
      </c>
      <c r="B597" s="4" t="n">
        <v>29000</v>
      </c>
      <c r="C597" s="4" t="n">
        <v>407</v>
      </c>
      <c r="D597" s="4" t="n">
        <v>123.1175</v>
      </c>
      <c r="E597" s="5" t="n">
        <v>235.5</v>
      </c>
      <c r="F597" s="3" t="inlineStr">
        <is>
          <t>부강면</t>
        </is>
      </c>
      <c r="G597" s="3" t="inlineStr">
        <is>
          <t>부강리</t>
        </is>
      </c>
      <c r="H597" s="3" t="inlineStr">
        <is>
          <t>제2종일반주거지역</t>
        </is>
      </c>
      <c r="I597" s="3" t="inlineStr">
        <is>
          <t>답</t>
        </is>
      </c>
      <c r="J597" s="3" t="inlineStr">
        <is>
          <t>부강면</t>
        </is>
      </c>
    </row>
    <row r="598">
      <c r="A598" s="3" t="n">
        <v>2022</v>
      </c>
      <c r="B598" s="4" t="n">
        <v>12000</v>
      </c>
      <c r="C598" s="4" t="n">
        <v>1167</v>
      </c>
      <c r="D598" s="4" t="n">
        <v>353.0175</v>
      </c>
      <c r="E598" s="5" t="n">
        <v>34</v>
      </c>
      <c r="F598" s="3" t="inlineStr">
        <is>
          <t>전동면</t>
        </is>
      </c>
      <c r="G598" s="3" t="inlineStr">
        <is>
          <t>송성리</t>
        </is>
      </c>
      <c r="H598" s="3" t="inlineStr">
        <is>
          <t>보전관리지역</t>
        </is>
      </c>
      <c r="I598" s="3" t="inlineStr">
        <is>
          <t>전</t>
        </is>
      </c>
      <c r="J598" s="3" t="inlineStr">
        <is>
          <t>전동면</t>
        </is>
      </c>
    </row>
    <row r="599">
      <c r="A599" s="3" t="n">
        <v>2022</v>
      </c>
      <c r="B599" s="4" t="n">
        <v>18082</v>
      </c>
      <c r="C599" s="4" t="n">
        <v>500</v>
      </c>
      <c r="D599" s="4" t="n">
        <v>151.25</v>
      </c>
      <c r="E599" s="5" t="n">
        <v>119.6</v>
      </c>
      <c r="F599" s="3" t="inlineStr">
        <is>
          <t>장군면</t>
        </is>
      </c>
      <c r="G599" s="3" t="inlineStr">
        <is>
          <t>송문리</t>
        </is>
      </c>
      <c r="H599" s="3" t="inlineStr">
        <is>
          <t>보전관리지역</t>
        </is>
      </c>
      <c r="I599" s="3" t="inlineStr">
        <is>
          <t>임야</t>
        </is>
      </c>
      <c r="J599" s="3" t="inlineStr">
        <is>
          <t>장군면</t>
        </is>
      </c>
    </row>
    <row r="600">
      <c r="A600" s="3" t="n">
        <v>2022</v>
      </c>
      <c r="B600" s="4" t="n">
        <v>9273</v>
      </c>
      <c r="C600" s="4" t="n">
        <v>395</v>
      </c>
      <c r="D600" s="4" t="n">
        <v>119.4875</v>
      </c>
      <c r="E600" s="5" t="n">
        <v>77.59999999999999</v>
      </c>
      <c r="F600" s="3" t="inlineStr">
        <is>
          <t>장군면</t>
        </is>
      </c>
      <c r="G600" s="3" t="inlineStr">
        <is>
          <t>송문리</t>
        </is>
      </c>
      <c r="H600" s="3" t="inlineStr">
        <is>
          <t>보전관리지역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2022</v>
      </c>
      <c r="B601" s="4" t="n">
        <v>28000</v>
      </c>
      <c r="C601" s="4" t="n">
        <v>13525</v>
      </c>
      <c r="D601" s="4" t="n">
        <v>4091.3125</v>
      </c>
      <c r="E601" s="5" t="n">
        <v>6.8</v>
      </c>
      <c r="F601" s="3" t="inlineStr">
        <is>
          <t>소정면</t>
        </is>
      </c>
      <c r="G601" s="3" t="inlineStr">
        <is>
          <t>대곡리</t>
        </is>
      </c>
      <c r="H601" s="3" t="inlineStr">
        <is>
          <t>농림지역</t>
        </is>
      </c>
      <c r="I601" s="3" t="inlineStr">
        <is>
          <t>임야</t>
        </is>
      </c>
      <c r="J601" s="3" t="inlineStr">
        <is>
          <t>소정면</t>
        </is>
      </c>
    </row>
    <row r="602">
      <c r="A602" s="3" t="n">
        <v>2022</v>
      </c>
      <c r="B602" s="4" t="n">
        <v>62000</v>
      </c>
      <c r="C602" s="4" t="n">
        <v>1451</v>
      </c>
      <c r="D602" s="4" t="n">
        <v>438.9275</v>
      </c>
      <c r="E602" s="5" t="n">
        <v>141.3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연동면</t>
        </is>
      </c>
    </row>
    <row r="603">
      <c r="A603" s="3" t="n">
        <v>2022</v>
      </c>
      <c r="B603" s="4" t="n">
        <v>37570</v>
      </c>
      <c r="C603" s="4" t="n">
        <v>446</v>
      </c>
      <c r="D603" s="4" t="n">
        <v>134.915</v>
      </c>
      <c r="E603" s="5" t="n">
        <v>278.5</v>
      </c>
      <c r="F603" s="3" t="inlineStr">
        <is>
          <t>전의면</t>
        </is>
      </c>
      <c r="G603" s="3" t="inlineStr">
        <is>
          <t>신흥리</t>
        </is>
      </c>
      <c r="H603" s="3" t="inlineStr">
        <is>
          <t>농림지역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2022</v>
      </c>
      <c r="B604" s="4" t="n">
        <v>49687</v>
      </c>
      <c r="C604" s="4" t="n">
        <v>595</v>
      </c>
      <c r="D604" s="4" t="n">
        <v>179.9875</v>
      </c>
      <c r="E604" s="5" t="n">
        <v>276.1</v>
      </c>
      <c r="F604" s="3" t="inlineStr">
        <is>
          <t>전의면</t>
        </is>
      </c>
      <c r="G604" s="3" t="inlineStr">
        <is>
          <t>신흥리</t>
        </is>
      </c>
      <c r="H604" s="3" t="inlineStr">
        <is>
          <t>농림지역</t>
        </is>
      </c>
      <c r="I604" s="3" t="inlineStr">
        <is>
          <t>답</t>
        </is>
      </c>
      <c r="J604" s="3" t="inlineStr">
        <is>
          <t>전의면</t>
        </is>
      </c>
    </row>
    <row r="605">
      <c r="A605" s="3" t="n">
        <v>2022</v>
      </c>
      <c r="B605" s="4" t="n">
        <v>1650</v>
      </c>
      <c r="C605" s="4" t="n">
        <v>44</v>
      </c>
      <c r="D605" s="4" t="n">
        <v>13.31</v>
      </c>
      <c r="E605" s="5" t="n">
        <v>124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부강면</t>
        </is>
      </c>
    </row>
    <row r="606">
      <c r="A606" s="3" t="n">
        <v>2022</v>
      </c>
      <c r="B606" s="4" t="n">
        <v>1350</v>
      </c>
      <c r="C606" s="4" t="n">
        <v>30</v>
      </c>
      <c r="D606" s="4" t="n">
        <v>9.074999999999999</v>
      </c>
      <c r="E606" s="5" t="n">
        <v>148.8</v>
      </c>
      <c r="F606" s="3" t="inlineStr">
        <is>
          <t>부강면</t>
        </is>
      </c>
      <c r="G606" s="3" t="inlineStr">
        <is>
          <t>문곡리</t>
        </is>
      </c>
      <c r="H606" s="3" t="inlineStr">
        <is>
          <t>계획관리지역</t>
        </is>
      </c>
      <c r="I606" s="3" t="inlineStr">
        <is>
          <t>대</t>
        </is>
      </c>
      <c r="J606" s="3" t="inlineStr">
        <is>
          <t>부강면</t>
        </is>
      </c>
    </row>
    <row r="607">
      <c r="A607" s="3" t="n">
        <v>2022</v>
      </c>
      <c r="B607" s="4" t="n">
        <v>2000</v>
      </c>
      <c r="C607" s="4" t="n">
        <v>66</v>
      </c>
      <c r="D607" s="4" t="n">
        <v>19.965</v>
      </c>
      <c r="E607" s="5" t="n">
        <v>100.2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2022</v>
      </c>
      <c r="B608" s="4" t="n">
        <v>22180</v>
      </c>
      <c r="C608" s="4" t="n">
        <v>1266</v>
      </c>
      <c r="D608" s="4" t="n">
        <v>382.965</v>
      </c>
      <c r="E608" s="5" t="n">
        <v>57.9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9204</v>
      </c>
      <c r="C609" s="4" t="n">
        <v>156</v>
      </c>
      <c r="D609" s="4" t="n">
        <v>47.19</v>
      </c>
      <c r="E609" s="5" t="n">
        <v>195</v>
      </c>
      <c r="F609" s="3" t="inlineStr">
        <is>
          <t>금남면</t>
        </is>
      </c>
      <c r="G609" s="3" t="inlineStr">
        <is>
          <t>도남리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2023</v>
      </c>
      <c r="B610" s="4" t="n">
        <v>41831</v>
      </c>
      <c r="C610" s="4" t="n">
        <v>709</v>
      </c>
      <c r="D610" s="4" t="n">
        <v>214.4725</v>
      </c>
      <c r="E610" s="5" t="n">
        <v>195</v>
      </c>
      <c r="F610" s="3" t="inlineStr">
        <is>
          <t>금남면</t>
        </is>
      </c>
      <c r="G610" s="3" t="inlineStr">
        <is>
          <t>도남리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금남면</t>
        </is>
      </c>
    </row>
    <row r="611">
      <c r="A611" s="3" t="n">
        <v>2023</v>
      </c>
      <c r="B611" s="4" t="n">
        <v>13400</v>
      </c>
      <c r="C611" s="4" t="n">
        <v>9</v>
      </c>
      <c r="D611" s="4" t="n">
        <v>2.7225</v>
      </c>
      <c r="E611" s="5" t="n">
        <v>4921.9</v>
      </c>
      <c r="F611" s="3" t="inlineStr">
        <is>
          <t>전의면</t>
        </is>
      </c>
      <c r="G611" s="3" t="inlineStr">
        <is>
          <t>서정리</t>
        </is>
      </c>
      <c r="H611" s="3" t="inlineStr">
        <is>
          <t>계획관리지역</t>
        </is>
      </c>
      <c r="I611" s="3" t="inlineStr">
        <is>
          <t>대</t>
        </is>
      </c>
      <c r="J611" s="3" t="inlineStr">
        <is>
          <t>전의면</t>
        </is>
      </c>
    </row>
    <row r="612">
      <c r="A612" s="3" t="n">
        <v>2023</v>
      </c>
      <c r="B612" s="4" t="n">
        <v>240</v>
      </c>
      <c r="C612" s="4" t="n">
        <v>491</v>
      </c>
      <c r="D612" s="4" t="n">
        <v>148.5275</v>
      </c>
      <c r="E612" s="5" t="n">
        <v>1.6</v>
      </c>
      <c r="F612" s="3" t="inlineStr">
        <is>
          <t>전의면</t>
        </is>
      </c>
      <c r="G612" s="3" t="inlineStr">
        <is>
          <t>서정리</t>
        </is>
      </c>
      <c r="H612" s="3" t="inlineStr">
        <is>
          <t>농림지역</t>
        </is>
      </c>
      <c r="I612" s="3" t="inlineStr">
        <is>
          <t>대</t>
        </is>
      </c>
      <c r="J612" s="3" t="inlineStr">
        <is>
          <t>전의면</t>
        </is>
      </c>
    </row>
    <row r="613">
      <c r="A613" s="3" t="n">
        <v>2023</v>
      </c>
      <c r="B613" s="4" t="n">
        <v>4326</v>
      </c>
      <c r="C613" s="4" t="n">
        <v>940</v>
      </c>
      <c r="D613" s="4" t="n">
        <v>284.35</v>
      </c>
      <c r="E613" s="5" t="n">
        <v>15.2</v>
      </c>
      <c r="F613" s="3" t="inlineStr">
        <is>
          <t>전의면</t>
        </is>
      </c>
      <c r="G613" s="3" t="inlineStr">
        <is>
          <t>유천리</t>
        </is>
      </c>
      <c r="H613" s="3" t="inlineStr">
        <is>
          <t>농림지역</t>
        </is>
      </c>
      <c r="I613" s="3" t="inlineStr">
        <is>
          <t>전</t>
        </is>
      </c>
      <c r="J613" s="3" t="inlineStr">
        <is>
          <t>전의면</t>
        </is>
      </c>
    </row>
    <row r="614">
      <c r="A614" s="3" t="n">
        <v>2023</v>
      </c>
      <c r="B614" s="4" t="n">
        <v>16674</v>
      </c>
      <c r="C614" s="4" t="n">
        <v>3623</v>
      </c>
      <c r="D614" s="4" t="n">
        <v>1095.9575</v>
      </c>
      <c r="E614" s="5" t="n">
        <v>15.2</v>
      </c>
      <c r="F614" s="3" t="inlineStr">
        <is>
          <t>전의면</t>
        </is>
      </c>
      <c r="G614" s="3" t="inlineStr">
        <is>
          <t>유천리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전의면</t>
        </is>
      </c>
    </row>
    <row r="615">
      <c r="A615" s="3" t="n">
        <v>2023</v>
      </c>
      <c r="B615" s="4" t="n">
        <v>35040</v>
      </c>
      <c r="C615" s="4" t="n">
        <v>3620</v>
      </c>
      <c r="D615" s="4" t="n">
        <v>1095.05</v>
      </c>
      <c r="E615" s="5" t="n">
        <v>32</v>
      </c>
      <c r="F615" s="3" t="inlineStr">
        <is>
          <t>금남면</t>
        </is>
      </c>
      <c r="G615" s="3" t="inlineStr">
        <is>
          <t>성강리</t>
        </is>
      </c>
      <c r="H615" s="3" t="inlineStr">
        <is>
          <t>보전관리지역</t>
        </is>
      </c>
      <c r="I615" s="3" t="inlineStr">
        <is>
          <t>전</t>
        </is>
      </c>
      <c r="J615" s="3" t="inlineStr">
        <is>
          <t>금남면</t>
        </is>
      </c>
    </row>
    <row r="616">
      <c r="A616" s="3" t="n">
        <v>2023</v>
      </c>
      <c r="B616" s="4" t="n">
        <v>12000</v>
      </c>
      <c r="C616" s="4" t="n">
        <v>1240</v>
      </c>
      <c r="D616" s="4" t="n">
        <v>375.1</v>
      </c>
      <c r="E616" s="5" t="n">
        <v>32</v>
      </c>
      <c r="F616" s="3" t="inlineStr">
        <is>
          <t>금남면</t>
        </is>
      </c>
      <c r="G616" s="3" t="inlineStr">
        <is>
          <t>성강리</t>
        </is>
      </c>
      <c r="H616" s="3" t="inlineStr">
        <is>
          <t>보전관리지역</t>
        </is>
      </c>
      <c r="I616" s="3" t="inlineStr">
        <is>
          <t>전</t>
        </is>
      </c>
      <c r="J616" s="3" t="inlineStr">
        <is>
          <t>금남면</t>
        </is>
      </c>
    </row>
    <row r="617">
      <c r="A617" s="3" t="n">
        <v>2023</v>
      </c>
      <c r="B617" s="4" t="n">
        <v>30000</v>
      </c>
      <c r="C617" s="4" t="n">
        <v>2182</v>
      </c>
      <c r="D617" s="4" t="n">
        <v>660.0549999999999</v>
      </c>
      <c r="E617" s="5" t="n">
        <v>45.5</v>
      </c>
      <c r="F617" s="3" t="inlineStr">
        <is>
          <t>연서면</t>
        </is>
      </c>
      <c r="G617" s="3" t="inlineStr">
        <is>
          <t>봉암리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2023</v>
      </c>
      <c r="B618" s="4" t="n">
        <v>18900</v>
      </c>
      <c r="C618" s="4" t="n">
        <v>417</v>
      </c>
      <c r="D618" s="4" t="n">
        <v>126.1425</v>
      </c>
      <c r="E618" s="5" t="n">
        <v>149.8</v>
      </c>
      <c r="F618" s="3" t="inlineStr">
        <is>
          <t>전의면</t>
        </is>
      </c>
      <c r="G618" s="3" t="inlineStr">
        <is>
          <t>서정리</t>
        </is>
      </c>
      <c r="H618" s="3" t="inlineStr">
        <is>
          <t>계획관리지역</t>
        </is>
      </c>
      <c r="I618" s="3" t="inlineStr">
        <is>
          <t>대</t>
        </is>
      </c>
      <c r="J618" s="3" t="inlineStr">
        <is>
          <t>전의면</t>
        </is>
      </c>
    </row>
    <row r="619">
      <c r="A619" s="3" t="n">
        <v>2023</v>
      </c>
      <c r="B619" s="4" t="n">
        <v>3760</v>
      </c>
      <c r="C619" s="4" t="n">
        <v>83</v>
      </c>
      <c r="D619" s="4" t="n">
        <v>25.1075</v>
      </c>
      <c r="E619" s="5" t="n">
        <v>149.8</v>
      </c>
      <c r="F619" s="3" t="inlineStr">
        <is>
          <t>전의면</t>
        </is>
      </c>
      <c r="G619" s="3" t="inlineStr">
        <is>
          <t>서정리</t>
        </is>
      </c>
      <c r="H619" s="3" t="inlineStr">
        <is>
          <t>계획관리지역</t>
        </is>
      </c>
      <c r="I619" s="3" t="inlineStr">
        <is>
          <t>대</t>
        </is>
      </c>
      <c r="J619" s="3" t="inlineStr">
        <is>
          <t>전의면</t>
        </is>
      </c>
    </row>
    <row r="620">
      <c r="A620" s="3" t="n">
        <v>2023</v>
      </c>
      <c r="B620" s="4" t="n">
        <v>14000</v>
      </c>
      <c r="C620" s="4" t="n">
        <v>671</v>
      </c>
      <c r="D620" s="4" t="n">
        <v>202.9775</v>
      </c>
      <c r="E620" s="5" t="n">
        <v>69</v>
      </c>
      <c r="F620" s="3" t="inlineStr">
        <is>
          <t>장군면</t>
        </is>
      </c>
      <c r="G620" s="3" t="inlineStr">
        <is>
          <t>대교리</t>
        </is>
      </c>
      <c r="H620" s="3" t="inlineStr">
        <is>
          <t>농림지역</t>
        </is>
      </c>
      <c r="I620" s="3" t="inlineStr">
        <is>
          <t>전</t>
        </is>
      </c>
      <c r="J620" s="3" t="inlineStr">
        <is>
          <t>장군면</t>
        </is>
      </c>
    </row>
    <row r="621">
      <c r="A621" s="3" t="n">
        <v>2023</v>
      </c>
      <c r="B621" s="4" t="n">
        <v>9236</v>
      </c>
      <c r="C621" s="4" t="n">
        <v>340</v>
      </c>
      <c r="D621" s="4" t="n">
        <v>102.85</v>
      </c>
      <c r="E621" s="5" t="n">
        <v>89.8</v>
      </c>
      <c r="F621" s="3" t="inlineStr">
        <is>
          <t>전의면</t>
        </is>
      </c>
      <c r="G621" s="3" t="inlineStr">
        <is>
          <t>서정리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전의면</t>
        </is>
      </c>
    </row>
    <row r="622">
      <c r="A622" s="3" t="n">
        <v>2023</v>
      </c>
      <c r="B622" s="4" t="n">
        <v>5704</v>
      </c>
      <c r="C622" s="4" t="n">
        <v>210</v>
      </c>
      <c r="D622" s="4" t="n">
        <v>63.525</v>
      </c>
      <c r="E622" s="5" t="n">
        <v>89.8</v>
      </c>
      <c r="F622" s="3" t="inlineStr">
        <is>
          <t>전의면</t>
        </is>
      </c>
      <c r="G622" s="3" t="inlineStr">
        <is>
          <t>서정리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전의면</t>
        </is>
      </c>
    </row>
    <row r="623">
      <c r="A623" s="3" t="n">
        <v>2023</v>
      </c>
      <c r="B623" s="4" t="n">
        <v>9760</v>
      </c>
      <c r="C623" s="4" t="n">
        <v>608</v>
      </c>
      <c r="D623" s="4" t="n">
        <v>183.92</v>
      </c>
      <c r="E623" s="5" t="n">
        <v>53.1</v>
      </c>
      <c r="F623" s="3" t="inlineStr">
        <is>
          <t>전동면</t>
        </is>
      </c>
      <c r="G623" s="3" t="inlineStr">
        <is>
          <t>보덕리</t>
        </is>
      </c>
      <c r="H623" s="3" t="inlineStr">
        <is>
          <t>농림지역</t>
        </is>
      </c>
      <c r="I623" s="3" t="inlineStr">
        <is>
          <t>전</t>
        </is>
      </c>
      <c r="J623" s="3" t="inlineStr">
        <is>
          <t>전동면</t>
        </is>
      </c>
    </row>
    <row r="624">
      <c r="A624" s="3" t="n">
        <v>2023</v>
      </c>
      <c r="B624" s="4" t="n">
        <v>1200</v>
      </c>
      <c r="C624" s="4" t="n">
        <v>65</v>
      </c>
      <c r="D624" s="4" t="n">
        <v>19.6625</v>
      </c>
      <c r="E624" s="5" t="n">
        <v>61</v>
      </c>
      <c r="F624" s="3" t="inlineStr">
        <is>
          <t>전의면</t>
        </is>
      </c>
      <c r="G624" s="3" t="inlineStr">
        <is>
          <t>관정리</t>
        </is>
      </c>
      <c r="H624" s="3" t="inlineStr">
        <is>
          <t>계획관리지역</t>
        </is>
      </c>
      <c r="I624" s="3" t="inlineStr">
        <is>
          <t>공장용지</t>
        </is>
      </c>
      <c r="J624" s="3" t="inlineStr">
        <is>
          <t>전의면</t>
        </is>
      </c>
    </row>
    <row r="625">
      <c r="A625" s="3" t="n">
        <v>2022</v>
      </c>
      <c r="B625" s="4" t="n">
        <v>22300</v>
      </c>
      <c r="C625" s="4" t="n">
        <v>1101</v>
      </c>
      <c r="D625" s="4" t="n">
        <v>333.0525</v>
      </c>
      <c r="E625" s="5" t="n">
        <v>67</v>
      </c>
      <c r="F625" s="3" t="inlineStr">
        <is>
          <t>연기면</t>
        </is>
      </c>
      <c r="G625" s="3" t="inlineStr">
        <is>
          <t>수산리</t>
        </is>
      </c>
      <c r="H625" s="3" t="inlineStr">
        <is>
          <t>생산관리지역</t>
        </is>
      </c>
      <c r="I625" s="3" t="inlineStr">
        <is>
          <t>답</t>
        </is>
      </c>
      <c r="J625" s="3" t="inlineStr">
        <is>
          <t>연기면</t>
        </is>
      </c>
    </row>
    <row r="626">
      <c r="A626" s="3" t="n">
        <v>2024</v>
      </c>
      <c r="B626" s="4" t="n">
        <v>720</v>
      </c>
      <c r="C626" s="4" t="n">
        <v>81</v>
      </c>
      <c r="D626" s="4" t="n">
        <v>24.5025</v>
      </c>
      <c r="E626" s="5" t="n">
        <v>29.4</v>
      </c>
      <c r="F626" s="3" t="inlineStr">
        <is>
          <t>금남면</t>
        </is>
      </c>
      <c r="G626" s="3" t="inlineStr">
        <is>
          <t>도남리</t>
        </is>
      </c>
      <c r="H626" s="3" t="inlineStr">
        <is>
          <t>계획관리지역</t>
        </is>
      </c>
      <c r="I626" s="3" t="inlineStr">
        <is>
          <t>목장용지</t>
        </is>
      </c>
      <c r="J626" s="3" t="inlineStr">
        <is>
          <t>금남면</t>
        </is>
      </c>
    </row>
    <row r="627">
      <c r="A627" s="3" t="n">
        <v>2024</v>
      </c>
      <c r="B627" s="4" t="n">
        <v>640</v>
      </c>
      <c r="C627" s="4" t="n">
        <v>59</v>
      </c>
      <c r="D627" s="4" t="n">
        <v>17.8475</v>
      </c>
      <c r="E627" s="5" t="n">
        <v>35.9</v>
      </c>
      <c r="F627" s="3" t="inlineStr">
        <is>
          <t>금남면</t>
        </is>
      </c>
      <c r="G627" s="3" t="inlineStr">
        <is>
          <t>도남리</t>
        </is>
      </c>
      <c r="H627" s="3" t="inlineStr">
        <is>
          <t>계획관리지역</t>
        </is>
      </c>
      <c r="I627" s="3" t="inlineStr">
        <is>
          <t>목장용지</t>
        </is>
      </c>
      <c r="J627" s="3" t="inlineStr">
        <is>
          <t>금남면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2024</v>
      </c>
      <c r="B631" s="4" t="n">
        <v>49096</v>
      </c>
      <c r="C631" s="4" t="n">
        <v>541</v>
      </c>
      <c r="D631" s="4" t="n">
        <v>163.6525</v>
      </c>
      <c r="E631" s="5" t="n">
        <v>300</v>
      </c>
      <c r="F631" s="3" t="inlineStr">
        <is>
          <t>연서면</t>
        </is>
      </c>
      <c r="G631" s="3" t="inlineStr">
        <is>
          <t>신대리</t>
        </is>
      </c>
      <c r="H631" s="3" t="inlineStr">
        <is>
          <t>계획관리지역</t>
        </is>
      </c>
      <c r="I631" s="3" t="inlineStr">
        <is>
          <t>대</t>
        </is>
      </c>
      <c r="J631" s="3" t="inlineStr">
        <is>
          <t>연서면</t>
        </is>
      </c>
    </row>
    <row r="632">
      <c r="A632" s="3" t="n">
        <v>2024</v>
      </c>
      <c r="B632" s="4" t="n">
        <v>5500</v>
      </c>
      <c r="C632" s="4" t="n">
        <v>456</v>
      </c>
      <c r="D632" s="4" t="n">
        <v>137.94</v>
      </c>
      <c r="E632" s="5" t="n">
        <v>39.9</v>
      </c>
      <c r="F632" s="3" t="inlineStr">
        <is>
          <t>금남면</t>
        </is>
      </c>
      <c r="G632" s="3" t="inlineStr">
        <is>
          <t>금천리</t>
        </is>
      </c>
      <c r="H632" s="3" t="inlineStr">
        <is>
          <t>개발제한구역</t>
        </is>
      </c>
      <c r="I632" s="3" t="inlineStr">
        <is>
          <t>대</t>
        </is>
      </c>
      <c r="J632" s="3" t="inlineStr">
        <is>
          <t>금남면</t>
        </is>
      </c>
    </row>
    <row r="633">
      <c r="A633" s="3" t="n">
        <v>2024</v>
      </c>
      <c r="B633" s="4" t="n">
        <v>48400</v>
      </c>
      <c r="C633" s="4" t="n">
        <v>646</v>
      </c>
      <c r="D633" s="4" t="n">
        <v>195.415</v>
      </c>
      <c r="E633" s="5" t="n">
        <v>247.7</v>
      </c>
      <c r="F633" s="3" t="inlineStr">
        <is>
          <t>장군면</t>
        </is>
      </c>
      <c r="G633" s="3" t="inlineStr">
        <is>
          <t>금암리</t>
        </is>
      </c>
      <c r="H633" s="3" t="inlineStr">
        <is>
          <t>계획관리지역</t>
        </is>
      </c>
      <c r="I633" s="3" t="inlineStr">
        <is>
          <t>잡종지</t>
        </is>
      </c>
      <c r="J633" s="3" t="inlineStr">
        <is>
          <t>장군면</t>
        </is>
      </c>
    </row>
    <row r="634">
      <c r="A634" s="3" t="n">
        <v>2024</v>
      </c>
      <c r="B634" s="4" t="n">
        <v>400600</v>
      </c>
      <c r="C634" s="4" t="n">
        <v>5339</v>
      </c>
      <c r="D634" s="4" t="n">
        <v>1615.0475</v>
      </c>
      <c r="E634" s="5" t="n">
        <v>248</v>
      </c>
      <c r="F634" s="3" t="inlineStr">
        <is>
          <t>장군면</t>
        </is>
      </c>
      <c r="G634" s="3" t="inlineStr">
        <is>
          <t>금암리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장군면</t>
        </is>
      </c>
    </row>
    <row r="635">
      <c r="A635" s="3" t="n">
        <v>2024</v>
      </c>
      <c r="B635" s="4" t="n">
        <v>277500</v>
      </c>
      <c r="C635" s="4" t="n">
        <v>3698</v>
      </c>
      <c r="D635" s="4" t="n">
        <v>1118.645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2024</v>
      </c>
      <c r="B636" s="4" t="n">
        <v>802200</v>
      </c>
      <c r="C636" s="4" t="n">
        <v>10674</v>
      </c>
      <c r="D636" s="4" t="n">
        <v>3228.885</v>
      </c>
      <c r="E636" s="5" t="n">
        <v>248.4</v>
      </c>
      <c r="F636" s="3" t="inlineStr">
        <is>
          <t>장군면</t>
        </is>
      </c>
      <c r="G636" s="3" t="inlineStr">
        <is>
          <t>금암리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장군면</t>
        </is>
      </c>
    </row>
    <row r="637">
      <c r="A637" s="3" t="n">
        <v>2024</v>
      </c>
      <c r="B637" s="4" t="n">
        <v>233400</v>
      </c>
      <c r="C637" s="4" t="n">
        <v>3111</v>
      </c>
      <c r="D637" s="4" t="n">
        <v>941.0775</v>
      </c>
      <c r="E637" s="5" t="n">
        <v>248</v>
      </c>
      <c r="F637" s="3" t="inlineStr">
        <is>
          <t>장군면</t>
        </is>
      </c>
      <c r="G637" s="3" t="inlineStr">
        <is>
          <t>금암리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장군면</t>
        </is>
      </c>
    </row>
    <row r="638">
      <c r="A638" s="3" t="n">
        <v>2024</v>
      </c>
      <c r="B638" s="4" t="n">
        <v>40900</v>
      </c>
      <c r="C638" s="4" t="n">
        <v>546</v>
      </c>
      <c r="D638" s="4" t="n">
        <v>165.165</v>
      </c>
      <c r="E638" s="5" t="n">
        <v>247.6</v>
      </c>
      <c r="F638" s="3" t="inlineStr">
        <is>
          <t>장군면</t>
        </is>
      </c>
      <c r="G638" s="3" t="inlineStr">
        <is>
          <t>금암리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장군면</t>
        </is>
      </c>
    </row>
    <row r="639">
      <c r="A639" s="3" t="n">
        <v>2024</v>
      </c>
      <c r="B639" s="4" t="n">
        <v>722400</v>
      </c>
      <c r="C639" s="4" t="n">
        <v>9626</v>
      </c>
      <c r="D639" s="4" t="n">
        <v>2911.865</v>
      </c>
      <c r="E639" s="5" t="n">
        <v>248.1</v>
      </c>
      <c r="F639" s="3" t="inlineStr">
        <is>
          <t>장군면</t>
        </is>
      </c>
      <c r="G639" s="3" t="inlineStr">
        <is>
          <t>금암리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장군면</t>
        </is>
      </c>
    </row>
    <row r="640">
      <c r="A640" s="3" t="n">
        <v>2023</v>
      </c>
      <c r="B640" s="4" t="n">
        <v>53000</v>
      </c>
      <c r="C640" s="4" t="n">
        <v>1752</v>
      </c>
      <c r="D640" s="4" t="n">
        <v>529.98</v>
      </c>
      <c r="E640" s="5" t="n">
        <v>100</v>
      </c>
      <c r="F640" s="3" t="inlineStr">
        <is>
          <t>전의면</t>
        </is>
      </c>
      <c r="G640" s="3" t="inlineStr">
        <is>
          <t>달전리</t>
        </is>
      </c>
      <c r="H640" s="3" t="inlineStr">
        <is>
          <t>계획관리지역</t>
        </is>
      </c>
      <c r="I640" s="3" t="inlineStr">
        <is>
          <t>답</t>
        </is>
      </c>
      <c r="J640" s="3" t="inlineStr">
        <is>
          <t>전의면</t>
        </is>
      </c>
    </row>
    <row r="641">
      <c r="A641" s="3" t="n">
        <v>2023</v>
      </c>
      <c r="B641" s="4" t="n">
        <v>42900</v>
      </c>
      <c r="C641" s="4" t="n">
        <v>2384</v>
      </c>
      <c r="D641" s="4" t="n">
        <v>721.16</v>
      </c>
      <c r="E641" s="5" t="n">
        <v>59.5</v>
      </c>
      <c r="F641" s="3" t="inlineStr">
        <is>
          <t>전의면</t>
        </is>
      </c>
      <c r="G641" s="3" t="inlineStr">
        <is>
          <t>관정리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전의면</t>
        </is>
      </c>
    </row>
    <row r="642">
      <c r="A642" s="3" t="n">
        <v>2023</v>
      </c>
      <c r="B642" s="4" t="n">
        <v>1100</v>
      </c>
      <c r="C642" s="4" t="n">
        <v>66</v>
      </c>
      <c r="D642" s="4" t="n">
        <v>19.965</v>
      </c>
      <c r="E642" s="5" t="n">
        <v>55.1</v>
      </c>
      <c r="F642" s="3" t="inlineStr">
        <is>
          <t>전의면</t>
        </is>
      </c>
      <c r="G642" s="3" t="inlineStr">
        <is>
          <t>관정리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2023</v>
      </c>
      <c r="B643" s="4" t="n">
        <v>40000</v>
      </c>
      <c r="C643" s="4" t="n">
        <v>2162</v>
      </c>
      <c r="D643" s="4" t="n">
        <v>654.005</v>
      </c>
      <c r="E643" s="5" t="n">
        <v>61.2</v>
      </c>
      <c r="F643" s="3" t="inlineStr">
        <is>
          <t>전의면</t>
        </is>
      </c>
      <c r="G643" s="3" t="inlineStr">
        <is>
          <t>관정리</t>
        </is>
      </c>
      <c r="H643" s="3" t="inlineStr">
        <is>
          <t>계획관리지역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2023</v>
      </c>
      <c r="B644" s="4" t="n">
        <v>4000</v>
      </c>
      <c r="C644" s="4" t="n">
        <v>330</v>
      </c>
      <c r="D644" s="4" t="n">
        <v>99.825</v>
      </c>
      <c r="E644" s="5" t="n">
        <v>40.1</v>
      </c>
      <c r="F644" s="3" t="inlineStr">
        <is>
          <t>금남면</t>
        </is>
      </c>
      <c r="G644" s="3" t="inlineStr">
        <is>
          <t>영대리</t>
        </is>
      </c>
      <c r="H644" s="3" t="inlineStr">
        <is>
          <t>자연녹지지역</t>
        </is>
      </c>
      <c r="I644" s="3" t="inlineStr">
        <is>
          <t>답</t>
        </is>
      </c>
      <c r="J644" s="3" t="inlineStr">
        <is>
          <t>금남면</t>
        </is>
      </c>
    </row>
    <row r="645">
      <c r="A645" s="3" t="n">
        <v>2023</v>
      </c>
      <c r="B645" s="4" t="n">
        <v>6370</v>
      </c>
      <c r="C645" s="4" t="n">
        <v>169</v>
      </c>
      <c r="D645" s="4" t="n">
        <v>51.1225</v>
      </c>
      <c r="E645" s="5" t="n">
        <v>124.6</v>
      </c>
      <c r="F645" s="3" t="inlineStr">
        <is>
          <t>금남면</t>
        </is>
      </c>
      <c r="G645" s="3" t="inlineStr">
        <is>
          <t>부용리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2022</v>
      </c>
      <c r="B646" s="4" t="n">
        <v>41347</v>
      </c>
      <c r="C646" s="4" t="n">
        <v>15159</v>
      </c>
      <c r="D646" s="4" t="n">
        <v>4585.5975</v>
      </c>
      <c r="E646" s="5" t="n">
        <v>9</v>
      </c>
      <c r="F646" s="3" t="inlineStr">
        <is>
          <t>소정면</t>
        </is>
      </c>
      <c r="G646" s="3" t="inlineStr">
        <is>
          <t>대곡리</t>
        </is>
      </c>
      <c r="H646" s="3" t="inlineStr">
        <is>
          <t>농림지역</t>
        </is>
      </c>
      <c r="I646" s="3" t="inlineStr">
        <is>
          <t>임야</t>
        </is>
      </c>
      <c r="J646" s="3" t="inlineStr">
        <is>
          <t>소정면</t>
        </is>
      </c>
    </row>
    <row r="647">
      <c r="A647" s="3" t="n">
        <v>2022</v>
      </c>
      <c r="B647" s="4" t="n">
        <v>48000</v>
      </c>
      <c r="C647" s="4" t="n">
        <v>377</v>
      </c>
      <c r="D647" s="4" t="n">
        <v>114.0425</v>
      </c>
      <c r="E647" s="5" t="n">
        <v>420.9</v>
      </c>
      <c r="F647" s="3" t="inlineStr">
        <is>
          <t>부강면</t>
        </is>
      </c>
      <c r="G647" s="3" t="inlineStr">
        <is>
          <t>부강리</t>
        </is>
      </c>
      <c r="H647" s="3" t="inlineStr">
        <is>
          <t>제2종일반주거지역</t>
        </is>
      </c>
      <c r="I647" s="3" t="inlineStr">
        <is>
          <t>전</t>
        </is>
      </c>
      <c r="J647" s="3" t="inlineStr">
        <is>
          <t>부강면</t>
        </is>
      </c>
    </row>
    <row r="648">
      <c r="A648" s="3" t="n">
        <v>2022</v>
      </c>
      <c r="B648" s="4" t="n">
        <v>161038</v>
      </c>
      <c r="C648" s="4" t="n">
        <v>7438</v>
      </c>
      <c r="D648" s="4" t="n">
        <v>2249.995</v>
      </c>
      <c r="E648" s="5" t="n">
        <v>71.59999999999999</v>
      </c>
      <c r="F648" s="3" t="inlineStr">
        <is>
          <t>장군면</t>
        </is>
      </c>
      <c r="G648" s="3" t="inlineStr">
        <is>
          <t>금암리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장군면</t>
        </is>
      </c>
    </row>
    <row r="649">
      <c r="A649" s="3" t="n">
        <v>2022</v>
      </c>
      <c r="B649" s="4" t="n">
        <v>476362</v>
      </c>
      <c r="C649" s="4" t="n">
        <v>12528</v>
      </c>
      <c r="D649" s="4" t="n">
        <v>3789.72</v>
      </c>
      <c r="E649" s="5" t="n">
        <v>125.7</v>
      </c>
      <c r="F649" s="3" t="inlineStr">
        <is>
          <t>장군면</t>
        </is>
      </c>
      <c r="G649" s="3" t="inlineStr">
        <is>
          <t>금암리</t>
        </is>
      </c>
      <c r="H649" s="3" t="inlineStr">
        <is>
          <t>보전관리지역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30000</v>
      </c>
      <c r="C650" s="4" t="n">
        <v>707</v>
      </c>
      <c r="D650" s="4" t="n">
        <v>213.8675</v>
      </c>
      <c r="E650" s="5" t="n">
        <v>140.3</v>
      </c>
      <c r="F650" s="3" t="inlineStr">
        <is>
          <t>장군면</t>
        </is>
      </c>
      <c r="G650" s="3" t="inlineStr">
        <is>
          <t>금암리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장군면</t>
        </is>
      </c>
    </row>
    <row r="651">
      <c r="A651" s="3" t="n">
        <v>2022</v>
      </c>
      <c r="B651" s="4" t="n">
        <v>600</v>
      </c>
      <c r="C651" s="4" t="n">
        <v>14</v>
      </c>
      <c r="D651" s="4" t="n">
        <v>4.234999999999999</v>
      </c>
      <c r="E651" s="5" t="n">
        <v>141.7</v>
      </c>
      <c r="F651" s="3" t="inlineStr">
        <is>
          <t>장군면</t>
        </is>
      </c>
      <c r="G651" s="3" t="inlineStr">
        <is>
          <t>금암리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장군면</t>
        </is>
      </c>
    </row>
    <row r="652">
      <c r="A652" s="3" t="n">
        <v>2022</v>
      </c>
      <c r="B652" s="4" t="n">
        <v>500</v>
      </c>
      <c r="C652" s="4" t="n">
        <v>329.99</v>
      </c>
      <c r="D652" s="4" t="n">
        <v>99.82197499999999</v>
      </c>
      <c r="E652" s="5" t="n">
        <v>5</v>
      </c>
      <c r="F652" s="3" t="inlineStr">
        <is>
          <t>남이면</t>
        </is>
      </c>
      <c r="G652" s="3" t="inlineStr">
        <is>
          <t>문동리</t>
        </is>
      </c>
      <c r="H652" s="3" t="inlineStr">
        <is>
          <t>보전녹지지역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2025</v>
      </c>
      <c r="B653" s="4" t="n">
        <v>22200</v>
      </c>
      <c r="C653" s="4" t="n">
        <v>319</v>
      </c>
      <c r="D653" s="4" t="n">
        <v>96.4975</v>
      </c>
      <c r="E653" s="5" t="n">
        <v>230.1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2026</v>
      </c>
      <c r="B654" s="4" t="n">
        <v>106</v>
      </c>
      <c r="C654" s="4" t="n">
        <v>37</v>
      </c>
      <c r="D654" s="4" t="n">
        <v>11.1925</v>
      </c>
      <c r="E654" s="5" t="n">
        <v>9.5</v>
      </c>
      <c r="F654" s="3" t="inlineStr">
        <is>
          <t>남이면</t>
        </is>
      </c>
      <c r="G654" s="3" t="inlineStr">
        <is>
          <t>상발리</t>
        </is>
      </c>
      <c r="H654" s="3" t="inlineStr">
        <is>
          <t>자연녹지지역</t>
        </is>
      </c>
      <c r="I654" s="3" t="inlineStr">
        <is>
          <t>도로</t>
        </is>
      </c>
      <c r="J654" s="3" t="inlineStr">
        <is>
          <t>남이면</t>
        </is>
      </c>
    </row>
    <row r="655">
      <c r="A655" s="3" t="n">
        <v>2022</v>
      </c>
      <c r="B655" s="4" t="n">
        <v>17500</v>
      </c>
      <c r="C655" s="4" t="n">
        <v>477</v>
      </c>
      <c r="D655" s="4" t="n">
        <v>144.2925</v>
      </c>
      <c r="E655" s="5" t="n">
        <v>121.3</v>
      </c>
      <c r="F655" s="3" t="inlineStr">
        <is>
          <t>연서면</t>
        </is>
      </c>
      <c r="G655" s="3" t="inlineStr">
        <is>
          <t>쌍류리</t>
        </is>
      </c>
      <c r="H655" s="3" t="inlineStr">
        <is>
          <t>생산관리지역</t>
        </is>
      </c>
      <c r="I655" s="3" t="inlineStr">
        <is>
          <t>전</t>
        </is>
      </c>
      <c r="J655" s="3" t="inlineStr">
        <is>
          <t>연서면</t>
        </is>
      </c>
    </row>
    <row r="656">
      <c r="A656" s="3" t="n">
        <v>2022</v>
      </c>
      <c r="B656" s="4" t="n">
        <v>16000</v>
      </c>
      <c r="C656" s="4" t="n">
        <v>231</v>
      </c>
      <c r="D656" s="4" t="n">
        <v>69.8775</v>
      </c>
      <c r="E656" s="5" t="n">
        <v>229</v>
      </c>
      <c r="F656" s="3" t="inlineStr">
        <is>
          <t>연서면</t>
        </is>
      </c>
      <c r="G656" s="3" t="inlineStr">
        <is>
          <t>국촌리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연서면</t>
        </is>
      </c>
    </row>
    <row r="657">
      <c r="A657" s="3" t="n">
        <v>2022</v>
      </c>
      <c r="B657" s="4" t="n">
        <v>14500</v>
      </c>
      <c r="C657" s="4" t="n">
        <v>936.6</v>
      </c>
      <c r="D657" s="4" t="n">
        <v>283.3215</v>
      </c>
      <c r="E657" s="5" t="n">
        <v>51.2</v>
      </c>
      <c r="F657" s="3" t="inlineStr">
        <is>
          <t>연서면</t>
        </is>
      </c>
      <c r="G657" s="3" t="inlineStr">
        <is>
          <t>청라리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2022</v>
      </c>
      <c r="B658" s="4" t="n">
        <v>45000</v>
      </c>
      <c r="C658" s="4" t="n">
        <v>345</v>
      </c>
      <c r="D658" s="4" t="n">
        <v>104.3625</v>
      </c>
      <c r="E658" s="5" t="n">
        <v>431.2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제2종일반주거지역</t>
        </is>
      </c>
      <c r="I658" s="3" t="inlineStr">
        <is>
          <t>대</t>
        </is>
      </c>
      <c r="J658" s="3" t="inlineStr">
        <is>
          <t>부강면</t>
        </is>
      </c>
    </row>
    <row r="659">
      <c r="A659" s="3" t="n">
        <v>2022</v>
      </c>
      <c r="B659" s="4" t="n">
        <v>7865</v>
      </c>
      <c r="C659" s="4" t="n">
        <v>165</v>
      </c>
      <c r="D659" s="4" t="n">
        <v>49.9125</v>
      </c>
      <c r="E659" s="5" t="n">
        <v>157.6</v>
      </c>
      <c r="F659" s="3" t="inlineStr">
        <is>
          <t>전동면</t>
        </is>
      </c>
      <c r="G659" s="3" t="inlineStr">
        <is>
          <t>석곡리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전동면</t>
        </is>
      </c>
    </row>
    <row r="660">
      <c r="A660" s="3" t="n">
        <v>2022</v>
      </c>
      <c r="B660" s="4" t="n">
        <v>22421</v>
      </c>
      <c r="C660" s="4" t="n">
        <v>595</v>
      </c>
      <c r="D660" s="4" t="n">
        <v>179.9875</v>
      </c>
      <c r="E660" s="5" t="n">
        <v>124.6</v>
      </c>
      <c r="F660" s="3" t="inlineStr">
        <is>
          <t>전동면</t>
        </is>
      </c>
      <c r="G660" s="3" t="inlineStr">
        <is>
          <t>석곡리</t>
        </is>
      </c>
      <c r="H660" s="3" t="inlineStr">
        <is>
          <t>계획관리지역</t>
        </is>
      </c>
      <c r="I660" s="3" t="inlineStr">
        <is>
          <t>대</t>
        </is>
      </c>
      <c r="J660" s="3" t="inlineStr">
        <is>
          <t>전동면</t>
        </is>
      </c>
    </row>
    <row r="661">
      <c r="A661" s="3" t="n">
        <v>2022</v>
      </c>
      <c r="B661" s="4" t="n">
        <v>39714</v>
      </c>
      <c r="C661" s="4" t="n">
        <v>783</v>
      </c>
      <c r="D661" s="4" t="n">
        <v>236.8575</v>
      </c>
      <c r="E661" s="5" t="n">
        <v>167.7</v>
      </c>
      <c r="F661" s="3" t="inlineStr">
        <is>
          <t>전동면</t>
        </is>
      </c>
      <c r="G661" s="3" t="inlineStr">
        <is>
          <t>석곡리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전동면</t>
        </is>
      </c>
    </row>
    <row r="662">
      <c r="A662" s="3" t="n">
        <v>2022</v>
      </c>
      <c r="B662" s="4" t="n">
        <v>35000</v>
      </c>
      <c r="C662" s="4" t="n">
        <v>1150</v>
      </c>
      <c r="D662" s="4" t="n">
        <v>347.875</v>
      </c>
      <c r="E662" s="5" t="n">
        <v>100.6</v>
      </c>
      <c r="F662" s="3" t="inlineStr">
        <is>
          <t>전동면</t>
        </is>
      </c>
      <c r="G662" s="3" t="inlineStr">
        <is>
          <t>석곡리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전동면</t>
        </is>
      </c>
    </row>
    <row r="663">
      <c r="A663" s="3" t="n">
        <v>2022</v>
      </c>
      <c r="B663" s="4" t="n">
        <v>74000</v>
      </c>
      <c r="C663" s="4" t="n">
        <v>3064</v>
      </c>
      <c r="D663" s="4" t="n">
        <v>926.86</v>
      </c>
      <c r="E663" s="5" t="n">
        <v>79.8</v>
      </c>
      <c r="F663" s="3" t="inlineStr">
        <is>
          <t>금남면</t>
        </is>
      </c>
      <c r="G663" s="3" t="inlineStr">
        <is>
          <t>원봉리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금남면</t>
        </is>
      </c>
    </row>
    <row r="664">
      <c r="A664" s="3" t="n">
        <v>2022</v>
      </c>
      <c r="B664" s="4" t="n">
        <v>110000</v>
      </c>
      <c r="C664" s="4" t="n">
        <v>58897</v>
      </c>
      <c r="D664" s="4" t="n">
        <v>17816.3425</v>
      </c>
      <c r="E664" s="5" t="n">
        <v>6.2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농림지역</t>
        </is>
      </c>
      <c r="I664" s="3" t="inlineStr">
        <is>
          <t>임야</t>
        </is>
      </c>
      <c r="J664" s="3" t="inlineStr">
        <is>
          <t>연서면</t>
        </is>
      </c>
    </row>
    <row r="665">
      <c r="A665" s="3" t="n">
        <v>2022</v>
      </c>
      <c r="B665" s="4" t="n">
        <v>2731</v>
      </c>
      <c r="C665" s="4" t="n">
        <v>863</v>
      </c>
      <c r="D665" s="4" t="n">
        <v>261.0575</v>
      </c>
      <c r="E665" s="5" t="n">
        <v>10.5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생산관리지역</t>
        </is>
      </c>
      <c r="I665" s="3" t="inlineStr">
        <is>
          <t>과수원</t>
        </is>
      </c>
      <c r="J665" s="3" t="inlineStr">
        <is>
          <t>연서면</t>
        </is>
      </c>
    </row>
    <row r="666">
      <c r="A666" s="3" t="n">
        <v>2022</v>
      </c>
      <c r="B666" s="4" t="n">
        <v>2269</v>
      </c>
      <c r="C666" s="4" t="n">
        <v>717</v>
      </c>
      <c r="D666" s="4" t="n">
        <v>216.8925</v>
      </c>
      <c r="E666" s="5" t="n">
        <v>10.5</v>
      </c>
      <c r="F666" s="3" t="inlineStr">
        <is>
          <t>연서면</t>
        </is>
      </c>
      <c r="G666" s="3" t="inlineStr">
        <is>
          <t>쌍류리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2022</v>
      </c>
      <c r="B667" s="4" t="n">
        <v>50000</v>
      </c>
      <c r="C667" s="4" t="n">
        <v>660</v>
      </c>
      <c r="D667" s="4" t="n">
        <v>199.65</v>
      </c>
      <c r="E667" s="5" t="n">
        <v>250.4</v>
      </c>
      <c r="F667" s="3" t="inlineStr">
        <is>
          <t>부강면</t>
        </is>
      </c>
      <c r="G667" s="3" t="inlineStr">
        <is>
          <t>금호리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부강면</t>
        </is>
      </c>
    </row>
    <row r="668">
      <c r="A668" s="3" t="n">
        <v>2022</v>
      </c>
      <c r="B668" s="4" t="n">
        <v>5000</v>
      </c>
      <c r="C668" s="4" t="n">
        <v>193</v>
      </c>
      <c r="D668" s="4" t="n">
        <v>58.3825</v>
      </c>
      <c r="E668" s="5" t="n">
        <v>85.59999999999999</v>
      </c>
      <c r="F668" s="3" t="inlineStr">
        <is>
          <t>부강면</t>
        </is>
      </c>
      <c r="G668" s="3" t="inlineStr">
        <is>
          <t>금호리</t>
        </is>
      </c>
      <c r="H668" s="3" t="inlineStr">
        <is>
          <t>계획관리지역</t>
        </is>
      </c>
      <c r="I668" s="3" t="inlineStr">
        <is>
          <t>임야</t>
        </is>
      </c>
      <c r="J668" s="3" t="inlineStr">
        <is>
          <t>부강면</t>
        </is>
      </c>
    </row>
    <row r="669">
      <c r="A669" s="3" t="n">
        <v>2024</v>
      </c>
      <c r="B669" s="4" t="n">
        <v>648000</v>
      </c>
      <c r="C669" s="4" t="n">
        <v>8635</v>
      </c>
      <c r="D669" s="4" t="n">
        <v>2612.0875</v>
      </c>
      <c r="E669" s="5" t="n">
        <v>248.1</v>
      </c>
      <c r="F669" s="3" t="inlineStr">
        <is>
          <t>장군면</t>
        </is>
      </c>
      <c r="G669" s="3" t="inlineStr">
        <is>
          <t>금암리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장군면</t>
        </is>
      </c>
    </row>
    <row r="670">
      <c r="A670" s="3" t="n">
        <v>2023</v>
      </c>
      <c r="B670" s="4" t="n">
        <v>2500</v>
      </c>
      <c r="C670" s="4" t="n">
        <v>330</v>
      </c>
      <c r="D670" s="4" t="n">
        <v>99.825</v>
      </c>
      <c r="E670" s="5" t="n">
        <v>25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생산관리지역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1955034</v>
      </c>
      <c r="C671" s="4" t="n">
        <v>38242.9</v>
      </c>
      <c r="D671" s="4" t="n">
        <v>11568.47725</v>
      </c>
      <c r="E671" s="5" t="n">
        <v>169</v>
      </c>
      <c r="F671" s="3" t="inlineStr">
        <is>
          <t>전동면</t>
        </is>
      </c>
      <c r="G671" s="3" t="inlineStr">
        <is>
          <t>심중리</t>
        </is>
      </c>
      <c r="H671" s="3" t="inlineStr">
        <is>
          <t>일반공업지역</t>
        </is>
      </c>
      <c r="I671" s="3" t="inlineStr">
        <is>
          <t>공장용지</t>
        </is>
      </c>
      <c r="J671" s="3" t="inlineStr">
        <is>
          <t>전동면</t>
        </is>
      </c>
    </row>
    <row r="672">
      <c r="A672" s="3" t="n">
        <v>2023</v>
      </c>
      <c r="B672" s="4" t="n">
        <v>30000</v>
      </c>
      <c r="C672" s="4" t="n">
        <v>1962</v>
      </c>
      <c r="D672" s="4" t="n">
        <v>593.505</v>
      </c>
      <c r="E672" s="5" t="n">
        <v>50.5</v>
      </c>
      <c r="F672" s="3" t="inlineStr">
        <is>
          <t>전동면</t>
        </is>
      </c>
      <c r="G672" s="3" t="inlineStr">
        <is>
          <t>미곡리</t>
        </is>
      </c>
      <c r="H672" s="3" t="inlineStr">
        <is>
          <t>농림지역</t>
        </is>
      </c>
      <c r="I672" s="3" t="inlineStr">
        <is>
          <t>과수원</t>
        </is>
      </c>
      <c r="J672" s="3" t="inlineStr">
        <is>
          <t>전동면</t>
        </is>
      </c>
    </row>
    <row r="673">
      <c r="A673" s="3" t="n">
        <v>2023</v>
      </c>
      <c r="B673" s="4" t="n">
        <v>2400</v>
      </c>
      <c r="C673" s="4" t="n">
        <v>1651</v>
      </c>
      <c r="D673" s="4" t="n">
        <v>499.4275</v>
      </c>
      <c r="E673" s="5" t="n">
        <v>4.8</v>
      </c>
      <c r="F673" s="3" t="inlineStr">
        <is>
          <t>전동면</t>
        </is>
      </c>
      <c r="G673" s="3" t="inlineStr">
        <is>
          <t>봉대리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전동면</t>
        </is>
      </c>
    </row>
    <row r="674">
      <c r="A674" s="3" t="n">
        <v>2022</v>
      </c>
      <c r="B674" s="4" t="n">
        <v>154000</v>
      </c>
      <c r="C674" s="4" t="n">
        <v>5716</v>
      </c>
      <c r="D674" s="4" t="n">
        <v>1729.09</v>
      </c>
      <c r="E674" s="5" t="n">
        <v>89.09999999999999</v>
      </c>
      <c r="F674" s="3" t="inlineStr">
        <is>
          <t>연서면</t>
        </is>
      </c>
      <c r="G674" s="3" t="inlineStr">
        <is>
          <t>쌍류리</t>
        </is>
      </c>
      <c r="H674" s="3" t="inlineStr">
        <is>
          <t>생산관리지역</t>
        </is>
      </c>
      <c r="I674" s="3" t="inlineStr">
        <is>
          <t>답</t>
        </is>
      </c>
      <c r="J674" s="3" t="inlineStr">
        <is>
          <t>연서면</t>
        </is>
      </c>
    </row>
    <row r="675">
      <c r="A675" s="3" t="n">
        <v>2022</v>
      </c>
      <c r="B675" s="4" t="n">
        <v>38480</v>
      </c>
      <c r="C675" s="4" t="n">
        <v>1590</v>
      </c>
      <c r="D675" s="4" t="n">
        <v>480.975</v>
      </c>
      <c r="E675" s="5" t="n">
        <v>80</v>
      </c>
      <c r="F675" s="3" t="inlineStr">
        <is>
          <t>연서면</t>
        </is>
      </c>
      <c r="G675" s="3" t="inlineStr">
        <is>
          <t>쌍류리</t>
        </is>
      </c>
      <c r="H675" s="3" t="inlineStr">
        <is>
          <t>생산관리지역</t>
        </is>
      </c>
      <c r="I675" s="3" t="inlineStr">
        <is>
          <t>전</t>
        </is>
      </c>
      <c r="J675" s="3" t="inlineStr">
        <is>
          <t>연서면</t>
        </is>
      </c>
    </row>
    <row r="676">
      <c r="A676" s="3" t="n">
        <v>2022</v>
      </c>
      <c r="B676" s="4" t="n">
        <v>57800</v>
      </c>
      <c r="C676" s="4" t="n">
        <v>2734</v>
      </c>
      <c r="D676" s="4" t="n">
        <v>827.035</v>
      </c>
      <c r="E676" s="5" t="n">
        <v>69.90000000000001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29780</v>
      </c>
      <c r="C677" s="4" t="n">
        <v>457</v>
      </c>
      <c r="D677" s="4" t="n">
        <v>138.2425</v>
      </c>
      <c r="E677" s="5" t="n">
        <v>215.4</v>
      </c>
      <c r="F677" s="3" t="inlineStr">
        <is>
          <t>연기면</t>
        </is>
      </c>
      <c r="G677" s="3" t="inlineStr">
        <is>
          <t>수산리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연기면</t>
        </is>
      </c>
    </row>
    <row r="678">
      <c r="A678" s="3" t="n">
        <v>2022</v>
      </c>
      <c r="B678" s="4" t="n">
        <v>19060</v>
      </c>
      <c r="C678" s="4" t="n">
        <v>700</v>
      </c>
      <c r="D678" s="4" t="n">
        <v>211.75</v>
      </c>
      <c r="E678" s="5" t="n">
        <v>90</v>
      </c>
      <c r="F678" s="3" t="inlineStr">
        <is>
          <t>연동면</t>
        </is>
      </c>
      <c r="G678" s="3" t="inlineStr">
        <is>
          <t>명학리</t>
        </is>
      </c>
      <c r="H678" s="3" t="inlineStr">
        <is>
          <t>계획관리지역</t>
        </is>
      </c>
      <c r="I678" s="3" t="inlineStr">
        <is>
          <t>전</t>
        </is>
      </c>
      <c r="J678" s="3" t="inlineStr">
        <is>
          <t>연동면</t>
        </is>
      </c>
    </row>
    <row r="679">
      <c r="A679" s="3" t="n">
        <v>2022</v>
      </c>
      <c r="B679" s="4" t="n">
        <v>400000</v>
      </c>
      <c r="C679" s="4" t="n">
        <v>5929</v>
      </c>
      <c r="D679" s="4" t="n">
        <v>1793.5225</v>
      </c>
      <c r="E679" s="5" t="n">
        <v>223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과수원</t>
        </is>
      </c>
      <c r="J679" s="3" t="inlineStr">
        <is>
          <t>연동면</t>
        </is>
      </c>
    </row>
    <row r="680">
      <c r="A680" s="3" t="n">
        <v>2022</v>
      </c>
      <c r="B680" s="4" t="n">
        <v>30000</v>
      </c>
      <c r="C680" s="4" t="n">
        <v>336</v>
      </c>
      <c r="D680" s="4" t="n">
        <v>101.64</v>
      </c>
      <c r="E680" s="5" t="n">
        <v>295.2</v>
      </c>
      <c r="F680" s="3" t="inlineStr">
        <is>
          <t>연동면</t>
        </is>
      </c>
      <c r="G680" s="3" t="inlineStr">
        <is>
          <t>내판리</t>
        </is>
      </c>
      <c r="H680" s="3" t="inlineStr">
        <is>
          <t>계획관리지역</t>
        </is>
      </c>
      <c r="I680" s="3" t="inlineStr">
        <is>
          <t>대</t>
        </is>
      </c>
      <c r="J680" s="3" t="inlineStr">
        <is>
          <t>연동면</t>
        </is>
      </c>
    </row>
    <row r="681">
      <c r="A681" s="3" t="n">
        <v>2022</v>
      </c>
      <c r="B681" s="4" t="n">
        <v>60000</v>
      </c>
      <c r="C681" s="4" t="n">
        <v>19736</v>
      </c>
      <c r="D681" s="4" t="n">
        <v>5970.139999999999</v>
      </c>
      <c r="E681" s="5" t="n">
        <v>10.1</v>
      </c>
      <c r="F681" s="3" t="inlineStr">
        <is>
          <t>전동면</t>
        </is>
      </c>
      <c r="G681" s="3" t="inlineStr">
        <is>
          <t>봉대리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전동면</t>
        </is>
      </c>
    </row>
    <row r="682">
      <c r="A682" s="3" t="n">
        <v>2022</v>
      </c>
      <c r="B682" s="4" t="n">
        <v>16000</v>
      </c>
      <c r="C682" s="4" t="n">
        <v>2083</v>
      </c>
      <c r="D682" s="4" t="n">
        <v>630.1075</v>
      </c>
      <c r="E682" s="5" t="n">
        <v>25.4</v>
      </c>
      <c r="F682" s="3" t="inlineStr">
        <is>
          <t>전의면</t>
        </is>
      </c>
      <c r="G682" s="3" t="inlineStr">
        <is>
          <t>신방리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전의면</t>
        </is>
      </c>
    </row>
    <row r="683">
      <c r="A683" s="3" t="n">
        <v>2022</v>
      </c>
      <c r="B683" s="4" t="n">
        <v>1046</v>
      </c>
      <c r="C683" s="4" t="n">
        <v>330</v>
      </c>
      <c r="D683" s="4" t="n">
        <v>99.825</v>
      </c>
      <c r="E683" s="5" t="n">
        <v>10.5</v>
      </c>
      <c r="F683" s="3" t="inlineStr">
        <is>
          <t>장군면</t>
        </is>
      </c>
      <c r="G683" s="3" t="inlineStr">
        <is>
          <t>산학리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2500</v>
      </c>
      <c r="C684" s="4" t="n">
        <v>129</v>
      </c>
      <c r="D684" s="4" t="n">
        <v>39.0225</v>
      </c>
      <c r="E684" s="5" t="n">
        <v>64.09999999999999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29000</v>
      </c>
      <c r="C685" s="4" t="n">
        <v>408</v>
      </c>
      <c r="D685" s="4" t="n">
        <v>123.42</v>
      </c>
      <c r="E685" s="5" t="n">
        <v>235</v>
      </c>
      <c r="F685" s="3" t="inlineStr">
        <is>
          <t>장군면</t>
        </is>
      </c>
      <c r="G685" s="3" t="inlineStr">
        <is>
          <t>대교리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2022</v>
      </c>
      <c r="B686" s="4" t="n">
        <v>3726</v>
      </c>
      <c r="C686" s="4" t="n">
        <v>51</v>
      </c>
      <c r="D686" s="4" t="n">
        <v>15.4275</v>
      </c>
      <c r="E686" s="5" t="n">
        <v>241.5</v>
      </c>
      <c r="F686" s="3" t="inlineStr">
        <is>
          <t>장군면</t>
        </is>
      </c>
      <c r="G686" s="3" t="inlineStr">
        <is>
          <t>대교리</t>
        </is>
      </c>
      <c r="H686" s="3" t="inlineStr">
        <is>
          <t>계획관리지역</t>
        </is>
      </c>
      <c r="I686" s="3" t="inlineStr">
        <is>
          <t>전</t>
        </is>
      </c>
      <c r="J686" s="3" t="inlineStr">
        <is>
          <t>장군면</t>
        </is>
      </c>
    </row>
    <row r="687">
      <c r="A687" s="3" t="n">
        <v>2022</v>
      </c>
      <c r="B687" s="4" t="n">
        <v>455</v>
      </c>
      <c r="C687" s="4" t="n">
        <v>52</v>
      </c>
      <c r="D687" s="4" t="n">
        <v>15.73</v>
      </c>
      <c r="E687" s="5" t="n">
        <v>28.9</v>
      </c>
      <c r="F687" s="3" t="inlineStr">
        <is>
          <t>금남면</t>
        </is>
      </c>
      <c r="G687" s="3" t="inlineStr">
        <is>
          <t>봉암리</t>
        </is>
      </c>
      <c r="H687" s="3" t="inlineStr">
        <is>
          <t>자연녹지지역</t>
        </is>
      </c>
      <c r="I687" s="3" t="inlineStr">
        <is>
          <t>답</t>
        </is>
      </c>
      <c r="J687" s="3" t="inlineStr">
        <is>
          <t>금남면</t>
        </is>
      </c>
    </row>
    <row r="688">
      <c r="A688" s="3" t="n">
        <v>2022</v>
      </c>
      <c r="B688" s="4" t="n">
        <v>650</v>
      </c>
      <c r="C688" s="4" t="n">
        <v>322</v>
      </c>
      <c r="D688" s="4" t="n">
        <v>97.405</v>
      </c>
      <c r="E688" s="5" t="n">
        <v>6.7</v>
      </c>
      <c r="F688" s="3" t="inlineStr">
        <is>
          <t>금남면</t>
        </is>
      </c>
      <c r="G688" s="3" t="inlineStr">
        <is>
          <t>봉암리</t>
        </is>
      </c>
      <c r="H688" s="3" t="inlineStr">
        <is>
          <t>자연녹지지역</t>
        </is>
      </c>
      <c r="I688" s="3" t="inlineStr">
        <is>
          <t>답</t>
        </is>
      </c>
      <c r="J688" s="3" t="inlineStr">
        <is>
          <t>금남면</t>
        </is>
      </c>
    </row>
    <row r="689">
      <c r="A689" s="3" t="n">
        <v>2022</v>
      </c>
      <c r="B689" s="4" t="n">
        <v>4000</v>
      </c>
      <c r="C689" s="4" t="n">
        <v>296</v>
      </c>
      <c r="D689" s="4" t="n">
        <v>89.53999999999999</v>
      </c>
      <c r="E689" s="5" t="n">
        <v>44.7</v>
      </c>
      <c r="F689" s="3" t="inlineStr">
        <is>
          <t>금남면</t>
        </is>
      </c>
      <c r="G689" s="3" t="inlineStr">
        <is>
          <t>원봉리</t>
        </is>
      </c>
      <c r="H689" s="3" t="inlineStr">
        <is>
          <t>생산관리지역</t>
        </is>
      </c>
      <c r="I689" s="3" t="inlineStr">
        <is>
          <t>답</t>
        </is>
      </c>
      <c r="J689" s="3" t="inlineStr">
        <is>
          <t>금남면</t>
        </is>
      </c>
    </row>
    <row r="690">
      <c r="A690" s="3" t="n">
        <v>2022</v>
      </c>
      <c r="B690" s="4" t="n">
        <v>1300</v>
      </c>
      <c r="C690" s="4" t="n">
        <v>24</v>
      </c>
      <c r="D690" s="4" t="n">
        <v>7.26</v>
      </c>
      <c r="E690" s="5" t="n">
        <v>179.1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계획관리지역</t>
        </is>
      </c>
      <c r="I690" s="3" t="inlineStr">
        <is>
          <t>답</t>
        </is>
      </c>
      <c r="J690" s="3" t="inlineStr">
        <is>
          <t>장군면</t>
        </is>
      </c>
    </row>
    <row r="691">
      <c r="A691" s="3" t="n">
        <v>2022</v>
      </c>
      <c r="B691" s="4" t="n">
        <v>1300</v>
      </c>
      <c r="C691" s="4" t="n">
        <v>24</v>
      </c>
      <c r="D691" s="4" t="n">
        <v>7.26</v>
      </c>
      <c r="E691" s="5" t="n">
        <v>179.1</v>
      </c>
      <c r="F691" s="3" t="inlineStr">
        <is>
          <t>장군면</t>
        </is>
      </c>
      <c r="G691" s="3" t="inlineStr">
        <is>
          <t>대교리</t>
        </is>
      </c>
      <c r="H691" s="3" t="inlineStr">
        <is>
          <t>계획관리지역</t>
        </is>
      </c>
      <c r="I691" s="3" t="inlineStr">
        <is>
          <t>답</t>
        </is>
      </c>
      <c r="J691" s="3" t="inlineStr">
        <is>
          <t>장군면</t>
        </is>
      </c>
    </row>
    <row r="692">
      <c r="A692" s="3" t="n">
        <v>2025</v>
      </c>
      <c r="B692" s="4" t="n">
        <v>104500</v>
      </c>
      <c r="C692" s="4" t="n">
        <v>397.3</v>
      </c>
      <c r="D692" s="4" t="n">
        <v>120.18325</v>
      </c>
      <c r="E692" s="5" t="n">
        <v>869.5</v>
      </c>
      <c r="F692" s="3" t="inlineStr">
        <is>
          <t>한솔동</t>
        </is>
      </c>
      <c r="G692" s="3" t="inlineStr"/>
      <c r="H692" s="3" t="inlineStr">
        <is>
          <t>제1종전용주거지역</t>
        </is>
      </c>
      <c r="I692" s="3" t="inlineStr">
        <is>
          <t>대</t>
        </is>
      </c>
      <c r="J692" s="3" t="inlineStr">
        <is>
          <t>한솔동</t>
        </is>
      </c>
    </row>
    <row r="693">
      <c r="A693" s="3" t="n">
        <v>2022</v>
      </c>
      <c r="B693" s="4" t="n">
        <v>5480</v>
      </c>
      <c r="C693" s="4" t="n">
        <v>48</v>
      </c>
      <c r="D693" s="4" t="n">
        <v>14.52</v>
      </c>
      <c r="E693" s="5" t="n">
        <v>377.4</v>
      </c>
      <c r="F693" s="3" t="inlineStr">
        <is>
          <t>조치원읍</t>
        </is>
      </c>
      <c r="G693" s="3" t="inlineStr">
        <is>
          <t>번암리</t>
        </is>
      </c>
      <c r="H693" s="3" t="inlineStr">
        <is>
          <t>일반공업지역</t>
        </is>
      </c>
      <c r="I693" s="3" t="inlineStr">
        <is>
          <t>잡종지</t>
        </is>
      </c>
      <c r="J693" s="3" t="inlineStr">
        <is>
          <t>조치원읍</t>
        </is>
      </c>
    </row>
    <row r="694">
      <c r="A694" s="3" t="n">
        <v>2022</v>
      </c>
      <c r="B694" s="4" t="n">
        <v>16100</v>
      </c>
      <c r="C694" s="4" t="n">
        <v>141</v>
      </c>
      <c r="D694" s="4" t="n">
        <v>42.6525</v>
      </c>
      <c r="E694" s="5" t="n">
        <v>377.5</v>
      </c>
      <c r="F694" s="3" t="inlineStr">
        <is>
          <t>조치원읍</t>
        </is>
      </c>
      <c r="G694" s="3" t="inlineStr">
        <is>
          <t>번암리</t>
        </is>
      </c>
      <c r="H694" s="3" t="inlineStr">
        <is>
          <t>일반공업지역</t>
        </is>
      </c>
      <c r="I694" s="3" t="inlineStr">
        <is>
          <t>잡종지</t>
        </is>
      </c>
      <c r="J694" s="3" t="inlineStr">
        <is>
          <t>조치원읍</t>
        </is>
      </c>
    </row>
    <row r="695">
      <c r="A695" s="3" t="n">
        <v>2022</v>
      </c>
      <c r="B695" s="4" t="n">
        <v>920</v>
      </c>
      <c r="C695" s="4" t="n">
        <v>8</v>
      </c>
      <c r="D695" s="4" t="n">
        <v>2.42</v>
      </c>
      <c r="E695" s="5" t="n">
        <v>380.2</v>
      </c>
      <c r="F695" s="3" t="inlineStr">
        <is>
          <t>조치원읍</t>
        </is>
      </c>
      <c r="G695" s="3" t="inlineStr">
        <is>
          <t>번암리</t>
        </is>
      </c>
      <c r="H695" s="3" t="inlineStr">
        <is>
          <t>일반공업지역</t>
        </is>
      </c>
      <c r="I695" s="3" t="inlineStr">
        <is>
          <t>잡종지</t>
        </is>
      </c>
      <c r="J695" s="3" t="inlineStr">
        <is>
          <t>조치원읍</t>
        </is>
      </c>
    </row>
    <row r="696">
      <c r="A696" s="3" t="n">
        <v>2022</v>
      </c>
      <c r="B696" s="4" t="n">
        <v>13023</v>
      </c>
      <c r="C696" s="4" t="n">
        <v>105</v>
      </c>
      <c r="D696" s="4" t="n">
        <v>31.7625</v>
      </c>
      <c r="E696" s="5" t="n">
        <v>410</v>
      </c>
      <c r="F696" s="3" t="inlineStr">
        <is>
          <t>조치원읍</t>
        </is>
      </c>
      <c r="G696" s="3" t="inlineStr">
        <is>
          <t>서창리</t>
        </is>
      </c>
      <c r="H696" s="3" t="inlineStr">
        <is>
          <t>제1종일반주거지역</t>
        </is>
      </c>
      <c r="I696" s="3" t="inlineStr">
        <is>
          <t>답</t>
        </is>
      </c>
      <c r="J696" s="3" t="inlineStr">
        <is>
          <t>조치원읍</t>
        </is>
      </c>
    </row>
    <row r="697">
      <c r="A697" s="3" t="n">
        <v>2022</v>
      </c>
      <c r="B697" s="4" t="n">
        <v>248</v>
      </c>
      <c r="C697" s="4" t="n">
        <v>2</v>
      </c>
      <c r="D697" s="4" t="n">
        <v>0.605</v>
      </c>
      <c r="E697" s="5" t="n">
        <v>409.9</v>
      </c>
      <c r="F697" s="3" t="inlineStr">
        <is>
          <t>조치원읍</t>
        </is>
      </c>
      <c r="G697" s="3" t="inlineStr">
        <is>
          <t>서창리</t>
        </is>
      </c>
      <c r="H697" s="3" t="inlineStr">
        <is>
          <t>제1종일반주거지역</t>
        </is>
      </c>
      <c r="I697" s="3" t="inlineStr">
        <is>
          <t>답</t>
        </is>
      </c>
      <c r="J697" s="3" t="inlineStr">
        <is>
          <t>조치원읍</t>
        </is>
      </c>
    </row>
    <row r="698">
      <c r="A698" s="3" t="n">
        <v>2022</v>
      </c>
      <c r="B698" s="4" t="n">
        <v>14883</v>
      </c>
      <c r="C698" s="4" t="n">
        <v>120</v>
      </c>
      <c r="D698" s="4" t="n">
        <v>36.3</v>
      </c>
      <c r="E698" s="5" t="n">
        <v>410</v>
      </c>
      <c r="F698" s="3" t="inlineStr">
        <is>
          <t>조치원읍</t>
        </is>
      </c>
      <c r="G698" s="3" t="inlineStr">
        <is>
          <t>서창리</t>
        </is>
      </c>
      <c r="H698" s="3" t="inlineStr">
        <is>
          <t>제1종전용주거지역</t>
        </is>
      </c>
      <c r="I698" s="3" t="inlineStr">
        <is>
          <t>답</t>
        </is>
      </c>
      <c r="J698" s="3" t="inlineStr">
        <is>
          <t>조치원읍</t>
        </is>
      </c>
    </row>
    <row r="699">
      <c r="A699" s="3" t="n">
        <v>2022</v>
      </c>
      <c r="B699" s="4" t="n">
        <v>7566</v>
      </c>
      <c r="C699" s="4" t="n">
        <v>61</v>
      </c>
      <c r="D699" s="4" t="n">
        <v>18.4525</v>
      </c>
      <c r="E699" s="5" t="n">
        <v>410</v>
      </c>
      <c r="F699" s="3" t="inlineStr">
        <is>
          <t>조치원읍</t>
        </is>
      </c>
      <c r="G699" s="3" t="inlineStr">
        <is>
          <t>서창리</t>
        </is>
      </c>
      <c r="H699" s="3" t="inlineStr">
        <is>
          <t>제1종일반주거지역</t>
        </is>
      </c>
      <c r="I699" s="3" t="inlineStr">
        <is>
          <t>답</t>
        </is>
      </c>
      <c r="J699" s="3" t="inlineStr">
        <is>
          <t>조치원읍</t>
        </is>
      </c>
    </row>
    <row r="700">
      <c r="A700" s="3" t="n">
        <v>2022</v>
      </c>
      <c r="B700" s="4" t="n">
        <v>33239</v>
      </c>
      <c r="C700" s="4" t="n">
        <v>268</v>
      </c>
      <c r="D700" s="4" t="n">
        <v>81.06999999999999</v>
      </c>
      <c r="E700" s="5" t="n">
        <v>410</v>
      </c>
      <c r="F700" s="3" t="inlineStr">
        <is>
          <t>조치원읍</t>
        </is>
      </c>
      <c r="G700" s="3" t="inlineStr">
        <is>
          <t>서창리</t>
        </is>
      </c>
      <c r="H700" s="3" t="inlineStr">
        <is>
          <t>제1종전용주거지역</t>
        </is>
      </c>
      <c r="I700" s="3" t="inlineStr">
        <is>
          <t>답</t>
        </is>
      </c>
      <c r="J700" s="3" t="inlineStr">
        <is>
          <t>조치원읍</t>
        </is>
      </c>
    </row>
    <row r="701">
      <c r="A701" s="3" t="n">
        <v>2022</v>
      </c>
      <c r="B701" s="4" t="n">
        <v>49000</v>
      </c>
      <c r="C701" s="4" t="n">
        <v>3613</v>
      </c>
      <c r="D701" s="4" t="n">
        <v>1092.9325</v>
      </c>
      <c r="E701" s="5" t="n">
        <v>44.8</v>
      </c>
      <c r="F701" s="3" t="inlineStr">
        <is>
          <t>전의면</t>
        </is>
      </c>
      <c r="G701" s="3" t="inlineStr">
        <is>
          <t>금사리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전의면</t>
        </is>
      </c>
    </row>
    <row r="702">
      <c r="A702" s="3" t="n">
        <v>2022</v>
      </c>
      <c r="B702" s="4" t="n">
        <v>41000</v>
      </c>
      <c r="C702" s="4" t="n">
        <v>3061</v>
      </c>
      <c r="D702" s="4" t="n">
        <v>925.9525</v>
      </c>
      <c r="E702" s="5" t="n">
        <v>44.3</v>
      </c>
      <c r="F702" s="3" t="inlineStr">
        <is>
          <t>전의면</t>
        </is>
      </c>
      <c r="G702" s="3" t="inlineStr">
        <is>
          <t>금사리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전의면</t>
        </is>
      </c>
    </row>
    <row r="703">
      <c r="A703" s="3" t="n">
        <v>2022</v>
      </c>
      <c r="B703" s="4" t="n">
        <v>164476</v>
      </c>
      <c r="C703" s="4" t="n">
        <v>10456</v>
      </c>
      <c r="D703" s="4" t="n">
        <v>3162.94</v>
      </c>
      <c r="E703" s="5" t="n">
        <v>52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계획관리지역</t>
        </is>
      </c>
      <c r="I703" s="3" t="inlineStr">
        <is>
          <t>임야</t>
        </is>
      </c>
      <c r="J703" s="3" t="inlineStr">
        <is>
          <t>연동면</t>
        </is>
      </c>
    </row>
    <row r="704">
      <c r="A704" s="3" t="n">
        <v>2022</v>
      </c>
      <c r="B704" s="4" t="n">
        <v>20700</v>
      </c>
      <c r="C704" s="4" t="n">
        <v>761</v>
      </c>
      <c r="D704" s="4" t="n">
        <v>230.2025</v>
      </c>
      <c r="E704" s="5" t="n">
        <v>89.90000000000001</v>
      </c>
      <c r="F704" s="3" t="inlineStr">
        <is>
          <t>연서면</t>
        </is>
      </c>
      <c r="G704" s="3" t="inlineStr">
        <is>
          <t>고복리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37570</v>
      </c>
      <c r="C705" s="4" t="n">
        <v>446</v>
      </c>
      <c r="D705" s="4" t="n">
        <v>134.915</v>
      </c>
      <c r="E705" s="5" t="n">
        <v>278.5</v>
      </c>
      <c r="F705" s="3" t="inlineStr">
        <is>
          <t>전의면</t>
        </is>
      </c>
      <c r="G705" s="3" t="inlineStr">
        <is>
          <t>신흥리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전의면</t>
        </is>
      </c>
    </row>
    <row r="706">
      <c r="A706" s="3" t="n">
        <v>2022</v>
      </c>
      <c r="B706" s="4" t="n">
        <v>44220</v>
      </c>
      <c r="C706" s="4" t="n">
        <v>442</v>
      </c>
      <c r="D706" s="4" t="n">
        <v>133.705</v>
      </c>
      <c r="E706" s="5" t="n">
        <v>330.7</v>
      </c>
      <c r="F706" s="3" t="inlineStr">
        <is>
          <t>연서면</t>
        </is>
      </c>
      <c r="G706" s="3" t="inlineStr">
        <is>
          <t>월하리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2022</v>
      </c>
      <c r="B707" s="4" t="n">
        <v>22750</v>
      </c>
      <c r="C707" s="4" t="n">
        <v>300</v>
      </c>
      <c r="D707" s="4" t="n">
        <v>90.75</v>
      </c>
      <c r="E707" s="5" t="n">
        <v>250.7</v>
      </c>
      <c r="F707" s="3" t="inlineStr">
        <is>
          <t>금남면</t>
        </is>
      </c>
      <c r="G707" s="3" t="inlineStr">
        <is>
          <t>발산리</t>
        </is>
      </c>
      <c r="H707" s="3" t="inlineStr">
        <is>
          <t>제1종일반주거지역</t>
        </is>
      </c>
      <c r="I707" s="3" t="inlineStr">
        <is>
          <t>대</t>
        </is>
      </c>
      <c r="J707" s="3" t="inlineStr">
        <is>
          <t>금남면</t>
        </is>
      </c>
    </row>
    <row r="708">
      <c r="A708" s="3" t="n">
        <v>2022</v>
      </c>
      <c r="B708" s="4" t="n">
        <v>35000</v>
      </c>
      <c r="C708" s="4" t="n">
        <v>463</v>
      </c>
      <c r="D708" s="4" t="n">
        <v>140.0575</v>
      </c>
      <c r="E708" s="5" t="n">
        <v>249.9</v>
      </c>
      <c r="F708" s="3" t="inlineStr">
        <is>
          <t>금남면</t>
        </is>
      </c>
      <c r="G708" s="3" t="inlineStr">
        <is>
          <t>발산리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금남면</t>
        </is>
      </c>
    </row>
    <row r="709">
      <c r="A709" s="3" t="n">
        <v>2022</v>
      </c>
      <c r="B709" s="4" t="n">
        <v>1260</v>
      </c>
      <c r="C709" s="4" t="n">
        <v>21</v>
      </c>
      <c r="D709" s="4" t="n">
        <v>6.3525</v>
      </c>
      <c r="E709" s="5" t="n">
        <v>198.3</v>
      </c>
      <c r="F709" s="3" t="inlineStr">
        <is>
          <t>부강면</t>
        </is>
      </c>
      <c r="G709" s="3" t="inlineStr">
        <is>
          <t>부강리</t>
        </is>
      </c>
      <c r="H709" s="3" t="inlineStr">
        <is>
          <t>제2종일반주거지역</t>
        </is>
      </c>
      <c r="I709" s="3" t="inlineStr">
        <is>
          <t>전</t>
        </is>
      </c>
      <c r="J709" s="3" t="inlineStr">
        <is>
          <t>부강면</t>
        </is>
      </c>
    </row>
    <row r="710">
      <c r="A710" s="3" t="n">
        <v>2024</v>
      </c>
      <c r="B710" s="4" t="n">
        <v>521600</v>
      </c>
      <c r="C710" s="4" t="n">
        <v>6950</v>
      </c>
      <c r="D710" s="4" t="n">
        <v>2102.375</v>
      </c>
      <c r="E710" s="5" t="n">
        <v>248.1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임야</t>
        </is>
      </c>
      <c r="J710" s="3" t="inlineStr">
        <is>
          <t>장군면</t>
        </is>
      </c>
    </row>
    <row r="711">
      <c r="A711" s="3" t="n">
        <v>2024</v>
      </c>
      <c r="B711" s="4" t="n">
        <v>475100</v>
      </c>
      <c r="C711" s="4" t="n">
        <v>6331</v>
      </c>
      <c r="D711" s="4" t="n">
        <v>1915.1275</v>
      </c>
      <c r="E711" s="5" t="n">
        <v>248.1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장군면</t>
        </is>
      </c>
    </row>
    <row r="712">
      <c r="A712" s="3" t="n">
        <v>2024</v>
      </c>
      <c r="B712" s="4" t="n">
        <v>204000</v>
      </c>
      <c r="C712" s="4" t="n">
        <v>2719</v>
      </c>
      <c r="D712" s="4" t="n">
        <v>822.4974999999999</v>
      </c>
      <c r="E712" s="5" t="n">
        <v>248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장군면</t>
        </is>
      </c>
    </row>
    <row r="713">
      <c r="A713" s="3" t="n">
        <v>2024</v>
      </c>
      <c r="B713" s="4" t="n">
        <v>51300</v>
      </c>
      <c r="C713" s="4" t="n">
        <v>684</v>
      </c>
      <c r="D713" s="4" t="n">
        <v>206.91</v>
      </c>
      <c r="E713" s="5" t="n">
        <v>247.9</v>
      </c>
      <c r="F713" s="3" t="inlineStr">
        <is>
          <t>장군면</t>
        </is>
      </c>
      <c r="G713" s="3" t="inlineStr">
        <is>
          <t>금암리</t>
        </is>
      </c>
      <c r="H713" s="3" t="inlineStr">
        <is>
          <t>계획관리지역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2024</v>
      </c>
      <c r="B714" s="4" t="n">
        <v>37400</v>
      </c>
      <c r="C714" s="4" t="n">
        <v>499</v>
      </c>
      <c r="D714" s="4" t="n">
        <v>150.9475</v>
      </c>
      <c r="E714" s="5" t="n">
        <v>247.8</v>
      </c>
      <c r="F714" s="3" t="inlineStr">
        <is>
          <t>장군면</t>
        </is>
      </c>
      <c r="G714" s="3" t="inlineStr">
        <is>
          <t>금암리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장군면</t>
        </is>
      </c>
    </row>
    <row r="715">
      <c r="A715" s="3" t="n">
        <v>2024</v>
      </c>
      <c r="B715" s="4" t="n">
        <v>149800</v>
      </c>
      <c r="C715" s="4" t="n">
        <v>1997</v>
      </c>
      <c r="D715" s="4" t="n">
        <v>604.0925</v>
      </c>
      <c r="E715" s="5" t="n">
        <v>248</v>
      </c>
      <c r="F715" s="3" t="inlineStr">
        <is>
          <t>장군면</t>
        </is>
      </c>
      <c r="G715" s="3" t="inlineStr">
        <is>
          <t>금암리</t>
        </is>
      </c>
      <c r="H715" s="3" t="inlineStr">
        <is>
          <t>계획관리지역</t>
        </is>
      </c>
      <c r="I715" s="3" t="inlineStr">
        <is>
          <t>임야</t>
        </is>
      </c>
      <c r="J715" s="3" t="inlineStr">
        <is>
          <t>장군면</t>
        </is>
      </c>
    </row>
    <row r="716">
      <c r="A716" s="3" t="n">
        <v>2024</v>
      </c>
      <c r="B716" s="4" t="n">
        <v>19800</v>
      </c>
      <c r="C716" s="4" t="n">
        <v>265</v>
      </c>
      <c r="D716" s="4" t="n">
        <v>80.16249999999999</v>
      </c>
      <c r="E716" s="5" t="n">
        <v>247</v>
      </c>
      <c r="F716" s="3" t="inlineStr">
        <is>
          <t>장군면</t>
        </is>
      </c>
      <c r="G716" s="3" t="inlineStr">
        <is>
          <t>금암리</t>
        </is>
      </c>
      <c r="H716" s="3" t="inlineStr">
        <is>
          <t>계획관리지역</t>
        </is>
      </c>
      <c r="I716" s="3" t="inlineStr">
        <is>
          <t>임야</t>
        </is>
      </c>
      <c r="J716" s="3" t="inlineStr">
        <is>
          <t>장군면</t>
        </is>
      </c>
    </row>
    <row r="717">
      <c r="A717" s="3" t="n">
        <v>2024</v>
      </c>
      <c r="B717" s="4" t="n">
        <v>60400</v>
      </c>
      <c r="C717" s="4" t="n">
        <v>806</v>
      </c>
      <c r="D717" s="4" t="n">
        <v>243.815</v>
      </c>
      <c r="E717" s="5" t="n">
        <v>247.7</v>
      </c>
      <c r="F717" s="3" t="inlineStr">
        <is>
          <t>장군면</t>
        </is>
      </c>
      <c r="G717" s="3" t="inlineStr">
        <is>
          <t>금암리</t>
        </is>
      </c>
      <c r="H717" s="3" t="inlineStr">
        <is>
          <t>계획관리지역</t>
        </is>
      </c>
      <c r="I717" s="3" t="inlineStr">
        <is>
          <t>임야</t>
        </is>
      </c>
      <c r="J717" s="3" t="inlineStr">
        <is>
          <t>장군면</t>
        </is>
      </c>
    </row>
    <row r="718">
      <c r="A718" s="3" t="n">
        <v>2024</v>
      </c>
      <c r="B718" s="4" t="n">
        <v>1700</v>
      </c>
      <c r="C718" s="4" t="n">
        <v>23</v>
      </c>
      <c r="D718" s="4" t="n">
        <v>6.9575</v>
      </c>
      <c r="E718" s="5" t="n">
        <v>244.3</v>
      </c>
      <c r="F718" s="3" t="inlineStr">
        <is>
          <t>장군면</t>
        </is>
      </c>
      <c r="G718" s="3" t="inlineStr">
        <is>
          <t>금암리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장군면</t>
        </is>
      </c>
    </row>
    <row r="719">
      <c r="A719" s="3" t="n">
        <v>2024</v>
      </c>
      <c r="B719" s="4" t="n">
        <v>33300</v>
      </c>
      <c r="C719" s="4" t="n">
        <v>445</v>
      </c>
      <c r="D719" s="4" t="n">
        <v>134.6125</v>
      </c>
      <c r="E719" s="5" t="n">
        <v>247.4</v>
      </c>
      <c r="F719" s="3" t="inlineStr">
        <is>
          <t>장군면</t>
        </is>
      </c>
      <c r="G719" s="3" t="inlineStr">
        <is>
          <t>금암리</t>
        </is>
      </c>
      <c r="H719" s="3" t="inlineStr">
        <is>
          <t>계획관리지역</t>
        </is>
      </c>
      <c r="I719" s="3" t="inlineStr">
        <is>
          <t>임야</t>
        </is>
      </c>
      <c r="J719" s="3" t="inlineStr">
        <is>
          <t>장군면</t>
        </is>
      </c>
    </row>
    <row r="720">
      <c r="A720" s="3" t="n">
        <v>2024</v>
      </c>
      <c r="B720" s="4" t="n">
        <v>21300</v>
      </c>
      <c r="C720" s="4" t="n">
        <v>284</v>
      </c>
      <c r="D720" s="4" t="n">
        <v>85.91</v>
      </c>
      <c r="E720" s="5" t="n">
        <v>247.9</v>
      </c>
      <c r="F720" s="3" t="inlineStr">
        <is>
          <t>장군면</t>
        </is>
      </c>
      <c r="G720" s="3" t="inlineStr">
        <is>
          <t>금암리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장군면</t>
        </is>
      </c>
    </row>
    <row r="721">
      <c r="A721" s="3" t="n">
        <v>2024</v>
      </c>
      <c r="B721" s="4" t="n">
        <v>32700</v>
      </c>
      <c r="C721" s="4" t="n">
        <v>436</v>
      </c>
      <c r="D721" s="4" t="n">
        <v>131.89</v>
      </c>
      <c r="E721" s="5" t="n">
        <v>247.9</v>
      </c>
      <c r="F721" s="3" t="inlineStr">
        <is>
          <t>장군면</t>
        </is>
      </c>
      <c r="G721" s="3" t="inlineStr">
        <is>
          <t>금암리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장군면</t>
        </is>
      </c>
    </row>
    <row r="722">
      <c r="A722" s="3" t="n">
        <v>2024</v>
      </c>
      <c r="B722" s="4" t="n">
        <v>68200</v>
      </c>
      <c r="C722" s="4" t="n">
        <v>909</v>
      </c>
      <c r="D722" s="4" t="n">
        <v>274.9725</v>
      </c>
      <c r="E722" s="5" t="n">
        <v>248</v>
      </c>
      <c r="F722" s="3" t="inlineStr">
        <is>
          <t>장군면</t>
        </is>
      </c>
      <c r="G722" s="3" t="inlineStr">
        <is>
          <t>금암리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장군면</t>
        </is>
      </c>
    </row>
    <row r="723">
      <c r="A723" s="3" t="n">
        <v>2024</v>
      </c>
      <c r="B723" s="4" t="n">
        <v>37900</v>
      </c>
      <c r="C723" s="4" t="n">
        <v>1653</v>
      </c>
      <c r="D723" s="4" t="n">
        <v>500.0325</v>
      </c>
      <c r="E723" s="5" t="n">
        <v>75.8</v>
      </c>
      <c r="F723" s="3" t="inlineStr">
        <is>
          <t>전의면</t>
        </is>
      </c>
      <c r="G723" s="3" t="inlineStr">
        <is>
          <t>신정리</t>
        </is>
      </c>
      <c r="H723" s="3" t="inlineStr">
        <is>
          <t>계획관리지역</t>
        </is>
      </c>
      <c r="I723" s="3" t="inlineStr">
        <is>
          <t>임야</t>
        </is>
      </c>
      <c r="J723" s="3" t="inlineStr">
        <is>
          <t>전의면</t>
        </is>
      </c>
    </row>
    <row r="724">
      <c r="A724" s="3" t="n">
        <v>2024</v>
      </c>
      <c r="B724" s="4" t="n">
        <v>20000</v>
      </c>
      <c r="C724" s="4" t="n">
        <v>1316</v>
      </c>
      <c r="D724" s="4" t="n">
        <v>398.09</v>
      </c>
      <c r="E724" s="5" t="n">
        <v>50.2</v>
      </c>
      <c r="F724" s="3" t="inlineStr">
        <is>
          <t>전의면</t>
        </is>
      </c>
      <c r="G724" s="3" t="inlineStr">
        <is>
          <t>유천리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전의면</t>
        </is>
      </c>
    </row>
    <row r="725">
      <c r="A725" s="3" t="n">
        <v>2024</v>
      </c>
      <c r="B725" s="4" t="n">
        <v>10000</v>
      </c>
      <c r="C725" s="4" t="n">
        <v>129</v>
      </c>
      <c r="D725" s="4" t="n">
        <v>39.0225</v>
      </c>
      <c r="E725" s="5" t="n">
        <v>256.3</v>
      </c>
      <c r="F725" s="3" t="inlineStr">
        <is>
          <t>조치원읍</t>
        </is>
      </c>
      <c r="G725" s="3" t="inlineStr">
        <is>
          <t>신안리</t>
        </is>
      </c>
      <c r="H725" s="3" t="inlineStr">
        <is>
          <t>자연녹지지역</t>
        </is>
      </c>
      <c r="I725" s="3" t="inlineStr">
        <is>
          <t>전</t>
        </is>
      </c>
      <c r="J725" s="3" t="inlineStr">
        <is>
          <t>조치원읍</t>
        </is>
      </c>
    </row>
    <row r="726">
      <c r="A726" s="3" t="n">
        <v>2024</v>
      </c>
      <c r="B726" s="4" t="n">
        <v>27310</v>
      </c>
      <c r="C726" s="4" t="n">
        <v>447</v>
      </c>
      <c r="D726" s="4" t="n">
        <v>135.2175</v>
      </c>
      <c r="E726" s="5" t="n">
        <v>202</v>
      </c>
      <c r="F726" s="3" t="inlineStr">
        <is>
          <t>장군면</t>
        </is>
      </c>
      <c r="G726" s="3" t="inlineStr">
        <is>
          <t>금암리</t>
        </is>
      </c>
      <c r="H726" s="3" t="inlineStr">
        <is>
          <t>보전관리지역</t>
        </is>
      </c>
      <c r="I726" s="3" t="inlineStr">
        <is>
          <t>대</t>
        </is>
      </c>
      <c r="J726" s="3" t="inlineStr">
        <is>
          <t>장군면</t>
        </is>
      </c>
    </row>
    <row r="727">
      <c r="A727" s="3" t="n">
        <v>2024</v>
      </c>
      <c r="B727" s="4" t="n">
        <v>208</v>
      </c>
      <c r="C727" s="4" t="n">
        <v>3.4</v>
      </c>
      <c r="D727" s="4" t="n">
        <v>1.0285</v>
      </c>
      <c r="E727" s="5" t="n">
        <v>202.2</v>
      </c>
      <c r="F727" s="3" t="inlineStr">
        <is>
          <t>장군면</t>
        </is>
      </c>
      <c r="G727" s="3" t="inlineStr">
        <is>
          <t>금암리</t>
        </is>
      </c>
      <c r="H727" s="3" t="inlineStr">
        <is>
          <t>보전관리지역</t>
        </is>
      </c>
      <c r="I727" s="3" t="inlineStr">
        <is>
          <t>대</t>
        </is>
      </c>
      <c r="J727" s="3" t="inlineStr">
        <is>
          <t>장군면</t>
        </is>
      </c>
    </row>
    <row r="728">
      <c r="A728" s="3" t="n">
        <v>2024</v>
      </c>
      <c r="B728" s="4" t="n">
        <v>43007</v>
      </c>
      <c r="C728" s="4" t="n">
        <v>3031</v>
      </c>
      <c r="D728" s="4" t="n">
        <v>916.8774999999999</v>
      </c>
      <c r="E728" s="5" t="n">
        <v>46.9</v>
      </c>
      <c r="F728" s="3" t="inlineStr">
        <is>
          <t>전의면</t>
        </is>
      </c>
      <c r="G728" s="3" t="inlineStr">
        <is>
          <t>금사리</t>
        </is>
      </c>
      <c r="H728" s="3" t="inlineStr">
        <is>
          <t>생산관리지역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2024</v>
      </c>
      <c r="B729" s="4" t="n">
        <v>42125</v>
      </c>
      <c r="C729" s="4" t="n">
        <v>3124</v>
      </c>
      <c r="D729" s="4" t="n">
        <v>945.01</v>
      </c>
      <c r="E729" s="5" t="n">
        <v>44.6</v>
      </c>
      <c r="F729" s="3" t="inlineStr">
        <is>
          <t>전의면</t>
        </is>
      </c>
      <c r="G729" s="3" t="inlineStr">
        <is>
          <t>금사리</t>
        </is>
      </c>
      <c r="H729" s="3" t="inlineStr">
        <is>
          <t>생산관리지역</t>
        </is>
      </c>
      <c r="I729" s="3" t="inlineStr">
        <is>
          <t>답</t>
        </is>
      </c>
      <c r="J729" s="3" t="inlineStr">
        <is>
          <t>전의면</t>
        </is>
      </c>
    </row>
    <row r="730">
      <c r="A730" s="3" t="n">
        <v>2024</v>
      </c>
      <c r="B730" s="4" t="n">
        <v>38127</v>
      </c>
      <c r="C730" s="4" t="n">
        <v>2919</v>
      </c>
      <c r="D730" s="4" t="n">
        <v>882.9974999999999</v>
      </c>
      <c r="E730" s="5" t="n">
        <v>43.2</v>
      </c>
      <c r="F730" s="3" t="inlineStr">
        <is>
          <t>전의면</t>
        </is>
      </c>
      <c r="G730" s="3" t="inlineStr">
        <is>
          <t>금사리</t>
        </is>
      </c>
      <c r="H730" s="3" t="inlineStr">
        <is>
          <t>생산관리지역</t>
        </is>
      </c>
      <c r="I730" s="3" t="inlineStr">
        <is>
          <t>답</t>
        </is>
      </c>
      <c r="J730" s="3" t="inlineStr">
        <is>
          <t>전의면</t>
        </is>
      </c>
    </row>
    <row r="731">
      <c r="A731" s="3" t="n">
        <v>2024</v>
      </c>
      <c r="B731" s="4" t="n">
        <v>6741</v>
      </c>
      <c r="C731" s="4" t="n">
        <v>516</v>
      </c>
      <c r="D731" s="4" t="n">
        <v>156.09</v>
      </c>
      <c r="E731" s="5" t="n">
        <v>43.2</v>
      </c>
      <c r="F731" s="3" t="inlineStr">
        <is>
          <t>전의면</t>
        </is>
      </c>
      <c r="G731" s="3" t="inlineStr">
        <is>
          <t>금사리</t>
        </is>
      </c>
      <c r="H731" s="3" t="inlineStr">
        <is>
          <t>생산관리지역</t>
        </is>
      </c>
      <c r="I731" s="3" t="inlineStr">
        <is>
          <t>전</t>
        </is>
      </c>
      <c r="J731" s="3" t="inlineStr">
        <is>
          <t>전의면</t>
        </is>
      </c>
    </row>
    <row r="732">
      <c r="A732" s="3" t="n">
        <v>2024</v>
      </c>
      <c r="B732" s="4" t="n">
        <v>17250</v>
      </c>
      <c r="C732" s="4" t="n">
        <v>1140</v>
      </c>
      <c r="D732" s="4" t="n">
        <v>344.85</v>
      </c>
      <c r="E732" s="5" t="n">
        <v>50</v>
      </c>
      <c r="F732" s="3" t="inlineStr">
        <is>
          <t>장군면</t>
        </is>
      </c>
      <c r="G732" s="3" t="inlineStr">
        <is>
          <t>송학리</t>
        </is>
      </c>
      <c r="H732" s="3" t="inlineStr">
        <is>
          <t>보전관리지역</t>
        </is>
      </c>
      <c r="I732" s="3" t="inlineStr">
        <is>
          <t>전</t>
        </is>
      </c>
      <c r="J732" s="3" t="inlineStr">
        <is>
          <t>장군면</t>
        </is>
      </c>
    </row>
    <row r="733">
      <c r="A733" s="3" t="n">
        <v>2024</v>
      </c>
      <c r="B733" s="4" t="n">
        <v>19000</v>
      </c>
      <c r="C733" s="4" t="n">
        <v>1000</v>
      </c>
      <c r="D733" s="4" t="n">
        <v>302.5</v>
      </c>
      <c r="E733" s="5" t="n">
        <v>62.8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농림지역</t>
        </is>
      </c>
      <c r="I733" s="3" t="inlineStr">
        <is>
          <t>답</t>
        </is>
      </c>
      <c r="J733" s="3" t="inlineStr">
        <is>
          <t>연서면</t>
        </is>
      </c>
    </row>
    <row r="734">
      <c r="A734" s="3" t="n">
        <v>2022</v>
      </c>
      <c r="B734" s="4" t="n">
        <v>68700</v>
      </c>
      <c r="C734" s="4" t="n">
        <v>3033</v>
      </c>
      <c r="D734" s="4" t="n">
        <v>917.4825</v>
      </c>
      <c r="E734" s="5" t="n">
        <v>74.90000000000001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개발제한구역</t>
        </is>
      </c>
      <c r="I734" s="3" t="inlineStr">
        <is>
          <t>답</t>
        </is>
      </c>
      <c r="J734" s="3" t="inlineStr">
        <is>
          <t>금남면</t>
        </is>
      </c>
    </row>
    <row r="735">
      <c r="A735" s="3" t="n">
        <v>2022</v>
      </c>
      <c r="B735" s="4" t="n">
        <v>10164</v>
      </c>
      <c r="C735" s="4" t="n">
        <v>84</v>
      </c>
      <c r="D735" s="4" t="n">
        <v>25.41</v>
      </c>
      <c r="E735" s="5" t="n">
        <v>400</v>
      </c>
      <c r="F735" s="3" t="inlineStr">
        <is>
          <t>조치원읍</t>
        </is>
      </c>
      <c r="G735" s="3" t="inlineStr">
        <is>
          <t>침산리</t>
        </is>
      </c>
      <c r="H735" s="3" t="inlineStr">
        <is>
          <t>제1종일반주거지역</t>
        </is>
      </c>
      <c r="I735" s="3" t="inlineStr">
        <is>
          <t>답</t>
        </is>
      </c>
      <c r="J735" s="3" t="inlineStr">
        <is>
          <t>조치원읍</t>
        </is>
      </c>
    </row>
    <row r="736">
      <c r="A736" s="3" t="n">
        <v>2022</v>
      </c>
      <c r="B736" s="4" t="n">
        <v>40000</v>
      </c>
      <c r="C736" s="4" t="n">
        <v>2284</v>
      </c>
      <c r="D736" s="4" t="n">
        <v>690.91</v>
      </c>
      <c r="E736" s="5" t="n">
        <v>57.9</v>
      </c>
      <c r="F736" s="3" t="inlineStr">
        <is>
          <t>금남면</t>
        </is>
      </c>
      <c r="G736" s="3" t="inlineStr">
        <is>
          <t>원봉리</t>
        </is>
      </c>
      <c r="H736" s="3" t="inlineStr">
        <is>
          <t>생산관리지역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2022</v>
      </c>
      <c r="B737" s="4" t="n">
        <v>57000</v>
      </c>
      <c r="C737" s="4" t="n">
        <v>2797</v>
      </c>
      <c r="D737" s="4" t="n">
        <v>846.0925</v>
      </c>
      <c r="E737" s="5" t="n">
        <v>67.40000000000001</v>
      </c>
      <c r="F737" s="3" t="inlineStr">
        <is>
          <t>금남면</t>
        </is>
      </c>
      <c r="G737" s="3" t="inlineStr">
        <is>
          <t>달전리</t>
        </is>
      </c>
      <c r="H737" s="3" t="inlineStr">
        <is>
          <t>개발제한구역</t>
        </is>
      </c>
      <c r="I737" s="3" t="inlineStr">
        <is>
          <t>답</t>
        </is>
      </c>
      <c r="J737" s="3" t="inlineStr">
        <is>
          <t>금남면</t>
        </is>
      </c>
    </row>
    <row r="738">
      <c r="A738" s="3" t="n">
        <v>2022</v>
      </c>
      <c r="B738" s="4" t="n">
        <v>23900</v>
      </c>
      <c r="C738" s="4" t="n">
        <v>231</v>
      </c>
      <c r="D738" s="4" t="n">
        <v>69.8775</v>
      </c>
      <c r="E738" s="5" t="n">
        <v>342</v>
      </c>
      <c r="F738" s="3" t="inlineStr">
        <is>
          <t>연서면</t>
        </is>
      </c>
      <c r="G738" s="3" t="inlineStr">
        <is>
          <t>와촌리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연서면</t>
        </is>
      </c>
    </row>
    <row r="739">
      <c r="A739" s="3" t="n">
        <v>2022</v>
      </c>
      <c r="B739" s="4" t="n">
        <v>20000</v>
      </c>
      <c r="C739" s="4" t="n">
        <v>552</v>
      </c>
      <c r="D739" s="4" t="n">
        <v>166.98</v>
      </c>
      <c r="E739" s="5" t="n">
        <v>119.8</v>
      </c>
      <c r="F739" s="3" t="inlineStr">
        <is>
          <t>금남면</t>
        </is>
      </c>
      <c r="G739" s="3" t="inlineStr">
        <is>
          <t>봉암리</t>
        </is>
      </c>
      <c r="H739" s="3" t="inlineStr">
        <is>
          <t>계획관리지역</t>
        </is>
      </c>
      <c r="I739" s="3" t="inlineStr">
        <is>
          <t>전</t>
        </is>
      </c>
      <c r="J739" s="3" t="inlineStr">
        <is>
          <t>금남면</t>
        </is>
      </c>
    </row>
    <row r="740">
      <c r="A740" s="3" t="n">
        <v>2022</v>
      </c>
      <c r="B740" s="4" t="n">
        <v>30000</v>
      </c>
      <c r="C740" s="4" t="n">
        <v>3359</v>
      </c>
      <c r="D740" s="4" t="n">
        <v>1016.0975</v>
      </c>
      <c r="E740" s="5" t="n">
        <v>29.5</v>
      </c>
      <c r="F740" s="3" t="inlineStr">
        <is>
          <t>전의면</t>
        </is>
      </c>
      <c r="G740" s="3" t="inlineStr">
        <is>
          <t>달전리</t>
        </is>
      </c>
      <c r="H740" s="3" t="inlineStr">
        <is>
          <t>보전관리지역</t>
        </is>
      </c>
      <c r="I740" s="3" t="inlineStr">
        <is>
          <t>임야</t>
        </is>
      </c>
      <c r="J740" s="3" t="inlineStr">
        <is>
          <t>전의면</t>
        </is>
      </c>
    </row>
    <row r="741">
      <c r="A741" s="3" t="n">
        <v>2022</v>
      </c>
      <c r="B741" s="4" t="n">
        <v>26460</v>
      </c>
      <c r="C741" s="4" t="n">
        <v>1679</v>
      </c>
      <c r="D741" s="4" t="n">
        <v>507.8975</v>
      </c>
      <c r="E741" s="5" t="n">
        <v>52.1</v>
      </c>
      <c r="F741" s="3" t="inlineStr">
        <is>
          <t>전의면</t>
        </is>
      </c>
      <c r="G741" s="3" t="inlineStr">
        <is>
          <t>달전리</t>
        </is>
      </c>
      <c r="H741" s="3" t="inlineStr">
        <is>
          <t>보전관리지역</t>
        </is>
      </c>
      <c r="I741" s="3" t="inlineStr">
        <is>
          <t>임야</t>
        </is>
      </c>
      <c r="J741" s="3" t="inlineStr">
        <is>
          <t>전의면</t>
        </is>
      </c>
    </row>
    <row r="742">
      <c r="A742" s="3" t="n">
        <v>2022</v>
      </c>
      <c r="B742" s="4" t="n">
        <v>8400</v>
      </c>
      <c r="C742" s="4" t="n">
        <v>360</v>
      </c>
      <c r="D742" s="4" t="n">
        <v>108.9</v>
      </c>
      <c r="E742" s="5" t="n">
        <v>77.09999999999999</v>
      </c>
      <c r="F742" s="3" t="inlineStr">
        <is>
          <t>장군면</t>
        </is>
      </c>
      <c r="G742" s="3" t="inlineStr">
        <is>
          <t>산학리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장군면</t>
        </is>
      </c>
    </row>
    <row r="743">
      <c r="A743" s="3" t="n">
        <v>2022</v>
      </c>
      <c r="B743" s="4" t="n">
        <v>94900</v>
      </c>
      <c r="C743" s="4" t="n">
        <v>1785</v>
      </c>
      <c r="D743" s="4" t="n">
        <v>539.9625</v>
      </c>
      <c r="E743" s="5" t="n">
        <v>175.8</v>
      </c>
      <c r="F743" s="3" t="inlineStr">
        <is>
          <t>장군면</t>
        </is>
      </c>
      <c r="G743" s="3" t="inlineStr">
        <is>
          <t>산학리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장군면</t>
        </is>
      </c>
    </row>
    <row r="744">
      <c r="A744" s="3" t="n">
        <v>2022</v>
      </c>
      <c r="B744" s="4" t="n">
        <v>100200</v>
      </c>
      <c r="C744" s="4" t="n">
        <v>1904</v>
      </c>
      <c r="D744" s="4" t="n">
        <v>575.96</v>
      </c>
      <c r="E744" s="5" t="n">
        <v>174</v>
      </c>
      <c r="F744" s="3" t="inlineStr">
        <is>
          <t>장군면</t>
        </is>
      </c>
      <c r="G744" s="3" t="inlineStr">
        <is>
          <t>산학리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장군면</t>
        </is>
      </c>
    </row>
    <row r="745">
      <c r="A745" s="3" t="n">
        <v>2022</v>
      </c>
      <c r="B745" s="4" t="n">
        <v>44700</v>
      </c>
      <c r="C745" s="4" t="n">
        <v>1560</v>
      </c>
      <c r="D745" s="4" t="n">
        <v>471.9</v>
      </c>
      <c r="E745" s="5" t="n">
        <v>94.7</v>
      </c>
      <c r="F745" s="3" t="inlineStr">
        <is>
          <t>장군면</t>
        </is>
      </c>
      <c r="G745" s="3" t="inlineStr">
        <is>
          <t>산학리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장군면</t>
        </is>
      </c>
    </row>
    <row r="746">
      <c r="A746" s="3" t="n">
        <v>2022</v>
      </c>
      <c r="B746" s="4" t="n">
        <v>1000</v>
      </c>
      <c r="C746" s="4" t="n">
        <v>79</v>
      </c>
      <c r="D746" s="4" t="n">
        <v>23.8975</v>
      </c>
      <c r="E746" s="5" t="n">
        <v>41.8</v>
      </c>
      <c r="F746" s="3" t="inlineStr">
        <is>
          <t>장군면</t>
        </is>
      </c>
      <c r="G746" s="3" t="inlineStr">
        <is>
          <t>금암리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장군면</t>
        </is>
      </c>
    </row>
    <row r="747">
      <c r="A747" s="3" t="n">
        <v>2022</v>
      </c>
      <c r="B747" s="4" t="n">
        <v>11400</v>
      </c>
      <c r="C747" s="4" t="n">
        <v>202</v>
      </c>
      <c r="D747" s="4" t="n">
        <v>61.105</v>
      </c>
      <c r="E747" s="5" t="n">
        <v>186.6</v>
      </c>
      <c r="F747" s="3" t="inlineStr">
        <is>
          <t>장군면</t>
        </is>
      </c>
      <c r="G747" s="3" t="inlineStr">
        <is>
          <t>봉안리</t>
        </is>
      </c>
      <c r="H747" s="3" t="inlineStr">
        <is>
          <t>계획관리지역</t>
        </is>
      </c>
      <c r="I747" s="3" t="inlineStr">
        <is>
          <t>답</t>
        </is>
      </c>
      <c r="J747" s="3" t="inlineStr">
        <is>
          <t>장군면</t>
        </is>
      </c>
    </row>
    <row r="748">
      <c r="A748" s="3" t="n">
        <v>2022</v>
      </c>
      <c r="B748" s="4" t="n">
        <v>9100</v>
      </c>
      <c r="C748" s="4" t="n">
        <v>2757</v>
      </c>
      <c r="D748" s="4" t="n">
        <v>833.9924999999999</v>
      </c>
      <c r="E748" s="5" t="n">
        <v>10.9</v>
      </c>
      <c r="F748" s="3" t="inlineStr">
        <is>
          <t>부강면</t>
        </is>
      </c>
      <c r="G748" s="3" t="inlineStr">
        <is>
          <t>문곡리</t>
        </is>
      </c>
      <c r="H748" s="3" t="inlineStr">
        <is>
          <t>계획관리지역</t>
        </is>
      </c>
      <c r="I748" s="3" t="inlineStr">
        <is>
          <t>임야</t>
        </is>
      </c>
      <c r="J748" s="3" t="inlineStr">
        <is>
          <t>부강면</t>
        </is>
      </c>
    </row>
    <row r="749">
      <c r="A749" s="3" t="n">
        <v>2022</v>
      </c>
      <c r="B749" s="4" t="n">
        <v>45200</v>
      </c>
      <c r="C749" s="4" t="n">
        <v>1361</v>
      </c>
      <c r="D749" s="4" t="n">
        <v>411.7025</v>
      </c>
      <c r="E749" s="5" t="n">
        <v>109.8</v>
      </c>
      <c r="F749" s="3" t="inlineStr">
        <is>
          <t>부강면</t>
        </is>
      </c>
      <c r="G749" s="3" t="inlineStr">
        <is>
          <t>문곡리</t>
        </is>
      </c>
      <c r="H749" s="3" t="inlineStr">
        <is>
          <t>계획관리지역</t>
        </is>
      </c>
      <c r="I749" s="3" t="inlineStr">
        <is>
          <t>공장용지</t>
        </is>
      </c>
      <c r="J749" s="3" t="inlineStr">
        <is>
          <t>부강면</t>
        </is>
      </c>
    </row>
    <row r="750">
      <c r="A750" s="3" t="n">
        <v>2022</v>
      </c>
      <c r="B750" s="4" t="n">
        <v>19100</v>
      </c>
      <c r="C750" s="4" t="n">
        <v>800</v>
      </c>
      <c r="D750" s="4" t="n">
        <v>242</v>
      </c>
      <c r="E750" s="5" t="n">
        <v>78.90000000000001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생산관리지역</t>
        </is>
      </c>
      <c r="I750" s="3" t="inlineStr">
        <is>
          <t>공장용지</t>
        </is>
      </c>
      <c r="J750" s="3" t="inlineStr">
        <is>
          <t>부강면</t>
        </is>
      </c>
    </row>
    <row r="751">
      <c r="A751" s="3" t="n">
        <v>2022</v>
      </c>
      <c r="B751" s="4" t="n">
        <v>14000</v>
      </c>
      <c r="C751" s="4" t="n">
        <v>418</v>
      </c>
      <c r="D751" s="4" t="n">
        <v>126.445</v>
      </c>
      <c r="E751" s="5" t="n">
        <v>110.7</v>
      </c>
      <c r="F751" s="3" t="inlineStr">
        <is>
          <t>금남면</t>
        </is>
      </c>
      <c r="G751" s="3" t="inlineStr">
        <is>
          <t>두만리</t>
        </is>
      </c>
      <c r="H751" s="3" t="inlineStr">
        <is>
          <t>개발제한구역</t>
        </is>
      </c>
      <c r="I751" s="3" t="inlineStr">
        <is>
          <t>답</t>
        </is>
      </c>
      <c r="J751" s="3" t="inlineStr">
        <is>
          <t>금남면</t>
        </is>
      </c>
    </row>
    <row r="752">
      <c r="A752" s="3" t="n">
        <v>2022</v>
      </c>
      <c r="B752" s="4" t="n">
        <v>2000</v>
      </c>
      <c r="C752" s="4" t="n">
        <v>65</v>
      </c>
      <c r="D752" s="4" t="n">
        <v>19.6625</v>
      </c>
      <c r="E752" s="5" t="n">
        <v>101.7</v>
      </c>
      <c r="F752" s="3" t="inlineStr">
        <is>
          <t>금남면</t>
        </is>
      </c>
      <c r="G752" s="3" t="inlineStr">
        <is>
          <t>두만리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금남면</t>
        </is>
      </c>
    </row>
    <row r="753">
      <c r="A753" s="3" t="n">
        <v>2022</v>
      </c>
      <c r="B753" s="4" t="n">
        <v>124816</v>
      </c>
      <c r="C753" s="4" t="n">
        <v>538</v>
      </c>
      <c r="D753" s="4" t="n">
        <v>162.745</v>
      </c>
      <c r="E753" s="5" t="n">
        <v>766.9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일반상업지역</t>
        </is>
      </c>
      <c r="I753" s="3" t="inlineStr">
        <is>
          <t>답</t>
        </is>
      </c>
      <c r="J753" s="3" t="inlineStr">
        <is>
          <t>부강면</t>
        </is>
      </c>
    </row>
    <row r="754">
      <c r="A754" s="3" t="n">
        <v>2022</v>
      </c>
      <c r="B754" s="4" t="n">
        <v>51600</v>
      </c>
      <c r="C754" s="4" t="n">
        <v>1708</v>
      </c>
      <c r="D754" s="4" t="n">
        <v>516.67</v>
      </c>
      <c r="E754" s="5" t="n">
        <v>99.90000000000001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97000</v>
      </c>
      <c r="C755" s="4" t="n">
        <v>2871</v>
      </c>
      <c r="D755" s="4" t="n">
        <v>868.4775</v>
      </c>
      <c r="E755" s="5" t="n">
        <v>111.7</v>
      </c>
      <c r="F755" s="3" t="inlineStr">
        <is>
          <t>연서면</t>
        </is>
      </c>
      <c r="G755" s="3" t="inlineStr">
        <is>
          <t>국촌리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48600</v>
      </c>
      <c r="C756" s="4" t="n">
        <v>1785</v>
      </c>
      <c r="D756" s="4" t="n">
        <v>539.9625</v>
      </c>
      <c r="E756" s="5" t="n">
        <v>90</v>
      </c>
      <c r="F756" s="3" t="inlineStr">
        <is>
          <t>연서면</t>
        </is>
      </c>
      <c r="G756" s="3" t="inlineStr">
        <is>
          <t>쌍류리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연서면</t>
        </is>
      </c>
    </row>
    <row r="757">
      <c r="A757" s="3" t="n">
        <v>2022</v>
      </c>
      <c r="B757" s="4" t="n">
        <v>3940</v>
      </c>
      <c r="C757" s="4" t="n">
        <v>223</v>
      </c>
      <c r="D757" s="4" t="n">
        <v>67.4575</v>
      </c>
      <c r="E757" s="5" t="n">
        <v>58.4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34560</v>
      </c>
      <c r="C758" s="4" t="n">
        <v>1428</v>
      </c>
      <c r="D758" s="4" t="n">
        <v>431.97</v>
      </c>
      <c r="E758" s="5" t="n">
        <v>80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생산관리지역</t>
        </is>
      </c>
      <c r="I758" s="3" t="inlineStr">
        <is>
          <t>전</t>
        </is>
      </c>
      <c r="J758" s="3" t="inlineStr">
        <is>
          <t>연서면</t>
        </is>
      </c>
    </row>
    <row r="759">
      <c r="A759" s="3" t="n">
        <v>2022</v>
      </c>
      <c r="B759" s="4" t="n">
        <v>55500</v>
      </c>
      <c r="C759" s="4" t="n">
        <v>2171</v>
      </c>
      <c r="D759" s="4" t="n">
        <v>656.7275</v>
      </c>
      <c r="E759" s="5" t="n">
        <v>84.5</v>
      </c>
      <c r="F759" s="3" t="inlineStr">
        <is>
          <t>금남면</t>
        </is>
      </c>
      <c r="G759" s="3" t="inlineStr">
        <is>
          <t>성강리</t>
        </is>
      </c>
      <c r="H759" s="3" t="inlineStr">
        <is>
          <t>농림지역</t>
        </is>
      </c>
      <c r="I759" s="3" t="inlineStr">
        <is>
          <t>답</t>
        </is>
      </c>
      <c r="J759" s="3" t="inlineStr">
        <is>
          <t>금남면</t>
        </is>
      </c>
    </row>
    <row r="760">
      <c r="A760" s="3" t="n">
        <v>2023</v>
      </c>
      <c r="B760" s="4" t="n">
        <v>22000</v>
      </c>
      <c r="C760" s="4" t="n">
        <v>1028</v>
      </c>
      <c r="D760" s="4" t="n">
        <v>310.97</v>
      </c>
      <c r="E760" s="5" t="n">
        <v>70.7</v>
      </c>
      <c r="F760" s="3" t="inlineStr">
        <is>
          <t>연기면</t>
        </is>
      </c>
      <c r="G760" s="3" t="inlineStr">
        <is>
          <t>눌왕리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연기면</t>
        </is>
      </c>
    </row>
    <row r="761">
      <c r="A761" s="3" t="n">
        <v>2023</v>
      </c>
      <c r="B761" s="4" t="n">
        <v>54899</v>
      </c>
      <c r="C761" s="4" t="n">
        <v>458</v>
      </c>
      <c r="D761" s="4" t="n">
        <v>138.545</v>
      </c>
      <c r="E761" s="5" t="n">
        <v>396.3</v>
      </c>
      <c r="F761" s="3" t="inlineStr">
        <is>
          <t>연동면</t>
        </is>
      </c>
      <c r="G761" s="3" t="inlineStr">
        <is>
          <t>명학리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연동면</t>
        </is>
      </c>
    </row>
    <row r="762">
      <c r="A762" s="3" t="n">
        <v>2023</v>
      </c>
      <c r="B762" s="4" t="n">
        <v>6000</v>
      </c>
      <c r="C762" s="4" t="n">
        <v>251</v>
      </c>
      <c r="D762" s="4" t="n">
        <v>75.92749999999999</v>
      </c>
      <c r="E762" s="5" t="n">
        <v>79</v>
      </c>
      <c r="F762" s="3" t="inlineStr">
        <is>
          <t>금남면</t>
        </is>
      </c>
      <c r="G762" s="3" t="inlineStr">
        <is>
          <t>영대리</t>
        </is>
      </c>
      <c r="H762" s="3" t="inlineStr">
        <is>
          <t>개발제한구역</t>
        </is>
      </c>
      <c r="I762" s="3" t="inlineStr">
        <is>
          <t>전</t>
        </is>
      </c>
      <c r="J762" s="3" t="inlineStr">
        <is>
          <t>금남면</t>
        </is>
      </c>
    </row>
    <row r="763">
      <c r="A763" s="3" t="n">
        <v>2023</v>
      </c>
      <c r="B763" s="4" t="n">
        <v>160</v>
      </c>
      <c r="C763" s="4" t="n">
        <v>3</v>
      </c>
      <c r="D763" s="4" t="n">
        <v>0.9075</v>
      </c>
      <c r="E763" s="5" t="n">
        <v>176.3</v>
      </c>
      <c r="F763" s="3" t="inlineStr">
        <is>
          <t>금남면</t>
        </is>
      </c>
      <c r="G763" s="3" t="inlineStr">
        <is>
          <t>원봉리</t>
        </is>
      </c>
      <c r="H763" s="3" t="inlineStr">
        <is>
          <t>계획관리지역</t>
        </is>
      </c>
      <c r="I763" s="3" t="inlineStr">
        <is>
          <t>도로</t>
        </is>
      </c>
      <c r="J763" s="3" t="inlineStr">
        <is>
          <t>금남면</t>
        </is>
      </c>
    </row>
    <row r="764">
      <c r="A764" s="3" t="n">
        <v>2023</v>
      </c>
      <c r="B764" s="4" t="n">
        <v>19000</v>
      </c>
      <c r="C764" s="4" t="n">
        <v>1002</v>
      </c>
      <c r="D764" s="4" t="n">
        <v>303.105</v>
      </c>
      <c r="E764" s="5" t="n">
        <v>62.7</v>
      </c>
      <c r="F764" s="3" t="inlineStr">
        <is>
          <t>연기면</t>
        </is>
      </c>
      <c r="G764" s="3" t="inlineStr">
        <is>
          <t>수산리</t>
        </is>
      </c>
      <c r="H764" s="3" t="inlineStr">
        <is>
          <t>보전관리지역</t>
        </is>
      </c>
      <c r="I764" s="3" t="inlineStr">
        <is>
          <t>전</t>
        </is>
      </c>
      <c r="J764" s="3" t="inlineStr">
        <is>
          <t>연기면</t>
        </is>
      </c>
    </row>
    <row r="765">
      <c r="A765" s="3" t="n">
        <v>2023</v>
      </c>
      <c r="B765" s="4" t="n">
        <v>5700</v>
      </c>
      <c r="C765" s="4" t="n">
        <v>388</v>
      </c>
      <c r="D765" s="4" t="n">
        <v>117.37</v>
      </c>
      <c r="E765" s="5" t="n">
        <v>48.6</v>
      </c>
      <c r="F765" s="3" t="inlineStr">
        <is>
          <t>금남면</t>
        </is>
      </c>
      <c r="G765" s="3" t="inlineStr">
        <is>
          <t>두만리</t>
        </is>
      </c>
      <c r="H765" s="3" t="inlineStr">
        <is>
          <t>개발제한구역</t>
        </is>
      </c>
      <c r="I765" s="3" t="inlineStr">
        <is>
          <t>답</t>
        </is>
      </c>
      <c r="J765" s="3" t="inlineStr">
        <is>
          <t>금남면</t>
        </is>
      </c>
    </row>
    <row r="766">
      <c r="A766" s="3" t="n">
        <v>2023</v>
      </c>
      <c r="B766" s="4" t="n">
        <v>64092</v>
      </c>
      <c r="C766" s="4" t="n">
        <v>499</v>
      </c>
      <c r="D766" s="4" t="n">
        <v>150.9475</v>
      </c>
      <c r="E766" s="5" t="n">
        <v>424.6</v>
      </c>
      <c r="F766" s="3" t="inlineStr">
        <is>
          <t>전의면</t>
        </is>
      </c>
      <c r="G766" s="3" t="inlineStr">
        <is>
          <t>관정리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전의면</t>
        </is>
      </c>
    </row>
    <row r="767">
      <c r="A767" s="3" t="n">
        <v>2023</v>
      </c>
      <c r="B767" s="4" t="n">
        <v>12000</v>
      </c>
      <c r="C767" s="4" t="n">
        <v>3967</v>
      </c>
      <c r="D767" s="4" t="n">
        <v>1200.0175</v>
      </c>
      <c r="E767" s="5" t="n">
        <v>10</v>
      </c>
      <c r="F767" s="3" t="inlineStr">
        <is>
          <t>연서면</t>
        </is>
      </c>
      <c r="G767" s="3" t="inlineStr">
        <is>
          <t>신대리</t>
        </is>
      </c>
      <c r="H767" s="3" t="inlineStr">
        <is>
          <t>보전관리지역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2023</v>
      </c>
      <c r="B768" s="4" t="n">
        <v>23100</v>
      </c>
      <c r="C768" s="4" t="n">
        <v>677</v>
      </c>
      <c r="D768" s="4" t="n">
        <v>204.7925</v>
      </c>
      <c r="E768" s="5" t="n">
        <v>112.8</v>
      </c>
      <c r="F768" s="3" t="inlineStr">
        <is>
          <t>장군면</t>
        </is>
      </c>
      <c r="G768" s="3" t="inlineStr">
        <is>
          <t>금암리</t>
        </is>
      </c>
      <c r="H768" s="3" t="inlineStr">
        <is>
          <t>농림지역</t>
        </is>
      </c>
      <c r="I768" s="3" t="inlineStr">
        <is>
          <t>대</t>
        </is>
      </c>
      <c r="J768" s="3" t="inlineStr">
        <is>
          <t>장군면</t>
        </is>
      </c>
    </row>
    <row r="769">
      <c r="A769" s="3" t="n">
        <v>2023</v>
      </c>
      <c r="B769" s="4" t="n">
        <v>13440</v>
      </c>
      <c r="C769" s="4" t="n">
        <v>532</v>
      </c>
      <c r="D769" s="4" t="n">
        <v>160.93</v>
      </c>
      <c r="E769" s="5" t="n">
        <v>83.5</v>
      </c>
      <c r="F769" s="3" t="inlineStr">
        <is>
          <t>장군면</t>
        </is>
      </c>
      <c r="G769" s="3" t="inlineStr">
        <is>
          <t>금암리</t>
        </is>
      </c>
      <c r="H769" s="3" t="inlineStr">
        <is>
          <t>농림지역</t>
        </is>
      </c>
      <c r="I769" s="3" t="inlineStr">
        <is>
          <t>대</t>
        </is>
      </c>
      <c r="J769" s="3" t="inlineStr">
        <is>
          <t>장군면</t>
        </is>
      </c>
    </row>
    <row r="770">
      <c r="A770" s="3" t="n">
        <v>2023</v>
      </c>
      <c r="B770" s="4" t="n">
        <v>63000</v>
      </c>
      <c r="C770" s="4" t="n">
        <v>1894</v>
      </c>
      <c r="D770" s="4" t="n">
        <v>572.9349999999999</v>
      </c>
      <c r="E770" s="5" t="n">
        <v>110</v>
      </c>
      <c r="F770" s="3" t="inlineStr">
        <is>
          <t>금남면</t>
        </is>
      </c>
      <c r="G770" s="3" t="inlineStr">
        <is>
          <t>용담리</t>
        </is>
      </c>
      <c r="H770" s="3" t="inlineStr">
        <is>
          <t>개발제한구역</t>
        </is>
      </c>
      <c r="I770" s="3" t="inlineStr">
        <is>
          <t>답</t>
        </is>
      </c>
      <c r="J770" s="3" t="inlineStr">
        <is>
          <t>금남면</t>
        </is>
      </c>
    </row>
    <row r="771">
      <c r="A771" s="3" t="n">
        <v>2023</v>
      </c>
      <c r="B771" s="4" t="n">
        <v>35000</v>
      </c>
      <c r="C771" s="4" t="n">
        <v>315</v>
      </c>
      <c r="D771" s="4" t="n">
        <v>95.28749999999999</v>
      </c>
      <c r="E771" s="5" t="n">
        <v>367.3</v>
      </c>
      <c r="F771" s="3" t="inlineStr">
        <is>
          <t>장군면</t>
        </is>
      </c>
      <c r="G771" s="3" t="inlineStr">
        <is>
          <t>봉안리</t>
        </is>
      </c>
      <c r="H771" s="3" t="inlineStr">
        <is>
          <t>보전관리지역</t>
        </is>
      </c>
      <c r="I771" s="3" t="inlineStr">
        <is>
          <t>임야</t>
        </is>
      </c>
      <c r="J771" s="3" t="inlineStr">
        <is>
          <t>장군면</t>
        </is>
      </c>
    </row>
    <row r="772">
      <c r="A772" s="3" t="n">
        <v>2023</v>
      </c>
      <c r="B772" s="4" t="n">
        <v>438</v>
      </c>
      <c r="C772" s="4" t="n">
        <v>116</v>
      </c>
      <c r="D772" s="4" t="n">
        <v>35.09</v>
      </c>
      <c r="E772" s="5" t="n">
        <v>12.5</v>
      </c>
      <c r="F772" s="3" t="inlineStr">
        <is>
          <t>전의면</t>
        </is>
      </c>
      <c r="G772" s="3" t="inlineStr">
        <is>
          <t>신정리</t>
        </is>
      </c>
      <c r="H772" s="3" t="inlineStr">
        <is>
          <t>계획관리지역</t>
        </is>
      </c>
      <c r="I772" s="3" t="inlineStr">
        <is>
          <t>도로</t>
        </is>
      </c>
      <c r="J772" s="3" t="inlineStr">
        <is>
          <t>전의면</t>
        </is>
      </c>
    </row>
    <row r="773">
      <c r="A773" s="3" t="n">
        <v>2023</v>
      </c>
      <c r="B773" s="4" t="n">
        <v>1920</v>
      </c>
      <c r="C773" s="4" t="n">
        <v>55</v>
      </c>
      <c r="D773" s="4" t="n">
        <v>16.6375</v>
      </c>
      <c r="E773" s="5" t="n">
        <v>115.4</v>
      </c>
      <c r="F773" s="3" t="inlineStr">
        <is>
          <t>부강면</t>
        </is>
      </c>
      <c r="G773" s="3" t="inlineStr">
        <is>
          <t>문곡리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부강면</t>
        </is>
      </c>
    </row>
    <row r="774">
      <c r="A774" s="3" t="n">
        <v>2023</v>
      </c>
      <c r="B774" s="4" t="n">
        <v>114200</v>
      </c>
      <c r="C774" s="4" t="n">
        <v>1190</v>
      </c>
      <c r="D774" s="4" t="n">
        <v>359.975</v>
      </c>
      <c r="E774" s="5" t="n">
        <v>317.2</v>
      </c>
      <c r="F774" s="3" t="inlineStr">
        <is>
          <t>연서면</t>
        </is>
      </c>
      <c r="G774" s="3" t="inlineStr">
        <is>
          <t>월하리</t>
        </is>
      </c>
      <c r="H774" s="3" t="inlineStr">
        <is>
          <t>자연녹지지역</t>
        </is>
      </c>
      <c r="I774" s="3" t="inlineStr">
        <is>
          <t>과수원</t>
        </is>
      </c>
      <c r="J774" s="3" t="inlineStr">
        <is>
          <t>연서면</t>
        </is>
      </c>
    </row>
    <row r="775">
      <c r="A775" s="3" t="n">
        <v>2023</v>
      </c>
      <c r="B775" s="4" t="n">
        <v>9000</v>
      </c>
      <c r="C775" s="4" t="n">
        <v>99</v>
      </c>
      <c r="D775" s="4" t="n">
        <v>29.9475</v>
      </c>
      <c r="E775" s="5" t="n">
        <v>300.5</v>
      </c>
      <c r="F775" s="3" t="inlineStr">
        <is>
          <t>연서면</t>
        </is>
      </c>
      <c r="G775" s="3" t="inlineStr">
        <is>
          <t>월하리</t>
        </is>
      </c>
      <c r="H775" s="3" t="inlineStr">
        <is>
          <t>자연녹지지역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2023</v>
      </c>
      <c r="B776" s="4" t="n">
        <v>4800</v>
      </c>
      <c r="C776" s="4" t="n">
        <v>53</v>
      </c>
      <c r="D776" s="4" t="n">
        <v>16.0325</v>
      </c>
      <c r="E776" s="5" t="n">
        <v>299.4</v>
      </c>
      <c r="F776" s="3" t="inlineStr">
        <is>
          <t>연서면</t>
        </is>
      </c>
      <c r="G776" s="3" t="inlineStr">
        <is>
          <t>월하리</t>
        </is>
      </c>
      <c r="H776" s="3" t="inlineStr">
        <is>
          <t>자연녹지지역</t>
        </is>
      </c>
      <c r="I776" s="3" t="inlineStr">
        <is>
          <t>임야</t>
        </is>
      </c>
      <c r="J776" s="3" t="inlineStr">
        <is>
          <t>연서면</t>
        </is>
      </c>
    </row>
    <row r="777">
      <c r="A777" s="3" t="n">
        <v>2023</v>
      </c>
      <c r="B777" s="4" t="n">
        <v>10200</v>
      </c>
      <c r="C777" s="4" t="n">
        <v>112</v>
      </c>
      <c r="D777" s="4" t="n">
        <v>33.88</v>
      </c>
      <c r="E777" s="5" t="n">
        <v>301.1</v>
      </c>
      <c r="F777" s="3" t="inlineStr">
        <is>
          <t>연서면</t>
        </is>
      </c>
      <c r="G777" s="3" t="inlineStr">
        <is>
          <t>월하리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연서면</t>
        </is>
      </c>
    </row>
    <row r="778">
      <c r="A778" s="3" t="n">
        <v>2023</v>
      </c>
      <c r="B778" s="4" t="n">
        <v>1800</v>
      </c>
      <c r="C778" s="4" t="n">
        <v>20</v>
      </c>
      <c r="D778" s="4" t="n">
        <v>6.05</v>
      </c>
      <c r="E778" s="5" t="n">
        <v>297.5</v>
      </c>
      <c r="F778" s="3" t="inlineStr">
        <is>
          <t>연서면</t>
        </is>
      </c>
      <c r="G778" s="3" t="inlineStr">
        <is>
          <t>월하리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연서면</t>
        </is>
      </c>
    </row>
    <row r="779">
      <c r="A779" s="3" t="n">
        <v>2023</v>
      </c>
      <c r="B779" s="4" t="n">
        <v>23420</v>
      </c>
      <c r="C779" s="4" t="n">
        <v>302</v>
      </c>
      <c r="D779" s="4" t="n">
        <v>91.355</v>
      </c>
      <c r="E779" s="5" t="n">
        <v>256.4</v>
      </c>
      <c r="F779" s="3" t="inlineStr">
        <is>
          <t>연서면</t>
        </is>
      </c>
      <c r="G779" s="3" t="inlineStr">
        <is>
          <t>와촌리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6500</v>
      </c>
      <c r="C780" s="4" t="n">
        <v>302</v>
      </c>
      <c r="D780" s="4" t="n">
        <v>91.355</v>
      </c>
      <c r="E780" s="5" t="n">
        <v>71.2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58838</v>
      </c>
      <c r="C781" s="4" t="n">
        <v>12297</v>
      </c>
      <c r="D781" s="4" t="n">
        <v>3719.8425</v>
      </c>
      <c r="E781" s="5" t="n">
        <v>15.8</v>
      </c>
      <c r="F781" s="3" t="inlineStr">
        <is>
          <t>전의면</t>
        </is>
      </c>
      <c r="G781" s="3" t="inlineStr">
        <is>
          <t>달전리</t>
        </is>
      </c>
      <c r="H781" s="3" t="inlineStr">
        <is>
          <t>생산관리지역</t>
        </is>
      </c>
      <c r="I781" s="3" t="inlineStr">
        <is>
          <t>답</t>
        </is>
      </c>
      <c r="J781" s="3" t="inlineStr">
        <is>
          <t>전의면</t>
        </is>
      </c>
    </row>
    <row r="782">
      <c r="A782" s="3" t="n">
        <v>2022</v>
      </c>
      <c r="B782" s="4" t="n">
        <v>768</v>
      </c>
      <c r="C782" s="4" t="n">
        <v>212</v>
      </c>
      <c r="D782" s="4" t="n">
        <v>64.13</v>
      </c>
      <c r="E782" s="5" t="n">
        <v>12</v>
      </c>
      <c r="F782" s="3" t="inlineStr">
        <is>
          <t>전의면</t>
        </is>
      </c>
      <c r="G782" s="3" t="inlineStr">
        <is>
          <t>달전리</t>
        </is>
      </c>
      <c r="H782" s="3" t="inlineStr">
        <is>
          <t>보전관리지역</t>
        </is>
      </c>
      <c r="I782" s="3" t="inlineStr">
        <is>
          <t>전</t>
        </is>
      </c>
      <c r="J782" s="3" t="inlineStr">
        <is>
          <t>전의면</t>
        </is>
      </c>
    </row>
    <row r="783">
      <c r="A783" s="3" t="n">
        <v>2022</v>
      </c>
      <c r="B783" s="4" t="n">
        <v>1743</v>
      </c>
      <c r="C783" s="4" t="n">
        <v>674</v>
      </c>
      <c r="D783" s="4" t="n">
        <v>203.885</v>
      </c>
      <c r="E783" s="5" t="n">
        <v>8.5</v>
      </c>
      <c r="F783" s="3" t="inlineStr">
        <is>
          <t>전의면</t>
        </is>
      </c>
      <c r="G783" s="3" t="inlineStr">
        <is>
          <t>달전리</t>
        </is>
      </c>
      <c r="H783" s="3" t="inlineStr">
        <is>
          <t>보전관리지역</t>
        </is>
      </c>
      <c r="I783" s="3" t="inlineStr">
        <is>
          <t>전</t>
        </is>
      </c>
      <c r="J783" s="3" t="inlineStr">
        <is>
          <t>전의면</t>
        </is>
      </c>
    </row>
    <row r="784">
      <c r="A784" s="3" t="n">
        <v>2022</v>
      </c>
      <c r="B784" s="4" t="n">
        <v>37600</v>
      </c>
      <c r="C784" s="4" t="n">
        <v>2486.4</v>
      </c>
      <c r="D784" s="4" t="n">
        <v>752.136</v>
      </c>
      <c r="E784" s="5" t="n">
        <v>50</v>
      </c>
      <c r="F784" s="3" t="inlineStr">
        <is>
          <t>장군면</t>
        </is>
      </c>
      <c r="G784" s="3" t="inlineStr">
        <is>
          <t>송학리</t>
        </is>
      </c>
      <c r="H784" s="3" t="inlineStr">
        <is>
          <t>농림지역</t>
        </is>
      </c>
      <c r="I784" s="3" t="inlineStr">
        <is>
          <t>답</t>
        </is>
      </c>
      <c r="J784" s="3" t="inlineStr">
        <is>
          <t>장군면</t>
        </is>
      </c>
    </row>
    <row r="785">
      <c r="A785" s="3" t="n">
        <v>2022</v>
      </c>
      <c r="B785" s="4" t="n">
        <v>47250</v>
      </c>
      <c r="C785" s="4" t="n">
        <v>711</v>
      </c>
      <c r="D785" s="4" t="n">
        <v>215.0775</v>
      </c>
      <c r="E785" s="5" t="n">
        <v>219.7</v>
      </c>
      <c r="F785" s="3" t="inlineStr">
        <is>
          <t>장군면</t>
        </is>
      </c>
      <c r="G785" s="3" t="inlineStr">
        <is>
          <t>은용리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장군면</t>
        </is>
      </c>
    </row>
    <row r="786">
      <c r="A786" s="3" t="n">
        <v>2022</v>
      </c>
      <c r="B786" s="4" t="n">
        <v>569799</v>
      </c>
      <c r="C786" s="4" t="n">
        <v>9969</v>
      </c>
      <c r="D786" s="4" t="n">
        <v>3015.6225</v>
      </c>
      <c r="E786" s="5" t="n">
        <v>188.9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보전녹지지역</t>
        </is>
      </c>
      <c r="I786" s="3" t="inlineStr">
        <is>
          <t>과수원</t>
        </is>
      </c>
      <c r="J786" s="3" t="inlineStr">
        <is>
          <t>연서면</t>
        </is>
      </c>
    </row>
    <row r="787">
      <c r="A787" s="3" t="n">
        <v>2022</v>
      </c>
      <c r="B787" s="4" t="n">
        <v>75000</v>
      </c>
      <c r="C787" s="4" t="n">
        <v>849</v>
      </c>
      <c r="D787" s="4" t="n">
        <v>256.8225</v>
      </c>
      <c r="E787" s="5" t="n">
        <v>292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보전녹지지역</t>
        </is>
      </c>
      <c r="I787" s="3" t="inlineStr">
        <is>
          <t>과수원</t>
        </is>
      </c>
      <c r="J787" s="3" t="inlineStr">
        <is>
          <t>연서면</t>
        </is>
      </c>
    </row>
    <row r="788">
      <c r="A788" s="3" t="n">
        <v>2022</v>
      </c>
      <c r="B788" s="4" t="n">
        <v>33278</v>
      </c>
      <c r="C788" s="4" t="n">
        <v>179</v>
      </c>
      <c r="D788" s="4" t="n">
        <v>54.1475</v>
      </c>
      <c r="E788" s="5" t="n">
        <v>614.6</v>
      </c>
      <c r="F788" s="3" t="inlineStr">
        <is>
          <t>연서면</t>
        </is>
      </c>
      <c r="G788" s="3" t="inlineStr">
        <is>
          <t>월하리</t>
        </is>
      </c>
      <c r="H788" s="3" t="inlineStr">
        <is>
          <t>제2종일반주거지역</t>
        </is>
      </c>
      <c r="I788" s="3" t="inlineStr">
        <is>
          <t>과수원</t>
        </is>
      </c>
      <c r="J788" s="3" t="inlineStr">
        <is>
          <t>연서면</t>
        </is>
      </c>
    </row>
    <row r="789">
      <c r="A789" s="3" t="n">
        <v>2022</v>
      </c>
      <c r="B789" s="4" t="n">
        <v>97642</v>
      </c>
      <c r="C789" s="4" t="n">
        <v>1086</v>
      </c>
      <c r="D789" s="4" t="n">
        <v>328.515</v>
      </c>
      <c r="E789" s="5" t="n">
        <v>297.2</v>
      </c>
      <c r="F789" s="3" t="inlineStr">
        <is>
          <t>연서면</t>
        </is>
      </c>
      <c r="G789" s="3" t="inlineStr">
        <is>
          <t>월하리</t>
        </is>
      </c>
      <c r="H789" s="3" t="inlineStr">
        <is>
          <t>제2종일반주거지역</t>
        </is>
      </c>
      <c r="I789" s="3" t="inlineStr">
        <is>
          <t>과수원</t>
        </is>
      </c>
      <c r="J789" s="3" t="inlineStr">
        <is>
          <t>연서면</t>
        </is>
      </c>
    </row>
    <row r="790">
      <c r="A790" s="3" t="n">
        <v>2022</v>
      </c>
      <c r="B790" s="4" t="n">
        <v>71000</v>
      </c>
      <c r="C790" s="4" t="n">
        <v>762.6</v>
      </c>
      <c r="D790" s="4" t="n">
        <v>230.6865</v>
      </c>
      <c r="E790" s="5" t="n">
        <v>307.8</v>
      </c>
      <c r="F790" s="3" t="inlineStr">
        <is>
          <t>조치원읍</t>
        </is>
      </c>
      <c r="G790" s="3" t="inlineStr">
        <is>
          <t>남리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2022</v>
      </c>
      <c r="B791" s="4" t="n">
        <v>36000</v>
      </c>
      <c r="C791" s="4" t="n">
        <v>1653</v>
      </c>
      <c r="D791" s="4" t="n">
        <v>500.0325</v>
      </c>
      <c r="E791" s="5" t="n">
        <v>72</v>
      </c>
      <c r="F791" s="3" t="inlineStr">
        <is>
          <t>전의면</t>
        </is>
      </c>
      <c r="G791" s="3" t="inlineStr">
        <is>
          <t>신정리</t>
        </is>
      </c>
      <c r="H791" s="3" t="inlineStr">
        <is>
          <t>농림지역</t>
        </is>
      </c>
      <c r="I791" s="3" t="inlineStr">
        <is>
          <t>임야</t>
        </is>
      </c>
      <c r="J791" s="3" t="inlineStr">
        <is>
          <t>전의면</t>
        </is>
      </c>
    </row>
    <row r="792">
      <c r="A792" s="3" t="n">
        <v>2022</v>
      </c>
      <c r="B792" s="4" t="n">
        <v>35000</v>
      </c>
      <c r="C792" s="4" t="n">
        <v>2314</v>
      </c>
      <c r="D792" s="4" t="n">
        <v>699.985</v>
      </c>
      <c r="E792" s="5" t="n">
        <v>50</v>
      </c>
      <c r="F792" s="3" t="inlineStr">
        <is>
          <t>전의면</t>
        </is>
      </c>
      <c r="G792" s="3" t="inlineStr">
        <is>
          <t>신정리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전의면</t>
        </is>
      </c>
    </row>
    <row r="793">
      <c r="A793" s="3" t="n">
        <v>2022</v>
      </c>
      <c r="B793" s="4" t="n">
        <v>5467</v>
      </c>
      <c r="C793" s="4" t="n">
        <v>1653</v>
      </c>
      <c r="D793" s="4" t="n">
        <v>500.0325</v>
      </c>
      <c r="E793" s="5" t="n">
        <v>10.9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전의면</t>
        </is>
      </c>
    </row>
    <row r="794">
      <c r="A794" s="3" t="n">
        <v>2022</v>
      </c>
      <c r="B794" s="4" t="n">
        <v>14813</v>
      </c>
      <c r="C794" s="4" t="n">
        <v>4479</v>
      </c>
      <c r="D794" s="4" t="n">
        <v>1354.8975</v>
      </c>
      <c r="E794" s="5" t="n">
        <v>10.9</v>
      </c>
      <c r="F794" s="3" t="inlineStr">
        <is>
          <t>전의면</t>
        </is>
      </c>
      <c r="G794" s="3" t="inlineStr">
        <is>
          <t>신정리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전의면</t>
        </is>
      </c>
    </row>
    <row r="795">
      <c r="A795" s="3" t="n">
        <v>2022</v>
      </c>
      <c r="B795" s="4" t="n">
        <v>7653</v>
      </c>
      <c r="C795" s="4" t="n">
        <v>2314</v>
      </c>
      <c r="D795" s="4" t="n">
        <v>699.985</v>
      </c>
      <c r="E795" s="5" t="n">
        <v>10.9</v>
      </c>
      <c r="F795" s="3" t="inlineStr">
        <is>
          <t>전의면</t>
        </is>
      </c>
      <c r="G795" s="3" t="inlineStr">
        <is>
          <t>신정리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전의면</t>
        </is>
      </c>
    </row>
    <row r="796">
      <c r="A796" s="3" t="n">
        <v>2022</v>
      </c>
      <c r="B796" s="4" t="n">
        <v>5467</v>
      </c>
      <c r="C796" s="4" t="n">
        <v>1653</v>
      </c>
      <c r="D796" s="4" t="n">
        <v>500.0325</v>
      </c>
      <c r="E796" s="5" t="n">
        <v>10.9</v>
      </c>
      <c r="F796" s="3" t="inlineStr">
        <is>
          <t>전의면</t>
        </is>
      </c>
      <c r="G796" s="3" t="inlineStr">
        <is>
          <t>신정리</t>
        </is>
      </c>
      <c r="H796" s="3" t="inlineStr">
        <is>
          <t>농림지역</t>
        </is>
      </c>
      <c r="I796" s="3" t="inlineStr">
        <is>
          <t>임야</t>
        </is>
      </c>
      <c r="J796" s="3" t="inlineStr">
        <is>
          <t>전의면</t>
        </is>
      </c>
    </row>
    <row r="797">
      <c r="A797" s="3" t="n">
        <v>2024</v>
      </c>
      <c r="B797" s="4" t="n">
        <v>142000</v>
      </c>
      <c r="C797" s="4" t="n">
        <v>1964</v>
      </c>
      <c r="D797" s="4" t="n">
        <v>594.11</v>
      </c>
      <c r="E797" s="5" t="n">
        <v>239</v>
      </c>
      <c r="F797" s="3" t="inlineStr">
        <is>
          <t>장군면</t>
        </is>
      </c>
      <c r="G797" s="3" t="inlineStr">
        <is>
          <t>봉안리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장군면</t>
        </is>
      </c>
    </row>
    <row r="798">
      <c r="A798" s="3" t="n">
        <v>2024</v>
      </c>
      <c r="B798" s="4" t="n">
        <v>47547</v>
      </c>
      <c r="C798" s="4" t="n">
        <v>660</v>
      </c>
      <c r="D798" s="4" t="n">
        <v>199.65</v>
      </c>
      <c r="E798" s="5" t="n">
        <v>238.2</v>
      </c>
      <c r="F798" s="3" t="inlineStr">
        <is>
          <t>연동면</t>
        </is>
      </c>
      <c r="G798" s="3" t="inlineStr">
        <is>
          <t>내판리</t>
        </is>
      </c>
      <c r="H798" s="3" t="inlineStr">
        <is>
          <t>보전관리지역</t>
        </is>
      </c>
      <c r="I798" s="3" t="inlineStr">
        <is>
          <t>대</t>
        </is>
      </c>
      <c r="J798" s="3" t="inlineStr">
        <is>
          <t>연동면</t>
        </is>
      </c>
    </row>
    <row r="799">
      <c r="A799" s="3" t="n">
        <v>2024</v>
      </c>
      <c r="B799" s="4" t="n">
        <v>60000</v>
      </c>
      <c r="C799" s="4" t="n">
        <v>2936</v>
      </c>
      <c r="D799" s="4" t="n">
        <v>888.14</v>
      </c>
      <c r="E799" s="5" t="n">
        <v>67.59999999999999</v>
      </c>
      <c r="F799" s="3" t="inlineStr">
        <is>
          <t>전의면</t>
        </is>
      </c>
      <c r="G799" s="3" t="inlineStr">
        <is>
          <t>유천리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전의면</t>
        </is>
      </c>
    </row>
    <row r="800">
      <c r="A800" s="3" t="n">
        <v>2024</v>
      </c>
      <c r="B800" s="4" t="n">
        <v>26676</v>
      </c>
      <c r="C800" s="4" t="n">
        <v>49</v>
      </c>
      <c r="D800" s="4" t="n">
        <v>14.8225</v>
      </c>
      <c r="E800" s="5" t="n">
        <v>1799.7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2600</v>
      </c>
      <c r="C801" s="4" t="n">
        <v>1074</v>
      </c>
      <c r="D801" s="4" t="n">
        <v>324.885</v>
      </c>
      <c r="E801" s="5" t="n">
        <v>8</v>
      </c>
      <c r="F801" s="3" t="inlineStr">
        <is>
          <t>현도면</t>
        </is>
      </c>
      <c r="G801" s="3" t="inlineStr">
        <is>
          <t>하석리</t>
        </is>
      </c>
      <c r="H801" s="3" t="inlineStr">
        <is>
          <t>개발제한구역</t>
        </is>
      </c>
      <c r="I801" s="3" t="inlineStr">
        <is>
          <t>전</t>
        </is>
      </c>
      <c r="J801" s="3" t="inlineStr">
        <is>
          <t>현도면</t>
        </is>
      </c>
    </row>
    <row r="802">
      <c r="A802" s="3" t="n">
        <v>2022</v>
      </c>
      <c r="B802" s="4" t="n">
        <v>65000</v>
      </c>
      <c r="C802" s="4" t="n">
        <v>2390</v>
      </c>
      <c r="D802" s="4" t="n">
        <v>722.975</v>
      </c>
      <c r="E802" s="5" t="n">
        <v>89.90000000000001</v>
      </c>
      <c r="F802" s="3" t="inlineStr">
        <is>
          <t>남이면</t>
        </is>
      </c>
      <c r="G802" s="3" t="inlineStr">
        <is>
          <t>척산리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2022</v>
      </c>
      <c r="B803" s="4" t="n">
        <v>11000</v>
      </c>
      <c r="C803" s="4" t="n">
        <v>579</v>
      </c>
      <c r="D803" s="4" t="n">
        <v>175.1475</v>
      </c>
      <c r="E803" s="5" t="n">
        <v>62.8</v>
      </c>
      <c r="F803" s="3" t="inlineStr">
        <is>
          <t>남이면</t>
        </is>
      </c>
      <c r="G803" s="3" t="inlineStr">
        <is>
          <t>외천리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남이면</t>
        </is>
      </c>
    </row>
    <row r="804">
      <c r="A804" s="3" t="n">
        <v>2022</v>
      </c>
      <c r="B804" s="4" t="n">
        <v>9000</v>
      </c>
      <c r="C804" s="4" t="n">
        <v>893</v>
      </c>
      <c r="D804" s="4" t="n">
        <v>270.1325</v>
      </c>
      <c r="E804" s="5" t="n">
        <v>33.3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2022</v>
      </c>
      <c r="B805" s="4" t="n">
        <v>17700</v>
      </c>
      <c r="C805" s="4" t="n">
        <v>558</v>
      </c>
      <c r="D805" s="4" t="n">
        <v>168.795</v>
      </c>
      <c r="E805" s="5" t="n">
        <v>104.9</v>
      </c>
      <c r="F805" s="3" t="inlineStr">
        <is>
          <t>남이면</t>
        </is>
      </c>
      <c r="G805" s="3" t="inlineStr">
        <is>
          <t>척북리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9300</v>
      </c>
      <c r="C806" s="4" t="n">
        <v>293</v>
      </c>
      <c r="D806" s="4" t="n">
        <v>88.63249999999999</v>
      </c>
      <c r="E806" s="5" t="n">
        <v>104.9</v>
      </c>
      <c r="F806" s="3" t="inlineStr">
        <is>
          <t>남이면</t>
        </is>
      </c>
      <c r="G806" s="3" t="inlineStr">
        <is>
          <t>척북리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20000</v>
      </c>
      <c r="C807" s="4" t="n">
        <v>688</v>
      </c>
      <c r="D807" s="4" t="n">
        <v>208.12</v>
      </c>
      <c r="E807" s="5" t="n">
        <v>96.09999999999999</v>
      </c>
      <c r="F807" s="3" t="inlineStr">
        <is>
          <t>남이면</t>
        </is>
      </c>
      <c r="G807" s="3" t="inlineStr">
        <is>
          <t>척북리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38000</v>
      </c>
      <c r="C808" s="4" t="n">
        <v>912</v>
      </c>
      <c r="D808" s="4" t="n">
        <v>275.88</v>
      </c>
      <c r="E808" s="5" t="n">
        <v>137.7</v>
      </c>
      <c r="F808" s="3" t="inlineStr">
        <is>
          <t>남이면</t>
        </is>
      </c>
      <c r="G808" s="3" t="inlineStr">
        <is>
          <t>부용외천리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남이면</t>
        </is>
      </c>
    </row>
    <row r="809">
      <c r="A809" s="3" t="n">
        <v>2022</v>
      </c>
      <c r="B809" s="4" t="n">
        <v>62620</v>
      </c>
      <c r="C809" s="4" t="n">
        <v>2157</v>
      </c>
      <c r="D809" s="4" t="n">
        <v>652.4924999999999</v>
      </c>
      <c r="E809" s="5" t="n">
        <v>96</v>
      </c>
      <c r="F809" s="3" t="inlineStr">
        <is>
          <t>남이면</t>
        </is>
      </c>
      <c r="G809" s="3" t="inlineStr">
        <is>
          <t>상발리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12870</v>
      </c>
      <c r="C810" s="4" t="n">
        <v>1804</v>
      </c>
      <c r="D810" s="4" t="n">
        <v>545.71</v>
      </c>
      <c r="E810" s="5" t="n">
        <v>23.6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보전녹지지역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2022</v>
      </c>
      <c r="B811" s="4" t="n">
        <v>6933</v>
      </c>
      <c r="C811" s="4" t="n">
        <v>976</v>
      </c>
      <c r="D811" s="4" t="n">
        <v>295.24</v>
      </c>
      <c r="E811" s="5" t="n">
        <v>23.5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2022</v>
      </c>
      <c r="B812" s="4" t="n">
        <v>14850</v>
      </c>
      <c r="C812" s="4" t="n">
        <v>2054</v>
      </c>
      <c r="D812" s="4" t="n">
        <v>621.335</v>
      </c>
      <c r="E812" s="5" t="n">
        <v>23.9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2022</v>
      </c>
      <c r="B813" s="4" t="n">
        <v>3959</v>
      </c>
      <c r="C813" s="4" t="n">
        <v>211</v>
      </c>
      <c r="D813" s="4" t="n">
        <v>63.8275</v>
      </c>
      <c r="E813" s="5" t="n">
        <v>62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자연녹지지역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2022</v>
      </c>
      <c r="B814" s="4" t="n">
        <v>11880</v>
      </c>
      <c r="C814" s="4" t="n">
        <v>1712</v>
      </c>
      <c r="D814" s="4" t="n">
        <v>517.88</v>
      </c>
      <c r="E814" s="5" t="n">
        <v>22.9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보전녹지지역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2022</v>
      </c>
      <c r="B815" s="4" t="n">
        <v>1486</v>
      </c>
      <c r="C815" s="4" t="n">
        <v>206</v>
      </c>
      <c r="D815" s="4" t="n">
        <v>62.315</v>
      </c>
      <c r="E815" s="5" t="n">
        <v>23.8</v>
      </c>
      <c r="F815" s="3" t="inlineStr">
        <is>
          <t>남이면</t>
        </is>
      </c>
      <c r="G815" s="3" t="inlineStr">
        <is>
          <t>문동리</t>
        </is>
      </c>
      <c r="H815" s="3" t="inlineStr">
        <is>
          <t>보전녹지지역</t>
        </is>
      </c>
      <c r="I815" s="3" t="inlineStr">
        <is>
          <t>임야</t>
        </is>
      </c>
      <c r="J815" s="3" t="inlineStr">
        <is>
          <t>남이면</t>
        </is>
      </c>
    </row>
    <row r="816">
      <c r="A816" s="3" t="n">
        <v>2022</v>
      </c>
      <c r="B816" s="4" t="n">
        <v>157</v>
      </c>
      <c r="C816" s="4" t="n">
        <v>204</v>
      </c>
      <c r="D816" s="4" t="n">
        <v>61.71</v>
      </c>
      <c r="E816" s="5" t="n">
        <v>2.5</v>
      </c>
      <c r="F816" s="3" t="inlineStr">
        <is>
          <t>남이면</t>
        </is>
      </c>
      <c r="G816" s="3" t="inlineStr">
        <is>
          <t>문동리</t>
        </is>
      </c>
      <c r="H816" s="3" t="inlineStr">
        <is>
          <t>보전녹지지역</t>
        </is>
      </c>
      <c r="I816" s="3" t="inlineStr">
        <is>
          <t>임야</t>
        </is>
      </c>
      <c r="J816" s="3" t="inlineStr">
        <is>
          <t>남이면</t>
        </is>
      </c>
    </row>
    <row r="817">
      <c r="A817" s="3" t="n">
        <v>2022</v>
      </c>
      <c r="B817" s="4" t="n">
        <v>3250</v>
      </c>
      <c r="C817" s="4" t="n">
        <v>165</v>
      </c>
      <c r="D817" s="4" t="n">
        <v>49.9125</v>
      </c>
      <c r="E817" s="5" t="n">
        <v>65.09999999999999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전</t>
        </is>
      </c>
      <c r="J817" s="3" t="inlineStr">
        <is>
          <t>남이면</t>
        </is>
      </c>
    </row>
    <row r="818">
      <c r="A818" s="3" t="n">
        <v>2022</v>
      </c>
      <c r="B818" s="4" t="n">
        <v>24415</v>
      </c>
      <c r="C818" s="4" t="n">
        <v>681</v>
      </c>
      <c r="D818" s="4" t="n">
        <v>206.0025</v>
      </c>
      <c r="E818" s="5" t="n">
        <v>118.5</v>
      </c>
      <c r="F818" s="3" t="inlineStr">
        <is>
          <t>남이면</t>
        </is>
      </c>
      <c r="G818" s="3" t="inlineStr">
        <is>
          <t>가좌리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2022</v>
      </c>
      <c r="B819" s="4" t="n">
        <v>555</v>
      </c>
      <c r="C819" s="4" t="n">
        <v>17</v>
      </c>
      <c r="D819" s="4" t="n">
        <v>5.1425</v>
      </c>
      <c r="E819" s="5" t="n">
        <v>107.9</v>
      </c>
      <c r="F819" s="3" t="inlineStr">
        <is>
          <t>남이면</t>
        </is>
      </c>
      <c r="G819" s="3" t="inlineStr">
        <is>
          <t>가좌리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2022</v>
      </c>
      <c r="B820" s="4" t="n">
        <v>75</v>
      </c>
      <c r="C820" s="4" t="n">
        <v>8</v>
      </c>
      <c r="D820" s="4" t="n">
        <v>2.42</v>
      </c>
      <c r="E820" s="5" t="n">
        <v>31</v>
      </c>
      <c r="F820" s="3" t="inlineStr">
        <is>
          <t>남이면</t>
        </is>
      </c>
      <c r="G820" s="3" t="inlineStr">
        <is>
          <t>가좌리</t>
        </is>
      </c>
      <c r="H820" s="3" t="inlineStr">
        <is>
          <t>자연녹지지역</t>
        </is>
      </c>
      <c r="I820" s="3" t="inlineStr">
        <is>
          <t>도로</t>
        </is>
      </c>
      <c r="J820" s="3" t="inlineStr">
        <is>
          <t>남이면</t>
        </is>
      </c>
    </row>
    <row r="821">
      <c r="A821" s="3" t="n">
        <v>2022</v>
      </c>
      <c r="B821" s="4" t="n">
        <v>555</v>
      </c>
      <c r="C821" s="4" t="n">
        <v>17</v>
      </c>
      <c r="D821" s="4" t="n">
        <v>5.1425</v>
      </c>
      <c r="E821" s="5" t="n">
        <v>107.9</v>
      </c>
      <c r="F821" s="3" t="inlineStr">
        <is>
          <t>남이면</t>
        </is>
      </c>
      <c r="G821" s="3" t="inlineStr">
        <is>
          <t>가좌리</t>
        </is>
      </c>
      <c r="H821" s="3" t="inlineStr">
        <is>
          <t>자연녹지지역</t>
        </is>
      </c>
      <c r="I821" s="3" t="inlineStr">
        <is>
          <t>전</t>
        </is>
      </c>
      <c r="J821" s="3" t="inlineStr">
        <is>
          <t>남이면</t>
        </is>
      </c>
    </row>
    <row r="822">
      <c r="A822" s="3" t="n">
        <v>2022</v>
      </c>
      <c r="B822" s="4" t="n">
        <v>15837</v>
      </c>
      <c r="C822" s="4" t="n">
        <v>726</v>
      </c>
      <c r="D822" s="4" t="n">
        <v>219.615</v>
      </c>
      <c r="E822" s="5" t="n">
        <v>72.09999999999999</v>
      </c>
      <c r="F822" s="3" t="inlineStr">
        <is>
          <t>남이면</t>
        </is>
      </c>
      <c r="G822" s="3" t="inlineStr">
        <is>
          <t>수대리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남이면</t>
        </is>
      </c>
    </row>
    <row r="823">
      <c r="A823" s="3" t="n">
        <v>2022</v>
      </c>
      <c r="B823" s="4" t="n">
        <v>35319</v>
      </c>
      <c r="C823" s="4" t="n">
        <v>476</v>
      </c>
      <c r="D823" s="4" t="n">
        <v>143.99</v>
      </c>
      <c r="E823" s="5" t="n">
        <v>245.3</v>
      </c>
      <c r="F823" s="3" t="inlineStr">
        <is>
          <t>남이면</t>
        </is>
      </c>
      <c r="G823" s="3" t="inlineStr">
        <is>
          <t>부용외천리</t>
        </is>
      </c>
      <c r="H823" s="3" t="inlineStr">
        <is>
          <t>계획관리지역</t>
        </is>
      </c>
      <c r="I823" s="3" t="inlineStr">
        <is>
          <t>구거</t>
        </is>
      </c>
      <c r="J823" s="3" t="inlineStr">
        <is>
          <t>남이면</t>
        </is>
      </c>
    </row>
    <row r="824">
      <c r="A824" s="3" t="n">
        <v>2022</v>
      </c>
      <c r="B824" s="4" t="n">
        <v>5000</v>
      </c>
      <c r="C824" s="4" t="n">
        <v>451</v>
      </c>
      <c r="D824" s="4" t="n">
        <v>136.4275</v>
      </c>
      <c r="E824" s="5" t="n">
        <v>36.6</v>
      </c>
      <c r="F824" s="3" t="inlineStr">
        <is>
          <t>현도면</t>
        </is>
      </c>
      <c r="G824" s="3" t="inlineStr">
        <is>
          <t>중척리</t>
        </is>
      </c>
      <c r="H824" s="3" t="inlineStr">
        <is>
          <t>개발제한구역</t>
        </is>
      </c>
      <c r="I824" s="3" t="inlineStr">
        <is>
          <t>전</t>
        </is>
      </c>
      <c r="J824" s="3" t="inlineStr">
        <is>
          <t>현도면</t>
        </is>
      </c>
    </row>
    <row r="825">
      <c r="A825" s="3" t="n">
        <v>2022</v>
      </c>
      <c r="B825" s="4" t="n">
        <v>25950</v>
      </c>
      <c r="C825" s="4" t="n">
        <v>1145</v>
      </c>
      <c r="D825" s="4" t="n">
        <v>346.3625</v>
      </c>
      <c r="E825" s="5" t="n">
        <v>74.90000000000001</v>
      </c>
      <c r="F825" s="3" t="inlineStr">
        <is>
          <t>현도면</t>
        </is>
      </c>
      <c r="G825" s="3" t="inlineStr">
        <is>
          <t>상삼리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현도면</t>
        </is>
      </c>
    </row>
    <row r="826">
      <c r="A826" s="3" t="n">
        <v>2022</v>
      </c>
      <c r="B826" s="4" t="n">
        <v>4000</v>
      </c>
      <c r="C826" s="4" t="n">
        <v>551</v>
      </c>
      <c r="D826" s="4" t="n">
        <v>166.6775</v>
      </c>
      <c r="E826" s="5" t="n">
        <v>24</v>
      </c>
      <c r="F826" s="3" t="inlineStr">
        <is>
          <t>남이면</t>
        </is>
      </c>
      <c r="G826" s="3" t="inlineStr">
        <is>
          <t>석실리</t>
        </is>
      </c>
      <c r="H826" s="3" t="inlineStr">
        <is>
          <t>보전녹지지역</t>
        </is>
      </c>
      <c r="I826" s="3" t="inlineStr">
        <is>
          <t>전</t>
        </is>
      </c>
      <c r="J826" s="3" t="inlineStr">
        <is>
          <t>남이면</t>
        </is>
      </c>
    </row>
    <row r="827">
      <c r="A827" s="3" t="n">
        <v>2022</v>
      </c>
      <c r="B827" s="4" t="n">
        <v>116500</v>
      </c>
      <c r="C827" s="4" t="n">
        <v>4553</v>
      </c>
      <c r="D827" s="4" t="n">
        <v>1377.2825</v>
      </c>
      <c r="E827" s="5" t="n">
        <v>84.59999999999999</v>
      </c>
      <c r="F827" s="3" t="inlineStr">
        <is>
          <t>남이면</t>
        </is>
      </c>
      <c r="G827" s="3" t="inlineStr">
        <is>
          <t>구미리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2022</v>
      </c>
      <c r="B828" s="4" t="n">
        <v>24550</v>
      </c>
      <c r="C828" s="4" t="n">
        <v>1623</v>
      </c>
      <c r="D828" s="4" t="n">
        <v>490.9575</v>
      </c>
      <c r="E828" s="5" t="n">
        <v>50</v>
      </c>
      <c r="F828" s="3" t="inlineStr">
        <is>
          <t>남이면</t>
        </is>
      </c>
      <c r="G828" s="3" t="inlineStr">
        <is>
          <t>구미리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2022</v>
      </c>
      <c r="B829" s="4" t="n">
        <v>20320</v>
      </c>
      <c r="C829" s="4" t="n">
        <v>840</v>
      </c>
      <c r="D829" s="4" t="n">
        <v>254.1</v>
      </c>
      <c r="E829" s="5" t="n">
        <v>80</v>
      </c>
      <c r="F829" s="3" t="inlineStr">
        <is>
          <t>현도면</t>
        </is>
      </c>
      <c r="G829" s="3" t="inlineStr">
        <is>
          <t>상삼리</t>
        </is>
      </c>
      <c r="H829" s="3" t="inlineStr">
        <is>
          <t>계획관리지역</t>
        </is>
      </c>
      <c r="I829" s="3" t="inlineStr">
        <is>
          <t>답</t>
        </is>
      </c>
      <c r="J829" s="3" t="inlineStr">
        <is>
          <t>현도면</t>
        </is>
      </c>
    </row>
    <row r="830">
      <c r="A830" s="3" t="n">
        <v>2022</v>
      </c>
      <c r="B830" s="4" t="n">
        <v>17840</v>
      </c>
      <c r="C830" s="4" t="n">
        <v>737</v>
      </c>
      <c r="D830" s="4" t="n">
        <v>222.9425</v>
      </c>
      <c r="E830" s="5" t="n">
        <v>80</v>
      </c>
      <c r="F830" s="3" t="inlineStr">
        <is>
          <t>현도면</t>
        </is>
      </c>
      <c r="G830" s="3" t="inlineStr">
        <is>
          <t>상삼리</t>
        </is>
      </c>
      <c r="H830" s="3" t="inlineStr">
        <is>
          <t>계획관리지역</t>
        </is>
      </c>
      <c r="I830" s="3" t="inlineStr">
        <is>
          <t>답</t>
        </is>
      </c>
      <c r="J830" s="3" t="inlineStr">
        <is>
          <t>현도면</t>
        </is>
      </c>
    </row>
    <row r="831">
      <c r="A831" s="3" t="n">
        <v>2022</v>
      </c>
      <c r="B831" s="4" t="n">
        <v>51660</v>
      </c>
      <c r="C831" s="4" t="n">
        <v>2440</v>
      </c>
      <c r="D831" s="4" t="n">
        <v>738.1</v>
      </c>
      <c r="E831" s="5" t="n">
        <v>70</v>
      </c>
      <c r="F831" s="3" t="inlineStr">
        <is>
          <t>현도면</t>
        </is>
      </c>
      <c r="G831" s="3" t="inlineStr">
        <is>
          <t>상삼리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현도면</t>
        </is>
      </c>
    </row>
    <row r="832">
      <c r="A832" s="3" t="n">
        <v>2022</v>
      </c>
      <c r="B832" s="4" t="n">
        <v>7300</v>
      </c>
      <c r="C832" s="4" t="n">
        <v>902</v>
      </c>
      <c r="D832" s="4" t="n">
        <v>272.855</v>
      </c>
      <c r="E832" s="5" t="n">
        <v>26.8</v>
      </c>
      <c r="F832" s="3" t="inlineStr">
        <is>
          <t>현도면</t>
        </is>
      </c>
      <c r="G832" s="3" t="inlineStr">
        <is>
          <t>죽전리</t>
        </is>
      </c>
      <c r="H832" s="3" t="inlineStr">
        <is>
          <t>개발제한구역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2024</v>
      </c>
      <c r="B833" s="4" t="n">
        <v>240000</v>
      </c>
      <c r="C833" s="4" t="n">
        <v>854.7</v>
      </c>
      <c r="D833" s="4" t="n">
        <v>258.54675</v>
      </c>
      <c r="E833" s="5" t="n">
        <v>928.3</v>
      </c>
      <c r="F833" s="3" t="inlineStr">
        <is>
          <t>조치원읍</t>
        </is>
      </c>
      <c r="G833" s="3" t="inlineStr">
        <is>
          <t>봉산리</t>
        </is>
      </c>
      <c r="H833" s="3" t="inlineStr">
        <is>
          <t>준주거지역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2000</v>
      </c>
      <c r="C834" s="4" t="n">
        <v>172</v>
      </c>
      <c r="D834" s="4" t="n">
        <v>52.03</v>
      </c>
      <c r="E834" s="5" t="n">
        <v>38.4</v>
      </c>
      <c r="F834" s="3" t="inlineStr">
        <is>
          <t>전의면</t>
        </is>
      </c>
      <c r="G834" s="3" t="inlineStr">
        <is>
          <t>신정리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전의면</t>
        </is>
      </c>
    </row>
    <row r="835">
      <c r="A835" s="3" t="n">
        <v>2024</v>
      </c>
      <c r="B835" s="4" t="n">
        <v>68000</v>
      </c>
      <c r="C835" s="4" t="n">
        <v>3173.3</v>
      </c>
      <c r="D835" s="4" t="n">
        <v>959.9232500000001</v>
      </c>
      <c r="E835" s="5" t="n">
        <v>70.8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농림지역</t>
        </is>
      </c>
      <c r="I835" s="3" t="inlineStr">
        <is>
          <t>답</t>
        </is>
      </c>
      <c r="J835" s="3" t="inlineStr">
        <is>
          <t>연동면</t>
        </is>
      </c>
    </row>
    <row r="836">
      <c r="A836" s="3" t="n">
        <v>2024</v>
      </c>
      <c r="B836" s="4" t="n">
        <v>38220</v>
      </c>
      <c r="C836" s="4" t="n">
        <v>670</v>
      </c>
      <c r="D836" s="4" t="n">
        <v>202.675</v>
      </c>
      <c r="E836" s="5" t="n">
        <v>188.6</v>
      </c>
      <c r="F836" s="3" t="inlineStr">
        <is>
          <t>장군면</t>
        </is>
      </c>
      <c r="G836" s="3" t="inlineStr">
        <is>
          <t>대교리</t>
        </is>
      </c>
      <c r="H836" s="3" t="inlineStr">
        <is>
          <t>보전관리지역</t>
        </is>
      </c>
      <c r="I836" s="3" t="inlineStr">
        <is>
          <t>대</t>
        </is>
      </c>
      <c r="J836" s="3" t="inlineStr">
        <is>
          <t>장군면</t>
        </is>
      </c>
    </row>
    <row r="837">
      <c r="A837" s="3" t="n">
        <v>2024</v>
      </c>
      <c r="B837" s="4" t="n">
        <v>80</v>
      </c>
      <c r="C837" s="4" t="n">
        <v>2</v>
      </c>
      <c r="D837" s="4" t="n">
        <v>0.605</v>
      </c>
      <c r="E837" s="5" t="n">
        <v>132.2</v>
      </c>
      <c r="F837" s="3" t="inlineStr">
        <is>
          <t>장군면</t>
        </is>
      </c>
      <c r="G837" s="3" t="inlineStr">
        <is>
          <t>대교리</t>
        </is>
      </c>
      <c r="H837" s="3" t="inlineStr">
        <is>
          <t>보전관리지역</t>
        </is>
      </c>
      <c r="I837" s="3" t="inlineStr">
        <is>
          <t>임야</t>
        </is>
      </c>
      <c r="J837" s="3" t="inlineStr">
        <is>
          <t>장군면</t>
        </is>
      </c>
    </row>
    <row r="838">
      <c r="A838" s="3" t="n">
        <v>2024</v>
      </c>
      <c r="B838" s="4" t="n">
        <v>22900</v>
      </c>
      <c r="C838" s="4" t="n">
        <v>256</v>
      </c>
      <c r="D838" s="4" t="n">
        <v>77.44</v>
      </c>
      <c r="E838" s="5" t="n">
        <v>295.7</v>
      </c>
      <c r="F838" s="3" t="inlineStr">
        <is>
          <t>장군면</t>
        </is>
      </c>
      <c r="G838" s="3" t="inlineStr">
        <is>
          <t>송문리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장군면</t>
        </is>
      </c>
    </row>
    <row r="839">
      <c r="A839" s="3" t="n">
        <v>2024</v>
      </c>
      <c r="B839" s="4" t="n">
        <v>53160</v>
      </c>
      <c r="C839" s="4" t="n">
        <v>1443</v>
      </c>
      <c r="D839" s="4" t="n">
        <v>436.5075</v>
      </c>
      <c r="E839" s="5" t="n">
        <v>121.8</v>
      </c>
      <c r="F839" s="3" t="inlineStr">
        <is>
          <t>연서면</t>
        </is>
      </c>
      <c r="G839" s="3" t="inlineStr">
        <is>
          <t>용암리</t>
        </is>
      </c>
      <c r="H839" s="3" t="inlineStr">
        <is>
          <t>생산관리지역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2024</v>
      </c>
      <c r="B840" s="4" t="n">
        <v>21256</v>
      </c>
      <c r="C840" s="4" t="n">
        <v>577</v>
      </c>
      <c r="D840" s="4" t="n">
        <v>174.5425</v>
      </c>
      <c r="E840" s="5" t="n">
        <v>121.8</v>
      </c>
      <c r="F840" s="3" t="inlineStr">
        <is>
          <t>연서면</t>
        </is>
      </c>
      <c r="G840" s="3" t="inlineStr">
        <is>
          <t>용암리</t>
        </is>
      </c>
      <c r="H840" s="3" t="inlineStr">
        <is>
          <t>생산관리지역</t>
        </is>
      </c>
      <c r="I840" s="3" t="inlineStr">
        <is>
          <t>과수원</t>
        </is>
      </c>
      <c r="J840" s="3" t="inlineStr">
        <is>
          <t>연서면</t>
        </is>
      </c>
    </row>
    <row r="841">
      <c r="A841" s="3" t="n">
        <v>2024</v>
      </c>
      <c r="B841" s="4" t="n">
        <v>15584</v>
      </c>
      <c r="C841" s="4" t="n">
        <v>423</v>
      </c>
      <c r="D841" s="4" t="n">
        <v>127.9575</v>
      </c>
      <c r="E841" s="5" t="n">
        <v>121.8</v>
      </c>
      <c r="F841" s="3" t="inlineStr">
        <is>
          <t>연서면</t>
        </is>
      </c>
      <c r="G841" s="3" t="inlineStr">
        <is>
          <t>용암리</t>
        </is>
      </c>
      <c r="H841" s="3" t="inlineStr">
        <is>
          <t>생산관리지역</t>
        </is>
      </c>
      <c r="I841" s="3" t="inlineStr">
        <is>
          <t>과수원</t>
        </is>
      </c>
      <c r="J841" s="3" t="inlineStr">
        <is>
          <t>연서면</t>
        </is>
      </c>
    </row>
    <row r="842">
      <c r="A842" s="3" t="n">
        <v>2024</v>
      </c>
      <c r="B842" s="4" t="n">
        <v>41800</v>
      </c>
      <c r="C842" s="4" t="n">
        <v>2305</v>
      </c>
      <c r="D842" s="4" t="n">
        <v>697.2624999999999</v>
      </c>
      <c r="E842" s="5" t="n">
        <v>59.9</v>
      </c>
      <c r="F842" s="3" t="inlineStr">
        <is>
          <t>장군면</t>
        </is>
      </c>
      <c r="G842" s="3" t="inlineStr">
        <is>
          <t>산학리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2024</v>
      </c>
      <c r="B843" s="4" t="n">
        <v>224</v>
      </c>
      <c r="C843" s="4" t="n">
        <v>3</v>
      </c>
      <c r="D843" s="4" t="n">
        <v>0.9075</v>
      </c>
      <c r="E843" s="5" t="n">
        <v>246.8</v>
      </c>
      <c r="F843" s="3" t="inlineStr">
        <is>
          <t>조치원읍</t>
        </is>
      </c>
      <c r="G843" s="3" t="inlineStr">
        <is>
          <t>침산리</t>
        </is>
      </c>
      <c r="H843" s="3" t="inlineStr">
        <is>
          <t>제1종일반주거지역</t>
        </is>
      </c>
      <c r="I843" s="3" t="inlineStr">
        <is>
          <t>임야</t>
        </is>
      </c>
      <c r="J843" s="3" t="inlineStr">
        <is>
          <t>조치원읍</t>
        </is>
      </c>
    </row>
    <row r="844">
      <c r="A844" s="3" t="n">
        <v>2022</v>
      </c>
      <c r="B844" s="4" t="n">
        <v>3332</v>
      </c>
      <c r="C844" s="4" t="n">
        <v>1576</v>
      </c>
      <c r="D844" s="4" t="n">
        <v>476.74</v>
      </c>
      <c r="E844" s="5" t="n">
        <v>7</v>
      </c>
      <c r="F844" s="3" t="inlineStr">
        <is>
          <t>전동면</t>
        </is>
      </c>
      <c r="G844" s="3" t="inlineStr">
        <is>
          <t>청람리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전동면</t>
        </is>
      </c>
    </row>
    <row r="845">
      <c r="A845" s="3" t="n">
        <v>2022</v>
      </c>
      <c r="B845" s="4" t="n">
        <v>79300</v>
      </c>
      <c r="C845" s="4" t="n">
        <v>463</v>
      </c>
      <c r="D845" s="4" t="n">
        <v>140.0575</v>
      </c>
      <c r="E845" s="5" t="n">
        <v>566.2</v>
      </c>
      <c r="F845" s="3" t="inlineStr">
        <is>
          <t>장군면</t>
        </is>
      </c>
      <c r="G845" s="3" t="inlineStr">
        <is>
          <t>금암리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2022</v>
      </c>
      <c r="B846" s="4" t="n">
        <v>6383</v>
      </c>
      <c r="C846" s="4" t="n">
        <v>177</v>
      </c>
      <c r="D846" s="4" t="n">
        <v>53.5425</v>
      </c>
      <c r="E846" s="5" t="n">
        <v>119.2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2023</v>
      </c>
      <c r="B847" s="4" t="n">
        <v>40980</v>
      </c>
      <c r="C847" s="4" t="n">
        <v>904</v>
      </c>
      <c r="D847" s="4" t="n">
        <v>273.46</v>
      </c>
      <c r="E847" s="5" t="n">
        <v>149.9</v>
      </c>
      <c r="F847" s="3" t="inlineStr">
        <is>
          <t>금남면</t>
        </is>
      </c>
      <c r="G847" s="3" t="inlineStr">
        <is>
          <t>박산리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금남면</t>
        </is>
      </c>
    </row>
    <row r="848">
      <c r="A848" s="3" t="n">
        <v>2023</v>
      </c>
      <c r="B848" s="4" t="n">
        <v>780</v>
      </c>
      <c r="C848" s="4" t="n">
        <v>48</v>
      </c>
      <c r="D848" s="4" t="n">
        <v>14.52</v>
      </c>
      <c r="E848" s="5" t="n">
        <v>53.7</v>
      </c>
      <c r="F848" s="3" t="inlineStr">
        <is>
          <t>금남면</t>
        </is>
      </c>
      <c r="G848" s="3" t="inlineStr">
        <is>
          <t>박산리</t>
        </is>
      </c>
      <c r="H848" s="3" t="inlineStr">
        <is>
          <t>자연녹지지역</t>
        </is>
      </c>
      <c r="I848" s="3" t="inlineStr">
        <is>
          <t>대</t>
        </is>
      </c>
      <c r="J848" s="3" t="inlineStr">
        <is>
          <t>금남면</t>
        </is>
      </c>
    </row>
    <row r="849">
      <c r="A849" s="3" t="n">
        <v>2023</v>
      </c>
      <c r="B849" s="4" t="n">
        <v>90</v>
      </c>
      <c r="C849" s="4" t="n">
        <v>2</v>
      </c>
      <c r="D849" s="4" t="n">
        <v>0.605</v>
      </c>
      <c r="E849" s="5" t="n">
        <v>148.8</v>
      </c>
      <c r="F849" s="3" t="inlineStr">
        <is>
          <t>금남면</t>
        </is>
      </c>
      <c r="G849" s="3" t="inlineStr">
        <is>
          <t>박산리</t>
        </is>
      </c>
      <c r="H849" s="3" t="inlineStr">
        <is>
          <t>자연녹지지역</t>
        </is>
      </c>
      <c r="I849" s="3" t="inlineStr">
        <is>
          <t>대</t>
        </is>
      </c>
      <c r="J849" s="3" t="inlineStr">
        <is>
          <t>금남면</t>
        </is>
      </c>
    </row>
    <row r="850">
      <c r="A850" s="3" t="n">
        <v>2023</v>
      </c>
      <c r="B850" s="4" t="n">
        <v>60000</v>
      </c>
      <c r="C850" s="4" t="n">
        <v>2797</v>
      </c>
      <c r="D850" s="4" t="n">
        <v>846.0925</v>
      </c>
      <c r="E850" s="5" t="n">
        <v>70.90000000000001</v>
      </c>
      <c r="F850" s="3" t="inlineStr">
        <is>
          <t>전동면</t>
        </is>
      </c>
      <c r="G850" s="3" t="inlineStr">
        <is>
          <t>석곡리</t>
        </is>
      </c>
      <c r="H850" s="3" t="inlineStr">
        <is>
          <t>농림지역</t>
        </is>
      </c>
      <c r="I850" s="3" t="inlineStr">
        <is>
          <t>답</t>
        </is>
      </c>
      <c r="J850" s="3" t="inlineStr">
        <is>
          <t>전동면</t>
        </is>
      </c>
    </row>
    <row r="851">
      <c r="A851" s="3" t="n">
        <v>2023</v>
      </c>
      <c r="B851" s="4" t="n">
        <v>2695</v>
      </c>
      <c r="C851" s="4" t="n">
        <v>137</v>
      </c>
      <c r="D851" s="4" t="n">
        <v>41.4425</v>
      </c>
      <c r="E851" s="5" t="n">
        <v>65</v>
      </c>
      <c r="F851" s="3" t="inlineStr">
        <is>
          <t>전동면</t>
        </is>
      </c>
      <c r="G851" s="3" t="inlineStr">
        <is>
          <t>청송리</t>
        </is>
      </c>
      <c r="H851" s="3" t="inlineStr">
        <is>
          <t>계획관리지역</t>
        </is>
      </c>
      <c r="I851" s="3" t="inlineStr">
        <is>
          <t>임야</t>
        </is>
      </c>
      <c r="J851" s="3" t="inlineStr">
        <is>
          <t>전동면</t>
        </is>
      </c>
    </row>
    <row r="852">
      <c r="A852" s="3" t="n">
        <v>2023</v>
      </c>
      <c r="B852" s="4" t="n">
        <v>26280</v>
      </c>
      <c r="C852" s="4" t="n">
        <v>724</v>
      </c>
      <c r="D852" s="4" t="n">
        <v>219.01</v>
      </c>
      <c r="E852" s="5" t="n">
        <v>120</v>
      </c>
      <c r="F852" s="3" t="inlineStr">
        <is>
          <t>전동면</t>
        </is>
      </c>
      <c r="G852" s="3" t="inlineStr">
        <is>
          <t>청송리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전동면</t>
        </is>
      </c>
    </row>
    <row r="853">
      <c r="A853" s="3" t="n">
        <v>2023</v>
      </c>
      <c r="B853" s="4" t="n">
        <v>26500</v>
      </c>
      <c r="C853" s="4" t="n">
        <v>1015</v>
      </c>
      <c r="D853" s="4" t="n">
        <v>307.0375</v>
      </c>
      <c r="E853" s="5" t="n">
        <v>86.3</v>
      </c>
      <c r="F853" s="3" t="inlineStr">
        <is>
          <t>연서면</t>
        </is>
      </c>
      <c r="G853" s="3" t="inlineStr">
        <is>
          <t>국촌리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73350</v>
      </c>
      <c r="C854" s="4" t="n">
        <v>698</v>
      </c>
      <c r="D854" s="4" t="n">
        <v>211.145</v>
      </c>
      <c r="E854" s="5" t="n">
        <v>347.4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2023</v>
      </c>
      <c r="B855" s="4" t="n">
        <v>90000</v>
      </c>
      <c r="C855" s="4" t="n">
        <v>400</v>
      </c>
      <c r="D855" s="4" t="n">
        <v>121</v>
      </c>
      <c r="E855" s="5" t="n">
        <v>743.8</v>
      </c>
      <c r="F855" s="3" t="inlineStr">
        <is>
          <t>도담동</t>
        </is>
      </c>
      <c r="G855" s="3" t="inlineStr"/>
      <c r="H855" s="3" t="inlineStr">
        <is>
          <t>제1종전용주거지역</t>
        </is>
      </c>
      <c r="I855" s="3" t="inlineStr">
        <is>
          <t>대</t>
        </is>
      </c>
      <c r="J855" s="3" t="inlineStr">
        <is>
          <t>도담동</t>
        </is>
      </c>
    </row>
    <row r="856">
      <c r="A856" s="3" t="n">
        <v>2023</v>
      </c>
      <c r="B856" s="4" t="n">
        <v>16000</v>
      </c>
      <c r="C856" s="4" t="n">
        <v>3124</v>
      </c>
      <c r="D856" s="4" t="n">
        <v>945.01</v>
      </c>
      <c r="E856" s="5" t="n">
        <v>16.9</v>
      </c>
      <c r="F856" s="3" t="inlineStr">
        <is>
          <t>전의면</t>
        </is>
      </c>
      <c r="G856" s="3" t="inlineStr">
        <is>
          <t>신정리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전의면</t>
        </is>
      </c>
    </row>
    <row r="857">
      <c r="A857" s="3" t="n">
        <v>2023</v>
      </c>
      <c r="B857" s="4" t="n">
        <v>24960</v>
      </c>
      <c r="C857" s="4" t="n">
        <v>550</v>
      </c>
      <c r="D857" s="4" t="n">
        <v>166.375</v>
      </c>
      <c r="E857" s="5" t="n">
        <v>150</v>
      </c>
      <c r="F857" s="3" t="inlineStr">
        <is>
          <t>전의면</t>
        </is>
      </c>
      <c r="G857" s="3" t="inlineStr">
        <is>
          <t>서정리</t>
        </is>
      </c>
      <c r="H857" s="3" t="inlineStr">
        <is>
          <t>계획관리지역</t>
        </is>
      </c>
      <c r="I857" s="3" t="inlineStr">
        <is>
          <t>대</t>
        </is>
      </c>
      <c r="J857" s="3" t="inlineStr">
        <is>
          <t>전의면</t>
        </is>
      </c>
    </row>
    <row r="858">
      <c r="A858" s="3" t="n">
        <v>2023</v>
      </c>
      <c r="B858" s="4" t="n">
        <v>67500</v>
      </c>
      <c r="C858" s="4" t="n">
        <v>891</v>
      </c>
      <c r="D858" s="4" t="n">
        <v>269.5275</v>
      </c>
      <c r="E858" s="5" t="n">
        <v>250.4</v>
      </c>
      <c r="F858" s="3" t="inlineStr">
        <is>
          <t>금남면</t>
        </is>
      </c>
      <c r="G858" s="3" t="inlineStr">
        <is>
          <t>발산리</t>
        </is>
      </c>
      <c r="H858" s="3" t="inlineStr">
        <is>
          <t>개발제한구역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2023</v>
      </c>
      <c r="B859" s="4" t="n">
        <v>44850</v>
      </c>
      <c r="C859" s="4" t="n">
        <v>1289</v>
      </c>
      <c r="D859" s="4" t="n">
        <v>389.9225</v>
      </c>
      <c r="E859" s="5" t="n">
        <v>115</v>
      </c>
      <c r="F859" s="3" t="inlineStr">
        <is>
          <t>금남면</t>
        </is>
      </c>
      <c r="G859" s="3" t="inlineStr">
        <is>
          <t>장재리</t>
        </is>
      </c>
      <c r="H859" s="3" t="inlineStr">
        <is>
          <t>개발제한구역</t>
        </is>
      </c>
      <c r="I859" s="3" t="inlineStr">
        <is>
          <t>답</t>
        </is>
      </c>
      <c r="J859" s="3" t="inlineStr">
        <is>
          <t>금남면</t>
        </is>
      </c>
    </row>
    <row r="860">
      <c r="A860" s="3" t="n">
        <v>2023</v>
      </c>
      <c r="B860" s="4" t="n">
        <v>65000</v>
      </c>
      <c r="C860" s="4" t="n">
        <v>3173.3</v>
      </c>
      <c r="D860" s="4" t="n">
        <v>959.9232500000001</v>
      </c>
      <c r="E860" s="5" t="n">
        <v>67.7</v>
      </c>
      <c r="F860" s="3" t="inlineStr">
        <is>
          <t>연동면</t>
        </is>
      </c>
      <c r="G860" s="3" t="inlineStr">
        <is>
          <t>문주리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2023</v>
      </c>
      <c r="B861" s="4" t="n">
        <v>3291</v>
      </c>
      <c r="C861" s="4" t="n">
        <v>121</v>
      </c>
      <c r="D861" s="4" t="n">
        <v>36.6025</v>
      </c>
      <c r="E861" s="5" t="n">
        <v>89.90000000000001</v>
      </c>
      <c r="F861" s="3" t="inlineStr">
        <is>
          <t>전의면</t>
        </is>
      </c>
      <c r="G861" s="3" t="inlineStr">
        <is>
          <t>서정리</t>
        </is>
      </c>
      <c r="H861" s="3" t="inlineStr">
        <is>
          <t>계획관리지역</t>
        </is>
      </c>
      <c r="I861" s="3" t="inlineStr">
        <is>
          <t>대</t>
        </is>
      </c>
      <c r="J861" s="3" t="inlineStr">
        <is>
          <t>전의면</t>
        </is>
      </c>
    </row>
    <row r="862">
      <c r="A862" s="3" t="n">
        <v>2023</v>
      </c>
      <c r="B862" s="4" t="n">
        <v>27</v>
      </c>
      <c r="C862" s="4" t="n">
        <v>1</v>
      </c>
      <c r="D862" s="4" t="n">
        <v>0.3025</v>
      </c>
      <c r="E862" s="5" t="n">
        <v>89.3</v>
      </c>
      <c r="F862" s="3" t="inlineStr">
        <is>
          <t>전의면</t>
        </is>
      </c>
      <c r="G862" s="3" t="inlineStr">
        <is>
          <t>서정리</t>
        </is>
      </c>
      <c r="H862" s="3" t="inlineStr">
        <is>
          <t>계획관리지역</t>
        </is>
      </c>
      <c r="I862" s="3" t="inlineStr">
        <is>
          <t>대</t>
        </is>
      </c>
      <c r="J862" s="3" t="inlineStr">
        <is>
          <t>전의면</t>
        </is>
      </c>
    </row>
    <row r="863">
      <c r="A863" s="3" t="n">
        <v>2023</v>
      </c>
      <c r="B863" s="4" t="n">
        <v>164</v>
      </c>
      <c r="C863" s="4" t="n">
        <v>6</v>
      </c>
      <c r="D863" s="4" t="n">
        <v>1.815</v>
      </c>
      <c r="E863" s="5" t="n">
        <v>90.40000000000001</v>
      </c>
      <c r="F863" s="3" t="inlineStr">
        <is>
          <t>전의면</t>
        </is>
      </c>
      <c r="G863" s="3" t="inlineStr">
        <is>
          <t>서정리</t>
        </is>
      </c>
      <c r="H863" s="3" t="inlineStr">
        <is>
          <t>농림지역</t>
        </is>
      </c>
      <c r="I863" s="3" t="inlineStr">
        <is>
          <t>대</t>
        </is>
      </c>
      <c r="J863" s="3" t="inlineStr">
        <is>
          <t>전의면</t>
        </is>
      </c>
    </row>
    <row r="864">
      <c r="A864" s="3" t="n">
        <v>2023</v>
      </c>
      <c r="B864" s="4" t="n">
        <v>1986</v>
      </c>
      <c r="C864" s="4" t="n">
        <v>73</v>
      </c>
      <c r="D864" s="4" t="n">
        <v>22.0825</v>
      </c>
      <c r="E864" s="5" t="n">
        <v>89.90000000000001</v>
      </c>
      <c r="F864" s="3" t="inlineStr">
        <is>
          <t>전의면</t>
        </is>
      </c>
      <c r="G864" s="3" t="inlineStr">
        <is>
          <t>서정리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전의면</t>
        </is>
      </c>
    </row>
    <row r="865">
      <c r="A865" s="3" t="n">
        <v>2023</v>
      </c>
      <c r="B865" s="4" t="n">
        <v>9313</v>
      </c>
      <c r="C865" s="4" t="n">
        <v>341</v>
      </c>
      <c r="D865" s="4" t="n">
        <v>103.1525</v>
      </c>
      <c r="E865" s="5" t="n">
        <v>90.3</v>
      </c>
      <c r="F865" s="3" t="inlineStr">
        <is>
          <t>전의면</t>
        </is>
      </c>
      <c r="G865" s="3" t="inlineStr">
        <is>
          <t>서정리</t>
        </is>
      </c>
      <c r="H865" s="3" t="inlineStr">
        <is>
          <t>계획관리지역</t>
        </is>
      </c>
      <c r="I865" s="3" t="inlineStr">
        <is>
          <t>대</t>
        </is>
      </c>
      <c r="J865" s="3" t="inlineStr">
        <is>
          <t>전의면</t>
        </is>
      </c>
    </row>
    <row r="866">
      <c r="A866" s="3" t="n">
        <v>2022</v>
      </c>
      <c r="B866" s="4" t="n">
        <v>9000</v>
      </c>
      <c r="C866" s="4" t="n">
        <v>506</v>
      </c>
      <c r="D866" s="4" t="n">
        <v>153.065</v>
      </c>
      <c r="E866" s="5" t="n">
        <v>58.8</v>
      </c>
      <c r="F866" s="3" t="inlineStr">
        <is>
          <t>연서면</t>
        </is>
      </c>
      <c r="G866" s="3" t="inlineStr">
        <is>
          <t>용암리</t>
        </is>
      </c>
      <c r="H866" s="3" t="inlineStr">
        <is>
          <t>생산관리지역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2026</v>
      </c>
      <c r="B867" s="4" t="n">
        <v>60000</v>
      </c>
      <c r="C867" s="4" t="n">
        <v>1046</v>
      </c>
      <c r="D867" s="4" t="n">
        <v>316.415</v>
      </c>
      <c r="E867" s="5" t="n">
        <v>189.6</v>
      </c>
      <c r="F867" s="3" t="inlineStr">
        <is>
          <t>조치원읍</t>
        </is>
      </c>
      <c r="G867" s="3" t="inlineStr">
        <is>
          <t>신안리</t>
        </is>
      </c>
      <c r="H867" s="3" t="inlineStr">
        <is>
          <t>자연녹지지역</t>
        </is>
      </c>
      <c r="I867" s="3" t="inlineStr">
        <is>
          <t>전</t>
        </is>
      </c>
      <c r="J867" s="3" t="inlineStr">
        <is>
          <t>조치원읍</t>
        </is>
      </c>
    </row>
    <row r="868">
      <c r="A868" s="3" t="n">
        <v>2024</v>
      </c>
      <c r="B868" s="4" t="n">
        <v>29040</v>
      </c>
      <c r="C868" s="4" t="n">
        <v>320</v>
      </c>
      <c r="D868" s="4" t="n">
        <v>96.8</v>
      </c>
      <c r="E868" s="5" t="n">
        <v>300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보전관리지역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11525</v>
      </c>
      <c r="C869" s="4" t="n">
        <v>127</v>
      </c>
      <c r="D869" s="4" t="n">
        <v>38.4175</v>
      </c>
      <c r="E869" s="5" t="n">
        <v>300</v>
      </c>
      <c r="F869" s="3" t="inlineStr">
        <is>
          <t>연서면</t>
        </is>
      </c>
      <c r="G869" s="3" t="inlineStr">
        <is>
          <t>신대리</t>
        </is>
      </c>
      <c r="H869" s="3" t="inlineStr">
        <is>
          <t>계획관리지역</t>
        </is>
      </c>
      <c r="I869" s="3" t="inlineStr">
        <is>
          <t>과수원</t>
        </is>
      </c>
      <c r="J869" s="3" t="inlineStr">
        <is>
          <t>연서면</t>
        </is>
      </c>
    </row>
    <row r="870">
      <c r="A870" s="3" t="n">
        <v>2024</v>
      </c>
      <c r="B870" s="4" t="n">
        <v>4538</v>
      </c>
      <c r="C870" s="4" t="n">
        <v>50</v>
      </c>
      <c r="D870" s="4" t="n">
        <v>15.125</v>
      </c>
      <c r="E870" s="5" t="n">
        <v>300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임야</t>
        </is>
      </c>
      <c r="J870" s="3" t="inlineStr">
        <is>
          <t>연서면</t>
        </is>
      </c>
    </row>
    <row r="871">
      <c r="A871" s="3" t="n">
        <v>2024</v>
      </c>
      <c r="B871" s="4" t="n">
        <v>7169</v>
      </c>
      <c r="C871" s="4" t="n">
        <v>79</v>
      </c>
      <c r="D871" s="4" t="n">
        <v>23.8975</v>
      </c>
      <c r="E871" s="5" t="n">
        <v>300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2024</v>
      </c>
      <c r="B872" s="4" t="n">
        <v>3388</v>
      </c>
      <c r="C872" s="4" t="n">
        <v>40</v>
      </c>
      <c r="D872" s="4" t="n">
        <v>12.1</v>
      </c>
      <c r="E872" s="5" t="n">
        <v>280</v>
      </c>
      <c r="F872" s="3" t="inlineStr">
        <is>
          <t>연서면</t>
        </is>
      </c>
      <c r="G872" s="3" t="inlineStr">
        <is>
          <t>신대리</t>
        </is>
      </c>
      <c r="H872" s="3" t="inlineStr">
        <is>
          <t>계획관리지역</t>
        </is>
      </c>
      <c r="I872" s="3" t="inlineStr">
        <is>
          <t>과수원</t>
        </is>
      </c>
      <c r="J872" s="3" t="inlineStr">
        <is>
          <t>연서면</t>
        </is>
      </c>
    </row>
    <row r="873">
      <c r="A873" s="3" t="n">
        <v>2024</v>
      </c>
      <c r="B873" s="4" t="n">
        <v>1609</v>
      </c>
      <c r="C873" s="4" t="n">
        <v>19</v>
      </c>
      <c r="D873" s="4" t="n">
        <v>5.7475</v>
      </c>
      <c r="E873" s="5" t="n">
        <v>279.9</v>
      </c>
      <c r="F873" s="3" t="inlineStr">
        <is>
          <t>연서면</t>
        </is>
      </c>
      <c r="G873" s="3" t="inlineStr">
        <is>
          <t>신대리</t>
        </is>
      </c>
      <c r="H873" s="3" t="inlineStr">
        <is>
          <t>계획관리지역</t>
        </is>
      </c>
      <c r="I873" s="3" t="inlineStr">
        <is>
          <t>임야</t>
        </is>
      </c>
      <c r="J873" s="3" t="inlineStr">
        <is>
          <t>연서면</t>
        </is>
      </c>
    </row>
    <row r="874">
      <c r="A874" s="3" t="n">
        <v>2024</v>
      </c>
      <c r="B874" s="4" t="n">
        <v>36421</v>
      </c>
      <c r="C874" s="4" t="n">
        <v>430</v>
      </c>
      <c r="D874" s="4" t="n">
        <v>130.075</v>
      </c>
      <c r="E874" s="5" t="n">
        <v>280</v>
      </c>
      <c r="F874" s="3" t="inlineStr">
        <is>
          <t>연서면</t>
        </is>
      </c>
      <c r="G874" s="3" t="inlineStr">
        <is>
          <t>신대리</t>
        </is>
      </c>
      <c r="H874" s="3" t="inlineStr">
        <is>
          <t>계획관리지역</t>
        </is>
      </c>
      <c r="I874" s="3" t="inlineStr">
        <is>
          <t>과수원</t>
        </is>
      </c>
      <c r="J874" s="3" t="inlineStr">
        <is>
          <t>연서면</t>
        </is>
      </c>
    </row>
    <row r="875">
      <c r="A875" s="3" t="n">
        <v>2024</v>
      </c>
      <c r="B875" s="4" t="n">
        <v>6098</v>
      </c>
      <c r="C875" s="4" t="n">
        <v>72</v>
      </c>
      <c r="D875" s="4" t="n">
        <v>21.78</v>
      </c>
      <c r="E875" s="5" t="n">
        <v>280</v>
      </c>
      <c r="F875" s="3" t="inlineStr">
        <is>
          <t>연서면</t>
        </is>
      </c>
      <c r="G875" s="3" t="inlineStr">
        <is>
          <t>신대리</t>
        </is>
      </c>
      <c r="H875" s="3" t="inlineStr">
        <is>
          <t>계획관리지역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2024</v>
      </c>
      <c r="B876" s="4" t="n">
        <v>13000</v>
      </c>
      <c r="C876" s="4" t="n">
        <v>547</v>
      </c>
      <c r="D876" s="4" t="n">
        <v>165.4675</v>
      </c>
      <c r="E876" s="5" t="n">
        <v>78.59999999999999</v>
      </c>
      <c r="F876" s="3" t="inlineStr">
        <is>
          <t>연서면</t>
        </is>
      </c>
      <c r="G876" s="3" t="inlineStr">
        <is>
          <t>고복리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2024</v>
      </c>
      <c r="B877" s="4" t="n">
        <v>41000</v>
      </c>
      <c r="C877" s="4" t="n">
        <v>320</v>
      </c>
      <c r="D877" s="4" t="n">
        <v>96.8</v>
      </c>
      <c r="E877" s="5" t="n">
        <v>423.6</v>
      </c>
      <c r="F877" s="3" t="inlineStr">
        <is>
          <t>다정동</t>
        </is>
      </c>
      <c r="G877" s="3" t="inlineStr"/>
      <c r="H877" s="3" t="inlineStr">
        <is>
          <t>제1종일반주거지역</t>
        </is>
      </c>
      <c r="I877" s="3" t="inlineStr">
        <is>
          <t>대</t>
        </is>
      </c>
      <c r="J877" s="3" t="inlineStr">
        <is>
          <t>다정동</t>
        </is>
      </c>
    </row>
    <row r="878">
      <c r="A878" s="3" t="n">
        <v>2024</v>
      </c>
      <c r="B878" s="4" t="n">
        <v>24900</v>
      </c>
      <c r="C878" s="4" t="n">
        <v>2886</v>
      </c>
      <c r="D878" s="4" t="n">
        <v>873.015</v>
      </c>
      <c r="E878" s="5" t="n">
        <v>28.5</v>
      </c>
      <c r="F878" s="3" t="inlineStr">
        <is>
          <t>전의면</t>
        </is>
      </c>
      <c r="G878" s="3" t="inlineStr">
        <is>
          <t>달전리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전의면</t>
        </is>
      </c>
    </row>
    <row r="879">
      <c r="A879" s="3" t="n">
        <v>2024</v>
      </c>
      <c r="B879" s="4" t="n">
        <v>690</v>
      </c>
      <c r="C879" s="4" t="n">
        <v>79</v>
      </c>
      <c r="D879" s="4" t="n">
        <v>23.8975</v>
      </c>
      <c r="E879" s="5" t="n">
        <v>28.9</v>
      </c>
      <c r="F879" s="3" t="inlineStr">
        <is>
          <t>전의면</t>
        </is>
      </c>
      <c r="G879" s="3" t="inlineStr">
        <is>
          <t>달전리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전의면</t>
        </is>
      </c>
    </row>
    <row r="880">
      <c r="A880" s="3" t="n">
        <v>2024</v>
      </c>
      <c r="B880" s="4" t="n">
        <v>4610</v>
      </c>
      <c r="C880" s="4" t="n">
        <v>536</v>
      </c>
      <c r="D880" s="4" t="n">
        <v>162.14</v>
      </c>
      <c r="E880" s="5" t="n">
        <v>28.4</v>
      </c>
      <c r="F880" s="3" t="inlineStr">
        <is>
          <t>전의면</t>
        </is>
      </c>
      <c r="G880" s="3" t="inlineStr">
        <is>
          <t>달전리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전의면</t>
        </is>
      </c>
    </row>
    <row r="881">
      <c r="A881" s="3" t="n">
        <v>2024</v>
      </c>
      <c r="B881" s="4" t="n">
        <v>3800</v>
      </c>
      <c r="C881" s="4" t="n">
        <v>440</v>
      </c>
      <c r="D881" s="4" t="n">
        <v>133.1</v>
      </c>
      <c r="E881" s="5" t="n">
        <v>28.5</v>
      </c>
      <c r="F881" s="3" t="inlineStr">
        <is>
          <t>전의면</t>
        </is>
      </c>
      <c r="G881" s="3" t="inlineStr">
        <is>
          <t>달전리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전의면</t>
        </is>
      </c>
    </row>
    <row r="882">
      <c r="A882" s="3" t="n">
        <v>2024</v>
      </c>
      <c r="B882" s="4" t="n">
        <v>34000</v>
      </c>
      <c r="C882" s="4" t="n">
        <v>2490</v>
      </c>
      <c r="D882" s="4" t="n">
        <v>753.225</v>
      </c>
      <c r="E882" s="5" t="n">
        <v>45.1</v>
      </c>
      <c r="F882" s="3" t="inlineStr">
        <is>
          <t>소정면</t>
        </is>
      </c>
      <c r="G882" s="3" t="inlineStr">
        <is>
          <t>대곡리</t>
        </is>
      </c>
      <c r="H882" s="3" t="inlineStr">
        <is>
          <t>계획관리지역</t>
        </is>
      </c>
      <c r="I882" s="3" t="inlineStr">
        <is>
          <t>목장용지</t>
        </is>
      </c>
      <c r="J882" s="3" t="inlineStr">
        <is>
          <t>소정면</t>
        </is>
      </c>
    </row>
    <row r="883">
      <c r="A883" s="3" t="n">
        <v>2024</v>
      </c>
      <c r="B883" s="4" t="n">
        <v>6400</v>
      </c>
      <c r="C883" s="4" t="n">
        <v>816.9</v>
      </c>
      <c r="D883" s="4" t="n">
        <v>247.11225</v>
      </c>
      <c r="E883" s="5" t="n">
        <v>25.9</v>
      </c>
      <c r="F883" s="3" t="inlineStr">
        <is>
          <t>전의면</t>
        </is>
      </c>
      <c r="G883" s="3" t="inlineStr">
        <is>
          <t>다방리</t>
        </is>
      </c>
      <c r="H883" s="3" t="inlineStr">
        <is>
          <t>생산관리지역</t>
        </is>
      </c>
      <c r="I883" s="3" t="inlineStr">
        <is>
          <t>전</t>
        </is>
      </c>
      <c r="J883" s="3" t="inlineStr">
        <is>
          <t>전의면</t>
        </is>
      </c>
    </row>
    <row r="884">
      <c r="A884" s="3" t="n">
        <v>2024</v>
      </c>
      <c r="B884" s="4" t="n">
        <v>8746</v>
      </c>
      <c r="C884" s="4" t="n">
        <v>1653</v>
      </c>
      <c r="D884" s="4" t="n">
        <v>500.0325</v>
      </c>
      <c r="E884" s="5" t="n">
        <v>17.5</v>
      </c>
      <c r="F884" s="3" t="inlineStr">
        <is>
          <t>전의면</t>
        </is>
      </c>
      <c r="G884" s="3" t="inlineStr">
        <is>
          <t>신정리</t>
        </is>
      </c>
      <c r="H884" s="3" t="inlineStr">
        <is>
          <t>계획관리지역</t>
        </is>
      </c>
      <c r="I884" s="3" t="inlineStr">
        <is>
          <t>임야</t>
        </is>
      </c>
      <c r="J884" s="3" t="inlineStr">
        <is>
          <t>전의면</t>
        </is>
      </c>
    </row>
    <row r="885">
      <c r="A885" s="3" t="n">
        <v>2023</v>
      </c>
      <c r="B885" s="4" t="n">
        <v>13630</v>
      </c>
      <c r="C885" s="4" t="n">
        <v>500</v>
      </c>
      <c r="D885" s="4" t="n">
        <v>151.25</v>
      </c>
      <c r="E885" s="5" t="n">
        <v>90.09999999999999</v>
      </c>
      <c r="F885" s="3" t="inlineStr">
        <is>
          <t>전의면</t>
        </is>
      </c>
      <c r="G885" s="3" t="inlineStr">
        <is>
          <t>서정리</t>
        </is>
      </c>
      <c r="H885" s="3" t="inlineStr">
        <is>
          <t>계획관리지역</t>
        </is>
      </c>
      <c r="I885" s="3" t="inlineStr">
        <is>
          <t>대</t>
        </is>
      </c>
      <c r="J885" s="3" t="inlineStr">
        <is>
          <t>전의면</t>
        </is>
      </c>
    </row>
    <row r="886">
      <c r="A886" s="3" t="n">
        <v>2023</v>
      </c>
      <c r="B886" s="4" t="n">
        <v>35040</v>
      </c>
      <c r="C886" s="4" t="n">
        <v>3620</v>
      </c>
      <c r="D886" s="4" t="n">
        <v>1095.05</v>
      </c>
      <c r="E886" s="5" t="n">
        <v>32</v>
      </c>
      <c r="F886" s="3" t="inlineStr">
        <is>
          <t>금남면</t>
        </is>
      </c>
      <c r="G886" s="3" t="inlineStr">
        <is>
          <t>성강리</t>
        </is>
      </c>
      <c r="H886" s="3" t="inlineStr">
        <is>
          <t>보전관리지역</t>
        </is>
      </c>
      <c r="I886" s="3" t="inlineStr">
        <is>
          <t>전</t>
        </is>
      </c>
      <c r="J886" s="3" t="inlineStr">
        <is>
          <t>금남면</t>
        </is>
      </c>
    </row>
    <row r="887">
      <c r="A887" s="3" t="n">
        <v>2023</v>
      </c>
      <c r="B887" s="4" t="n">
        <v>12000</v>
      </c>
      <c r="C887" s="4" t="n">
        <v>1240</v>
      </c>
      <c r="D887" s="4" t="n">
        <v>375.1</v>
      </c>
      <c r="E887" s="5" t="n">
        <v>32</v>
      </c>
      <c r="F887" s="3" t="inlineStr">
        <is>
          <t>금남면</t>
        </is>
      </c>
      <c r="G887" s="3" t="inlineStr">
        <is>
          <t>성강리</t>
        </is>
      </c>
      <c r="H887" s="3" t="inlineStr">
        <is>
          <t>보전관리지역</t>
        </is>
      </c>
      <c r="I887" s="3" t="inlineStr">
        <is>
          <t>전</t>
        </is>
      </c>
      <c r="J887" s="3" t="inlineStr">
        <is>
          <t>금남면</t>
        </is>
      </c>
    </row>
    <row r="888">
      <c r="A888" s="3" t="n">
        <v>2023</v>
      </c>
      <c r="B888" s="4" t="n">
        <v>1800</v>
      </c>
      <c r="C888" s="4" t="n">
        <v>19</v>
      </c>
      <c r="D888" s="4" t="n">
        <v>5.7475</v>
      </c>
      <c r="E888" s="5" t="n">
        <v>313.2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장군면</t>
        </is>
      </c>
    </row>
    <row r="889">
      <c r="A889" s="3" t="n">
        <v>2023</v>
      </c>
      <c r="B889" s="4" t="n">
        <v>58000</v>
      </c>
      <c r="C889" s="4" t="n">
        <v>338</v>
      </c>
      <c r="D889" s="4" t="n">
        <v>102.245</v>
      </c>
      <c r="E889" s="5" t="n">
        <v>567.3</v>
      </c>
      <c r="F889" s="3" t="inlineStr">
        <is>
          <t>고운동</t>
        </is>
      </c>
      <c r="G889" s="3" t="inlineStr"/>
      <c r="H889" s="3" t="inlineStr">
        <is>
          <t>제1종전용주거지역</t>
        </is>
      </c>
      <c r="I889" s="3" t="inlineStr">
        <is>
          <t>대</t>
        </is>
      </c>
      <c r="J889" s="3" t="inlineStr">
        <is>
          <t>고운동</t>
        </is>
      </c>
    </row>
    <row r="890">
      <c r="A890" s="3" t="n">
        <v>2023</v>
      </c>
      <c r="B890" s="4" t="n">
        <v>21288</v>
      </c>
      <c r="C890" s="4" t="n">
        <v>539</v>
      </c>
      <c r="D890" s="4" t="n">
        <v>163.0475</v>
      </c>
      <c r="E890" s="5" t="n">
        <v>130.6</v>
      </c>
      <c r="F890" s="3" t="inlineStr">
        <is>
          <t>전동면</t>
        </is>
      </c>
      <c r="G890" s="3" t="inlineStr">
        <is>
          <t>보덕리</t>
        </is>
      </c>
      <c r="H890" s="3" t="inlineStr">
        <is>
          <t>보전관리지역</t>
        </is>
      </c>
      <c r="I890" s="3" t="inlineStr">
        <is>
          <t>전</t>
        </is>
      </c>
      <c r="J890" s="3" t="inlineStr">
        <is>
          <t>전동면</t>
        </is>
      </c>
    </row>
    <row r="891">
      <c r="A891" s="3" t="n">
        <v>2023</v>
      </c>
      <c r="B891" s="4" t="n">
        <v>21571</v>
      </c>
      <c r="C891" s="4" t="n">
        <v>592</v>
      </c>
      <c r="D891" s="4" t="n">
        <v>179.08</v>
      </c>
      <c r="E891" s="5" t="n">
        <v>120.5</v>
      </c>
      <c r="F891" s="3" t="inlineStr">
        <is>
          <t>전동면</t>
        </is>
      </c>
      <c r="G891" s="3" t="inlineStr">
        <is>
          <t>보덕리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전동면</t>
        </is>
      </c>
    </row>
    <row r="892">
      <c r="A892" s="3" t="n">
        <v>2023</v>
      </c>
      <c r="B892" s="4" t="n">
        <v>46100</v>
      </c>
      <c r="C892" s="4" t="n">
        <v>503</v>
      </c>
      <c r="D892" s="4" t="n">
        <v>152.1575</v>
      </c>
      <c r="E892" s="5" t="n">
        <v>303</v>
      </c>
      <c r="F892" s="3" t="inlineStr">
        <is>
          <t>연서면</t>
        </is>
      </c>
      <c r="G892" s="3" t="inlineStr">
        <is>
          <t>기룡리</t>
        </is>
      </c>
      <c r="H892" s="3" t="inlineStr">
        <is>
          <t>계획관리지역</t>
        </is>
      </c>
      <c r="I892" s="3" t="inlineStr">
        <is>
          <t>양어장</t>
        </is>
      </c>
      <c r="J892" s="3" t="inlineStr">
        <is>
          <t>연서면</t>
        </is>
      </c>
    </row>
    <row r="893">
      <c r="A893" s="3" t="n">
        <v>2023</v>
      </c>
      <c r="B893" s="4" t="n">
        <v>39400</v>
      </c>
      <c r="C893" s="4" t="n">
        <v>430</v>
      </c>
      <c r="D893" s="4" t="n">
        <v>130.075</v>
      </c>
      <c r="E893" s="5" t="n">
        <v>302.9</v>
      </c>
      <c r="F893" s="3" t="inlineStr">
        <is>
          <t>연서면</t>
        </is>
      </c>
      <c r="G893" s="3" t="inlineStr">
        <is>
          <t>기룡리</t>
        </is>
      </c>
      <c r="H893" s="3" t="inlineStr">
        <is>
          <t>계획관리지역</t>
        </is>
      </c>
      <c r="I893" s="3" t="inlineStr">
        <is>
          <t>양어장</t>
        </is>
      </c>
      <c r="J893" s="3" t="inlineStr">
        <is>
          <t>연서면</t>
        </is>
      </c>
    </row>
    <row r="894">
      <c r="A894" s="3" t="n">
        <v>2023</v>
      </c>
      <c r="B894" s="4" t="n">
        <v>21565</v>
      </c>
      <c r="C894" s="4" t="n">
        <v>590</v>
      </c>
      <c r="D894" s="4" t="n">
        <v>178.475</v>
      </c>
      <c r="E894" s="5" t="n">
        <v>120.8</v>
      </c>
      <c r="F894" s="3" t="inlineStr">
        <is>
          <t>전동면</t>
        </is>
      </c>
      <c r="G894" s="3" t="inlineStr">
        <is>
          <t>보덕리</t>
        </is>
      </c>
      <c r="H894" s="3" t="inlineStr">
        <is>
          <t>보전관리지역</t>
        </is>
      </c>
      <c r="I894" s="3" t="inlineStr">
        <is>
          <t>전</t>
        </is>
      </c>
      <c r="J894" s="3" t="inlineStr">
        <is>
          <t>전동면</t>
        </is>
      </c>
    </row>
    <row r="895">
      <c r="A895" s="3" t="n">
        <v>2022</v>
      </c>
      <c r="B895" s="4" t="n">
        <v>1620</v>
      </c>
      <c r="C895" s="4" t="n">
        <v>83</v>
      </c>
      <c r="D895" s="4" t="n">
        <v>25.1075</v>
      </c>
      <c r="E895" s="5" t="n">
        <v>64.5</v>
      </c>
      <c r="F895" s="3" t="inlineStr">
        <is>
          <t>부강면</t>
        </is>
      </c>
      <c r="G895" s="3" t="inlineStr">
        <is>
          <t>문곡리</t>
        </is>
      </c>
      <c r="H895" s="3" t="inlineStr">
        <is>
          <t>계획관리지역</t>
        </is>
      </c>
      <c r="I895" s="3" t="inlineStr">
        <is>
          <t>답</t>
        </is>
      </c>
      <c r="J895" s="3" t="inlineStr">
        <is>
          <t>부강면</t>
        </is>
      </c>
    </row>
    <row r="896">
      <c r="A896" s="3" t="n">
        <v>2022</v>
      </c>
      <c r="B896" s="4" t="n">
        <v>380</v>
      </c>
      <c r="C896" s="4" t="n">
        <v>20</v>
      </c>
      <c r="D896" s="4" t="n">
        <v>6.05</v>
      </c>
      <c r="E896" s="5" t="n">
        <v>62.8</v>
      </c>
      <c r="F896" s="3" t="inlineStr">
        <is>
          <t>부강면</t>
        </is>
      </c>
      <c r="G896" s="3" t="inlineStr">
        <is>
          <t>문곡리</t>
        </is>
      </c>
      <c r="H896" s="3" t="inlineStr">
        <is>
          <t>계획관리지역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10000</v>
      </c>
      <c r="C897" s="4" t="n">
        <v>36</v>
      </c>
      <c r="D897" s="4" t="n">
        <v>10.89</v>
      </c>
      <c r="E897" s="5" t="n">
        <v>918.3</v>
      </c>
      <c r="F897" s="3" t="inlineStr">
        <is>
          <t>연서면</t>
        </is>
      </c>
      <c r="G897" s="3" t="inlineStr">
        <is>
          <t>월하리</t>
        </is>
      </c>
      <c r="H897" s="3" t="inlineStr">
        <is>
          <t>보전관리지역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2022</v>
      </c>
      <c r="B898" s="4" t="n">
        <v>8320</v>
      </c>
      <c r="C898" s="4" t="n">
        <v>14</v>
      </c>
      <c r="D898" s="4" t="n">
        <v>4.234999999999999</v>
      </c>
      <c r="E898" s="5" t="n">
        <v>1964.6</v>
      </c>
      <c r="F898" s="3" t="inlineStr">
        <is>
          <t>연서면</t>
        </is>
      </c>
      <c r="G898" s="3" t="inlineStr">
        <is>
          <t>월하리</t>
        </is>
      </c>
      <c r="H898" s="3" t="inlineStr">
        <is>
          <t>보전관리지역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2022</v>
      </c>
      <c r="B899" s="4" t="n">
        <v>85312</v>
      </c>
      <c r="C899" s="4" t="n">
        <v>854</v>
      </c>
      <c r="D899" s="4" t="n">
        <v>258.335</v>
      </c>
      <c r="E899" s="5" t="n">
        <v>330.2</v>
      </c>
      <c r="F899" s="3" t="inlineStr">
        <is>
          <t>연서면</t>
        </is>
      </c>
      <c r="G899" s="3" t="inlineStr">
        <is>
          <t>월하리</t>
        </is>
      </c>
      <c r="H899" s="3" t="inlineStr">
        <is>
          <t>보전관리지역</t>
        </is>
      </c>
      <c r="I899" s="3" t="inlineStr">
        <is>
          <t>과수원</t>
        </is>
      </c>
      <c r="J899" s="3" t="inlineStr">
        <is>
          <t>연서면</t>
        </is>
      </c>
    </row>
    <row r="900">
      <c r="A900" s="3" t="n">
        <v>2022</v>
      </c>
      <c r="B900" s="4" t="n">
        <v>190818</v>
      </c>
      <c r="C900" s="4" t="n">
        <v>4294</v>
      </c>
      <c r="D900" s="4" t="n">
        <v>1298.935</v>
      </c>
      <c r="E900" s="5" t="n">
        <v>146.9</v>
      </c>
      <c r="F900" s="3" t="inlineStr">
        <is>
          <t>연서면</t>
        </is>
      </c>
      <c r="G900" s="3" t="inlineStr">
        <is>
          <t>월하리</t>
        </is>
      </c>
      <c r="H900" s="3" t="inlineStr">
        <is>
          <t>보전녹지지역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2022</v>
      </c>
      <c r="B901" s="4" t="n">
        <v>60000</v>
      </c>
      <c r="C901" s="4" t="n">
        <v>350</v>
      </c>
      <c r="D901" s="4" t="n">
        <v>105.875</v>
      </c>
      <c r="E901" s="5" t="n">
        <v>566.7</v>
      </c>
      <c r="F901" s="3" t="inlineStr">
        <is>
          <t>연서면</t>
        </is>
      </c>
      <c r="G901" s="3" t="inlineStr">
        <is>
          <t>월하리</t>
        </is>
      </c>
      <c r="H901" s="3" t="inlineStr">
        <is>
          <t>보전관리지역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16000</v>
      </c>
      <c r="C902" s="4" t="n">
        <v>205</v>
      </c>
      <c r="D902" s="4" t="n">
        <v>62.0125</v>
      </c>
      <c r="E902" s="5" t="n">
        <v>258</v>
      </c>
      <c r="F902" s="3" t="inlineStr">
        <is>
          <t>연서면</t>
        </is>
      </c>
      <c r="G902" s="3" t="inlineStr">
        <is>
          <t>월하리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연서면</t>
        </is>
      </c>
    </row>
    <row r="903">
      <c r="A903" s="3" t="n">
        <v>2022</v>
      </c>
      <c r="B903" s="4" t="n">
        <v>148895</v>
      </c>
      <c r="C903" s="4" t="n">
        <v>3003</v>
      </c>
      <c r="D903" s="4" t="n">
        <v>908.4075</v>
      </c>
      <c r="E903" s="5" t="n">
        <v>163.9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보전녹지지역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310</v>
      </c>
      <c r="C904" s="4" t="n">
        <v>16</v>
      </c>
      <c r="D904" s="4" t="n">
        <v>4.84</v>
      </c>
      <c r="E904" s="5" t="n">
        <v>64</v>
      </c>
      <c r="F904" s="3" t="inlineStr">
        <is>
          <t>부강면</t>
        </is>
      </c>
      <c r="G904" s="3" t="inlineStr">
        <is>
          <t>문곡리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30800</v>
      </c>
      <c r="C905" s="4" t="n">
        <v>291</v>
      </c>
      <c r="D905" s="4" t="n">
        <v>88.0275</v>
      </c>
      <c r="E905" s="5" t="n">
        <v>349.9</v>
      </c>
      <c r="F905" s="3" t="inlineStr">
        <is>
          <t>장군면</t>
        </is>
      </c>
      <c r="G905" s="3" t="inlineStr">
        <is>
          <t>금암리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장군면</t>
        </is>
      </c>
    </row>
    <row r="906">
      <c r="A906" s="3" t="n">
        <v>2022</v>
      </c>
      <c r="B906" s="4" t="n">
        <v>49000</v>
      </c>
      <c r="C906" s="4" t="n">
        <v>2699.3</v>
      </c>
      <c r="D906" s="4" t="n">
        <v>816.5382500000001</v>
      </c>
      <c r="E906" s="5" t="n">
        <v>60</v>
      </c>
      <c r="F906" s="3" t="inlineStr">
        <is>
          <t>부강면</t>
        </is>
      </c>
      <c r="G906" s="3" t="inlineStr">
        <is>
          <t>산수리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22280</v>
      </c>
      <c r="C907" s="4" t="n">
        <v>1227.5</v>
      </c>
      <c r="D907" s="4" t="n">
        <v>371.31875</v>
      </c>
      <c r="E907" s="5" t="n">
        <v>60</v>
      </c>
      <c r="F907" s="3" t="inlineStr">
        <is>
          <t>부강면</t>
        </is>
      </c>
      <c r="G907" s="3" t="inlineStr">
        <is>
          <t>산수리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1200</v>
      </c>
      <c r="C908" s="4" t="n">
        <v>132</v>
      </c>
      <c r="D908" s="4" t="n">
        <v>39.93</v>
      </c>
      <c r="E908" s="5" t="n">
        <v>30.1</v>
      </c>
      <c r="F908" s="3" t="inlineStr">
        <is>
          <t>금남면</t>
        </is>
      </c>
      <c r="G908" s="3" t="inlineStr">
        <is>
          <t>성강리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금남면</t>
        </is>
      </c>
    </row>
    <row r="909">
      <c r="A909" s="3" t="n">
        <v>2022</v>
      </c>
      <c r="B909" s="4" t="n">
        <v>300</v>
      </c>
      <c r="C909" s="4" t="n">
        <v>21</v>
      </c>
      <c r="D909" s="4" t="n">
        <v>6.3525</v>
      </c>
      <c r="E909" s="5" t="n">
        <v>47.2</v>
      </c>
      <c r="F909" s="3" t="inlineStr">
        <is>
          <t>금남면</t>
        </is>
      </c>
      <c r="G909" s="3" t="inlineStr">
        <is>
          <t>성강리</t>
        </is>
      </c>
      <c r="H909" s="3" t="inlineStr">
        <is>
          <t>농림지역</t>
        </is>
      </c>
      <c r="I909" s="3" t="inlineStr">
        <is>
          <t>구거</t>
        </is>
      </c>
      <c r="J909" s="3" t="inlineStr">
        <is>
          <t>금남면</t>
        </is>
      </c>
    </row>
    <row r="910">
      <c r="A910" s="3" t="n">
        <v>2022</v>
      </c>
      <c r="B910" s="4" t="n">
        <v>247</v>
      </c>
      <c r="C910" s="4" t="n">
        <v>20</v>
      </c>
      <c r="D910" s="4" t="n">
        <v>6.05</v>
      </c>
      <c r="E910" s="5" t="n">
        <v>40.8</v>
      </c>
      <c r="F910" s="3" t="inlineStr">
        <is>
          <t>금남면</t>
        </is>
      </c>
      <c r="G910" s="3" t="inlineStr">
        <is>
          <t>성강리</t>
        </is>
      </c>
      <c r="H910" s="3" t="inlineStr">
        <is>
          <t>농림지역</t>
        </is>
      </c>
      <c r="I910" s="3" t="inlineStr">
        <is>
          <t>구거</t>
        </is>
      </c>
      <c r="J910" s="3" t="inlineStr">
        <is>
          <t>금남면</t>
        </is>
      </c>
    </row>
    <row r="911">
      <c r="A911" s="3" t="n">
        <v>2022</v>
      </c>
      <c r="B911" s="4" t="n">
        <v>1176</v>
      </c>
      <c r="C911" s="4" t="n">
        <v>95</v>
      </c>
      <c r="D911" s="4" t="n">
        <v>28.7375</v>
      </c>
      <c r="E911" s="5" t="n">
        <v>40.9</v>
      </c>
      <c r="F911" s="3" t="inlineStr">
        <is>
          <t>금남면</t>
        </is>
      </c>
      <c r="G911" s="3" t="inlineStr">
        <is>
          <t>성강리</t>
        </is>
      </c>
      <c r="H911" s="3" t="inlineStr">
        <is>
          <t>농림지역</t>
        </is>
      </c>
      <c r="I911" s="3" t="inlineStr">
        <is>
          <t>구거</t>
        </is>
      </c>
      <c r="J911" s="3" t="inlineStr">
        <is>
          <t>금남면</t>
        </is>
      </c>
    </row>
    <row r="912">
      <c r="A912" s="3" t="n">
        <v>2022</v>
      </c>
      <c r="B912" s="4" t="n">
        <v>16960</v>
      </c>
      <c r="C912" s="4" t="n">
        <v>910</v>
      </c>
      <c r="D912" s="4" t="n">
        <v>275.275</v>
      </c>
      <c r="E912" s="5" t="n">
        <v>61.6</v>
      </c>
      <c r="F912" s="3" t="inlineStr">
        <is>
          <t>금남면</t>
        </is>
      </c>
      <c r="G912" s="3" t="inlineStr">
        <is>
          <t>봉암리</t>
        </is>
      </c>
      <c r="H912" s="3" t="inlineStr">
        <is>
          <t>개발제한구역</t>
        </is>
      </c>
      <c r="I912" s="3" t="inlineStr">
        <is>
          <t>답</t>
        </is>
      </c>
      <c r="J912" s="3" t="inlineStr">
        <is>
          <t>금남면</t>
        </is>
      </c>
    </row>
    <row r="913">
      <c r="A913" s="3" t="n">
        <v>2022</v>
      </c>
      <c r="B913" s="4" t="n">
        <v>35632</v>
      </c>
      <c r="C913" s="4" t="n">
        <v>2321</v>
      </c>
      <c r="D913" s="4" t="n">
        <v>702.1025</v>
      </c>
      <c r="E913" s="5" t="n">
        <v>50.8</v>
      </c>
      <c r="F913" s="3" t="inlineStr">
        <is>
          <t>금남면</t>
        </is>
      </c>
      <c r="G913" s="3" t="inlineStr">
        <is>
          <t>봉암리</t>
        </is>
      </c>
      <c r="H913" s="3" t="inlineStr">
        <is>
          <t>개발제한구역</t>
        </is>
      </c>
      <c r="I913" s="3" t="inlineStr">
        <is>
          <t>전</t>
        </is>
      </c>
      <c r="J913" s="3" t="inlineStr">
        <is>
          <t>금남면</t>
        </is>
      </c>
    </row>
    <row r="914">
      <c r="A914" s="3" t="n">
        <v>2022</v>
      </c>
      <c r="B914" s="4" t="n">
        <v>46968</v>
      </c>
      <c r="C914" s="4" t="n">
        <v>1619</v>
      </c>
      <c r="D914" s="4" t="n">
        <v>489.7475</v>
      </c>
      <c r="E914" s="5" t="n">
        <v>95.90000000000001</v>
      </c>
      <c r="F914" s="3" t="inlineStr">
        <is>
          <t>금남면</t>
        </is>
      </c>
      <c r="G914" s="3" t="inlineStr">
        <is>
          <t>봉암리</t>
        </is>
      </c>
      <c r="H914" s="3" t="inlineStr">
        <is>
          <t>개발제한구역</t>
        </is>
      </c>
      <c r="I914" s="3" t="inlineStr">
        <is>
          <t>답</t>
        </is>
      </c>
      <c r="J914" s="3" t="inlineStr">
        <is>
          <t>금남면</t>
        </is>
      </c>
    </row>
    <row r="915">
      <c r="A915" s="3" t="n">
        <v>2022</v>
      </c>
      <c r="B915" s="4" t="n">
        <v>419</v>
      </c>
      <c r="C915" s="4" t="n">
        <v>33</v>
      </c>
      <c r="D915" s="4" t="n">
        <v>9.9825</v>
      </c>
      <c r="E915" s="5" t="n">
        <v>42</v>
      </c>
      <c r="F915" s="3" t="inlineStr">
        <is>
          <t>금남면</t>
        </is>
      </c>
      <c r="G915" s="3" t="inlineStr">
        <is>
          <t>봉암리</t>
        </is>
      </c>
      <c r="H915" s="3" t="inlineStr">
        <is>
          <t>개발제한구역</t>
        </is>
      </c>
      <c r="I915" s="3" t="inlineStr">
        <is>
          <t>도로</t>
        </is>
      </c>
      <c r="J915" s="3" t="inlineStr">
        <is>
          <t>금남면</t>
        </is>
      </c>
    </row>
    <row r="916">
      <c r="A916" s="3" t="n">
        <v>2022</v>
      </c>
      <c r="B916" s="4" t="n">
        <v>4821</v>
      </c>
      <c r="C916" s="4" t="n">
        <v>314</v>
      </c>
      <c r="D916" s="4" t="n">
        <v>94.985</v>
      </c>
      <c r="E916" s="5" t="n">
        <v>50.8</v>
      </c>
      <c r="F916" s="3" t="inlineStr">
        <is>
          <t>금남면</t>
        </is>
      </c>
      <c r="G916" s="3" t="inlineStr">
        <is>
          <t>봉암리</t>
        </is>
      </c>
      <c r="H916" s="3" t="inlineStr">
        <is>
          <t>개발제한구역</t>
        </is>
      </c>
      <c r="I916" s="3" t="inlineStr">
        <is>
          <t>전</t>
        </is>
      </c>
      <c r="J916" s="3" t="inlineStr">
        <is>
          <t>금남면</t>
        </is>
      </c>
    </row>
    <row r="917">
      <c r="A917" s="3" t="n">
        <v>2022</v>
      </c>
      <c r="B917" s="4" t="n">
        <v>535</v>
      </c>
      <c r="C917" s="4" t="n">
        <v>11</v>
      </c>
      <c r="D917" s="4" t="n">
        <v>3.3275</v>
      </c>
      <c r="E917" s="5" t="n">
        <v>160.8</v>
      </c>
      <c r="F917" s="3" t="inlineStr">
        <is>
          <t>부강면</t>
        </is>
      </c>
      <c r="G917" s="3" t="inlineStr">
        <is>
          <t>금호리</t>
        </is>
      </c>
      <c r="H917" s="3" t="inlineStr">
        <is>
          <t>계획관리지역</t>
        </is>
      </c>
      <c r="I917" s="3" t="inlineStr">
        <is>
          <t>대</t>
        </is>
      </c>
      <c r="J917" s="3" t="inlineStr">
        <is>
          <t>부강면</t>
        </is>
      </c>
    </row>
    <row r="918">
      <c r="A918" s="3" t="n">
        <v>2022</v>
      </c>
      <c r="B918" s="4" t="n">
        <v>535</v>
      </c>
      <c r="C918" s="4" t="n">
        <v>10</v>
      </c>
      <c r="D918" s="4" t="n">
        <v>3.025</v>
      </c>
      <c r="E918" s="5" t="n">
        <v>176.9</v>
      </c>
      <c r="F918" s="3" t="inlineStr">
        <is>
          <t>부강면</t>
        </is>
      </c>
      <c r="G918" s="3" t="inlineStr">
        <is>
          <t>금호리</t>
        </is>
      </c>
      <c r="H918" s="3" t="inlineStr">
        <is>
          <t>계획관리지역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2633</v>
      </c>
      <c r="D919" s="4" t="n">
        <v>796.4825</v>
      </c>
      <c r="E919" s="5" t="n">
        <v>113</v>
      </c>
      <c r="F919" s="3" t="inlineStr">
        <is>
          <t>장군면</t>
        </is>
      </c>
      <c r="G919" s="3" t="inlineStr">
        <is>
          <t>송학리</t>
        </is>
      </c>
      <c r="H919" s="3" t="inlineStr">
        <is>
          <t>계획관리지역</t>
        </is>
      </c>
      <c r="I919" s="3" t="inlineStr">
        <is>
          <t>답</t>
        </is>
      </c>
      <c r="J919" s="3" t="inlineStr">
        <is>
          <t>장군면</t>
        </is>
      </c>
    </row>
    <row r="920">
      <c r="A920" s="3" t="n">
        <v>2022</v>
      </c>
      <c r="B920" s="4" t="n">
        <v>40000</v>
      </c>
      <c r="C920" s="4" t="n">
        <v>1525</v>
      </c>
      <c r="D920" s="4" t="n">
        <v>461.3125</v>
      </c>
      <c r="E920" s="5" t="n">
        <v>86.7</v>
      </c>
      <c r="F920" s="3" t="inlineStr">
        <is>
          <t>장군면</t>
        </is>
      </c>
      <c r="G920" s="3" t="inlineStr">
        <is>
          <t>송학리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장군면</t>
        </is>
      </c>
    </row>
    <row r="921">
      <c r="A921" s="3" t="n">
        <v>2022</v>
      </c>
      <c r="B921" s="4" t="n">
        <v>40000</v>
      </c>
      <c r="C921" s="4" t="n">
        <v>1464</v>
      </c>
      <c r="D921" s="4" t="n">
        <v>442.86</v>
      </c>
      <c r="E921" s="5" t="n">
        <v>90.3</v>
      </c>
      <c r="F921" s="3" t="inlineStr">
        <is>
          <t>장군면</t>
        </is>
      </c>
      <c r="G921" s="3" t="inlineStr">
        <is>
          <t>송학리</t>
        </is>
      </c>
      <c r="H921" s="3" t="inlineStr">
        <is>
          <t>계획관리지역</t>
        </is>
      </c>
      <c r="I921" s="3" t="inlineStr">
        <is>
          <t>답</t>
        </is>
      </c>
      <c r="J921" s="3" t="inlineStr">
        <is>
          <t>장군면</t>
        </is>
      </c>
    </row>
    <row r="922">
      <c r="A922" s="3" t="n">
        <v>2022</v>
      </c>
      <c r="B922" s="4" t="n">
        <v>62860</v>
      </c>
      <c r="C922" s="4" t="n">
        <v>1039</v>
      </c>
      <c r="D922" s="4" t="n">
        <v>314.2975</v>
      </c>
      <c r="E922" s="5" t="n">
        <v>200</v>
      </c>
      <c r="F922" s="3" t="inlineStr">
        <is>
          <t>장군면</t>
        </is>
      </c>
      <c r="G922" s="3" t="inlineStr">
        <is>
          <t>하봉리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장군면</t>
        </is>
      </c>
    </row>
    <row r="923">
      <c r="A923" s="3" t="n">
        <v>2022</v>
      </c>
      <c r="B923" s="4" t="n">
        <v>2000</v>
      </c>
      <c r="C923" s="4" t="n">
        <v>634</v>
      </c>
      <c r="D923" s="4" t="n">
        <v>191.785</v>
      </c>
      <c r="E923" s="5" t="n">
        <v>10.4</v>
      </c>
      <c r="F923" s="3" t="inlineStr">
        <is>
          <t>조치원읍</t>
        </is>
      </c>
      <c r="G923" s="3" t="inlineStr">
        <is>
          <t>봉산리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조치원읍</t>
        </is>
      </c>
    </row>
    <row r="924">
      <c r="A924" s="3" t="n">
        <v>2022</v>
      </c>
      <c r="B924" s="4" t="n">
        <v>20400</v>
      </c>
      <c r="C924" s="4" t="n">
        <v>1242</v>
      </c>
      <c r="D924" s="4" t="n">
        <v>375.705</v>
      </c>
      <c r="E924" s="5" t="n">
        <v>54.3</v>
      </c>
      <c r="F924" s="3" t="inlineStr">
        <is>
          <t>소정면</t>
        </is>
      </c>
      <c r="G924" s="3" t="inlineStr">
        <is>
          <t>소정리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소정면</t>
        </is>
      </c>
    </row>
    <row r="925">
      <c r="A925" s="3" t="n">
        <v>2022</v>
      </c>
      <c r="B925" s="4" t="n">
        <v>271000</v>
      </c>
      <c r="C925" s="4" t="n">
        <v>8987</v>
      </c>
      <c r="D925" s="4" t="n">
        <v>2718.5675</v>
      </c>
      <c r="E925" s="5" t="n">
        <v>99.7</v>
      </c>
      <c r="F925" s="3" t="inlineStr">
        <is>
          <t>전의면</t>
        </is>
      </c>
      <c r="G925" s="3" t="inlineStr">
        <is>
          <t>양곡리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전의면</t>
        </is>
      </c>
    </row>
    <row r="926">
      <c r="A926" s="3" t="n">
        <v>2024</v>
      </c>
      <c r="B926" s="4" t="n">
        <v>30046</v>
      </c>
      <c r="C926" s="4" t="n">
        <v>2353.4</v>
      </c>
      <c r="D926" s="4" t="n">
        <v>711.9035</v>
      </c>
      <c r="E926" s="5" t="n">
        <v>42.2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2026</v>
      </c>
      <c r="B927" s="4" t="n">
        <v>65000</v>
      </c>
      <c r="C927" s="4" t="n">
        <v>1653</v>
      </c>
      <c r="D927" s="4" t="n">
        <v>500.0325</v>
      </c>
      <c r="E927" s="5" t="n">
        <v>130</v>
      </c>
      <c r="F927" s="3" t="inlineStr">
        <is>
          <t>오송읍</t>
        </is>
      </c>
      <c r="G927" s="3" t="inlineStr">
        <is>
          <t>서평리</t>
        </is>
      </c>
      <c r="H927" s="3" t="inlineStr">
        <is>
          <t>생산관리지역</t>
        </is>
      </c>
      <c r="I927" s="3" t="inlineStr">
        <is>
          <t>과수원</t>
        </is>
      </c>
      <c r="J927" s="3" t="inlineStr">
        <is>
          <t>오송읍</t>
        </is>
      </c>
    </row>
    <row r="928">
      <c r="A928" s="3" t="n">
        <v>2023</v>
      </c>
      <c r="B928" s="4" t="n">
        <v>74000</v>
      </c>
      <c r="C928" s="4" t="n">
        <v>816</v>
      </c>
      <c r="D928" s="4" t="n">
        <v>246.84</v>
      </c>
      <c r="E928" s="5" t="n">
        <v>299.8</v>
      </c>
      <c r="F928" s="3" t="inlineStr">
        <is>
          <t>오송읍</t>
        </is>
      </c>
      <c r="G928" s="3" t="inlineStr">
        <is>
          <t>오송리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오송읍</t>
        </is>
      </c>
    </row>
    <row r="929">
      <c r="A929" s="3" t="n">
        <v>2023</v>
      </c>
      <c r="B929" s="4" t="n">
        <v>39500</v>
      </c>
      <c r="C929" s="4" t="n">
        <v>2076</v>
      </c>
      <c r="D929" s="4" t="n">
        <v>627.99</v>
      </c>
      <c r="E929" s="5" t="n">
        <v>62.9</v>
      </c>
      <c r="F929" s="3" t="inlineStr">
        <is>
          <t>오송읍</t>
        </is>
      </c>
      <c r="G929" s="3" t="inlineStr">
        <is>
          <t>쌍청리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오송읍</t>
        </is>
      </c>
    </row>
    <row r="930">
      <c r="A930" s="3" t="n">
        <v>2023</v>
      </c>
      <c r="B930" s="4" t="n">
        <v>16107</v>
      </c>
      <c r="C930" s="4" t="n">
        <v>409</v>
      </c>
      <c r="D930" s="4" t="n">
        <v>123.7225</v>
      </c>
      <c r="E930" s="5" t="n">
        <v>130.2</v>
      </c>
      <c r="F930" s="3" t="inlineStr">
        <is>
          <t>오송읍</t>
        </is>
      </c>
      <c r="G930" s="3" t="inlineStr">
        <is>
          <t>공북리</t>
        </is>
      </c>
      <c r="H930" s="3" t="inlineStr">
        <is>
          <t>계획관리지역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490</v>
      </c>
      <c r="C931" s="4" t="n">
        <v>18</v>
      </c>
      <c r="D931" s="4" t="n">
        <v>5.445</v>
      </c>
      <c r="E931" s="5" t="n">
        <v>90</v>
      </c>
      <c r="F931" s="3" t="inlineStr">
        <is>
          <t>강내면</t>
        </is>
      </c>
      <c r="G931" s="3" t="inlineStr">
        <is>
          <t>궁현리</t>
        </is>
      </c>
      <c r="H931" s="3" t="inlineStr">
        <is>
          <t>계획관리지역</t>
        </is>
      </c>
      <c r="I931" s="3" t="inlineStr">
        <is>
          <t>임야</t>
        </is>
      </c>
      <c r="J931" s="3" t="inlineStr">
        <is>
          <t>강내면</t>
        </is>
      </c>
    </row>
    <row r="932">
      <c r="A932" s="3" t="n">
        <v>2023</v>
      </c>
      <c r="B932" s="4" t="n">
        <v>39500</v>
      </c>
      <c r="C932" s="4" t="n">
        <v>2076</v>
      </c>
      <c r="D932" s="4" t="n">
        <v>627.99</v>
      </c>
      <c r="E932" s="5" t="n">
        <v>62.9</v>
      </c>
      <c r="F932" s="3" t="inlineStr">
        <is>
          <t>오송읍</t>
        </is>
      </c>
      <c r="G932" s="3" t="inlineStr">
        <is>
          <t>쌍청리</t>
        </is>
      </c>
      <c r="H932" s="3" t="inlineStr">
        <is>
          <t>농림지역</t>
        </is>
      </c>
      <c r="I932" s="3" t="inlineStr">
        <is>
          <t>답</t>
        </is>
      </c>
      <c r="J932" s="3" t="inlineStr">
        <is>
          <t>오송읍</t>
        </is>
      </c>
    </row>
    <row r="933">
      <c r="A933" s="3" t="n">
        <v>2023</v>
      </c>
      <c r="B933" s="4" t="n">
        <v>9500</v>
      </c>
      <c r="C933" s="4" t="n">
        <v>1031</v>
      </c>
      <c r="D933" s="4" t="n">
        <v>311.8775</v>
      </c>
      <c r="E933" s="5" t="n">
        <v>30.5</v>
      </c>
      <c r="F933" s="3" t="inlineStr">
        <is>
          <t>강내면</t>
        </is>
      </c>
      <c r="G933" s="3" t="inlineStr">
        <is>
          <t>사인리</t>
        </is>
      </c>
      <c r="H933" s="3" t="inlineStr">
        <is>
          <t>자연녹지지역</t>
        </is>
      </c>
      <c r="I933" s="3" t="inlineStr">
        <is>
          <t>전</t>
        </is>
      </c>
      <c r="J933" s="3" t="inlineStr">
        <is>
          <t>강내면</t>
        </is>
      </c>
    </row>
    <row r="934">
      <c r="A934" s="3" t="n">
        <v>2023</v>
      </c>
      <c r="B934" s="4" t="n">
        <v>20000</v>
      </c>
      <c r="C934" s="4" t="n">
        <v>243</v>
      </c>
      <c r="D934" s="4" t="n">
        <v>73.50749999999999</v>
      </c>
      <c r="E934" s="5" t="n">
        <v>272.1</v>
      </c>
      <c r="F934" s="3" t="inlineStr">
        <is>
          <t>오송읍</t>
        </is>
      </c>
      <c r="G934" s="3" t="inlineStr">
        <is>
          <t>궁평리</t>
        </is>
      </c>
      <c r="H934" s="3" t="inlineStr">
        <is>
          <t>농림지역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2023</v>
      </c>
      <c r="B935" s="4" t="n">
        <v>29667</v>
      </c>
      <c r="C935" s="4" t="n">
        <v>3382</v>
      </c>
      <c r="D935" s="4" t="n">
        <v>1023.055</v>
      </c>
      <c r="E935" s="5" t="n">
        <v>29</v>
      </c>
      <c r="F935" s="3" t="inlineStr">
        <is>
          <t>강내면</t>
        </is>
      </c>
      <c r="G935" s="3" t="inlineStr">
        <is>
          <t>학천리</t>
        </is>
      </c>
      <c r="H935" s="3" t="inlineStr">
        <is>
          <t>생산녹지지역</t>
        </is>
      </c>
      <c r="I935" s="3" t="inlineStr">
        <is>
          <t>답</t>
        </is>
      </c>
      <c r="J935" s="3" t="inlineStr">
        <is>
          <t>강내면</t>
        </is>
      </c>
    </row>
    <row r="936">
      <c r="A936" s="3" t="n">
        <v>2023</v>
      </c>
      <c r="B936" s="4" t="n">
        <v>8983</v>
      </c>
      <c r="C936" s="4" t="n">
        <v>1481</v>
      </c>
      <c r="D936" s="4" t="n">
        <v>448.0025</v>
      </c>
      <c r="E936" s="5" t="n">
        <v>20.1</v>
      </c>
      <c r="F936" s="3" t="inlineStr">
        <is>
          <t>강내면</t>
        </is>
      </c>
      <c r="G936" s="3" t="inlineStr">
        <is>
          <t>학천리</t>
        </is>
      </c>
      <c r="H936" s="3" t="inlineStr">
        <is>
          <t>자연녹지지역</t>
        </is>
      </c>
      <c r="I936" s="3" t="inlineStr">
        <is>
          <t>전</t>
        </is>
      </c>
      <c r="J936" s="3" t="inlineStr">
        <is>
          <t>강내면</t>
        </is>
      </c>
    </row>
    <row r="937">
      <c r="A937" s="3" t="n">
        <v>2023</v>
      </c>
      <c r="B937" s="4" t="n">
        <v>85988</v>
      </c>
      <c r="C937" s="4" t="n">
        <v>1097</v>
      </c>
      <c r="D937" s="4" t="n">
        <v>331.8425</v>
      </c>
      <c r="E937" s="5" t="n">
        <v>259.1</v>
      </c>
      <c r="F937" s="3" t="inlineStr">
        <is>
          <t>강내면</t>
        </is>
      </c>
      <c r="G937" s="3" t="inlineStr">
        <is>
          <t>월곡리</t>
        </is>
      </c>
      <c r="H937" s="3" t="inlineStr">
        <is>
          <t>제2종일반주거지역</t>
        </is>
      </c>
      <c r="I937" s="3" t="inlineStr">
        <is>
          <t>답</t>
        </is>
      </c>
      <c r="J937" s="3" t="inlineStr">
        <is>
          <t>강내면</t>
        </is>
      </c>
    </row>
    <row r="938">
      <c r="A938" s="3" t="n">
        <v>2023</v>
      </c>
      <c r="B938" s="4" t="n">
        <v>2579</v>
      </c>
      <c r="C938" s="4" t="n">
        <v>33</v>
      </c>
      <c r="D938" s="4" t="n">
        <v>9.9825</v>
      </c>
      <c r="E938" s="5" t="n">
        <v>258.4</v>
      </c>
      <c r="F938" s="3" t="inlineStr">
        <is>
          <t>강내면</t>
        </is>
      </c>
      <c r="G938" s="3" t="inlineStr">
        <is>
          <t>월곡리</t>
        </is>
      </c>
      <c r="H938" s="3" t="inlineStr">
        <is>
          <t>제2종일반주거지역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21756</v>
      </c>
      <c r="C939" s="4" t="n">
        <v>279</v>
      </c>
      <c r="D939" s="4" t="n">
        <v>84.39749999999999</v>
      </c>
      <c r="E939" s="5" t="n">
        <v>257.8</v>
      </c>
      <c r="F939" s="3" t="inlineStr">
        <is>
          <t>강내면</t>
        </is>
      </c>
      <c r="G939" s="3" t="inlineStr">
        <is>
          <t>월곡리</t>
        </is>
      </c>
      <c r="H939" s="3" t="inlineStr">
        <is>
          <t>제2종일반주거지역</t>
        </is>
      </c>
      <c r="I939" s="3" t="inlineStr">
        <is>
          <t>답</t>
        </is>
      </c>
      <c r="J939" s="3" t="inlineStr">
        <is>
          <t>강내면</t>
        </is>
      </c>
    </row>
    <row r="940">
      <c r="A940" s="3" t="n">
        <v>2023</v>
      </c>
      <c r="B940" s="4" t="n">
        <v>26677</v>
      </c>
      <c r="C940" s="4" t="n">
        <v>340</v>
      </c>
      <c r="D940" s="4" t="n">
        <v>102.85</v>
      </c>
      <c r="E940" s="5" t="n">
        <v>259.4</v>
      </c>
      <c r="F940" s="3" t="inlineStr">
        <is>
          <t>강내면</t>
        </is>
      </c>
      <c r="G940" s="3" t="inlineStr">
        <is>
          <t>월곡리</t>
        </is>
      </c>
      <c r="H940" s="3" t="inlineStr">
        <is>
          <t>제2종일반주거지역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2023</v>
      </c>
      <c r="B941" s="4" t="n">
        <v>30000</v>
      </c>
      <c r="C941" s="4" t="n">
        <v>879</v>
      </c>
      <c r="D941" s="4" t="n">
        <v>265.8975</v>
      </c>
      <c r="E941" s="5" t="n">
        <v>112.8</v>
      </c>
      <c r="F941" s="3" t="inlineStr">
        <is>
          <t>강내면</t>
        </is>
      </c>
      <c r="G941" s="3" t="inlineStr">
        <is>
          <t>학천리</t>
        </is>
      </c>
      <c r="H941" s="3" t="inlineStr">
        <is>
          <t>자연녹지지역</t>
        </is>
      </c>
      <c r="I941" s="3" t="inlineStr">
        <is>
          <t>임야</t>
        </is>
      </c>
      <c r="J941" s="3" t="inlineStr">
        <is>
          <t>강내면</t>
        </is>
      </c>
    </row>
    <row r="942">
      <c r="A942" s="3" t="n">
        <v>2023</v>
      </c>
      <c r="B942" s="4" t="n">
        <v>43257</v>
      </c>
      <c r="C942" s="4" t="n">
        <v>3911</v>
      </c>
      <c r="D942" s="4" t="n">
        <v>1183.0775</v>
      </c>
      <c r="E942" s="5" t="n">
        <v>36.6</v>
      </c>
      <c r="F942" s="3" t="inlineStr">
        <is>
          <t>오송읍</t>
        </is>
      </c>
      <c r="G942" s="3" t="inlineStr">
        <is>
          <t>정중리</t>
        </is>
      </c>
      <c r="H942" s="3" t="inlineStr">
        <is>
          <t>보전관리지역</t>
        </is>
      </c>
      <c r="I942" s="3" t="inlineStr">
        <is>
          <t>임야</t>
        </is>
      </c>
      <c r="J942" s="3" t="inlineStr">
        <is>
          <t>오송읍</t>
        </is>
      </c>
    </row>
    <row r="943">
      <c r="A943" s="3" t="n">
        <v>2023</v>
      </c>
      <c r="B943" s="4" t="n">
        <v>343</v>
      </c>
      <c r="C943" s="4" t="n">
        <v>31</v>
      </c>
      <c r="D943" s="4" t="n">
        <v>9.3775</v>
      </c>
      <c r="E943" s="5" t="n">
        <v>36.6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오송읍</t>
        </is>
      </c>
    </row>
    <row r="944">
      <c r="A944" s="3" t="n">
        <v>2023</v>
      </c>
      <c r="B944" s="4" t="n">
        <v>15463</v>
      </c>
      <c r="C944" s="4" t="n">
        <v>522.9</v>
      </c>
      <c r="D944" s="4" t="n">
        <v>158.17725</v>
      </c>
      <c r="E944" s="5" t="n">
        <v>97.8</v>
      </c>
      <c r="F944" s="3" t="inlineStr">
        <is>
          <t>오송읍</t>
        </is>
      </c>
      <c r="G944" s="3" t="inlineStr">
        <is>
          <t>상정리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32190</v>
      </c>
      <c r="C945" s="4" t="n">
        <v>556.7</v>
      </c>
      <c r="D945" s="4" t="n">
        <v>168.40175</v>
      </c>
      <c r="E945" s="5" t="n">
        <v>191.2</v>
      </c>
      <c r="F945" s="3" t="inlineStr">
        <is>
          <t>강내면</t>
        </is>
      </c>
      <c r="G945" s="3" t="inlineStr">
        <is>
          <t>사곡리</t>
        </is>
      </c>
      <c r="H945" s="3" t="inlineStr">
        <is>
          <t>보전관리지역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2024</v>
      </c>
      <c r="B946" s="4" t="n">
        <v>38954</v>
      </c>
      <c r="C946" s="4" t="n">
        <v>3043.6</v>
      </c>
      <c r="D946" s="4" t="n">
        <v>920.689</v>
      </c>
      <c r="E946" s="5" t="n">
        <v>42.3</v>
      </c>
      <c r="F946" s="3" t="inlineStr">
        <is>
          <t>강내면</t>
        </is>
      </c>
      <c r="G946" s="3" t="inlineStr">
        <is>
          <t>저산리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2024</v>
      </c>
      <c r="B947" s="4" t="n">
        <v>2652</v>
      </c>
      <c r="C947" s="4" t="n">
        <v>39</v>
      </c>
      <c r="D947" s="4" t="n">
        <v>11.7975</v>
      </c>
      <c r="E947" s="5" t="n">
        <v>224.8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제2종일반주거지역</t>
        </is>
      </c>
      <c r="I947" s="3" t="inlineStr">
        <is>
          <t>답</t>
        </is>
      </c>
      <c r="J947" s="3" t="inlineStr">
        <is>
          <t>강내면</t>
        </is>
      </c>
    </row>
    <row r="948">
      <c r="A948" s="3" t="n">
        <v>2024</v>
      </c>
      <c r="B948" s="4" t="n">
        <v>448</v>
      </c>
      <c r="C948" s="4" t="n">
        <v>6</v>
      </c>
      <c r="D948" s="4" t="n">
        <v>1.815</v>
      </c>
      <c r="E948" s="5" t="n">
        <v>246.8</v>
      </c>
      <c r="F948" s="3" t="inlineStr">
        <is>
          <t>강내면</t>
        </is>
      </c>
      <c r="G948" s="3" t="inlineStr">
        <is>
          <t>월곡리</t>
        </is>
      </c>
      <c r="H948" s="3" t="inlineStr">
        <is>
          <t>제2종일반주거지역</t>
        </is>
      </c>
      <c r="I948" s="3" t="inlineStr">
        <is>
          <t>답</t>
        </is>
      </c>
      <c r="J948" s="3" t="inlineStr">
        <is>
          <t>강내면</t>
        </is>
      </c>
    </row>
    <row r="949">
      <c r="A949" s="3" t="n">
        <v>2024</v>
      </c>
      <c r="B949" s="4" t="n">
        <v>4170</v>
      </c>
      <c r="C949" s="4" t="n">
        <v>124</v>
      </c>
      <c r="D949" s="4" t="n">
        <v>37.51</v>
      </c>
      <c r="E949" s="5" t="n">
        <v>111.2</v>
      </c>
      <c r="F949" s="3" t="inlineStr">
        <is>
          <t>강내면</t>
        </is>
      </c>
      <c r="G949" s="3" t="inlineStr">
        <is>
          <t>저산리</t>
        </is>
      </c>
      <c r="H949" s="3" t="inlineStr">
        <is>
          <t>계획관리지역</t>
        </is>
      </c>
      <c r="I949" s="3" t="inlineStr">
        <is>
          <t>대</t>
        </is>
      </c>
      <c r="J949" s="3" t="inlineStr">
        <is>
          <t>강내면</t>
        </is>
      </c>
    </row>
    <row r="950">
      <c r="A950" s="3" t="n">
        <v>2024</v>
      </c>
      <c r="B950" s="4" t="n">
        <v>7400</v>
      </c>
      <c r="C950" s="4" t="n">
        <v>220</v>
      </c>
      <c r="D950" s="4" t="n">
        <v>66.55</v>
      </c>
      <c r="E950" s="5" t="n">
        <v>111.2</v>
      </c>
      <c r="F950" s="3" t="inlineStr">
        <is>
          <t>강내면</t>
        </is>
      </c>
      <c r="G950" s="3" t="inlineStr">
        <is>
          <t>저산리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강내면</t>
        </is>
      </c>
    </row>
    <row r="951">
      <c r="A951" s="3" t="n">
        <v>2024</v>
      </c>
      <c r="B951" s="4" t="n">
        <v>2380</v>
      </c>
      <c r="C951" s="4" t="n">
        <v>71</v>
      </c>
      <c r="D951" s="4" t="n">
        <v>21.4775</v>
      </c>
      <c r="E951" s="5" t="n">
        <v>110.8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도로</t>
        </is>
      </c>
      <c r="J951" s="3" t="inlineStr">
        <is>
          <t>강내면</t>
        </is>
      </c>
    </row>
    <row r="952">
      <c r="A952" s="3" t="n">
        <v>2024</v>
      </c>
      <c r="B952" s="4" t="n">
        <v>15800</v>
      </c>
      <c r="C952" s="4" t="n">
        <v>231</v>
      </c>
      <c r="D952" s="4" t="n">
        <v>69.8775</v>
      </c>
      <c r="E952" s="5" t="n">
        <v>226.1</v>
      </c>
      <c r="F952" s="3" t="inlineStr">
        <is>
          <t>강내면</t>
        </is>
      </c>
      <c r="G952" s="3" t="inlineStr">
        <is>
          <t>탑연리</t>
        </is>
      </c>
      <c r="H952" s="3" t="inlineStr">
        <is>
          <t>자연녹지지역</t>
        </is>
      </c>
      <c r="I952" s="3" t="inlineStr">
        <is>
          <t>공장용지</t>
        </is>
      </c>
      <c r="J952" s="3" t="inlineStr">
        <is>
          <t>강내면</t>
        </is>
      </c>
    </row>
    <row r="953">
      <c r="A953" s="3" t="n">
        <v>2024</v>
      </c>
      <c r="B953" s="4" t="n">
        <v>11900</v>
      </c>
      <c r="C953" s="4" t="n">
        <v>372</v>
      </c>
      <c r="D953" s="4" t="n">
        <v>112.53</v>
      </c>
      <c r="E953" s="5" t="n">
        <v>105.7</v>
      </c>
      <c r="F953" s="3" t="inlineStr">
        <is>
          <t>강내면</t>
        </is>
      </c>
      <c r="G953" s="3" t="inlineStr">
        <is>
          <t>태성리</t>
        </is>
      </c>
      <c r="H953" s="3" t="inlineStr">
        <is>
          <t>계획관리지역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2024</v>
      </c>
      <c r="B954" s="4" t="n">
        <v>11900</v>
      </c>
      <c r="C954" s="4" t="n">
        <v>372</v>
      </c>
      <c r="D954" s="4" t="n">
        <v>112.53</v>
      </c>
      <c r="E954" s="5" t="n">
        <v>105.7</v>
      </c>
      <c r="F954" s="3" t="inlineStr">
        <is>
          <t>강내면</t>
        </is>
      </c>
      <c r="G954" s="3" t="inlineStr">
        <is>
          <t>태성리</t>
        </is>
      </c>
      <c r="H954" s="3" t="inlineStr">
        <is>
          <t>계획관리지역</t>
        </is>
      </c>
      <c r="I954" s="3" t="inlineStr">
        <is>
          <t>대</t>
        </is>
      </c>
      <c r="J954" s="3" t="inlineStr">
        <is>
          <t>강내면</t>
        </is>
      </c>
    </row>
    <row r="955">
      <c r="A955" s="3" t="n">
        <v>2024</v>
      </c>
      <c r="B955" s="4" t="n">
        <v>27000</v>
      </c>
      <c r="C955" s="4" t="n">
        <v>240.9</v>
      </c>
      <c r="D955" s="4" t="n">
        <v>72.87224999999999</v>
      </c>
      <c r="E955" s="5" t="n">
        <v>370.5</v>
      </c>
      <c r="F955" s="3" t="inlineStr">
        <is>
          <t>오송읍</t>
        </is>
      </c>
      <c r="G955" s="3" t="inlineStr">
        <is>
          <t>봉산리</t>
        </is>
      </c>
      <c r="H955" s="3" t="inlineStr">
        <is>
          <t>제1종일반주거지역</t>
        </is>
      </c>
      <c r="I955" s="3" t="inlineStr">
        <is>
          <t>대</t>
        </is>
      </c>
      <c r="J955" s="3" t="inlineStr">
        <is>
          <t>오송읍</t>
        </is>
      </c>
    </row>
    <row r="956">
      <c r="A956" s="3" t="n">
        <v>2024</v>
      </c>
      <c r="B956" s="4" t="n">
        <v>4600</v>
      </c>
      <c r="C956" s="4" t="n">
        <v>387</v>
      </c>
      <c r="D956" s="4" t="n">
        <v>117.0675</v>
      </c>
      <c r="E956" s="5" t="n">
        <v>39.3</v>
      </c>
      <c r="F956" s="3" t="inlineStr">
        <is>
          <t>오송읍</t>
        </is>
      </c>
      <c r="G956" s="3" t="inlineStr">
        <is>
          <t>서평리</t>
        </is>
      </c>
      <c r="H956" s="3" t="inlineStr">
        <is>
          <t>생산관리지역</t>
        </is>
      </c>
      <c r="I956" s="3" t="inlineStr">
        <is>
          <t>전</t>
        </is>
      </c>
      <c r="J956" s="3" t="inlineStr">
        <is>
          <t>오송읍</t>
        </is>
      </c>
    </row>
    <row r="957">
      <c r="A957" s="3" t="n">
        <v>2024</v>
      </c>
      <c r="B957" s="4" t="n">
        <v>32000</v>
      </c>
      <c r="C957" s="4" t="n">
        <v>2645</v>
      </c>
      <c r="D957" s="4" t="n">
        <v>800.1125</v>
      </c>
      <c r="E957" s="5" t="n">
        <v>40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생산관리지역</t>
        </is>
      </c>
      <c r="I957" s="3" t="inlineStr">
        <is>
          <t>전</t>
        </is>
      </c>
      <c r="J957" s="3" t="inlineStr">
        <is>
          <t>오송읍</t>
        </is>
      </c>
    </row>
    <row r="958">
      <c r="A958" s="3" t="n">
        <v>2024</v>
      </c>
      <c r="B958" s="4" t="n">
        <v>5200</v>
      </c>
      <c r="C958" s="4" t="n">
        <v>248</v>
      </c>
      <c r="D958" s="4" t="n">
        <v>75.02</v>
      </c>
      <c r="E958" s="5" t="n">
        <v>69.3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자연녹지지역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2024</v>
      </c>
      <c r="B959" s="4" t="n">
        <v>8502</v>
      </c>
      <c r="C959" s="4" t="n">
        <v>846</v>
      </c>
      <c r="D959" s="4" t="n">
        <v>255.915</v>
      </c>
      <c r="E959" s="5" t="n">
        <v>33.2</v>
      </c>
      <c r="F959" s="3" t="inlineStr">
        <is>
          <t>오송읍</t>
        </is>
      </c>
      <c r="G959" s="3" t="inlineStr">
        <is>
          <t>쌍청리</t>
        </is>
      </c>
      <c r="H959" s="3" t="inlineStr">
        <is>
          <t>농림지역</t>
        </is>
      </c>
      <c r="I959" s="3" t="inlineStr">
        <is>
          <t>전</t>
        </is>
      </c>
      <c r="J959" s="3" t="inlineStr">
        <is>
          <t>오송읍</t>
        </is>
      </c>
    </row>
    <row r="960">
      <c r="A960" s="3" t="n">
        <v>2024</v>
      </c>
      <c r="B960" s="4" t="n">
        <v>15064</v>
      </c>
      <c r="C960" s="4" t="n">
        <v>1382</v>
      </c>
      <c r="D960" s="4" t="n">
        <v>418.055</v>
      </c>
      <c r="E960" s="5" t="n">
        <v>36</v>
      </c>
      <c r="F960" s="3" t="inlineStr">
        <is>
          <t>오송읍</t>
        </is>
      </c>
      <c r="G960" s="3" t="inlineStr">
        <is>
          <t>쌍청리</t>
        </is>
      </c>
      <c r="H960" s="3" t="inlineStr">
        <is>
          <t>농림지역</t>
        </is>
      </c>
      <c r="I960" s="3" t="inlineStr">
        <is>
          <t>전</t>
        </is>
      </c>
      <c r="J960" s="3" t="inlineStr">
        <is>
          <t>오송읍</t>
        </is>
      </c>
    </row>
    <row r="961">
      <c r="A961" s="3" t="n">
        <v>2024</v>
      </c>
      <c r="B961" s="4" t="n">
        <v>20000</v>
      </c>
      <c r="C961" s="4" t="n">
        <v>2688</v>
      </c>
      <c r="D961" s="4" t="n">
        <v>813.12</v>
      </c>
      <c r="E961" s="5" t="n">
        <v>24.6</v>
      </c>
      <c r="F961" s="3" t="inlineStr">
        <is>
          <t>강내면</t>
        </is>
      </c>
      <c r="G961" s="3" t="inlineStr">
        <is>
          <t>학천리</t>
        </is>
      </c>
      <c r="H961" s="3" t="inlineStr">
        <is>
          <t>자연녹지지역</t>
        </is>
      </c>
      <c r="I961" s="3" t="inlineStr">
        <is>
          <t>답</t>
        </is>
      </c>
      <c r="J961" s="3" t="inlineStr">
        <is>
          <t>강내면</t>
        </is>
      </c>
    </row>
    <row r="962">
      <c r="A962" s="3" t="n">
        <v>2026</v>
      </c>
      <c r="B962" s="4" t="n">
        <v>940000</v>
      </c>
      <c r="C962" s="4" t="n">
        <v>33991.9</v>
      </c>
      <c r="D962" s="4" t="n">
        <v>10282.54975</v>
      </c>
      <c r="E962" s="5" t="n">
        <v>91.40000000000001</v>
      </c>
      <c r="F962" s="3" t="inlineStr">
        <is>
          <t>오송읍</t>
        </is>
      </c>
      <c r="G962" s="3" t="inlineStr">
        <is>
          <t>정중리</t>
        </is>
      </c>
      <c r="H962" s="3" t="inlineStr">
        <is>
          <t>일반공업지역</t>
        </is>
      </c>
      <c r="I962" s="3" t="inlineStr">
        <is>
          <t>공장용지</t>
        </is>
      </c>
      <c r="J962" s="3" t="inlineStr">
        <is>
          <t>오송읍</t>
        </is>
      </c>
    </row>
    <row r="963">
      <c r="A963" s="3" t="n">
        <v>2026</v>
      </c>
      <c r="B963" s="4" t="n">
        <v>65000</v>
      </c>
      <c r="C963" s="4" t="n">
        <v>1653</v>
      </c>
      <c r="D963" s="4" t="n">
        <v>500.0325</v>
      </c>
      <c r="E963" s="5" t="n">
        <v>130</v>
      </c>
      <c r="F963" s="3" t="inlineStr">
        <is>
          <t>오송읍</t>
        </is>
      </c>
      <c r="G963" s="3" t="inlineStr">
        <is>
          <t>서평리</t>
        </is>
      </c>
      <c r="H963" s="3" t="inlineStr">
        <is>
          <t>생산관리지역</t>
        </is>
      </c>
      <c r="I963" s="3" t="inlineStr">
        <is>
          <t>과수원</t>
        </is>
      </c>
      <c r="J963" s="3" t="inlineStr">
        <is>
          <t>오송읍</t>
        </is>
      </c>
    </row>
    <row r="964">
      <c r="A964" s="3" t="n">
        <v>2026</v>
      </c>
      <c r="B964" s="4" t="n">
        <v>40000</v>
      </c>
      <c r="C964" s="4" t="n">
        <v>272.9</v>
      </c>
      <c r="D964" s="4" t="n">
        <v>82.55224999999999</v>
      </c>
      <c r="E964" s="5" t="n">
        <v>484.5</v>
      </c>
      <c r="F964" s="3" t="inlineStr">
        <is>
          <t>오송읍</t>
        </is>
      </c>
      <c r="G964" s="3" t="inlineStr">
        <is>
          <t>봉산리</t>
        </is>
      </c>
      <c r="H964" s="3" t="inlineStr">
        <is>
          <t>제1종일반주거지역</t>
        </is>
      </c>
      <c r="I964" s="3" t="inlineStr">
        <is>
          <t>대</t>
        </is>
      </c>
      <c r="J964" s="3" t="inlineStr">
        <is>
          <t>오송읍</t>
        </is>
      </c>
    </row>
    <row r="965">
      <c r="A965" s="3" t="n">
        <v>2026</v>
      </c>
      <c r="B965" s="4" t="n">
        <v>400</v>
      </c>
      <c r="C965" s="4" t="n">
        <v>322</v>
      </c>
      <c r="D965" s="4" t="n">
        <v>97.405</v>
      </c>
      <c r="E965" s="5" t="n">
        <v>4.1</v>
      </c>
      <c r="F965" s="3" t="inlineStr">
        <is>
          <t>강내면</t>
        </is>
      </c>
      <c r="G965" s="3" t="inlineStr">
        <is>
          <t>당곡리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강내면</t>
        </is>
      </c>
    </row>
    <row r="966">
      <c r="A966" s="3" t="n">
        <v>2026</v>
      </c>
      <c r="B966" s="4" t="n">
        <v>950</v>
      </c>
      <c r="C966" s="4" t="n">
        <v>595</v>
      </c>
      <c r="D966" s="4" t="n">
        <v>179.9875</v>
      </c>
      <c r="E966" s="5" t="n">
        <v>5.3</v>
      </c>
      <c r="F966" s="3" t="inlineStr">
        <is>
          <t>강내면</t>
        </is>
      </c>
      <c r="G966" s="3" t="inlineStr">
        <is>
          <t>당곡리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강내면</t>
        </is>
      </c>
    </row>
    <row r="967">
      <c r="A967" s="3" t="n">
        <v>2025</v>
      </c>
      <c r="B967" s="4" t="n">
        <v>23200</v>
      </c>
      <c r="C967" s="4" t="n">
        <v>2198</v>
      </c>
      <c r="D967" s="4" t="n">
        <v>664.895</v>
      </c>
      <c r="E967" s="5" t="n">
        <v>34.9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보전녹지지역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2025</v>
      </c>
      <c r="B968" s="4" t="n">
        <v>9238</v>
      </c>
      <c r="C968" s="4" t="n">
        <v>1527</v>
      </c>
      <c r="D968" s="4" t="n">
        <v>461.9175</v>
      </c>
      <c r="E968" s="5" t="n">
        <v>20</v>
      </c>
      <c r="F968" s="3" t="inlineStr">
        <is>
          <t>남이면</t>
        </is>
      </c>
      <c r="G968" s="3" t="inlineStr">
        <is>
          <t>척산리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510</v>
      </c>
      <c r="C969" s="4" t="n">
        <v>14</v>
      </c>
      <c r="D969" s="4" t="n">
        <v>4.234999999999999</v>
      </c>
      <c r="E969" s="5" t="n">
        <v>120.4</v>
      </c>
      <c r="F969" s="3" t="inlineStr">
        <is>
          <t>남이면</t>
        </is>
      </c>
      <c r="G969" s="3" t="inlineStr">
        <is>
          <t>척산리</t>
        </is>
      </c>
      <c r="H969" s="3" t="inlineStr">
        <is>
          <t>계획관리지역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14490</v>
      </c>
      <c r="C970" s="4" t="n">
        <v>402</v>
      </c>
      <c r="D970" s="4" t="n">
        <v>121.605</v>
      </c>
      <c r="E970" s="5" t="n">
        <v>119.2</v>
      </c>
      <c r="F970" s="3" t="inlineStr">
        <is>
          <t>남이면</t>
        </is>
      </c>
      <c r="G970" s="3" t="inlineStr">
        <is>
          <t>척산리</t>
        </is>
      </c>
      <c r="H970" s="3" t="inlineStr">
        <is>
          <t>계획관리지역</t>
        </is>
      </c>
      <c r="I970" s="3" t="inlineStr">
        <is>
          <t>대</t>
        </is>
      </c>
      <c r="J970" s="3" t="inlineStr">
        <is>
          <t>남이면</t>
        </is>
      </c>
    </row>
    <row r="971">
      <c r="A971" s="3" t="n">
        <v>2025</v>
      </c>
      <c r="B971" s="4" t="n">
        <v>9100</v>
      </c>
      <c r="C971" s="4" t="n">
        <v>1315</v>
      </c>
      <c r="D971" s="4" t="n">
        <v>397.7875</v>
      </c>
      <c r="E971" s="5" t="n">
        <v>22.9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보전관리지역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300</v>
      </c>
      <c r="C972" s="4" t="n">
        <v>100</v>
      </c>
      <c r="D972" s="4" t="n">
        <v>30.25</v>
      </c>
      <c r="E972" s="5" t="n">
        <v>9.9</v>
      </c>
      <c r="F972" s="3" t="inlineStr">
        <is>
          <t>남이면</t>
        </is>
      </c>
      <c r="G972" s="3" t="inlineStr">
        <is>
          <t>척산리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2024</v>
      </c>
      <c r="B973" s="4" t="n">
        <v>1400</v>
      </c>
      <c r="C973" s="4" t="n">
        <v>21</v>
      </c>
      <c r="D973" s="4" t="n">
        <v>6.3525</v>
      </c>
      <c r="E973" s="5" t="n">
        <v>220.4</v>
      </c>
      <c r="F973" s="3" t="inlineStr">
        <is>
          <t>오송읍</t>
        </is>
      </c>
      <c r="G973" s="3" t="inlineStr">
        <is>
          <t>궁평리</t>
        </is>
      </c>
      <c r="H973" s="3" t="inlineStr">
        <is>
          <t>계획관리지역</t>
        </is>
      </c>
      <c r="I973" s="3" t="inlineStr">
        <is>
          <t>대</t>
        </is>
      </c>
      <c r="J973" s="3" t="inlineStr">
        <is>
          <t>오송읍</t>
        </is>
      </c>
    </row>
    <row r="974">
      <c r="A974" s="3" t="n">
        <v>2024</v>
      </c>
      <c r="B974" s="4" t="n">
        <v>40000</v>
      </c>
      <c r="C974" s="4" t="n">
        <v>1483</v>
      </c>
      <c r="D974" s="4" t="n">
        <v>448.6075</v>
      </c>
      <c r="E974" s="5" t="n">
        <v>89.2</v>
      </c>
      <c r="F974" s="3" t="inlineStr">
        <is>
          <t>오송읍</t>
        </is>
      </c>
      <c r="G974" s="3" t="inlineStr">
        <is>
          <t>서평리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오송읍</t>
        </is>
      </c>
    </row>
    <row r="975">
      <c r="A975" s="3" t="n">
        <v>2024</v>
      </c>
      <c r="B975" s="4" t="n">
        <v>1700</v>
      </c>
      <c r="C975" s="4" t="n">
        <v>58</v>
      </c>
      <c r="D975" s="4" t="n">
        <v>17.545</v>
      </c>
      <c r="E975" s="5" t="n">
        <v>96.90000000000001</v>
      </c>
      <c r="F975" s="3" t="inlineStr">
        <is>
          <t>오송읍</t>
        </is>
      </c>
      <c r="G975" s="3" t="inlineStr">
        <is>
          <t>서평리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오송읍</t>
        </is>
      </c>
    </row>
    <row r="976">
      <c r="A976" s="3" t="n">
        <v>2024</v>
      </c>
      <c r="B976" s="4" t="n">
        <v>1300</v>
      </c>
      <c r="C976" s="4" t="n">
        <v>20</v>
      </c>
      <c r="D976" s="4" t="n">
        <v>6.05</v>
      </c>
      <c r="E976" s="5" t="n">
        <v>214.9</v>
      </c>
      <c r="F976" s="3" t="inlineStr">
        <is>
          <t>오송읍</t>
        </is>
      </c>
      <c r="G976" s="3" t="inlineStr">
        <is>
          <t>서평리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오송읍</t>
        </is>
      </c>
    </row>
    <row r="977">
      <c r="A977" s="3" t="n">
        <v>2024</v>
      </c>
      <c r="B977" s="4" t="n">
        <v>12851</v>
      </c>
      <c r="C977" s="4" t="n">
        <v>431</v>
      </c>
      <c r="D977" s="4" t="n">
        <v>130.3775</v>
      </c>
      <c r="E977" s="5" t="n">
        <v>98.59999999999999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답</t>
        </is>
      </c>
      <c r="J977" s="3" t="inlineStr">
        <is>
          <t>강내면</t>
        </is>
      </c>
    </row>
    <row r="978">
      <c r="A978" s="3" t="n">
        <v>2024</v>
      </c>
      <c r="B978" s="4" t="n">
        <v>61000</v>
      </c>
      <c r="C978" s="4" t="n">
        <v>2529</v>
      </c>
      <c r="D978" s="4" t="n">
        <v>765.0224999999999</v>
      </c>
      <c r="E978" s="5" t="n">
        <v>79.7</v>
      </c>
      <c r="F978" s="3" t="inlineStr">
        <is>
          <t>강내면</t>
        </is>
      </c>
      <c r="G978" s="3" t="inlineStr">
        <is>
          <t>학천리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강내면</t>
        </is>
      </c>
    </row>
    <row r="979">
      <c r="A979" s="3" t="n">
        <v>2024</v>
      </c>
      <c r="B979" s="4" t="n">
        <v>33000</v>
      </c>
      <c r="C979" s="4" t="n">
        <v>248.5</v>
      </c>
      <c r="D979" s="4" t="n">
        <v>75.17125</v>
      </c>
      <c r="E979" s="5" t="n">
        <v>439</v>
      </c>
      <c r="F979" s="3" t="inlineStr">
        <is>
          <t>오송읍</t>
        </is>
      </c>
      <c r="G979" s="3" t="inlineStr">
        <is>
          <t>봉산리</t>
        </is>
      </c>
      <c r="H979" s="3" t="inlineStr">
        <is>
          <t>제1종일반주거지역</t>
        </is>
      </c>
      <c r="I979" s="3" t="inlineStr">
        <is>
          <t>대</t>
        </is>
      </c>
      <c r="J979" s="3" t="inlineStr">
        <is>
          <t>오송읍</t>
        </is>
      </c>
    </row>
    <row r="980">
      <c r="A980" s="3" t="n">
        <v>2023</v>
      </c>
      <c r="B980" s="4" t="n">
        <v>593631</v>
      </c>
      <c r="C980" s="4" t="n">
        <v>16722</v>
      </c>
      <c r="D980" s="4" t="n">
        <v>5058.405</v>
      </c>
      <c r="E980" s="5" t="n">
        <v>117.4</v>
      </c>
      <c r="F980" s="3" t="inlineStr">
        <is>
          <t>오송읍</t>
        </is>
      </c>
      <c r="G980" s="3" t="inlineStr">
        <is>
          <t>연제리</t>
        </is>
      </c>
      <c r="H980" s="3" t="inlineStr">
        <is>
          <t>일반공업지역</t>
        </is>
      </c>
      <c r="I980" s="3" t="inlineStr">
        <is>
          <t>공장용지</t>
        </is>
      </c>
      <c r="J980" s="3" t="inlineStr">
        <is>
          <t>오송읍</t>
        </is>
      </c>
    </row>
    <row r="981">
      <c r="A981" s="3" t="n">
        <v>2023</v>
      </c>
      <c r="B981" s="4" t="n">
        <v>43000</v>
      </c>
      <c r="C981" s="4" t="n">
        <v>1140</v>
      </c>
      <c r="D981" s="4" t="n">
        <v>344.85</v>
      </c>
      <c r="E981" s="5" t="n">
        <v>124.7</v>
      </c>
      <c r="F981" s="3" t="inlineStr">
        <is>
          <t>오송읍</t>
        </is>
      </c>
      <c r="G981" s="3" t="inlineStr">
        <is>
          <t>정중리</t>
        </is>
      </c>
      <c r="H981" s="3" t="inlineStr">
        <is>
          <t>보전관리지역</t>
        </is>
      </c>
      <c r="I981" s="3" t="inlineStr">
        <is>
          <t>전</t>
        </is>
      </c>
      <c r="J981" s="3" t="inlineStr">
        <is>
          <t>오송읍</t>
        </is>
      </c>
    </row>
    <row r="982">
      <c r="A982" s="3" t="n">
        <v>2023</v>
      </c>
      <c r="B982" s="4" t="n">
        <v>30000</v>
      </c>
      <c r="C982" s="4" t="n">
        <v>356</v>
      </c>
      <c r="D982" s="4" t="n">
        <v>107.69</v>
      </c>
      <c r="E982" s="5" t="n">
        <v>278.6</v>
      </c>
      <c r="F982" s="3" t="inlineStr">
        <is>
          <t>오송읍</t>
        </is>
      </c>
      <c r="G982" s="3" t="inlineStr">
        <is>
          <t>오송리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오송읍</t>
        </is>
      </c>
    </row>
    <row r="983">
      <c r="A983" s="3" t="n">
        <v>2023</v>
      </c>
      <c r="B983" s="4" t="n">
        <v>21000</v>
      </c>
      <c r="C983" s="4" t="n">
        <v>182</v>
      </c>
      <c r="D983" s="4" t="n">
        <v>55.055</v>
      </c>
      <c r="E983" s="5" t="n">
        <v>381.4</v>
      </c>
      <c r="F983" s="3" t="inlineStr">
        <is>
          <t>오송읍</t>
        </is>
      </c>
      <c r="G983" s="3" t="inlineStr">
        <is>
          <t>오송리</t>
        </is>
      </c>
      <c r="H983" s="3" t="inlineStr">
        <is>
          <t>계획관리지역</t>
        </is>
      </c>
      <c r="I983" s="3" t="inlineStr">
        <is>
          <t>대</t>
        </is>
      </c>
      <c r="J983" s="3" t="inlineStr">
        <is>
          <t>오송읍</t>
        </is>
      </c>
    </row>
    <row r="984">
      <c r="A984" s="3" t="n">
        <v>2023</v>
      </c>
      <c r="B984" s="4" t="n">
        <v>85000</v>
      </c>
      <c r="C984" s="4" t="n">
        <v>331</v>
      </c>
      <c r="D984" s="4" t="n">
        <v>100.1275</v>
      </c>
      <c r="E984" s="5" t="n">
        <v>848.9</v>
      </c>
      <c r="F984" s="3" t="inlineStr">
        <is>
          <t>강내면</t>
        </is>
      </c>
      <c r="G984" s="3" t="inlineStr">
        <is>
          <t>탑연리</t>
        </is>
      </c>
      <c r="H984" s="3" t="inlineStr">
        <is>
          <t>일반상업지역</t>
        </is>
      </c>
      <c r="I984" s="3" t="inlineStr">
        <is>
          <t>대</t>
        </is>
      </c>
      <c r="J984" s="3" t="inlineStr">
        <is>
          <t>강내면</t>
        </is>
      </c>
    </row>
    <row r="985">
      <c r="A985" s="3" t="n">
        <v>2023</v>
      </c>
      <c r="B985" s="4" t="n">
        <v>1000</v>
      </c>
      <c r="C985" s="4" t="n">
        <v>4</v>
      </c>
      <c r="D985" s="4" t="n">
        <v>1.21</v>
      </c>
      <c r="E985" s="5" t="n">
        <v>826.4</v>
      </c>
      <c r="F985" s="3" t="inlineStr">
        <is>
          <t>강내면</t>
        </is>
      </c>
      <c r="G985" s="3" t="inlineStr">
        <is>
          <t>탑연리</t>
        </is>
      </c>
      <c r="H985" s="3" t="inlineStr">
        <is>
          <t>일반상업지역</t>
        </is>
      </c>
      <c r="I985" s="3" t="inlineStr">
        <is>
          <t>전</t>
        </is>
      </c>
      <c r="J985" s="3" t="inlineStr">
        <is>
          <t>강내면</t>
        </is>
      </c>
    </row>
    <row r="986">
      <c r="A986" s="3" t="n">
        <v>2023</v>
      </c>
      <c r="B986" s="4" t="n">
        <v>15000</v>
      </c>
      <c r="C986" s="4" t="n">
        <v>49</v>
      </c>
      <c r="D986" s="4" t="n">
        <v>14.8225</v>
      </c>
      <c r="E986" s="5" t="n">
        <v>1012</v>
      </c>
      <c r="F986" s="3" t="inlineStr">
        <is>
          <t>강내면</t>
        </is>
      </c>
      <c r="G986" s="3" t="inlineStr">
        <is>
          <t>탑연리</t>
        </is>
      </c>
      <c r="H986" s="3" t="inlineStr">
        <is>
          <t>일반상업지역</t>
        </is>
      </c>
      <c r="I986" s="3" t="inlineStr">
        <is>
          <t>대</t>
        </is>
      </c>
      <c r="J986" s="3" t="inlineStr">
        <is>
          <t>강내면</t>
        </is>
      </c>
    </row>
    <row r="987">
      <c r="A987" s="3" t="n">
        <v>2023</v>
      </c>
      <c r="B987" s="4" t="n">
        <v>10000</v>
      </c>
      <c r="C987" s="4" t="n">
        <v>34</v>
      </c>
      <c r="D987" s="4" t="n">
        <v>10.285</v>
      </c>
      <c r="E987" s="5" t="n">
        <v>972.3</v>
      </c>
      <c r="F987" s="3" t="inlineStr">
        <is>
          <t>강내면</t>
        </is>
      </c>
      <c r="G987" s="3" t="inlineStr">
        <is>
          <t>탑연리</t>
        </is>
      </c>
      <c r="H987" s="3" t="inlineStr">
        <is>
          <t>일반상업지역</t>
        </is>
      </c>
      <c r="I987" s="3" t="inlineStr">
        <is>
          <t>전</t>
        </is>
      </c>
      <c r="J987" s="3" t="inlineStr">
        <is>
          <t>강내면</t>
        </is>
      </c>
    </row>
    <row r="988">
      <c r="A988" s="3" t="n">
        <v>2023</v>
      </c>
      <c r="B988" s="4" t="n">
        <v>49000</v>
      </c>
      <c r="C988" s="4" t="n">
        <v>162</v>
      </c>
      <c r="D988" s="4" t="n">
        <v>49.005</v>
      </c>
      <c r="E988" s="5" t="n">
        <v>999.9</v>
      </c>
      <c r="F988" s="3" t="inlineStr">
        <is>
          <t>강내면</t>
        </is>
      </c>
      <c r="G988" s="3" t="inlineStr">
        <is>
          <t>탑연리</t>
        </is>
      </c>
      <c r="H988" s="3" t="inlineStr">
        <is>
          <t>일반상업지역</t>
        </is>
      </c>
      <c r="I988" s="3" t="inlineStr">
        <is>
          <t>임야</t>
        </is>
      </c>
      <c r="J988" s="3" t="inlineStr">
        <is>
          <t>강내면</t>
        </is>
      </c>
    </row>
    <row r="989">
      <c r="A989" s="3" t="n">
        <v>2023</v>
      </c>
      <c r="B989" s="4" t="n">
        <v>135000</v>
      </c>
      <c r="C989" s="4" t="n">
        <v>3949.1</v>
      </c>
      <c r="D989" s="4" t="n">
        <v>1194.60275</v>
      </c>
      <c r="E989" s="5" t="n">
        <v>113</v>
      </c>
      <c r="F989" s="3" t="inlineStr">
        <is>
          <t>오송읍</t>
        </is>
      </c>
      <c r="G989" s="3" t="inlineStr">
        <is>
          <t>정중리</t>
        </is>
      </c>
      <c r="H989" s="3" t="inlineStr">
        <is>
          <t>일반공업지역</t>
        </is>
      </c>
      <c r="I989" s="3" t="inlineStr">
        <is>
          <t>공장용지</t>
        </is>
      </c>
      <c r="J989" s="3" t="inlineStr">
        <is>
          <t>오송읍</t>
        </is>
      </c>
    </row>
    <row r="990">
      <c r="A990" s="3" t="n">
        <v>2023</v>
      </c>
      <c r="B990" s="4" t="n">
        <v>9550</v>
      </c>
      <c r="C990" s="4" t="n">
        <v>330</v>
      </c>
      <c r="D990" s="4" t="n">
        <v>99.825</v>
      </c>
      <c r="E990" s="5" t="n">
        <v>95.7</v>
      </c>
      <c r="F990" s="3" t="inlineStr">
        <is>
          <t>강내면</t>
        </is>
      </c>
      <c r="G990" s="3" t="inlineStr">
        <is>
          <t>사곡리</t>
        </is>
      </c>
      <c r="H990" s="3" t="inlineStr">
        <is>
          <t>보전관리지역</t>
        </is>
      </c>
      <c r="I990" s="3" t="inlineStr">
        <is>
          <t>전</t>
        </is>
      </c>
      <c r="J990" s="3" t="inlineStr">
        <is>
          <t>강내면</t>
        </is>
      </c>
    </row>
    <row r="991">
      <c r="A991" s="3" t="n">
        <v>2023</v>
      </c>
      <c r="B991" s="4" t="n">
        <v>61233</v>
      </c>
      <c r="C991" s="4" t="n">
        <v>1901</v>
      </c>
      <c r="D991" s="4" t="n">
        <v>575.0525</v>
      </c>
      <c r="E991" s="5" t="n">
        <v>106.5</v>
      </c>
      <c r="F991" s="3" t="inlineStr">
        <is>
          <t>오송읍</t>
        </is>
      </c>
      <c r="G991" s="3" t="inlineStr">
        <is>
          <t>궁평리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2023</v>
      </c>
      <c r="B992" s="4" t="n">
        <v>8490</v>
      </c>
      <c r="C992" s="4" t="n">
        <v>401</v>
      </c>
      <c r="D992" s="4" t="n">
        <v>121.3025</v>
      </c>
      <c r="E992" s="5" t="n">
        <v>70</v>
      </c>
      <c r="F992" s="3" t="inlineStr">
        <is>
          <t>강내면</t>
        </is>
      </c>
      <c r="G992" s="3" t="inlineStr">
        <is>
          <t>저산리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강내면</t>
        </is>
      </c>
    </row>
    <row r="993">
      <c r="A993" s="3" t="n">
        <v>2025</v>
      </c>
      <c r="B993" s="4" t="n">
        <v>4000</v>
      </c>
      <c r="C993" s="4" t="n">
        <v>95</v>
      </c>
      <c r="D993" s="4" t="n">
        <v>28.7375</v>
      </c>
      <c r="E993" s="5" t="n">
        <v>139.2</v>
      </c>
      <c r="F993" s="3" t="inlineStr">
        <is>
          <t>현도면</t>
        </is>
      </c>
      <c r="G993" s="3" t="inlineStr">
        <is>
          <t>상삼리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현도면</t>
        </is>
      </c>
    </row>
    <row r="994">
      <c r="A994" s="3" t="n">
        <v>2025</v>
      </c>
      <c r="B994" s="4" t="n">
        <v>42000</v>
      </c>
      <c r="C994" s="4" t="n">
        <v>925</v>
      </c>
      <c r="D994" s="4" t="n">
        <v>279.8125</v>
      </c>
      <c r="E994" s="5" t="n">
        <v>150.1</v>
      </c>
      <c r="F994" s="3" t="inlineStr">
        <is>
          <t>현도면</t>
        </is>
      </c>
      <c r="G994" s="3" t="inlineStr">
        <is>
          <t>상삼리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현도면</t>
        </is>
      </c>
    </row>
    <row r="995">
      <c r="A995" s="3" t="n">
        <v>2025</v>
      </c>
      <c r="B995" s="4" t="n">
        <v>5000</v>
      </c>
      <c r="C995" s="4" t="n">
        <v>493</v>
      </c>
      <c r="D995" s="4" t="n">
        <v>149.1325</v>
      </c>
      <c r="E995" s="5" t="n">
        <v>33.5</v>
      </c>
      <c r="F995" s="3" t="inlineStr">
        <is>
          <t>현도면</t>
        </is>
      </c>
      <c r="G995" s="3" t="inlineStr">
        <is>
          <t>달계리</t>
        </is>
      </c>
      <c r="H995" s="3" t="inlineStr">
        <is>
          <t>자연녹지지역</t>
        </is>
      </c>
      <c r="I995" s="3" t="inlineStr">
        <is>
          <t>대</t>
        </is>
      </c>
      <c r="J995" s="3" t="inlineStr">
        <is>
          <t>현도면</t>
        </is>
      </c>
    </row>
    <row r="996">
      <c r="A996" s="3" t="n">
        <v>2025</v>
      </c>
      <c r="B996" s="4" t="n">
        <v>4500</v>
      </c>
      <c r="C996" s="4" t="n">
        <v>213</v>
      </c>
      <c r="D996" s="4" t="n">
        <v>64.4325</v>
      </c>
      <c r="E996" s="5" t="n">
        <v>69.8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19500</v>
      </c>
      <c r="C997" s="4" t="n">
        <v>500</v>
      </c>
      <c r="D997" s="4" t="n">
        <v>151.25</v>
      </c>
      <c r="E997" s="5" t="n">
        <v>128.9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2350</v>
      </c>
      <c r="C998" s="4" t="n">
        <v>111</v>
      </c>
      <c r="D998" s="4" t="n">
        <v>33.5775</v>
      </c>
      <c r="E998" s="5" t="n">
        <v>70</v>
      </c>
      <c r="F998" s="3" t="inlineStr">
        <is>
          <t>강내면</t>
        </is>
      </c>
      <c r="G998" s="3" t="inlineStr">
        <is>
          <t>저산리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강내면</t>
        </is>
      </c>
    </row>
    <row r="999">
      <c r="A999" s="3" t="n">
        <v>2025</v>
      </c>
      <c r="B999" s="4" t="n">
        <v>13000</v>
      </c>
      <c r="C999" s="4" t="n">
        <v>685</v>
      </c>
      <c r="D999" s="4" t="n">
        <v>207.2125</v>
      </c>
      <c r="E999" s="5" t="n">
        <v>62.7</v>
      </c>
      <c r="F999" s="3" t="inlineStr">
        <is>
          <t>강내면</t>
        </is>
      </c>
      <c r="G999" s="3" t="inlineStr">
        <is>
          <t>태성리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강내면</t>
        </is>
      </c>
    </row>
    <row r="1000">
      <c r="A1000" s="3" t="n">
        <v>2025</v>
      </c>
      <c r="B1000" s="4" t="n">
        <v>39000</v>
      </c>
      <c r="C1000" s="4" t="n">
        <v>267.6</v>
      </c>
      <c r="D1000" s="4" t="n">
        <v>80.949</v>
      </c>
      <c r="E1000" s="5" t="n">
        <v>481.8</v>
      </c>
      <c r="F1000" s="3" t="inlineStr">
        <is>
          <t>오송읍</t>
        </is>
      </c>
      <c r="G1000" s="3" t="inlineStr">
        <is>
          <t>봉산리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오송읍</t>
        </is>
      </c>
    </row>
    <row r="1001">
      <c r="A1001" s="3" t="n">
        <v>2025</v>
      </c>
      <c r="B1001" s="4" t="n">
        <v>67680</v>
      </c>
      <c r="C1001" s="4" t="n">
        <v>3858</v>
      </c>
      <c r="D1001" s="4" t="n">
        <v>1167.045</v>
      </c>
      <c r="E1001" s="5" t="n">
        <v>58</v>
      </c>
      <c r="F1001" s="3" t="inlineStr">
        <is>
          <t>오송읍</t>
        </is>
      </c>
      <c r="G1001" s="3" t="inlineStr">
        <is>
          <t>서평리</t>
        </is>
      </c>
      <c r="H1001" s="3" t="inlineStr">
        <is>
          <t>농림지역</t>
        </is>
      </c>
      <c r="I1001" s="3" t="inlineStr">
        <is>
          <t>답</t>
        </is>
      </c>
      <c r="J1001" s="3" t="inlineStr">
        <is>
          <t>오송읍</t>
        </is>
      </c>
    </row>
    <row r="1002">
      <c r="A1002" s="3" t="n">
        <v>2025</v>
      </c>
      <c r="B1002" s="4" t="n">
        <v>5955</v>
      </c>
      <c r="C1002" s="4" t="n">
        <v>200</v>
      </c>
      <c r="D1002" s="4" t="n">
        <v>60.5</v>
      </c>
      <c r="E1002" s="5" t="n">
        <v>98.40000000000001</v>
      </c>
      <c r="F1002" s="3" t="inlineStr">
        <is>
          <t>강내면</t>
        </is>
      </c>
      <c r="G1002" s="3" t="inlineStr">
        <is>
          <t>저산리</t>
        </is>
      </c>
      <c r="H1002" s="3" t="inlineStr">
        <is>
          <t>계획관리지역</t>
        </is>
      </c>
      <c r="I1002" s="3" t="inlineStr">
        <is>
          <t>대</t>
        </is>
      </c>
      <c r="J1002" s="3" t="inlineStr">
        <is>
          <t>강내면</t>
        </is>
      </c>
    </row>
    <row r="1003">
      <c r="A1003" s="3" t="n">
        <v>2025</v>
      </c>
      <c r="B1003" s="4" t="n">
        <v>1876</v>
      </c>
      <c r="C1003" s="4" t="n">
        <v>63</v>
      </c>
      <c r="D1003" s="4" t="n">
        <v>19.0575</v>
      </c>
      <c r="E1003" s="5" t="n">
        <v>98.40000000000001</v>
      </c>
      <c r="F1003" s="3" t="inlineStr">
        <is>
          <t>강내면</t>
        </is>
      </c>
      <c r="G1003" s="3" t="inlineStr">
        <is>
          <t>저산리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강내면</t>
        </is>
      </c>
    </row>
    <row r="1004">
      <c r="A1004" s="3" t="n">
        <v>2025</v>
      </c>
      <c r="B1004" s="4" t="n">
        <v>89</v>
      </c>
      <c r="C1004" s="4" t="n">
        <v>3</v>
      </c>
      <c r="D1004" s="4" t="n">
        <v>0.9075</v>
      </c>
      <c r="E1004" s="5" t="n">
        <v>98.09999999999999</v>
      </c>
      <c r="F1004" s="3" t="inlineStr">
        <is>
          <t>강내면</t>
        </is>
      </c>
      <c r="G1004" s="3" t="inlineStr">
        <is>
          <t>저산리</t>
        </is>
      </c>
      <c r="H1004" s="3" t="inlineStr">
        <is>
          <t>계획관리지역</t>
        </is>
      </c>
      <c r="I1004" s="3" t="inlineStr">
        <is>
          <t>대</t>
        </is>
      </c>
      <c r="J1004" s="3" t="inlineStr">
        <is>
          <t>강내면</t>
        </is>
      </c>
    </row>
    <row r="1005">
      <c r="A1005" s="3" t="n">
        <v>2025</v>
      </c>
      <c r="B1005" s="4" t="n">
        <v>6759</v>
      </c>
      <c r="C1005" s="4" t="n">
        <v>227</v>
      </c>
      <c r="D1005" s="4" t="n">
        <v>68.6675</v>
      </c>
      <c r="E1005" s="5" t="n">
        <v>98.40000000000001</v>
      </c>
      <c r="F1005" s="3" t="inlineStr">
        <is>
          <t>강내면</t>
        </is>
      </c>
      <c r="G1005" s="3" t="inlineStr">
        <is>
          <t>저산리</t>
        </is>
      </c>
      <c r="H1005" s="3" t="inlineStr">
        <is>
          <t>계획관리지역</t>
        </is>
      </c>
      <c r="I1005" s="3" t="inlineStr">
        <is>
          <t>대</t>
        </is>
      </c>
      <c r="J1005" s="3" t="inlineStr">
        <is>
          <t>강내면</t>
        </is>
      </c>
    </row>
    <row r="1006">
      <c r="A1006" s="3" t="n">
        <v>2022</v>
      </c>
      <c r="B1006" s="4" t="n">
        <v>9600</v>
      </c>
      <c r="C1006" s="4" t="n">
        <v>318</v>
      </c>
      <c r="D1006" s="4" t="n">
        <v>96.19499999999999</v>
      </c>
      <c r="E1006" s="5" t="n">
        <v>99.8</v>
      </c>
      <c r="F1006" s="3" t="inlineStr">
        <is>
          <t>전의면</t>
        </is>
      </c>
      <c r="G1006" s="3" t="inlineStr">
        <is>
          <t>양곡리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전의면</t>
        </is>
      </c>
    </row>
    <row r="1007">
      <c r="A1007" s="3" t="n">
        <v>2024</v>
      </c>
      <c r="B1007" s="4" t="n">
        <v>45000</v>
      </c>
      <c r="C1007" s="4" t="n">
        <v>343.6</v>
      </c>
      <c r="D1007" s="4" t="n">
        <v>103.939</v>
      </c>
      <c r="E1007" s="5" t="n">
        <v>432.9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4500</v>
      </c>
      <c r="C1008" s="4" t="n">
        <v>165</v>
      </c>
      <c r="D1008" s="4" t="n">
        <v>49.9125</v>
      </c>
      <c r="E1008" s="5" t="n">
        <v>90.2</v>
      </c>
      <c r="F1008" s="3" t="inlineStr">
        <is>
          <t>조치원읍</t>
        </is>
      </c>
      <c r="G1008" s="3" t="inlineStr">
        <is>
          <t>신흥리</t>
        </is>
      </c>
      <c r="H1008" s="3" t="inlineStr">
        <is>
          <t>제2종일반주거지역</t>
        </is>
      </c>
      <c r="I1008" s="3" t="inlineStr">
        <is>
          <t>전</t>
        </is>
      </c>
      <c r="J1008" s="3" t="inlineStr">
        <is>
          <t>조치원읍</t>
        </is>
      </c>
    </row>
    <row r="1009">
      <c r="A1009" s="3" t="n">
        <v>2024</v>
      </c>
      <c r="B1009" s="4" t="n">
        <v>4900</v>
      </c>
      <c r="C1009" s="4" t="n">
        <v>298</v>
      </c>
      <c r="D1009" s="4" t="n">
        <v>90.145</v>
      </c>
      <c r="E1009" s="5" t="n">
        <v>54.4</v>
      </c>
      <c r="F1009" s="3" t="inlineStr">
        <is>
          <t>장군면</t>
        </is>
      </c>
      <c r="G1009" s="3" t="inlineStr">
        <is>
          <t>용암리</t>
        </is>
      </c>
      <c r="H1009" s="3" t="inlineStr">
        <is>
          <t>보전관리지역</t>
        </is>
      </c>
      <c r="I1009" s="3" t="inlineStr">
        <is>
          <t>임야</t>
        </is>
      </c>
      <c r="J1009" s="3" t="inlineStr">
        <is>
          <t>장군면</t>
        </is>
      </c>
    </row>
    <row r="1010">
      <c r="A1010" s="3" t="n">
        <v>2024</v>
      </c>
      <c r="B1010" s="4" t="n">
        <v>146800</v>
      </c>
      <c r="C1010" s="4" t="n">
        <v>8904</v>
      </c>
      <c r="D1010" s="4" t="n">
        <v>2693.46</v>
      </c>
      <c r="E1010" s="5" t="n">
        <v>54.5</v>
      </c>
      <c r="F1010" s="3" t="inlineStr">
        <is>
          <t>장군면</t>
        </is>
      </c>
      <c r="G1010" s="3" t="inlineStr">
        <is>
          <t>용암리</t>
        </is>
      </c>
      <c r="H1010" s="3" t="inlineStr">
        <is>
          <t>보전관리지역</t>
        </is>
      </c>
      <c r="I1010" s="3" t="inlineStr">
        <is>
          <t>임야</t>
        </is>
      </c>
      <c r="J1010" s="3" t="inlineStr">
        <is>
          <t>장군면</t>
        </is>
      </c>
    </row>
    <row r="1011">
      <c r="A1011" s="3" t="n">
        <v>2024</v>
      </c>
      <c r="B1011" s="4" t="n">
        <v>63900</v>
      </c>
      <c r="C1011" s="4" t="n">
        <v>3879</v>
      </c>
      <c r="D1011" s="4" t="n">
        <v>1173.3975</v>
      </c>
      <c r="E1011" s="5" t="n">
        <v>54.5</v>
      </c>
      <c r="F1011" s="3" t="inlineStr">
        <is>
          <t>장군면</t>
        </is>
      </c>
      <c r="G1011" s="3" t="inlineStr">
        <is>
          <t>용암리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장군면</t>
        </is>
      </c>
    </row>
    <row r="1012">
      <c r="A1012" s="3" t="n">
        <v>2024</v>
      </c>
      <c r="B1012" s="4" t="n">
        <v>12300</v>
      </c>
      <c r="C1012" s="4" t="n">
        <v>744</v>
      </c>
      <c r="D1012" s="4" t="n">
        <v>225.06</v>
      </c>
      <c r="E1012" s="5" t="n">
        <v>54.7</v>
      </c>
      <c r="F1012" s="3" t="inlineStr">
        <is>
          <t>장군면</t>
        </is>
      </c>
      <c r="G1012" s="3" t="inlineStr">
        <is>
          <t>용암리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장군면</t>
        </is>
      </c>
    </row>
    <row r="1013">
      <c r="A1013" s="3" t="n">
        <v>2024</v>
      </c>
      <c r="B1013" s="4" t="n">
        <v>1100</v>
      </c>
      <c r="C1013" s="4" t="n">
        <v>69</v>
      </c>
      <c r="D1013" s="4" t="n">
        <v>20.8725</v>
      </c>
      <c r="E1013" s="5" t="n">
        <v>52.7</v>
      </c>
      <c r="F1013" s="3" t="inlineStr">
        <is>
          <t>장군면</t>
        </is>
      </c>
      <c r="G1013" s="3" t="inlineStr">
        <is>
          <t>용암리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장군면</t>
        </is>
      </c>
    </row>
    <row r="1014">
      <c r="A1014" s="3" t="n">
        <v>2024</v>
      </c>
      <c r="B1014" s="4" t="n">
        <v>1000</v>
      </c>
      <c r="C1014" s="4" t="n">
        <v>58</v>
      </c>
      <c r="D1014" s="4" t="n">
        <v>17.545</v>
      </c>
      <c r="E1014" s="5" t="n">
        <v>57</v>
      </c>
      <c r="F1014" s="3" t="inlineStr">
        <is>
          <t>장군면</t>
        </is>
      </c>
      <c r="G1014" s="3" t="inlineStr">
        <is>
          <t>용암리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장군면</t>
        </is>
      </c>
    </row>
    <row r="1015">
      <c r="A1015" s="3" t="n">
        <v>2024</v>
      </c>
      <c r="B1015" s="4" t="n">
        <v>82000</v>
      </c>
      <c r="C1015" s="4" t="n">
        <v>1540</v>
      </c>
      <c r="D1015" s="4" t="n">
        <v>465.85</v>
      </c>
      <c r="E1015" s="5" t="n">
        <v>176</v>
      </c>
      <c r="F1015" s="3" t="inlineStr">
        <is>
          <t>연서면</t>
        </is>
      </c>
      <c r="G1015" s="3" t="inlineStr">
        <is>
          <t>와촌리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연서면</t>
        </is>
      </c>
    </row>
    <row r="1016">
      <c r="A1016" s="3" t="n">
        <v>2024</v>
      </c>
      <c r="B1016" s="4" t="n">
        <v>1000</v>
      </c>
      <c r="C1016" s="4" t="n">
        <v>10</v>
      </c>
      <c r="D1016" s="4" t="n">
        <v>3.025</v>
      </c>
      <c r="E1016" s="5" t="n">
        <v>330.6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연서면</t>
        </is>
      </c>
    </row>
    <row r="1017">
      <c r="A1017" s="3" t="n">
        <v>2024</v>
      </c>
      <c r="B1017" s="4" t="n">
        <v>10000</v>
      </c>
      <c r="C1017" s="4" t="n">
        <v>2817</v>
      </c>
      <c r="D1017" s="4" t="n">
        <v>852.1424999999999</v>
      </c>
      <c r="E1017" s="5" t="n">
        <v>11.7</v>
      </c>
      <c r="F1017" s="3" t="inlineStr">
        <is>
          <t>장군면</t>
        </is>
      </c>
      <c r="G1017" s="3" t="inlineStr">
        <is>
          <t>용암리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장군면</t>
        </is>
      </c>
    </row>
    <row r="1018">
      <c r="A1018" s="3" t="n">
        <v>2024</v>
      </c>
      <c r="B1018" s="4" t="n">
        <v>48360</v>
      </c>
      <c r="C1018" s="4" t="n">
        <v>400</v>
      </c>
      <c r="D1018" s="4" t="n">
        <v>121</v>
      </c>
      <c r="E1018" s="5" t="n">
        <v>399.7</v>
      </c>
      <c r="F1018" s="3" t="inlineStr">
        <is>
          <t>금남면</t>
        </is>
      </c>
      <c r="G1018" s="3" t="inlineStr">
        <is>
          <t>부용리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금남면</t>
        </is>
      </c>
    </row>
    <row r="1019">
      <c r="A1019" s="3" t="n">
        <v>2024</v>
      </c>
      <c r="B1019" s="4" t="n">
        <v>1800</v>
      </c>
      <c r="C1019" s="4" t="n">
        <v>184</v>
      </c>
      <c r="D1019" s="4" t="n">
        <v>55.66</v>
      </c>
      <c r="E1019" s="5" t="n">
        <v>32.3</v>
      </c>
      <c r="F1019" s="3" t="inlineStr">
        <is>
          <t>전의면</t>
        </is>
      </c>
      <c r="G1019" s="3" t="inlineStr">
        <is>
          <t>동교리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2024</v>
      </c>
      <c r="B1020" s="4" t="n">
        <v>17980</v>
      </c>
      <c r="C1020" s="4" t="n">
        <v>168</v>
      </c>
      <c r="D1020" s="4" t="n">
        <v>50.82</v>
      </c>
      <c r="E1020" s="5" t="n">
        <v>353.8</v>
      </c>
      <c r="F1020" s="3" t="inlineStr">
        <is>
          <t>반곡동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반곡동</t>
        </is>
      </c>
    </row>
    <row r="1021">
      <c r="A1021" s="3" t="n">
        <v>2024</v>
      </c>
      <c r="B1021" s="4" t="n">
        <v>2400</v>
      </c>
      <c r="C1021" s="4" t="n">
        <v>298</v>
      </c>
      <c r="D1021" s="4" t="n">
        <v>90.145</v>
      </c>
      <c r="E1021" s="5" t="n">
        <v>26.6</v>
      </c>
      <c r="F1021" s="3" t="inlineStr">
        <is>
          <t>장군면</t>
        </is>
      </c>
      <c r="G1021" s="3" t="inlineStr">
        <is>
          <t>용암리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장군면</t>
        </is>
      </c>
    </row>
    <row r="1022">
      <c r="A1022" s="3" t="n">
        <v>2024</v>
      </c>
      <c r="B1022" s="4" t="n">
        <v>73100</v>
      </c>
      <c r="C1022" s="4" t="n">
        <v>8904</v>
      </c>
      <c r="D1022" s="4" t="n">
        <v>2693.46</v>
      </c>
      <c r="E1022" s="5" t="n">
        <v>27.1</v>
      </c>
      <c r="F1022" s="3" t="inlineStr">
        <is>
          <t>장군면</t>
        </is>
      </c>
      <c r="G1022" s="3" t="inlineStr">
        <is>
          <t>용암리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장군면</t>
        </is>
      </c>
    </row>
    <row r="1023">
      <c r="A1023" s="3" t="n">
        <v>2024</v>
      </c>
      <c r="B1023" s="4" t="n">
        <v>31900</v>
      </c>
      <c r="C1023" s="4" t="n">
        <v>3879</v>
      </c>
      <c r="D1023" s="4" t="n">
        <v>1173.3975</v>
      </c>
      <c r="E1023" s="5" t="n">
        <v>27.2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2024</v>
      </c>
      <c r="B1024" s="4" t="n">
        <v>6100</v>
      </c>
      <c r="C1024" s="4" t="n">
        <v>744</v>
      </c>
      <c r="D1024" s="4" t="n">
        <v>225.06</v>
      </c>
      <c r="E1024" s="5" t="n">
        <v>27.1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2024</v>
      </c>
      <c r="B1025" s="4" t="n">
        <v>600</v>
      </c>
      <c r="C1025" s="4" t="n">
        <v>69</v>
      </c>
      <c r="D1025" s="4" t="n">
        <v>20.8725</v>
      </c>
      <c r="E1025" s="5" t="n">
        <v>28.7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2024</v>
      </c>
      <c r="B1026" s="4" t="n">
        <v>500</v>
      </c>
      <c r="C1026" s="4" t="n">
        <v>58</v>
      </c>
      <c r="D1026" s="4" t="n">
        <v>17.545</v>
      </c>
      <c r="E1026" s="5" t="n">
        <v>28.5</v>
      </c>
      <c r="F1026" s="3" t="inlineStr">
        <is>
          <t>장군면</t>
        </is>
      </c>
      <c r="G1026" s="3" t="inlineStr">
        <is>
          <t>용암리</t>
        </is>
      </c>
      <c r="H1026" s="3" t="inlineStr">
        <is>
          <t>보전관리지역</t>
        </is>
      </c>
      <c r="I1026" s="3" t="inlineStr">
        <is>
          <t>임야</t>
        </is>
      </c>
      <c r="J1026" s="3" t="inlineStr">
        <is>
          <t>장군면</t>
        </is>
      </c>
    </row>
    <row r="1027">
      <c r="A1027" s="3" t="n">
        <v>2024</v>
      </c>
      <c r="B1027" s="4" t="n">
        <v>10000</v>
      </c>
      <c r="C1027" s="4" t="n">
        <v>850</v>
      </c>
      <c r="D1027" s="4" t="n">
        <v>257.125</v>
      </c>
      <c r="E1027" s="5" t="n">
        <v>38.9</v>
      </c>
      <c r="F1027" s="3" t="inlineStr">
        <is>
          <t>전동면</t>
        </is>
      </c>
      <c r="G1027" s="3" t="inlineStr">
        <is>
          <t>송성리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2024</v>
      </c>
      <c r="B1028" s="4" t="n">
        <v>24100</v>
      </c>
      <c r="C1028" s="4" t="n">
        <v>8301</v>
      </c>
      <c r="D1028" s="4" t="n">
        <v>2511.0525</v>
      </c>
      <c r="E1028" s="5" t="n">
        <v>9.6</v>
      </c>
      <c r="F1028" s="3" t="inlineStr">
        <is>
          <t>전의면</t>
        </is>
      </c>
      <c r="G1028" s="3" t="inlineStr">
        <is>
          <t>달전리</t>
        </is>
      </c>
      <c r="H1028" s="3" t="inlineStr">
        <is>
          <t>보전관리지역</t>
        </is>
      </c>
      <c r="I1028" s="3" t="inlineStr">
        <is>
          <t>임야</t>
        </is>
      </c>
      <c r="J1028" s="3" t="inlineStr">
        <is>
          <t>전의면</t>
        </is>
      </c>
    </row>
    <row r="1029">
      <c r="A1029" s="3" t="n">
        <v>2024</v>
      </c>
      <c r="B1029" s="4" t="n">
        <v>900</v>
      </c>
      <c r="C1029" s="4" t="n">
        <v>436</v>
      </c>
      <c r="D1029" s="4" t="n">
        <v>131.89</v>
      </c>
      <c r="E1029" s="5" t="n">
        <v>6.8</v>
      </c>
      <c r="F1029" s="3" t="inlineStr">
        <is>
          <t>전의면</t>
        </is>
      </c>
      <c r="G1029" s="3" t="inlineStr">
        <is>
          <t>달전리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전의면</t>
        </is>
      </c>
    </row>
    <row r="1030">
      <c r="A1030" s="3" t="n">
        <v>2022</v>
      </c>
      <c r="B1030" s="4" t="n">
        <v>27400</v>
      </c>
      <c r="C1030" s="4" t="n">
        <v>908</v>
      </c>
      <c r="D1030" s="4" t="n">
        <v>274.67</v>
      </c>
      <c r="E1030" s="5" t="n">
        <v>99.8</v>
      </c>
      <c r="F1030" s="3" t="inlineStr">
        <is>
          <t>전의면</t>
        </is>
      </c>
      <c r="G1030" s="3" t="inlineStr">
        <is>
          <t>양곡리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전의면</t>
        </is>
      </c>
    </row>
    <row r="1031">
      <c r="A1031" s="3" t="n">
        <v>2022</v>
      </c>
      <c r="B1031" s="4" t="n">
        <v>85900</v>
      </c>
      <c r="C1031" s="4" t="n">
        <v>2840</v>
      </c>
      <c r="D1031" s="4" t="n">
        <v>859.1</v>
      </c>
      <c r="E1031" s="5" t="n">
        <v>100</v>
      </c>
      <c r="F1031" s="3" t="inlineStr">
        <is>
          <t>전의면</t>
        </is>
      </c>
      <c r="G1031" s="3" t="inlineStr">
        <is>
          <t>양곡리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7500</v>
      </c>
      <c r="C1032" s="4" t="n">
        <v>248</v>
      </c>
      <c r="D1032" s="4" t="n">
        <v>75.02</v>
      </c>
      <c r="E1032" s="5" t="n">
        <v>100</v>
      </c>
      <c r="F1032" s="3" t="inlineStr">
        <is>
          <t>전의면</t>
        </is>
      </c>
      <c r="G1032" s="3" t="inlineStr">
        <is>
          <t>양곡리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32900</v>
      </c>
      <c r="C1033" s="4" t="n">
        <v>1012</v>
      </c>
      <c r="D1033" s="4" t="n">
        <v>306.13</v>
      </c>
      <c r="E1033" s="5" t="n">
        <v>107.5</v>
      </c>
      <c r="F1033" s="3" t="inlineStr">
        <is>
          <t>전의면</t>
        </is>
      </c>
      <c r="G1033" s="3" t="inlineStr">
        <is>
          <t>양곡리</t>
        </is>
      </c>
      <c r="H1033" s="3" t="inlineStr">
        <is>
          <t>계획관리지역</t>
        </is>
      </c>
      <c r="I1033" s="3" t="inlineStr">
        <is>
          <t>답</t>
        </is>
      </c>
      <c r="J1033" s="3" t="inlineStr">
        <is>
          <t>전의면</t>
        </is>
      </c>
    </row>
    <row r="1034">
      <c r="A1034" s="3" t="n">
        <v>2022</v>
      </c>
      <c r="B1034" s="4" t="n">
        <v>39000</v>
      </c>
      <c r="C1034" s="4" t="n">
        <v>1349</v>
      </c>
      <c r="D1034" s="4" t="n">
        <v>408.0725</v>
      </c>
      <c r="E1034" s="5" t="n">
        <v>95.59999999999999</v>
      </c>
      <c r="F1034" s="3" t="inlineStr">
        <is>
          <t>전의면</t>
        </is>
      </c>
      <c r="G1034" s="3" t="inlineStr">
        <is>
          <t>양곡리</t>
        </is>
      </c>
      <c r="H1034" s="3" t="inlineStr">
        <is>
          <t>계획관리지역</t>
        </is>
      </c>
      <c r="I1034" s="3" t="inlineStr">
        <is>
          <t>전</t>
        </is>
      </c>
      <c r="J1034" s="3" t="inlineStr">
        <is>
          <t>전의면</t>
        </is>
      </c>
    </row>
    <row r="1035">
      <c r="A1035" s="3" t="n">
        <v>2022</v>
      </c>
      <c r="B1035" s="4" t="n">
        <v>22300</v>
      </c>
      <c r="C1035" s="4" t="n">
        <v>736</v>
      </c>
      <c r="D1035" s="4" t="n">
        <v>222.64</v>
      </c>
      <c r="E1035" s="5" t="n">
        <v>100.2</v>
      </c>
      <c r="F1035" s="3" t="inlineStr">
        <is>
          <t>전의면</t>
        </is>
      </c>
      <c r="G1035" s="3" t="inlineStr">
        <is>
          <t>양곡리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전의면</t>
        </is>
      </c>
    </row>
    <row r="1036">
      <c r="A1036" s="3" t="n">
        <v>2022</v>
      </c>
      <c r="B1036" s="4" t="n">
        <v>4300</v>
      </c>
      <c r="C1036" s="4" t="n">
        <v>142</v>
      </c>
      <c r="D1036" s="4" t="n">
        <v>42.955</v>
      </c>
      <c r="E1036" s="5" t="n">
        <v>100.1</v>
      </c>
      <c r="F1036" s="3" t="inlineStr">
        <is>
          <t>전의면</t>
        </is>
      </c>
      <c r="G1036" s="3" t="inlineStr">
        <is>
          <t>양곡리</t>
        </is>
      </c>
      <c r="H1036" s="3" t="inlineStr">
        <is>
          <t>계획관리지역</t>
        </is>
      </c>
      <c r="I1036" s="3" t="inlineStr">
        <is>
          <t>전</t>
        </is>
      </c>
      <c r="J1036" s="3" t="inlineStr">
        <is>
          <t>전의면</t>
        </is>
      </c>
    </row>
    <row r="1037">
      <c r="A1037" s="3" t="n">
        <v>2022</v>
      </c>
      <c r="B1037" s="4" t="n">
        <v>3100</v>
      </c>
      <c r="C1037" s="4" t="n">
        <v>102</v>
      </c>
      <c r="D1037" s="4" t="n">
        <v>30.855</v>
      </c>
      <c r="E1037" s="5" t="n">
        <v>100.5</v>
      </c>
      <c r="F1037" s="3" t="inlineStr">
        <is>
          <t>전의면</t>
        </is>
      </c>
      <c r="G1037" s="3" t="inlineStr">
        <is>
          <t>양곡리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전의면</t>
        </is>
      </c>
    </row>
    <row r="1038">
      <c r="A1038" s="3" t="n">
        <v>2022</v>
      </c>
      <c r="B1038" s="4" t="n">
        <v>69216</v>
      </c>
      <c r="C1038" s="4" t="n">
        <v>1475</v>
      </c>
      <c r="D1038" s="4" t="n">
        <v>446.1875</v>
      </c>
      <c r="E1038" s="5" t="n">
        <v>155.1</v>
      </c>
      <c r="F1038" s="3" t="inlineStr">
        <is>
          <t>연서면</t>
        </is>
      </c>
      <c r="G1038" s="3" t="inlineStr">
        <is>
          <t>고복리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2022</v>
      </c>
      <c r="B1039" s="4" t="n">
        <v>18000</v>
      </c>
      <c r="C1039" s="4" t="n">
        <v>1018</v>
      </c>
      <c r="D1039" s="4" t="n">
        <v>307.945</v>
      </c>
      <c r="E1039" s="5" t="n">
        <v>58.5</v>
      </c>
      <c r="F1039" s="3" t="inlineStr">
        <is>
          <t>연서면</t>
        </is>
      </c>
      <c r="G1039" s="3" t="inlineStr">
        <is>
          <t>쌍류리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연서면</t>
        </is>
      </c>
    </row>
    <row r="1040">
      <c r="A1040" s="3" t="n">
        <v>2022</v>
      </c>
      <c r="B1040" s="4" t="n">
        <v>20000</v>
      </c>
      <c r="C1040" s="4" t="n">
        <v>1894</v>
      </c>
      <c r="D1040" s="4" t="n">
        <v>572.9349999999999</v>
      </c>
      <c r="E1040" s="5" t="n">
        <v>34.9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전의면</t>
        </is>
      </c>
    </row>
    <row r="1041">
      <c r="A1041" s="3" t="n">
        <v>2022</v>
      </c>
      <c r="B1041" s="4" t="n">
        <v>40000</v>
      </c>
      <c r="C1041" s="4" t="n">
        <v>1177</v>
      </c>
      <c r="D1041" s="4" t="n">
        <v>356.0425</v>
      </c>
      <c r="E1041" s="5" t="n">
        <v>112.3</v>
      </c>
      <c r="F1041" s="3" t="inlineStr">
        <is>
          <t>금남면</t>
        </is>
      </c>
      <c r="G1041" s="3" t="inlineStr">
        <is>
          <t>두만리</t>
        </is>
      </c>
      <c r="H1041" s="3" t="inlineStr">
        <is>
          <t>개발제한구역</t>
        </is>
      </c>
      <c r="I1041" s="3" t="inlineStr">
        <is>
          <t>답</t>
        </is>
      </c>
      <c r="J1041" s="3" t="inlineStr">
        <is>
          <t>금남면</t>
        </is>
      </c>
    </row>
    <row r="1042">
      <c r="A1042" s="3" t="n">
        <v>2022</v>
      </c>
      <c r="B1042" s="4" t="n">
        <v>30000</v>
      </c>
      <c r="C1042" s="4" t="n">
        <v>496</v>
      </c>
      <c r="D1042" s="4" t="n">
        <v>150.04</v>
      </c>
      <c r="E1042" s="5" t="n">
        <v>199.9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4" t="n">
        <v>542.95725</v>
      </c>
      <c r="E1043" s="5" t="n">
        <v>76</v>
      </c>
      <c r="F1043" s="3" t="inlineStr">
        <is>
          <t>연동면</t>
        </is>
      </c>
      <c r="G1043" s="3" t="inlineStr">
        <is>
          <t>예양리</t>
        </is>
      </c>
      <c r="H1043" s="3" t="inlineStr">
        <is>
          <t>농림지역</t>
        </is>
      </c>
      <c r="I1043" s="3" t="inlineStr">
        <is>
          <t>답</t>
        </is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4" t="n">
        <v>6.3525</v>
      </c>
      <c r="E1044" s="5" t="n">
        <v>198.3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전</t>
        </is>
      </c>
      <c r="J1044" s="3" t="inlineStr">
        <is>
          <t>부강면</t>
        </is>
      </c>
    </row>
    <row r="1045">
      <c r="A1045" s="3" t="n">
        <v>2022</v>
      </c>
      <c r="B1045" s="4" t="n">
        <v>16000</v>
      </c>
      <c r="C1045" s="4" t="n">
        <v>1388</v>
      </c>
      <c r="D1045" s="4" t="n">
        <v>419.87</v>
      </c>
      <c r="E1045" s="5" t="n">
        <v>38.1</v>
      </c>
      <c r="F1045" s="3" t="inlineStr">
        <is>
          <t>장군면</t>
        </is>
      </c>
      <c r="G1045" s="3" t="inlineStr">
        <is>
          <t>산학리</t>
        </is>
      </c>
      <c r="H1045" s="3" t="inlineStr">
        <is>
          <t>생산관리지역</t>
        </is>
      </c>
      <c r="I1045" s="3" t="inlineStr">
        <is>
          <t>전</t>
        </is>
      </c>
      <c r="J1045" s="3" t="inlineStr">
        <is>
          <t>장군면</t>
        </is>
      </c>
    </row>
    <row r="1046">
      <c r="A1046" s="3" t="n">
        <v>2022</v>
      </c>
      <c r="B1046" s="4" t="n">
        <v>1000</v>
      </c>
      <c r="C1046" s="4" t="n">
        <v>397</v>
      </c>
      <c r="D1046" s="4" t="n">
        <v>120.0925</v>
      </c>
      <c r="E1046" s="5" t="n">
        <v>8.300000000000001</v>
      </c>
      <c r="F1046" s="3" t="inlineStr">
        <is>
          <t>전동면</t>
        </is>
      </c>
      <c r="G1046" s="3" t="inlineStr">
        <is>
          <t>송성리</t>
        </is>
      </c>
      <c r="H1046" s="3" t="inlineStr">
        <is>
          <t>계획관리지역</t>
        </is>
      </c>
      <c r="I1046" s="3" t="inlineStr">
        <is>
          <t>전</t>
        </is>
      </c>
      <c r="J1046" s="3" t="inlineStr">
        <is>
          <t>전동면</t>
        </is>
      </c>
    </row>
    <row r="1047">
      <c r="A1047" s="3" t="n">
        <v>2022</v>
      </c>
      <c r="B1047" s="4" t="n">
        <v>7500</v>
      </c>
      <c r="C1047" s="4" t="n">
        <v>200</v>
      </c>
      <c r="D1047" s="4" t="n">
        <v>60.5</v>
      </c>
      <c r="E1047" s="5" t="n">
        <v>124</v>
      </c>
      <c r="F1047" s="3" t="inlineStr">
        <is>
          <t>금남면</t>
        </is>
      </c>
      <c r="G1047" s="3" t="inlineStr">
        <is>
          <t>두만리</t>
        </is>
      </c>
      <c r="H1047" s="3" t="inlineStr">
        <is>
          <t>개발제한구역</t>
        </is>
      </c>
      <c r="I1047" s="3" t="inlineStr">
        <is>
          <t>답</t>
        </is>
      </c>
      <c r="J1047" s="3" t="inlineStr">
        <is>
          <t>금남면</t>
        </is>
      </c>
    </row>
    <row r="1048">
      <c r="A1048" s="3" t="n">
        <v>2022</v>
      </c>
      <c r="B1048" s="4" t="n">
        <v>30000</v>
      </c>
      <c r="C1048" s="4" t="n">
        <v>4000</v>
      </c>
      <c r="D1048" s="4" t="n">
        <v>1210</v>
      </c>
      <c r="E1048" s="5" t="n">
        <v>24.8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전동면</t>
        </is>
      </c>
    </row>
    <row r="1049">
      <c r="A1049" s="3" t="n">
        <v>2022</v>
      </c>
      <c r="B1049" s="4" t="n">
        <v>3000</v>
      </c>
      <c r="C1049" s="4" t="n">
        <v>340</v>
      </c>
      <c r="D1049" s="4" t="n">
        <v>102.85</v>
      </c>
      <c r="E1049" s="5" t="n">
        <v>29.2</v>
      </c>
      <c r="F1049" s="3" t="inlineStr">
        <is>
          <t>소정면</t>
        </is>
      </c>
      <c r="G1049" s="3" t="inlineStr">
        <is>
          <t>운당리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소정면</t>
        </is>
      </c>
    </row>
    <row r="1050">
      <c r="A1050" s="3" t="n">
        <v>2022</v>
      </c>
      <c r="B1050" s="4" t="n">
        <v>5029</v>
      </c>
      <c r="C1050" s="4" t="n">
        <v>494</v>
      </c>
      <c r="D1050" s="4" t="n">
        <v>149.435</v>
      </c>
      <c r="E1050" s="5" t="n">
        <v>33.7</v>
      </c>
      <c r="F1050" s="3" t="inlineStr">
        <is>
          <t>전동면</t>
        </is>
      </c>
      <c r="G1050" s="3" t="inlineStr">
        <is>
          <t>봉대리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전동면</t>
        </is>
      </c>
    </row>
    <row r="1051">
      <c r="A1051" s="3" t="n">
        <v>2022</v>
      </c>
      <c r="B1051" s="4" t="n">
        <v>63000</v>
      </c>
      <c r="C1051" s="4" t="n">
        <v>1018</v>
      </c>
      <c r="D1051" s="4" t="n">
        <v>307.945</v>
      </c>
      <c r="E1051" s="5" t="n">
        <v>204.6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45600</v>
      </c>
      <c r="C1052" s="4" t="n">
        <v>793</v>
      </c>
      <c r="D1052" s="4" t="n">
        <v>239.8825</v>
      </c>
      <c r="E1052" s="5" t="n">
        <v>190.1</v>
      </c>
      <c r="F1052" s="3" t="inlineStr">
        <is>
          <t>금남면</t>
        </is>
      </c>
      <c r="G1052" s="3" t="inlineStr">
        <is>
          <t>대박리</t>
        </is>
      </c>
      <c r="H1052" s="3" t="inlineStr">
        <is>
          <t>개발제한구역</t>
        </is>
      </c>
      <c r="I1052" s="3" t="inlineStr">
        <is>
          <t>답</t>
        </is>
      </c>
      <c r="J1052" s="3" t="inlineStr">
        <is>
          <t>금남면</t>
        </is>
      </c>
    </row>
    <row r="1053">
      <c r="A1053" s="3" t="n">
        <v>2022</v>
      </c>
      <c r="B1053" s="4" t="n">
        <v>19560</v>
      </c>
      <c r="C1053" s="4" t="n">
        <v>149</v>
      </c>
      <c r="D1053" s="4" t="n">
        <v>45.0725</v>
      </c>
      <c r="E1053" s="5" t="n">
        <v>434</v>
      </c>
      <c r="F1053" s="3" t="inlineStr">
        <is>
          <t>연서면</t>
        </is>
      </c>
      <c r="G1053" s="3" t="inlineStr">
        <is>
          <t>용암리</t>
        </is>
      </c>
      <c r="H1053" s="3" t="inlineStr">
        <is>
          <t>농림지역</t>
        </is>
      </c>
      <c r="I1053" s="3" t="inlineStr">
        <is>
          <t>대</t>
        </is>
      </c>
      <c r="J1053" s="3" t="inlineStr">
        <is>
          <t>연서면</t>
        </is>
      </c>
    </row>
    <row r="1054">
      <c r="A1054" s="3" t="n">
        <v>2022</v>
      </c>
      <c r="B1054" s="4" t="n">
        <v>15600</v>
      </c>
      <c r="C1054" s="4" t="n">
        <v>119</v>
      </c>
      <c r="D1054" s="4" t="n">
        <v>35.9975</v>
      </c>
      <c r="E1054" s="5" t="n">
        <v>433.4</v>
      </c>
      <c r="F1054" s="3" t="inlineStr">
        <is>
          <t>연서면</t>
        </is>
      </c>
      <c r="G1054" s="3" t="inlineStr">
        <is>
          <t>용암리</t>
        </is>
      </c>
      <c r="H1054" s="3" t="inlineStr">
        <is>
          <t>농림지역</t>
        </is>
      </c>
      <c r="I1054" s="3" t="inlineStr">
        <is>
          <t>전</t>
        </is>
      </c>
      <c r="J1054" s="3" t="inlineStr">
        <is>
          <t>연서면</t>
        </is>
      </c>
    </row>
    <row r="1055">
      <c r="A1055" s="3" t="n">
        <v>2022</v>
      </c>
      <c r="B1055" s="4" t="n">
        <v>24840</v>
      </c>
      <c r="C1055" s="4" t="n">
        <v>189</v>
      </c>
      <c r="D1055" s="4" t="n">
        <v>57.1725</v>
      </c>
      <c r="E1055" s="5" t="n">
        <v>434.5</v>
      </c>
      <c r="F1055" s="3" t="inlineStr">
        <is>
          <t>연서면</t>
        </is>
      </c>
      <c r="G1055" s="3" t="inlineStr">
        <is>
          <t>용암리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3000</v>
      </c>
      <c r="C1056" s="4" t="n">
        <v>367</v>
      </c>
      <c r="D1056" s="4" t="n">
        <v>111.0175</v>
      </c>
      <c r="E1056" s="5" t="n">
        <v>27</v>
      </c>
      <c r="F1056" s="3" t="inlineStr">
        <is>
          <t>연동면</t>
        </is>
      </c>
      <c r="G1056" s="3" t="inlineStr">
        <is>
          <t>노송리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20000</v>
      </c>
      <c r="C1057" s="4" t="n">
        <v>1009</v>
      </c>
      <c r="D1057" s="4" t="n">
        <v>305.2225</v>
      </c>
      <c r="E1057" s="5" t="n">
        <v>65.5</v>
      </c>
      <c r="F1057" s="3" t="inlineStr">
        <is>
          <t>금남면</t>
        </is>
      </c>
      <c r="G1057" s="3" t="inlineStr">
        <is>
          <t>영대리</t>
        </is>
      </c>
      <c r="H1057" s="3" t="inlineStr">
        <is>
          <t>개발제한구역</t>
        </is>
      </c>
      <c r="I1057" s="3" t="inlineStr">
        <is>
          <t>전</t>
        </is>
      </c>
      <c r="J1057" s="3" t="inlineStr">
        <is>
          <t>금남면</t>
        </is>
      </c>
    </row>
    <row r="1058">
      <c r="A1058" s="3" t="n">
        <v>2022</v>
      </c>
      <c r="B1058" s="4" t="n">
        <v>23700</v>
      </c>
      <c r="C1058" s="4" t="n">
        <v>1306</v>
      </c>
      <c r="D1058" s="4" t="n">
        <v>395.065</v>
      </c>
      <c r="E1058" s="5" t="n">
        <v>60</v>
      </c>
      <c r="F1058" s="3" t="inlineStr">
        <is>
          <t>연서면</t>
        </is>
      </c>
      <c r="G1058" s="3" t="inlineStr">
        <is>
          <t>쌍류리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연서면</t>
        </is>
      </c>
    </row>
    <row r="1059">
      <c r="A1059" s="3" t="n">
        <v>2023</v>
      </c>
      <c r="B1059" s="4" t="n">
        <v>12000</v>
      </c>
      <c r="C1059" s="4" t="n">
        <v>433</v>
      </c>
      <c r="D1059" s="4" t="n">
        <v>130.9825</v>
      </c>
      <c r="E1059" s="5" t="n">
        <v>91.59999999999999</v>
      </c>
      <c r="F1059" s="3" t="inlineStr">
        <is>
          <t>조치원읍</t>
        </is>
      </c>
      <c r="G1059" s="3" t="inlineStr">
        <is>
          <t>봉산리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조치원읍</t>
        </is>
      </c>
    </row>
    <row r="1060">
      <c r="A1060" s="3" t="n">
        <v>2023</v>
      </c>
      <c r="B1060" s="4" t="n">
        <v>4917</v>
      </c>
      <c r="C1060" s="4" t="n">
        <v>647</v>
      </c>
      <c r="D1060" s="4" t="n">
        <v>195.7175</v>
      </c>
      <c r="E1060" s="5" t="n">
        <v>25.1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소정면</t>
        </is>
      </c>
    </row>
    <row r="1061">
      <c r="A1061" s="3" t="n">
        <v>2023</v>
      </c>
      <c r="B1061" s="4" t="n">
        <v>9173</v>
      </c>
      <c r="C1061" s="4" t="n">
        <v>1207</v>
      </c>
      <c r="D1061" s="4" t="n">
        <v>365.1175</v>
      </c>
      <c r="E1061" s="5" t="n">
        <v>25.1</v>
      </c>
      <c r="F1061" s="3" t="inlineStr">
        <is>
          <t>소정면</t>
        </is>
      </c>
      <c r="G1061" s="3" t="inlineStr">
        <is>
          <t>대곡리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소정면</t>
        </is>
      </c>
    </row>
    <row r="1062">
      <c r="A1062" s="3" t="n">
        <v>2023</v>
      </c>
      <c r="B1062" s="4" t="n">
        <v>1500</v>
      </c>
      <c r="C1062" s="4" t="n">
        <v>13</v>
      </c>
      <c r="D1062" s="4" t="n">
        <v>3.9325</v>
      </c>
      <c r="E1062" s="5" t="n">
        <v>381.4</v>
      </c>
      <c r="F1062" s="3" t="inlineStr">
        <is>
          <t>조치원읍</t>
        </is>
      </c>
      <c r="G1062" s="3" t="inlineStr">
        <is>
          <t>신안리</t>
        </is>
      </c>
      <c r="H1062" s="3" t="inlineStr">
        <is>
          <t>자연녹지지역</t>
        </is>
      </c>
      <c r="I1062" s="3" t="inlineStr">
        <is>
          <t>대</t>
        </is>
      </c>
      <c r="J1062" s="3" t="inlineStr">
        <is>
          <t>조치원읍</t>
        </is>
      </c>
    </row>
    <row r="1063">
      <c r="A1063" s="3" t="n">
        <v>2023</v>
      </c>
      <c r="B1063" s="4" t="n">
        <v>500</v>
      </c>
      <c r="C1063" s="4" t="n">
        <v>159</v>
      </c>
      <c r="D1063" s="4" t="n">
        <v>48.0975</v>
      </c>
      <c r="E1063" s="5" t="n">
        <v>10.4</v>
      </c>
      <c r="F1063" s="3" t="inlineStr">
        <is>
          <t>전의면</t>
        </is>
      </c>
      <c r="G1063" s="3" t="inlineStr">
        <is>
          <t>양곡리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4000</v>
      </c>
      <c r="C1064" s="4" t="n">
        <v>666</v>
      </c>
      <c r="D1064" s="4" t="n">
        <v>201.465</v>
      </c>
      <c r="E1064" s="5" t="n">
        <v>19.9</v>
      </c>
      <c r="F1064" s="3" t="inlineStr">
        <is>
          <t>전의면</t>
        </is>
      </c>
      <c r="G1064" s="3" t="inlineStr">
        <is>
          <t>양곡리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전의면</t>
        </is>
      </c>
    </row>
    <row r="1065">
      <c r="A1065" s="3" t="n">
        <v>2023</v>
      </c>
      <c r="B1065" s="4" t="n">
        <v>18400</v>
      </c>
      <c r="C1065" s="4" t="n">
        <v>4056</v>
      </c>
      <c r="D1065" s="4" t="n">
        <v>1226.94</v>
      </c>
      <c r="E1065" s="5" t="n">
        <v>15</v>
      </c>
      <c r="F1065" s="3" t="inlineStr">
        <is>
          <t>전동면</t>
        </is>
      </c>
      <c r="G1065" s="3" t="inlineStr">
        <is>
          <t>노장리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전동면</t>
        </is>
      </c>
    </row>
    <row r="1066">
      <c r="A1066" s="3" t="n">
        <v>2023</v>
      </c>
      <c r="B1066" s="4" t="n">
        <v>21000</v>
      </c>
      <c r="C1066" s="4" t="n">
        <v>839</v>
      </c>
      <c r="D1066" s="4" t="n">
        <v>253.7975</v>
      </c>
      <c r="E1066" s="5" t="n">
        <v>82.7</v>
      </c>
      <c r="F1066" s="3" t="inlineStr">
        <is>
          <t>전의면</t>
        </is>
      </c>
      <c r="G1066" s="3" t="inlineStr">
        <is>
          <t>서정리</t>
        </is>
      </c>
      <c r="H1066" s="3" t="inlineStr">
        <is>
          <t>계획관리지역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2023</v>
      </c>
      <c r="B1067" s="4" t="n">
        <v>95000</v>
      </c>
      <c r="C1067" s="4" t="n">
        <v>3657</v>
      </c>
      <c r="D1067" s="4" t="n">
        <v>1106.2425</v>
      </c>
      <c r="E1067" s="5" t="n">
        <v>85.90000000000001</v>
      </c>
      <c r="F1067" s="3" t="inlineStr">
        <is>
          <t>전동면</t>
        </is>
      </c>
      <c r="G1067" s="3" t="inlineStr">
        <is>
          <t>송곡리</t>
        </is>
      </c>
      <c r="H1067" s="3" t="inlineStr">
        <is>
          <t>생산관리지역</t>
        </is>
      </c>
      <c r="I1067" s="3" t="inlineStr">
        <is>
          <t>답</t>
        </is>
      </c>
      <c r="J1067" s="3" t="inlineStr">
        <is>
          <t>전동면</t>
        </is>
      </c>
    </row>
    <row r="1068">
      <c r="A1068" s="3" t="n">
        <v>2023</v>
      </c>
      <c r="B1068" s="4" t="n">
        <v>60000</v>
      </c>
      <c r="C1068" s="4" t="n">
        <v>4096</v>
      </c>
      <c r="D1068" s="4" t="n">
        <v>1239.04</v>
      </c>
      <c r="E1068" s="5" t="n">
        <v>48.4</v>
      </c>
      <c r="F1068" s="3" t="inlineStr">
        <is>
          <t>금남면</t>
        </is>
      </c>
      <c r="G1068" s="3" t="inlineStr">
        <is>
          <t>두만리</t>
        </is>
      </c>
      <c r="H1068" s="3" t="inlineStr">
        <is>
          <t>개발제한구역</t>
        </is>
      </c>
      <c r="I1068" s="3" t="inlineStr">
        <is>
          <t>전</t>
        </is>
      </c>
      <c r="J1068" s="3" t="inlineStr">
        <is>
          <t>금남면</t>
        </is>
      </c>
    </row>
    <row r="1069">
      <c r="A1069" s="3" t="n">
        <v>2023</v>
      </c>
      <c r="B1069" s="4" t="n">
        <v>5000</v>
      </c>
      <c r="C1069" s="4" t="n">
        <v>1473</v>
      </c>
      <c r="D1069" s="4" t="n">
        <v>445.5825</v>
      </c>
      <c r="E1069" s="5" t="n">
        <v>11.2</v>
      </c>
      <c r="F1069" s="3" t="inlineStr">
        <is>
          <t>금남면</t>
        </is>
      </c>
      <c r="G1069" s="3" t="inlineStr">
        <is>
          <t>두만리</t>
        </is>
      </c>
      <c r="H1069" s="3" t="inlineStr">
        <is>
          <t>개발제한구역</t>
        </is>
      </c>
      <c r="I1069" s="3" t="inlineStr">
        <is>
          <t>임야</t>
        </is>
      </c>
      <c r="J1069" s="3" t="inlineStr">
        <is>
          <t>금남면</t>
        </is>
      </c>
    </row>
    <row r="1070">
      <c r="A1070" s="3" t="n">
        <v>2023</v>
      </c>
      <c r="B1070" s="4" t="n">
        <v>29661</v>
      </c>
      <c r="C1070" s="4" t="n">
        <v>598</v>
      </c>
      <c r="D1070" s="4" t="n">
        <v>180.895</v>
      </c>
      <c r="E1070" s="5" t="n">
        <v>164</v>
      </c>
      <c r="F1070" s="3" t="inlineStr">
        <is>
          <t>연동면</t>
        </is>
      </c>
      <c r="G1070" s="3" t="inlineStr">
        <is>
          <t>명학리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연동면</t>
        </is>
      </c>
    </row>
    <row r="1071">
      <c r="A1071" s="3" t="n">
        <v>2023</v>
      </c>
      <c r="B1071" s="4" t="n">
        <v>25792</v>
      </c>
      <c r="C1071" s="4" t="n">
        <v>520</v>
      </c>
      <c r="D1071" s="4" t="n">
        <v>157.3</v>
      </c>
      <c r="E1071" s="5" t="n">
        <v>164</v>
      </c>
      <c r="F1071" s="3" t="inlineStr">
        <is>
          <t>연동면</t>
        </is>
      </c>
      <c r="G1071" s="3" t="inlineStr">
        <is>
          <t>명학리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연동면</t>
        </is>
      </c>
    </row>
    <row r="1072">
      <c r="A1072" s="3" t="n">
        <v>2023</v>
      </c>
      <c r="B1072" s="4" t="n">
        <v>2856</v>
      </c>
      <c r="C1072" s="4" t="n">
        <v>336</v>
      </c>
      <c r="D1072" s="4" t="n">
        <v>101.64</v>
      </c>
      <c r="E1072" s="5" t="n">
        <v>28.1</v>
      </c>
      <c r="F1072" s="3" t="inlineStr">
        <is>
          <t>부강면</t>
        </is>
      </c>
      <c r="G1072" s="3" t="inlineStr">
        <is>
          <t>등곡리</t>
        </is>
      </c>
      <c r="H1072" s="3" t="inlineStr">
        <is>
          <t>생산관리지역</t>
        </is>
      </c>
      <c r="I1072" s="3" t="inlineStr">
        <is>
          <t>전</t>
        </is>
      </c>
      <c r="J1072" s="3" t="inlineStr">
        <is>
          <t>부강면</t>
        </is>
      </c>
    </row>
    <row r="1073">
      <c r="A1073" s="3" t="n">
        <v>2023</v>
      </c>
      <c r="B1073" s="4" t="n">
        <v>8926</v>
      </c>
      <c r="C1073" s="4" t="n">
        <v>282</v>
      </c>
      <c r="D1073" s="4" t="n">
        <v>85.30499999999999</v>
      </c>
      <c r="E1073" s="5" t="n">
        <v>104.6</v>
      </c>
      <c r="F1073" s="3" t="inlineStr">
        <is>
          <t>연기면</t>
        </is>
      </c>
      <c r="G1073" s="3" t="inlineStr">
        <is>
          <t>수산리</t>
        </is>
      </c>
      <c r="H1073" s="3" t="inlineStr">
        <is>
          <t>보전관리지역</t>
        </is>
      </c>
      <c r="I1073" s="3" t="inlineStr">
        <is>
          <t>임야</t>
        </is>
      </c>
      <c r="J1073" s="3" t="inlineStr">
        <is>
          <t>연기면</t>
        </is>
      </c>
    </row>
    <row r="1074">
      <c r="A1074" s="3" t="n">
        <v>2023</v>
      </c>
      <c r="B1074" s="4" t="n">
        <v>7660</v>
      </c>
      <c r="C1074" s="4" t="n">
        <v>242</v>
      </c>
      <c r="D1074" s="4" t="n">
        <v>73.205</v>
      </c>
      <c r="E1074" s="5" t="n">
        <v>104.6</v>
      </c>
      <c r="F1074" s="3" t="inlineStr">
        <is>
          <t>연기면</t>
        </is>
      </c>
      <c r="G1074" s="3" t="inlineStr">
        <is>
          <t>수산리</t>
        </is>
      </c>
      <c r="H1074" s="3" t="inlineStr">
        <is>
          <t>보전관리지역</t>
        </is>
      </c>
      <c r="I1074" s="3" t="inlineStr">
        <is>
          <t>임야</t>
        </is>
      </c>
      <c r="J1074" s="3" t="inlineStr">
        <is>
          <t>연기면</t>
        </is>
      </c>
    </row>
    <row r="1075">
      <c r="A1075" s="3" t="n">
        <v>2023</v>
      </c>
      <c r="B1075" s="4" t="n">
        <v>1614</v>
      </c>
      <c r="C1075" s="4" t="n">
        <v>51</v>
      </c>
      <c r="D1075" s="4" t="n">
        <v>15.4275</v>
      </c>
      <c r="E1075" s="5" t="n">
        <v>104.6</v>
      </c>
      <c r="F1075" s="3" t="inlineStr">
        <is>
          <t>연기면</t>
        </is>
      </c>
      <c r="G1075" s="3" t="inlineStr">
        <is>
          <t>수산리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연기면</t>
        </is>
      </c>
    </row>
    <row r="1076">
      <c r="A1076" s="3" t="n">
        <v>2023</v>
      </c>
      <c r="B1076" s="4" t="n">
        <v>25680</v>
      </c>
      <c r="C1076" s="4" t="n">
        <v>1416.2</v>
      </c>
      <c r="D1076" s="4" t="n">
        <v>428.4005</v>
      </c>
      <c r="E1076" s="5" t="n">
        <v>59.9</v>
      </c>
      <c r="F1076" s="3" t="inlineStr">
        <is>
          <t>연동면</t>
        </is>
      </c>
      <c r="G1076" s="3" t="inlineStr">
        <is>
          <t>예양리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연동면</t>
        </is>
      </c>
    </row>
    <row r="1077">
      <c r="A1077" s="3" t="n">
        <v>2023</v>
      </c>
      <c r="B1077" s="4" t="n">
        <v>1200</v>
      </c>
      <c r="C1077" s="4" t="n">
        <v>291</v>
      </c>
      <c r="D1077" s="4" t="n">
        <v>88.0275</v>
      </c>
      <c r="E1077" s="5" t="n">
        <v>13.6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보전관리지역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2023</v>
      </c>
      <c r="B1078" s="4" t="n">
        <v>11435</v>
      </c>
      <c r="C1078" s="4" t="n">
        <v>315</v>
      </c>
      <c r="D1078" s="4" t="n">
        <v>95.28749999999999</v>
      </c>
      <c r="E1078" s="5" t="n">
        <v>120</v>
      </c>
      <c r="F1078" s="3" t="inlineStr">
        <is>
          <t>장군면</t>
        </is>
      </c>
      <c r="G1078" s="3" t="inlineStr">
        <is>
          <t>송문리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장군면</t>
        </is>
      </c>
    </row>
    <row r="1079">
      <c r="A1079" s="3" t="n">
        <v>2023</v>
      </c>
      <c r="B1079" s="4" t="n">
        <v>11326</v>
      </c>
      <c r="C1079" s="4" t="n">
        <v>312</v>
      </c>
      <c r="D1079" s="4" t="n">
        <v>94.38</v>
      </c>
      <c r="E1079" s="5" t="n">
        <v>120</v>
      </c>
      <c r="F1079" s="3" t="inlineStr">
        <is>
          <t>장군면</t>
        </is>
      </c>
      <c r="G1079" s="3" t="inlineStr">
        <is>
          <t>송문리</t>
        </is>
      </c>
      <c r="H1079" s="3" t="inlineStr">
        <is>
          <t>보전관리지역</t>
        </is>
      </c>
      <c r="I1079" s="3" t="inlineStr">
        <is>
          <t>임야</t>
        </is>
      </c>
      <c r="J1079" s="3" t="inlineStr">
        <is>
          <t>장군면</t>
        </is>
      </c>
    </row>
    <row r="1080">
      <c r="A1080" s="3" t="n">
        <v>2023</v>
      </c>
      <c r="B1080" s="4" t="n">
        <v>5000</v>
      </c>
      <c r="C1080" s="4" t="n">
        <v>463</v>
      </c>
      <c r="D1080" s="4" t="n">
        <v>140.0575</v>
      </c>
      <c r="E1080" s="5" t="n">
        <v>35.7</v>
      </c>
      <c r="F1080" s="3" t="inlineStr">
        <is>
          <t>전의면</t>
        </is>
      </c>
      <c r="G1080" s="3" t="inlineStr">
        <is>
          <t>다방리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전의면</t>
        </is>
      </c>
    </row>
    <row r="1081">
      <c r="A1081" s="3" t="n">
        <v>2023</v>
      </c>
      <c r="B1081" s="4" t="n">
        <v>11180</v>
      </c>
      <c r="C1081" s="4" t="n">
        <v>308</v>
      </c>
      <c r="D1081" s="4" t="n">
        <v>93.17</v>
      </c>
      <c r="E1081" s="5" t="n">
        <v>120</v>
      </c>
      <c r="F1081" s="3" t="inlineStr">
        <is>
          <t>장군면</t>
        </is>
      </c>
      <c r="G1081" s="3" t="inlineStr">
        <is>
          <t>송문리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장군면</t>
        </is>
      </c>
    </row>
    <row r="1082">
      <c r="A1082" s="3" t="n">
        <v>2023</v>
      </c>
      <c r="B1082" s="4" t="n">
        <v>7000</v>
      </c>
      <c r="C1082" s="4" t="n">
        <v>333</v>
      </c>
      <c r="D1082" s="4" t="n">
        <v>100.7325</v>
      </c>
      <c r="E1082" s="5" t="n">
        <v>69.5</v>
      </c>
      <c r="F1082" s="3" t="inlineStr">
        <is>
          <t>금남면</t>
        </is>
      </c>
      <c r="G1082" s="3" t="inlineStr">
        <is>
          <t>영곡리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금남면</t>
        </is>
      </c>
    </row>
    <row r="1083">
      <c r="A1083" s="3" t="n">
        <v>2023</v>
      </c>
      <c r="B1083" s="4" t="n">
        <v>3674</v>
      </c>
      <c r="C1083" s="4" t="n">
        <v>310</v>
      </c>
      <c r="D1083" s="4" t="n">
        <v>93.77499999999999</v>
      </c>
      <c r="E1083" s="5" t="n">
        <v>39.2</v>
      </c>
      <c r="F1083" s="3" t="inlineStr">
        <is>
          <t>전동면</t>
        </is>
      </c>
      <c r="G1083" s="3" t="inlineStr">
        <is>
          <t>노장리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전동면</t>
        </is>
      </c>
    </row>
    <row r="1084">
      <c r="A1084" s="3" t="n">
        <v>2023</v>
      </c>
      <c r="B1084" s="4" t="n">
        <v>19778</v>
      </c>
      <c r="C1084" s="4" t="n">
        <v>2254</v>
      </c>
      <c r="D1084" s="4" t="n">
        <v>681.835</v>
      </c>
      <c r="E1084" s="5" t="n">
        <v>29</v>
      </c>
      <c r="F1084" s="3" t="inlineStr">
        <is>
          <t>장군면</t>
        </is>
      </c>
      <c r="G1084" s="3" t="inlineStr">
        <is>
          <t>송문리</t>
        </is>
      </c>
      <c r="H1084" s="3" t="inlineStr">
        <is>
          <t>보전관리지역</t>
        </is>
      </c>
      <c r="I1084" s="3" t="inlineStr">
        <is>
          <t>임야</t>
        </is>
      </c>
      <c r="J1084" s="3" t="inlineStr">
        <is>
          <t>장군면</t>
        </is>
      </c>
    </row>
    <row r="1085">
      <c r="A1085" s="3" t="n">
        <v>2023</v>
      </c>
      <c r="B1085" s="4" t="n">
        <v>33200</v>
      </c>
      <c r="C1085" s="4" t="n">
        <v>523</v>
      </c>
      <c r="D1085" s="4" t="n">
        <v>158.2075</v>
      </c>
      <c r="E1085" s="5" t="n">
        <v>209.9</v>
      </c>
      <c r="F1085" s="3" t="inlineStr">
        <is>
          <t>연서면</t>
        </is>
      </c>
      <c r="G1085" s="3" t="inlineStr">
        <is>
          <t>신대리</t>
        </is>
      </c>
      <c r="H1085" s="3" t="inlineStr">
        <is>
          <t>보전관리지역</t>
        </is>
      </c>
      <c r="I1085" s="3" t="inlineStr">
        <is>
          <t>임야</t>
        </is>
      </c>
      <c r="J1085" s="3" t="inlineStr">
        <is>
          <t>연서면</t>
        </is>
      </c>
    </row>
    <row r="1086">
      <c r="A1086" s="3" t="n">
        <v>2023</v>
      </c>
      <c r="B1086" s="4" t="n">
        <v>37800</v>
      </c>
      <c r="C1086" s="4" t="n">
        <v>1316</v>
      </c>
      <c r="D1086" s="4" t="n">
        <v>398.09</v>
      </c>
      <c r="E1086" s="5" t="n">
        <v>95</v>
      </c>
      <c r="F1086" s="3" t="inlineStr">
        <is>
          <t>금남면</t>
        </is>
      </c>
      <c r="G1086" s="3" t="inlineStr">
        <is>
          <t>영대리</t>
        </is>
      </c>
      <c r="H1086" s="3" t="inlineStr">
        <is>
          <t>개발제한구역</t>
        </is>
      </c>
      <c r="I1086" s="3" t="inlineStr">
        <is>
          <t>답</t>
        </is>
      </c>
      <c r="J1086" s="3" t="inlineStr">
        <is>
          <t>금남면</t>
        </is>
      </c>
    </row>
    <row r="1087">
      <c r="A1087" s="3" t="n">
        <v>2022</v>
      </c>
      <c r="B1087" s="4" t="n">
        <v>4100</v>
      </c>
      <c r="C1087" s="4" t="n">
        <v>542</v>
      </c>
      <c r="D1087" s="4" t="n">
        <v>163.955</v>
      </c>
      <c r="E1087" s="5" t="n">
        <v>25</v>
      </c>
      <c r="F1087" s="3" t="inlineStr">
        <is>
          <t>금남면</t>
        </is>
      </c>
      <c r="G1087" s="3" t="inlineStr">
        <is>
          <t>두만리</t>
        </is>
      </c>
      <c r="H1087" s="3" t="inlineStr">
        <is>
          <t>개발제한구역</t>
        </is>
      </c>
      <c r="I1087" s="3" t="inlineStr">
        <is>
          <t>전</t>
        </is>
      </c>
      <c r="J1087" s="3" t="inlineStr">
        <is>
          <t>금남면</t>
        </is>
      </c>
    </row>
    <row r="1088">
      <c r="A1088" s="3" t="n">
        <v>2025</v>
      </c>
      <c r="B1088" s="4" t="n">
        <v>48450</v>
      </c>
      <c r="C1088" s="4" t="n">
        <v>317.2</v>
      </c>
      <c r="D1088" s="4" t="n">
        <v>95.95299999999999</v>
      </c>
      <c r="E1088" s="5" t="n">
        <v>504.9</v>
      </c>
      <c r="F1088" s="3" t="inlineStr">
        <is>
          <t>고운동</t>
        </is>
      </c>
      <c r="G1088" s="3" t="inlineStr"/>
      <c r="H1088" s="3" t="inlineStr">
        <is>
          <t>제1종전용주거지역</t>
        </is>
      </c>
      <c r="I1088" s="3" t="inlineStr">
        <is>
          <t>대</t>
        </is>
      </c>
      <c r="J1088" s="3" t="inlineStr">
        <is>
          <t>고운동</t>
        </is>
      </c>
    </row>
    <row r="1089">
      <c r="A1089" s="3" t="n">
        <v>2025</v>
      </c>
      <c r="B1089" s="4" t="n">
        <v>1905</v>
      </c>
      <c r="C1089" s="4" t="n">
        <v>630</v>
      </c>
      <c r="D1089" s="4" t="n">
        <v>190.575</v>
      </c>
      <c r="E1089" s="5" t="n">
        <v>10</v>
      </c>
      <c r="F1089" s="3" t="inlineStr">
        <is>
          <t>금남면</t>
        </is>
      </c>
      <c r="G1089" s="3" t="inlineStr">
        <is>
          <t>축산리</t>
        </is>
      </c>
      <c r="H1089" s="3" t="inlineStr">
        <is>
          <t>개발제한구역</t>
        </is>
      </c>
      <c r="I1089" s="3" t="inlineStr">
        <is>
          <t>임야</t>
        </is>
      </c>
      <c r="J1089" s="3" t="inlineStr">
        <is>
          <t>금남면</t>
        </is>
      </c>
    </row>
    <row r="1090">
      <c r="A1090" s="3" t="n">
        <v>2025</v>
      </c>
      <c r="B1090" s="4" t="n">
        <v>605</v>
      </c>
      <c r="C1090" s="4" t="n">
        <v>200</v>
      </c>
      <c r="D1090" s="4" t="n">
        <v>60.5</v>
      </c>
      <c r="E1090" s="5" t="n">
        <v>10</v>
      </c>
      <c r="F1090" s="3" t="inlineStr">
        <is>
          <t>금남면</t>
        </is>
      </c>
      <c r="G1090" s="3" t="inlineStr">
        <is>
          <t>축산리</t>
        </is>
      </c>
      <c r="H1090" s="3" t="inlineStr">
        <is>
          <t>개발제한구역</t>
        </is>
      </c>
      <c r="I1090" s="3" t="inlineStr">
        <is>
          <t>임야</t>
        </is>
      </c>
      <c r="J1090" s="3" t="inlineStr">
        <is>
          <t>금남면</t>
        </is>
      </c>
    </row>
    <row r="1091">
      <c r="A1091" s="3" t="n">
        <v>2025</v>
      </c>
      <c r="B1091" s="4" t="n">
        <v>77500</v>
      </c>
      <c r="C1091" s="4" t="n">
        <v>299.5</v>
      </c>
      <c r="D1091" s="4" t="n">
        <v>90.59875</v>
      </c>
      <c r="E1091" s="5" t="n">
        <v>855.4</v>
      </c>
      <c r="F1091" s="3" t="inlineStr">
        <is>
          <t>한솔동</t>
        </is>
      </c>
      <c r="G1091" s="3" t="inlineStr"/>
      <c r="H1091" s="3" t="inlineStr">
        <is>
          <t>제1종전용주거지역</t>
        </is>
      </c>
      <c r="I1091" s="3" t="inlineStr">
        <is>
          <t>대</t>
        </is>
      </c>
      <c r="J1091" s="3" t="inlineStr">
        <is>
          <t>한솔동</t>
        </is>
      </c>
    </row>
    <row r="1092">
      <c r="A1092" s="3" t="n">
        <v>2025</v>
      </c>
      <c r="B1092" s="4" t="n">
        <v>5010</v>
      </c>
      <c r="C1092" s="4" t="n">
        <v>33</v>
      </c>
      <c r="D1092" s="4" t="n">
        <v>9.9825</v>
      </c>
      <c r="E1092" s="5" t="n">
        <v>501.9</v>
      </c>
      <c r="F1092" s="3" t="inlineStr">
        <is>
          <t>금남면</t>
        </is>
      </c>
      <c r="G1092" s="3" t="inlineStr">
        <is>
          <t>원봉리</t>
        </is>
      </c>
      <c r="H1092" s="3" t="inlineStr">
        <is>
          <t>계획관리지역</t>
        </is>
      </c>
      <c r="I1092" s="3" t="inlineStr">
        <is>
          <t>대</t>
        </is>
      </c>
      <c r="J1092" s="3" t="inlineStr">
        <is>
          <t>금남면</t>
        </is>
      </c>
    </row>
    <row r="1093">
      <c r="A1093" s="3" t="n">
        <v>2025</v>
      </c>
      <c r="B1093" s="4" t="n">
        <v>47971</v>
      </c>
      <c r="C1093" s="4" t="n">
        <v>3025</v>
      </c>
      <c r="D1093" s="4" t="n">
        <v>915.0625</v>
      </c>
      <c r="E1093" s="5" t="n">
        <v>52.4</v>
      </c>
      <c r="F1093" s="3" t="inlineStr">
        <is>
          <t>전동면</t>
        </is>
      </c>
      <c r="G1093" s="3" t="inlineStr">
        <is>
          <t>석곡리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전동면</t>
        </is>
      </c>
    </row>
    <row r="1094">
      <c r="A1094" s="3" t="n">
        <v>2025</v>
      </c>
      <c r="B1094" s="4" t="n">
        <v>18439</v>
      </c>
      <c r="C1094" s="4" t="n">
        <v>237</v>
      </c>
      <c r="D1094" s="4" t="n">
        <v>71.6925</v>
      </c>
      <c r="E1094" s="5" t="n">
        <v>257.2</v>
      </c>
      <c r="F1094" s="3" t="inlineStr">
        <is>
          <t>연서면</t>
        </is>
      </c>
      <c r="G1094" s="3" t="inlineStr">
        <is>
          <t>봉암리</t>
        </is>
      </c>
      <c r="H1094" s="3" t="inlineStr">
        <is>
          <t>계획관리지역</t>
        </is>
      </c>
      <c r="I1094" s="3" t="inlineStr">
        <is>
          <t>과수원</t>
        </is>
      </c>
      <c r="J1094" s="3" t="inlineStr">
        <is>
          <t>연서면</t>
        </is>
      </c>
    </row>
    <row r="1095">
      <c r="A1095" s="3" t="n">
        <v>2025</v>
      </c>
      <c r="B1095" s="4" t="n">
        <v>1000</v>
      </c>
      <c r="C1095" s="4" t="n">
        <v>704</v>
      </c>
      <c r="D1095" s="4" t="n">
        <v>212.96</v>
      </c>
      <c r="E1095" s="5" t="n">
        <v>4.7</v>
      </c>
      <c r="F1095" s="3" t="inlineStr">
        <is>
          <t>전의면</t>
        </is>
      </c>
      <c r="G1095" s="3" t="inlineStr">
        <is>
          <t>유천리</t>
        </is>
      </c>
      <c r="H1095" s="3" t="inlineStr">
        <is>
          <t>계획관리지역</t>
        </is>
      </c>
      <c r="I1095" s="3" t="inlineStr">
        <is>
          <t>임야</t>
        </is>
      </c>
      <c r="J1095" s="3" t="inlineStr">
        <is>
          <t>전의면</t>
        </is>
      </c>
    </row>
    <row r="1096">
      <c r="A1096" s="3" t="n">
        <v>2025</v>
      </c>
      <c r="B1096" s="4" t="n">
        <v>7429</v>
      </c>
      <c r="C1096" s="4" t="n">
        <v>762</v>
      </c>
      <c r="D1096" s="4" t="n">
        <v>230.505</v>
      </c>
      <c r="E1096" s="5" t="n">
        <v>32.2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전의면</t>
        </is>
      </c>
    </row>
    <row r="1097">
      <c r="A1097" s="3" t="n">
        <v>2024</v>
      </c>
      <c r="B1097" s="4" t="n">
        <v>6189</v>
      </c>
      <c r="C1097" s="4" t="n">
        <v>66</v>
      </c>
      <c r="D1097" s="4" t="n">
        <v>19.965</v>
      </c>
      <c r="E1097" s="5" t="n">
        <v>310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보전관리지역</t>
        </is>
      </c>
      <c r="I1097" s="3" t="inlineStr">
        <is>
          <t>임야</t>
        </is>
      </c>
      <c r="J1097" s="3" t="inlineStr">
        <is>
          <t>연서면</t>
        </is>
      </c>
    </row>
    <row r="1098">
      <c r="A1098" s="3" t="n">
        <v>2024</v>
      </c>
      <c r="B1098" s="4" t="n">
        <v>13410</v>
      </c>
      <c r="C1098" s="4" t="n">
        <v>143</v>
      </c>
      <c r="D1098" s="4" t="n">
        <v>43.2575</v>
      </c>
      <c r="E1098" s="5" t="n">
        <v>310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목장용지</t>
        </is>
      </c>
      <c r="J1098" s="3" t="inlineStr">
        <is>
          <t>연서면</t>
        </is>
      </c>
    </row>
    <row r="1099">
      <c r="A1099" s="3" t="n">
        <v>2024</v>
      </c>
      <c r="B1099" s="4" t="n">
        <v>50920</v>
      </c>
      <c r="C1099" s="4" t="n">
        <v>543</v>
      </c>
      <c r="D1099" s="4" t="n">
        <v>164.2575</v>
      </c>
      <c r="E1099" s="5" t="n">
        <v>310</v>
      </c>
      <c r="F1099" s="3" t="inlineStr">
        <is>
          <t>연서면</t>
        </is>
      </c>
      <c r="G1099" s="3" t="inlineStr">
        <is>
          <t>신대리</t>
        </is>
      </c>
      <c r="H1099" s="3" t="inlineStr">
        <is>
          <t>계획관리지역</t>
        </is>
      </c>
      <c r="I1099" s="3" t="inlineStr">
        <is>
          <t>임야</t>
        </is>
      </c>
      <c r="J1099" s="3" t="inlineStr">
        <is>
          <t>연서면</t>
        </is>
      </c>
    </row>
    <row r="1100">
      <c r="A1100" s="3" t="n">
        <v>2024</v>
      </c>
      <c r="B1100" s="4" t="n">
        <v>6000</v>
      </c>
      <c r="C1100" s="4" t="n">
        <v>330</v>
      </c>
      <c r="D1100" s="4" t="n">
        <v>99.825</v>
      </c>
      <c r="E1100" s="5" t="n">
        <v>60.1</v>
      </c>
      <c r="F1100" s="3" t="inlineStr">
        <is>
          <t>부강면</t>
        </is>
      </c>
      <c r="G1100" s="3" t="inlineStr">
        <is>
          <t>노호리</t>
        </is>
      </c>
      <c r="H1100" s="3" t="inlineStr">
        <is>
          <t>계획관리지역</t>
        </is>
      </c>
      <c r="I1100" s="3" t="inlineStr">
        <is>
          <t>철도용지</t>
        </is>
      </c>
      <c r="J1100" s="3" t="inlineStr">
        <is>
          <t>부강면</t>
        </is>
      </c>
    </row>
    <row r="1101">
      <c r="A1101" s="3" t="n">
        <v>2024</v>
      </c>
      <c r="B1101" s="4" t="n">
        <v>10200</v>
      </c>
      <c r="C1101" s="4" t="n">
        <v>1568</v>
      </c>
      <c r="D1101" s="4" t="n">
        <v>474.32</v>
      </c>
      <c r="E1101" s="5" t="n">
        <v>21.5</v>
      </c>
      <c r="F1101" s="3" t="inlineStr">
        <is>
          <t>전의면</t>
        </is>
      </c>
      <c r="G1101" s="3" t="inlineStr">
        <is>
          <t>관정리</t>
        </is>
      </c>
      <c r="H1101" s="3" t="inlineStr">
        <is>
          <t>계획관리지역</t>
        </is>
      </c>
      <c r="I1101" s="3" t="inlineStr">
        <is>
          <t>답</t>
        </is>
      </c>
      <c r="J1101" s="3" t="inlineStr">
        <is>
          <t>전의면</t>
        </is>
      </c>
    </row>
    <row r="1102">
      <c r="A1102" s="3" t="n">
        <v>2024</v>
      </c>
      <c r="B1102" s="4" t="n">
        <v>22880</v>
      </c>
      <c r="C1102" s="4" t="n">
        <v>1455</v>
      </c>
      <c r="D1102" s="4" t="n">
        <v>440.1375</v>
      </c>
      <c r="E1102" s="5" t="n">
        <v>52</v>
      </c>
      <c r="F1102" s="3" t="inlineStr">
        <is>
          <t>전동면</t>
        </is>
      </c>
      <c r="G1102" s="3" t="inlineStr">
        <is>
          <t>송정리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전동면</t>
        </is>
      </c>
    </row>
    <row r="1103">
      <c r="A1103" s="3" t="n">
        <v>2024</v>
      </c>
      <c r="B1103" s="4" t="n">
        <v>500</v>
      </c>
      <c r="C1103" s="4" t="n">
        <v>135</v>
      </c>
      <c r="D1103" s="4" t="n">
        <v>40.8375</v>
      </c>
      <c r="E1103" s="5" t="n">
        <v>12.2</v>
      </c>
      <c r="F1103" s="3" t="inlineStr">
        <is>
          <t>전의면</t>
        </is>
      </c>
      <c r="G1103" s="3" t="inlineStr">
        <is>
          <t>동교리</t>
        </is>
      </c>
      <c r="H1103" s="3" t="inlineStr">
        <is>
          <t>계획관리지역</t>
        </is>
      </c>
      <c r="I1103" s="3" t="inlineStr">
        <is>
          <t>전</t>
        </is>
      </c>
      <c r="J1103" s="3" t="inlineStr">
        <is>
          <t>전의면</t>
        </is>
      </c>
    </row>
    <row r="1104">
      <c r="A1104" s="3" t="n">
        <v>2024</v>
      </c>
      <c r="B1104" s="4" t="n">
        <v>110000</v>
      </c>
      <c r="C1104" s="4" t="n">
        <v>47184</v>
      </c>
      <c r="D1104" s="4" t="n">
        <v>14273.16</v>
      </c>
      <c r="E1104" s="5" t="n">
        <v>7.7</v>
      </c>
      <c r="F1104" s="3" t="inlineStr">
        <is>
          <t>전의면</t>
        </is>
      </c>
      <c r="G1104" s="3" t="inlineStr">
        <is>
          <t>신정리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전의면</t>
        </is>
      </c>
    </row>
    <row r="1105">
      <c r="A1105" s="3" t="n">
        <v>2024</v>
      </c>
      <c r="B1105" s="4" t="n">
        <v>36900</v>
      </c>
      <c r="C1105" s="4" t="n">
        <v>2710</v>
      </c>
      <c r="D1105" s="4" t="n">
        <v>819.775</v>
      </c>
      <c r="E1105" s="5" t="n">
        <v>45</v>
      </c>
      <c r="F1105" s="3" t="inlineStr">
        <is>
          <t>금남면</t>
        </is>
      </c>
      <c r="G1105" s="3" t="inlineStr">
        <is>
          <t>성강리</t>
        </is>
      </c>
      <c r="H1105" s="3" t="inlineStr">
        <is>
          <t>농림지역</t>
        </is>
      </c>
      <c r="I1105" s="3" t="inlineStr">
        <is>
          <t>답</t>
        </is>
      </c>
      <c r="J1105" s="3" t="inlineStr">
        <is>
          <t>금남면</t>
        </is>
      </c>
    </row>
    <row r="1106">
      <c r="A1106" s="3" t="n">
        <v>2024</v>
      </c>
      <c r="B1106" s="4" t="n">
        <v>24300</v>
      </c>
      <c r="C1106" s="4" t="n">
        <v>200</v>
      </c>
      <c r="D1106" s="4" t="n">
        <v>60.5</v>
      </c>
      <c r="E1106" s="5" t="n">
        <v>401.7</v>
      </c>
      <c r="F1106" s="3" t="inlineStr">
        <is>
          <t>장군면</t>
        </is>
      </c>
      <c r="G1106" s="3" t="inlineStr">
        <is>
          <t>도계리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2024</v>
      </c>
      <c r="B1107" s="4" t="n">
        <v>12018</v>
      </c>
      <c r="C1107" s="4" t="n">
        <v>442</v>
      </c>
      <c r="D1107" s="4" t="n">
        <v>133.705</v>
      </c>
      <c r="E1107" s="5" t="n">
        <v>89.90000000000001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2100</v>
      </c>
      <c r="C1108" s="4" t="n">
        <v>278</v>
      </c>
      <c r="D1108" s="4" t="n">
        <v>84.095</v>
      </c>
      <c r="E1108" s="5" t="n">
        <v>25</v>
      </c>
      <c r="F1108" s="3" t="inlineStr">
        <is>
          <t>금남면</t>
        </is>
      </c>
      <c r="G1108" s="3" t="inlineStr">
        <is>
          <t>두만리</t>
        </is>
      </c>
      <c r="H1108" s="3" t="inlineStr">
        <is>
          <t>개발제한구역</t>
        </is>
      </c>
      <c r="I1108" s="3" t="inlineStr">
        <is>
          <t>전</t>
        </is>
      </c>
      <c r="J1108" s="3" t="inlineStr">
        <is>
          <t>금남면</t>
        </is>
      </c>
    </row>
    <row r="1109">
      <c r="A1109" s="3" t="n">
        <v>2022</v>
      </c>
      <c r="B1109" s="4" t="n">
        <v>40000</v>
      </c>
      <c r="C1109" s="4" t="n">
        <v>1041</v>
      </c>
      <c r="D1109" s="4" t="n">
        <v>314.9025</v>
      </c>
      <c r="E1109" s="5" t="n">
        <v>127</v>
      </c>
      <c r="F1109" s="3" t="inlineStr">
        <is>
          <t>연기면</t>
        </is>
      </c>
      <c r="G1109" s="3" t="inlineStr">
        <is>
          <t>눌왕리</t>
        </is>
      </c>
      <c r="H1109" s="3" t="inlineStr">
        <is>
          <t>계획관리지역</t>
        </is>
      </c>
      <c r="I1109" s="3" t="inlineStr">
        <is>
          <t>과수원</t>
        </is>
      </c>
      <c r="J1109" s="3" t="inlineStr">
        <is>
          <t>연기면</t>
        </is>
      </c>
    </row>
    <row r="1110">
      <c r="A1110" s="3" t="n">
        <v>2022</v>
      </c>
      <c r="B1110" s="4" t="n">
        <v>100000</v>
      </c>
      <c r="C1110" s="4" t="n">
        <v>661</v>
      </c>
      <c r="D1110" s="4" t="n">
        <v>199.9525</v>
      </c>
      <c r="E1110" s="5" t="n">
        <v>500.1</v>
      </c>
      <c r="F1110" s="3" t="inlineStr">
        <is>
          <t>부강면</t>
        </is>
      </c>
      <c r="G1110" s="3" t="inlineStr">
        <is>
          <t>금호리</t>
        </is>
      </c>
      <c r="H1110" s="3" t="inlineStr">
        <is>
          <t>계획관리지역</t>
        </is>
      </c>
      <c r="I1110" s="3" t="inlineStr">
        <is>
          <t>잡종지</t>
        </is>
      </c>
      <c r="J1110" s="3" t="inlineStr">
        <is>
          <t>부강면</t>
        </is>
      </c>
    </row>
    <row r="1111">
      <c r="A1111" s="3" t="n">
        <v>2022</v>
      </c>
      <c r="B1111" s="4" t="n">
        <v>33800</v>
      </c>
      <c r="C1111" s="4" t="n">
        <v>302</v>
      </c>
      <c r="D1111" s="4" t="n">
        <v>91.355</v>
      </c>
      <c r="E1111" s="5" t="n">
        <v>370</v>
      </c>
      <c r="F1111" s="3" t="inlineStr">
        <is>
          <t>연기면</t>
        </is>
      </c>
      <c r="G1111" s="3" t="inlineStr">
        <is>
          <t>연기리</t>
        </is>
      </c>
      <c r="H1111" s="3" t="inlineStr">
        <is>
          <t>계획관리지역</t>
        </is>
      </c>
      <c r="I1111" s="3" t="inlineStr">
        <is>
          <t>전</t>
        </is>
      </c>
      <c r="J1111" s="3" t="inlineStr">
        <is>
          <t>연기면</t>
        </is>
      </c>
    </row>
    <row r="1112">
      <c r="A1112" s="3" t="n">
        <v>2022</v>
      </c>
      <c r="B1112" s="4" t="n">
        <v>43000</v>
      </c>
      <c r="C1112" s="4" t="n">
        <v>1432.5</v>
      </c>
      <c r="D1112" s="4" t="n">
        <v>433.33125</v>
      </c>
      <c r="E1112" s="5" t="n">
        <v>99.2</v>
      </c>
      <c r="F1112" s="3" t="inlineStr">
        <is>
          <t>장군면</t>
        </is>
      </c>
      <c r="G1112" s="3" t="inlineStr">
        <is>
          <t>송문리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장군면</t>
        </is>
      </c>
    </row>
    <row r="1113">
      <c r="A1113" s="3" t="n">
        <v>2022</v>
      </c>
      <c r="B1113" s="4" t="n">
        <v>54000</v>
      </c>
      <c r="C1113" s="4" t="n">
        <v>1721</v>
      </c>
      <c r="D1113" s="4" t="n">
        <v>520.6025</v>
      </c>
      <c r="E1113" s="5" t="n">
        <v>103.7</v>
      </c>
      <c r="F1113" s="3" t="inlineStr">
        <is>
          <t>전의면</t>
        </is>
      </c>
      <c r="G1113" s="3" t="inlineStr">
        <is>
          <t>금사리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전의면</t>
        </is>
      </c>
    </row>
    <row r="1114">
      <c r="A1114" s="3" t="n">
        <v>2022</v>
      </c>
      <c r="B1114" s="4" t="n">
        <v>27000</v>
      </c>
      <c r="C1114" s="4" t="n">
        <v>1855</v>
      </c>
      <c r="D1114" s="4" t="n">
        <v>561.1374999999999</v>
      </c>
      <c r="E1114" s="5" t="n">
        <v>48.1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105400</v>
      </c>
      <c r="C1115" s="4" t="n">
        <v>879</v>
      </c>
      <c r="D1115" s="4" t="n">
        <v>265.8975</v>
      </c>
      <c r="E1115" s="5" t="n">
        <v>396.4</v>
      </c>
      <c r="F1115" s="3" t="inlineStr">
        <is>
          <t>장군면</t>
        </is>
      </c>
      <c r="G1115" s="3" t="inlineStr">
        <is>
          <t>금암리</t>
        </is>
      </c>
      <c r="H1115" s="3" t="inlineStr">
        <is>
          <t>생산관리지역</t>
        </is>
      </c>
      <c r="I1115" s="3" t="inlineStr">
        <is>
          <t>대</t>
        </is>
      </c>
      <c r="J1115" s="3" t="inlineStr">
        <is>
          <t>장군면</t>
        </is>
      </c>
    </row>
    <row r="1116">
      <c r="A1116" s="3" t="n">
        <v>2022</v>
      </c>
      <c r="B1116" s="4" t="n">
        <v>9100</v>
      </c>
      <c r="C1116" s="4" t="n">
        <v>2757</v>
      </c>
      <c r="D1116" s="4" t="n">
        <v>833.9924999999999</v>
      </c>
      <c r="E1116" s="5" t="n">
        <v>10.9</v>
      </c>
      <c r="F1116" s="3" t="inlineStr">
        <is>
          <t>부강면</t>
        </is>
      </c>
      <c r="G1116" s="3" t="inlineStr">
        <is>
          <t>문곡리</t>
        </is>
      </c>
      <c r="H1116" s="3" t="inlineStr">
        <is>
          <t>계획관리지역</t>
        </is>
      </c>
      <c r="I1116" s="3" t="inlineStr">
        <is>
          <t>임야</t>
        </is>
      </c>
      <c r="J1116" s="3" t="inlineStr">
        <is>
          <t>부강면</t>
        </is>
      </c>
    </row>
    <row r="1117">
      <c r="A1117" s="3" t="n">
        <v>2022</v>
      </c>
      <c r="B1117" s="4" t="n">
        <v>45200</v>
      </c>
      <c r="C1117" s="4" t="n">
        <v>1361</v>
      </c>
      <c r="D1117" s="4" t="n">
        <v>411.7025</v>
      </c>
      <c r="E1117" s="5" t="n">
        <v>109.8</v>
      </c>
      <c r="F1117" s="3" t="inlineStr">
        <is>
          <t>부강면</t>
        </is>
      </c>
      <c r="G1117" s="3" t="inlineStr">
        <is>
          <t>문곡리</t>
        </is>
      </c>
      <c r="H1117" s="3" t="inlineStr">
        <is>
          <t>계획관리지역</t>
        </is>
      </c>
      <c r="I1117" s="3" t="inlineStr">
        <is>
          <t>공장용지</t>
        </is>
      </c>
      <c r="J1117" s="3" t="inlineStr">
        <is>
          <t>부강면</t>
        </is>
      </c>
    </row>
    <row r="1118">
      <c r="A1118" s="3" t="n">
        <v>2022</v>
      </c>
      <c r="B1118" s="4" t="n">
        <v>19100</v>
      </c>
      <c r="C1118" s="4" t="n">
        <v>800</v>
      </c>
      <c r="D1118" s="4" t="n">
        <v>242</v>
      </c>
      <c r="E1118" s="5" t="n">
        <v>78.90000000000001</v>
      </c>
      <c r="F1118" s="3" t="inlineStr">
        <is>
          <t>부강면</t>
        </is>
      </c>
      <c r="G1118" s="3" t="inlineStr">
        <is>
          <t>문곡리</t>
        </is>
      </c>
      <c r="H1118" s="3" t="inlineStr">
        <is>
          <t>생산관리지역</t>
        </is>
      </c>
      <c r="I1118" s="3" t="inlineStr">
        <is>
          <t>공장용지</t>
        </is>
      </c>
      <c r="J1118" s="3" t="inlineStr">
        <is>
          <t>부강면</t>
        </is>
      </c>
    </row>
    <row r="1119">
      <c r="A1119" s="3" t="n">
        <v>2022</v>
      </c>
      <c r="B1119" s="4" t="n">
        <v>516</v>
      </c>
      <c r="C1119" s="4" t="n">
        <v>11</v>
      </c>
      <c r="D1119" s="4" t="n">
        <v>3.3275</v>
      </c>
      <c r="E1119" s="5" t="n">
        <v>155.1</v>
      </c>
      <c r="F1119" s="3" t="inlineStr">
        <is>
          <t>연서면</t>
        </is>
      </c>
      <c r="G1119" s="3" t="inlineStr">
        <is>
          <t>고복리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연서면</t>
        </is>
      </c>
    </row>
    <row r="1120">
      <c r="A1120" s="3" t="n">
        <v>2022</v>
      </c>
      <c r="B1120" s="4" t="n">
        <v>36227</v>
      </c>
      <c r="C1120" s="4" t="n">
        <v>772</v>
      </c>
      <c r="D1120" s="4" t="n">
        <v>233.53</v>
      </c>
      <c r="E1120" s="5" t="n">
        <v>155.1</v>
      </c>
      <c r="F1120" s="3" t="inlineStr">
        <is>
          <t>연서면</t>
        </is>
      </c>
      <c r="G1120" s="3" t="inlineStr">
        <is>
          <t>고복리</t>
        </is>
      </c>
      <c r="H1120" s="3" t="inlineStr">
        <is>
          <t>보전관리지역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1032</v>
      </c>
      <c r="C1121" s="4" t="n">
        <v>22</v>
      </c>
      <c r="D1121" s="4" t="n">
        <v>6.654999999999999</v>
      </c>
      <c r="E1121" s="5" t="n">
        <v>155.1</v>
      </c>
      <c r="F1121" s="3" t="inlineStr">
        <is>
          <t>연서면</t>
        </is>
      </c>
      <c r="G1121" s="3" t="inlineStr">
        <is>
          <t>고복리</t>
        </is>
      </c>
      <c r="H1121" s="3" t="inlineStr">
        <is>
          <t>보전관리지역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12107</v>
      </c>
      <c r="C1122" s="4" t="n">
        <v>258</v>
      </c>
      <c r="D1122" s="4" t="n">
        <v>78.045</v>
      </c>
      <c r="E1122" s="5" t="n">
        <v>155.1</v>
      </c>
      <c r="F1122" s="3" t="inlineStr">
        <is>
          <t>연서면</t>
        </is>
      </c>
      <c r="G1122" s="3" t="inlineStr">
        <is>
          <t>고복리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연서면</t>
        </is>
      </c>
    </row>
    <row r="1123">
      <c r="A1123" s="3" t="n">
        <v>2022</v>
      </c>
      <c r="B1123" s="4" t="n">
        <v>40263</v>
      </c>
      <c r="C1123" s="4" t="n">
        <v>858</v>
      </c>
      <c r="D1123" s="4" t="n">
        <v>259.545</v>
      </c>
      <c r="E1123" s="5" t="n">
        <v>155.1</v>
      </c>
      <c r="F1123" s="3" t="inlineStr">
        <is>
          <t>연서면</t>
        </is>
      </c>
      <c r="G1123" s="3" t="inlineStr">
        <is>
          <t>고복리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95542</v>
      </c>
      <c r="C1124" s="4" t="n">
        <v>2036</v>
      </c>
      <c r="D1124" s="4" t="n">
        <v>615.89</v>
      </c>
      <c r="E1124" s="5" t="n">
        <v>155.1</v>
      </c>
      <c r="F1124" s="3" t="inlineStr">
        <is>
          <t>연서면</t>
        </is>
      </c>
      <c r="G1124" s="3" t="inlineStr">
        <is>
          <t>고복리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30800</v>
      </c>
      <c r="C1125" s="4" t="n">
        <v>1078</v>
      </c>
      <c r="D1125" s="4" t="n">
        <v>326.095</v>
      </c>
      <c r="E1125" s="5" t="n">
        <v>94.5</v>
      </c>
      <c r="F1125" s="3" t="inlineStr">
        <is>
          <t>금남면</t>
        </is>
      </c>
      <c r="G1125" s="3" t="inlineStr">
        <is>
          <t>축산리</t>
        </is>
      </c>
      <c r="H1125" s="3" t="inlineStr">
        <is>
          <t>개발제한구역</t>
        </is>
      </c>
      <c r="I1125" s="3" t="inlineStr">
        <is>
          <t>답</t>
        </is>
      </c>
      <c r="J1125" s="3" t="inlineStr">
        <is>
          <t>금남면</t>
        </is>
      </c>
    </row>
    <row r="1126">
      <c r="A1126" s="3" t="n">
        <v>2022</v>
      </c>
      <c r="B1126" s="4" t="n">
        <v>480000</v>
      </c>
      <c r="C1126" s="4" t="n">
        <v>39670</v>
      </c>
      <c r="D1126" s="4" t="n">
        <v>12000.175</v>
      </c>
      <c r="E1126" s="5" t="n">
        <v>40</v>
      </c>
      <c r="F1126" s="3" t="inlineStr">
        <is>
          <t>장군면</t>
        </is>
      </c>
      <c r="G1126" s="3" t="inlineStr">
        <is>
          <t>송정리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장군면</t>
        </is>
      </c>
    </row>
    <row r="1127">
      <c r="A1127" s="3" t="n">
        <v>2022</v>
      </c>
      <c r="B1127" s="4" t="n">
        <v>17900</v>
      </c>
      <c r="C1127" s="4" t="n">
        <v>495</v>
      </c>
      <c r="D1127" s="4" t="n">
        <v>149.7375</v>
      </c>
      <c r="E1127" s="5" t="n">
        <v>119.5</v>
      </c>
      <c r="F1127" s="3" t="inlineStr">
        <is>
          <t>연서면</t>
        </is>
      </c>
      <c r="G1127" s="3" t="inlineStr">
        <is>
          <t>성제리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19780</v>
      </c>
      <c r="C1128" s="4" t="n">
        <v>550</v>
      </c>
      <c r="D1128" s="4" t="n">
        <v>166.375</v>
      </c>
      <c r="E1128" s="5" t="n">
        <v>118.9</v>
      </c>
      <c r="F1128" s="3" t="inlineStr">
        <is>
          <t>금남면</t>
        </is>
      </c>
      <c r="G1128" s="3" t="inlineStr">
        <is>
          <t>원봉리</t>
        </is>
      </c>
      <c r="H1128" s="3" t="inlineStr">
        <is>
          <t>보전관리지역</t>
        </is>
      </c>
      <c r="I1128" s="3" t="inlineStr">
        <is>
          <t>대</t>
        </is>
      </c>
      <c r="J1128" s="3" t="inlineStr">
        <is>
          <t>금남면</t>
        </is>
      </c>
    </row>
    <row r="1129">
      <c r="A1129" s="3" t="n">
        <v>2022</v>
      </c>
      <c r="B1129" s="4" t="n">
        <v>220</v>
      </c>
      <c r="C1129" s="4" t="n">
        <v>8</v>
      </c>
      <c r="D1129" s="4" t="n">
        <v>2.42</v>
      </c>
      <c r="E1129" s="5" t="n">
        <v>90.90000000000001</v>
      </c>
      <c r="F1129" s="3" t="inlineStr">
        <is>
          <t>금남면</t>
        </is>
      </c>
      <c r="G1129" s="3" t="inlineStr">
        <is>
          <t>원봉리</t>
        </is>
      </c>
      <c r="H1129" s="3" t="inlineStr">
        <is>
          <t>보전관리지역</t>
        </is>
      </c>
      <c r="I1129" s="3" t="inlineStr">
        <is>
          <t>도로</t>
        </is>
      </c>
      <c r="J1129" s="3" t="inlineStr">
        <is>
          <t>금남면</t>
        </is>
      </c>
    </row>
    <row r="1130">
      <c r="A1130" s="3" t="n">
        <v>2022</v>
      </c>
      <c r="B1130" s="4" t="n">
        <v>41000</v>
      </c>
      <c r="C1130" s="4" t="n">
        <v>3061</v>
      </c>
      <c r="D1130" s="4" t="n">
        <v>925.9525</v>
      </c>
      <c r="E1130" s="5" t="n">
        <v>44.3</v>
      </c>
      <c r="F1130" s="3" t="inlineStr">
        <is>
          <t>전의면</t>
        </is>
      </c>
      <c r="G1130" s="3" t="inlineStr">
        <is>
          <t>금사리</t>
        </is>
      </c>
      <c r="H1130" s="3" t="inlineStr">
        <is>
          <t>생산관리지역</t>
        </is>
      </c>
      <c r="I1130" s="3" t="inlineStr">
        <is>
          <t>답</t>
        </is>
      </c>
      <c r="J1130" s="3" t="inlineStr">
        <is>
          <t>전의면</t>
        </is>
      </c>
    </row>
    <row r="1131">
      <c r="A1131" s="3" t="n">
        <v>2022</v>
      </c>
      <c r="B1131" s="4" t="n">
        <v>49000</v>
      </c>
      <c r="C1131" s="4" t="n">
        <v>3613</v>
      </c>
      <c r="D1131" s="4" t="n">
        <v>1092.9325</v>
      </c>
      <c r="E1131" s="5" t="n">
        <v>44.8</v>
      </c>
      <c r="F1131" s="3" t="inlineStr">
        <is>
          <t>전의면</t>
        </is>
      </c>
      <c r="G1131" s="3" t="inlineStr">
        <is>
          <t>금사리</t>
        </is>
      </c>
      <c r="H1131" s="3" t="inlineStr">
        <is>
          <t>생산관리지역</t>
        </is>
      </c>
      <c r="I1131" s="3" t="inlineStr">
        <is>
          <t>답</t>
        </is>
      </c>
      <c r="J1131" s="3" t="inlineStr">
        <is>
          <t>전의면</t>
        </is>
      </c>
    </row>
    <row r="1132">
      <c r="A1132" s="3" t="n">
        <v>2022</v>
      </c>
      <c r="B1132" s="4" t="n">
        <v>12000</v>
      </c>
      <c r="C1132" s="4" t="n">
        <v>1894</v>
      </c>
      <c r="D1132" s="4" t="n">
        <v>572.9349999999999</v>
      </c>
      <c r="E1132" s="5" t="n">
        <v>20.9</v>
      </c>
      <c r="F1132" s="3" t="inlineStr">
        <is>
          <t>전의면</t>
        </is>
      </c>
      <c r="G1132" s="3" t="inlineStr">
        <is>
          <t>유천리</t>
        </is>
      </c>
      <c r="H1132" s="3" t="inlineStr">
        <is>
          <t>보전관리지역</t>
        </is>
      </c>
      <c r="I1132" s="3" t="inlineStr">
        <is>
          <t>답</t>
        </is>
      </c>
      <c r="J1132" s="3" t="inlineStr">
        <is>
          <t>전의면</t>
        </is>
      </c>
    </row>
    <row r="1133">
      <c r="A1133" s="3" t="n">
        <v>2022</v>
      </c>
      <c r="B1133" s="4" t="n">
        <v>10000</v>
      </c>
      <c r="C1133" s="4" t="n">
        <v>1788</v>
      </c>
      <c r="D1133" s="4" t="n">
        <v>540.87</v>
      </c>
      <c r="E1133" s="5" t="n">
        <v>18.5</v>
      </c>
      <c r="F1133" s="3" t="inlineStr">
        <is>
          <t>전의면</t>
        </is>
      </c>
      <c r="G1133" s="3" t="inlineStr">
        <is>
          <t>유천리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전의면</t>
        </is>
      </c>
    </row>
    <row r="1134">
      <c r="A1134" s="3" t="n">
        <v>2023</v>
      </c>
      <c r="B1134" s="4" t="n">
        <v>22870</v>
      </c>
      <c r="C1134" s="4" t="n">
        <v>505</v>
      </c>
      <c r="D1134" s="4" t="n">
        <v>152.7625</v>
      </c>
      <c r="E1134" s="5" t="n">
        <v>149.7</v>
      </c>
      <c r="F1134" s="3" t="inlineStr">
        <is>
          <t>전의면</t>
        </is>
      </c>
      <c r="G1134" s="3" t="inlineStr">
        <is>
          <t>서정리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전의면</t>
        </is>
      </c>
    </row>
    <row r="1135">
      <c r="A1135" s="3" t="n">
        <v>2023</v>
      </c>
      <c r="B1135" s="4" t="n">
        <v>76450</v>
      </c>
      <c r="C1135" s="4" t="n">
        <v>2298</v>
      </c>
      <c r="D1135" s="4" t="n">
        <v>695.145</v>
      </c>
      <c r="E1135" s="5" t="n">
        <v>110</v>
      </c>
      <c r="F1135" s="3" t="inlineStr">
        <is>
          <t>장군면</t>
        </is>
      </c>
      <c r="G1135" s="3" t="inlineStr">
        <is>
          <t>은용리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장군면</t>
        </is>
      </c>
    </row>
    <row r="1136">
      <c r="A1136" s="3" t="n">
        <v>2023</v>
      </c>
      <c r="B1136" s="4" t="n">
        <v>28000</v>
      </c>
      <c r="C1136" s="4" t="n">
        <v>2198.1</v>
      </c>
      <c r="D1136" s="4" t="n">
        <v>664.92525</v>
      </c>
      <c r="E1136" s="5" t="n">
        <v>42.1</v>
      </c>
      <c r="F1136" s="3" t="inlineStr">
        <is>
          <t>장군면</t>
        </is>
      </c>
      <c r="G1136" s="3" t="inlineStr">
        <is>
          <t>용암리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2023</v>
      </c>
      <c r="B1137" s="4" t="n">
        <v>8100</v>
      </c>
      <c r="C1137" s="4" t="n">
        <v>977</v>
      </c>
      <c r="D1137" s="4" t="n">
        <v>295.5425</v>
      </c>
      <c r="E1137" s="5" t="n">
        <v>27.4</v>
      </c>
      <c r="F1137" s="3" t="inlineStr">
        <is>
          <t>전동면</t>
        </is>
      </c>
      <c r="G1137" s="3" t="inlineStr">
        <is>
          <t>봉대리</t>
        </is>
      </c>
      <c r="H1137" s="3" t="inlineStr">
        <is>
          <t>보전관리지역</t>
        </is>
      </c>
      <c r="I1137" s="3" t="inlineStr">
        <is>
          <t>전</t>
        </is>
      </c>
      <c r="J1137" s="3" t="inlineStr">
        <is>
          <t>전동면</t>
        </is>
      </c>
    </row>
    <row r="1138">
      <c r="A1138" s="3" t="n">
        <v>2023</v>
      </c>
      <c r="B1138" s="4" t="n">
        <v>12415</v>
      </c>
      <c r="C1138" s="4" t="n">
        <v>274</v>
      </c>
      <c r="D1138" s="4" t="n">
        <v>82.88499999999999</v>
      </c>
      <c r="E1138" s="5" t="n">
        <v>149.8</v>
      </c>
      <c r="F1138" s="3" t="inlineStr">
        <is>
          <t>전의면</t>
        </is>
      </c>
      <c r="G1138" s="3" t="inlineStr">
        <is>
          <t>서정리</t>
        </is>
      </c>
      <c r="H1138" s="3" t="inlineStr">
        <is>
          <t>농림지역</t>
        </is>
      </c>
      <c r="I1138" s="3" t="inlineStr">
        <is>
          <t>대</t>
        </is>
      </c>
      <c r="J1138" s="3" t="inlineStr">
        <is>
          <t>전의면</t>
        </is>
      </c>
    </row>
    <row r="1139">
      <c r="A1139" s="3" t="n">
        <v>2023</v>
      </c>
      <c r="B1139" s="4" t="n">
        <v>13955</v>
      </c>
      <c r="C1139" s="4" t="n">
        <v>308</v>
      </c>
      <c r="D1139" s="4" t="n">
        <v>93.17</v>
      </c>
      <c r="E1139" s="5" t="n">
        <v>149.8</v>
      </c>
      <c r="F1139" s="3" t="inlineStr">
        <is>
          <t>전의면</t>
        </is>
      </c>
      <c r="G1139" s="3" t="inlineStr">
        <is>
          <t>서정리</t>
        </is>
      </c>
      <c r="H1139" s="3" t="inlineStr">
        <is>
          <t>농림지역</t>
        </is>
      </c>
      <c r="I1139" s="3" t="inlineStr">
        <is>
          <t>대</t>
        </is>
      </c>
      <c r="J1139" s="3" t="inlineStr">
        <is>
          <t>전의면</t>
        </is>
      </c>
    </row>
    <row r="1140">
      <c r="A1140" s="3" t="n">
        <v>2023</v>
      </c>
      <c r="B1140" s="4" t="n">
        <v>1000</v>
      </c>
      <c r="C1140" s="4" t="n">
        <v>1035</v>
      </c>
      <c r="D1140" s="4" t="n">
        <v>313.0875</v>
      </c>
      <c r="E1140" s="5" t="n">
        <v>3.2</v>
      </c>
      <c r="F1140" s="3" t="inlineStr">
        <is>
          <t>전의면</t>
        </is>
      </c>
      <c r="G1140" s="3" t="inlineStr">
        <is>
          <t>유천리</t>
        </is>
      </c>
      <c r="H1140" s="3" t="inlineStr">
        <is>
          <t>농림지역</t>
        </is>
      </c>
      <c r="I1140" s="3" t="inlineStr">
        <is>
          <t>임야</t>
        </is>
      </c>
      <c r="J1140" s="3" t="inlineStr">
        <is>
          <t>전의면</t>
        </is>
      </c>
    </row>
    <row r="1141">
      <c r="A1141" s="3" t="n">
        <v>2023</v>
      </c>
      <c r="B1141" s="4" t="n">
        <v>78000</v>
      </c>
      <c r="C1141" s="4" t="n">
        <v>501.8</v>
      </c>
      <c r="D1141" s="4" t="n">
        <v>151.7945</v>
      </c>
      <c r="E1141" s="5" t="n">
        <v>513.9</v>
      </c>
      <c r="F1141" s="3" t="inlineStr">
        <is>
          <t>한솔동</t>
        </is>
      </c>
      <c r="G1141" s="3" t="inlineStr"/>
      <c r="H1141" s="3" t="inlineStr">
        <is>
          <t>제1종전용주거지역</t>
        </is>
      </c>
      <c r="I1141" s="3" t="inlineStr">
        <is>
          <t>대</t>
        </is>
      </c>
      <c r="J1141" s="3" t="inlineStr">
        <is>
          <t>한솔동</t>
        </is>
      </c>
    </row>
    <row r="1142">
      <c r="A1142" s="3" t="n">
        <v>2023</v>
      </c>
      <c r="B1142" s="4" t="n">
        <v>22740</v>
      </c>
      <c r="C1142" s="4" t="n">
        <v>500</v>
      </c>
      <c r="D1142" s="4" t="n">
        <v>151.25</v>
      </c>
      <c r="E1142" s="5" t="n">
        <v>150.3</v>
      </c>
      <c r="F1142" s="3" t="inlineStr">
        <is>
          <t>전의면</t>
        </is>
      </c>
      <c r="G1142" s="3" t="inlineStr">
        <is>
          <t>서정리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전의면</t>
        </is>
      </c>
    </row>
    <row r="1143">
      <c r="A1143" s="3" t="n">
        <v>2023</v>
      </c>
      <c r="B1143" s="4" t="n">
        <v>7300</v>
      </c>
      <c r="C1143" s="4" t="n">
        <v>813</v>
      </c>
      <c r="D1143" s="4" t="n">
        <v>245.9325</v>
      </c>
      <c r="E1143" s="5" t="n">
        <v>29.7</v>
      </c>
      <c r="F1143" s="3" t="inlineStr">
        <is>
          <t>연기면</t>
        </is>
      </c>
      <c r="G1143" s="3" t="inlineStr">
        <is>
          <t>수산리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연기면</t>
        </is>
      </c>
    </row>
    <row r="1144">
      <c r="A1144" s="3" t="n">
        <v>2023</v>
      </c>
      <c r="B1144" s="4" t="n">
        <v>9798</v>
      </c>
      <c r="C1144" s="4" t="n">
        <v>321</v>
      </c>
      <c r="D1144" s="4" t="n">
        <v>97.10249999999999</v>
      </c>
      <c r="E1144" s="5" t="n">
        <v>100.9</v>
      </c>
      <c r="F1144" s="3" t="inlineStr">
        <is>
          <t>장군면</t>
        </is>
      </c>
      <c r="G1144" s="3" t="inlineStr">
        <is>
          <t>송문리</t>
        </is>
      </c>
      <c r="H1144" s="3" t="inlineStr">
        <is>
          <t>보전관리지역</t>
        </is>
      </c>
      <c r="I1144" s="3" t="inlineStr">
        <is>
          <t>임야</t>
        </is>
      </c>
      <c r="J1144" s="3" t="inlineStr">
        <is>
          <t>장군면</t>
        </is>
      </c>
    </row>
    <row r="1145">
      <c r="A1145" s="3" t="n">
        <v>2023</v>
      </c>
      <c r="B1145" s="4" t="n">
        <v>963</v>
      </c>
      <c r="C1145" s="4" t="n">
        <v>56</v>
      </c>
      <c r="D1145" s="4" t="n">
        <v>16.94</v>
      </c>
      <c r="E1145" s="5" t="n">
        <v>56.8</v>
      </c>
      <c r="F1145" s="3" t="inlineStr">
        <is>
          <t>전동면</t>
        </is>
      </c>
      <c r="G1145" s="3" t="inlineStr">
        <is>
          <t>노장리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전동면</t>
        </is>
      </c>
    </row>
    <row r="1146">
      <c r="A1146" s="3" t="n">
        <v>2023</v>
      </c>
      <c r="B1146" s="4" t="n">
        <v>13400</v>
      </c>
      <c r="C1146" s="4" t="n">
        <v>332</v>
      </c>
      <c r="D1146" s="4" t="n">
        <v>100.43</v>
      </c>
      <c r="E1146" s="5" t="n">
        <v>133.4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대</t>
        </is>
      </c>
      <c r="J1146" s="3" t="inlineStr">
        <is>
          <t>연서면</t>
        </is>
      </c>
    </row>
    <row r="1147">
      <c r="A1147" s="3" t="n">
        <v>2023</v>
      </c>
      <c r="B1147" s="4" t="n">
        <v>51045</v>
      </c>
      <c r="C1147" s="4" t="n">
        <v>1258</v>
      </c>
      <c r="D1147" s="4" t="n">
        <v>380.545</v>
      </c>
      <c r="E1147" s="5" t="n">
        <v>134.1</v>
      </c>
      <c r="F1147" s="3" t="inlineStr">
        <is>
          <t>연서면</t>
        </is>
      </c>
      <c r="G1147" s="3" t="inlineStr">
        <is>
          <t>고복리</t>
        </is>
      </c>
      <c r="H1147" s="3" t="inlineStr">
        <is>
          <t>생산관리지역</t>
        </is>
      </c>
      <c r="I1147" s="3" t="inlineStr">
        <is>
          <t>잡종지</t>
        </is>
      </c>
      <c r="J1147" s="3" t="inlineStr">
        <is>
          <t>연서면</t>
        </is>
      </c>
    </row>
    <row r="1148">
      <c r="A1148" s="3" t="n">
        <v>2023</v>
      </c>
      <c r="B1148" s="4" t="n">
        <v>15000</v>
      </c>
      <c r="C1148" s="4" t="n">
        <v>111.5</v>
      </c>
      <c r="D1148" s="4" t="n">
        <v>33.72875</v>
      </c>
      <c r="E1148" s="5" t="n">
        <v>444.7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대</t>
        </is>
      </c>
      <c r="J1148" s="3" t="inlineStr">
        <is>
          <t>조치원읍</t>
        </is>
      </c>
    </row>
    <row r="1149">
      <c r="A1149" s="3" t="n">
        <v>2023</v>
      </c>
      <c r="B1149" s="4" t="n">
        <v>3285</v>
      </c>
      <c r="C1149" s="4" t="n">
        <v>217</v>
      </c>
      <c r="D1149" s="4" t="n">
        <v>65.6425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2023</v>
      </c>
      <c r="B1150" s="4" t="n">
        <v>3694</v>
      </c>
      <c r="C1150" s="4" t="n">
        <v>244</v>
      </c>
      <c r="D1150" s="4" t="n">
        <v>73.81</v>
      </c>
      <c r="E1150" s="5" t="n">
        <v>50</v>
      </c>
      <c r="F1150" s="3" t="inlineStr">
        <is>
          <t>연동면</t>
        </is>
      </c>
      <c r="G1150" s="3" t="inlineStr">
        <is>
          <t>응암리</t>
        </is>
      </c>
      <c r="H1150" s="3" t="inlineStr">
        <is>
          <t>계획관리지역</t>
        </is>
      </c>
      <c r="I1150" s="3" t="inlineStr">
        <is>
          <t>목장용지</t>
        </is>
      </c>
      <c r="J1150" s="3" t="inlineStr">
        <is>
          <t>연동면</t>
        </is>
      </c>
    </row>
    <row r="1151">
      <c r="A1151" s="3" t="n">
        <v>2023</v>
      </c>
      <c r="B1151" s="4" t="n">
        <v>16800</v>
      </c>
      <c r="C1151" s="4" t="n">
        <v>397</v>
      </c>
      <c r="D1151" s="4" t="n">
        <v>120.0925</v>
      </c>
      <c r="E1151" s="5" t="n">
        <v>139.9</v>
      </c>
      <c r="F1151" s="3" t="inlineStr">
        <is>
          <t>장군면</t>
        </is>
      </c>
      <c r="G1151" s="3" t="inlineStr">
        <is>
          <t>송문리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장군면</t>
        </is>
      </c>
    </row>
    <row r="1152">
      <c r="A1152" s="3" t="n">
        <v>2023</v>
      </c>
      <c r="B1152" s="4" t="n">
        <v>15129</v>
      </c>
      <c r="C1152" s="4" t="n">
        <v>7380</v>
      </c>
      <c r="D1152" s="4" t="n">
        <v>2232.45</v>
      </c>
      <c r="E1152" s="5" t="n">
        <v>6.8</v>
      </c>
      <c r="F1152" s="3" t="inlineStr">
        <is>
          <t>금남면</t>
        </is>
      </c>
      <c r="G1152" s="3" t="inlineStr">
        <is>
          <t>축산리</t>
        </is>
      </c>
      <c r="H1152" s="3" t="inlineStr">
        <is>
          <t>개발제한구역</t>
        </is>
      </c>
      <c r="I1152" s="3" t="inlineStr">
        <is>
          <t>임야</t>
        </is>
      </c>
      <c r="J1152" s="3" t="inlineStr">
        <is>
          <t>금남면</t>
        </is>
      </c>
    </row>
    <row r="1153">
      <c r="A1153" s="3" t="n">
        <v>2023</v>
      </c>
      <c r="B1153" s="4" t="n">
        <v>15129</v>
      </c>
      <c r="C1153" s="4" t="n">
        <v>7380</v>
      </c>
      <c r="D1153" s="4" t="n">
        <v>2232.45</v>
      </c>
      <c r="E1153" s="5" t="n">
        <v>6.8</v>
      </c>
      <c r="F1153" s="3" t="inlineStr">
        <is>
          <t>금남면</t>
        </is>
      </c>
      <c r="G1153" s="3" t="inlineStr">
        <is>
          <t>축산리</t>
        </is>
      </c>
      <c r="H1153" s="3" t="inlineStr">
        <is>
          <t>개발제한구역</t>
        </is>
      </c>
      <c r="I1153" s="3" t="inlineStr">
        <is>
          <t>임야</t>
        </is>
      </c>
      <c r="J1153" s="3" t="inlineStr">
        <is>
          <t>금남면</t>
        </is>
      </c>
    </row>
    <row r="1154">
      <c r="A1154" s="3" t="n">
        <v>2023</v>
      </c>
      <c r="B1154" s="4" t="n">
        <v>15129</v>
      </c>
      <c r="C1154" s="4" t="n">
        <v>7380</v>
      </c>
      <c r="D1154" s="4" t="n">
        <v>2232.45</v>
      </c>
      <c r="E1154" s="5" t="n">
        <v>6.8</v>
      </c>
      <c r="F1154" s="3" t="inlineStr">
        <is>
          <t>금남면</t>
        </is>
      </c>
      <c r="G1154" s="3" t="inlineStr">
        <is>
          <t>축산리</t>
        </is>
      </c>
      <c r="H1154" s="3" t="inlineStr">
        <is>
          <t>개발제한구역</t>
        </is>
      </c>
      <c r="I1154" s="3" t="inlineStr">
        <is>
          <t>임야</t>
        </is>
      </c>
      <c r="J1154" s="3" t="inlineStr">
        <is>
          <t>금남면</t>
        </is>
      </c>
    </row>
    <row r="1155">
      <c r="A1155" s="3" t="n">
        <v>2023</v>
      </c>
      <c r="B1155" s="4" t="n">
        <v>6980</v>
      </c>
      <c r="C1155" s="4" t="n">
        <v>2307</v>
      </c>
      <c r="D1155" s="4" t="n">
        <v>697.8674999999999</v>
      </c>
      <c r="E1155" s="5" t="n">
        <v>10</v>
      </c>
      <c r="F1155" s="3" t="inlineStr">
        <is>
          <t>장군면</t>
        </is>
      </c>
      <c r="G1155" s="3" t="inlineStr">
        <is>
          <t>송학리</t>
        </is>
      </c>
      <c r="H1155" s="3" t="inlineStr">
        <is>
          <t>생산관리지역</t>
        </is>
      </c>
      <c r="I1155" s="3" t="inlineStr">
        <is>
          <t>답</t>
        </is>
      </c>
      <c r="J1155" s="3" t="inlineStr">
        <is>
          <t>장군면</t>
        </is>
      </c>
    </row>
    <row r="1156">
      <c r="A1156" s="3" t="n">
        <v>2023</v>
      </c>
      <c r="B1156" s="4" t="n">
        <v>71100</v>
      </c>
      <c r="C1156" s="4" t="n">
        <v>9972</v>
      </c>
      <c r="D1156" s="4" t="n">
        <v>3016.53</v>
      </c>
      <c r="E1156" s="5" t="n">
        <v>23.6</v>
      </c>
      <c r="F1156" s="3" t="inlineStr">
        <is>
          <t>부강면</t>
        </is>
      </c>
      <c r="G1156" s="3" t="inlineStr">
        <is>
          <t>노호리</t>
        </is>
      </c>
      <c r="H1156" s="3" t="inlineStr">
        <is>
          <t>보전관리지역</t>
        </is>
      </c>
      <c r="I1156" s="3" t="inlineStr">
        <is>
          <t>임야</t>
        </is>
      </c>
      <c r="J1156" s="3" t="inlineStr">
        <is>
          <t>부강면</t>
        </is>
      </c>
    </row>
    <row r="1157">
      <c r="A1157" s="3" t="n">
        <v>2023</v>
      </c>
      <c r="B1157" s="4" t="n">
        <v>13950</v>
      </c>
      <c r="C1157" s="4" t="n">
        <v>1957</v>
      </c>
      <c r="D1157" s="4" t="n">
        <v>591.9924999999999</v>
      </c>
      <c r="E1157" s="5" t="n">
        <v>23.6</v>
      </c>
      <c r="F1157" s="3" t="inlineStr">
        <is>
          <t>부강면</t>
        </is>
      </c>
      <c r="G1157" s="3" t="inlineStr">
        <is>
          <t>노호리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부강면</t>
        </is>
      </c>
    </row>
    <row r="1158">
      <c r="A1158" s="3" t="n">
        <v>2023</v>
      </c>
      <c r="B1158" s="4" t="n">
        <v>950</v>
      </c>
      <c r="C1158" s="4" t="n">
        <v>133</v>
      </c>
      <c r="D1158" s="4" t="n">
        <v>40.2325</v>
      </c>
      <c r="E1158" s="5" t="n">
        <v>23.6</v>
      </c>
      <c r="F1158" s="3" t="inlineStr">
        <is>
          <t>부강면</t>
        </is>
      </c>
      <c r="G1158" s="3" t="inlineStr">
        <is>
          <t>노호리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부강면</t>
        </is>
      </c>
    </row>
    <row r="1159">
      <c r="A1159" s="3" t="n">
        <v>2023</v>
      </c>
      <c r="B1159" s="4" t="n">
        <v>3194</v>
      </c>
      <c r="C1159" s="4" t="n">
        <v>287.6</v>
      </c>
      <c r="D1159" s="4" t="n">
        <v>86.99900000000001</v>
      </c>
      <c r="E1159" s="5" t="n">
        <v>36.7</v>
      </c>
      <c r="F1159" s="3" t="inlineStr">
        <is>
          <t>소정면</t>
        </is>
      </c>
      <c r="G1159" s="3" t="inlineStr">
        <is>
          <t>소정리</t>
        </is>
      </c>
      <c r="H1159" s="3" t="inlineStr">
        <is>
          <t>계획관리지역</t>
        </is>
      </c>
      <c r="I1159" s="3" t="inlineStr">
        <is>
          <t>전</t>
        </is>
      </c>
      <c r="J1159" s="3" t="inlineStr">
        <is>
          <t>소정면</t>
        </is>
      </c>
    </row>
    <row r="1160">
      <c r="A1160" s="3" t="n">
        <v>2023</v>
      </c>
      <c r="B1160" s="4" t="n">
        <v>10306</v>
      </c>
      <c r="C1160" s="4" t="n">
        <v>545</v>
      </c>
      <c r="D1160" s="4" t="n">
        <v>164.8625</v>
      </c>
      <c r="E1160" s="5" t="n">
        <v>62.5</v>
      </c>
      <c r="F1160" s="3" t="inlineStr">
        <is>
          <t>소정면</t>
        </is>
      </c>
      <c r="G1160" s="3" t="inlineStr">
        <is>
          <t>소정리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소정면</t>
        </is>
      </c>
    </row>
    <row r="1161">
      <c r="A1161" s="3" t="n">
        <v>2023</v>
      </c>
      <c r="B1161" s="4" t="n">
        <v>22000</v>
      </c>
      <c r="C1161" s="4" t="n">
        <v>231</v>
      </c>
      <c r="D1161" s="4" t="n">
        <v>69.8775</v>
      </c>
      <c r="E1161" s="5" t="n">
        <v>314.8</v>
      </c>
      <c r="F1161" s="3" t="inlineStr">
        <is>
          <t>장군면</t>
        </is>
      </c>
      <c r="G1161" s="3" t="inlineStr">
        <is>
          <t>대교리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장군면</t>
        </is>
      </c>
    </row>
    <row r="1162">
      <c r="A1162" s="3" t="n">
        <v>2023</v>
      </c>
      <c r="B1162" s="4" t="n">
        <v>1500</v>
      </c>
      <c r="C1162" s="4" t="n">
        <v>290</v>
      </c>
      <c r="D1162" s="4" t="n">
        <v>87.72499999999999</v>
      </c>
      <c r="E1162" s="5" t="n">
        <v>17.1</v>
      </c>
      <c r="F1162" s="3" t="inlineStr">
        <is>
          <t>전동면</t>
        </is>
      </c>
      <c r="G1162" s="3" t="inlineStr">
        <is>
          <t>노장리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전동면</t>
        </is>
      </c>
    </row>
    <row r="1163">
      <c r="A1163" s="3" t="n">
        <v>2023</v>
      </c>
      <c r="B1163" s="4" t="n">
        <v>18000</v>
      </c>
      <c r="C1163" s="4" t="n">
        <v>1862</v>
      </c>
      <c r="D1163" s="4" t="n">
        <v>563.255</v>
      </c>
      <c r="E1163" s="5" t="n">
        <v>32</v>
      </c>
      <c r="F1163" s="3" t="inlineStr">
        <is>
          <t>부강면</t>
        </is>
      </c>
      <c r="G1163" s="3" t="inlineStr">
        <is>
          <t>노호리</t>
        </is>
      </c>
      <c r="H1163" s="3" t="inlineStr">
        <is>
          <t>생산관리지역</t>
        </is>
      </c>
      <c r="I1163" s="3" t="inlineStr">
        <is>
          <t>전</t>
        </is>
      </c>
      <c r="J1163" s="3" t="inlineStr">
        <is>
          <t>부강면</t>
        </is>
      </c>
    </row>
    <row r="1164">
      <c r="A1164" s="3" t="n">
        <v>2023</v>
      </c>
      <c r="B1164" s="4" t="n">
        <v>22000</v>
      </c>
      <c r="C1164" s="4" t="n">
        <v>1031</v>
      </c>
      <c r="D1164" s="4" t="n">
        <v>311.8775</v>
      </c>
      <c r="E1164" s="5" t="n">
        <v>70.5</v>
      </c>
      <c r="F1164" s="3" t="inlineStr">
        <is>
          <t>전동면</t>
        </is>
      </c>
      <c r="G1164" s="3" t="inlineStr">
        <is>
          <t>심중리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전동면</t>
        </is>
      </c>
    </row>
    <row r="1165">
      <c r="A1165" s="3" t="n">
        <v>2022</v>
      </c>
      <c r="B1165" s="4" t="n">
        <v>20150</v>
      </c>
      <c r="C1165" s="4" t="n">
        <v>794</v>
      </c>
      <c r="D1165" s="4" t="n">
        <v>240.185</v>
      </c>
      <c r="E1165" s="5" t="n">
        <v>83.90000000000001</v>
      </c>
      <c r="F1165" s="3" t="inlineStr">
        <is>
          <t>연동면</t>
        </is>
      </c>
      <c r="G1165" s="3" t="inlineStr">
        <is>
          <t>응암리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연동면</t>
        </is>
      </c>
    </row>
    <row r="1166">
      <c r="A1166" s="3" t="n">
        <v>2022</v>
      </c>
      <c r="B1166" s="4" t="n">
        <v>14680</v>
      </c>
      <c r="C1166" s="4" t="n">
        <v>596</v>
      </c>
      <c r="D1166" s="4" t="n">
        <v>180.29</v>
      </c>
      <c r="E1166" s="5" t="n">
        <v>81.40000000000001</v>
      </c>
      <c r="F1166" s="3" t="inlineStr">
        <is>
          <t>연동면</t>
        </is>
      </c>
      <c r="G1166" s="3" t="inlineStr">
        <is>
          <t>응암리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연동면</t>
        </is>
      </c>
    </row>
    <row r="1167">
      <c r="A1167" s="3" t="n">
        <v>2022</v>
      </c>
      <c r="B1167" s="4" t="n">
        <v>12170</v>
      </c>
      <c r="C1167" s="4" t="n">
        <v>494</v>
      </c>
      <c r="D1167" s="4" t="n">
        <v>149.435</v>
      </c>
      <c r="E1167" s="5" t="n">
        <v>81.40000000000001</v>
      </c>
      <c r="F1167" s="3" t="inlineStr">
        <is>
          <t>연동면</t>
        </is>
      </c>
      <c r="G1167" s="3" t="inlineStr">
        <is>
          <t>응암리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연동면</t>
        </is>
      </c>
    </row>
    <row r="1168">
      <c r="A1168" s="3" t="n">
        <v>2022</v>
      </c>
      <c r="B1168" s="4" t="n">
        <v>1162</v>
      </c>
      <c r="C1168" s="4" t="n">
        <v>22</v>
      </c>
      <c r="D1168" s="4" t="n">
        <v>6.654999999999999</v>
      </c>
      <c r="E1168" s="5" t="n">
        <v>174.6</v>
      </c>
      <c r="F1168" s="3" t="inlineStr">
        <is>
          <t>연기면</t>
        </is>
      </c>
      <c r="G1168" s="3" t="inlineStr">
        <is>
          <t>눌왕리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연기면</t>
        </is>
      </c>
    </row>
    <row r="1169">
      <c r="A1169" s="3" t="n">
        <v>2022</v>
      </c>
      <c r="B1169" s="4" t="n">
        <v>23664</v>
      </c>
      <c r="C1169" s="4" t="n">
        <v>452</v>
      </c>
      <c r="D1169" s="4" t="n">
        <v>136.73</v>
      </c>
      <c r="E1169" s="5" t="n">
        <v>173.1</v>
      </c>
      <c r="F1169" s="3" t="inlineStr">
        <is>
          <t>연기면</t>
        </is>
      </c>
      <c r="G1169" s="3" t="inlineStr">
        <is>
          <t>눌왕리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연기면</t>
        </is>
      </c>
    </row>
    <row r="1170">
      <c r="A1170" s="3" t="n">
        <v>2023</v>
      </c>
      <c r="B1170" s="4" t="n">
        <v>4720</v>
      </c>
      <c r="C1170" s="4" t="n">
        <v>223</v>
      </c>
      <c r="D1170" s="4" t="n">
        <v>67.4575</v>
      </c>
      <c r="E1170" s="5" t="n">
        <v>70</v>
      </c>
      <c r="F1170" s="3" t="inlineStr">
        <is>
          <t>강내면</t>
        </is>
      </c>
      <c r="G1170" s="3" t="inlineStr">
        <is>
          <t>저산리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강내면</t>
        </is>
      </c>
    </row>
    <row r="1171">
      <c r="A1171" s="3" t="n">
        <v>2023</v>
      </c>
      <c r="B1171" s="4" t="n">
        <v>572</v>
      </c>
      <c r="C1171" s="4" t="n">
        <v>27</v>
      </c>
      <c r="D1171" s="4" t="n">
        <v>8.1675</v>
      </c>
      <c r="E1171" s="5" t="n">
        <v>70</v>
      </c>
      <c r="F1171" s="3" t="inlineStr">
        <is>
          <t>강내면</t>
        </is>
      </c>
      <c r="G1171" s="3" t="inlineStr">
        <is>
          <t>저산리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2023</v>
      </c>
      <c r="B1172" s="4" t="n">
        <v>3048</v>
      </c>
      <c r="C1172" s="4" t="n">
        <v>144</v>
      </c>
      <c r="D1172" s="4" t="n">
        <v>43.56</v>
      </c>
      <c r="E1172" s="5" t="n">
        <v>70</v>
      </c>
      <c r="F1172" s="3" t="inlineStr">
        <is>
          <t>강내면</t>
        </is>
      </c>
      <c r="G1172" s="3" t="inlineStr">
        <is>
          <t>저산리</t>
        </is>
      </c>
      <c r="H1172" s="3" t="inlineStr">
        <is>
          <t>계획관리지역</t>
        </is>
      </c>
      <c r="I1172" s="3" t="inlineStr">
        <is>
          <t>도로</t>
        </is>
      </c>
      <c r="J1172" s="3" t="inlineStr">
        <is>
          <t>강내면</t>
        </is>
      </c>
    </row>
    <row r="1173">
      <c r="A1173" s="3" t="n">
        <v>2023</v>
      </c>
      <c r="B1173" s="4" t="n">
        <v>55000</v>
      </c>
      <c r="C1173" s="4" t="n">
        <v>1155</v>
      </c>
      <c r="D1173" s="4" t="n">
        <v>349.3875</v>
      </c>
      <c r="E1173" s="5" t="n">
        <v>157.4</v>
      </c>
      <c r="F1173" s="3" t="inlineStr">
        <is>
          <t>오송읍</t>
        </is>
      </c>
      <c r="G1173" s="3" t="inlineStr">
        <is>
          <t>만수리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2023</v>
      </c>
      <c r="B1174" s="4" t="n">
        <v>28000</v>
      </c>
      <c r="C1174" s="4" t="n">
        <v>592</v>
      </c>
      <c r="D1174" s="4" t="n">
        <v>179.08</v>
      </c>
      <c r="E1174" s="5" t="n">
        <v>156.4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오송읍</t>
        </is>
      </c>
    </row>
    <row r="1175">
      <c r="A1175" s="3" t="n">
        <v>2023</v>
      </c>
      <c r="B1175" s="4" t="n">
        <v>137000</v>
      </c>
      <c r="C1175" s="4" t="n">
        <v>3306</v>
      </c>
      <c r="D1175" s="4" t="n">
        <v>1000.065</v>
      </c>
      <c r="E1175" s="5" t="n">
        <v>137</v>
      </c>
      <c r="F1175" s="3" t="inlineStr">
        <is>
          <t>강내면</t>
        </is>
      </c>
      <c r="G1175" s="3" t="inlineStr">
        <is>
          <t>태성리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강내면</t>
        </is>
      </c>
    </row>
    <row r="1176">
      <c r="A1176" s="3" t="n">
        <v>2023</v>
      </c>
      <c r="B1176" s="4" t="n">
        <v>21913</v>
      </c>
      <c r="C1176" s="4" t="n">
        <v>360</v>
      </c>
      <c r="D1176" s="4" t="n">
        <v>108.9</v>
      </c>
      <c r="E1176" s="5" t="n">
        <v>201.2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오송읍</t>
        </is>
      </c>
    </row>
    <row r="1177">
      <c r="A1177" s="3" t="n">
        <v>2023</v>
      </c>
      <c r="B1177" s="4" t="n">
        <v>21913</v>
      </c>
      <c r="C1177" s="4" t="n">
        <v>360</v>
      </c>
      <c r="D1177" s="4" t="n">
        <v>108.9</v>
      </c>
      <c r="E1177" s="5" t="n">
        <v>201.2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오송읍</t>
        </is>
      </c>
    </row>
    <row r="1178">
      <c r="A1178" s="3" t="n">
        <v>2024</v>
      </c>
      <c r="B1178" s="4" t="n">
        <v>38000</v>
      </c>
      <c r="C1178" s="4" t="n">
        <v>3974</v>
      </c>
      <c r="D1178" s="4" t="n">
        <v>1202.135</v>
      </c>
      <c r="E1178" s="5" t="n">
        <v>31.6</v>
      </c>
      <c r="F1178" s="3" t="inlineStr">
        <is>
          <t>전동면</t>
        </is>
      </c>
      <c r="G1178" s="3" t="inlineStr">
        <is>
          <t>송성리</t>
        </is>
      </c>
      <c r="H1178" s="3" t="inlineStr">
        <is>
          <t>생산관리지역</t>
        </is>
      </c>
      <c r="I1178" s="3" t="inlineStr">
        <is>
          <t>임야</t>
        </is>
      </c>
      <c r="J1178" s="3" t="inlineStr">
        <is>
          <t>전동면</t>
        </is>
      </c>
    </row>
    <row r="1179">
      <c r="A1179" s="3" t="n">
        <v>2024</v>
      </c>
      <c r="B1179" s="4" t="n">
        <v>50960</v>
      </c>
      <c r="C1179" s="4" t="n">
        <v>980</v>
      </c>
      <c r="D1179" s="4" t="n">
        <v>296.45</v>
      </c>
      <c r="E1179" s="5" t="n">
        <v>171.9</v>
      </c>
      <c r="F1179" s="3" t="inlineStr">
        <is>
          <t>전동면</t>
        </is>
      </c>
      <c r="G1179" s="3" t="inlineStr">
        <is>
          <t>노장리</t>
        </is>
      </c>
      <c r="H1179" s="3" t="inlineStr">
        <is>
          <t>계획관리지역</t>
        </is>
      </c>
      <c r="I1179" s="3" t="inlineStr">
        <is>
          <t>대</t>
        </is>
      </c>
      <c r="J1179" s="3" t="inlineStr">
        <is>
          <t>전동면</t>
        </is>
      </c>
    </row>
    <row r="1180">
      <c r="A1180" s="3" t="n">
        <v>2024</v>
      </c>
      <c r="B1180" s="4" t="n">
        <v>41800</v>
      </c>
      <c r="C1180" s="4" t="n">
        <v>2305</v>
      </c>
      <c r="D1180" s="4" t="n">
        <v>697.2624999999999</v>
      </c>
      <c r="E1180" s="5" t="n">
        <v>59.9</v>
      </c>
      <c r="F1180" s="3" t="inlineStr">
        <is>
          <t>장군면</t>
        </is>
      </c>
      <c r="G1180" s="3" t="inlineStr">
        <is>
          <t>산학리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장군면</t>
        </is>
      </c>
    </row>
    <row r="1181">
      <c r="A1181" s="3" t="n">
        <v>2024</v>
      </c>
      <c r="B1181" s="4" t="n">
        <v>39500</v>
      </c>
      <c r="C1181" s="4" t="n">
        <v>271.8</v>
      </c>
      <c r="D1181" s="4" t="n">
        <v>82.2195</v>
      </c>
      <c r="E1181" s="5" t="n">
        <v>480.4</v>
      </c>
      <c r="F1181" s="3" t="inlineStr">
        <is>
          <t>다정동</t>
        </is>
      </c>
      <c r="G1181" s="3" t="inlineStr"/>
      <c r="H1181" s="3" t="inlineStr">
        <is>
          <t>제1종전용주거지역</t>
        </is>
      </c>
      <c r="I1181" s="3" t="inlineStr">
        <is>
          <t>대</t>
        </is>
      </c>
      <c r="J1181" s="3" t="inlineStr">
        <is>
          <t>다정동</t>
        </is>
      </c>
    </row>
    <row r="1182">
      <c r="A1182" s="3" t="n">
        <v>2024</v>
      </c>
      <c r="B1182" s="4" t="n">
        <v>42400</v>
      </c>
      <c r="C1182" s="4" t="n">
        <v>1400</v>
      </c>
      <c r="D1182" s="4" t="n">
        <v>423.5</v>
      </c>
      <c r="E1182" s="5" t="n">
        <v>100.1</v>
      </c>
      <c r="F1182" s="3" t="inlineStr">
        <is>
          <t>금남면</t>
        </is>
      </c>
      <c r="G1182" s="3" t="inlineStr">
        <is>
          <t>장재리</t>
        </is>
      </c>
      <c r="H1182" s="3" t="inlineStr">
        <is>
          <t>자연녹지지역</t>
        </is>
      </c>
      <c r="I1182" s="3" t="inlineStr">
        <is>
          <t>답</t>
        </is>
      </c>
      <c r="J1182" s="3" t="inlineStr">
        <is>
          <t>금남면</t>
        </is>
      </c>
    </row>
    <row r="1183">
      <c r="A1183" s="3" t="n">
        <v>2024</v>
      </c>
      <c r="B1183" s="4" t="n">
        <v>58900</v>
      </c>
      <c r="C1183" s="4" t="n">
        <v>1948</v>
      </c>
      <c r="D1183" s="4" t="n">
        <v>589.27</v>
      </c>
      <c r="E1183" s="5" t="n">
        <v>100</v>
      </c>
      <c r="F1183" s="3" t="inlineStr">
        <is>
          <t>금남면</t>
        </is>
      </c>
      <c r="G1183" s="3" t="inlineStr">
        <is>
          <t>장재리</t>
        </is>
      </c>
      <c r="H1183" s="3" t="inlineStr">
        <is>
          <t>자연녹지지역</t>
        </is>
      </c>
      <c r="I1183" s="3" t="inlineStr">
        <is>
          <t>답</t>
        </is>
      </c>
      <c r="J1183" s="3" t="inlineStr">
        <is>
          <t>금남면</t>
        </is>
      </c>
    </row>
    <row r="1184">
      <c r="A1184" s="3" t="n">
        <v>2023</v>
      </c>
      <c r="B1184" s="4" t="n">
        <v>27680</v>
      </c>
      <c r="C1184" s="4" t="n">
        <v>320</v>
      </c>
      <c r="D1184" s="4" t="n">
        <v>96.8</v>
      </c>
      <c r="E1184" s="5" t="n">
        <v>286</v>
      </c>
      <c r="F1184" s="3" t="inlineStr">
        <is>
          <t>연동면</t>
        </is>
      </c>
      <c r="G1184" s="3" t="inlineStr">
        <is>
          <t>내판리</t>
        </is>
      </c>
      <c r="H1184" s="3" t="inlineStr">
        <is>
          <t>보전관리지역</t>
        </is>
      </c>
      <c r="I1184" s="3" t="inlineStr">
        <is>
          <t>임야</t>
        </is>
      </c>
      <c r="J1184" s="3" t="inlineStr">
        <is>
          <t>연동면</t>
        </is>
      </c>
    </row>
    <row r="1185">
      <c r="A1185" s="3" t="n">
        <v>2023</v>
      </c>
      <c r="B1185" s="4" t="n">
        <v>31320</v>
      </c>
      <c r="C1185" s="4" t="n">
        <v>362</v>
      </c>
      <c r="D1185" s="4" t="n">
        <v>109.505</v>
      </c>
      <c r="E1185" s="5" t="n">
        <v>286</v>
      </c>
      <c r="F1185" s="3" t="inlineStr">
        <is>
          <t>연동면</t>
        </is>
      </c>
      <c r="G1185" s="3" t="inlineStr">
        <is>
          <t>내판리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연동면</t>
        </is>
      </c>
    </row>
    <row r="1186">
      <c r="A1186" s="3" t="n">
        <v>2023</v>
      </c>
      <c r="B1186" s="4" t="n">
        <v>24000</v>
      </c>
      <c r="C1186" s="4" t="n">
        <v>613</v>
      </c>
      <c r="D1186" s="4" t="n">
        <v>185.4325</v>
      </c>
      <c r="E1186" s="5" t="n">
        <v>129.4</v>
      </c>
      <c r="F1186" s="3" t="inlineStr">
        <is>
          <t>금남면</t>
        </is>
      </c>
      <c r="G1186" s="3" t="inlineStr">
        <is>
          <t>호탄리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2023</v>
      </c>
      <c r="B1187" s="4" t="n">
        <v>37380</v>
      </c>
      <c r="C1187" s="4" t="n">
        <v>2060</v>
      </c>
      <c r="D1187" s="4" t="n">
        <v>623.15</v>
      </c>
      <c r="E1187" s="5" t="n">
        <v>60</v>
      </c>
      <c r="F1187" s="3" t="inlineStr">
        <is>
          <t>전동면</t>
        </is>
      </c>
      <c r="G1187" s="3" t="inlineStr">
        <is>
          <t>송곡리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전동면</t>
        </is>
      </c>
    </row>
    <row r="1188">
      <c r="A1188" s="3" t="n">
        <v>2023</v>
      </c>
      <c r="B1188" s="4" t="n">
        <v>51120</v>
      </c>
      <c r="C1188" s="4" t="n">
        <v>1409</v>
      </c>
      <c r="D1188" s="4" t="n">
        <v>426.2225</v>
      </c>
      <c r="E1188" s="5" t="n">
        <v>119.9</v>
      </c>
      <c r="F1188" s="3" t="inlineStr">
        <is>
          <t>연기면</t>
        </is>
      </c>
      <c r="G1188" s="3" t="inlineStr">
        <is>
          <t>수산리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연기면</t>
        </is>
      </c>
    </row>
    <row r="1189">
      <c r="A1189" s="3" t="n">
        <v>2023</v>
      </c>
      <c r="B1189" s="4" t="n">
        <v>12780</v>
      </c>
      <c r="C1189" s="4" t="n">
        <v>469</v>
      </c>
      <c r="D1189" s="4" t="n">
        <v>141.8725</v>
      </c>
      <c r="E1189" s="5" t="n">
        <v>90.09999999999999</v>
      </c>
      <c r="F1189" s="3" t="inlineStr">
        <is>
          <t>전의면</t>
        </is>
      </c>
      <c r="G1189" s="3" t="inlineStr">
        <is>
          <t>달전리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전의면</t>
        </is>
      </c>
    </row>
    <row r="1190">
      <c r="A1190" s="3" t="n">
        <v>2023</v>
      </c>
      <c r="B1190" s="4" t="n">
        <v>13500</v>
      </c>
      <c r="C1190" s="4" t="n">
        <v>2340</v>
      </c>
      <c r="D1190" s="4" t="n">
        <v>707.85</v>
      </c>
      <c r="E1190" s="5" t="n">
        <v>19.1</v>
      </c>
      <c r="F1190" s="3" t="inlineStr">
        <is>
          <t>전의면</t>
        </is>
      </c>
      <c r="G1190" s="3" t="inlineStr">
        <is>
          <t>달전리</t>
        </is>
      </c>
      <c r="H1190" s="3" t="inlineStr">
        <is>
          <t>생산관리지역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2023</v>
      </c>
      <c r="B1191" s="4" t="n">
        <v>16280</v>
      </c>
      <c r="C1191" s="4" t="n">
        <v>1454</v>
      </c>
      <c r="D1191" s="4" t="n">
        <v>439.835</v>
      </c>
      <c r="E1191" s="5" t="n">
        <v>37</v>
      </c>
      <c r="F1191" s="3" t="inlineStr">
        <is>
          <t>장군면</t>
        </is>
      </c>
      <c r="G1191" s="3" t="inlineStr">
        <is>
          <t>송학리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장군면</t>
        </is>
      </c>
    </row>
    <row r="1192">
      <c r="A1192" s="3" t="n">
        <v>2023</v>
      </c>
      <c r="B1192" s="4" t="n">
        <v>41834</v>
      </c>
      <c r="C1192" s="4" t="n">
        <v>1524</v>
      </c>
      <c r="D1192" s="4" t="n">
        <v>461.01</v>
      </c>
      <c r="E1192" s="5" t="n">
        <v>90.7</v>
      </c>
      <c r="F1192" s="3" t="inlineStr">
        <is>
          <t>금남면</t>
        </is>
      </c>
      <c r="G1192" s="3" t="inlineStr">
        <is>
          <t>영곡리</t>
        </is>
      </c>
      <c r="H1192" s="3" t="inlineStr">
        <is>
          <t>생산관리지역</t>
        </is>
      </c>
      <c r="I1192" s="3" t="inlineStr">
        <is>
          <t>전</t>
        </is>
      </c>
      <c r="J1192" s="3" t="inlineStr">
        <is>
          <t>금남면</t>
        </is>
      </c>
    </row>
    <row r="1193">
      <c r="A1193" s="3" t="n">
        <v>2023</v>
      </c>
      <c r="B1193" s="4" t="n">
        <v>95000</v>
      </c>
      <c r="C1193" s="4" t="n">
        <v>861</v>
      </c>
      <c r="D1193" s="4" t="n">
        <v>260.4525</v>
      </c>
      <c r="E1193" s="5" t="n">
        <v>364.7</v>
      </c>
      <c r="F1193" s="3" t="inlineStr">
        <is>
          <t>장군면</t>
        </is>
      </c>
      <c r="G1193" s="3" t="inlineStr">
        <is>
          <t>금암리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장군면</t>
        </is>
      </c>
    </row>
    <row r="1194">
      <c r="A1194" s="3" t="n">
        <v>2023</v>
      </c>
      <c r="B1194" s="4" t="n">
        <v>12018</v>
      </c>
      <c r="C1194" s="4" t="n">
        <v>442</v>
      </c>
      <c r="D1194" s="4" t="n">
        <v>133.705</v>
      </c>
      <c r="E1194" s="5" t="n">
        <v>89.90000000000001</v>
      </c>
      <c r="F1194" s="3" t="inlineStr">
        <is>
          <t>장군면</t>
        </is>
      </c>
      <c r="G1194" s="3" t="inlineStr">
        <is>
          <t>하봉리</t>
        </is>
      </c>
      <c r="H1194" s="3" t="inlineStr">
        <is>
          <t>계획관리지역</t>
        </is>
      </c>
      <c r="I1194" s="3" t="inlineStr">
        <is>
          <t>전</t>
        </is>
      </c>
      <c r="J1194" s="3" t="inlineStr">
        <is>
          <t>장군면</t>
        </is>
      </c>
    </row>
    <row r="1195">
      <c r="A1195" s="3" t="n">
        <v>2023</v>
      </c>
      <c r="B1195" s="4" t="n">
        <v>16000</v>
      </c>
      <c r="C1195" s="4" t="n">
        <v>1127</v>
      </c>
      <c r="D1195" s="4" t="n">
        <v>340.9175</v>
      </c>
      <c r="E1195" s="5" t="n">
        <v>46.9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생산관리지역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2024</v>
      </c>
      <c r="B1196" s="4" t="n">
        <v>35000</v>
      </c>
      <c r="C1196" s="4" t="n">
        <v>2196</v>
      </c>
      <c r="D1196" s="4" t="n">
        <v>664.29</v>
      </c>
      <c r="E1196" s="5" t="n">
        <v>52.7</v>
      </c>
      <c r="F1196" s="3" t="inlineStr">
        <is>
          <t>장군면</t>
        </is>
      </c>
      <c r="G1196" s="3" t="inlineStr">
        <is>
          <t>송문리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2024</v>
      </c>
      <c r="B1197" s="4" t="n">
        <v>7000</v>
      </c>
      <c r="C1197" s="4" t="n">
        <v>331</v>
      </c>
      <c r="D1197" s="4" t="n">
        <v>100.1275</v>
      </c>
      <c r="E1197" s="5" t="n">
        <v>69.90000000000001</v>
      </c>
      <c r="F1197" s="3" t="inlineStr">
        <is>
          <t>연서면</t>
        </is>
      </c>
      <c r="G1197" s="3" t="inlineStr">
        <is>
          <t>쌍류리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연서면</t>
        </is>
      </c>
    </row>
    <row r="1198">
      <c r="A1198" s="3" t="n">
        <v>2024</v>
      </c>
      <c r="B1198" s="4" t="n">
        <v>3500</v>
      </c>
      <c r="C1198" s="4" t="n">
        <v>271</v>
      </c>
      <c r="D1198" s="4" t="n">
        <v>81.97749999999999</v>
      </c>
      <c r="E1198" s="5" t="n">
        <v>42.7</v>
      </c>
      <c r="F1198" s="3" t="inlineStr">
        <is>
          <t>전의면</t>
        </is>
      </c>
      <c r="G1198" s="3" t="inlineStr">
        <is>
          <t>금사리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전의면</t>
        </is>
      </c>
    </row>
    <row r="1199">
      <c r="A1199" s="3" t="n">
        <v>2024</v>
      </c>
      <c r="B1199" s="4" t="n">
        <v>13800</v>
      </c>
      <c r="C1199" s="4" t="n">
        <v>92</v>
      </c>
      <c r="D1199" s="4" t="n">
        <v>27.83</v>
      </c>
      <c r="E1199" s="5" t="n">
        <v>495.9</v>
      </c>
      <c r="F1199" s="3" t="inlineStr">
        <is>
          <t>조치원읍</t>
        </is>
      </c>
      <c r="G1199" s="3" t="inlineStr">
        <is>
          <t>침산리</t>
        </is>
      </c>
      <c r="H1199" s="3" t="inlineStr">
        <is>
          <t>제2종일반주거지역</t>
        </is>
      </c>
      <c r="I1199" s="3" t="inlineStr">
        <is>
          <t>대</t>
        </is>
      </c>
      <c r="J1199" s="3" t="inlineStr">
        <is>
          <t>조치원읍</t>
        </is>
      </c>
    </row>
    <row r="1200">
      <c r="A1200" s="3" t="n">
        <v>2024</v>
      </c>
      <c r="B1200" s="4" t="n">
        <v>900</v>
      </c>
      <c r="C1200" s="4" t="n">
        <v>378</v>
      </c>
      <c r="D1200" s="4" t="n">
        <v>114.345</v>
      </c>
      <c r="E1200" s="5" t="n">
        <v>7.9</v>
      </c>
      <c r="F1200" s="3" t="inlineStr">
        <is>
          <t>소정면</t>
        </is>
      </c>
      <c r="G1200" s="3" t="inlineStr">
        <is>
          <t>고등리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소정면</t>
        </is>
      </c>
    </row>
    <row r="1201">
      <c r="A1201" s="3" t="n">
        <v>2024</v>
      </c>
      <c r="B1201" s="4" t="n">
        <v>30000</v>
      </c>
      <c r="C1201" s="4" t="n">
        <v>277.5</v>
      </c>
      <c r="D1201" s="4" t="n">
        <v>83.94374999999999</v>
      </c>
      <c r="E1201" s="5" t="n">
        <v>357.4</v>
      </c>
      <c r="F1201" s="3" t="inlineStr">
        <is>
          <t>한솔동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한솔동</t>
        </is>
      </c>
    </row>
    <row r="1202">
      <c r="A1202" s="3" t="n">
        <v>2024</v>
      </c>
      <c r="B1202" s="4" t="n">
        <v>88000</v>
      </c>
      <c r="C1202" s="4" t="n">
        <v>2448.9</v>
      </c>
      <c r="D1202" s="4" t="n">
        <v>740.79225</v>
      </c>
      <c r="E1202" s="5" t="n">
        <v>118.8</v>
      </c>
      <c r="F1202" s="3" t="inlineStr">
        <is>
          <t>장군면</t>
        </is>
      </c>
      <c r="G1202" s="3" t="inlineStr">
        <is>
          <t>하봉리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장군면</t>
        </is>
      </c>
    </row>
    <row r="1203">
      <c r="A1203" s="3" t="n">
        <v>2024</v>
      </c>
      <c r="B1203" s="4" t="n">
        <v>56000</v>
      </c>
      <c r="C1203" s="4" t="n">
        <v>2326</v>
      </c>
      <c r="D1203" s="4" t="n">
        <v>703.615</v>
      </c>
      <c r="E1203" s="5" t="n">
        <v>79.59999999999999</v>
      </c>
      <c r="F1203" s="3" t="inlineStr">
        <is>
          <t>금남면</t>
        </is>
      </c>
      <c r="G1203" s="3" t="inlineStr">
        <is>
          <t>대박리</t>
        </is>
      </c>
      <c r="H1203" s="3" t="inlineStr">
        <is>
          <t>자연녹지지역</t>
        </is>
      </c>
      <c r="I1203" s="3" t="inlineStr">
        <is>
          <t>답</t>
        </is>
      </c>
      <c r="J1203" s="3" t="inlineStr">
        <is>
          <t>금남면</t>
        </is>
      </c>
    </row>
    <row r="1204">
      <c r="A1204" s="3" t="n">
        <v>2024</v>
      </c>
      <c r="B1204" s="4" t="n">
        <v>8000</v>
      </c>
      <c r="C1204" s="4" t="n">
        <v>76</v>
      </c>
      <c r="D1204" s="4" t="n">
        <v>22.99</v>
      </c>
      <c r="E1204" s="5" t="n">
        <v>348</v>
      </c>
      <c r="F1204" s="3" t="inlineStr">
        <is>
          <t>조치원읍</t>
        </is>
      </c>
      <c r="G1204" s="3" t="inlineStr">
        <is>
          <t>신안리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조치원읍</t>
        </is>
      </c>
    </row>
    <row r="1205">
      <c r="A1205" s="3" t="n">
        <v>2024</v>
      </c>
      <c r="B1205" s="4" t="n">
        <v>500</v>
      </c>
      <c r="C1205" s="4" t="n">
        <v>61</v>
      </c>
      <c r="D1205" s="4" t="n">
        <v>18.4525</v>
      </c>
      <c r="E1205" s="5" t="n">
        <v>27.1</v>
      </c>
      <c r="F1205" s="3" t="inlineStr">
        <is>
          <t>금남면</t>
        </is>
      </c>
      <c r="G1205" s="3" t="inlineStr">
        <is>
          <t>성강리</t>
        </is>
      </c>
      <c r="H1205" s="3" t="inlineStr">
        <is>
          <t>보전관리지역</t>
        </is>
      </c>
      <c r="I1205" s="3" t="inlineStr">
        <is>
          <t>임야</t>
        </is>
      </c>
      <c r="J1205" s="3" t="inlineStr">
        <is>
          <t>금남면</t>
        </is>
      </c>
    </row>
    <row r="1206">
      <c r="A1206" s="3" t="n">
        <v>2024</v>
      </c>
      <c r="B1206" s="4" t="n">
        <v>7380</v>
      </c>
      <c r="C1206" s="4" t="n">
        <v>1140</v>
      </c>
      <c r="D1206" s="4" t="n">
        <v>344.85</v>
      </c>
      <c r="E1206" s="5" t="n">
        <v>21.4</v>
      </c>
      <c r="F1206" s="3" t="inlineStr">
        <is>
          <t>장군면</t>
        </is>
      </c>
      <c r="G1206" s="3" t="inlineStr">
        <is>
          <t>금암리</t>
        </is>
      </c>
      <c r="H1206" s="3" t="inlineStr">
        <is>
          <t>계획관리지역</t>
        </is>
      </c>
      <c r="I1206" s="3" t="inlineStr">
        <is>
          <t>전</t>
        </is>
      </c>
      <c r="J1206" s="3" t="inlineStr">
        <is>
          <t>장군면</t>
        </is>
      </c>
    </row>
    <row r="1207">
      <c r="A1207" s="3" t="n">
        <v>2024</v>
      </c>
      <c r="B1207" s="4" t="n">
        <v>61000</v>
      </c>
      <c r="C1207" s="4" t="n">
        <v>2065</v>
      </c>
      <c r="D1207" s="4" t="n">
        <v>624.6625</v>
      </c>
      <c r="E1207" s="5" t="n">
        <v>97.7</v>
      </c>
      <c r="F1207" s="3" t="inlineStr">
        <is>
          <t>장군면</t>
        </is>
      </c>
      <c r="G1207" s="3" t="inlineStr">
        <is>
          <t>송학리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장군면</t>
        </is>
      </c>
    </row>
    <row r="1208">
      <c r="A1208" s="3" t="n">
        <v>2024</v>
      </c>
      <c r="B1208" s="4" t="n">
        <v>16500</v>
      </c>
      <c r="C1208" s="4" t="n">
        <v>564</v>
      </c>
      <c r="D1208" s="4" t="n">
        <v>170.61</v>
      </c>
      <c r="E1208" s="5" t="n">
        <v>96.7</v>
      </c>
      <c r="F1208" s="3" t="inlineStr">
        <is>
          <t>장군면</t>
        </is>
      </c>
      <c r="G1208" s="3" t="inlineStr">
        <is>
          <t>송학리</t>
        </is>
      </c>
      <c r="H1208" s="3" t="inlineStr">
        <is>
          <t>계획관리지역</t>
        </is>
      </c>
      <c r="I1208" s="3" t="inlineStr">
        <is>
          <t>답</t>
        </is>
      </c>
      <c r="J1208" s="3" t="inlineStr">
        <is>
          <t>장군면</t>
        </is>
      </c>
    </row>
    <row r="1209">
      <c r="A1209" s="3" t="n">
        <v>2024</v>
      </c>
      <c r="B1209" s="4" t="n">
        <v>9500</v>
      </c>
      <c r="C1209" s="4" t="n">
        <v>321</v>
      </c>
      <c r="D1209" s="4" t="n">
        <v>97.10249999999999</v>
      </c>
      <c r="E1209" s="5" t="n">
        <v>97.8</v>
      </c>
      <c r="F1209" s="3" t="inlineStr">
        <is>
          <t>장군면</t>
        </is>
      </c>
      <c r="G1209" s="3" t="inlineStr">
        <is>
          <t>송학리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장군면</t>
        </is>
      </c>
    </row>
    <row r="1210">
      <c r="A1210" s="3" t="n">
        <v>2024</v>
      </c>
      <c r="B1210" s="4" t="n">
        <v>27513</v>
      </c>
      <c r="C1210" s="4" t="n">
        <v>450</v>
      </c>
      <c r="D1210" s="4" t="n">
        <v>136.125</v>
      </c>
      <c r="E1210" s="5" t="n">
        <v>202.1</v>
      </c>
      <c r="F1210" s="3" t="inlineStr">
        <is>
          <t>장군면</t>
        </is>
      </c>
      <c r="G1210" s="3" t="inlineStr">
        <is>
          <t>금암리</t>
        </is>
      </c>
      <c r="H1210" s="3" t="inlineStr">
        <is>
          <t>보전관리지역</t>
        </is>
      </c>
      <c r="I1210" s="3" t="inlineStr">
        <is>
          <t>대</t>
        </is>
      </c>
      <c r="J1210" s="3" t="inlineStr">
        <is>
          <t>장군면</t>
        </is>
      </c>
    </row>
    <row r="1211">
      <c r="A1211" s="3" t="n">
        <v>2023</v>
      </c>
      <c r="B1211" s="4" t="n">
        <v>20000</v>
      </c>
      <c r="C1211" s="4" t="n">
        <v>380</v>
      </c>
      <c r="D1211" s="4" t="n">
        <v>114.95</v>
      </c>
      <c r="E1211" s="5" t="n">
        <v>174</v>
      </c>
      <c r="F1211" s="3" t="inlineStr">
        <is>
          <t>장군면</t>
        </is>
      </c>
      <c r="G1211" s="3" t="inlineStr">
        <is>
          <t>송학리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장군면</t>
        </is>
      </c>
    </row>
    <row r="1212">
      <c r="A1212" s="3" t="n">
        <v>2023</v>
      </c>
      <c r="B1212" s="4" t="n">
        <v>32643</v>
      </c>
      <c r="C1212" s="4" t="n">
        <v>830</v>
      </c>
      <c r="D1212" s="4" t="n">
        <v>251.075</v>
      </c>
      <c r="E1212" s="5" t="n">
        <v>130</v>
      </c>
      <c r="F1212" s="3" t="inlineStr">
        <is>
          <t>장군면</t>
        </is>
      </c>
      <c r="G1212" s="3" t="inlineStr">
        <is>
          <t>산학리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장군면</t>
        </is>
      </c>
    </row>
    <row r="1213">
      <c r="A1213" s="3" t="n">
        <v>2023</v>
      </c>
      <c r="B1213" s="4" t="n">
        <v>35154</v>
      </c>
      <c r="C1213" s="4" t="n">
        <v>891</v>
      </c>
      <c r="D1213" s="4" t="n">
        <v>269.5275</v>
      </c>
      <c r="E1213" s="5" t="n">
        <v>130.4</v>
      </c>
      <c r="F1213" s="3" t="inlineStr">
        <is>
          <t>장군면</t>
        </is>
      </c>
      <c r="G1213" s="3" t="inlineStr">
        <is>
          <t>산학리</t>
        </is>
      </c>
      <c r="H1213" s="3" t="inlineStr">
        <is>
          <t>농림지역</t>
        </is>
      </c>
      <c r="I1213" s="3" t="inlineStr">
        <is>
          <t>임야</t>
        </is>
      </c>
      <c r="J1213" s="3" t="inlineStr">
        <is>
          <t>장군면</t>
        </is>
      </c>
    </row>
    <row r="1214">
      <c r="A1214" s="3" t="n">
        <v>2023</v>
      </c>
      <c r="B1214" s="4" t="n">
        <v>35028</v>
      </c>
      <c r="C1214" s="4" t="n">
        <v>827</v>
      </c>
      <c r="D1214" s="4" t="n">
        <v>250.1675</v>
      </c>
      <c r="E1214" s="5" t="n">
        <v>140</v>
      </c>
      <c r="F1214" s="3" t="inlineStr">
        <is>
          <t>장군면</t>
        </is>
      </c>
      <c r="G1214" s="3" t="inlineStr">
        <is>
          <t>산학리</t>
        </is>
      </c>
      <c r="H1214" s="3" t="inlineStr">
        <is>
          <t>농림지역</t>
        </is>
      </c>
      <c r="I1214" s="3" t="inlineStr">
        <is>
          <t>임야</t>
        </is>
      </c>
      <c r="J1214" s="3" t="inlineStr">
        <is>
          <t>장군면</t>
        </is>
      </c>
    </row>
    <row r="1215">
      <c r="A1215" s="3" t="n">
        <v>2023</v>
      </c>
      <c r="B1215" s="4" t="n">
        <v>51000</v>
      </c>
      <c r="C1215" s="4" t="n">
        <v>2579</v>
      </c>
      <c r="D1215" s="4" t="n">
        <v>780.1474999999999</v>
      </c>
      <c r="E1215" s="5" t="n">
        <v>65.40000000000001</v>
      </c>
      <c r="F1215" s="3" t="inlineStr">
        <is>
          <t>연동면</t>
        </is>
      </c>
      <c r="G1215" s="3" t="inlineStr">
        <is>
          <t>내판리</t>
        </is>
      </c>
      <c r="H1215" s="3" t="inlineStr">
        <is>
          <t>계획관리지역</t>
        </is>
      </c>
      <c r="I1215" s="3" t="inlineStr">
        <is>
          <t>임야</t>
        </is>
      </c>
      <c r="J1215" s="3" t="inlineStr">
        <is>
          <t>연동면</t>
        </is>
      </c>
    </row>
    <row r="1216">
      <c r="A1216" s="3" t="n">
        <v>2023</v>
      </c>
      <c r="B1216" s="4" t="n">
        <v>29265</v>
      </c>
      <c r="C1216" s="4" t="n">
        <v>450</v>
      </c>
      <c r="D1216" s="4" t="n">
        <v>136.125</v>
      </c>
      <c r="E1216" s="5" t="n">
        <v>215</v>
      </c>
      <c r="F1216" s="3" t="inlineStr">
        <is>
          <t>장군면</t>
        </is>
      </c>
      <c r="G1216" s="3" t="inlineStr">
        <is>
          <t>대교리</t>
        </is>
      </c>
      <c r="H1216" s="3" t="inlineStr">
        <is>
          <t>보전관리지역</t>
        </is>
      </c>
      <c r="I1216" s="3" t="inlineStr">
        <is>
          <t>대</t>
        </is>
      </c>
      <c r="J1216" s="3" t="inlineStr">
        <is>
          <t>장군면</t>
        </is>
      </c>
    </row>
    <row r="1217">
      <c r="A1217" s="3" t="n">
        <v>2024</v>
      </c>
      <c r="B1217" s="4" t="n">
        <v>9000</v>
      </c>
      <c r="C1217" s="4" t="n">
        <v>1415</v>
      </c>
      <c r="D1217" s="4" t="n">
        <v>428.0375</v>
      </c>
      <c r="E1217" s="5" t="n">
        <v>21</v>
      </c>
      <c r="F1217" s="3" t="inlineStr">
        <is>
          <t>남이면</t>
        </is>
      </c>
      <c r="G1217" s="3" t="inlineStr">
        <is>
          <t>산막리</t>
        </is>
      </c>
      <c r="H1217" s="3" t="inlineStr">
        <is>
          <t>생산관리지역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5800</v>
      </c>
      <c r="C1218" s="4" t="n">
        <v>916</v>
      </c>
      <c r="D1218" s="4" t="n">
        <v>277.09</v>
      </c>
      <c r="E1218" s="5" t="n">
        <v>20.9</v>
      </c>
      <c r="F1218" s="3" t="inlineStr">
        <is>
          <t>남이면</t>
        </is>
      </c>
      <c r="G1218" s="3" t="inlineStr">
        <is>
          <t>산막리</t>
        </is>
      </c>
      <c r="H1218" s="3" t="inlineStr">
        <is>
          <t>생산관리지역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6700</v>
      </c>
      <c r="C1219" s="4" t="n">
        <v>1061</v>
      </c>
      <c r="D1219" s="4" t="n">
        <v>320.9525</v>
      </c>
      <c r="E1219" s="5" t="n">
        <v>20.9</v>
      </c>
      <c r="F1219" s="3" t="inlineStr">
        <is>
          <t>남이면</t>
        </is>
      </c>
      <c r="G1219" s="3" t="inlineStr">
        <is>
          <t>산막리</t>
        </is>
      </c>
      <c r="H1219" s="3" t="inlineStr">
        <is>
          <t>생산관리지역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19000</v>
      </c>
      <c r="C1220" s="4" t="n">
        <v>2992</v>
      </c>
      <c r="D1220" s="4" t="n">
        <v>905.0799999999999</v>
      </c>
      <c r="E1220" s="5" t="n">
        <v>21</v>
      </c>
      <c r="F1220" s="3" t="inlineStr">
        <is>
          <t>남이면</t>
        </is>
      </c>
      <c r="G1220" s="3" t="inlineStr">
        <is>
          <t>산막리</t>
        </is>
      </c>
      <c r="H1220" s="3" t="inlineStr">
        <is>
          <t>생산관리지역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51000</v>
      </c>
      <c r="C1221" s="4" t="n">
        <v>1534</v>
      </c>
      <c r="D1221" s="4" t="n">
        <v>464.035</v>
      </c>
      <c r="E1221" s="5" t="n">
        <v>109.9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자연녹지지역</t>
        </is>
      </c>
      <c r="I1221" s="3" t="inlineStr">
        <is>
          <t>임야</t>
        </is>
      </c>
      <c r="J1221" s="3" t="inlineStr">
        <is>
          <t>남이면</t>
        </is>
      </c>
    </row>
    <row r="1222">
      <c r="A1222" s="3" t="n">
        <v>2024</v>
      </c>
      <c r="B1222" s="4" t="n">
        <v>34000</v>
      </c>
      <c r="C1222" s="4" t="n">
        <v>1904</v>
      </c>
      <c r="D1222" s="4" t="n">
        <v>575.96</v>
      </c>
      <c r="E1222" s="5" t="n">
        <v>59</v>
      </c>
      <c r="F1222" s="3" t="inlineStr">
        <is>
          <t>남이면</t>
        </is>
      </c>
      <c r="G1222" s="3" t="inlineStr">
        <is>
          <t>팔봉리</t>
        </is>
      </c>
      <c r="H1222" s="3" t="inlineStr">
        <is>
          <t>자연녹지지역</t>
        </is>
      </c>
      <c r="I1222" s="3" t="inlineStr">
        <is>
          <t>답</t>
        </is>
      </c>
      <c r="J1222" s="3" t="inlineStr">
        <is>
          <t>남이면</t>
        </is>
      </c>
    </row>
    <row r="1223">
      <c r="A1223" s="3" t="n">
        <v>2024</v>
      </c>
      <c r="B1223" s="4" t="n">
        <v>4800</v>
      </c>
      <c r="C1223" s="4" t="n">
        <v>53</v>
      </c>
      <c r="D1223" s="4" t="n">
        <v>16.0325</v>
      </c>
      <c r="E1223" s="5" t="n">
        <v>299.4</v>
      </c>
      <c r="F1223" s="3" t="inlineStr">
        <is>
          <t>남이면</t>
        </is>
      </c>
      <c r="G1223" s="3" t="inlineStr">
        <is>
          <t>팔봉리</t>
        </is>
      </c>
      <c r="H1223" s="3" t="inlineStr">
        <is>
          <t>자연녹지지역</t>
        </is>
      </c>
      <c r="I1223" s="3" t="inlineStr">
        <is>
          <t>답</t>
        </is>
      </c>
      <c r="J1223" s="3" t="inlineStr">
        <is>
          <t>남이면</t>
        </is>
      </c>
    </row>
    <row r="1224">
      <c r="A1224" s="3" t="n">
        <v>2024</v>
      </c>
      <c r="B1224" s="4" t="n">
        <v>6700</v>
      </c>
      <c r="C1224" s="4" t="n">
        <v>613</v>
      </c>
      <c r="D1224" s="4" t="n">
        <v>185.4325</v>
      </c>
      <c r="E1224" s="5" t="n">
        <v>36.1</v>
      </c>
      <c r="F1224" s="3" t="inlineStr">
        <is>
          <t>현도면</t>
        </is>
      </c>
      <c r="G1224" s="3" t="inlineStr">
        <is>
          <t>매봉리</t>
        </is>
      </c>
      <c r="H1224" s="3" t="inlineStr">
        <is>
          <t>자연녹지지역</t>
        </is>
      </c>
      <c r="I1224" s="3" t="inlineStr">
        <is>
          <t>답</t>
        </is>
      </c>
      <c r="J1224" s="3" t="inlineStr">
        <is>
          <t>현도면</t>
        </is>
      </c>
    </row>
    <row r="1225">
      <c r="A1225" s="3" t="n">
        <v>2024</v>
      </c>
      <c r="B1225" s="4" t="n">
        <v>3400</v>
      </c>
      <c r="C1225" s="4" t="n">
        <v>331</v>
      </c>
      <c r="D1225" s="4" t="n">
        <v>100.1275</v>
      </c>
      <c r="E1225" s="5" t="n">
        <v>34</v>
      </c>
      <c r="F1225" s="3" t="inlineStr">
        <is>
          <t>남이면</t>
        </is>
      </c>
      <c r="G1225" s="3" t="inlineStr">
        <is>
          <t>부용외천리</t>
        </is>
      </c>
      <c r="H1225" s="3" t="inlineStr">
        <is>
          <t>생산관리지역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720</v>
      </c>
      <c r="C1226" s="4" t="n">
        <v>72</v>
      </c>
      <c r="D1226" s="4" t="n">
        <v>21.78</v>
      </c>
      <c r="E1226" s="5" t="n">
        <v>33.1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생산관리지역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5600</v>
      </c>
      <c r="C1227" s="4" t="n">
        <v>932</v>
      </c>
      <c r="D1227" s="4" t="n">
        <v>281.93</v>
      </c>
      <c r="E1227" s="5" t="n">
        <v>19.9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122000</v>
      </c>
      <c r="C1228" s="4" t="n">
        <v>1615</v>
      </c>
      <c r="D1228" s="4" t="n">
        <v>488.5375</v>
      </c>
      <c r="E1228" s="5" t="n">
        <v>249.7</v>
      </c>
      <c r="F1228" s="3" t="inlineStr">
        <is>
          <t>연동면</t>
        </is>
      </c>
      <c r="G1228" s="3" t="inlineStr">
        <is>
          <t>내판리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연동면</t>
        </is>
      </c>
    </row>
    <row r="1229">
      <c r="A1229" s="3" t="n">
        <v>2022</v>
      </c>
      <c r="B1229" s="4" t="n">
        <v>17500</v>
      </c>
      <c r="C1229" s="4" t="n">
        <v>1048</v>
      </c>
      <c r="D1229" s="4" t="n">
        <v>317.02</v>
      </c>
      <c r="E1229" s="5" t="n">
        <v>55.2</v>
      </c>
      <c r="F1229" s="3" t="inlineStr">
        <is>
          <t>전의면</t>
        </is>
      </c>
      <c r="G1229" s="3" t="inlineStr">
        <is>
          <t>동교리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전의면</t>
        </is>
      </c>
    </row>
    <row r="1230">
      <c r="A1230" s="3" t="n">
        <v>2022</v>
      </c>
      <c r="B1230" s="4" t="n">
        <v>2500</v>
      </c>
      <c r="C1230" s="4" t="n">
        <v>85</v>
      </c>
      <c r="D1230" s="4" t="n">
        <v>25.7125</v>
      </c>
      <c r="E1230" s="5" t="n">
        <v>97.2</v>
      </c>
      <c r="F1230" s="3" t="inlineStr">
        <is>
          <t>전의면</t>
        </is>
      </c>
      <c r="G1230" s="3" t="inlineStr">
        <is>
          <t>동교리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전의면</t>
        </is>
      </c>
    </row>
    <row r="1231">
      <c r="A1231" s="3" t="n">
        <v>2022</v>
      </c>
      <c r="B1231" s="4" t="n">
        <v>2253</v>
      </c>
      <c r="C1231" s="4" t="n">
        <v>132</v>
      </c>
      <c r="D1231" s="4" t="n">
        <v>39.93</v>
      </c>
      <c r="E1231" s="5" t="n">
        <v>56.4</v>
      </c>
      <c r="F1231" s="3" t="inlineStr">
        <is>
          <t>금남면</t>
        </is>
      </c>
      <c r="G1231" s="3" t="inlineStr">
        <is>
          <t>영대리</t>
        </is>
      </c>
      <c r="H1231" s="3" t="inlineStr">
        <is>
          <t>개발제한구역</t>
        </is>
      </c>
      <c r="I1231" s="3" t="inlineStr">
        <is>
          <t>전</t>
        </is>
      </c>
      <c r="J1231" s="3" t="inlineStr">
        <is>
          <t>금남면</t>
        </is>
      </c>
    </row>
    <row r="1232">
      <c r="A1232" s="3" t="n">
        <v>2022</v>
      </c>
      <c r="B1232" s="4" t="n">
        <v>22747</v>
      </c>
      <c r="C1232" s="4" t="n">
        <v>1333</v>
      </c>
      <c r="D1232" s="4" t="n">
        <v>403.2325</v>
      </c>
      <c r="E1232" s="5" t="n">
        <v>56.4</v>
      </c>
      <c r="F1232" s="3" t="inlineStr">
        <is>
          <t>금남면</t>
        </is>
      </c>
      <c r="G1232" s="3" t="inlineStr">
        <is>
          <t>영대리</t>
        </is>
      </c>
      <c r="H1232" s="3" t="inlineStr">
        <is>
          <t>개발제한구역</t>
        </is>
      </c>
      <c r="I1232" s="3" t="inlineStr">
        <is>
          <t>전</t>
        </is>
      </c>
      <c r="J1232" s="3" t="inlineStr">
        <is>
          <t>금남면</t>
        </is>
      </c>
    </row>
    <row r="1233">
      <c r="A1233" s="3" t="n">
        <v>2022</v>
      </c>
      <c r="B1233" s="4" t="n">
        <v>7452</v>
      </c>
      <c r="C1233" s="4" t="n">
        <v>601</v>
      </c>
      <c r="D1233" s="4" t="n">
        <v>181.8025</v>
      </c>
      <c r="E1233" s="5" t="n">
        <v>41</v>
      </c>
      <c r="F1233" s="3" t="inlineStr">
        <is>
          <t>전동면</t>
        </is>
      </c>
      <c r="G1233" s="3" t="inlineStr">
        <is>
          <t>송곡리</t>
        </is>
      </c>
      <c r="H1233" s="3" t="inlineStr">
        <is>
          <t>보전관리지역</t>
        </is>
      </c>
      <c r="I1233" s="3" t="inlineStr">
        <is>
          <t>과수원</t>
        </is>
      </c>
      <c r="J1233" s="3" t="inlineStr">
        <is>
          <t>전동면</t>
        </is>
      </c>
    </row>
    <row r="1234">
      <c r="A1234" s="3" t="n">
        <v>2022</v>
      </c>
      <c r="B1234" s="4" t="n">
        <v>200</v>
      </c>
      <c r="C1234" s="4" t="n">
        <v>2</v>
      </c>
      <c r="D1234" s="4" t="n">
        <v>0.605</v>
      </c>
      <c r="E1234" s="5" t="n">
        <v>330.6</v>
      </c>
      <c r="F1234" s="3" t="inlineStr">
        <is>
          <t>장군면</t>
        </is>
      </c>
      <c r="G1234" s="3" t="inlineStr">
        <is>
          <t>봉안리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장군면</t>
        </is>
      </c>
    </row>
    <row r="1235">
      <c r="A1235" s="3" t="n">
        <v>2022</v>
      </c>
      <c r="B1235" s="4" t="n">
        <v>6000</v>
      </c>
      <c r="C1235" s="4" t="n">
        <v>265</v>
      </c>
      <c r="D1235" s="4" t="n">
        <v>80.16249999999999</v>
      </c>
      <c r="E1235" s="5" t="n">
        <v>74.8</v>
      </c>
      <c r="F1235" s="3" t="inlineStr">
        <is>
          <t>전의면</t>
        </is>
      </c>
      <c r="G1235" s="3" t="inlineStr">
        <is>
          <t>양곡리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전의면</t>
        </is>
      </c>
    </row>
    <row r="1236">
      <c r="A1236" s="3" t="n">
        <v>2022</v>
      </c>
      <c r="B1236" s="4" t="n">
        <v>46425</v>
      </c>
      <c r="C1236" s="4" t="n">
        <v>2048</v>
      </c>
      <c r="D1236" s="4" t="n">
        <v>619.52</v>
      </c>
      <c r="E1236" s="5" t="n">
        <v>74.90000000000001</v>
      </c>
      <c r="F1236" s="3" t="inlineStr">
        <is>
          <t>전의면</t>
        </is>
      </c>
      <c r="G1236" s="3" t="inlineStr">
        <is>
          <t>양곡리</t>
        </is>
      </c>
      <c r="H1236" s="3" t="inlineStr">
        <is>
          <t>계획관리지역</t>
        </is>
      </c>
      <c r="I1236" s="3" t="inlineStr">
        <is>
          <t>전</t>
        </is>
      </c>
      <c r="J1236" s="3" t="inlineStr">
        <is>
          <t>전의면</t>
        </is>
      </c>
    </row>
    <row r="1237">
      <c r="A1237" s="3" t="n">
        <v>2022</v>
      </c>
      <c r="B1237" s="4" t="n">
        <v>9100</v>
      </c>
      <c r="C1237" s="4" t="n">
        <v>251</v>
      </c>
      <c r="D1237" s="4" t="n">
        <v>75.92749999999999</v>
      </c>
      <c r="E1237" s="5" t="n">
        <v>119.9</v>
      </c>
      <c r="F1237" s="3" t="inlineStr">
        <is>
          <t>연서면</t>
        </is>
      </c>
      <c r="G1237" s="3" t="inlineStr">
        <is>
          <t>성제리</t>
        </is>
      </c>
      <c r="H1237" s="3" t="inlineStr">
        <is>
          <t>자연녹지지역</t>
        </is>
      </c>
      <c r="I1237" s="3" t="inlineStr">
        <is>
          <t>전</t>
        </is>
      </c>
      <c r="J1237" s="3" t="inlineStr">
        <is>
          <t>연서면</t>
        </is>
      </c>
    </row>
    <row r="1238">
      <c r="A1238" s="3" t="n">
        <v>2022</v>
      </c>
      <c r="B1238" s="4" t="n">
        <v>13600</v>
      </c>
      <c r="C1238" s="4" t="n">
        <v>744</v>
      </c>
      <c r="D1238" s="4" t="n">
        <v>225.06</v>
      </c>
      <c r="E1238" s="5" t="n">
        <v>60.4</v>
      </c>
      <c r="F1238" s="3" t="inlineStr">
        <is>
          <t>연서면</t>
        </is>
      </c>
      <c r="G1238" s="3" t="inlineStr">
        <is>
          <t>성제리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10700</v>
      </c>
      <c r="C1239" s="4" t="n">
        <v>585</v>
      </c>
      <c r="D1239" s="4" t="n">
        <v>176.9625</v>
      </c>
      <c r="E1239" s="5" t="n">
        <v>60.5</v>
      </c>
      <c r="F1239" s="3" t="inlineStr">
        <is>
          <t>연서면</t>
        </is>
      </c>
      <c r="G1239" s="3" t="inlineStr">
        <is>
          <t>성제리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20800</v>
      </c>
      <c r="C1240" s="4" t="n">
        <v>840</v>
      </c>
      <c r="D1240" s="4" t="n">
        <v>254.1</v>
      </c>
      <c r="E1240" s="5" t="n">
        <v>81.90000000000001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보전관리지역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2022</v>
      </c>
      <c r="B1241" s="4" t="n">
        <v>950</v>
      </c>
      <c r="C1241" s="4" t="n">
        <v>21</v>
      </c>
      <c r="D1241" s="4" t="n">
        <v>6.3525</v>
      </c>
      <c r="E1241" s="5" t="n">
        <v>149.5</v>
      </c>
      <c r="F1241" s="3" t="inlineStr">
        <is>
          <t>부강면</t>
        </is>
      </c>
      <c r="G1241" s="3" t="inlineStr">
        <is>
          <t>부강리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부강면</t>
        </is>
      </c>
    </row>
    <row r="1242">
      <c r="A1242" s="3" t="n">
        <v>2022</v>
      </c>
      <c r="B1242" s="4" t="n">
        <v>32500</v>
      </c>
      <c r="C1242" s="4" t="n">
        <v>1954</v>
      </c>
      <c r="D1242" s="4" t="n">
        <v>591.085</v>
      </c>
      <c r="E1242" s="5" t="n">
        <v>55</v>
      </c>
      <c r="F1242" s="3" t="inlineStr">
        <is>
          <t>금남면</t>
        </is>
      </c>
      <c r="G1242" s="3" t="inlineStr">
        <is>
          <t>성강리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금남면</t>
        </is>
      </c>
    </row>
    <row r="1243">
      <c r="A1243" s="3" t="n">
        <v>2022</v>
      </c>
      <c r="B1243" s="4" t="n">
        <v>51000</v>
      </c>
      <c r="C1243" s="4" t="n">
        <v>9918</v>
      </c>
      <c r="D1243" s="4" t="n">
        <v>3000.195</v>
      </c>
      <c r="E1243" s="5" t="n">
        <v>17</v>
      </c>
      <c r="F1243" s="3" t="inlineStr">
        <is>
          <t>장군면</t>
        </is>
      </c>
      <c r="G1243" s="3" t="inlineStr">
        <is>
          <t>송학리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21150</v>
      </c>
      <c r="C1244" s="4" t="n">
        <v>290.1</v>
      </c>
      <c r="D1244" s="4" t="n">
        <v>87.75525</v>
      </c>
      <c r="E1244" s="5" t="n">
        <v>241</v>
      </c>
      <c r="F1244" s="3" t="inlineStr">
        <is>
          <t>고운동</t>
        </is>
      </c>
      <c r="G1244" s="3" t="inlineStr"/>
      <c r="H1244" s="3" t="inlineStr">
        <is>
          <t>제1종전용주거지역</t>
        </is>
      </c>
      <c r="I1244" s="3" t="inlineStr">
        <is>
          <t>대</t>
        </is>
      </c>
      <c r="J1244" s="3" t="inlineStr">
        <is>
          <t>고운동</t>
        </is>
      </c>
    </row>
    <row r="1245">
      <c r="A1245" s="3" t="n">
        <v>2022</v>
      </c>
      <c r="B1245" s="4" t="n">
        <v>750</v>
      </c>
      <c r="C1245" s="4" t="n">
        <v>12.9</v>
      </c>
      <c r="D1245" s="4" t="n">
        <v>3.90225</v>
      </c>
      <c r="E1245" s="5" t="n">
        <v>192.2</v>
      </c>
      <c r="F1245" s="3" t="inlineStr">
        <is>
          <t>고운동</t>
        </is>
      </c>
      <c r="G1245" s="3" t="inlineStr"/>
      <c r="H1245" s="3" t="inlineStr">
        <is>
          <t>제1종전용주거지역</t>
        </is>
      </c>
      <c r="I1245" s="3" t="inlineStr">
        <is>
          <t>주차장</t>
        </is>
      </c>
      <c r="J1245" s="3" t="inlineStr">
        <is>
          <t>고운동</t>
        </is>
      </c>
    </row>
    <row r="1246">
      <c r="A1246" s="3" t="n">
        <v>2022</v>
      </c>
      <c r="B1246" s="4" t="n">
        <v>21550</v>
      </c>
      <c r="C1246" s="4" t="n">
        <v>294</v>
      </c>
      <c r="D1246" s="4" t="n">
        <v>88.935</v>
      </c>
      <c r="E1246" s="5" t="n">
        <v>242.3</v>
      </c>
      <c r="F1246" s="3" t="inlineStr">
        <is>
          <t>고운동</t>
        </is>
      </c>
      <c r="G1246" s="3" t="inlineStr"/>
      <c r="H1246" s="3" t="inlineStr">
        <is>
          <t>제1종전용주거지역</t>
        </is>
      </c>
      <c r="I1246" s="3" t="inlineStr">
        <is>
          <t>대</t>
        </is>
      </c>
      <c r="J1246" s="3" t="inlineStr">
        <is>
          <t>고운동</t>
        </is>
      </c>
    </row>
    <row r="1247">
      <c r="A1247" s="3" t="n">
        <v>2022</v>
      </c>
      <c r="B1247" s="4" t="n">
        <v>750</v>
      </c>
      <c r="C1247" s="4" t="n">
        <v>12.9</v>
      </c>
      <c r="D1247" s="4" t="n">
        <v>3.90225</v>
      </c>
      <c r="E1247" s="5" t="n">
        <v>192.2</v>
      </c>
      <c r="F1247" s="3" t="inlineStr">
        <is>
          <t>고운동</t>
        </is>
      </c>
      <c r="G1247" s="3" t="inlineStr"/>
      <c r="H1247" s="3" t="inlineStr">
        <is>
          <t>제1종전용주거지역</t>
        </is>
      </c>
      <c r="I1247" s="3" t="inlineStr">
        <is>
          <t>주차장</t>
        </is>
      </c>
      <c r="J1247" s="3" t="inlineStr">
        <is>
          <t>고운동</t>
        </is>
      </c>
    </row>
    <row r="1248">
      <c r="A1248" s="3" t="n">
        <v>2022</v>
      </c>
      <c r="B1248" s="4" t="n">
        <v>23800</v>
      </c>
      <c r="C1248" s="4" t="n">
        <v>300.2</v>
      </c>
      <c r="D1248" s="4" t="n">
        <v>90.81049999999999</v>
      </c>
      <c r="E1248" s="5" t="n">
        <v>262.1</v>
      </c>
      <c r="F1248" s="3" t="inlineStr">
        <is>
          <t>고운동</t>
        </is>
      </c>
      <c r="G1248" s="3" t="inlineStr"/>
      <c r="H1248" s="3" t="inlineStr">
        <is>
          <t>제1종전용주거지역</t>
        </is>
      </c>
      <c r="I1248" s="3" t="inlineStr">
        <is>
          <t>대</t>
        </is>
      </c>
      <c r="J1248" s="3" t="inlineStr">
        <is>
          <t>고운동</t>
        </is>
      </c>
    </row>
    <row r="1249">
      <c r="A1249" s="3" t="n">
        <v>2022</v>
      </c>
      <c r="B1249" s="4" t="n">
        <v>750</v>
      </c>
      <c r="C1249" s="4" t="n">
        <v>12.9</v>
      </c>
      <c r="D1249" s="4" t="n">
        <v>3.90225</v>
      </c>
      <c r="E1249" s="5" t="n">
        <v>192.2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주차장</t>
        </is>
      </c>
      <c r="J1249" s="3" t="inlineStr">
        <is>
          <t>고운동</t>
        </is>
      </c>
    </row>
    <row r="1250">
      <c r="A1250" s="3" t="n">
        <v>2022</v>
      </c>
      <c r="B1250" s="4" t="n">
        <v>59235</v>
      </c>
      <c r="C1250" s="4" t="n">
        <v>661</v>
      </c>
      <c r="D1250" s="4" t="n">
        <v>199.9525</v>
      </c>
      <c r="E1250" s="5" t="n">
        <v>296.2</v>
      </c>
      <c r="F1250" s="3" t="inlineStr">
        <is>
          <t>장군면</t>
        </is>
      </c>
      <c r="G1250" s="3" t="inlineStr">
        <is>
          <t>봉안리</t>
        </is>
      </c>
      <c r="H1250" s="3" t="inlineStr">
        <is>
          <t>계획관리지역</t>
        </is>
      </c>
      <c r="I1250" s="3" t="inlineStr">
        <is>
          <t>목장용지</t>
        </is>
      </c>
      <c r="J1250" s="3" t="inlineStr">
        <is>
          <t>장군면</t>
        </is>
      </c>
    </row>
    <row r="1251">
      <c r="A1251" s="3" t="n">
        <v>2022</v>
      </c>
      <c r="B1251" s="4" t="n">
        <v>59235</v>
      </c>
      <c r="C1251" s="4" t="n">
        <v>661</v>
      </c>
      <c r="D1251" s="4" t="n">
        <v>199.9525</v>
      </c>
      <c r="E1251" s="5" t="n">
        <v>296.2</v>
      </c>
      <c r="F1251" s="3" t="inlineStr">
        <is>
          <t>장군면</t>
        </is>
      </c>
      <c r="G1251" s="3" t="inlineStr">
        <is>
          <t>봉안리</t>
        </is>
      </c>
      <c r="H1251" s="3" t="inlineStr">
        <is>
          <t>계획관리지역</t>
        </is>
      </c>
      <c r="I1251" s="3" t="inlineStr">
        <is>
          <t>목장용지</t>
        </is>
      </c>
      <c r="J1251" s="3" t="inlineStr">
        <is>
          <t>장군면</t>
        </is>
      </c>
    </row>
    <row r="1252">
      <c r="A1252" s="3" t="n">
        <v>2022</v>
      </c>
      <c r="B1252" s="4" t="n">
        <v>41500</v>
      </c>
      <c r="C1252" s="4" t="n">
        <v>250.2</v>
      </c>
      <c r="D1252" s="4" t="n">
        <v>75.68549999999999</v>
      </c>
      <c r="E1252" s="5" t="n">
        <v>548.3</v>
      </c>
      <c r="F1252" s="3" t="inlineStr">
        <is>
          <t>조치원읍</t>
        </is>
      </c>
      <c r="G1252" s="3" t="inlineStr">
        <is>
          <t>침산리</t>
        </is>
      </c>
      <c r="H1252" s="3" t="inlineStr">
        <is>
          <t>제2종일반주거지역</t>
        </is>
      </c>
      <c r="I1252" s="3" t="inlineStr">
        <is>
          <t>대</t>
        </is>
      </c>
      <c r="J1252" s="3" t="inlineStr">
        <is>
          <t>조치원읍</t>
        </is>
      </c>
    </row>
    <row r="1253">
      <c r="A1253" s="3" t="n">
        <v>2023</v>
      </c>
      <c r="B1253" s="4" t="n">
        <v>49000</v>
      </c>
      <c r="C1253" s="4" t="n">
        <v>297.3</v>
      </c>
      <c r="D1253" s="4" t="n">
        <v>89.93325</v>
      </c>
      <c r="E1253" s="5" t="n">
        <v>544.8</v>
      </c>
      <c r="F1253" s="3" t="inlineStr">
        <is>
          <t>다정동</t>
        </is>
      </c>
      <c r="G1253" s="3" t="inlineStr"/>
      <c r="H1253" s="3" t="inlineStr">
        <is>
          <t>제1종전용주거지역</t>
        </is>
      </c>
      <c r="I1253" s="3" t="inlineStr">
        <is>
          <t>대</t>
        </is>
      </c>
      <c r="J1253" s="3" t="inlineStr">
        <is>
          <t>다정동</t>
        </is>
      </c>
    </row>
    <row r="1254">
      <c r="A1254" s="3" t="n">
        <v>2023</v>
      </c>
      <c r="B1254" s="4" t="n">
        <v>60000</v>
      </c>
      <c r="C1254" s="4" t="n">
        <v>392.2</v>
      </c>
      <c r="D1254" s="4" t="n">
        <v>118.6405</v>
      </c>
      <c r="E1254" s="5" t="n">
        <v>505.7</v>
      </c>
      <c r="F1254" s="3" t="inlineStr">
        <is>
          <t>고운동</t>
        </is>
      </c>
      <c r="G1254" s="3" t="inlineStr"/>
      <c r="H1254" s="3" t="inlineStr">
        <is>
          <t>제1종전용주거지역</t>
        </is>
      </c>
      <c r="I1254" s="3" t="inlineStr">
        <is>
          <t>대</t>
        </is>
      </c>
      <c r="J1254" s="3" t="inlineStr">
        <is>
          <t>고운동</t>
        </is>
      </c>
    </row>
    <row r="1255">
      <c r="A1255" s="3" t="n">
        <v>2023</v>
      </c>
      <c r="B1255" s="4" t="n">
        <v>18000</v>
      </c>
      <c r="C1255" s="4" t="n">
        <v>1862</v>
      </c>
      <c r="D1255" s="4" t="n">
        <v>563.255</v>
      </c>
      <c r="E1255" s="5" t="n">
        <v>32</v>
      </c>
      <c r="F1255" s="3" t="inlineStr">
        <is>
          <t>부강면</t>
        </is>
      </c>
      <c r="G1255" s="3" t="inlineStr">
        <is>
          <t>노호리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부강면</t>
        </is>
      </c>
    </row>
    <row r="1256">
      <c r="A1256" s="3" t="n">
        <v>2023</v>
      </c>
      <c r="B1256" s="4" t="n">
        <v>20220</v>
      </c>
      <c r="C1256" s="4" t="n">
        <v>2228</v>
      </c>
      <c r="D1256" s="4" t="n">
        <v>673.97</v>
      </c>
      <c r="E1256" s="5" t="n">
        <v>30</v>
      </c>
      <c r="F1256" s="3" t="inlineStr">
        <is>
          <t>연서면</t>
        </is>
      </c>
      <c r="G1256" s="3" t="inlineStr">
        <is>
          <t>기룡리</t>
        </is>
      </c>
      <c r="H1256" s="3" t="inlineStr">
        <is>
          <t>생산관리지역</t>
        </is>
      </c>
      <c r="I1256" s="3" t="inlineStr">
        <is>
          <t>전</t>
        </is>
      </c>
      <c r="J1256" s="3" t="inlineStr">
        <is>
          <t>연서면</t>
        </is>
      </c>
    </row>
    <row r="1257">
      <c r="A1257" s="3" t="n">
        <v>2023</v>
      </c>
      <c r="B1257" s="4" t="n">
        <v>78500</v>
      </c>
      <c r="C1257" s="4" t="n">
        <v>352</v>
      </c>
      <c r="D1257" s="4" t="n">
        <v>106.48</v>
      </c>
      <c r="E1257" s="5" t="n">
        <v>737.2</v>
      </c>
      <c r="F1257" s="3" t="inlineStr">
        <is>
          <t>집현동</t>
        </is>
      </c>
      <c r="G1257" s="3" t="inlineStr"/>
      <c r="H1257" s="3" t="inlineStr">
        <is>
          <t>용도미지정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2023</v>
      </c>
      <c r="B1258" s="4" t="n">
        <v>3200</v>
      </c>
      <c r="C1258" s="4" t="n">
        <v>66</v>
      </c>
      <c r="D1258" s="4" t="n">
        <v>19.965</v>
      </c>
      <c r="E1258" s="5" t="n">
        <v>160.3</v>
      </c>
      <c r="F1258" s="3" t="inlineStr">
        <is>
          <t>연서면</t>
        </is>
      </c>
      <c r="G1258" s="3" t="inlineStr">
        <is>
          <t>봉암리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연서면</t>
        </is>
      </c>
    </row>
    <row r="1259">
      <c r="A1259" s="3" t="n">
        <v>2023</v>
      </c>
      <c r="B1259" s="4" t="n">
        <v>4000</v>
      </c>
      <c r="C1259" s="4" t="n">
        <v>65</v>
      </c>
      <c r="D1259" s="4" t="n">
        <v>19.6625</v>
      </c>
      <c r="E1259" s="5" t="n">
        <v>203.4</v>
      </c>
      <c r="F1259" s="3" t="inlineStr">
        <is>
          <t>연서면</t>
        </is>
      </c>
      <c r="G1259" s="3" t="inlineStr">
        <is>
          <t>봉암리</t>
        </is>
      </c>
      <c r="H1259" s="3" t="inlineStr">
        <is>
          <t>계획관리지역</t>
        </is>
      </c>
      <c r="I1259" s="3" t="inlineStr">
        <is>
          <t>대</t>
        </is>
      </c>
      <c r="J1259" s="3" t="inlineStr">
        <is>
          <t>연서면</t>
        </is>
      </c>
    </row>
    <row r="1260">
      <c r="A1260" s="3" t="n">
        <v>2023</v>
      </c>
      <c r="B1260" s="4" t="n">
        <v>6300</v>
      </c>
      <c r="C1260" s="4" t="n">
        <v>234</v>
      </c>
      <c r="D1260" s="4" t="n">
        <v>70.785</v>
      </c>
      <c r="E1260" s="5" t="n">
        <v>89</v>
      </c>
      <c r="F1260" s="3" t="inlineStr">
        <is>
          <t>장군면</t>
        </is>
      </c>
      <c r="G1260" s="3" t="inlineStr">
        <is>
          <t>하봉리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2023</v>
      </c>
      <c r="B1261" s="4" t="n">
        <v>375</v>
      </c>
      <c r="C1261" s="4" t="n">
        <v>14</v>
      </c>
      <c r="D1261" s="4" t="n">
        <v>4.234999999999999</v>
      </c>
      <c r="E1261" s="5" t="n">
        <v>88.5</v>
      </c>
      <c r="F1261" s="3" t="inlineStr">
        <is>
          <t>장군면</t>
        </is>
      </c>
      <c r="G1261" s="3" t="inlineStr">
        <is>
          <t>하봉리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275000</v>
      </c>
      <c r="C1262" s="4" t="n">
        <v>414</v>
      </c>
      <c r="D1262" s="4" t="n">
        <v>125.235</v>
      </c>
      <c r="E1262" s="5" t="n">
        <v>2195.9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제2종일반주거지역</t>
        </is>
      </c>
      <c r="I1262" s="3" t="inlineStr">
        <is>
          <t>과수원</t>
        </is>
      </c>
      <c r="J1262" s="3" t="inlineStr">
        <is>
          <t>연서면</t>
        </is>
      </c>
    </row>
    <row r="1263">
      <c r="A1263" s="3" t="n">
        <v>2023</v>
      </c>
      <c r="B1263" s="4" t="n">
        <v>23000</v>
      </c>
      <c r="C1263" s="4" t="n">
        <v>2026</v>
      </c>
      <c r="D1263" s="4" t="n">
        <v>612.865</v>
      </c>
      <c r="E1263" s="5" t="n">
        <v>37.5</v>
      </c>
      <c r="F1263" s="3" t="inlineStr">
        <is>
          <t>전의면</t>
        </is>
      </c>
      <c r="G1263" s="3" t="inlineStr">
        <is>
          <t>서정리</t>
        </is>
      </c>
      <c r="H1263" s="3" t="inlineStr">
        <is>
          <t>농림지역</t>
        </is>
      </c>
      <c r="I1263" s="3" t="inlineStr">
        <is>
          <t>전</t>
        </is>
      </c>
      <c r="J1263" s="3" t="inlineStr">
        <is>
          <t>전의면</t>
        </is>
      </c>
    </row>
    <row r="1264">
      <c r="A1264" s="3" t="n">
        <v>2023</v>
      </c>
      <c r="B1264" s="4" t="n">
        <v>12874</v>
      </c>
      <c r="C1264" s="4" t="n">
        <v>532</v>
      </c>
      <c r="D1264" s="4" t="n">
        <v>160.93</v>
      </c>
      <c r="E1264" s="5" t="n">
        <v>80</v>
      </c>
      <c r="F1264" s="3" t="inlineStr">
        <is>
          <t>소정면</t>
        </is>
      </c>
      <c r="G1264" s="3" t="inlineStr">
        <is>
          <t>대곡리</t>
        </is>
      </c>
      <c r="H1264" s="3" t="inlineStr">
        <is>
          <t>농림지역</t>
        </is>
      </c>
      <c r="I1264" s="3" t="inlineStr">
        <is>
          <t>대</t>
        </is>
      </c>
      <c r="J1264" s="3" t="inlineStr">
        <is>
          <t>소정면</t>
        </is>
      </c>
    </row>
    <row r="1265">
      <c r="A1265" s="3" t="n">
        <v>2023</v>
      </c>
      <c r="B1265" s="4" t="n">
        <v>45000</v>
      </c>
      <c r="C1265" s="4" t="n">
        <v>417</v>
      </c>
      <c r="D1265" s="4" t="n">
        <v>126.1425</v>
      </c>
      <c r="E1265" s="5" t="n">
        <v>356.7</v>
      </c>
      <c r="F1265" s="3" t="inlineStr">
        <is>
          <t>장군면</t>
        </is>
      </c>
      <c r="G1265" s="3" t="inlineStr">
        <is>
          <t>금암리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장군면</t>
        </is>
      </c>
    </row>
    <row r="1266">
      <c r="A1266" s="3" t="n">
        <v>2023</v>
      </c>
      <c r="B1266" s="4" t="n">
        <v>6350</v>
      </c>
      <c r="C1266" s="4" t="n">
        <v>76</v>
      </c>
      <c r="D1266" s="4" t="n">
        <v>22.99</v>
      </c>
      <c r="E1266" s="5" t="n">
        <v>276.2</v>
      </c>
      <c r="F1266" s="3" t="inlineStr">
        <is>
          <t>장군면</t>
        </is>
      </c>
      <c r="G1266" s="3" t="inlineStr">
        <is>
          <t>하봉리</t>
        </is>
      </c>
      <c r="H1266" s="3" t="inlineStr">
        <is>
          <t>계획관리지역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2023</v>
      </c>
      <c r="B1267" s="4" t="n">
        <v>4650</v>
      </c>
      <c r="C1267" s="4" t="n">
        <v>56</v>
      </c>
      <c r="D1267" s="4" t="n">
        <v>16.94</v>
      </c>
      <c r="E1267" s="5" t="n">
        <v>274.5</v>
      </c>
      <c r="F1267" s="3" t="inlineStr">
        <is>
          <t>장군면</t>
        </is>
      </c>
      <c r="G1267" s="3" t="inlineStr">
        <is>
          <t>하봉리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장군면</t>
        </is>
      </c>
    </row>
    <row r="1268">
      <c r="A1268" s="3" t="n">
        <v>2023</v>
      </c>
      <c r="B1268" s="4" t="n">
        <v>19040</v>
      </c>
      <c r="C1268" s="4" t="n">
        <v>742</v>
      </c>
      <c r="D1268" s="4" t="n">
        <v>224.455</v>
      </c>
      <c r="E1268" s="5" t="n">
        <v>84.8</v>
      </c>
      <c r="F1268" s="3" t="inlineStr">
        <is>
          <t>금남면</t>
        </is>
      </c>
      <c r="G1268" s="3" t="inlineStr">
        <is>
          <t>부용리</t>
        </is>
      </c>
      <c r="H1268" s="3" t="inlineStr">
        <is>
          <t>개발제한구역</t>
        </is>
      </c>
      <c r="I1268" s="3" t="inlineStr">
        <is>
          <t>전</t>
        </is>
      </c>
      <c r="J1268" s="3" t="inlineStr">
        <is>
          <t>금남면</t>
        </is>
      </c>
    </row>
    <row r="1269">
      <c r="A1269" s="3" t="n">
        <v>2023</v>
      </c>
      <c r="B1269" s="4" t="n">
        <v>17170</v>
      </c>
      <c r="C1269" s="4" t="n">
        <v>668</v>
      </c>
      <c r="D1269" s="4" t="n">
        <v>202.07</v>
      </c>
      <c r="E1269" s="5" t="n">
        <v>85</v>
      </c>
      <c r="F1269" s="3" t="inlineStr">
        <is>
          <t>금남면</t>
        </is>
      </c>
      <c r="G1269" s="3" t="inlineStr">
        <is>
          <t>부용리</t>
        </is>
      </c>
      <c r="H1269" s="3" t="inlineStr">
        <is>
          <t>개발제한구역</t>
        </is>
      </c>
      <c r="I1269" s="3" t="inlineStr">
        <is>
          <t>답</t>
        </is>
      </c>
      <c r="J1269" s="3" t="inlineStr">
        <is>
          <t>금남면</t>
        </is>
      </c>
    </row>
    <row r="1270">
      <c r="A1270" s="3" t="n">
        <v>2023</v>
      </c>
      <c r="B1270" s="4" t="n">
        <v>23970</v>
      </c>
      <c r="C1270" s="4" t="n">
        <v>931</v>
      </c>
      <c r="D1270" s="4" t="n">
        <v>281.6275</v>
      </c>
      <c r="E1270" s="5" t="n">
        <v>85.09999999999999</v>
      </c>
      <c r="F1270" s="3" t="inlineStr">
        <is>
          <t>금남면</t>
        </is>
      </c>
      <c r="G1270" s="3" t="inlineStr">
        <is>
          <t>부용리</t>
        </is>
      </c>
      <c r="H1270" s="3" t="inlineStr">
        <is>
          <t>개발제한구역</t>
        </is>
      </c>
      <c r="I1270" s="3" t="inlineStr">
        <is>
          <t>답</t>
        </is>
      </c>
      <c r="J1270" s="3" t="inlineStr">
        <is>
          <t>금남면</t>
        </is>
      </c>
    </row>
    <row r="1271">
      <c r="A1271" s="3" t="n">
        <v>2023</v>
      </c>
      <c r="B1271" s="4" t="n">
        <v>14500</v>
      </c>
      <c r="C1271" s="4" t="n">
        <v>1071</v>
      </c>
      <c r="D1271" s="4" t="n">
        <v>323.9775</v>
      </c>
      <c r="E1271" s="5" t="n">
        <v>44.8</v>
      </c>
      <c r="F1271" s="3" t="inlineStr">
        <is>
          <t>현도면</t>
        </is>
      </c>
      <c r="G1271" s="3" t="inlineStr">
        <is>
          <t>중삼리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현도면</t>
        </is>
      </c>
    </row>
    <row r="1272">
      <c r="A1272" s="3" t="n">
        <v>2023</v>
      </c>
      <c r="B1272" s="4" t="n">
        <v>2652</v>
      </c>
      <c r="C1272" s="4" t="n">
        <v>108.7</v>
      </c>
      <c r="D1272" s="4" t="n">
        <v>32.88175</v>
      </c>
      <c r="E1272" s="5" t="n">
        <v>80.7</v>
      </c>
      <c r="F1272" s="3" t="inlineStr">
        <is>
          <t>현도면</t>
        </is>
      </c>
      <c r="G1272" s="3" t="inlineStr">
        <is>
          <t>죽전리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현도면</t>
        </is>
      </c>
    </row>
    <row r="1273">
      <c r="A1273" s="3" t="n">
        <v>2023</v>
      </c>
      <c r="B1273" s="4" t="n">
        <v>70000</v>
      </c>
      <c r="C1273" s="4" t="n">
        <v>1650</v>
      </c>
      <c r="D1273" s="4" t="n">
        <v>499.125</v>
      </c>
      <c r="E1273" s="5" t="n">
        <v>140.2</v>
      </c>
      <c r="F1273" s="3" t="inlineStr">
        <is>
          <t>남이면</t>
        </is>
      </c>
      <c r="G1273" s="3" t="inlineStr">
        <is>
          <t>석판리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34450</v>
      </c>
      <c r="C1274" s="4" t="n">
        <v>1772</v>
      </c>
      <c r="D1274" s="4" t="n">
        <v>536.03</v>
      </c>
      <c r="E1274" s="5" t="n">
        <v>64.3</v>
      </c>
      <c r="F1274" s="3" t="inlineStr">
        <is>
          <t>현도면</t>
        </is>
      </c>
      <c r="G1274" s="3" t="inlineStr">
        <is>
          <t>죽전리</t>
        </is>
      </c>
      <c r="H1274" s="3" t="inlineStr">
        <is>
          <t>계획관리지역</t>
        </is>
      </c>
      <c r="I1274" s="3" t="inlineStr">
        <is>
          <t>전</t>
        </is>
      </c>
      <c r="J1274" s="3" t="inlineStr">
        <is>
          <t>현도면</t>
        </is>
      </c>
    </row>
    <row r="1275">
      <c r="A1275" s="3" t="n">
        <v>2023</v>
      </c>
      <c r="B1275" s="4" t="n">
        <v>24500</v>
      </c>
      <c r="C1275" s="4" t="n">
        <v>883</v>
      </c>
      <c r="D1275" s="4" t="n">
        <v>267.1075</v>
      </c>
      <c r="E1275" s="5" t="n">
        <v>91.7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계획관리지역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2660</v>
      </c>
      <c r="C1276" s="4" t="n">
        <v>271</v>
      </c>
      <c r="D1276" s="4" t="n">
        <v>81.97749999999999</v>
      </c>
      <c r="E1276" s="5" t="n">
        <v>32.4</v>
      </c>
      <c r="F1276" s="3" t="inlineStr">
        <is>
          <t>현도면</t>
        </is>
      </c>
      <c r="G1276" s="3" t="inlineStr">
        <is>
          <t>죽전리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현도면</t>
        </is>
      </c>
    </row>
    <row r="1277">
      <c r="A1277" s="3" t="n">
        <v>2023</v>
      </c>
      <c r="B1277" s="4" t="n">
        <v>5840</v>
      </c>
      <c r="C1277" s="4" t="n">
        <v>595</v>
      </c>
      <c r="D1277" s="4" t="n">
        <v>179.9875</v>
      </c>
      <c r="E1277" s="5" t="n">
        <v>32.4</v>
      </c>
      <c r="F1277" s="3" t="inlineStr">
        <is>
          <t>현도면</t>
        </is>
      </c>
      <c r="G1277" s="3" t="inlineStr">
        <is>
          <t>죽전리</t>
        </is>
      </c>
      <c r="H1277" s="3" t="inlineStr">
        <is>
          <t>계획관리지역</t>
        </is>
      </c>
      <c r="I1277" s="3" t="inlineStr">
        <is>
          <t>답</t>
        </is>
      </c>
      <c r="J1277" s="3" t="inlineStr">
        <is>
          <t>현도면</t>
        </is>
      </c>
    </row>
    <row r="1278">
      <c r="A1278" s="3" t="n">
        <v>2023</v>
      </c>
      <c r="B1278" s="4" t="n">
        <v>10404</v>
      </c>
      <c r="C1278" s="4" t="n">
        <v>298</v>
      </c>
      <c r="D1278" s="4" t="n">
        <v>90.145</v>
      </c>
      <c r="E1278" s="5" t="n">
        <v>115.4</v>
      </c>
      <c r="F1278" s="3" t="inlineStr">
        <is>
          <t>남이면</t>
        </is>
      </c>
      <c r="G1278" s="3" t="inlineStr">
        <is>
          <t>척산리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11107</v>
      </c>
      <c r="C1279" s="4" t="n">
        <v>287</v>
      </c>
      <c r="D1279" s="4" t="n">
        <v>86.8175</v>
      </c>
      <c r="E1279" s="5" t="n">
        <v>127.9</v>
      </c>
      <c r="F1279" s="3" t="inlineStr">
        <is>
          <t>남이면</t>
        </is>
      </c>
      <c r="G1279" s="3" t="inlineStr">
        <is>
          <t>척산리</t>
        </is>
      </c>
      <c r="H1279" s="3" t="inlineStr">
        <is>
          <t>계획관리지역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17</v>
      </c>
      <c r="C1280" s="4" t="n">
        <v>1</v>
      </c>
      <c r="D1280" s="4" t="n">
        <v>0.3025</v>
      </c>
      <c r="E1280" s="5" t="n">
        <v>56.2</v>
      </c>
      <c r="F1280" s="3" t="inlineStr">
        <is>
          <t>남이면</t>
        </is>
      </c>
      <c r="G1280" s="3" t="inlineStr">
        <is>
          <t>대련리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34</v>
      </c>
      <c r="C1281" s="4" t="n">
        <v>2</v>
      </c>
      <c r="D1281" s="4" t="n">
        <v>0.605</v>
      </c>
      <c r="E1281" s="5" t="n">
        <v>56.2</v>
      </c>
      <c r="F1281" s="3" t="inlineStr">
        <is>
          <t>남이면</t>
        </is>
      </c>
      <c r="G1281" s="3" t="inlineStr">
        <is>
          <t>대련리</t>
        </is>
      </c>
      <c r="H1281" s="3" t="inlineStr">
        <is>
          <t>자연녹지지역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23500</v>
      </c>
      <c r="C1282" s="4" t="n">
        <v>3709</v>
      </c>
      <c r="D1282" s="4" t="n">
        <v>1121.9725</v>
      </c>
      <c r="E1282" s="5" t="n">
        <v>20.9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생산관리지역</t>
        </is>
      </c>
      <c r="I1282" s="3" t="inlineStr">
        <is>
          <t>답</t>
        </is>
      </c>
      <c r="J1282" s="3" t="inlineStr">
        <is>
          <t>남이면</t>
        </is>
      </c>
    </row>
    <row r="1283">
      <c r="A1283" s="3" t="n">
        <v>2023</v>
      </c>
      <c r="B1283" s="4" t="n">
        <v>1195</v>
      </c>
      <c r="C1283" s="4" t="n">
        <v>71</v>
      </c>
      <c r="D1283" s="4" t="n">
        <v>21.4775</v>
      </c>
      <c r="E1283" s="5" t="n">
        <v>55.6</v>
      </c>
      <c r="F1283" s="3" t="inlineStr">
        <is>
          <t>남이면</t>
        </is>
      </c>
      <c r="G1283" s="3" t="inlineStr">
        <is>
          <t>대련리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2023</v>
      </c>
      <c r="B1284" s="4" t="n">
        <v>555</v>
      </c>
      <c r="C1284" s="4" t="n">
        <v>100</v>
      </c>
      <c r="D1284" s="4" t="n">
        <v>30.25</v>
      </c>
      <c r="E1284" s="5" t="n">
        <v>18.3</v>
      </c>
      <c r="F1284" s="3" t="inlineStr">
        <is>
          <t>남이면</t>
        </is>
      </c>
      <c r="G1284" s="3" t="inlineStr">
        <is>
          <t>대련리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40200</v>
      </c>
      <c r="C1285" s="4" t="n">
        <v>990</v>
      </c>
      <c r="D1285" s="4" t="n">
        <v>299.475</v>
      </c>
      <c r="E1285" s="5" t="n">
        <v>134.2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창고용지</t>
        </is>
      </c>
      <c r="J1285" s="3" t="inlineStr">
        <is>
          <t>남이면</t>
        </is>
      </c>
    </row>
    <row r="1286">
      <c r="A1286" s="3" t="n">
        <v>2023</v>
      </c>
      <c r="B1286" s="4" t="n">
        <v>2544</v>
      </c>
      <c r="C1286" s="4" t="n">
        <v>120</v>
      </c>
      <c r="D1286" s="4" t="n">
        <v>36.3</v>
      </c>
      <c r="E1286" s="5" t="n">
        <v>70.09999999999999</v>
      </c>
      <c r="F1286" s="3" t="inlineStr">
        <is>
          <t>남이면</t>
        </is>
      </c>
      <c r="G1286" s="3" t="inlineStr">
        <is>
          <t>상발리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10697</v>
      </c>
      <c r="C1287" s="4" t="n">
        <v>1861</v>
      </c>
      <c r="D1287" s="4" t="n">
        <v>562.9525</v>
      </c>
      <c r="E1287" s="5" t="n">
        <v>19</v>
      </c>
      <c r="F1287" s="3" t="inlineStr">
        <is>
          <t>현도면</t>
        </is>
      </c>
      <c r="G1287" s="3" t="inlineStr">
        <is>
          <t>죽암리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현도면</t>
        </is>
      </c>
    </row>
    <row r="1288">
      <c r="A1288" s="3" t="n">
        <v>2023</v>
      </c>
      <c r="B1288" s="4" t="n">
        <v>5795</v>
      </c>
      <c r="C1288" s="4" t="n">
        <v>1008</v>
      </c>
      <c r="D1288" s="4" t="n">
        <v>304.92</v>
      </c>
      <c r="E1288" s="5" t="n">
        <v>19</v>
      </c>
      <c r="F1288" s="3" t="inlineStr">
        <is>
          <t>현도면</t>
        </is>
      </c>
      <c r="G1288" s="3" t="inlineStr">
        <is>
          <t>죽암리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2023</v>
      </c>
      <c r="B1289" s="4" t="n">
        <v>8400</v>
      </c>
      <c r="C1289" s="4" t="n">
        <v>280</v>
      </c>
      <c r="D1289" s="4" t="n">
        <v>84.7</v>
      </c>
      <c r="E1289" s="5" t="n">
        <v>99.2</v>
      </c>
      <c r="F1289" s="3" t="inlineStr">
        <is>
          <t>남이면</t>
        </is>
      </c>
      <c r="G1289" s="3" t="inlineStr">
        <is>
          <t>비룡리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2023</v>
      </c>
      <c r="B1290" s="4" t="n">
        <v>9675</v>
      </c>
      <c r="C1290" s="4" t="n">
        <v>2132</v>
      </c>
      <c r="D1290" s="4" t="n">
        <v>644.9299999999999</v>
      </c>
      <c r="E1290" s="5" t="n">
        <v>15</v>
      </c>
      <c r="F1290" s="3" t="inlineStr">
        <is>
          <t>현도면</t>
        </is>
      </c>
      <c r="G1290" s="3" t="inlineStr">
        <is>
          <t>죽암리</t>
        </is>
      </c>
      <c r="H1290" s="3" t="inlineStr">
        <is>
          <t>생산관리지역</t>
        </is>
      </c>
      <c r="I1290" s="3" t="inlineStr">
        <is>
          <t>답</t>
        </is>
      </c>
      <c r="J1290" s="3" t="inlineStr">
        <is>
          <t>현도면</t>
        </is>
      </c>
    </row>
    <row r="1291">
      <c r="A1291" s="3" t="n">
        <v>2023</v>
      </c>
      <c r="B1291" s="4" t="n">
        <v>41600</v>
      </c>
      <c r="C1291" s="4" t="n">
        <v>962</v>
      </c>
      <c r="D1291" s="4" t="n">
        <v>291.005</v>
      </c>
      <c r="E1291" s="5" t="n">
        <v>143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2023</v>
      </c>
      <c r="B1292" s="4" t="n">
        <v>21700</v>
      </c>
      <c r="C1292" s="4" t="n">
        <v>660</v>
      </c>
      <c r="D1292" s="4" t="n">
        <v>199.65</v>
      </c>
      <c r="E1292" s="5" t="n">
        <v>108.7</v>
      </c>
      <c r="F1292" s="3" t="inlineStr">
        <is>
          <t>남이면</t>
        </is>
      </c>
      <c r="G1292" s="3" t="inlineStr">
        <is>
          <t>양촌리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25000</v>
      </c>
      <c r="C1293" s="4" t="n">
        <v>1184</v>
      </c>
      <c r="D1293" s="4" t="n">
        <v>358.16</v>
      </c>
      <c r="E1293" s="5" t="n">
        <v>69.8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70000</v>
      </c>
      <c r="C1294" s="4" t="n">
        <v>3305</v>
      </c>
      <c r="D1294" s="4" t="n">
        <v>999.7624999999999</v>
      </c>
      <c r="E1294" s="5" t="n">
        <v>70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17000</v>
      </c>
      <c r="C1295" s="4" t="n">
        <v>575</v>
      </c>
      <c r="D1295" s="4" t="n">
        <v>173.9375</v>
      </c>
      <c r="E1295" s="5" t="n">
        <v>97.7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1000</v>
      </c>
      <c r="C1296" s="4" t="n">
        <v>10</v>
      </c>
      <c r="D1296" s="4" t="n">
        <v>3.025</v>
      </c>
      <c r="E1296" s="5" t="n">
        <v>330.6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대</t>
        </is>
      </c>
      <c r="J1296" s="3" t="inlineStr">
        <is>
          <t>남이면</t>
        </is>
      </c>
    </row>
    <row r="1297">
      <c r="A1297" s="3" t="n">
        <v>2022</v>
      </c>
      <c r="B1297" s="4" t="n">
        <v>1300</v>
      </c>
      <c r="C1297" s="4" t="n">
        <v>18</v>
      </c>
      <c r="D1297" s="4" t="n">
        <v>5.445</v>
      </c>
      <c r="E1297" s="5" t="n">
        <v>238.8</v>
      </c>
      <c r="F1297" s="3" t="inlineStr">
        <is>
          <t>남이면</t>
        </is>
      </c>
      <c r="G1297" s="3" t="inlineStr">
        <is>
          <t>외천리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40240</v>
      </c>
      <c r="C1298" s="4" t="n">
        <v>1716</v>
      </c>
      <c r="D1298" s="4" t="n">
        <v>519.09</v>
      </c>
      <c r="E1298" s="5" t="n">
        <v>77.5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24700</v>
      </c>
      <c r="C1299" s="4" t="n">
        <v>893</v>
      </c>
      <c r="D1299" s="4" t="n">
        <v>270.1325</v>
      </c>
      <c r="E1299" s="5" t="n">
        <v>91.40000000000001</v>
      </c>
      <c r="F1299" s="3" t="inlineStr">
        <is>
          <t>남이면</t>
        </is>
      </c>
      <c r="G1299" s="3" t="inlineStr">
        <is>
          <t>수대리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2022</v>
      </c>
      <c r="B1300" s="4" t="n">
        <v>600</v>
      </c>
      <c r="C1300" s="4" t="n">
        <v>13</v>
      </c>
      <c r="D1300" s="4" t="n">
        <v>3.9325</v>
      </c>
      <c r="E1300" s="5" t="n">
        <v>152.6</v>
      </c>
      <c r="F1300" s="3" t="inlineStr">
        <is>
          <t>남이면</t>
        </is>
      </c>
      <c r="G1300" s="3" t="inlineStr">
        <is>
          <t>가좌리</t>
        </is>
      </c>
      <c r="H1300" s="3" t="inlineStr">
        <is>
          <t>자연녹지지역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450</v>
      </c>
      <c r="C1301" s="4" t="n">
        <v>10</v>
      </c>
      <c r="D1301" s="4" t="n">
        <v>3.025</v>
      </c>
      <c r="E1301" s="5" t="n">
        <v>148.8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2022</v>
      </c>
      <c r="B1302" s="4" t="n">
        <v>66000</v>
      </c>
      <c r="C1302" s="4" t="n">
        <v>12694</v>
      </c>
      <c r="D1302" s="4" t="n">
        <v>3839.935</v>
      </c>
      <c r="E1302" s="5" t="n">
        <v>17.2</v>
      </c>
      <c r="F1302" s="3" t="inlineStr">
        <is>
          <t>남이면</t>
        </is>
      </c>
      <c r="G1302" s="3" t="inlineStr">
        <is>
          <t>갈원리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22000</v>
      </c>
      <c r="C1303" s="4" t="n">
        <v>660</v>
      </c>
      <c r="D1303" s="4" t="n">
        <v>199.65</v>
      </c>
      <c r="E1303" s="5" t="n">
        <v>110.2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보전녹지지역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27640</v>
      </c>
      <c r="C1304" s="4" t="n">
        <v>1170</v>
      </c>
      <c r="D1304" s="4" t="n">
        <v>353.925</v>
      </c>
      <c r="E1304" s="5" t="n">
        <v>78.09999999999999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18860</v>
      </c>
      <c r="C1305" s="4" t="n">
        <v>793</v>
      </c>
      <c r="D1305" s="4" t="n">
        <v>239.8825</v>
      </c>
      <c r="E1305" s="5" t="n">
        <v>78.59999999999999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2024</v>
      </c>
      <c r="B1306" s="4" t="n">
        <v>44000</v>
      </c>
      <c r="C1306" s="4" t="n">
        <v>898</v>
      </c>
      <c r="D1306" s="4" t="n">
        <v>271.645</v>
      </c>
      <c r="E1306" s="5" t="n">
        <v>162</v>
      </c>
      <c r="F1306" s="3" t="inlineStr">
        <is>
          <t>장군면</t>
        </is>
      </c>
      <c r="G1306" s="3" t="inlineStr">
        <is>
          <t>봉안리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장군면</t>
        </is>
      </c>
    </row>
    <row r="1307">
      <c r="A1307" s="3" t="n">
        <v>2024</v>
      </c>
      <c r="B1307" s="4" t="n">
        <v>1982</v>
      </c>
      <c r="C1307" s="4" t="n">
        <v>40</v>
      </c>
      <c r="D1307" s="4" t="n">
        <v>12.1</v>
      </c>
      <c r="E1307" s="5" t="n">
        <v>163.8</v>
      </c>
      <c r="F1307" s="3" t="inlineStr">
        <is>
          <t>장군면</t>
        </is>
      </c>
      <c r="G1307" s="3" t="inlineStr">
        <is>
          <t>봉안리</t>
        </is>
      </c>
      <c r="H1307" s="3" t="inlineStr">
        <is>
          <t>계획관리지역</t>
        </is>
      </c>
      <c r="I1307" s="3" t="inlineStr">
        <is>
          <t>임야</t>
        </is>
      </c>
      <c r="J1307" s="3" t="inlineStr">
        <is>
          <t>장군면</t>
        </is>
      </c>
    </row>
    <row r="1308">
      <c r="A1308" s="3" t="n">
        <v>2024</v>
      </c>
      <c r="B1308" s="4" t="n">
        <v>500</v>
      </c>
      <c r="C1308" s="4" t="n">
        <v>61</v>
      </c>
      <c r="D1308" s="4" t="n">
        <v>18.4525</v>
      </c>
      <c r="E1308" s="5" t="n">
        <v>27.1</v>
      </c>
      <c r="F1308" s="3" t="inlineStr">
        <is>
          <t>금남면</t>
        </is>
      </c>
      <c r="G1308" s="3" t="inlineStr">
        <is>
          <t>성강리</t>
        </is>
      </c>
      <c r="H1308" s="3" t="inlineStr">
        <is>
          <t>보전관리지역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2024</v>
      </c>
      <c r="B1309" s="4" t="n">
        <v>12500</v>
      </c>
      <c r="C1309" s="4" t="n">
        <v>493</v>
      </c>
      <c r="D1309" s="4" t="n">
        <v>149.1325</v>
      </c>
      <c r="E1309" s="5" t="n">
        <v>83.8</v>
      </c>
      <c r="F1309" s="3" t="inlineStr">
        <is>
          <t>연동면</t>
        </is>
      </c>
      <c r="G1309" s="3" t="inlineStr">
        <is>
          <t>응암리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연동면</t>
        </is>
      </c>
    </row>
    <row r="1310">
      <c r="A1310" s="3" t="n">
        <v>2024</v>
      </c>
      <c r="B1310" s="4" t="n">
        <v>17750</v>
      </c>
      <c r="C1310" s="4" t="n">
        <v>1651</v>
      </c>
      <c r="D1310" s="4" t="n">
        <v>499.4275</v>
      </c>
      <c r="E1310" s="5" t="n">
        <v>35.5</v>
      </c>
      <c r="F1310" s="3" t="inlineStr">
        <is>
          <t>전동면</t>
        </is>
      </c>
      <c r="G1310" s="3" t="inlineStr">
        <is>
          <t>봉대리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전동면</t>
        </is>
      </c>
    </row>
    <row r="1311">
      <c r="A1311" s="3" t="n">
        <v>2024</v>
      </c>
      <c r="B1311" s="4" t="n">
        <v>40000</v>
      </c>
      <c r="C1311" s="4" t="n">
        <v>333.2</v>
      </c>
      <c r="D1311" s="4" t="n">
        <v>100.793</v>
      </c>
      <c r="E1311" s="5" t="n">
        <v>396.9</v>
      </c>
      <c r="F1311" s="3" t="inlineStr">
        <is>
          <t>한솔동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한솔동</t>
        </is>
      </c>
    </row>
    <row r="1312">
      <c r="A1312" s="3" t="n">
        <v>2022</v>
      </c>
      <c r="B1312" s="4" t="n">
        <v>3600</v>
      </c>
      <c r="C1312" s="4" t="n">
        <v>238</v>
      </c>
      <c r="D1312" s="4" t="n">
        <v>71.995</v>
      </c>
      <c r="E1312" s="5" t="n">
        <v>50</v>
      </c>
      <c r="F1312" s="3" t="inlineStr">
        <is>
          <t>부강면</t>
        </is>
      </c>
      <c r="G1312" s="3" t="inlineStr">
        <is>
          <t>문곡리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부강면</t>
        </is>
      </c>
    </row>
    <row r="1313">
      <c r="A1313" s="3" t="n">
        <v>2022</v>
      </c>
      <c r="B1313" s="4" t="n">
        <v>90000</v>
      </c>
      <c r="C1313" s="4" t="n">
        <v>832</v>
      </c>
      <c r="D1313" s="4" t="n">
        <v>251.68</v>
      </c>
      <c r="E1313" s="5" t="n">
        <v>357.6</v>
      </c>
      <c r="F1313" s="3" t="inlineStr">
        <is>
          <t>장군면</t>
        </is>
      </c>
      <c r="G1313" s="3" t="inlineStr">
        <is>
          <t>봉안리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장군면</t>
        </is>
      </c>
    </row>
    <row r="1314">
      <c r="A1314" s="3" t="n">
        <v>2022</v>
      </c>
      <c r="B1314" s="4" t="n">
        <v>2000</v>
      </c>
      <c r="C1314" s="4" t="n">
        <v>1007</v>
      </c>
      <c r="D1314" s="4" t="n">
        <v>304.6175</v>
      </c>
      <c r="E1314" s="5" t="n">
        <v>6.6</v>
      </c>
      <c r="F1314" s="3" t="inlineStr">
        <is>
          <t>전동면</t>
        </is>
      </c>
      <c r="G1314" s="3" t="inlineStr">
        <is>
          <t>보덕리</t>
        </is>
      </c>
      <c r="H1314" s="3" t="inlineStr">
        <is>
          <t>생산관리지역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2022</v>
      </c>
      <c r="B1315" s="4" t="n">
        <v>63</v>
      </c>
      <c r="C1315" s="4" t="n">
        <v>231</v>
      </c>
      <c r="D1315" s="4" t="n">
        <v>69.8775</v>
      </c>
      <c r="E1315" s="5" t="n">
        <v>0.9</v>
      </c>
      <c r="F1315" s="3" t="inlineStr">
        <is>
          <t>전동면</t>
        </is>
      </c>
      <c r="G1315" s="3" t="inlineStr">
        <is>
          <t>보덕리</t>
        </is>
      </c>
      <c r="H1315" s="3" t="inlineStr">
        <is>
          <t>생산관리지역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2022</v>
      </c>
      <c r="B1316" s="4" t="n">
        <v>1700</v>
      </c>
      <c r="C1316" s="4" t="n">
        <v>405</v>
      </c>
      <c r="D1316" s="4" t="n">
        <v>122.5125</v>
      </c>
      <c r="E1316" s="5" t="n">
        <v>13.9</v>
      </c>
      <c r="F1316" s="3" t="inlineStr">
        <is>
          <t>전동면</t>
        </is>
      </c>
      <c r="G1316" s="3" t="inlineStr">
        <is>
          <t>보덕리</t>
        </is>
      </c>
      <c r="H1316" s="3" t="inlineStr">
        <is>
          <t>생산관리지역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2022</v>
      </c>
      <c r="B1317" s="4" t="n">
        <v>4750</v>
      </c>
      <c r="C1317" s="4" t="n">
        <v>786</v>
      </c>
      <c r="D1317" s="4" t="n">
        <v>237.765</v>
      </c>
      <c r="E1317" s="5" t="n">
        <v>20</v>
      </c>
      <c r="F1317" s="3" t="inlineStr">
        <is>
          <t>전동면</t>
        </is>
      </c>
      <c r="G1317" s="3" t="inlineStr">
        <is>
          <t>보덕리</t>
        </is>
      </c>
      <c r="H1317" s="3" t="inlineStr">
        <is>
          <t>보전관리지역</t>
        </is>
      </c>
      <c r="I1317" s="3" t="inlineStr">
        <is>
          <t>전</t>
        </is>
      </c>
      <c r="J1317" s="3" t="inlineStr">
        <is>
          <t>전동면</t>
        </is>
      </c>
    </row>
    <row r="1318">
      <c r="A1318" s="3" t="n">
        <v>2022</v>
      </c>
      <c r="B1318" s="4" t="n">
        <v>10000</v>
      </c>
      <c r="C1318" s="4" t="n">
        <v>1595</v>
      </c>
      <c r="D1318" s="4" t="n">
        <v>482.4875</v>
      </c>
      <c r="E1318" s="5" t="n">
        <v>20.7</v>
      </c>
      <c r="F1318" s="3" t="inlineStr">
        <is>
          <t>전동면</t>
        </is>
      </c>
      <c r="G1318" s="3" t="inlineStr">
        <is>
          <t>보덕리</t>
        </is>
      </c>
      <c r="H1318" s="3" t="inlineStr">
        <is>
          <t>보전관리지역</t>
        </is>
      </c>
      <c r="I1318" s="3" t="inlineStr">
        <is>
          <t>전</t>
        </is>
      </c>
      <c r="J1318" s="3" t="inlineStr">
        <is>
          <t>전동면</t>
        </is>
      </c>
    </row>
    <row r="1319">
      <c r="A1319" s="3" t="n">
        <v>2022</v>
      </c>
      <c r="B1319" s="4" t="n">
        <v>50</v>
      </c>
      <c r="C1319" s="4" t="n">
        <v>194</v>
      </c>
      <c r="D1319" s="4" t="n">
        <v>58.685</v>
      </c>
      <c r="E1319" s="5" t="n">
        <v>0.9</v>
      </c>
      <c r="F1319" s="3" t="inlineStr">
        <is>
          <t>전동면</t>
        </is>
      </c>
      <c r="G1319" s="3" t="inlineStr">
        <is>
          <t>보덕리</t>
        </is>
      </c>
      <c r="H1319" s="3" t="inlineStr">
        <is>
          <t>보전관리지역</t>
        </is>
      </c>
      <c r="I1319" s="3" t="inlineStr">
        <is>
          <t>묘지</t>
        </is>
      </c>
      <c r="J1319" s="3" t="inlineStr">
        <is>
          <t>전동면</t>
        </is>
      </c>
    </row>
    <row r="1320">
      <c r="A1320" s="3" t="n">
        <v>2022</v>
      </c>
      <c r="B1320" s="4" t="n">
        <v>21640</v>
      </c>
      <c r="C1320" s="4" t="n">
        <v>3450</v>
      </c>
      <c r="D1320" s="4" t="n">
        <v>1043.625</v>
      </c>
      <c r="E1320" s="5" t="n">
        <v>20.7</v>
      </c>
      <c r="F1320" s="3" t="inlineStr">
        <is>
          <t>전동면</t>
        </is>
      </c>
      <c r="G1320" s="3" t="inlineStr">
        <is>
          <t>보덕리</t>
        </is>
      </c>
      <c r="H1320" s="3" t="inlineStr">
        <is>
          <t>보전관리지역</t>
        </is>
      </c>
      <c r="I1320" s="3" t="inlineStr">
        <is>
          <t>전</t>
        </is>
      </c>
      <c r="J1320" s="3" t="inlineStr">
        <is>
          <t>전동면</t>
        </is>
      </c>
    </row>
    <row r="1321">
      <c r="A1321" s="3" t="n">
        <v>2022</v>
      </c>
      <c r="B1321" s="4" t="n">
        <v>148597</v>
      </c>
      <c r="C1321" s="4" t="n">
        <v>101055</v>
      </c>
      <c r="D1321" s="4" t="n">
        <v>30569.1375</v>
      </c>
      <c r="E1321" s="5" t="n">
        <v>4.9</v>
      </c>
      <c r="F1321" s="3" t="inlineStr">
        <is>
          <t>전동면</t>
        </is>
      </c>
      <c r="G1321" s="3" t="inlineStr">
        <is>
          <t>보덕리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전동면</t>
        </is>
      </c>
    </row>
    <row r="1322">
      <c r="A1322" s="3" t="n">
        <v>2022</v>
      </c>
      <c r="B1322" s="4" t="n">
        <v>5000</v>
      </c>
      <c r="C1322" s="4" t="n">
        <v>12198</v>
      </c>
      <c r="D1322" s="4" t="n">
        <v>3689.895</v>
      </c>
      <c r="E1322" s="5" t="n">
        <v>1.4</v>
      </c>
      <c r="F1322" s="3" t="inlineStr">
        <is>
          <t>전동면</t>
        </is>
      </c>
      <c r="G1322" s="3" t="inlineStr">
        <is>
          <t>보덕리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전동면</t>
        </is>
      </c>
    </row>
    <row r="1323">
      <c r="A1323" s="3" t="n">
        <v>2022</v>
      </c>
      <c r="B1323" s="4" t="n">
        <v>5700</v>
      </c>
      <c r="C1323" s="4" t="n">
        <v>25488</v>
      </c>
      <c r="D1323" s="4" t="n">
        <v>7710.12</v>
      </c>
      <c r="E1323" s="5" t="n">
        <v>0.7</v>
      </c>
      <c r="F1323" s="3" t="inlineStr">
        <is>
          <t>전동면</t>
        </is>
      </c>
      <c r="G1323" s="3" t="inlineStr">
        <is>
          <t>보덕리</t>
        </is>
      </c>
      <c r="H1323" s="3" t="inlineStr">
        <is>
          <t>농림지역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171000</v>
      </c>
      <c r="C1324" s="4" t="n">
        <v>5653</v>
      </c>
      <c r="D1324" s="4" t="n">
        <v>1710.0325</v>
      </c>
      <c r="E1324" s="5" t="n">
        <v>100</v>
      </c>
      <c r="F1324" s="3" t="inlineStr">
        <is>
          <t>장군면</t>
        </is>
      </c>
      <c r="G1324" s="3" t="inlineStr">
        <is>
          <t>봉안리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장군면</t>
        </is>
      </c>
    </row>
    <row r="1325">
      <c r="A1325" s="3" t="n">
        <v>2022</v>
      </c>
      <c r="B1325" s="4" t="n">
        <v>85930</v>
      </c>
      <c r="C1325" s="4" t="n">
        <v>2833</v>
      </c>
      <c r="D1325" s="4" t="n">
        <v>856.9825</v>
      </c>
      <c r="E1325" s="5" t="n">
        <v>100.3</v>
      </c>
      <c r="F1325" s="3" t="inlineStr">
        <is>
          <t>금남면</t>
        </is>
      </c>
      <c r="G1325" s="3" t="inlineStr">
        <is>
          <t>도암리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금남면</t>
        </is>
      </c>
    </row>
    <row r="1326">
      <c r="A1326" s="3" t="n">
        <v>2022</v>
      </c>
      <c r="B1326" s="4" t="n">
        <v>9070</v>
      </c>
      <c r="C1326" s="4" t="n">
        <v>299</v>
      </c>
      <c r="D1326" s="4" t="n">
        <v>90.44749999999999</v>
      </c>
      <c r="E1326" s="5" t="n">
        <v>100.3</v>
      </c>
      <c r="F1326" s="3" t="inlineStr">
        <is>
          <t>금남면</t>
        </is>
      </c>
      <c r="G1326" s="3" t="inlineStr">
        <is>
          <t>도암리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금남면</t>
        </is>
      </c>
    </row>
    <row r="1327">
      <c r="A1327" s="3" t="n">
        <v>2022</v>
      </c>
      <c r="B1327" s="4" t="n">
        <v>57600</v>
      </c>
      <c r="C1327" s="4" t="n">
        <v>1526</v>
      </c>
      <c r="D1327" s="4" t="n">
        <v>461.615</v>
      </c>
      <c r="E1327" s="5" t="n">
        <v>124.8</v>
      </c>
      <c r="F1327" s="3" t="inlineStr">
        <is>
          <t>전동면</t>
        </is>
      </c>
      <c r="G1327" s="3" t="inlineStr">
        <is>
          <t>미곡리</t>
        </is>
      </c>
      <c r="H1327" s="3" t="inlineStr">
        <is>
          <t>생산관리지역</t>
        </is>
      </c>
      <c r="I1327" s="3" t="inlineStr">
        <is>
          <t>답</t>
        </is>
      </c>
      <c r="J1327" s="3" t="inlineStr">
        <is>
          <t>전동면</t>
        </is>
      </c>
    </row>
    <row r="1328">
      <c r="A1328" s="3" t="n">
        <v>2022</v>
      </c>
      <c r="B1328" s="4" t="n">
        <v>32650</v>
      </c>
      <c r="C1328" s="4" t="n">
        <v>1030</v>
      </c>
      <c r="D1328" s="4" t="n">
        <v>311.575</v>
      </c>
      <c r="E1328" s="5" t="n">
        <v>104.8</v>
      </c>
      <c r="F1328" s="3" t="inlineStr">
        <is>
          <t>장군면</t>
        </is>
      </c>
      <c r="G1328" s="3" t="inlineStr">
        <is>
          <t>산학리</t>
        </is>
      </c>
      <c r="H1328" s="3" t="inlineStr">
        <is>
          <t>농림지역</t>
        </is>
      </c>
      <c r="I1328" s="3" t="inlineStr">
        <is>
          <t>답</t>
        </is>
      </c>
      <c r="J1328" s="3" t="inlineStr">
        <is>
          <t>장군면</t>
        </is>
      </c>
    </row>
    <row r="1329">
      <c r="A1329" s="3" t="n">
        <v>2022</v>
      </c>
      <c r="B1329" s="4" t="n">
        <v>11830</v>
      </c>
      <c r="C1329" s="4" t="n">
        <v>301</v>
      </c>
      <c r="D1329" s="4" t="n">
        <v>91.05249999999999</v>
      </c>
      <c r="E1329" s="5" t="n">
        <v>129.9</v>
      </c>
      <c r="F1329" s="3" t="inlineStr">
        <is>
          <t>연서면</t>
        </is>
      </c>
      <c r="G1329" s="3" t="inlineStr">
        <is>
          <t>와촌리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연서면</t>
        </is>
      </c>
    </row>
    <row r="1330">
      <c r="A1330" s="3" t="n">
        <v>2022</v>
      </c>
      <c r="B1330" s="4" t="n">
        <v>70000</v>
      </c>
      <c r="C1330" s="4" t="n">
        <v>1919</v>
      </c>
      <c r="D1330" s="4" t="n">
        <v>580.4974999999999</v>
      </c>
      <c r="E1330" s="5" t="n">
        <v>120.6</v>
      </c>
      <c r="F1330" s="3" t="inlineStr">
        <is>
          <t>장군면</t>
        </is>
      </c>
      <c r="G1330" s="3" t="inlineStr">
        <is>
          <t>용현리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930000</v>
      </c>
      <c r="C1331" s="4" t="n">
        <v>62444</v>
      </c>
      <c r="D1331" s="4" t="n">
        <v>18889.31</v>
      </c>
      <c r="E1331" s="5" t="n">
        <v>49.2</v>
      </c>
      <c r="F1331" s="3" t="inlineStr">
        <is>
          <t>장군면</t>
        </is>
      </c>
      <c r="G1331" s="3" t="inlineStr">
        <is>
          <t>용현리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33760</v>
      </c>
      <c r="C1332" s="4" t="n">
        <v>532</v>
      </c>
      <c r="D1332" s="4" t="n">
        <v>160.93</v>
      </c>
      <c r="E1332" s="5" t="n">
        <v>209.8</v>
      </c>
      <c r="F1332" s="3" t="inlineStr">
        <is>
          <t>금남면</t>
        </is>
      </c>
      <c r="G1332" s="3" t="inlineStr">
        <is>
          <t>성강리</t>
        </is>
      </c>
      <c r="H1332" s="3" t="inlineStr">
        <is>
          <t>생산관리지역</t>
        </is>
      </c>
      <c r="I1332" s="3" t="inlineStr">
        <is>
          <t>전</t>
        </is>
      </c>
      <c r="J1332" s="3" t="inlineStr">
        <is>
          <t>금남면</t>
        </is>
      </c>
    </row>
    <row r="1333">
      <c r="A1333" s="3" t="n">
        <v>2022</v>
      </c>
      <c r="B1333" s="4" t="n">
        <v>150000</v>
      </c>
      <c r="C1333" s="4" t="n">
        <v>3593</v>
      </c>
      <c r="D1333" s="4" t="n">
        <v>1086.8825</v>
      </c>
      <c r="E1333" s="5" t="n">
        <v>138</v>
      </c>
      <c r="F1333" s="3" t="inlineStr">
        <is>
          <t>연기면</t>
        </is>
      </c>
      <c r="G1333" s="3" t="inlineStr">
        <is>
          <t>수산리</t>
        </is>
      </c>
      <c r="H1333" s="3" t="inlineStr">
        <is>
          <t>보전관리지역</t>
        </is>
      </c>
      <c r="I1333" s="3" t="inlineStr">
        <is>
          <t>임야</t>
        </is>
      </c>
      <c r="J1333" s="3" t="inlineStr">
        <is>
          <t>연기면</t>
        </is>
      </c>
    </row>
    <row r="1334">
      <c r="A1334" s="3" t="n">
        <v>2022</v>
      </c>
      <c r="B1334" s="4" t="n">
        <v>130000</v>
      </c>
      <c r="C1334" s="4" t="n">
        <v>3151</v>
      </c>
      <c r="D1334" s="4" t="n">
        <v>953.1775</v>
      </c>
      <c r="E1334" s="5" t="n">
        <v>136.4</v>
      </c>
      <c r="F1334" s="3" t="inlineStr">
        <is>
          <t>연기면</t>
        </is>
      </c>
      <c r="G1334" s="3" t="inlineStr">
        <is>
          <t>수산리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연기면</t>
        </is>
      </c>
    </row>
    <row r="1335">
      <c r="A1335" s="3" t="n">
        <v>2022</v>
      </c>
      <c r="B1335" s="4" t="n">
        <v>50000</v>
      </c>
      <c r="C1335" s="4" t="n">
        <v>1532</v>
      </c>
      <c r="D1335" s="4" t="n">
        <v>463.43</v>
      </c>
      <c r="E1335" s="5" t="n">
        <v>107.9</v>
      </c>
      <c r="F1335" s="3" t="inlineStr">
        <is>
          <t>연기면</t>
        </is>
      </c>
      <c r="G1335" s="3" t="inlineStr">
        <is>
          <t>수산리</t>
        </is>
      </c>
      <c r="H1335" s="3" t="inlineStr">
        <is>
          <t>보전관리지역</t>
        </is>
      </c>
      <c r="I1335" s="3" t="inlineStr">
        <is>
          <t>임야</t>
        </is>
      </c>
      <c r="J1335" s="3" t="inlineStr">
        <is>
          <t>연기면</t>
        </is>
      </c>
    </row>
    <row r="1336">
      <c r="A1336" s="3" t="n">
        <v>2022</v>
      </c>
      <c r="B1336" s="4" t="n">
        <v>150000</v>
      </c>
      <c r="C1336" s="4" t="n">
        <v>5418</v>
      </c>
      <c r="D1336" s="4" t="n">
        <v>1638.945</v>
      </c>
      <c r="E1336" s="5" t="n">
        <v>91.5</v>
      </c>
      <c r="F1336" s="3" t="inlineStr">
        <is>
          <t>연기면</t>
        </is>
      </c>
      <c r="G1336" s="3" t="inlineStr">
        <is>
          <t>수산리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연기면</t>
        </is>
      </c>
    </row>
    <row r="1337">
      <c r="A1337" s="3" t="n">
        <v>2022</v>
      </c>
      <c r="B1337" s="4" t="n">
        <v>67500</v>
      </c>
      <c r="C1337" s="4" t="n">
        <v>1794</v>
      </c>
      <c r="D1337" s="4" t="n">
        <v>542.6849999999999</v>
      </c>
      <c r="E1337" s="5" t="n">
        <v>124.4</v>
      </c>
      <c r="F1337" s="3" t="inlineStr">
        <is>
          <t>연기면</t>
        </is>
      </c>
      <c r="G1337" s="3" t="inlineStr">
        <is>
          <t>수산리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연기면</t>
        </is>
      </c>
    </row>
    <row r="1338">
      <c r="A1338" s="3" t="n">
        <v>2022</v>
      </c>
      <c r="B1338" s="4" t="n">
        <v>313700</v>
      </c>
      <c r="C1338" s="4" t="n">
        <v>6723</v>
      </c>
      <c r="D1338" s="4" t="n">
        <v>2033.7075</v>
      </c>
      <c r="E1338" s="5" t="n">
        <v>154.3</v>
      </c>
      <c r="F1338" s="3" t="inlineStr">
        <is>
          <t>연기면</t>
        </is>
      </c>
      <c r="G1338" s="3" t="inlineStr">
        <is>
          <t>수산리</t>
        </is>
      </c>
      <c r="H1338" s="3" t="inlineStr">
        <is>
          <t>보전관리지역</t>
        </is>
      </c>
      <c r="I1338" s="3" t="inlineStr">
        <is>
          <t>임야</t>
        </is>
      </c>
      <c r="J1338" s="3" t="inlineStr">
        <is>
          <t>연기면</t>
        </is>
      </c>
    </row>
    <row r="1339">
      <c r="A1339" s="3" t="n">
        <v>2022</v>
      </c>
      <c r="B1339" s="4" t="n">
        <v>313800</v>
      </c>
      <c r="C1339" s="4" t="n">
        <v>6722</v>
      </c>
      <c r="D1339" s="4" t="n">
        <v>2033.405</v>
      </c>
      <c r="E1339" s="5" t="n">
        <v>154.3</v>
      </c>
      <c r="F1339" s="3" t="inlineStr">
        <is>
          <t>연기면</t>
        </is>
      </c>
      <c r="G1339" s="3" t="inlineStr">
        <is>
          <t>수산리</t>
        </is>
      </c>
      <c r="H1339" s="3" t="inlineStr">
        <is>
          <t>보전관리지역</t>
        </is>
      </c>
      <c r="I1339" s="3" t="inlineStr">
        <is>
          <t>임야</t>
        </is>
      </c>
      <c r="J1339" s="3" t="inlineStr">
        <is>
          <t>연기면</t>
        </is>
      </c>
    </row>
    <row r="1340">
      <c r="A1340" s="3" t="n">
        <v>2022</v>
      </c>
      <c r="B1340" s="4" t="n">
        <v>81600</v>
      </c>
      <c r="C1340" s="4" t="n">
        <v>672</v>
      </c>
      <c r="D1340" s="4" t="n">
        <v>203.28</v>
      </c>
      <c r="E1340" s="5" t="n">
        <v>401.4</v>
      </c>
      <c r="F1340" s="3" t="inlineStr">
        <is>
          <t>장군면</t>
        </is>
      </c>
      <c r="G1340" s="3" t="inlineStr">
        <is>
          <t>봉안리</t>
        </is>
      </c>
      <c r="H1340" s="3" t="inlineStr">
        <is>
          <t>보전관리지역</t>
        </is>
      </c>
      <c r="I1340" s="3" t="inlineStr">
        <is>
          <t>임야</t>
        </is>
      </c>
      <c r="J1340" s="3" t="inlineStr">
        <is>
          <t>장군면</t>
        </is>
      </c>
    </row>
    <row r="1341">
      <c r="A1341" s="3" t="n">
        <v>2022</v>
      </c>
      <c r="B1341" s="4" t="n">
        <v>19210</v>
      </c>
      <c r="C1341" s="4" t="n">
        <v>318</v>
      </c>
      <c r="D1341" s="4" t="n">
        <v>96.19499999999999</v>
      </c>
      <c r="E1341" s="5" t="n">
        <v>199.7</v>
      </c>
      <c r="F1341" s="3" t="inlineStr">
        <is>
          <t>연기면</t>
        </is>
      </c>
      <c r="G1341" s="3" t="inlineStr">
        <is>
          <t>수산리</t>
        </is>
      </c>
      <c r="H1341" s="3" t="inlineStr">
        <is>
          <t>계획관리지역</t>
        </is>
      </c>
      <c r="I1341" s="3" t="inlineStr">
        <is>
          <t>대</t>
        </is>
      </c>
      <c r="J1341" s="3" t="inlineStr">
        <is>
          <t>연기면</t>
        </is>
      </c>
    </row>
    <row r="1342">
      <c r="A1342" s="3" t="n">
        <v>2022</v>
      </c>
      <c r="B1342" s="4" t="n">
        <v>18200</v>
      </c>
      <c r="C1342" s="4" t="n">
        <v>1370</v>
      </c>
      <c r="D1342" s="4" t="n">
        <v>414.425</v>
      </c>
      <c r="E1342" s="5" t="n">
        <v>43.9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농림지역</t>
        </is>
      </c>
      <c r="I1342" s="3" t="inlineStr">
        <is>
          <t>답</t>
        </is>
      </c>
      <c r="J1342" s="3" t="inlineStr">
        <is>
          <t>전동면</t>
        </is>
      </c>
    </row>
    <row r="1343">
      <c r="A1343" s="3" t="n">
        <v>2022</v>
      </c>
      <c r="B1343" s="4" t="n">
        <v>14000</v>
      </c>
      <c r="C1343" s="4" t="n">
        <v>1058</v>
      </c>
      <c r="D1343" s="4" t="n">
        <v>320.045</v>
      </c>
      <c r="E1343" s="5" t="n">
        <v>43.7</v>
      </c>
      <c r="F1343" s="3" t="inlineStr">
        <is>
          <t>전동면</t>
        </is>
      </c>
      <c r="G1343" s="3" t="inlineStr">
        <is>
          <t>노장리</t>
        </is>
      </c>
      <c r="H1343" s="3" t="inlineStr">
        <is>
          <t>농림지역</t>
        </is>
      </c>
      <c r="I1343" s="3" t="inlineStr">
        <is>
          <t>답</t>
        </is>
      </c>
      <c r="J1343" s="3" t="inlineStr">
        <is>
          <t>전동면</t>
        </is>
      </c>
    </row>
    <row r="1344">
      <c r="A1344" s="3" t="n">
        <v>2022</v>
      </c>
      <c r="B1344" s="4" t="n">
        <v>4800</v>
      </c>
      <c r="C1344" s="4" t="n">
        <v>352</v>
      </c>
      <c r="D1344" s="4" t="n">
        <v>106.48</v>
      </c>
      <c r="E1344" s="5" t="n">
        <v>45.1</v>
      </c>
      <c r="F1344" s="3" t="inlineStr">
        <is>
          <t>전동면</t>
        </is>
      </c>
      <c r="G1344" s="3" t="inlineStr">
        <is>
          <t>노장리</t>
        </is>
      </c>
      <c r="H1344" s="3" t="inlineStr">
        <is>
          <t>농림지역</t>
        </is>
      </c>
      <c r="I1344" s="3" t="inlineStr">
        <is>
          <t>유지</t>
        </is>
      </c>
      <c r="J1344" s="3" t="inlineStr">
        <is>
          <t>전동면</t>
        </is>
      </c>
    </row>
    <row r="1345">
      <c r="A1345" s="3" t="n">
        <v>2023</v>
      </c>
      <c r="B1345" s="4" t="n">
        <v>58300</v>
      </c>
      <c r="C1345" s="4" t="n">
        <v>6486</v>
      </c>
      <c r="D1345" s="4" t="n">
        <v>1962.015</v>
      </c>
      <c r="E1345" s="5" t="n">
        <v>29.7</v>
      </c>
      <c r="F1345" s="3" t="inlineStr">
        <is>
          <t>전동면</t>
        </is>
      </c>
      <c r="G1345" s="3" t="inlineStr">
        <is>
          <t>청송리</t>
        </is>
      </c>
      <c r="H1345" s="3" t="inlineStr">
        <is>
          <t>생산관리지역</t>
        </is>
      </c>
      <c r="I1345" s="3" t="inlineStr">
        <is>
          <t>전</t>
        </is>
      </c>
      <c r="J1345" s="3" t="inlineStr">
        <is>
          <t>전동면</t>
        </is>
      </c>
    </row>
    <row r="1346">
      <c r="A1346" s="3" t="n">
        <v>2023</v>
      </c>
      <c r="B1346" s="4" t="n">
        <v>41600</v>
      </c>
      <c r="C1346" s="4" t="n">
        <v>3203</v>
      </c>
      <c r="D1346" s="4" t="n">
        <v>968.9075</v>
      </c>
      <c r="E1346" s="5" t="n">
        <v>42.9</v>
      </c>
      <c r="F1346" s="3" t="inlineStr">
        <is>
          <t>전동면</t>
        </is>
      </c>
      <c r="G1346" s="3" t="inlineStr">
        <is>
          <t>청송리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전동면</t>
        </is>
      </c>
    </row>
    <row r="1347">
      <c r="A1347" s="3" t="n">
        <v>2023</v>
      </c>
      <c r="B1347" s="4" t="n">
        <v>39500</v>
      </c>
      <c r="C1347" s="4" t="n">
        <v>446</v>
      </c>
      <c r="D1347" s="4" t="n">
        <v>134.915</v>
      </c>
      <c r="E1347" s="5" t="n">
        <v>292.8</v>
      </c>
      <c r="F1347" s="3" t="inlineStr">
        <is>
          <t>장군면</t>
        </is>
      </c>
      <c r="G1347" s="3" t="inlineStr">
        <is>
          <t>대교리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장군면</t>
        </is>
      </c>
    </row>
    <row r="1348">
      <c r="A1348" s="3" t="n">
        <v>2023</v>
      </c>
      <c r="B1348" s="4" t="n">
        <v>15500</v>
      </c>
      <c r="C1348" s="4" t="n">
        <v>176</v>
      </c>
      <c r="D1348" s="4" t="n">
        <v>53.23999999999999</v>
      </c>
      <c r="E1348" s="5" t="n">
        <v>291.1</v>
      </c>
      <c r="F1348" s="3" t="inlineStr">
        <is>
          <t>장군면</t>
        </is>
      </c>
      <c r="G1348" s="3" t="inlineStr">
        <is>
          <t>대교리</t>
        </is>
      </c>
      <c r="H1348" s="3" t="inlineStr">
        <is>
          <t>생산관리지역</t>
        </is>
      </c>
      <c r="I1348" s="3" t="inlineStr">
        <is>
          <t>답</t>
        </is>
      </c>
      <c r="J1348" s="3" t="inlineStr">
        <is>
          <t>장군면</t>
        </is>
      </c>
    </row>
    <row r="1349">
      <c r="A1349" s="3" t="n">
        <v>2023</v>
      </c>
      <c r="B1349" s="4" t="n">
        <v>47250</v>
      </c>
      <c r="C1349" s="4" t="n">
        <v>445</v>
      </c>
      <c r="D1349" s="4" t="n">
        <v>134.6125</v>
      </c>
      <c r="E1349" s="5" t="n">
        <v>351</v>
      </c>
      <c r="F1349" s="3" t="inlineStr">
        <is>
          <t>조치원읍</t>
        </is>
      </c>
      <c r="G1349" s="3" t="inlineStr">
        <is>
          <t>죽림리</t>
        </is>
      </c>
      <c r="H1349" s="3" t="inlineStr">
        <is>
          <t>제2종일반주거지역</t>
        </is>
      </c>
      <c r="I1349" s="3" t="inlineStr">
        <is>
          <t>과수원</t>
        </is>
      </c>
      <c r="J1349" s="3" t="inlineStr">
        <is>
          <t>조치원읍</t>
        </is>
      </c>
    </row>
    <row r="1350">
      <c r="A1350" s="3" t="n">
        <v>2023</v>
      </c>
      <c r="B1350" s="4" t="n">
        <v>18707</v>
      </c>
      <c r="C1350" s="4" t="n">
        <v>186</v>
      </c>
      <c r="D1350" s="4" t="n">
        <v>56.265</v>
      </c>
      <c r="E1350" s="5" t="n">
        <v>332.5</v>
      </c>
      <c r="F1350" s="3" t="inlineStr">
        <is>
          <t>장군면</t>
        </is>
      </c>
      <c r="G1350" s="3" t="inlineStr">
        <is>
          <t>대교리</t>
        </is>
      </c>
      <c r="H1350" s="3" t="inlineStr">
        <is>
          <t>계획관리지역</t>
        </is>
      </c>
      <c r="I1350" s="3" t="inlineStr">
        <is>
          <t>목장용지</t>
        </is>
      </c>
      <c r="J1350" s="3" t="inlineStr">
        <is>
          <t>장군면</t>
        </is>
      </c>
    </row>
    <row r="1351">
      <c r="A1351" s="3" t="n">
        <v>2023</v>
      </c>
      <c r="B1351" s="4" t="n">
        <v>21524</v>
      </c>
      <c r="C1351" s="4" t="n">
        <v>214</v>
      </c>
      <c r="D1351" s="4" t="n">
        <v>64.735</v>
      </c>
      <c r="E1351" s="5" t="n">
        <v>332.5</v>
      </c>
      <c r="F1351" s="3" t="inlineStr">
        <is>
          <t>장군면</t>
        </is>
      </c>
      <c r="G1351" s="3" t="inlineStr">
        <is>
          <t>대교리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장군면</t>
        </is>
      </c>
    </row>
    <row r="1352">
      <c r="A1352" s="3" t="n">
        <v>2023</v>
      </c>
      <c r="B1352" s="4" t="n">
        <v>2414</v>
      </c>
      <c r="C1352" s="4" t="n">
        <v>24</v>
      </c>
      <c r="D1352" s="4" t="n">
        <v>7.26</v>
      </c>
      <c r="E1352" s="5" t="n">
        <v>332.5</v>
      </c>
      <c r="F1352" s="3" t="inlineStr">
        <is>
          <t>장군면</t>
        </is>
      </c>
      <c r="G1352" s="3" t="inlineStr">
        <is>
          <t>대교리</t>
        </is>
      </c>
      <c r="H1352" s="3" t="inlineStr">
        <is>
          <t>계획관리지역</t>
        </is>
      </c>
      <c r="I1352" s="3" t="inlineStr">
        <is>
          <t>목장용지</t>
        </is>
      </c>
      <c r="J1352" s="3" t="inlineStr">
        <is>
          <t>장군면</t>
        </is>
      </c>
    </row>
    <row r="1353">
      <c r="A1353" s="3" t="n">
        <v>2023</v>
      </c>
      <c r="B1353" s="4" t="n">
        <v>4627</v>
      </c>
      <c r="C1353" s="4" t="n">
        <v>46</v>
      </c>
      <c r="D1353" s="4" t="n">
        <v>13.915</v>
      </c>
      <c r="E1353" s="5" t="n">
        <v>332.5</v>
      </c>
      <c r="F1353" s="3" t="inlineStr">
        <is>
          <t>장군면</t>
        </is>
      </c>
      <c r="G1353" s="3" t="inlineStr">
        <is>
          <t>대교리</t>
        </is>
      </c>
      <c r="H1353" s="3" t="inlineStr">
        <is>
          <t>계획관리지역</t>
        </is>
      </c>
      <c r="I1353" s="3" t="inlineStr">
        <is>
          <t>목장용지</t>
        </is>
      </c>
      <c r="J1353" s="3" t="inlineStr">
        <is>
          <t>장군면</t>
        </is>
      </c>
    </row>
    <row r="1354">
      <c r="A1354" s="3" t="n">
        <v>2023</v>
      </c>
      <c r="B1354" s="4" t="n">
        <v>4425</v>
      </c>
      <c r="C1354" s="4" t="n">
        <v>44</v>
      </c>
      <c r="D1354" s="4" t="n">
        <v>13.31</v>
      </c>
      <c r="E1354" s="5" t="n">
        <v>332.5</v>
      </c>
      <c r="F1354" s="3" t="inlineStr">
        <is>
          <t>장군면</t>
        </is>
      </c>
      <c r="G1354" s="3" t="inlineStr">
        <is>
          <t>대교리</t>
        </is>
      </c>
      <c r="H1354" s="3" t="inlineStr">
        <is>
          <t>계획관리지역</t>
        </is>
      </c>
      <c r="I1354" s="3" t="inlineStr">
        <is>
          <t>답</t>
        </is>
      </c>
      <c r="J1354" s="3" t="inlineStr">
        <is>
          <t>장군면</t>
        </is>
      </c>
    </row>
    <row r="1355">
      <c r="A1355" s="3" t="n">
        <v>2023</v>
      </c>
      <c r="B1355" s="4" t="n">
        <v>603</v>
      </c>
      <c r="C1355" s="4" t="n">
        <v>6</v>
      </c>
      <c r="D1355" s="4" t="n">
        <v>1.815</v>
      </c>
      <c r="E1355" s="5" t="n">
        <v>332.2</v>
      </c>
      <c r="F1355" s="3" t="inlineStr">
        <is>
          <t>장군면</t>
        </is>
      </c>
      <c r="G1355" s="3" t="inlineStr">
        <is>
          <t>대교리</t>
        </is>
      </c>
      <c r="H1355" s="3" t="inlineStr">
        <is>
          <t>계획관리지역</t>
        </is>
      </c>
      <c r="I1355" s="3" t="inlineStr">
        <is>
          <t>답</t>
        </is>
      </c>
      <c r="J1355" s="3" t="inlineStr">
        <is>
          <t>장군면</t>
        </is>
      </c>
    </row>
    <row r="1356">
      <c r="A1356" s="3" t="n">
        <v>2023</v>
      </c>
      <c r="B1356" s="4" t="n">
        <v>30589</v>
      </c>
      <c r="C1356" s="4" t="n">
        <v>482</v>
      </c>
      <c r="D1356" s="4" t="n">
        <v>145.805</v>
      </c>
      <c r="E1356" s="5" t="n">
        <v>209.8</v>
      </c>
      <c r="F1356" s="3" t="inlineStr">
        <is>
          <t>연기면</t>
        </is>
      </c>
      <c r="G1356" s="3" t="inlineStr">
        <is>
          <t>수산리</t>
        </is>
      </c>
      <c r="H1356" s="3" t="inlineStr">
        <is>
          <t>보전관리지역</t>
        </is>
      </c>
      <c r="I1356" s="3" t="inlineStr">
        <is>
          <t>대</t>
        </is>
      </c>
      <c r="J1356" s="3" t="inlineStr">
        <is>
          <t>연기면</t>
        </is>
      </c>
    </row>
    <row r="1357">
      <c r="A1357" s="3" t="n">
        <v>2023</v>
      </c>
      <c r="B1357" s="4" t="n">
        <v>340</v>
      </c>
      <c r="C1357" s="4" t="n">
        <v>22</v>
      </c>
      <c r="D1357" s="4" t="n">
        <v>6.654999999999999</v>
      </c>
      <c r="E1357" s="5" t="n">
        <v>51.1</v>
      </c>
      <c r="F1357" s="3" t="inlineStr">
        <is>
          <t>금남면</t>
        </is>
      </c>
      <c r="G1357" s="3" t="inlineStr">
        <is>
          <t>호탄리</t>
        </is>
      </c>
      <c r="H1357" s="3" t="inlineStr">
        <is>
          <t>제1종일반주거지역</t>
        </is>
      </c>
      <c r="I1357" s="3" t="inlineStr">
        <is>
          <t>임야</t>
        </is>
      </c>
      <c r="J1357" s="3" t="inlineStr">
        <is>
          <t>금남면</t>
        </is>
      </c>
    </row>
    <row r="1358">
      <c r="A1358" s="3" t="n">
        <v>2023</v>
      </c>
      <c r="B1358" s="4" t="n">
        <v>54600</v>
      </c>
      <c r="C1358" s="4" t="n">
        <v>1805</v>
      </c>
      <c r="D1358" s="4" t="n">
        <v>546.0124999999999</v>
      </c>
      <c r="E1358" s="5" t="n">
        <v>100</v>
      </c>
      <c r="F1358" s="3" t="inlineStr">
        <is>
          <t>장군면</t>
        </is>
      </c>
      <c r="G1358" s="3" t="inlineStr">
        <is>
          <t>금암리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장군면</t>
        </is>
      </c>
    </row>
    <row r="1359">
      <c r="A1359" s="3" t="n">
        <v>2023</v>
      </c>
      <c r="B1359" s="4" t="n">
        <v>24800</v>
      </c>
      <c r="C1359" s="4" t="n">
        <v>2053</v>
      </c>
      <c r="D1359" s="4" t="n">
        <v>621.0325</v>
      </c>
      <c r="E1359" s="5" t="n">
        <v>39.9</v>
      </c>
      <c r="F1359" s="3" t="inlineStr">
        <is>
          <t>연동면</t>
        </is>
      </c>
      <c r="G1359" s="3" t="inlineStr">
        <is>
          <t>노송리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연동면</t>
        </is>
      </c>
    </row>
    <row r="1360">
      <c r="A1360" s="3" t="n">
        <v>2023</v>
      </c>
      <c r="B1360" s="4" t="n">
        <v>1700</v>
      </c>
      <c r="C1360" s="4" t="n">
        <v>188</v>
      </c>
      <c r="D1360" s="4" t="n">
        <v>56.87</v>
      </c>
      <c r="E1360" s="5" t="n">
        <v>29.9</v>
      </c>
      <c r="F1360" s="3" t="inlineStr">
        <is>
          <t>연동면</t>
        </is>
      </c>
      <c r="G1360" s="3" t="inlineStr">
        <is>
          <t>노송리</t>
        </is>
      </c>
      <c r="H1360" s="3" t="inlineStr">
        <is>
          <t>계획관리지역</t>
        </is>
      </c>
      <c r="I1360" s="3" t="inlineStr">
        <is>
          <t>전</t>
        </is>
      </c>
      <c r="J1360" s="3" t="inlineStr">
        <is>
          <t>연동면</t>
        </is>
      </c>
    </row>
    <row r="1361">
      <c r="A1361" s="3" t="n">
        <v>2023</v>
      </c>
      <c r="B1361" s="4" t="n">
        <v>8000</v>
      </c>
      <c r="C1361" s="4" t="n">
        <v>522</v>
      </c>
      <c r="D1361" s="4" t="n">
        <v>157.905</v>
      </c>
      <c r="E1361" s="5" t="n">
        <v>50.7</v>
      </c>
      <c r="F1361" s="3" t="inlineStr">
        <is>
          <t>금남면</t>
        </is>
      </c>
      <c r="G1361" s="3" t="inlineStr">
        <is>
          <t>달전리</t>
        </is>
      </c>
      <c r="H1361" s="3" t="inlineStr">
        <is>
          <t>개발제한구역</t>
        </is>
      </c>
      <c r="I1361" s="3" t="inlineStr">
        <is>
          <t>임야</t>
        </is>
      </c>
      <c r="J1361" s="3" t="inlineStr">
        <is>
          <t>금남면</t>
        </is>
      </c>
    </row>
    <row r="1362">
      <c r="A1362" s="3" t="n">
        <v>2023</v>
      </c>
      <c r="B1362" s="4" t="n">
        <v>32300</v>
      </c>
      <c r="C1362" s="4" t="n">
        <v>1597</v>
      </c>
      <c r="D1362" s="4" t="n">
        <v>483.0925</v>
      </c>
      <c r="E1362" s="5" t="n">
        <v>66.90000000000001</v>
      </c>
      <c r="F1362" s="3" t="inlineStr">
        <is>
          <t>금남면</t>
        </is>
      </c>
      <c r="G1362" s="3" t="inlineStr">
        <is>
          <t>용담리</t>
        </is>
      </c>
      <c r="H1362" s="3" t="inlineStr">
        <is>
          <t>개발제한구역</t>
        </is>
      </c>
      <c r="I1362" s="3" t="inlineStr">
        <is>
          <t>답</t>
        </is>
      </c>
      <c r="J1362" s="3" t="inlineStr">
        <is>
          <t>금남면</t>
        </is>
      </c>
    </row>
    <row r="1363">
      <c r="A1363" s="3" t="n">
        <v>2023</v>
      </c>
      <c r="B1363" s="4" t="n">
        <v>2837</v>
      </c>
      <c r="C1363" s="4" t="n">
        <v>67</v>
      </c>
      <c r="D1363" s="4" t="n">
        <v>20.2675</v>
      </c>
      <c r="E1363" s="5" t="n">
        <v>140</v>
      </c>
      <c r="F1363" s="3" t="inlineStr">
        <is>
          <t>연동면</t>
        </is>
      </c>
      <c r="G1363" s="3" t="inlineStr">
        <is>
          <t>명학리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연동면</t>
        </is>
      </c>
    </row>
    <row r="1364">
      <c r="A1364" s="3" t="n">
        <v>2023</v>
      </c>
      <c r="B1364" s="4" t="n">
        <v>1200</v>
      </c>
      <c r="C1364" s="4" t="n">
        <v>37</v>
      </c>
      <c r="D1364" s="4" t="n">
        <v>11.1925</v>
      </c>
      <c r="E1364" s="5" t="n">
        <v>107.2</v>
      </c>
      <c r="F1364" s="3" t="inlineStr">
        <is>
          <t>장군면</t>
        </is>
      </c>
      <c r="G1364" s="3" t="inlineStr">
        <is>
          <t>하봉리</t>
        </is>
      </c>
      <c r="H1364" s="3" t="inlineStr">
        <is>
          <t>계획관리지역</t>
        </is>
      </c>
      <c r="I1364" s="3" t="inlineStr">
        <is>
          <t>대</t>
        </is>
      </c>
      <c r="J1364" s="3" t="inlineStr">
        <is>
          <t>장군면</t>
        </is>
      </c>
    </row>
    <row r="1365">
      <c r="A1365" s="3" t="n">
        <v>2023</v>
      </c>
      <c r="B1365" s="4" t="n">
        <v>37006</v>
      </c>
      <c r="C1365" s="4" t="n">
        <v>1958</v>
      </c>
      <c r="D1365" s="4" t="n">
        <v>592.295</v>
      </c>
      <c r="E1365" s="5" t="n">
        <v>62.5</v>
      </c>
      <c r="F1365" s="3" t="inlineStr">
        <is>
          <t>전동면</t>
        </is>
      </c>
      <c r="G1365" s="3" t="inlineStr">
        <is>
          <t>송성리</t>
        </is>
      </c>
      <c r="H1365" s="3" t="inlineStr">
        <is>
          <t>계획관리지역</t>
        </is>
      </c>
      <c r="I1365" s="3" t="inlineStr">
        <is>
          <t>답</t>
        </is>
      </c>
      <c r="J1365" s="3" t="inlineStr">
        <is>
          <t>전동면</t>
        </is>
      </c>
    </row>
    <row r="1366">
      <c r="A1366" s="3" t="n">
        <v>2023</v>
      </c>
      <c r="B1366" s="4" t="n">
        <v>16000</v>
      </c>
      <c r="C1366" s="4" t="n">
        <v>661</v>
      </c>
      <c r="D1366" s="4" t="n">
        <v>199.9525</v>
      </c>
      <c r="E1366" s="5" t="n">
        <v>80</v>
      </c>
      <c r="F1366" s="3" t="inlineStr">
        <is>
          <t>연서면</t>
        </is>
      </c>
      <c r="G1366" s="3" t="inlineStr">
        <is>
          <t>월하리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2023</v>
      </c>
      <c r="B1367" s="4" t="n">
        <v>22950</v>
      </c>
      <c r="C1367" s="4" t="n">
        <v>727</v>
      </c>
      <c r="D1367" s="4" t="n">
        <v>219.9175</v>
      </c>
      <c r="E1367" s="5" t="n">
        <v>104.4</v>
      </c>
      <c r="F1367" s="3" t="inlineStr">
        <is>
          <t>장군면</t>
        </is>
      </c>
      <c r="G1367" s="3" t="inlineStr">
        <is>
          <t>산학리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장군면</t>
        </is>
      </c>
    </row>
    <row r="1368">
      <c r="A1368" s="3" t="n">
        <v>2023</v>
      </c>
      <c r="B1368" s="4" t="n">
        <v>1766</v>
      </c>
      <c r="C1368" s="4" t="n">
        <v>64</v>
      </c>
      <c r="D1368" s="4" t="n">
        <v>19.36</v>
      </c>
      <c r="E1368" s="5" t="n">
        <v>91.2</v>
      </c>
      <c r="F1368" s="3" t="inlineStr">
        <is>
          <t>전동면</t>
        </is>
      </c>
      <c r="G1368" s="3" t="inlineStr">
        <is>
          <t>석곡리</t>
        </is>
      </c>
      <c r="H1368" s="3" t="inlineStr">
        <is>
          <t>보전관리지역</t>
        </is>
      </c>
      <c r="I1368" s="3" t="inlineStr">
        <is>
          <t>공장용지</t>
        </is>
      </c>
      <c r="J1368" s="3" t="inlineStr">
        <is>
          <t>전동면</t>
        </is>
      </c>
    </row>
    <row r="1369">
      <c r="A1369" s="3" t="n">
        <v>2023</v>
      </c>
      <c r="B1369" s="4" t="n">
        <v>7834</v>
      </c>
      <c r="C1369" s="4" t="n">
        <v>288</v>
      </c>
      <c r="D1369" s="4" t="n">
        <v>87.12</v>
      </c>
      <c r="E1369" s="5" t="n">
        <v>89.90000000000001</v>
      </c>
      <c r="F1369" s="3" t="inlineStr">
        <is>
          <t>전동면</t>
        </is>
      </c>
      <c r="G1369" s="3" t="inlineStr">
        <is>
          <t>석곡리</t>
        </is>
      </c>
      <c r="H1369" s="3" t="inlineStr">
        <is>
          <t>보전관리지역</t>
        </is>
      </c>
      <c r="I1369" s="3" t="inlineStr">
        <is>
          <t>공장용지</t>
        </is>
      </c>
      <c r="J1369" s="3" t="inlineStr">
        <is>
          <t>전동면</t>
        </is>
      </c>
    </row>
    <row r="1370">
      <c r="A1370" s="3" t="n">
        <v>2023</v>
      </c>
      <c r="B1370" s="4" t="n">
        <v>20000</v>
      </c>
      <c r="C1370" s="4" t="n">
        <v>523</v>
      </c>
      <c r="D1370" s="4" t="n">
        <v>158.2075</v>
      </c>
      <c r="E1370" s="5" t="n">
        <v>126.4</v>
      </c>
      <c r="F1370" s="3" t="inlineStr">
        <is>
          <t>전의면</t>
        </is>
      </c>
      <c r="G1370" s="3" t="inlineStr">
        <is>
          <t>관정리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전의면</t>
        </is>
      </c>
    </row>
    <row r="1371">
      <c r="A1371" s="3" t="n">
        <v>2023</v>
      </c>
      <c r="B1371" s="4" t="n">
        <v>29178</v>
      </c>
      <c r="C1371" s="4" t="n">
        <v>331</v>
      </c>
      <c r="D1371" s="4" t="n">
        <v>100.1275</v>
      </c>
      <c r="E1371" s="5" t="n">
        <v>291.4</v>
      </c>
      <c r="F1371" s="3" t="inlineStr">
        <is>
          <t>금남면</t>
        </is>
      </c>
      <c r="G1371" s="3" t="inlineStr">
        <is>
          <t>감성리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금남면</t>
        </is>
      </c>
    </row>
    <row r="1372">
      <c r="A1372" s="3" t="n">
        <v>2023</v>
      </c>
      <c r="B1372" s="4" t="n">
        <v>1616</v>
      </c>
      <c r="C1372" s="4" t="n">
        <v>26</v>
      </c>
      <c r="D1372" s="4" t="n">
        <v>7.865</v>
      </c>
      <c r="E1372" s="5" t="n">
        <v>205.5</v>
      </c>
      <c r="F1372" s="3" t="inlineStr">
        <is>
          <t>금남면</t>
        </is>
      </c>
      <c r="G1372" s="3" t="inlineStr">
        <is>
          <t>감성리</t>
        </is>
      </c>
      <c r="H1372" s="3" t="inlineStr">
        <is>
          <t>계획관리지역</t>
        </is>
      </c>
      <c r="I1372" s="3" t="inlineStr">
        <is>
          <t>도로</t>
        </is>
      </c>
      <c r="J1372" s="3" t="inlineStr">
        <is>
          <t>금남면</t>
        </is>
      </c>
    </row>
    <row r="1373">
      <c r="A1373" s="3" t="n">
        <v>2023</v>
      </c>
      <c r="B1373" s="4" t="n">
        <v>15450</v>
      </c>
      <c r="C1373" s="4" t="n">
        <v>1020</v>
      </c>
      <c r="D1373" s="4" t="n">
        <v>308.55</v>
      </c>
      <c r="E1373" s="5" t="n">
        <v>50.1</v>
      </c>
      <c r="F1373" s="3" t="inlineStr">
        <is>
          <t>연서면</t>
        </is>
      </c>
      <c r="G1373" s="3" t="inlineStr">
        <is>
          <t>기룡리</t>
        </is>
      </c>
      <c r="H1373" s="3" t="inlineStr">
        <is>
          <t>생산관리지역</t>
        </is>
      </c>
      <c r="I1373" s="3" t="inlineStr">
        <is>
          <t>답</t>
        </is>
      </c>
      <c r="J1373" s="3" t="inlineStr">
        <is>
          <t>연서면</t>
        </is>
      </c>
    </row>
    <row r="1374">
      <c r="A1374" s="3" t="n">
        <v>2022</v>
      </c>
      <c r="B1374" s="4" t="n">
        <v>39000</v>
      </c>
      <c r="C1374" s="4" t="n">
        <v>331</v>
      </c>
      <c r="D1374" s="4" t="n">
        <v>100.1275</v>
      </c>
      <c r="E1374" s="5" t="n">
        <v>389.5</v>
      </c>
      <c r="F1374" s="3" t="inlineStr">
        <is>
          <t>연서면</t>
        </is>
      </c>
      <c r="G1374" s="3" t="inlineStr">
        <is>
          <t>봉암리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연서면</t>
        </is>
      </c>
    </row>
    <row r="1375">
      <c r="A1375" s="3" t="n">
        <v>2024</v>
      </c>
      <c r="B1375" s="4" t="n">
        <v>33900</v>
      </c>
      <c r="C1375" s="4" t="n">
        <v>500</v>
      </c>
      <c r="D1375" s="4" t="n">
        <v>151.25</v>
      </c>
      <c r="E1375" s="5" t="n">
        <v>224.1</v>
      </c>
      <c r="F1375" s="3" t="inlineStr">
        <is>
          <t>연동면</t>
        </is>
      </c>
      <c r="G1375" s="3" t="inlineStr">
        <is>
          <t>송용리</t>
        </is>
      </c>
      <c r="H1375" s="3" t="inlineStr">
        <is>
          <t>보전관리지역</t>
        </is>
      </c>
      <c r="I1375" s="3" t="inlineStr">
        <is>
          <t>대</t>
        </is>
      </c>
      <c r="J1375" s="3" t="inlineStr">
        <is>
          <t>연동면</t>
        </is>
      </c>
    </row>
    <row r="1376">
      <c r="A1376" s="3" t="n">
        <v>2024</v>
      </c>
      <c r="B1376" s="4" t="n">
        <v>4400</v>
      </c>
      <c r="C1376" s="4" t="n">
        <v>57</v>
      </c>
      <c r="D1376" s="4" t="n">
        <v>17.2425</v>
      </c>
      <c r="E1376" s="5" t="n">
        <v>255.2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답</t>
        </is>
      </c>
      <c r="J1376" s="3" t="inlineStr">
        <is>
          <t>연서면</t>
        </is>
      </c>
    </row>
    <row r="1377">
      <c r="A1377" s="3" t="n">
        <v>2024</v>
      </c>
      <c r="B1377" s="4" t="n">
        <v>3000</v>
      </c>
      <c r="C1377" s="4" t="n">
        <v>163</v>
      </c>
      <c r="D1377" s="4" t="n">
        <v>49.3075</v>
      </c>
      <c r="E1377" s="5" t="n">
        <v>60.8</v>
      </c>
      <c r="F1377" s="3" t="inlineStr">
        <is>
          <t>전의면</t>
        </is>
      </c>
      <c r="G1377" s="3" t="inlineStr">
        <is>
          <t>원성리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전의면</t>
        </is>
      </c>
    </row>
    <row r="1378">
      <c r="A1378" s="3" t="n">
        <v>2024</v>
      </c>
      <c r="B1378" s="4" t="n">
        <v>455</v>
      </c>
      <c r="C1378" s="4" t="n">
        <v>15</v>
      </c>
      <c r="D1378" s="4" t="n">
        <v>4.5375</v>
      </c>
      <c r="E1378" s="5" t="n">
        <v>100.3</v>
      </c>
      <c r="F1378" s="3" t="inlineStr">
        <is>
          <t>부강면</t>
        </is>
      </c>
      <c r="G1378" s="3" t="inlineStr">
        <is>
          <t>노호리</t>
        </is>
      </c>
      <c r="H1378" s="3" t="inlineStr">
        <is>
          <t>보전관리지역</t>
        </is>
      </c>
      <c r="I1378" s="3" t="inlineStr">
        <is>
          <t>대</t>
        </is>
      </c>
      <c r="J1378" s="3" t="inlineStr">
        <is>
          <t>부강면</t>
        </is>
      </c>
    </row>
    <row r="1379">
      <c r="A1379" s="3" t="n">
        <v>2024</v>
      </c>
      <c r="B1379" s="4" t="n">
        <v>300</v>
      </c>
      <c r="C1379" s="4" t="n">
        <v>3</v>
      </c>
      <c r="D1379" s="4" t="n">
        <v>0.9075</v>
      </c>
      <c r="E1379" s="5" t="n">
        <v>330.6</v>
      </c>
      <c r="F1379" s="3" t="inlineStr">
        <is>
          <t>조치원읍</t>
        </is>
      </c>
      <c r="G1379" s="3" t="inlineStr">
        <is>
          <t>신안리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2024</v>
      </c>
      <c r="B1380" s="4" t="n">
        <v>23000</v>
      </c>
      <c r="C1380" s="4" t="n">
        <v>5241</v>
      </c>
      <c r="D1380" s="4" t="n">
        <v>1585.4025</v>
      </c>
      <c r="E1380" s="5" t="n">
        <v>14.5</v>
      </c>
      <c r="F1380" s="3" t="inlineStr">
        <is>
          <t>연동면</t>
        </is>
      </c>
      <c r="G1380" s="3" t="inlineStr">
        <is>
          <t>응암리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연동면</t>
        </is>
      </c>
    </row>
    <row r="1381">
      <c r="A1381" s="3" t="n">
        <v>2024</v>
      </c>
      <c r="B1381" s="4" t="n">
        <v>87200</v>
      </c>
      <c r="C1381" s="4" t="n">
        <v>1441</v>
      </c>
      <c r="D1381" s="4" t="n">
        <v>435.9025</v>
      </c>
      <c r="E1381" s="5" t="n">
        <v>200</v>
      </c>
      <c r="F1381" s="3" t="inlineStr">
        <is>
          <t>연서면</t>
        </is>
      </c>
      <c r="G1381" s="3" t="inlineStr">
        <is>
          <t>쌍전리</t>
        </is>
      </c>
      <c r="H1381" s="3" t="inlineStr">
        <is>
          <t>자연녹지지역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2024</v>
      </c>
      <c r="B1382" s="4" t="n">
        <v>12283</v>
      </c>
      <c r="C1382" s="4" t="n">
        <v>457</v>
      </c>
      <c r="D1382" s="4" t="n">
        <v>138.2425</v>
      </c>
      <c r="E1382" s="5" t="n">
        <v>88.90000000000001</v>
      </c>
      <c r="F1382" s="3" t="inlineStr">
        <is>
          <t>소정면</t>
        </is>
      </c>
      <c r="G1382" s="3" t="inlineStr">
        <is>
          <t>고등리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소정면</t>
        </is>
      </c>
    </row>
    <row r="1383">
      <c r="A1383" s="3" t="n">
        <v>2022</v>
      </c>
      <c r="B1383" s="4" t="n">
        <v>110000</v>
      </c>
      <c r="C1383" s="4" t="n">
        <v>972</v>
      </c>
      <c r="D1383" s="4" t="n">
        <v>294.03</v>
      </c>
      <c r="E1383" s="5" t="n">
        <v>374.1</v>
      </c>
      <c r="F1383" s="3" t="inlineStr">
        <is>
          <t>연서면</t>
        </is>
      </c>
      <c r="G1383" s="3" t="inlineStr">
        <is>
          <t>봉암리</t>
        </is>
      </c>
      <c r="H1383" s="3" t="inlineStr">
        <is>
          <t>계획관리지역</t>
        </is>
      </c>
      <c r="I1383" s="3" t="inlineStr">
        <is>
          <t>답</t>
        </is>
      </c>
      <c r="J1383" s="3" t="inlineStr">
        <is>
          <t>연서면</t>
        </is>
      </c>
    </row>
    <row r="1384">
      <c r="A1384" s="3" t="n">
        <v>2023</v>
      </c>
      <c r="B1384" s="4" t="n">
        <v>9270</v>
      </c>
      <c r="C1384" s="4" t="n">
        <v>347</v>
      </c>
      <c r="D1384" s="4" t="n">
        <v>104.9675</v>
      </c>
      <c r="E1384" s="5" t="n">
        <v>88.3</v>
      </c>
      <c r="F1384" s="3" t="inlineStr">
        <is>
          <t>연기면</t>
        </is>
      </c>
      <c r="G1384" s="3" t="inlineStr">
        <is>
          <t>연기리</t>
        </is>
      </c>
      <c r="H1384" s="3" t="inlineStr">
        <is>
          <t>계획관리지역</t>
        </is>
      </c>
      <c r="I1384" s="3" t="inlineStr">
        <is>
          <t>도로</t>
        </is>
      </c>
      <c r="J1384" s="3" t="inlineStr">
        <is>
          <t>연기면</t>
        </is>
      </c>
    </row>
    <row r="1385">
      <c r="A1385" s="3" t="n">
        <v>2023</v>
      </c>
      <c r="B1385" s="4" t="n">
        <v>80</v>
      </c>
      <c r="C1385" s="4" t="n">
        <v>3</v>
      </c>
      <c r="D1385" s="4" t="n">
        <v>0.9075</v>
      </c>
      <c r="E1385" s="5" t="n">
        <v>88.2</v>
      </c>
      <c r="F1385" s="3" t="inlineStr">
        <is>
          <t>연기면</t>
        </is>
      </c>
      <c r="G1385" s="3" t="inlineStr">
        <is>
          <t>보통리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연기면</t>
        </is>
      </c>
    </row>
    <row r="1386">
      <c r="A1386" s="3" t="n">
        <v>2023</v>
      </c>
      <c r="B1386" s="4" t="n">
        <v>12910</v>
      </c>
      <c r="C1386" s="4" t="n">
        <v>483</v>
      </c>
      <c r="D1386" s="4" t="n">
        <v>146.1075</v>
      </c>
      <c r="E1386" s="5" t="n">
        <v>88.40000000000001</v>
      </c>
      <c r="F1386" s="3" t="inlineStr">
        <is>
          <t>연기면</t>
        </is>
      </c>
      <c r="G1386" s="3" t="inlineStr">
        <is>
          <t>보통리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연기면</t>
        </is>
      </c>
    </row>
    <row r="1387">
      <c r="A1387" s="3" t="n">
        <v>2023</v>
      </c>
      <c r="B1387" s="4" t="n">
        <v>15330</v>
      </c>
      <c r="C1387" s="4" t="n">
        <v>1691</v>
      </c>
      <c r="D1387" s="4" t="n">
        <v>511.5275</v>
      </c>
      <c r="E1387" s="5" t="n">
        <v>30</v>
      </c>
      <c r="F1387" s="3" t="inlineStr">
        <is>
          <t>전의면</t>
        </is>
      </c>
      <c r="G1387" s="3" t="inlineStr">
        <is>
          <t>관정리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전의면</t>
        </is>
      </c>
    </row>
    <row r="1388">
      <c r="A1388" s="3" t="n">
        <v>2023</v>
      </c>
      <c r="B1388" s="4" t="n">
        <v>4500</v>
      </c>
      <c r="C1388" s="4" t="n">
        <v>647.6</v>
      </c>
      <c r="D1388" s="4" t="n">
        <v>195.899</v>
      </c>
      <c r="E1388" s="5" t="n">
        <v>23</v>
      </c>
      <c r="F1388" s="3" t="inlineStr">
        <is>
          <t>부강면</t>
        </is>
      </c>
      <c r="G1388" s="3" t="inlineStr">
        <is>
          <t>산수리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부강면</t>
        </is>
      </c>
    </row>
    <row r="1389">
      <c r="A1389" s="3" t="n">
        <v>2023</v>
      </c>
      <c r="B1389" s="4" t="n">
        <v>5900</v>
      </c>
      <c r="C1389" s="4" t="n">
        <v>851.6</v>
      </c>
      <c r="D1389" s="4" t="n">
        <v>257.609</v>
      </c>
      <c r="E1389" s="5" t="n">
        <v>22.9</v>
      </c>
      <c r="F1389" s="3" t="inlineStr">
        <is>
          <t>부강면</t>
        </is>
      </c>
      <c r="G1389" s="3" t="inlineStr">
        <is>
          <t>산수리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부강면</t>
        </is>
      </c>
    </row>
    <row r="1390">
      <c r="A1390" s="3" t="n">
        <v>2023</v>
      </c>
      <c r="B1390" s="4" t="n">
        <v>1966</v>
      </c>
      <c r="C1390" s="4" t="n">
        <v>66</v>
      </c>
      <c r="D1390" s="4" t="n">
        <v>19.965</v>
      </c>
      <c r="E1390" s="5" t="n">
        <v>98.5</v>
      </c>
      <c r="F1390" s="3" t="inlineStr">
        <is>
          <t>전의면</t>
        </is>
      </c>
      <c r="G1390" s="3" t="inlineStr">
        <is>
          <t>서정리</t>
        </is>
      </c>
      <c r="H1390" s="3" t="inlineStr">
        <is>
          <t>농림지역</t>
        </is>
      </c>
      <c r="I1390" s="3" t="inlineStr">
        <is>
          <t>대</t>
        </is>
      </c>
      <c r="J1390" s="3" t="inlineStr">
        <is>
          <t>전의면</t>
        </is>
      </c>
    </row>
    <row r="1391">
      <c r="A1391" s="3" t="n">
        <v>2023</v>
      </c>
      <c r="B1391" s="4" t="n">
        <v>1221</v>
      </c>
      <c r="C1391" s="4" t="n">
        <v>41</v>
      </c>
      <c r="D1391" s="4" t="n">
        <v>12.4025</v>
      </c>
      <c r="E1391" s="5" t="n">
        <v>98.40000000000001</v>
      </c>
      <c r="F1391" s="3" t="inlineStr">
        <is>
          <t>전의면</t>
        </is>
      </c>
      <c r="G1391" s="3" t="inlineStr">
        <is>
          <t>서정리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전의면</t>
        </is>
      </c>
    </row>
    <row r="1392">
      <c r="A1392" s="3" t="n">
        <v>2023</v>
      </c>
      <c r="B1392" s="4" t="n">
        <v>13496</v>
      </c>
      <c r="C1392" s="4" t="n">
        <v>453</v>
      </c>
      <c r="D1392" s="4" t="n">
        <v>137.0325</v>
      </c>
      <c r="E1392" s="5" t="n">
        <v>98.5</v>
      </c>
      <c r="F1392" s="3" t="inlineStr">
        <is>
          <t>전의면</t>
        </is>
      </c>
      <c r="G1392" s="3" t="inlineStr">
        <is>
          <t>서정리</t>
        </is>
      </c>
      <c r="H1392" s="3" t="inlineStr">
        <is>
          <t>농림지역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12800</v>
      </c>
      <c r="C1393" s="4" t="n">
        <v>53</v>
      </c>
      <c r="D1393" s="4" t="n">
        <v>16.0325</v>
      </c>
      <c r="E1393" s="5" t="n">
        <v>798.4</v>
      </c>
      <c r="F1393" s="3" t="inlineStr">
        <is>
          <t>금남면</t>
        </is>
      </c>
      <c r="G1393" s="3" t="inlineStr">
        <is>
          <t>호탄리</t>
        </is>
      </c>
      <c r="H1393" s="3" t="inlineStr">
        <is>
          <t>제1종일반주거지역</t>
        </is>
      </c>
      <c r="I1393" s="3" t="inlineStr">
        <is>
          <t>대</t>
        </is>
      </c>
      <c r="J1393" s="3" t="inlineStr">
        <is>
          <t>금남면</t>
        </is>
      </c>
    </row>
    <row r="1394">
      <c r="A1394" s="3" t="n">
        <v>2023</v>
      </c>
      <c r="B1394" s="4" t="n">
        <v>6090</v>
      </c>
      <c r="C1394" s="4" t="n">
        <v>2777</v>
      </c>
      <c r="D1394" s="4" t="n">
        <v>840.0425</v>
      </c>
      <c r="E1394" s="5" t="n">
        <v>7.2</v>
      </c>
      <c r="F1394" s="3" t="inlineStr">
        <is>
          <t>연동면</t>
        </is>
      </c>
      <c r="G1394" s="3" t="inlineStr">
        <is>
          <t>명학리</t>
        </is>
      </c>
      <c r="H1394" s="3" t="inlineStr">
        <is>
          <t>보전관리지역</t>
        </is>
      </c>
      <c r="I1394" s="3" t="inlineStr">
        <is>
          <t>임야</t>
        </is>
      </c>
      <c r="J1394" s="3" t="inlineStr">
        <is>
          <t>연동면</t>
        </is>
      </c>
    </row>
    <row r="1395">
      <c r="A1395" s="3" t="n">
        <v>2023</v>
      </c>
      <c r="B1395" s="4" t="n">
        <v>1910</v>
      </c>
      <c r="C1395" s="4" t="n">
        <v>753</v>
      </c>
      <c r="D1395" s="4" t="n">
        <v>227.7825</v>
      </c>
      <c r="E1395" s="5" t="n">
        <v>8.4</v>
      </c>
      <c r="F1395" s="3" t="inlineStr">
        <is>
          <t>연동면</t>
        </is>
      </c>
      <c r="G1395" s="3" t="inlineStr">
        <is>
          <t>명학리</t>
        </is>
      </c>
      <c r="H1395" s="3" t="inlineStr">
        <is>
          <t>보전관리지역</t>
        </is>
      </c>
      <c r="I1395" s="3" t="inlineStr">
        <is>
          <t>임야</t>
        </is>
      </c>
      <c r="J1395" s="3" t="inlineStr">
        <is>
          <t>연동면</t>
        </is>
      </c>
    </row>
    <row r="1396">
      <c r="A1396" s="3" t="n">
        <v>2023</v>
      </c>
      <c r="B1396" s="4" t="n">
        <v>8450</v>
      </c>
      <c r="C1396" s="4" t="n">
        <v>297</v>
      </c>
      <c r="D1396" s="4" t="n">
        <v>89.8425</v>
      </c>
      <c r="E1396" s="5" t="n">
        <v>94.09999999999999</v>
      </c>
      <c r="F1396" s="3" t="inlineStr">
        <is>
          <t>연기면</t>
        </is>
      </c>
      <c r="G1396" s="3" t="inlineStr">
        <is>
          <t>수산리</t>
        </is>
      </c>
      <c r="H1396" s="3" t="inlineStr">
        <is>
          <t>보전관리지역</t>
        </is>
      </c>
      <c r="I1396" s="3" t="inlineStr">
        <is>
          <t>임야</t>
        </is>
      </c>
      <c r="J1396" s="3" t="inlineStr">
        <is>
          <t>연기면</t>
        </is>
      </c>
    </row>
    <row r="1397">
      <c r="A1397" s="3" t="n">
        <v>2023</v>
      </c>
      <c r="B1397" s="4" t="n">
        <v>11040</v>
      </c>
      <c r="C1397" s="4" t="n">
        <v>388</v>
      </c>
      <c r="D1397" s="4" t="n">
        <v>117.37</v>
      </c>
      <c r="E1397" s="5" t="n">
        <v>94.09999999999999</v>
      </c>
      <c r="F1397" s="3" t="inlineStr">
        <is>
          <t>연기면</t>
        </is>
      </c>
      <c r="G1397" s="3" t="inlineStr">
        <is>
          <t>수산리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연기면</t>
        </is>
      </c>
    </row>
    <row r="1398">
      <c r="A1398" s="3" t="n">
        <v>2023</v>
      </c>
      <c r="B1398" s="4" t="n">
        <v>940</v>
      </c>
      <c r="C1398" s="4" t="n">
        <v>33</v>
      </c>
      <c r="D1398" s="4" t="n">
        <v>9.9825</v>
      </c>
      <c r="E1398" s="5" t="n">
        <v>94.2</v>
      </c>
      <c r="F1398" s="3" t="inlineStr">
        <is>
          <t>연기면</t>
        </is>
      </c>
      <c r="G1398" s="3" t="inlineStr">
        <is>
          <t>수산리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연기면</t>
        </is>
      </c>
    </row>
    <row r="1399">
      <c r="A1399" s="3" t="n">
        <v>2023</v>
      </c>
      <c r="B1399" s="4" t="n">
        <v>35470</v>
      </c>
      <c r="C1399" s="4" t="n">
        <v>1804</v>
      </c>
      <c r="D1399" s="4" t="n">
        <v>545.71</v>
      </c>
      <c r="E1399" s="5" t="n">
        <v>65</v>
      </c>
      <c r="F1399" s="3" t="inlineStr">
        <is>
          <t>연서면</t>
        </is>
      </c>
      <c r="G1399" s="3" t="inlineStr">
        <is>
          <t>쌍류리</t>
        </is>
      </c>
      <c r="H1399" s="3" t="inlineStr">
        <is>
          <t>생산관리지역</t>
        </is>
      </c>
      <c r="I1399" s="3" t="inlineStr">
        <is>
          <t>전</t>
        </is>
      </c>
      <c r="J1399" s="3" t="inlineStr">
        <is>
          <t>연서면</t>
        </is>
      </c>
    </row>
    <row r="1400">
      <c r="A1400" s="3" t="n">
        <v>2023</v>
      </c>
      <c r="B1400" s="4" t="n">
        <v>500</v>
      </c>
      <c r="C1400" s="4" t="n">
        <v>159</v>
      </c>
      <c r="D1400" s="4" t="n">
        <v>48.0975</v>
      </c>
      <c r="E1400" s="5" t="n">
        <v>10.4</v>
      </c>
      <c r="F1400" s="3" t="inlineStr">
        <is>
          <t>전의면</t>
        </is>
      </c>
      <c r="G1400" s="3" t="inlineStr">
        <is>
          <t>양곡리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전의면</t>
        </is>
      </c>
    </row>
    <row r="1401">
      <c r="A1401" s="3" t="n">
        <v>2023</v>
      </c>
      <c r="B1401" s="4" t="n">
        <v>5000</v>
      </c>
      <c r="C1401" s="4" t="n">
        <v>33</v>
      </c>
      <c r="D1401" s="4" t="n">
        <v>9.9825</v>
      </c>
      <c r="E1401" s="5" t="n">
        <v>500.9</v>
      </c>
      <c r="F1401" s="3" t="inlineStr">
        <is>
          <t>장군면</t>
        </is>
      </c>
      <c r="G1401" s="3" t="inlineStr">
        <is>
          <t>하봉리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장군면</t>
        </is>
      </c>
    </row>
    <row r="1402">
      <c r="A1402" s="3" t="n">
        <v>2023</v>
      </c>
      <c r="B1402" s="4" t="n">
        <v>44600</v>
      </c>
      <c r="C1402" s="4" t="n">
        <v>1955</v>
      </c>
      <c r="D1402" s="4" t="n">
        <v>591.3874999999999</v>
      </c>
      <c r="E1402" s="5" t="n">
        <v>75.40000000000001</v>
      </c>
      <c r="F1402" s="3" t="inlineStr">
        <is>
          <t>금남면</t>
        </is>
      </c>
      <c r="G1402" s="3" t="inlineStr">
        <is>
          <t>대박리</t>
        </is>
      </c>
      <c r="H1402" s="3" t="inlineStr">
        <is>
          <t>개발제한구역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14000</v>
      </c>
      <c r="C1403" s="4" t="n">
        <v>595</v>
      </c>
      <c r="D1403" s="4" t="n">
        <v>179.9875</v>
      </c>
      <c r="E1403" s="5" t="n">
        <v>77.8</v>
      </c>
      <c r="F1403" s="3" t="inlineStr">
        <is>
          <t>금남면</t>
        </is>
      </c>
      <c r="G1403" s="3" t="inlineStr">
        <is>
          <t>대박리</t>
        </is>
      </c>
      <c r="H1403" s="3" t="inlineStr">
        <is>
          <t>개발제한구역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2023</v>
      </c>
      <c r="B1404" s="4" t="n">
        <v>2532</v>
      </c>
      <c r="C1404" s="4" t="n">
        <v>650</v>
      </c>
      <c r="D1404" s="4" t="n">
        <v>196.625</v>
      </c>
      <c r="E1404" s="5" t="n">
        <v>12.9</v>
      </c>
      <c r="F1404" s="3" t="inlineStr">
        <is>
          <t>부강면</t>
        </is>
      </c>
      <c r="G1404" s="3" t="inlineStr">
        <is>
          <t>노호리</t>
        </is>
      </c>
      <c r="H1404" s="3" t="inlineStr">
        <is>
          <t>계획관리지역</t>
        </is>
      </c>
      <c r="I1404" s="3" t="inlineStr">
        <is>
          <t>전</t>
        </is>
      </c>
      <c r="J1404" s="3" t="inlineStr">
        <is>
          <t>부강면</t>
        </is>
      </c>
    </row>
    <row r="1405">
      <c r="A1405" s="3" t="n">
        <v>2023</v>
      </c>
      <c r="B1405" s="4" t="n">
        <v>3848</v>
      </c>
      <c r="C1405" s="4" t="n">
        <v>519</v>
      </c>
      <c r="D1405" s="4" t="n">
        <v>156.9975</v>
      </c>
      <c r="E1405" s="5" t="n">
        <v>24.5</v>
      </c>
      <c r="F1405" s="3" t="inlineStr">
        <is>
          <t>부강면</t>
        </is>
      </c>
      <c r="G1405" s="3" t="inlineStr">
        <is>
          <t>노호리</t>
        </is>
      </c>
      <c r="H1405" s="3" t="inlineStr">
        <is>
          <t>계획관리지역</t>
        </is>
      </c>
      <c r="I1405" s="3" t="inlineStr">
        <is>
          <t>대</t>
        </is>
      </c>
      <c r="J1405" s="3" t="inlineStr">
        <is>
          <t>부강면</t>
        </is>
      </c>
    </row>
    <row r="1406">
      <c r="A1406" s="3" t="n">
        <v>2023</v>
      </c>
      <c r="B1406" s="4" t="n">
        <v>1794</v>
      </c>
      <c r="C1406" s="4" t="n">
        <v>635</v>
      </c>
      <c r="D1406" s="4" t="n">
        <v>192.0875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묘지</t>
        </is>
      </c>
      <c r="J1406" s="3" t="inlineStr">
        <is>
          <t>부강면</t>
        </is>
      </c>
    </row>
    <row r="1407">
      <c r="A1407" s="3" t="n">
        <v>2023</v>
      </c>
      <c r="B1407" s="4" t="n">
        <v>4545</v>
      </c>
      <c r="C1407" s="4" t="n">
        <v>1003</v>
      </c>
      <c r="D1407" s="4" t="n">
        <v>303.4075</v>
      </c>
      <c r="E1407" s="5" t="n">
        <v>15</v>
      </c>
      <c r="F1407" s="3" t="inlineStr">
        <is>
          <t>부강면</t>
        </is>
      </c>
      <c r="G1407" s="3" t="inlineStr">
        <is>
          <t>노호리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부강면</t>
        </is>
      </c>
    </row>
    <row r="1408">
      <c r="A1408" s="3" t="n">
        <v>2023</v>
      </c>
      <c r="B1408" s="4" t="n">
        <v>14000</v>
      </c>
      <c r="C1408" s="4" t="n">
        <v>700</v>
      </c>
      <c r="D1408" s="4" t="n">
        <v>211.75</v>
      </c>
      <c r="E1408" s="5" t="n">
        <v>66.09999999999999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계획관리지역</t>
        </is>
      </c>
      <c r="I1408" s="3" t="inlineStr">
        <is>
          <t>대</t>
        </is>
      </c>
      <c r="J1408" s="3" t="inlineStr">
        <is>
          <t>연서면</t>
        </is>
      </c>
    </row>
    <row r="1409">
      <c r="A1409" s="3" t="n">
        <v>2023</v>
      </c>
      <c r="B1409" s="4" t="n">
        <v>170500</v>
      </c>
      <c r="C1409" s="4" t="n">
        <v>342.2</v>
      </c>
      <c r="D1409" s="4" t="n">
        <v>103.5155</v>
      </c>
      <c r="E1409" s="5" t="n">
        <v>1647.1</v>
      </c>
      <c r="F1409" s="3" t="inlineStr">
        <is>
          <t>고운동</t>
        </is>
      </c>
      <c r="G1409" s="3" t="inlineStr"/>
      <c r="H1409" s="3" t="inlineStr">
        <is>
          <t>제1종전용주거지역</t>
        </is>
      </c>
      <c r="I1409" s="3" t="inlineStr">
        <is>
          <t>대</t>
        </is>
      </c>
      <c r="J1409" s="3" t="inlineStr">
        <is>
          <t>고운동</t>
        </is>
      </c>
    </row>
    <row r="1410">
      <c r="A1410" s="3" t="n">
        <v>2026</v>
      </c>
      <c r="B1410" s="4" t="n">
        <v>80000</v>
      </c>
      <c r="C1410" s="4" t="n">
        <v>2460</v>
      </c>
      <c r="D1410" s="4" t="n">
        <v>744.15</v>
      </c>
      <c r="E1410" s="5" t="n">
        <v>107.5</v>
      </c>
      <c r="F1410" s="3" t="inlineStr">
        <is>
          <t>오송읍</t>
        </is>
      </c>
      <c r="G1410" s="3" t="inlineStr">
        <is>
          <t>서평리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2024</v>
      </c>
      <c r="B1411" s="4" t="n">
        <v>4290</v>
      </c>
      <c r="C1411" s="4" t="n">
        <v>622</v>
      </c>
      <c r="D1411" s="4" t="n">
        <v>188.155</v>
      </c>
      <c r="E1411" s="5" t="n">
        <v>22.8</v>
      </c>
      <c r="F1411" s="3" t="inlineStr">
        <is>
          <t>소정면</t>
        </is>
      </c>
      <c r="G1411" s="3" t="inlineStr">
        <is>
          <t>고등리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소정면</t>
        </is>
      </c>
    </row>
    <row r="1412">
      <c r="A1412" s="3" t="n">
        <v>2024</v>
      </c>
      <c r="B1412" s="4" t="n">
        <v>46700</v>
      </c>
      <c r="C1412" s="4" t="n">
        <v>382.6</v>
      </c>
      <c r="D1412" s="4" t="n">
        <v>115.7365</v>
      </c>
      <c r="E1412" s="5" t="n">
        <v>403.5</v>
      </c>
      <c r="F1412" s="3" t="inlineStr">
        <is>
          <t>고운동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고운동</t>
        </is>
      </c>
    </row>
    <row r="1413">
      <c r="A1413" s="3" t="n">
        <v>2024</v>
      </c>
      <c r="B1413" s="4" t="n">
        <v>41795</v>
      </c>
      <c r="C1413" s="4" t="n">
        <v>745</v>
      </c>
      <c r="D1413" s="4" t="n">
        <v>225.3625</v>
      </c>
      <c r="E1413" s="5" t="n">
        <v>185.5</v>
      </c>
      <c r="F1413" s="3" t="inlineStr">
        <is>
          <t>금남면</t>
        </is>
      </c>
      <c r="G1413" s="3" t="inlineStr">
        <is>
          <t>국곡리</t>
        </is>
      </c>
      <c r="H1413" s="3" t="inlineStr">
        <is>
          <t>계획관리지역</t>
        </is>
      </c>
      <c r="I1413" s="3" t="inlineStr">
        <is>
          <t>임야</t>
        </is>
      </c>
      <c r="J1413" s="3" t="inlineStr">
        <is>
          <t>금남면</t>
        </is>
      </c>
    </row>
    <row r="1414">
      <c r="A1414" s="3" t="n">
        <v>2024</v>
      </c>
      <c r="B1414" s="4" t="n">
        <v>33200</v>
      </c>
      <c r="C1414" s="4" t="n">
        <v>1818</v>
      </c>
      <c r="D1414" s="4" t="n">
        <v>549.9449999999999</v>
      </c>
      <c r="E1414" s="5" t="n">
        <v>60.4</v>
      </c>
      <c r="F1414" s="3" t="inlineStr">
        <is>
          <t>연동면</t>
        </is>
      </c>
      <c r="G1414" s="3" t="inlineStr">
        <is>
          <t>노송리</t>
        </is>
      </c>
      <c r="H1414" s="3" t="inlineStr">
        <is>
          <t>계획관리지역</t>
        </is>
      </c>
      <c r="I1414" s="3" t="inlineStr">
        <is>
          <t>전</t>
        </is>
      </c>
      <c r="J1414" s="3" t="inlineStr">
        <is>
          <t>연동면</t>
        </is>
      </c>
    </row>
    <row r="1415">
      <c r="A1415" s="3" t="n">
        <v>2024</v>
      </c>
      <c r="B1415" s="4" t="n">
        <v>21600</v>
      </c>
      <c r="C1415" s="4" t="n">
        <v>1587</v>
      </c>
      <c r="D1415" s="4" t="n">
        <v>480.0675</v>
      </c>
      <c r="E1415" s="5" t="n">
        <v>45</v>
      </c>
      <c r="F1415" s="3" t="inlineStr">
        <is>
          <t>연기면</t>
        </is>
      </c>
      <c r="G1415" s="3" t="inlineStr">
        <is>
          <t>눌왕리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연기면</t>
        </is>
      </c>
    </row>
    <row r="1416">
      <c r="A1416" s="3" t="n">
        <v>2024</v>
      </c>
      <c r="B1416" s="4" t="n">
        <v>5000</v>
      </c>
      <c r="C1416" s="4" t="n">
        <v>1651</v>
      </c>
      <c r="D1416" s="4" t="n">
        <v>499.4275</v>
      </c>
      <c r="E1416" s="5" t="n">
        <v>10</v>
      </c>
      <c r="F1416" s="3" t="inlineStr">
        <is>
          <t>전동면</t>
        </is>
      </c>
      <c r="G1416" s="3" t="inlineStr">
        <is>
          <t>봉대리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전동면</t>
        </is>
      </c>
    </row>
    <row r="1417">
      <c r="A1417" s="3" t="n">
        <v>2023</v>
      </c>
      <c r="B1417" s="4" t="n">
        <v>1020</v>
      </c>
      <c r="C1417" s="4" t="n">
        <v>170</v>
      </c>
      <c r="D1417" s="4" t="n">
        <v>51.425</v>
      </c>
      <c r="E1417" s="5" t="n">
        <v>19.8</v>
      </c>
      <c r="F1417" s="3" t="inlineStr">
        <is>
          <t>소정면</t>
        </is>
      </c>
      <c r="G1417" s="3" t="inlineStr">
        <is>
          <t>고등리</t>
        </is>
      </c>
      <c r="H1417" s="3" t="inlineStr">
        <is>
          <t>농림지역</t>
        </is>
      </c>
      <c r="I1417" s="3" t="inlineStr">
        <is>
          <t>임야</t>
        </is>
      </c>
      <c r="J1417" s="3" t="inlineStr">
        <is>
          <t>소정면</t>
        </is>
      </c>
    </row>
    <row r="1418">
      <c r="A1418" s="3" t="n">
        <v>2023</v>
      </c>
      <c r="B1418" s="4" t="n">
        <v>35000</v>
      </c>
      <c r="C1418" s="4" t="n">
        <v>600</v>
      </c>
      <c r="D1418" s="4" t="n">
        <v>181.5</v>
      </c>
      <c r="E1418" s="5" t="n">
        <v>192.8</v>
      </c>
      <c r="F1418" s="3" t="inlineStr">
        <is>
          <t>장군면</t>
        </is>
      </c>
      <c r="G1418" s="3" t="inlineStr">
        <is>
          <t>대교리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2023</v>
      </c>
      <c r="B1419" s="4" t="n">
        <v>26000</v>
      </c>
      <c r="C1419" s="4" t="n">
        <v>783</v>
      </c>
      <c r="D1419" s="4" t="n">
        <v>236.8575</v>
      </c>
      <c r="E1419" s="5" t="n">
        <v>109.8</v>
      </c>
      <c r="F1419" s="3" t="inlineStr">
        <is>
          <t>장군면</t>
        </is>
      </c>
      <c r="G1419" s="3" t="inlineStr">
        <is>
          <t>금암리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2023</v>
      </c>
      <c r="B1420" s="4" t="n">
        <v>4100</v>
      </c>
      <c r="C1420" s="4" t="n">
        <v>150</v>
      </c>
      <c r="D1420" s="4" t="n">
        <v>45.375</v>
      </c>
      <c r="E1420" s="5" t="n">
        <v>90.40000000000001</v>
      </c>
      <c r="F1420" s="3" t="inlineStr">
        <is>
          <t>연서면</t>
        </is>
      </c>
      <c r="G1420" s="3" t="inlineStr">
        <is>
          <t>신대리</t>
        </is>
      </c>
      <c r="H1420" s="3" t="inlineStr">
        <is>
          <t>보전관리지역</t>
        </is>
      </c>
      <c r="I1420" s="3" t="inlineStr">
        <is>
          <t>전</t>
        </is>
      </c>
      <c r="J1420" s="3" t="inlineStr">
        <is>
          <t>연서면</t>
        </is>
      </c>
    </row>
    <row r="1421">
      <c r="A1421" s="3" t="n">
        <v>2023</v>
      </c>
      <c r="B1421" s="4" t="n">
        <v>7500</v>
      </c>
      <c r="C1421" s="4" t="n">
        <v>62</v>
      </c>
      <c r="D1421" s="4" t="n">
        <v>18.755</v>
      </c>
      <c r="E1421" s="5" t="n">
        <v>399.9</v>
      </c>
      <c r="F1421" s="3" t="inlineStr">
        <is>
          <t>장군면</t>
        </is>
      </c>
      <c r="G1421" s="3" t="inlineStr">
        <is>
          <t>봉안리</t>
        </is>
      </c>
      <c r="H1421" s="3" t="inlineStr">
        <is>
          <t>보전관리지역</t>
        </is>
      </c>
      <c r="I1421" s="3" t="inlineStr">
        <is>
          <t>임야</t>
        </is>
      </c>
      <c r="J1421" s="3" t="inlineStr">
        <is>
          <t>장군면</t>
        </is>
      </c>
    </row>
    <row r="1422">
      <c r="A1422" s="3" t="n">
        <v>2023</v>
      </c>
      <c r="B1422" s="4" t="n">
        <v>43034</v>
      </c>
      <c r="C1422" s="4" t="n">
        <v>1000</v>
      </c>
      <c r="D1422" s="4" t="n">
        <v>302.5</v>
      </c>
      <c r="E1422" s="5" t="n">
        <v>142.3</v>
      </c>
      <c r="F1422" s="3" t="inlineStr">
        <is>
          <t>연서면</t>
        </is>
      </c>
      <c r="G1422" s="3" t="inlineStr">
        <is>
          <t>월하리</t>
        </is>
      </c>
      <c r="H1422" s="3" t="inlineStr">
        <is>
          <t>보전관리지역</t>
        </is>
      </c>
      <c r="I1422" s="3" t="inlineStr">
        <is>
          <t>전</t>
        </is>
      </c>
      <c r="J1422" s="3" t="inlineStr">
        <is>
          <t>연서면</t>
        </is>
      </c>
    </row>
    <row r="1423">
      <c r="A1423" s="3" t="n">
        <v>2023</v>
      </c>
      <c r="B1423" s="4" t="n">
        <v>1937</v>
      </c>
      <c r="C1423" s="4" t="n">
        <v>45</v>
      </c>
      <c r="D1423" s="4" t="n">
        <v>13.6125</v>
      </c>
      <c r="E1423" s="5" t="n">
        <v>142.3</v>
      </c>
      <c r="F1423" s="3" t="inlineStr">
        <is>
          <t>연서면</t>
        </is>
      </c>
      <c r="G1423" s="3" t="inlineStr">
        <is>
          <t>월하리</t>
        </is>
      </c>
      <c r="H1423" s="3" t="inlineStr">
        <is>
          <t>보전관리지역</t>
        </is>
      </c>
      <c r="I1423" s="3" t="inlineStr">
        <is>
          <t>전</t>
        </is>
      </c>
      <c r="J1423" s="3" t="inlineStr">
        <is>
          <t>연서면</t>
        </is>
      </c>
    </row>
    <row r="1424">
      <c r="A1424" s="3" t="n">
        <v>2023</v>
      </c>
      <c r="B1424" s="4" t="n">
        <v>2152</v>
      </c>
      <c r="C1424" s="4" t="n">
        <v>50</v>
      </c>
      <c r="D1424" s="4" t="n">
        <v>15.125</v>
      </c>
      <c r="E1424" s="5" t="n">
        <v>142.3</v>
      </c>
      <c r="F1424" s="3" t="inlineStr">
        <is>
          <t>연서면</t>
        </is>
      </c>
      <c r="G1424" s="3" t="inlineStr">
        <is>
          <t>월하리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연서면</t>
        </is>
      </c>
    </row>
    <row r="1425">
      <c r="A1425" s="3" t="n">
        <v>2023</v>
      </c>
      <c r="B1425" s="4" t="n">
        <v>32878</v>
      </c>
      <c r="C1425" s="4" t="n">
        <v>764</v>
      </c>
      <c r="D1425" s="4" t="n">
        <v>231.11</v>
      </c>
      <c r="E1425" s="5" t="n">
        <v>142.3</v>
      </c>
      <c r="F1425" s="3" t="inlineStr">
        <is>
          <t>연서면</t>
        </is>
      </c>
      <c r="G1425" s="3" t="inlineStr">
        <is>
          <t>월하리</t>
        </is>
      </c>
      <c r="H1425" s="3" t="inlineStr">
        <is>
          <t>보전관리지역</t>
        </is>
      </c>
      <c r="I1425" s="3" t="inlineStr">
        <is>
          <t>전</t>
        </is>
      </c>
      <c r="J1425" s="3" t="inlineStr">
        <is>
          <t>연서면</t>
        </is>
      </c>
    </row>
    <row r="1426">
      <c r="A1426" s="3" t="n">
        <v>2023</v>
      </c>
      <c r="B1426" s="4" t="n">
        <v>31000</v>
      </c>
      <c r="C1426" s="4" t="n">
        <v>425</v>
      </c>
      <c r="D1426" s="4" t="n">
        <v>128.5625</v>
      </c>
      <c r="E1426" s="5" t="n">
        <v>241.1</v>
      </c>
      <c r="F1426" s="3" t="inlineStr">
        <is>
          <t>장군면</t>
        </is>
      </c>
      <c r="G1426" s="3" t="inlineStr">
        <is>
          <t>송문리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장군면</t>
        </is>
      </c>
    </row>
    <row r="1427">
      <c r="A1427" s="3" t="n">
        <v>2023</v>
      </c>
      <c r="B1427" s="4" t="n">
        <v>1000</v>
      </c>
      <c r="C1427" s="4" t="n">
        <v>135</v>
      </c>
      <c r="D1427" s="4" t="n">
        <v>40.8375</v>
      </c>
      <c r="E1427" s="5" t="n">
        <v>24.5</v>
      </c>
      <c r="F1427" s="3" t="inlineStr">
        <is>
          <t>연서면</t>
        </is>
      </c>
      <c r="G1427" s="3" t="inlineStr">
        <is>
          <t>기룡리</t>
        </is>
      </c>
      <c r="H1427" s="3" t="inlineStr">
        <is>
          <t>계획관리지역</t>
        </is>
      </c>
      <c r="I1427" s="3" t="inlineStr">
        <is>
          <t>대</t>
        </is>
      </c>
      <c r="J1427" s="3" t="inlineStr">
        <is>
          <t>연서면</t>
        </is>
      </c>
    </row>
    <row r="1428">
      <c r="A1428" s="3" t="n">
        <v>2023</v>
      </c>
      <c r="B1428" s="4" t="n">
        <v>29400</v>
      </c>
      <c r="C1428" s="4" t="n">
        <v>2483</v>
      </c>
      <c r="D1428" s="4" t="n">
        <v>751.1075</v>
      </c>
      <c r="E1428" s="5" t="n">
        <v>39.1</v>
      </c>
      <c r="F1428" s="3" t="inlineStr">
        <is>
          <t>전동면</t>
        </is>
      </c>
      <c r="G1428" s="3" t="inlineStr">
        <is>
          <t>송곡리</t>
        </is>
      </c>
      <c r="H1428" s="3" t="inlineStr">
        <is>
          <t>생산관리지역</t>
        </is>
      </c>
      <c r="I1428" s="3" t="inlineStr">
        <is>
          <t>전</t>
        </is>
      </c>
      <c r="J1428" s="3" t="inlineStr">
        <is>
          <t>전동면</t>
        </is>
      </c>
    </row>
    <row r="1429">
      <c r="A1429" s="3" t="n">
        <v>2023</v>
      </c>
      <c r="B1429" s="4" t="n">
        <v>3000</v>
      </c>
      <c r="C1429" s="4" t="n">
        <v>228</v>
      </c>
      <c r="D1429" s="4" t="n">
        <v>68.97</v>
      </c>
      <c r="E1429" s="5" t="n">
        <v>43.5</v>
      </c>
      <c r="F1429" s="3" t="inlineStr">
        <is>
          <t>전동면</t>
        </is>
      </c>
      <c r="G1429" s="3" t="inlineStr">
        <is>
          <t>송곡리</t>
        </is>
      </c>
      <c r="H1429" s="3" t="inlineStr">
        <is>
          <t>보전관리지역</t>
        </is>
      </c>
      <c r="I1429" s="3" t="inlineStr">
        <is>
          <t>전</t>
        </is>
      </c>
      <c r="J1429" s="3" t="inlineStr">
        <is>
          <t>전동면</t>
        </is>
      </c>
    </row>
    <row r="1430">
      <c r="A1430" s="3" t="n">
        <v>2023</v>
      </c>
      <c r="B1430" s="4" t="n">
        <v>9970</v>
      </c>
      <c r="C1430" s="4" t="n">
        <v>641</v>
      </c>
      <c r="D1430" s="4" t="n">
        <v>193.9025</v>
      </c>
      <c r="E1430" s="5" t="n">
        <v>51.4</v>
      </c>
      <c r="F1430" s="3" t="inlineStr">
        <is>
          <t>부강면</t>
        </is>
      </c>
      <c r="G1430" s="3" t="inlineStr">
        <is>
          <t>부강리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부강면</t>
        </is>
      </c>
    </row>
    <row r="1431">
      <c r="A1431" s="3" t="n">
        <v>2023</v>
      </c>
      <c r="B1431" s="4" t="n">
        <v>3400</v>
      </c>
      <c r="C1431" s="4" t="n">
        <v>75</v>
      </c>
      <c r="D1431" s="4" t="n">
        <v>22.6875</v>
      </c>
      <c r="E1431" s="5" t="n">
        <v>149.9</v>
      </c>
      <c r="F1431" s="3" t="inlineStr">
        <is>
          <t>부강면</t>
        </is>
      </c>
      <c r="G1431" s="3" t="inlineStr">
        <is>
          <t>부강리</t>
        </is>
      </c>
      <c r="H1431" s="3" t="inlineStr">
        <is>
          <t>계획관리지역</t>
        </is>
      </c>
      <c r="I1431" s="3" t="inlineStr">
        <is>
          <t>공장용지</t>
        </is>
      </c>
      <c r="J1431" s="3" t="inlineStr">
        <is>
          <t>부강면</t>
        </is>
      </c>
    </row>
    <row r="1432">
      <c r="A1432" s="3" t="n">
        <v>2022</v>
      </c>
      <c r="B1432" s="4" t="n">
        <v>43638</v>
      </c>
      <c r="C1432" s="4" t="n">
        <v>570</v>
      </c>
      <c r="D1432" s="4" t="n">
        <v>172.425</v>
      </c>
      <c r="E1432" s="5" t="n">
        <v>253.1</v>
      </c>
      <c r="F1432" s="3" t="inlineStr">
        <is>
          <t>금남면</t>
        </is>
      </c>
      <c r="G1432" s="3" t="inlineStr">
        <is>
          <t>성덕리</t>
        </is>
      </c>
      <c r="H1432" s="3" t="inlineStr">
        <is>
          <t>보전관리지역</t>
        </is>
      </c>
      <c r="I1432" s="3" t="inlineStr">
        <is>
          <t>임야</t>
        </is>
      </c>
      <c r="J1432" s="3" t="inlineStr">
        <is>
          <t>금남면</t>
        </is>
      </c>
    </row>
    <row r="1433">
      <c r="A1433" s="3" t="n">
        <v>2022</v>
      </c>
      <c r="B1433" s="4" t="n">
        <v>13450</v>
      </c>
      <c r="C1433" s="4" t="n">
        <v>1070</v>
      </c>
      <c r="D1433" s="4" t="n">
        <v>323.675</v>
      </c>
      <c r="E1433" s="5" t="n">
        <v>41.6</v>
      </c>
      <c r="F1433" s="3" t="inlineStr">
        <is>
          <t>부강면</t>
        </is>
      </c>
      <c r="G1433" s="3" t="inlineStr">
        <is>
          <t>문곡리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부강면</t>
        </is>
      </c>
    </row>
    <row r="1434">
      <c r="A1434" s="3" t="n">
        <v>2022</v>
      </c>
      <c r="B1434" s="4" t="n">
        <v>35000</v>
      </c>
      <c r="C1434" s="4" t="n">
        <v>585</v>
      </c>
      <c r="D1434" s="4" t="n">
        <v>176.9625</v>
      </c>
      <c r="E1434" s="5" t="n">
        <v>197.8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대</t>
        </is>
      </c>
      <c r="J1434" s="3" t="inlineStr">
        <is>
          <t>부강면</t>
        </is>
      </c>
    </row>
    <row r="1435">
      <c r="A1435" s="3" t="n">
        <v>2022</v>
      </c>
      <c r="B1435" s="4" t="n">
        <v>63000</v>
      </c>
      <c r="C1435" s="4" t="n">
        <v>1049</v>
      </c>
      <c r="D1435" s="4" t="n">
        <v>317.3225</v>
      </c>
      <c r="E1435" s="5" t="n">
        <v>198.5</v>
      </c>
      <c r="F1435" s="3" t="inlineStr">
        <is>
          <t>부강면</t>
        </is>
      </c>
      <c r="G1435" s="3" t="inlineStr">
        <is>
          <t>부강리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부강면</t>
        </is>
      </c>
    </row>
    <row r="1436">
      <c r="A1436" s="3" t="n">
        <v>2022</v>
      </c>
      <c r="B1436" s="4" t="n">
        <v>24600</v>
      </c>
      <c r="C1436" s="4" t="n">
        <v>1145.9</v>
      </c>
      <c r="D1436" s="4" t="n">
        <v>346.63475</v>
      </c>
      <c r="E1436" s="5" t="n">
        <v>71</v>
      </c>
      <c r="F1436" s="3" t="inlineStr">
        <is>
          <t>연동면</t>
        </is>
      </c>
      <c r="G1436" s="3" t="inlineStr">
        <is>
          <t>문주리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연동면</t>
        </is>
      </c>
    </row>
    <row r="1437">
      <c r="A1437" s="3" t="n">
        <v>2022</v>
      </c>
      <c r="B1437" s="4" t="n">
        <v>17690</v>
      </c>
      <c r="C1437" s="4" t="n">
        <v>840</v>
      </c>
      <c r="D1437" s="4" t="n">
        <v>254.1</v>
      </c>
      <c r="E1437" s="5" t="n">
        <v>69.59999999999999</v>
      </c>
      <c r="F1437" s="3" t="inlineStr">
        <is>
          <t>부강면</t>
        </is>
      </c>
      <c r="G1437" s="3" t="inlineStr">
        <is>
          <t>등곡리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2022</v>
      </c>
      <c r="B1438" s="4" t="n">
        <v>24510</v>
      </c>
      <c r="C1438" s="4" t="n">
        <v>1164</v>
      </c>
      <c r="D1438" s="4" t="n">
        <v>352.11</v>
      </c>
      <c r="E1438" s="5" t="n">
        <v>69.59999999999999</v>
      </c>
      <c r="F1438" s="3" t="inlineStr">
        <is>
          <t>부강면</t>
        </is>
      </c>
      <c r="G1438" s="3" t="inlineStr">
        <is>
          <t>등곡리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부강면</t>
        </is>
      </c>
    </row>
    <row r="1439">
      <c r="A1439" s="3" t="n">
        <v>2022</v>
      </c>
      <c r="B1439" s="4" t="n">
        <v>59400</v>
      </c>
      <c r="C1439" s="4" t="n">
        <v>3710</v>
      </c>
      <c r="D1439" s="4" t="n">
        <v>1122.275</v>
      </c>
      <c r="E1439" s="5" t="n">
        <v>52.9</v>
      </c>
      <c r="F1439" s="3" t="inlineStr">
        <is>
          <t>소정면</t>
        </is>
      </c>
      <c r="G1439" s="3" t="inlineStr">
        <is>
          <t>대곡리</t>
        </is>
      </c>
      <c r="H1439" s="3" t="inlineStr">
        <is>
          <t>계획관리지역</t>
        </is>
      </c>
      <c r="I1439" s="3" t="inlineStr">
        <is>
          <t>전</t>
        </is>
      </c>
      <c r="J1439" s="3" t="inlineStr">
        <is>
          <t>소정면</t>
        </is>
      </c>
    </row>
    <row r="1440">
      <c r="A1440" s="3" t="n">
        <v>2022</v>
      </c>
      <c r="B1440" s="4" t="n">
        <v>6600</v>
      </c>
      <c r="C1440" s="4" t="n">
        <v>413</v>
      </c>
      <c r="D1440" s="4" t="n">
        <v>124.9325</v>
      </c>
      <c r="E1440" s="5" t="n">
        <v>52.8</v>
      </c>
      <c r="F1440" s="3" t="inlineStr">
        <is>
          <t>소정면</t>
        </is>
      </c>
      <c r="G1440" s="3" t="inlineStr">
        <is>
          <t>대곡리</t>
        </is>
      </c>
      <c r="H1440" s="3" t="inlineStr">
        <is>
          <t>계획관리지역</t>
        </is>
      </c>
      <c r="I1440" s="3" t="inlineStr">
        <is>
          <t>답</t>
        </is>
      </c>
      <c r="J1440" s="3" t="inlineStr">
        <is>
          <t>소정면</t>
        </is>
      </c>
    </row>
    <row r="1441">
      <c r="A1441" s="3" t="n">
        <v>2022</v>
      </c>
      <c r="B1441" s="4" t="n">
        <v>70000</v>
      </c>
      <c r="C1441" s="4" t="n">
        <v>1919</v>
      </c>
      <c r="D1441" s="4" t="n">
        <v>580.4974999999999</v>
      </c>
      <c r="E1441" s="5" t="n">
        <v>120.6</v>
      </c>
      <c r="F1441" s="3" t="inlineStr">
        <is>
          <t>장군면</t>
        </is>
      </c>
      <c r="G1441" s="3" t="inlineStr">
        <is>
          <t>용현리</t>
        </is>
      </c>
      <c r="H1441" s="3" t="inlineStr">
        <is>
          <t>보전관리지역</t>
        </is>
      </c>
      <c r="I1441" s="3" t="inlineStr">
        <is>
          <t>임야</t>
        </is>
      </c>
      <c r="J1441" s="3" t="inlineStr">
        <is>
          <t>장군면</t>
        </is>
      </c>
    </row>
    <row r="1442">
      <c r="A1442" s="3" t="n">
        <v>2022</v>
      </c>
      <c r="B1442" s="4" t="n">
        <v>31000</v>
      </c>
      <c r="C1442" s="4" t="n">
        <v>978</v>
      </c>
      <c r="D1442" s="4" t="n">
        <v>295.845</v>
      </c>
      <c r="E1442" s="5" t="n">
        <v>104.8</v>
      </c>
      <c r="F1442" s="3" t="inlineStr">
        <is>
          <t>장군면</t>
        </is>
      </c>
      <c r="G1442" s="3" t="inlineStr">
        <is>
          <t>용현리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장군면</t>
        </is>
      </c>
    </row>
    <row r="1443">
      <c r="A1443" s="3" t="n">
        <v>2022</v>
      </c>
      <c r="B1443" s="4" t="n">
        <v>930000</v>
      </c>
      <c r="C1443" s="4" t="n">
        <v>62444</v>
      </c>
      <c r="D1443" s="4" t="n">
        <v>18889.31</v>
      </c>
      <c r="E1443" s="5" t="n">
        <v>49.2</v>
      </c>
      <c r="F1443" s="3" t="inlineStr">
        <is>
          <t>장군면</t>
        </is>
      </c>
      <c r="G1443" s="3" t="inlineStr">
        <is>
          <t>용현리</t>
        </is>
      </c>
      <c r="H1443" s="3" t="inlineStr">
        <is>
          <t>보전관리지역</t>
        </is>
      </c>
      <c r="I1443" s="3" t="inlineStr">
        <is>
          <t>임야</t>
        </is>
      </c>
      <c r="J1443" s="3" t="inlineStr">
        <is>
          <t>장군면</t>
        </is>
      </c>
    </row>
    <row r="1444">
      <c r="A1444" s="3" t="n">
        <v>2022</v>
      </c>
      <c r="B1444" s="4" t="n">
        <v>39000</v>
      </c>
      <c r="C1444" s="4" t="n">
        <v>1210</v>
      </c>
      <c r="D1444" s="4" t="n">
        <v>366.025</v>
      </c>
      <c r="E1444" s="5" t="n">
        <v>106.6</v>
      </c>
      <c r="F1444" s="3" t="inlineStr">
        <is>
          <t>장군면</t>
        </is>
      </c>
      <c r="G1444" s="3" t="inlineStr">
        <is>
          <t>용현리</t>
        </is>
      </c>
      <c r="H1444" s="3" t="inlineStr">
        <is>
          <t>보전관리지역</t>
        </is>
      </c>
      <c r="I1444" s="3" t="inlineStr">
        <is>
          <t>전</t>
        </is>
      </c>
      <c r="J1444" s="3" t="inlineStr">
        <is>
          <t>장군면</t>
        </is>
      </c>
    </row>
    <row r="1445">
      <c r="A1445" s="3" t="n">
        <v>2026</v>
      </c>
      <c r="B1445" s="4" t="n">
        <v>4000</v>
      </c>
      <c r="C1445" s="4" t="n">
        <v>3570</v>
      </c>
      <c r="D1445" s="4" t="n">
        <v>1079.925</v>
      </c>
      <c r="E1445" s="5" t="n">
        <v>3.7</v>
      </c>
      <c r="F1445" s="3" t="inlineStr">
        <is>
          <t>부강면</t>
        </is>
      </c>
      <c r="G1445" s="3" t="inlineStr">
        <is>
          <t>문곡리</t>
        </is>
      </c>
      <c r="H1445" s="3" t="inlineStr">
        <is>
          <t>보전관리지역</t>
        </is>
      </c>
      <c r="I1445" s="3" t="inlineStr">
        <is>
          <t>임야</t>
        </is>
      </c>
      <c r="J1445" s="3" t="inlineStr">
        <is>
          <t>부강면</t>
        </is>
      </c>
    </row>
    <row r="1446">
      <c r="A1446" s="3" t="n">
        <v>2026</v>
      </c>
      <c r="B1446" s="4" t="n">
        <v>6000</v>
      </c>
      <c r="C1446" s="4" t="n">
        <v>331</v>
      </c>
      <c r="D1446" s="4" t="n">
        <v>100.1275</v>
      </c>
      <c r="E1446" s="5" t="n">
        <v>59.9</v>
      </c>
      <c r="F1446" s="3" t="inlineStr">
        <is>
          <t>연서면</t>
        </is>
      </c>
      <c r="G1446" s="3" t="inlineStr">
        <is>
          <t>쌍류리</t>
        </is>
      </c>
      <c r="H1446" s="3" t="inlineStr">
        <is>
          <t>생산관리지역</t>
        </is>
      </c>
      <c r="I1446" s="3" t="inlineStr">
        <is>
          <t>답</t>
        </is>
      </c>
      <c r="J1446" s="3" t="inlineStr">
        <is>
          <t>연서면</t>
        </is>
      </c>
    </row>
    <row r="1447">
      <c r="A1447" s="3" t="n">
        <v>2026</v>
      </c>
      <c r="B1447" s="4" t="n">
        <v>40000</v>
      </c>
      <c r="C1447" s="4" t="n">
        <v>277</v>
      </c>
      <c r="D1447" s="4" t="n">
        <v>83.7925</v>
      </c>
      <c r="E1447" s="5" t="n">
        <v>477.4</v>
      </c>
      <c r="F1447" s="3" t="inlineStr">
        <is>
          <t>집현동</t>
        </is>
      </c>
      <c r="G1447" s="3" t="inlineStr"/>
      <c r="H1447" s="3" t="inlineStr">
        <is>
          <t>제1종전용주거지역</t>
        </is>
      </c>
      <c r="I1447" s="3" t="inlineStr">
        <is>
          <t>대</t>
        </is>
      </c>
      <c r="J1447" s="3" t="inlineStr">
        <is>
          <t>집현동</t>
        </is>
      </c>
    </row>
    <row r="1448">
      <c r="A1448" s="3" t="n">
        <v>2026</v>
      </c>
      <c r="B1448" s="4" t="n">
        <v>62000</v>
      </c>
      <c r="C1448" s="4" t="n">
        <v>441</v>
      </c>
      <c r="D1448" s="4" t="n">
        <v>133.4025</v>
      </c>
      <c r="E1448" s="5" t="n">
        <v>464.8</v>
      </c>
      <c r="F1448" s="3" t="inlineStr">
        <is>
          <t>고운동</t>
        </is>
      </c>
      <c r="G1448" s="3" t="inlineStr"/>
      <c r="H1448" s="3" t="inlineStr">
        <is>
          <t>제1종전용주거지역</t>
        </is>
      </c>
      <c r="I1448" s="3" t="inlineStr">
        <is>
          <t>대</t>
        </is>
      </c>
      <c r="J1448" s="3" t="inlineStr">
        <is>
          <t>고운동</t>
        </is>
      </c>
    </row>
    <row r="1449">
      <c r="A1449" s="3" t="n">
        <v>2025</v>
      </c>
      <c r="B1449" s="4" t="n">
        <v>300</v>
      </c>
      <c r="C1449" s="4" t="n">
        <v>100</v>
      </c>
      <c r="D1449" s="4" t="n">
        <v>30.25</v>
      </c>
      <c r="E1449" s="5" t="n">
        <v>9.9</v>
      </c>
      <c r="F1449" s="3" t="inlineStr">
        <is>
          <t>남이면</t>
        </is>
      </c>
      <c r="G1449" s="3" t="inlineStr">
        <is>
          <t>척산리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2025</v>
      </c>
      <c r="B1450" s="4" t="n">
        <v>2760</v>
      </c>
      <c r="C1450" s="4" t="n">
        <v>76</v>
      </c>
      <c r="D1450" s="4" t="n">
        <v>22.99</v>
      </c>
      <c r="E1450" s="5" t="n">
        <v>120.1</v>
      </c>
      <c r="F1450" s="3" t="inlineStr">
        <is>
          <t>오송읍</t>
        </is>
      </c>
      <c r="G1450" s="3" t="inlineStr">
        <is>
          <t>상정리</t>
        </is>
      </c>
      <c r="H1450" s="3" t="inlineStr">
        <is>
          <t>생산관리지역</t>
        </is>
      </c>
      <c r="I1450" s="3" t="inlineStr">
        <is>
          <t>구거</t>
        </is>
      </c>
      <c r="J1450" s="3" t="inlineStr">
        <is>
          <t>오송읍</t>
        </is>
      </c>
    </row>
    <row r="1451">
      <c r="A1451" s="3" t="n">
        <v>2025</v>
      </c>
      <c r="B1451" s="4" t="n">
        <v>21714</v>
      </c>
      <c r="C1451" s="4" t="n">
        <v>465</v>
      </c>
      <c r="D1451" s="4" t="n">
        <v>140.6625</v>
      </c>
      <c r="E1451" s="5" t="n">
        <v>154.4</v>
      </c>
      <c r="F1451" s="3" t="inlineStr">
        <is>
          <t>강내면</t>
        </is>
      </c>
      <c r="G1451" s="3" t="inlineStr">
        <is>
          <t>사곡리</t>
        </is>
      </c>
      <c r="H1451" s="3" t="inlineStr">
        <is>
          <t>보전관리지역</t>
        </is>
      </c>
      <c r="I1451" s="3" t="inlineStr">
        <is>
          <t>대</t>
        </is>
      </c>
      <c r="J1451" s="3" t="inlineStr">
        <is>
          <t>강내면</t>
        </is>
      </c>
    </row>
    <row r="1452">
      <c r="A1452" s="3" t="n">
        <v>2025</v>
      </c>
      <c r="B1452" s="4" t="n">
        <v>100569</v>
      </c>
      <c r="C1452" s="4" t="n">
        <v>4821.6</v>
      </c>
      <c r="D1452" s="4" t="n">
        <v>1458.534</v>
      </c>
      <c r="E1452" s="5" t="n">
        <v>69</v>
      </c>
      <c r="F1452" s="3" t="inlineStr">
        <is>
          <t>오송읍</t>
        </is>
      </c>
      <c r="G1452" s="3" t="inlineStr">
        <is>
          <t>연제리</t>
        </is>
      </c>
      <c r="H1452" s="3" t="inlineStr">
        <is>
          <t>준공업지역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2025</v>
      </c>
      <c r="B1453" s="4" t="n">
        <v>45600</v>
      </c>
      <c r="C1453" s="4" t="n">
        <v>3015</v>
      </c>
      <c r="D1453" s="4" t="n">
        <v>912.0375</v>
      </c>
      <c r="E1453" s="5" t="n">
        <v>50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2025</v>
      </c>
      <c r="B1454" s="4" t="n">
        <v>61800</v>
      </c>
      <c r="C1454" s="4" t="n">
        <v>4086</v>
      </c>
      <c r="D1454" s="4" t="n">
        <v>1236.015</v>
      </c>
      <c r="E1454" s="5" t="n">
        <v>50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16050</v>
      </c>
      <c r="C1455" s="4" t="n">
        <v>1061</v>
      </c>
      <c r="D1455" s="4" t="n">
        <v>320.9525</v>
      </c>
      <c r="E1455" s="5" t="n">
        <v>50</v>
      </c>
      <c r="F1455" s="3" t="inlineStr">
        <is>
          <t>오송읍</t>
        </is>
      </c>
      <c r="G1455" s="3" t="inlineStr">
        <is>
          <t>서평리</t>
        </is>
      </c>
      <c r="H1455" s="3" t="inlineStr">
        <is>
          <t>농림지역</t>
        </is>
      </c>
      <c r="I1455" s="3" t="inlineStr">
        <is>
          <t>답</t>
        </is>
      </c>
      <c r="J1455" s="3" t="inlineStr">
        <is>
          <t>오송읍</t>
        </is>
      </c>
    </row>
    <row r="1456">
      <c r="A1456" s="3" t="n">
        <v>2025</v>
      </c>
      <c r="B1456" s="4" t="n">
        <v>37000</v>
      </c>
      <c r="C1456" s="4" t="n">
        <v>272.9</v>
      </c>
      <c r="D1456" s="4" t="n">
        <v>82.55224999999999</v>
      </c>
      <c r="E1456" s="5" t="n">
        <v>448.2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360</v>
      </c>
      <c r="C1457" s="4" t="n">
        <v>116</v>
      </c>
      <c r="D1457" s="4" t="n">
        <v>35.09</v>
      </c>
      <c r="E1457" s="5" t="n">
        <v>10.3</v>
      </c>
      <c r="F1457" s="3" t="inlineStr">
        <is>
          <t>강내면</t>
        </is>
      </c>
      <c r="G1457" s="3" t="inlineStr">
        <is>
          <t>태성리</t>
        </is>
      </c>
      <c r="H1457" s="3" t="inlineStr">
        <is>
          <t>계획관리지역</t>
        </is>
      </c>
      <c r="I1457" s="3" t="inlineStr">
        <is>
          <t>하천</t>
        </is>
      </c>
      <c r="J1457" s="3" t="inlineStr">
        <is>
          <t>강내면</t>
        </is>
      </c>
    </row>
    <row r="1458">
      <c r="A1458" s="3" t="n">
        <v>2025</v>
      </c>
      <c r="B1458" s="4" t="n">
        <v>194000</v>
      </c>
      <c r="C1458" s="4" t="n">
        <v>505.6</v>
      </c>
      <c r="D1458" s="4" t="n">
        <v>152.944</v>
      </c>
      <c r="E1458" s="5" t="n">
        <v>1268.4</v>
      </c>
      <c r="F1458" s="3" t="inlineStr">
        <is>
          <t>오송읍</t>
        </is>
      </c>
      <c r="G1458" s="3" t="inlineStr">
        <is>
          <t>만수리</t>
        </is>
      </c>
      <c r="H1458" s="3" t="inlineStr">
        <is>
          <t>일반상업지역</t>
        </is>
      </c>
      <c r="I1458" s="3" t="inlineStr">
        <is>
          <t>대</t>
        </is>
      </c>
      <c r="J1458" s="3" t="inlineStr">
        <is>
          <t>오송읍</t>
        </is>
      </c>
    </row>
    <row r="1459">
      <c r="A1459" s="3" t="n">
        <v>2025</v>
      </c>
      <c r="B1459" s="4" t="n">
        <v>40000</v>
      </c>
      <c r="C1459" s="4" t="n">
        <v>273</v>
      </c>
      <c r="D1459" s="4" t="n">
        <v>82.5825</v>
      </c>
      <c r="E1459" s="5" t="n">
        <v>484.4</v>
      </c>
      <c r="F1459" s="3" t="inlineStr">
        <is>
          <t>오송읍</t>
        </is>
      </c>
      <c r="G1459" s="3" t="inlineStr">
        <is>
          <t>봉산리</t>
        </is>
      </c>
      <c r="H1459" s="3" t="inlineStr">
        <is>
          <t>제1종일반주거지역</t>
        </is>
      </c>
      <c r="I1459" s="3" t="inlineStr">
        <is>
          <t>대</t>
        </is>
      </c>
      <c r="J1459" s="3" t="inlineStr">
        <is>
          <t>오송읍</t>
        </is>
      </c>
    </row>
    <row r="1460">
      <c r="A1460" s="3" t="n">
        <v>2025</v>
      </c>
      <c r="B1460" s="4" t="n">
        <v>91750</v>
      </c>
      <c r="C1460" s="4" t="n">
        <v>2589</v>
      </c>
      <c r="D1460" s="4" t="n">
        <v>783.1725</v>
      </c>
      <c r="E1460" s="5" t="n">
        <v>117.2</v>
      </c>
      <c r="F1460" s="3" t="inlineStr">
        <is>
          <t>강내면</t>
        </is>
      </c>
      <c r="G1460" s="3" t="inlineStr">
        <is>
          <t>석화리</t>
        </is>
      </c>
      <c r="H1460" s="3" t="inlineStr">
        <is>
          <t>자연녹지지역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500</v>
      </c>
      <c r="C1461" s="4" t="n">
        <v>34</v>
      </c>
      <c r="D1461" s="4" t="n">
        <v>10.285</v>
      </c>
      <c r="E1461" s="5" t="n">
        <v>48.6</v>
      </c>
      <c r="F1461" s="3" t="inlineStr">
        <is>
          <t>강내면</t>
        </is>
      </c>
      <c r="G1461" s="3" t="inlineStr">
        <is>
          <t>석화리</t>
        </is>
      </c>
      <c r="H1461" s="3" t="inlineStr">
        <is>
          <t>자연녹지지역</t>
        </is>
      </c>
      <c r="I1461" s="3" t="inlineStr">
        <is>
          <t>도로</t>
        </is>
      </c>
      <c r="J1461" s="3" t="inlineStr">
        <is>
          <t>강내면</t>
        </is>
      </c>
    </row>
    <row r="1462">
      <c r="A1462" s="3" t="n">
        <v>2025</v>
      </c>
      <c r="B1462" s="4" t="n">
        <v>250</v>
      </c>
      <c r="C1462" s="4" t="n">
        <v>15</v>
      </c>
      <c r="D1462" s="4" t="n">
        <v>4.5375</v>
      </c>
      <c r="E1462" s="5" t="n">
        <v>55.1</v>
      </c>
      <c r="F1462" s="3" t="inlineStr">
        <is>
          <t>강내면</t>
        </is>
      </c>
      <c r="G1462" s="3" t="inlineStr">
        <is>
          <t>석화리</t>
        </is>
      </c>
      <c r="H1462" s="3" t="inlineStr">
        <is>
          <t>자연녹지지역</t>
        </is>
      </c>
      <c r="I1462" s="3" t="inlineStr">
        <is>
          <t>도로</t>
        </is>
      </c>
      <c r="J1462" s="3" t="inlineStr">
        <is>
          <t>강내면</t>
        </is>
      </c>
    </row>
    <row r="1463">
      <c r="A1463" s="3" t="n">
        <v>2026</v>
      </c>
      <c r="B1463" s="4" t="n">
        <v>20000</v>
      </c>
      <c r="C1463" s="4" t="n">
        <v>2777</v>
      </c>
      <c r="D1463" s="4" t="n">
        <v>840.0425</v>
      </c>
      <c r="E1463" s="5" t="n">
        <v>23.8</v>
      </c>
      <c r="F1463" s="3" t="inlineStr">
        <is>
          <t>오송읍</t>
        </is>
      </c>
      <c r="G1463" s="3" t="inlineStr">
        <is>
          <t>상정리</t>
        </is>
      </c>
      <c r="H1463" s="3" t="inlineStr">
        <is>
          <t>농림지역</t>
        </is>
      </c>
      <c r="I1463" s="3" t="inlineStr">
        <is>
          <t>답</t>
        </is>
      </c>
      <c r="J1463" s="3" t="inlineStr">
        <is>
          <t>오송읍</t>
        </is>
      </c>
    </row>
    <row r="1464">
      <c r="A1464" s="3" t="n">
        <v>2026</v>
      </c>
      <c r="B1464" s="4" t="n">
        <v>26277</v>
      </c>
      <c r="C1464" s="4" t="n">
        <v>2766</v>
      </c>
      <c r="D1464" s="4" t="n">
        <v>836.715</v>
      </c>
      <c r="E1464" s="5" t="n">
        <v>31.4</v>
      </c>
      <c r="F1464" s="3" t="inlineStr">
        <is>
          <t>강내면</t>
        </is>
      </c>
      <c r="G1464" s="3" t="inlineStr">
        <is>
          <t>연정리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강내면</t>
        </is>
      </c>
    </row>
    <row r="1465">
      <c r="A1465" s="3" t="n">
        <v>2026</v>
      </c>
      <c r="B1465" s="4" t="n">
        <v>11315</v>
      </c>
      <c r="C1465" s="4" t="n">
        <v>3934</v>
      </c>
      <c r="D1465" s="4" t="n">
        <v>1190.035</v>
      </c>
      <c r="E1465" s="5" t="n">
        <v>9.5</v>
      </c>
      <c r="F1465" s="3" t="inlineStr">
        <is>
          <t>오송읍</t>
        </is>
      </c>
      <c r="G1465" s="3" t="inlineStr">
        <is>
          <t>상봉리</t>
        </is>
      </c>
      <c r="H1465" s="3" t="inlineStr">
        <is>
          <t>생산관리지역</t>
        </is>
      </c>
      <c r="I1465" s="3" t="inlineStr">
        <is>
          <t>임야</t>
        </is>
      </c>
      <c r="J1465" s="3" t="inlineStr">
        <is>
          <t>오송읍</t>
        </is>
      </c>
    </row>
    <row r="1466">
      <c r="A1466" s="3" t="n">
        <v>2026</v>
      </c>
      <c r="B1466" s="4" t="n">
        <v>851</v>
      </c>
      <c r="C1466" s="4" t="n">
        <v>36</v>
      </c>
      <c r="D1466" s="4" t="n">
        <v>10.89</v>
      </c>
      <c r="E1466" s="5" t="n">
        <v>78.09999999999999</v>
      </c>
      <c r="F1466" s="3" t="inlineStr">
        <is>
          <t>강내면</t>
        </is>
      </c>
      <c r="G1466" s="3" t="inlineStr">
        <is>
          <t>사인리</t>
        </is>
      </c>
      <c r="H1466" s="3" t="inlineStr">
        <is>
          <t>생산녹지지역</t>
        </is>
      </c>
      <c r="I1466" s="3" t="inlineStr">
        <is>
          <t>도로</t>
        </is>
      </c>
      <c r="J1466" s="3" t="inlineStr">
        <is>
          <t>강내면</t>
        </is>
      </c>
    </row>
    <row r="1467">
      <c r="A1467" s="3" t="n">
        <v>2026</v>
      </c>
      <c r="B1467" s="4" t="n">
        <v>10412</v>
      </c>
      <c r="C1467" s="4" t="n">
        <v>1076</v>
      </c>
      <c r="D1467" s="4" t="n">
        <v>325.49</v>
      </c>
      <c r="E1467" s="5" t="n">
        <v>32</v>
      </c>
      <c r="F1467" s="3" t="inlineStr">
        <is>
          <t>오송읍</t>
        </is>
      </c>
      <c r="G1467" s="3" t="inlineStr">
        <is>
          <t>상봉리</t>
        </is>
      </c>
      <c r="H1467" s="3" t="inlineStr">
        <is>
          <t>농림지역</t>
        </is>
      </c>
      <c r="I1467" s="3" t="inlineStr">
        <is>
          <t>답</t>
        </is>
      </c>
      <c r="J1467" s="3" t="inlineStr">
        <is>
          <t>오송읍</t>
        </is>
      </c>
    </row>
    <row r="1468">
      <c r="A1468" s="3" t="n">
        <v>2026</v>
      </c>
      <c r="B1468" s="4" t="n">
        <v>25526</v>
      </c>
      <c r="C1468" s="4" t="n">
        <v>2638</v>
      </c>
      <c r="D1468" s="4" t="n">
        <v>797.995</v>
      </c>
      <c r="E1468" s="5" t="n">
        <v>32</v>
      </c>
      <c r="F1468" s="3" t="inlineStr">
        <is>
          <t>오송읍</t>
        </is>
      </c>
      <c r="G1468" s="3" t="inlineStr">
        <is>
          <t>상봉리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오송읍</t>
        </is>
      </c>
    </row>
    <row r="1469">
      <c r="A1469" s="3" t="n">
        <v>2026</v>
      </c>
      <c r="B1469" s="4" t="n">
        <v>223</v>
      </c>
      <c r="C1469" s="4" t="n">
        <v>23</v>
      </c>
      <c r="D1469" s="4" t="n">
        <v>6.9575</v>
      </c>
      <c r="E1469" s="5" t="n">
        <v>32.1</v>
      </c>
      <c r="F1469" s="3" t="inlineStr">
        <is>
          <t>오송읍</t>
        </is>
      </c>
      <c r="G1469" s="3" t="inlineStr">
        <is>
          <t>상봉리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오송읍</t>
        </is>
      </c>
    </row>
    <row r="1470">
      <c r="A1470" s="3" t="n">
        <v>2026</v>
      </c>
      <c r="B1470" s="4" t="n">
        <v>5000</v>
      </c>
      <c r="C1470" s="4" t="n">
        <v>282</v>
      </c>
      <c r="D1470" s="4" t="n">
        <v>85.30499999999999</v>
      </c>
      <c r="E1470" s="5" t="n">
        <v>58.6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생산관리지역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2026</v>
      </c>
      <c r="B1471" s="4" t="n">
        <v>500</v>
      </c>
      <c r="C1471" s="4" t="n">
        <v>32</v>
      </c>
      <c r="D1471" s="4" t="n">
        <v>9.68</v>
      </c>
      <c r="E1471" s="5" t="n">
        <v>51.7</v>
      </c>
      <c r="F1471" s="3" t="inlineStr">
        <is>
          <t>강내면</t>
        </is>
      </c>
      <c r="G1471" s="3" t="inlineStr">
        <is>
          <t>황탄리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1540</v>
      </c>
      <c r="C1472" s="4" t="n">
        <v>103</v>
      </c>
      <c r="D1472" s="4" t="n">
        <v>31.1575</v>
      </c>
      <c r="E1472" s="5" t="n">
        <v>49.4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임야</t>
        </is>
      </c>
      <c r="J1472" s="3" t="inlineStr">
        <is>
          <t>강내면</t>
        </is>
      </c>
    </row>
    <row r="1473">
      <c r="A1473" s="3" t="n">
        <v>2024</v>
      </c>
      <c r="B1473" s="4" t="n">
        <v>6590</v>
      </c>
      <c r="C1473" s="4" t="n">
        <v>440</v>
      </c>
      <c r="D1473" s="4" t="n">
        <v>133.1</v>
      </c>
      <c r="E1473" s="5" t="n">
        <v>49.5</v>
      </c>
      <c r="F1473" s="3" t="inlineStr">
        <is>
          <t>강내면</t>
        </is>
      </c>
      <c r="G1473" s="3" t="inlineStr">
        <is>
          <t>다락리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강내면</t>
        </is>
      </c>
    </row>
    <row r="1474">
      <c r="A1474" s="3" t="n">
        <v>2024</v>
      </c>
      <c r="B1474" s="4" t="n">
        <v>13800</v>
      </c>
      <c r="C1474" s="4" t="n">
        <v>921</v>
      </c>
      <c r="D1474" s="4" t="n">
        <v>278.6025</v>
      </c>
      <c r="E1474" s="5" t="n">
        <v>49.5</v>
      </c>
      <c r="F1474" s="3" t="inlineStr">
        <is>
          <t>강내면</t>
        </is>
      </c>
      <c r="G1474" s="3" t="inlineStr">
        <is>
          <t>다락리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강내면</t>
        </is>
      </c>
    </row>
    <row r="1475">
      <c r="A1475" s="3" t="n">
        <v>2024</v>
      </c>
      <c r="B1475" s="4" t="n">
        <v>1900</v>
      </c>
      <c r="C1475" s="4" t="n">
        <v>127</v>
      </c>
      <c r="D1475" s="4" t="n">
        <v>38.4175</v>
      </c>
      <c r="E1475" s="5" t="n">
        <v>49.5</v>
      </c>
      <c r="F1475" s="3" t="inlineStr">
        <is>
          <t>강내면</t>
        </is>
      </c>
      <c r="G1475" s="3" t="inlineStr">
        <is>
          <t>다락리</t>
        </is>
      </c>
      <c r="H1475" s="3" t="inlineStr">
        <is>
          <t>계획관리지역</t>
        </is>
      </c>
      <c r="I1475" s="3" t="inlineStr">
        <is>
          <t>임야</t>
        </is>
      </c>
      <c r="J1475" s="3" t="inlineStr">
        <is>
          <t>강내면</t>
        </is>
      </c>
    </row>
    <row r="1476">
      <c r="A1476" s="3" t="n">
        <v>2024</v>
      </c>
      <c r="B1476" s="4" t="n">
        <v>810</v>
      </c>
      <c r="C1476" s="4" t="n">
        <v>54</v>
      </c>
      <c r="D1476" s="4" t="n">
        <v>16.335</v>
      </c>
      <c r="E1476" s="5" t="n">
        <v>49.6</v>
      </c>
      <c r="F1476" s="3" t="inlineStr">
        <is>
          <t>강내면</t>
        </is>
      </c>
      <c r="G1476" s="3" t="inlineStr">
        <is>
          <t>다락리</t>
        </is>
      </c>
      <c r="H1476" s="3" t="inlineStr">
        <is>
          <t>계획관리지역</t>
        </is>
      </c>
      <c r="I1476" s="3" t="inlineStr">
        <is>
          <t>임야</t>
        </is>
      </c>
      <c r="J1476" s="3" t="inlineStr">
        <is>
          <t>강내면</t>
        </is>
      </c>
    </row>
    <row r="1477">
      <c r="A1477" s="3" t="n">
        <v>2024</v>
      </c>
      <c r="B1477" s="4" t="n">
        <v>5270</v>
      </c>
      <c r="C1477" s="4" t="n">
        <v>352</v>
      </c>
      <c r="D1477" s="4" t="n">
        <v>106.48</v>
      </c>
      <c r="E1477" s="5" t="n">
        <v>49.5</v>
      </c>
      <c r="F1477" s="3" t="inlineStr">
        <is>
          <t>강내면</t>
        </is>
      </c>
      <c r="G1477" s="3" t="inlineStr">
        <is>
          <t>다락리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강내면</t>
        </is>
      </c>
    </row>
    <row r="1478">
      <c r="A1478" s="3" t="n">
        <v>2024</v>
      </c>
      <c r="B1478" s="4" t="n">
        <v>1930</v>
      </c>
      <c r="C1478" s="4" t="n">
        <v>129</v>
      </c>
      <c r="D1478" s="4" t="n">
        <v>39.0225</v>
      </c>
      <c r="E1478" s="5" t="n">
        <v>49.5</v>
      </c>
      <c r="F1478" s="3" t="inlineStr">
        <is>
          <t>강내면</t>
        </is>
      </c>
      <c r="G1478" s="3" t="inlineStr">
        <is>
          <t>다락리</t>
        </is>
      </c>
      <c r="H1478" s="3" t="inlineStr">
        <is>
          <t>계획관리지역</t>
        </is>
      </c>
      <c r="I1478" s="3" t="inlineStr">
        <is>
          <t>임야</t>
        </is>
      </c>
      <c r="J1478" s="3" t="inlineStr">
        <is>
          <t>강내면</t>
        </is>
      </c>
    </row>
    <row r="1479">
      <c r="A1479" s="3" t="n">
        <v>2024</v>
      </c>
      <c r="B1479" s="4" t="n">
        <v>6820</v>
      </c>
      <c r="C1479" s="4" t="n">
        <v>455</v>
      </c>
      <c r="D1479" s="4" t="n">
        <v>137.6375</v>
      </c>
      <c r="E1479" s="5" t="n">
        <v>49.6</v>
      </c>
      <c r="F1479" s="3" t="inlineStr">
        <is>
          <t>강내면</t>
        </is>
      </c>
      <c r="G1479" s="3" t="inlineStr">
        <is>
          <t>다락리</t>
        </is>
      </c>
      <c r="H1479" s="3" t="inlineStr">
        <is>
          <t>계획관리지역</t>
        </is>
      </c>
      <c r="I1479" s="3" t="inlineStr">
        <is>
          <t>임야</t>
        </is>
      </c>
      <c r="J1479" s="3" t="inlineStr">
        <is>
          <t>강내면</t>
        </is>
      </c>
    </row>
    <row r="1480">
      <c r="A1480" s="3" t="n">
        <v>2024</v>
      </c>
      <c r="B1480" s="4" t="n">
        <v>40200</v>
      </c>
      <c r="C1480" s="4" t="n">
        <v>1593</v>
      </c>
      <c r="D1480" s="4" t="n">
        <v>481.8825</v>
      </c>
      <c r="E1480" s="5" t="n">
        <v>83.40000000000001</v>
      </c>
      <c r="F1480" s="3" t="inlineStr">
        <is>
          <t>오송읍</t>
        </is>
      </c>
      <c r="G1480" s="3" t="inlineStr">
        <is>
          <t>서평리</t>
        </is>
      </c>
      <c r="H1480" s="3" t="inlineStr">
        <is>
          <t>농림지역</t>
        </is>
      </c>
      <c r="I1480" s="3" t="inlineStr">
        <is>
          <t>답</t>
        </is>
      </c>
      <c r="J1480" s="3" t="inlineStr">
        <is>
          <t>오송읍</t>
        </is>
      </c>
    </row>
    <row r="1481">
      <c r="A1481" s="3" t="n">
        <v>2024</v>
      </c>
      <c r="B1481" s="4" t="n">
        <v>2000</v>
      </c>
      <c r="C1481" s="4" t="n">
        <v>78</v>
      </c>
      <c r="D1481" s="4" t="n">
        <v>23.595</v>
      </c>
      <c r="E1481" s="5" t="n">
        <v>84.8</v>
      </c>
      <c r="F1481" s="3" t="inlineStr">
        <is>
          <t>오송읍</t>
        </is>
      </c>
      <c r="G1481" s="3" t="inlineStr">
        <is>
          <t>서평리</t>
        </is>
      </c>
      <c r="H1481" s="3" t="inlineStr">
        <is>
          <t>농림지역</t>
        </is>
      </c>
      <c r="I1481" s="3" t="inlineStr">
        <is>
          <t>답</t>
        </is>
      </c>
      <c r="J1481" s="3" t="inlineStr">
        <is>
          <t>오송읍</t>
        </is>
      </c>
    </row>
    <row r="1482">
      <c r="A1482" s="3" t="n">
        <v>2024</v>
      </c>
      <c r="B1482" s="4" t="n">
        <v>900</v>
      </c>
      <c r="C1482" s="4" t="n">
        <v>36</v>
      </c>
      <c r="D1482" s="4" t="n">
        <v>10.89</v>
      </c>
      <c r="E1482" s="5" t="n">
        <v>82.59999999999999</v>
      </c>
      <c r="F1482" s="3" t="inlineStr">
        <is>
          <t>오송읍</t>
        </is>
      </c>
      <c r="G1482" s="3" t="inlineStr">
        <is>
          <t>서평리</t>
        </is>
      </c>
      <c r="H1482" s="3" t="inlineStr">
        <is>
          <t>농림지역</t>
        </is>
      </c>
      <c r="I1482" s="3" t="inlineStr">
        <is>
          <t>도로</t>
        </is>
      </c>
      <c r="J1482" s="3" t="inlineStr">
        <is>
          <t>오송읍</t>
        </is>
      </c>
    </row>
    <row r="1483">
      <c r="A1483" s="3" t="n">
        <v>2024</v>
      </c>
      <c r="B1483" s="4" t="n">
        <v>18848</v>
      </c>
      <c r="C1483" s="4" t="n">
        <v>249.1</v>
      </c>
      <c r="D1483" s="4" t="n">
        <v>75.35275</v>
      </c>
      <c r="E1483" s="5" t="n">
        <v>250.1</v>
      </c>
      <c r="F1483" s="3" t="inlineStr">
        <is>
          <t>오송읍</t>
        </is>
      </c>
      <c r="G1483" s="3" t="inlineStr">
        <is>
          <t>오송리</t>
        </is>
      </c>
      <c r="H1483" s="3" t="inlineStr">
        <is>
          <t>용도미지정</t>
        </is>
      </c>
      <c r="I1483" s="3" t="inlineStr">
        <is>
          <t>대</t>
        </is>
      </c>
      <c r="J1483" s="3" t="inlineStr">
        <is>
          <t>오송읍</t>
        </is>
      </c>
    </row>
    <row r="1484">
      <c r="A1484" s="3" t="n">
        <v>2024</v>
      </c>
      <c r="B1484" s="4" t="n">
        <v>24000</v>
      </c>
      <c r="C1484" s="4" t="n">
        <v>239.5</v>
      </c>
      <c r="D1484" s="4" t="n">
        <v>72.44875</v>
      </c>
      <c r="E1484" s="5" t="n">
        <v>331.3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2023</v>
      </c>
      <c r="B1485" s="4" t="n">
        <v>34047</v>
      </c>
      <c r="C1485" s="4" t="n">
        <v>566</v>
      </c>
      <c r="D1485" s="4" t="n">
        <v>171.215</v>
      </c>
      <c r="E1485" s="5" t="n">
        <v>198.9</v>
      </c>
      <c r="F1485" s="3" t="inlineStr">
        <is>
          <t>오송읍</t>
        </is>
      </c>
      <c r="G1485" s="3" t="inlineStr">
        <is>
          <t>정중리</t>
        </is>
      </c>
      <c r="H1485" s="3" t="inlineStr">
        <is>
          <t>생산관리지역</t>
        </is>
      </c>
      <c r="I1485" s="3" t="inlineStr">
        <is>
          <t>임야</t>
        </is>
      </c>
      <c r="J1485" s="3" t="inlineStr">
        <is>
          <t>오송읍</t>
        </is>
      </c>
    </row>
    <row r="1486">
      <c r="A1486" s="3" t="n">
        <v>2023</v>
      </c>
      <c r="B1486" s="4" t="n">
        <v>28303</v>
      </c>
      <c r="C1486" s="4" t="n">
        <v>514</v>
      </c>
      <c r="D1486" s="4" t="n">
        <v>155.485</v>
      </c>
      <c r="E1486" s="5" t="n">
        <v>182</v>
      </c>
      <c r="F1486" s="3" t="inlineStr">
        <is>
          <t>오송읍</t>
        </is>
      </c>
      <c r="G1486" s="3" t="inlineStr">
        <is>
          <t>정중리</t>
        </is>
      </c>
      <c r="H1486" s="3" t="inlineStr">
        <is>
          <t>생산관리지역</t>
        </is>
      </c>
      <c r="I1486" s="3" t="inlineStr">
        <is>
          <t>임야</t>
        </is>
      </c>
      <c r="J1486" s="3" t="inlineStr">
        <is>
          <t>오송읍</t>
        </is>
      </c>
    </row>
    <row r="1487">
      <c r="A1487" s="3" t="n">
        <v>2023</v>
      </c>
      <c r="B1487" s="4" t="n">
        <v>39152</v>
      </c>
      <c r="C1487" s="4" t="n">
        <v>600</v>
      </c>
      <c r="D1487" s="4" t="n">
        <v>181.5</v>
      </c>
      <c r="E1487" s="5" t="n">
        <v>215.7</v>
      </c>
      <c r="F1487" s="3" t="inlineStr">
        <is>
          <t>오송읍</t>
        </is>
      </c>
      <c r="G1487" s="3" t="inlineStr">
        <is>
          <t>정중리</t>
        </is>
      </c>
      <c r="H1487" s="3" t="inlineStr">
        <is>
          <t>생산관리지역</t>
        </is>
      </c>
      <c r="I1487" s="3" t="inlineStr">
        <is>
          <t>임야</t>
        </is>
      </c>
      <c r="J1487" s="3" t="inlineStr">
        <is>
          <t>오송읍</t>
        </is>
      </c>
    </row>
    <row r="1488">
      <c r="A1488" s="3" t="n">
        <v>2023</v>
      </c>
      <c r="B1488" s="4" t="n">
        <v>24070</v>
      </c>
      <c r="C1488" s="4" t="n">
        <v>351</v>
      </c>
      <c r="D1488" s="4" t="n">
        <v>106.1775</v>
      </c>
      <c r="E1488" s="5" t="n">
        <v>226.7</v>
      </c>
      <c r="F1488" s="3" t="inlineStr">
        <is>
          <t>오송읍</t>
        </is>
      </c>
      <c r="G1488" s="3" t="inlineStr">
        <is>
          <t>정중리</t>
        </is>
      </c>
      <c r="H1488" s="3" t="inlineStr">
        <is>
          <t>생산관리지역</t>
        </is>
      </c>
      <c r="I1488" s="3" t="inlineStr">
        <is>
          <t>임야</t>
        </is>
      </c>
      <c r="J1488" s="3" t="inlineStr">
        <is>
          <t>오송읍</t>
        </is>
      </c>
    </row>
    <row r="1489">
      <c r="A1489" s="3" t="n">
        <v>2023</v>
      </c>
      <c r="B1489" s="4" t="n">
        <v>5042</v>
      </c>
      <c r="C1489" s="4" t="n">
        <v>85</v>
      </c>
      <c r="D1489" s="4" t="n">
        <v>25.7125</v>
      </c>
      <c r="E1489" s="5" t="n">
        <v>196.1</v>
      </c>
      <c r="F1489" s="3" t="inlineStr">
        <is>
          <t>오송읍</t>
        </is>
      </c>
      <c r="G1489" s="3" t="inlineStr">
        <is>
          <t>정중리</t>
        </is>
      </c>
      <c r="H1489" s="3" t="inlineStr">
        <is>
          <t>계획관리지역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2023</v>
      </c>
      <c r="B1490" s="4" t="n">
        <v>1138</v>
      </c>
      <c r="C1490" s="4" t="n">
        <v>23</v>
      </c>
      <c r="D1490" s="4" t="n">
        <v>6.9575</v>
      </c>
      <c r="E1490" s="5" t="n">
        <v>163.6</v>
      </c>
      <c r="F1490" s="3" t="inlineStr">
        <is>
          <t>오송읍</t>
        </is>
      </c>
      <c r="G1490" s="3" t="inlineStr">
        <is>
          <t>정중리</t>
        </is>
      </c>
      <c r="H1490" s="3" t="inlineStr">
        <is>
          <t>생산관리지역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2026</v>
      </c>
      <c r="B1491" s="4" t="n">
        <v>93110</v>
      </c>
      <c r="C1491" s="4" t="n">
        <v>855</v>
      </c>
      <c r="D1491" s="4" t="n">
        <v>258.6375</v>
      </c>
      <c r="E1491" s="5" t="n">
        <v>360</v>
      </c>
      <c r="F1491" s="3" t="inlineStr">
        <is>
          <t>장군면</t>
        </is>
      </c>
      <c r="G1491" s="3" t="inlineStr">
        <is>
          <t>봉안리</t>
        </is>
      </c>
      <c r="H1491" s="3" t="inlineStr">
        <is>
          <t>계획관리지역</t>
        </is>
      </c>
      <c r="I1491" s="3" t="inlineStr">
        <is>
          <t>임야</t>
        </is>
      </c>
      <c r="J1491" s="3" t="inlineStr">
        <is>
          <t>장군면</t>
        </is>
      </c>
    </row>
    <row r="1492">
      <c r="A1492" s="3" t="n">
        <v>2026</v>
      </c>
      <c r="B1492" s="4" t="n">
        <v>37500</v>
      </c>
      <c r="C1492" s="4" t="n">
        <v>284.9</v>
      </c>
      <c r="D1492" s="4" t="n">
        <v>86.18225</v>
      </c>
      <c r="E1492" s="5" t="n">
        <v>435.1</v>
      </c>
      <c r="F1492" s="3" t="inlineStr">
        <is>
          <t>집현동</t>
        </is>
      </c>
      <c r="G1492" s="3" t="inlineStr"/>
      <c r="H1492" s="3" t="inlineStr">
        <is>
          <t>제1종전용주거지역</t>
        </is>
      </c>
      <c r="I1492" s="3" t="inlineStr">
        <is>
          <t>대</t>
        </is>
      </c>
      <c r="J1492" s="3" t="inlineStr">
        <is>
          <t>집현동</t>
        </is>
      </c>
    </row>
    <row r="1493">
      <c r="A1493" s="3" t="n">
        <v>2026</v>
      </c>
      <c r="B1493" s="4" t="n">
        <v>37500</v>
      </c>
      <c r="C1493" s="4" t="n">
        <v>781</v>
      </c>
      <c r="D1493" s="4" t="n">
        <v>236.2525</v>
      </c>
      <c r="E1493" s="5" t="n">
        <v>158.7</v>
      </c>
      <c r="F1493" s="3" t="inlineStr">
        <is>
          <t>장군면</t>
        </is>
      </c>
      <c r="G1493" s="3" t="inlineStr">
        <is>
          <t>금암리</t>
        </is>
      </c>
      <c r="H1493" s="3" t="inlineStr">
        <is>
          <t>생산관리지역</t>
        </is>
      </c>
      <c r="I1493" s="3" t="inlineStr">
        <is>
          <t>전</t>
        </is>
      </c>
      <c r="J1493" s="3" t="inlineStr">
        <is>
          <t>장군면</t>
        </is>
      </c>
    </row>
    <row r="1494">
      <c r="A1494" s="3" t="n">
        <v>2026</v>
      </c>
      <c r="B1494" s="4" t="n">
        <v>44086</v>
      </c>
      <c r="C1494" s="4" t="n">
        <v>4919</v>
      </c>
      <c r="D1494" s="4" t="n">
        <v>1487.9975</v>
      </c>
      <c r="E1494" s="5" t="n">
        <v>29.6</v>
      </c>
      <c r="F1494" s="3" t="inlineStr">
        <is>
          <t>전동면</t>
        </is>
      </c>
      <c r="G1494" s="3" t="inlineStr">
        <is>
          <t>송정리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전동면</t>
        </is>
      </c>
    </row>
    <row r="1495">
      <c r="A1495" s="3" t="n">
        <v>2026</v>
      </c>
      <c r="B1495" s="4" t="n">
        <v>7914</v>
      </c>
      <c r="C1495" s="4" t="n">
        <v>883</v>
      </c>
      <c r="D1495" s="4" t="n">
        <v>267.1075</v>
      </c>
      <c r="E1495" s="5" t="n">
        <v>29.6</v>
      </c>
      <c r="F1495" s="3" t="inlineStr">
        <is>
          <t>전동면</t>
        </is>
      </c>
      <c r="G1495" s="3" t="inlineStr">
        <is>
          <t>송정리</t>
        </is>
      </c>
      <c r="H1495" s="3" t="inlineStr">
        <is>
          <t>생산관리지역</t>
        </is>
      </c>
      <c r="I1495" s="3" t="inlineStr">
        <is>
          <t>답</t>
        </is>
      </c>
      <c r="J1495" s="3" t="inlineStr">
        <is>
          <t>전동면</t>
        </is>
      </c>
    </row>
    <row r="1496">
      <c r="A1496" s="3" t="n">
        <v>2026</v>
      </c>
      <c r="B1496" s="4" t="n">
        <v>7700</v>
      </c>
      <c r="C1496" s="4" t="n">
        <v>308</v>
      </c>
      <c r="D1496" s="4" t="n">
        <v>93.17</v>
      </c>
      <c r="E1496" s="5" t="n">
        <v>82.59999999999999</v>
      </c>
      <c r="F1496" s="3" t="inlineStr">
        <is>
          <t>장군면</t>
        </is>
      </c>
      <c r="G1496" s="3" t="inlineStr">
        <is>
          <t>용암리</t>
        </is>
      </c>
      <c r="H1496" s="3" t="inlineStr">
        <is>
          <t>보전관리지역</t>
        </is>
      </c>
      <c r="I1496" s="3" t="inlineStr">
        <is>
          <t>대</t>
        </is>
      </c>
      <c r="J1496" s="3" t="inlineStr">
        <is>
          <t>장군면</t>
        </is>
      </c>
    </row>
    <row r="1497">
      <c r="A1497" s="3" t="n">
        <v>2026</v>
      </c>
      <c r="B1497" s="4" t="n">
        <v>31100</v>
      </c>
      <c r="C1497" s="4" t="n">
        <v>1247</v>
      </c>
      <c r="D1497" s="4" t="n">
        <v>377.2175</v>
      </c>
      <c r="E1497" s="5" t="n">
        <v>82.40000000000001</v>
      </c>
      <c r="F1497" s="3" t="inlineStr">
        <is>
          <t>장군면</t>
        </is>
      </c>
      <c r="G1497" s="3" t="inlineStr">
        <is>
          <t>용암리</t>
        </is>
      </c>
      <c r="H1497" s="3" t="inlineStr">
        <is>
          <t>보전관리지역</t>
        </is>
      </c>
      <c r="I1497" s="3" t="inlineStr">
        <is>
          <t>대</t>
        </is>
      </c>
      <c r="J1497" s="3" t="inlineStr">
        <is>
          <t>장군면</t>
        </is>
      </c>
    </row>
    <row r="1498">
      <c r="A1498" s="3" t="n">
        <v>2026</v>
      </c>
      <c r="B1498" s="4" t="n">
        <v>15300</v>
      </c>
      <c r="C1498" s="4" t="n">
        <v>612</v>
      </c>
      <c r="D1498" s="4" t="n">
        <v>185.13</v>
      </c>
      <c r="E1498" s="5" t="n">
        <v>82.59999999999999</v>
      </c>
      <c r="F1498" s="3" t="inlineStr">
        <is>
          <t>장군면</t>
        </is>
      </c>
      <c r="G1498" s="3" t="inlineStr">
        <is>
          <t>용암리</t>
        </is>
      </c>
      <c r="H1498" s="3" t="inlineStr">
        <is>
          <t>보전관리지역</t>
        </is>
      </c>
      <c r="I1498" s="3" t="inlineStr">
        <is>
          <t>대</t>
        </is>
      </c>
      <c r="J1498" s="3" t="inlineStr">
        <is>
          <t>장군면</t>
        </is>
      </c>
    </row>
    <row r="1499">
      <c r="A1499" s="3" t="n">
        <v>2026</v>
      </c>
      <c r="B1499" s="4" t="n">
        <v>5561</v>
      </c>
      <c r="C1499" s="4" t="n">
        <v>233</v>
      </c>
      <c r="D1499" s="4" t="n">
        <v>70.4825</v>
      </c>
      <c r="E1499" s="5" t="n">
        <v>78.90000000000001</v>
      </c>
      <c r="F1499" s="3" t="inlineStr">
        <is>
          <t>부강면</t>
        </is>
      </c>
      <c r="G1499" s="3" t="inlineStr">
        <is>
          <t>문곡리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부강면</t>
        </is>
      </c>
    </row>
    <row r="1500">
      <c r="A1500" s="3" t="n">
        <v>2026</v>
      </c>
      <c r="B1500" s="4" t="n">
        <v>8353</v>
      </c>
      <c r="C1500" s="4" t="n">
        <v>350</v>
      </c>
      <c r="D1500" s="4" t="n">
        <v>105.875</v>
      </c>
      <c r="E1500" s="5" t="n">
        <v>78.90000000000001</v>
      </c>
      <c r="F1500" s="3" t="inlineStr">
        <is>
          <t>부강면</t>
        </is>
      </c>
      <c r="G1500" s="3" t="inlineStr">
        <is>
          <t>문곡리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부강면</t>
        </is>
      </c>
    </row>
    <row r="1501">
      <c r="A1501" s="3" t="n">
        <v>2026</v>
      </c>
      <c r="B1501" s="4" t="n">
        <v>15561</v>
      </c>
      <c r="C1501" s="4" t="n">
        <v>652</v>
      </c>
      <c r="D1501" s="4" t="n">
        <v>197.23</v>
      </c>
      <c r="E1501" s="5" t="n">
        <v>78.90000000000001</v>
      </c>
      <c r="F1501" s="3" t="inlineStr">
        <is>
          <t>부강면</t>
        </is>
      </c>
      <c r="G1501" s="3" t="inlineStr">
        <is>
          <t>문곡리</t>
        </is>
      </c>
      <c r="H1501" s="3" t="inlineStr">
        <is>
          <t>계획관리지역</t>
        </is>
      </c>
      <c r="I1501" s="3" t="inlineStr">
        <is>
          <t>전</t>
        </is>
      </c>
      <c r="J1501" s="3" t="inlineStr">
        <is>
          <t>부강면</t>
        </is>
      </c>
    </row>
    <row r="1502">
      <c r="A1502" s="3" t="n">
        <v>2026</v>
      </c>
      <c r="B1502" s="4" t="n">
        <v>525</v>
      </c>
      <c r="C1502" s="4" t="n">
        <v>22</v>
      </c>
      <c r="D1502" s="4" t="n">
        <v>6.654999999999999</v>
      </c>
      <c r="E1502" s="5" t="n">
        <v>78.90000000000001</v>
      </c>
      <c r="F1502" s="3" t="inlineStr">
        <is>
          <t>부강면</t>
        </is>
      </c>
      <c r="G1502" s="3" t="inlineStr">
        <is>
          <t>문곡리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부강면</t>
        </is>
      </c>
    </row>
    <row r="1503">
      <c r="A1503" s="3" t="n">
        <v>2026</v>
      </c>
      <c r="B1503" s="4" t="n">
        <v>55768</v>
      </c>
      <c r="C1503" s="4" t="n">
        <v>705</v>
      </c>
      <c r="D1503" s="4" t="n">
        <v>213.2625</v>
      </c>
      <c r="E1503" s="5" t="n">
        <v>261.5</v>
      </c>
      <c r="F1503" s="3" t="inlineStr">
        <is>
          <t>금남면</t>
        </is>
      </c>
      <c r="G1503" s="3" t="inlineStr">
        <is>
          <t>성덕리</t>
        </is>
      </c>
      <c r="H1503" s="3" t="inlineStr">
        <is>
          <t>보전관리지역</t>
        </is>
      </c>
      <c r="I1503" s="3" t="inlineStr">
        <is>
          <t>임야</t>
        </is>
      </c>
      <c r="J1503" s="3" t="inlineStr">
        <is>
          <t>금남면</t>
        </is>
      </c>
    </row>
    <row r="1504">
      <c r="A1504" s="3" t="n">
        <v>2023</v>
      </c>
      <c r="B1504" s="4" t="n">
        <v>48</v>
      </c>
      <c r="C1504" s="4" t="n">
        <v>1</v>
      </c>
      <c r="D1504" s="4" t="n">
        <v>0.3025</v>
      </c>
      <c r="E1504" s="5" t="n">
        <v>158.7</v>
      </c>
      <c r="F1504" s="3" t="inlineStr">
        <is>
          <t>오송읍</t>
        </is>
      </c>
      <c r="G1504" s="3" t="inlineStr">
        <is>
          <t>정중리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2025</v>
      </c>
      <c r="B1505" s="4" t="n">
        <v>17000</v>
      </c>
      <c r="C1505" s="4" t="n">
        <v>1036</v>
      </c>
      <c r="D1505" s="4" t="n">
        <v>313.39</v>
      </c>
      <c r="E1505" s="5" t="n">
        <v>54.2</v>
      </c>
      <c r="F1505" s="3" t="inlineStr">
        <is>
          <t>전동면</t>
        </is>
      </c>
      <c r="G1505" s="3" t="inlineStr">
        <is>
          <t>송곡리</t>
        </is>
      </c>
      <c r="H1505" s="3" t="inlineStr">
        <is>
          <t>생산관리지역</t>
        </is>
      </c>
      <c r="I1505" s="3" t="inlineStr">
        <is>
          <t>답</t>
        </is>
      </c>
      <c r="J1505" s="3" t="inlineStr">
        <is>
          <t>전동면</t>
        </is>
      </c>
    </row>
    <row r="1506">
      <c r="A1506" s="3" t="n">
        <v>2025</v>
      </c>
      <c r="B1506" s="4" t="n">
        <v>33000</v>
      </c>
      <c r="C1506" s="4" t="n">
        <v>1993</v>
      </c>
      <c r="D1506" s="4" t="n">
        <v>602.8824999999999</v>
      </c>
      <c r="E1506" s="5" t="n">
        <v>54.7</v>
      </c>
      <c r="F1506" s="3" t="inlineStr">
        <is>
          <t>전동면</t>
        </is>
      </c>
      <c r="G1506" s="3" t="inlineStr">
        <is>
          <t>송곡리</t>
        </is>
      </c>
      <c r="H1506" s="3" t="inlineStr">
        <is>
          <t>생산관리지역</t>
        </is>
      </c>
      <c r="I1506" s="3" t="inlineStr">
        <is>
          <t>과수원</t>
        </is>
      </c>
      <c r="J1506" s="3" t="inlineStr">
        <is>
          <t>전동면</t>
        </is>
      </c>
    </row>
    <row r="1507">
      <c r="A1507" s="3" t="n">
        <v>2025</v>
      </c>
      <c r="B1507" s="4" t="n">
        <v>12000</v>
      </c>
      <c r="C1507" s="4" t="n">
        <v>731</v>
      </c>
      <c r="D1507" s="4" t="n">
        <v>221.1275</v>
      </c>
      <c r="E1507" s="5" t="n">
        <v>54.3</v>
      </c>
      <c r="F1507" s="3" t="inlineStr">
        <is>
          <t>전동면</t>
        </is>
      </c>
      <c r="G1507" s="3" t="inlineStr">
        <is>
          <t>송곡리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전동면</t>
        </is>
      </c>
    </row>
    <row r="1508">
      <c r="A1508" s="3" t="n">
        <v>2025</v>
      </c>
      <c r="B1508" s="4" t="n">
        <v>6000</v>
      </c>
      <c r="C1508" s="4" t="n">
        <v>397</v>
      </c>
      <c r="D1508" s="4" t="n">
        <v>120.0925</v>
      </c>
      <c r="E1508" s="5" t="n">
        <v>50</v>
      </c>
      <c r="F1508" s="3" t="inlineStr">
        <is>
          <t>전동면</t>
        </is>
      </c>
      <c r="G1508" s="3" t="inlineStr">
        <is>
          <t>송곡리</t>
        </is>
      </c>
      <c r="H1508" s="3" t="inlineStr">
        <is>
          <t>생산관리지역</t>
        </is>
      </c>
      <c r="I1508" s="3" t="inlineStr">
        <is>
          <t>과수원</t>
        </is>
      </c>
      <c r="J1508" s="3" t="inlineStr">
        <is>
          <t>전동면</t>
        </is>
      </c>
    </row>
    <row r="1509">
      <c r="A1509" s="3" t="n">
        <v>2025</v>
      </c>
      <c r="B1509" s="4" t="n">
        <v>10000</v>
      </c>
      <c r="C1509" s="4" t="n">
        <v>612</v>
      </c>
      <c r="D1509" s="4" t="n">
        <v>185.13</v>
      </c>
      <c r="E1509" s="5" t="n">
        <v>54</v>
      </c>
      <c r="F1509" s="3" t="inlineStr">
        <is>
          <t>전동면</t>
        </is>
      </c>
      <c r="G1509" s="3" t="inlineStr">
        <is>
          <t>송곡리</t>
        </is>
      </c>
      <c r="H1509" s="3" t="inlineStr">
        <is>
          <t>생산관리지역</t>
        </is>
      </c>
      <c r="I1509" s="3" t="inlineStr">
        <is>
          <t>과수원</t>
        </is>
      </c>
      <c r="J1509" s="3" t="inlineStr">
        <is>
          <t>전동면</t>
        </is>
      </c>
    </row>
    <row r="1510">
      <c r="A1510" s="3" t="n">
        <v>2025</v>
      </c>
      <c r="B1510" s="4" t="n">
        <v>54300</v>
      </c>
      <c r="C1510" s="4" t="n">
        <v>3183</v>
      </c>
      <c r="D1510" s="4" t="n">
        <v>962.8575</v>
      </c>
      <c r="E1510" s="5" t="n">
        <v>56.4</v>
      </c>
      <c r="F1510" s="3" t="inlineStr">
        <is>
          <t>전동면</t>
        </is>
      </c>
      <c r="G1510" s="3" t="inlineStr">
        <is>
          <t>송곡리</t>
        </is>
      </c>
      <c r="H1510" s="3" t="inlineStr">
        <is>
          <t>생산관리지역</t>
        </is>
      </c>
      <c r="I1510" s="3" t="inlineStr">
        <is>
          <t>과수원</t>
        </is>
      </c>
      <c r="J1510" s="3" t="inlineStr">
        <is>
          <t>전동면</t>
        </is>
      </c>
    </row>
    <row r="1511">
      <c r="A1511" s="3" t="n">
        <v>2025</v>
      </c>
      <c r="B1511" s="4" t="n">
        <v>1500</v>
      </c>
      <c r="C1511" s="4" t="n">
        <v>165</v>
      </c>
      <c r="D1511" s="4" t="n">
        <v>49.9125</v>
      </c>
      <c r="E1511" s="5" t="n">
        <v>30.1</v>
      </c>
      <c r="F1511" s="3" t="inlineStr">
        <is>
          <t>연서면</t>
        </is>
      </c>
      <c r="G1511" s="3" t="inlineStr">
        <is>
          <t>고복리</t>
        </is>
      </c>
      <c r="H1511" s="3" t="inlineStr">
        <is>
          <t>생산관리지역</t>
        </is>
      </c>
      <c r="I1511" s="3" t="inlineStr">
        <is>
          <t>전</t>
        </is>
      </c>
      <c r="J1511" s="3" t="inlineStr">
        <is>
          <t>연서면</t>
        </is>
      </c>
    </row>
    <row r="1512">
      <c r="A1512" s="3" t="n">
        <v>2025</v>
      </c>
      <c r="B1512" s="4" t="n">
        <v>1500</v>
      </c>
      <c r="C1512" s="4" t="n">
        <v>165</v>
      </c>
      <c r="D1512" s="4" t="n">
        <v>49.9125</v>
      </c>
      <c r="E1512" s="5" t="n">
        <v>30.1</v>
      </c>
      <c r="F1512" s="3" t="inlineStr">
        <is>
          <t>연서면</t>
        </is>
      </c>
      <c r="G1512" s="3" t="inlineStr">
        <is>
          <t>고복리</t>
        </is>
      </c>
      <c r="H1512" s="3" t="inlineStr">
        <is>
          <t>생산관리지역</t>
        </is>
      </c>
      <c r="I1512" s="3" t="inlineStr">
        <is>
          <t>과수원</t>
        </is>
      </c>
      <c r="J1512" s="3" t="inlineStr">
        <is>
          <t>연서면</t>
        </is>
      </c>
    </row>
    <row r="1513">
      <c r="A1513" s="3" t="n">
        <v>2025</v>
      </c>
      <c r="B1513" s="4" t="n">
        <v>17230</v>
      </c>
      <c r="C1513" s="4" t="n">
        <v>1036</v>
      </c>
      <c r="D1513" s="4" t="n">
        <v>313.39</v>
      </c>
      <c r="E1513" s="5" t="n">
        <v>55</v>
      </c>
      <c r="F1513" s="3" t="inlineStr">
        <is>
          <t>전동면</t>
        </is>
      </c>
      <c r="G1513" s="3" t="inlineStr">
        <is>
          <t>송곡리</t>
        </is>
      </c>
      <c r="H1513" s="3" t="inlineStr">
        <is>
          <t>생산관리지역</t>
        </is>
      </c>
      <c r="I1513" s="3" t="inlineStr">
        <is>
          <t>답</t>
        </is>
      </c>
      <c r="J1513" s="3" t="inlineStr">
        <is>
          <t>전동면</t>
        </is>
      </c>
    </row>
    <row r="1514">
      <c r="A1514" s="3" t="n">
        <v>2025</v>
      </c>
      <c r="B1514" s="4" t="n">
        <v>52980</v>
      </c>
      <c r="C1514" s="4" t="n">
        <v>3183</v>
      </c>
      <c r="D1514" s="4" t="n">
        <v>962.8575</v>
      </c>
      <c r="E1514" s="5" t="n">
        <v>55</v>
      </c>
      <c r="F1514" s="3" t="inlineStr">
        <is>
          <t>전동면</t>
        </is>
      </c>
      <c r="G1514" s="3" t="inlineStr">
        <is>
          <t>송곡리</t>
        </is>
      </c>
      <c r="H1514" s="3" t="inlineStr">
        <is>
          <t>생산관리지역</t>
        </is>
      </c>
      <c r="I1514" s="3" t="inlineStr">
        <is>
          <t>과수원</t>
        </is>
      </c>
      <c r="J1514" s="3" t="inlineStr">
        <is>
          <t>전동면</t>
        </is>
      </c>
    </row>
    <row r="1515">
      <c r="A1515" s="3" t="n">
        <v>2025</v>
      </c>
      <c r="B1515" s="4" t="n">
        <v>10180</v>
      </c>
      <c r="C1515" s="4" t="n">
        <v>612</v>
      </c>
      <c r="D1515" s="4" t="n">
        <v>185.13</v>
      </c>
      <c r="E1515" s="5" t="n">
        <v>55</v>
      </c>
      <c r="F1515" s="3" t="inlineStr">
        <is>
          <t>전동면</t>
        </is>
      </c>
      <c r="G1515" s="3" t="inlineStr">
        <is>
          <t>송곡리</t>
        </is>
      </c>
      <c r="H1515" s="3" t="inlineStr">
        <is>
          <t>생산관리지역</t>
        </is>
      </c>
      <c r="I1515" s="3" t="inlineStr">
        <is>
          <t>과수원</t>
        </is>
      </c>
      <c r="J1515" s="3" t="inlineStr">
        <is>
          <t>전동면</t>
        </is>
      </c>
    </row>
    <row r="1516">
      <c r="A1516" s="3" t="n">
        <v>2025</v>
      </c>
      <c r="B1516" s="4" t="n">
        <v>6600</v>
      </c>
      <c r="C1516" s="4" t="n">
        <v>397</v>
      </c>
      <c r="D1516" s="4" t="n">
        <v>120.0925</v>
      </c>
      <c r="E1516" s="5" t="n">
        <v>55</v>
      </c>
      <c r="F1516" s="3" t="inlineStr">
        <is>
          <t>전동면</t>
        </is>
      </c>
      <c r="G1516" s="3" t="inlineStr">
        <is>
          <t>송곡리</t>
        </is>
      </c>
      <c r="H1516" s="3" t="inlineStr">
        <is>
          <t>생산관리지역</t>
        </is>
      </c>
      <c r="I1516" s="3" t="inlineStr">
        <is>
          <t>과수원</t>
        </is>
      </c>
      <c r="J1516" s="3" t="inlineStr">
        <is>
          <t>전동면</t>
        </is>
      </c>
    </row>
    <row r="1517">
      <c r="A1517" s="3" t="n">
        <v>2025</v>
      </c>
      <c r="B1517" s="4" t="n">
        <v>12160</v>
      </c>
      <c r="C1517" s="4" t="n">
        <v>731</v>
      </c>
      <c r="D1517" s="4" t="n">
        <v>221.1275</v>
      </c>
      <c r="E1517" s="5" t="n">
        <v>55</v>
      </c>
      <c r="F1517" s="3" t="inlineStr">
        <is>
          <t>전동면</t>
        </is>
      </c>
      <c r="G1517" s="3" t="inlineStr">
        <is>
          <t>송곡리</t>
        </is>
      </c>
      <c r="H1517" s="3" t="inlineStr">
        <is>
          <t>생산관리지역</t>
        </is>
      </c>
      <c r="I1517" s="3" t="inlineStr">
        <is>
          <t>답</t>
        </is>
      </c>
      <c r="J1517" s="3" t="inlineStr">
        <is>
          <t>전동면</t>
        </is>
      </c>
    </row>
    <row r="1518">
      <c r="A1518" s="3" t="n">
        <v>2025</v>
      </c>
      <c r="B1518" s="4" t="n">
        <v>33150</v>
      </c>
      <c r="C1518" s="4" t="n">
        <v>1993</v>
      </c>
      <c r="D1518" s="4" t="n">
        <v>602.8824999999999</v>
      </c>
      <c r="E1518" s="5" t="n">
        <v>55</v>
      </c>
      <c r="F1518" s="3" t="inlineStr">
        <is>
          <t>전동면</t>
        </is>
      </c>
      <c r="G1518" s="3" t="inlineStr">
        <is>
          <t>송곡리</t>
        </is>
      </c>
      <c r="H1518" s="3" t="inlineStr">
        <is>
          <t>생산관리지역</t>
        </is>
      </c>
      <c r="I1518" s="3" t="inlineStr">
        <is>
          <t>과수원</t>
        </is>
      </c>
      <c r="J1518" s="3" t="inlineStr">
        <is>
          <t>전동면</t>
        </is>
      </c>
    </row>
    <row r="1519">
      <c r="A1519" s="3" t="n">
        <v>2025</v>
      </c>
      <c r="B1519" s="4" t="n">
        <v>6000</v>
      </c>
      <c r="C1519" s="4" t="n">
        <v>2182</v>
      </c>
      <c r="D1519" s="4" t="n">
        <v>660.0549999999999</v>
      </c>
      <c r="E1519" s="5" t="n">
        <v>9.1</v>
      </c>
      <c r="F1519" s="3" t="inlineStr">
        <is>
          <t>전의면</t>
        </is>
      </c>
      <c r="G1519" s="3" t="inlineStr">
        <is>
          <t>읍내리</t>
        </is>
      </c>
      <c r="H1519" s="3" t="inlineStr">
        <is>
          <t>자연녹지지역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2025</v>
      </c>
      <c r="B1520" s="4" t="n">
        <v>3500</v>
      </c>
      <c r="C1520" s="4" t="n">
        <v>166</v>
      </c>
      <c r="D1520" s="4" t="n">
        <v>50.215</v>
      </c>
      <c r="E1520" s="5" t="n">
        <v>69.7</v>
      </c>
      <c r="F1520" s="3" t="inlineStr">
        <is>
          <t>전동면</t>
        </is>
      </c>
      <c r="G1520" s="3" t="inlineStr">
        <is>
          <t>송곡리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전동면</t>
        </is>
      </c>
    </row>
    <row r="1521">
      <c r="A1521" s="3" t="n">
        <v>2025</v>
      </c>
      <c r="B1521" s="4" t="n">
        <v>14605</v>
      </c>
      <c r="C1521" s="4" t="n">
        <v>1141</v>
      </c>
      <c r="D1521" s="4" t="n">
        <v>345.1525</v>
      </c>
      <c r="E1521" s="5" t="n">
        <v>42.3</v>
      </c>
      <c r="F1521" s="3" t="inlineStr">
        <is>
          <t>전의면</t>
        </is>
      </c>
      <c r="G1521" s="3" t="inlineStr">
        <is>
          <t>동교리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전의면</t>
        </is>
      </c>
    </row>
    <row r="1522">
      <c r="A1522" s="3" t="n">
        <v>2025</v>
      </c>
      <c r="B1522" s="4" t="n">
        <v>5280</v>
      </c>
      <c r="C1522" s="4" t="n">
        <v>88</v>
      </c>
      <c r="D1522" s="4" t="n">
        <v>26.62</v>
      </c>
      <c r="E1522" s="5" t="n">
        <v>198.3</v>
      </c>
      <c r="F1522" s="3" t="inlineStr">
        <is>
          <t>연서면</t>
        </is>
      </c>
      <c r="G1522" s="3" t="inlineStr">
        <is>
          <t>쌍전리</t>
        </is>
      </c>
      <c r="H1522" s="3" t="inlineStr">
        <is>
          <t>자연녹지지역</t>
        </is>
      </c>
      <c r="I1522" s="3" t="inlineStr">
        <is>
          <t>잡종지</t>
        </is>
      </c>
      <c r="J1522" s="3" t="inlineStr">
        <is>
          <t>연서면</t>
        </is>
      </c>
    </row>
    <row r="1523">
      <c r="A1523" s="3" t="n">
        <v>2025</v>
      </c>
      <c r="B1523" s="4" t="n">
        <v>4720</v>
      </c>
      <c r="C1523" s="4" t="n">
        <v>78</v>
      </c>
      <c r="D1523" s="4" t="n">
        <v>23.595</v>
      </c>
      <c r="E1523" s="5" t="n">
        <v>200</v>
      </c>
      <c r="F1523" s="3" t="inlineStr">
        <is>
          <t>연서면</t>
        </is>
      </c>
      <c r="G1523" s="3" t="inlineStr">
        <is>
          <t>쌍전리</t>
        </is>
      </c>
      <c r="H1523" s="3" t="inlineStr">
        <is>
          <t>자연녹지지역</t>
        </is>
      </c>
      <c r="I1523" s="3" t="inlineStr">
        <is>
          <t>잡종지</t>
        </is>
      </c>
      <c r="J1523" s="3" t="inlineStr">
        <is>
          <t>연서면</t>
        </is>
      </c>
    </row>
    <row r="1524">
      <c r="A1524" s="3" t="n">
        <v>2025</v>
      </c>
      <c r="B1524" s="4" t="n">
        <v>2783</v>
      </c>
      <c r="C1524" s="4" t="n">
        <v>46</v>
      </c>
      <c r="D1524" s="4" t="n">
        <v>13.915</v>
      </c>
      <c r="E1524" s="5" t="n">
        <v>200</v>
      </c>
      <c r="F1524" s="3" t="inlineStr">
        <is>
          <t>금남면</t>
        </is>
      </c>
      <c r="G1524" s="3" t="inlineStr">
        <is>
          <t>축산리</t>
        </is>
      </c>
      <c r="H1524" s="3" t="inlineStr">
        <is>
          <t>개발제한구역</t>
        </is>
      </c>
      <c r="I1524" s="3" t="inlineStr">
        <is>
          <t>답</t>
        </is>
      </c>
      <c r="J1524" s="3" t="inlineStr">
        <is>
          <t>금남면</t>
        </is>
      </c>
    </row>
    <row r="1525">
      <c r="A1525" s="3" t="n">
        <v>2025</v>
      </c>
      <c r="B1525" s="4" t="n">
        <v>16100</v>
      </c>
      <c r="C1525" s="4" t="n">
        <v>2420</v>
      </c>
      <c r="D1525" s="4" t="n">
        <v>732.05</v>
      </c>
      <c r="E1525" s="5" t="n">
        <v>22</v>
      </c>
      <c r="F1525" s="3" t="inlineStr">
        <is>
          <t>전의면</t>
        </is>
      </c>
      <c r="G1525" s="3" t="inlineStr">
        <is>
          <t>금사리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전의면</t>
        </is>
      </c>
    </row>
    <row r="1526">
      <c r="A1526" s="3" t="n">
        <v>2025</v>
      </c>
      <c r="B1526" s="4" t="n">
        <v>5500</v>
      </c>
      <c r="C1526" s="4" t="n">
        <v>76</v>
      </c>
      <c r="D1526" s="4" t="n">
        <v>22.99</v>
      </c>
      <c r="E1526" s="5" t="n">
        <v>239.2</v>
      </c>
      <c r="F1526" s="3" t="inlineStr">
        <is>
          <t>연기면</t>
        </is>
      </c>
      <c r="G1526" s="3" t="inlineStr">
        <is>
          <t>연기리</t>
        </is>
      </c>
      <c r="H1526" s="3" t="inlineStr">
        <is>
          <t>계획관리지역</t>
        </is>
      </c>
      <c r="I1526" s="3" t="inlineStr">
        <is>
          <t>과수원</t>
        </is>
      </c>
      <c r="J1526" s="3" t="inlineStr">
        <is>
          <t>연기면</t>
        </is>
      </c>
    </row>
    <row r="1527">
      <c r="A1527" s="3" t="n">
        <v>2025</v>
      </c>
      <c r="B1527" s="4" t="n">
        <v>13700</v>
      </c>
      <c r="C1527" s="4" t="n">
        <v>1372</v>
      </c>
      <c r="D1527" s="4" t="n">
        <v>415.03</v>
      </c>
      <c r="E1527" s="5" t="n">
        <v>33</v>
      </c>
      <c r="F1527" s="3" t="inlineStr">
        <is>
          <t>연서면</t>
        </is>
      </c>
      <c r="G1527" s="3" t="inlineStr">
        <is>
          <t>기룡리</t>
        </is>
      </c>
      <c r="H1527" s="3" t="inlineStr">
        <is>
          <t>생산관리지역</t>
        </is>
      </c>
      <c r="I1527" s="3" t="inlineStr">
        <is>
          <t>전</t>
        </is>
      </c>
      <c r="J1527" s="3" t="inlineStr">
        <is>
          <t>연서면</t>
        </is>
      </c>
    </row>
    <row r="1528">
      <c r="A1528" s="3" t="n">
        <v>2025</v>
      </c>
      <c r="B1528" s="4" t="n">
        <v>7800</v>
      </c>
      <c r="C1528" s="4" t="n">
        <v>783</v>
      </c>
      <c r="D1528" s="4" t="n">
        <v>236.8575</v>
      </c>
      <c r="E1528" s="5" t="n">
        <v>32.9</v>
      </c>
      <c r="F1528" s="3" t="inlineStr">
        <is>
          <t>연서면</t>
        </is>
      </c>
      <c r="G1528" s="3" t="inlineStr">
        <is>
          <t>기룡리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연서면</t>
        </is>
      </c>
    </row>
    <row r="1529">
      <c r="A1529" s="3" t="n">
        <v>2022</v>
      </c>
      <c r="B1529" s="4" t="n">
        <v>10750</v>
      </c>
      <c r="C1529" s="4" t="n">
        <v>825</v>
      </c>
      <c r="D1529" s="4" t="n">
        <v>249.5625</v>
      </c>
      <c r="E1529" s="5" t="n">
        <v>43.1</v>
      </c>
      <c r="F1529" s="3" t="inlineStr">
        <is>
          <t>현도면</t>
        </is>
      </c>
      <c r="G1529" s="3" t="inlineStr">
        <is>
          <t>달계리</t>
        </is>
      </c>
      <c r="H1529" s="3" t="inlineStr">
        <is>
          <t>자연녹지지역</t>
        </is>
      </c>
      <c r="I1529" s="3" t="inlineStr">
        <is>
          <t>임야</t>
        </is>
      </c>
      <c r="J1529" s="3" t="inlineStr">
        <is>
          <t>현도면</t>
        </is>
      </c>
    </row>
    <row r="1530">
      <c r="A1530" s="3" t="n">
        <v>2022</v>
      </c>
      <c r="B1530" s="4" t="n">
        <v>10750</v>
      </c>
      <c r="C1530" s="4" t="n">
        <v>824</v>
      </c>
      <c r="D1530" s="4" t="n">
        <v>249.26</v>
      </c>
      <c r="E1530" s="5" t="n">
        <v>43.1</v>
      </c>
      <c r="F1530" s="3" t="inlineStr">
        <is>
          <t>현도면</t>
        </is>
      </c>
      <c r="G1530" s="3" t="inlineStr">
        <is>
          <t>달계리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현도면</t>
        </is>
      </c>
    </row>
    <row r="1531">
      <c r="A1531" s="3" t="n">
        <v>2022</v>
      </c>
      <c r="B1531" s="4" t="n">
        <v>7000</v>
      </c>
      <c r="C1531" s="4" t="n">
        <v>598</v>
      </c>
      <c r="D1531" s="4" t="n">
        <v>180.895</v>
      </c>
      <c r="E1531" s="5" t="n">
        <v>38.7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자연환경보전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2022</v>
      </c>
      <c r="B1532" s="4" t="n">
        <v>32100</v>
      </c>
      <c r="C1532" s="4" t="n">
        <v>1322</v>
      </c>
      <c r="D1532" s="4" t="n">
        <v>399.905</v>
      </c>
      <c r="E1532" s="5" t="n">
        <v>80.3</v>
      </c>
      <c r="F1532" s="3" t="inlineStr">
        <is>
          <t>남이면</t>
        </is>
      </c>
      <c r="G1532" s="3" t="inlineStr">
        <is>
          <t>구암리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25780</v>
      </c>
      <c r="C1533" s="4" t="n">
        <v>1942</v>
      </c>
      <c r="D1533" s="4" t="n">
        <v>587.4549999999999</v>
      </c>
      <c r="E1533" s="5" t="n">
        <v>43.9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25307</v>
      </c>
      <c r="C1534" s="4" t="n">
        <v>1059</v>
      </c>
      <c r="D1534" s="4" t="n">
        <v>320.3475</v>
      </c>
      <c r="E1534" s="5" t="n">
        <v>79</v>
      </c>
      <c r="F1534" s="3" t="inlineStr">
        <is>
          <t>남이면</t>
        </is>
      </c>
      <c r="G1534" s="3" t="inlineStr">
        <is>
          <t>사동리</t>
        </is>
      </c>
      <c r="H1534" s="3" t="inlineStr">
        <is>
          <t>생산관리지역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17397</v>
      </c>
      <c r="C1535" s="4" t="n">
        <v>728</v>
      </c>
      <c r="D1535" s="4" t="n">
        <v>220.22</v>
      </c>
      <c r="E1535" s="5" t="n">
        <v>79</v>
      </c>
      <c r="F1535" s="3" t="inlineStr">
        <is>
          <t>남이면</t>
        </is>
      </c>
      <c r="G1535" s="3" t="inlineStr">
        <is>
          <t>사동리</t>
        </is>
      </c>
      <c r="H1535" s="3" t="inlineStr">
        <is>
          <t>생산관리지역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17804</v>
      </c>
      <c r="C1536" s="4" t="n">
        <v>745</v>
      </c>
      <c r="D1536" s="4" t="n">
        <v>225.3625</v>
      </c>
      <c r="E1536" s="5" t="n">
        <v>79</v>
      </c>
      <c r="F1536" s="3" t="inlineStr">
        <is>
          <t>남이면</t>
        </is>
      </c>
      <c r="G1536" s="3" t="inlineStr">
        <is>
          <t>사동리</t>
        </is>
      </c>
      <c r="H1536" s="3" t="inlineStr">
        <is>
          <t>생산관리지역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34700</v>
      </c>
      <c r="C1537" s="4" t="n">
        <v>2549</v>
      </c>
      <c r="D1537" s="4" t="n">
        <v>771.0725</v>
      </c>
      <c r="E1537" s="5" t="n">
        <v>45</v>
      </c>
      <c r="F1537" s="3" t="inlineStr">
        <is>
          <t>남이면</t>
        </is>
      </c>
      <c r="G1537" s="3" t="inlineStr">
        <is>
          <t>갈원리</t>
        </is>
      </c>
      <c r="H1537" s="3" t="inlineStr">
        <is>
          <t>농림지역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2022</v>
      </c>
      <c r="B1538" s="4" t="n">
        <v>13000</v>
      </c>
      <c r="C1538" s="4" t="n">
        <v>621</v>
      </c>
      <c r="D1538" s="4" t="n">
        <v>187.8525</v>
      </c>
      <c r="E1538" s="5" t="n">
        <v>69.2</v>
      </c>
      <c r="F1538" s="3" t="inlineStr">
        <is>
          <t>현도면</t>
        </is>
      </c>
      <c r="G1538" s="3" t="inlineStr">
        <is>
          <t>우록리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현도면</t>
        </is>
      </c>
    </row>
    <row r="1539">
      <c r="A1539" s="3" t="n">
        <v>2022</v>
      </c>
      <c r="B1539" s="4" t="n">
        <v>14300</v>
      </c>
      <c r="C1539" s="4" t="n">
        <v>674</v>
      </c>
      <c r="D1539" s="4" t="n">
        <v>203.885</v>
      </c>
      <c r="E1539" s="5" t="n">
        <v>70.09999999999999</v>
      </c>
      <c r="F1539" s="3" t="inlineStr">
        <is>
          <t>현도면</t>
        </is>
      </c>
      <c r="G1539" s="3" t="inlineStr">
        <is>
          <t>우록리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현도면</t>
        </is>
      </c>
    </row>
    <row r="1540">
      <c r="A1540" s="3" t="n">
        <v>2022</v>
      </c>
      <c r="B1540" s="4" t="n">
        <v>6500</v>
      </c>
      <c r="C1540" s="4" t="n">
        <v>304</v>
      </c>
      <c r="D1540" s="4" t="n">
        <v>91.95999999999999</v>
      </c>
      <c r="E1540" s="5" t="n">
        <v>70.7</v>
      </c>
      <c r="F1540" s="3" t="inlineStr">
        <is>
          <t>현도면</t>
        </is>
      </c>
      <c r="G1540" s="3" t="inlineStr">
        <is>
          <t>우록리</t>
        </is>
      </c>
      <c r="H1540" s="3" t="inlineStr">
        <is>
          <t>계획관리지역</t>
        </is>
      </c>
      <c r="I1540" s="3" t="inlineStr">
        <is>
          <t>대</t>
        </is>
      </c>
      <c r="J1540" s="3" t="inlineStr">
        <is>
          <t>현도면</t>
        </is>
      </c>
    </row>
    <row r="1541">
      <c r="A1541" s="3" t="n">
        <v>2022</v>
      </c>
      <c r="B1541" s="4" t="n">
        <v>200</v>
      </c>
      <c r="C1541" s="4" t="n">
        <v>22.4</v>
      </c>
      <c r="D1541" s="4" t="n">
        <v>6.776</v>
      </c>
      <c r="E1541" s="5" t="n">
        <v>29.5</v>
      </c>
      <c r="F1541" s="3" t="inlineStr">
        <is>
          <t>현도면</t>
        </is>
      </c>
      <c r="G1541" s="3" t="inlineStr">
        <is>
          <t>우록리</t>
        </is>
      </c>
      <c r="H1541" s="3" t="inlineStr">
        <is>
          <t>계획관리지역</t>
        </is>
      </c>
      <c r="I1541" s="3" t="inlineStr">
        <is>
          <t>도로</t>
        </is>
      </c>
      <c r="J1541" s="3" t="inlineStr">
        <is>
          <t>현도면</t>
        </is>
      </c>
    </row>
    <row r="1542">
      <c r="A1542" s="3" t="n">
        <v>2022</v>
      </c>
      <c r="B1542" s="4" t="n">
        <v>20500</v>
      </c>
      <c r="C1542" s="4" t="n">
        <v>1383</v>
      </c>
      <c r="D1542" s="4" t="n">
        <v>418.3575</v>
      </c>
      <c r="E1542" s="5" t="n">
        <v>49</v>
      </c>
      <c r="F1542" s="3" t="inlineStr">
        <is>
          <t>남이면</t>
        </is>
      </c>
      <c r="G1542" s="3" t="inlineStr">
        <is>
          <t>구미리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74400</v>
      </c>
      <c r="C1543" s="4" t="n">
        <v>1537</v>
      </c>
      <c r="D1543" s="4" t="n">
        <v>464.9425</v>
      </c>
      <c r="E1543" s="5" t="n">
        <v>160</v>
      </c>
      <c r="F1543" s="3" t="inlineStr">
        <is>
          <t>남이면</t>
        </is>
      </c>
      <c r="G1543" s="3" t="inlineStr">
        <is>
          <t>양촌리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18240</v>
      </c>
      <c r="C1544" s="4" t="n">
        <v>378</v>
      </c>
      <c r="D1544" s="4" t="n">
        <v>114.345</v>
      </c>
      <c r="E1544" s="5" t="n">
        <v>159.5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21700</v>
      </c>
      <c r="C1545" s="4" t="n">
        <v>1542</v>
      </c>
      <c r="D1545" s="4" t="n">
        <v>466.455</v>
      </c>
      <c r="E1545" s="5" t="n">
        <v>46.5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공장용지</t>
        </is>
      </c>
      <c r="J1545" s="3" t="inlineStr">
        <is>
          <t>남이면</t>
        </is>
      </c>
    </row>
    <row r="1546">
      <c r="A1546" s="3" t="n">
        <v>2022</v>
      </c>
      <c r="B1546" s="4" t="n">
        <v>13500</v>
      </c>
      <c r="C1546" s="4" t="n">
        <v>1703</v>
      </c>
      <c r="D1546" s="4" t="n">
        <v>515.1575</v>
      </c>
      <c r="E1546" s="5" t="n">
        <v>26.2</v>
      </c>
      <c r="F1546" s="3" t="inlineStr">
        <is>
          <t>현도면</t>
        </is>
      </c>
      <c r="G1546" s="3" t="inlineStr">
        <is>
          <t>중척리</t>
        </is>
      </c>
      <c r="H1546" s="3" t="inlineStr">
        <is>
          <t>개발제한구역</t>
        </is>
      </c>
      <c r="I1546" s="3" t="inlineStr">
        <is>
          <t>전</t>
        </is>
      </c>
      <c r="J1546" s="3" t="inlineStr">
        <is>
          <t>현도면</t>
        </is>
      </c>
    </row>
    <row r="1547">
      <c r="A1547" s="3" t="n">
        <v>2022</v>
      </c>
      <c r="B1547" s="4" t="n">
        <v>4000</v>
      </c>
      <c r="C1547" s="4" t="n">
        <v>468</v>
      </c>
      <c r="D1547" s="4" t="n">
        <v>141.57</v>
      </c>
      <c r="E1547" s="5" t="n">
        <v>28.3</v>
      </c>
      <c r="F1547" s="3" t="inlineStr">
        <is>
          <t>현도면</t>
        </is>
      </c>
      <c r="G1547" s="3" t="inlineStr">
        <is>
          <t>중척리</t>
        </is>
      </c>
      <c r="H1547" s="3" t="inlineStr">
        <is>
          <t>개발제한구역</t>
        </is>
      </c>
      <c r="I1547" s="3" t="inlineStr">
        <is>
          <t>전</t>
        </is>
      </c>
      <c r="J1547" s="3" t="inlineStr">
        <is>
          <t>현도면</t>
        </is>
      </c>
    </row>
    <row r="1548">
      <c r="A1548" s="3" t="n">
        <v>2022</v>
      </c>
      <c r="B1548" s="4" t="n">
        <v>500</v>
      </c>
      <c r="C1548" s="4" t="n">
        <v>61</v>
      </c>
      <c r="D1548" s="4" t="n">
        <v>18.4525</v>
      </c>
      <c r="E1548" s="5" t="n">
        <v>27.1</v>
      </c>
      <c r="F1548" s="3" t="inlineStr">
        <is>
          <t>현도면</t>
        </is>
      </c>
      <c r="G1548" s="3" t="inlineStr">
        <is>
          <t>중척리</t>
        </is>
      </c>
      <c r="H1548" s="3" t="inlineStr">
        <is>
          <t>개발제한구역</t>
        </is>
      </c>
      <c r="I1548" s="3" t="inlineStr">
        <is>
          <t>전</t>
        </is>
      </c>
      <c r="J1548" s="3" t="inlineStr">
        <is>
          <t>현도면</t>
        </is>
      </c>
    </row>
    <row r="1549">
      <c r="A1549" s="3" t="n">
        <v>2022</v>
      </c>
      <c r="B1549" s="4" t="n">
        <v>39000</v>
      </c>
      <c r="C1549" s="4" t="n">
        <v>1094</v>
      </c>
      <c r="D1549" s="4" t="n">
        <v>330.935</v>
      </c>
      <c r="E1549" s="5" t="n">
        <v>117.8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300</v>
      </c>
      <c r="C1550" s="4" t="n">
        <v>29</v>
      </c>
      <c r="D1550" s="4" t="n">
        <v>8.772499999999999</v>
      </c>
      <c r="E1550" s="5" t="n">
        <v>34.2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-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2023</v>
      </c>
      <c r="B1551" s="4" t="n">
        <v>2600</v>
      </c>
      <c r="C1551" s="4" t="n">
        <v>2875</v>
      </c>
      <c r="D1551" s="4" t="n">
        <v>869.6875</v>
      </c>
      <c r="E1551" s="5" t="n">
        <v>3</v>
      </c>
      <c r="F1551" s="3" t="inlineStr">
        <is>
          <t>현도면</t>
        </is>
      </c>
      <c r="G1551" s="3" t="inlineStr">
        <is>
          <t>매봉리</t>
        </is>
      </c>
      <c r="H1551" s="3" t="inlineStr">
        <is>
          <t>자연녹지지역</t>
        </is>
      </c>
      <c r="I1551" s="3" t="inlineStr">
        <is>
          <t>임야</t>
        </is>
      </c>
      <c r="J1551" s="3" t="inlineStr">
        <is>
          <t>현도면</t>
        </is>
      </c>
    </row>
    <row r="1552">
      <c r="A1552" s="3" t="n">
        <v>2023</v>
      </c>
      <c r="B1552" s="4" t="n">
        <v>6237</v>
      </c>
      <c r="C1552" s="4" t="n">
        <v>21620</v>
      </c>
      <c r="D1552" s="4" t="n">
        <v>6540.05</v>
      </c>
      <c r="E1552" s="5" t="n">
        <v>1</v>
      </c>
      <c r="F1552" s="3" t="inlineStr">
        <is>
          <t>현도면</t>
        </is>
      </c>
      <c r="G1552" s="3" t="inlineStr">
        <is>
          <t>하석리</t>
        </is>
      </c>
      <c r="H1552" s="3" t="inlineStr">
        <is>
          <t>개발제한구역</t>
        </is>
      </c>
      <c r="I1552" s="3" t="inlineStr">
        <is>
          <t>임야</t>
        </is>
      </c>
      <c r="J1552" s="3" t="inlineStr">
        <is>
          <t>현도면</t>
        </is>
      </c>
    </row>
    <row r="1553">
      <c r="A1553" s="3" t="n">
        <v>2023</v>
      </c>
      <c r="B1553" s="4" t="n">
        <v>2600</v>
      </c>
      <c r="C1553" s="4" t="n">
        <v>996</v>
      </c>
      <c r="D1553" s="4" t="n">
        <v>301.29</v>
      </c>
      <c r="E1553" s="5" t="n">
        <v>8.6</v>
      </c>
      <c r="F1553" s="3" t="inlineStr">
        <is>
          <t>현도면</t>
        </is>
      </c>
      <c r="G1553" s="3" t="inlineStr">
        <is>
          <t>죽암리</t>
        </is>
      </c>
      <c r="H1553" s="3" t="inlineStr">
        <is>
          <t>계획관리지역</t>
        </is>
      </c>
      <c r="I1553" s="3" t="inlineStr">
        <is>
          <t>임야</t>
        </is>
      </c>
      <c r="J1553" s="3" t="inlineStr">
        <is>
          <t>현도면</t>
        </is>
      </c>
    </row>
    <row r="1554">
      <c r="A1554" s="3" t="n">
        <v>2023</v>
      </c>
      <c r="B1554" s="4" t="n">
        <v>12281</v>
      </c>
      <c r="C1554" s="4" t="n">
        <v>258</v>
      </c>
      <c r="D1554" s="4" t="n">
        <v>78.045</v>
      </c>
      <c r="E1554" s="5" t="n">
        <v>157.4</v>
      </c>
      <c r="F1554" s="3" t="inlineStr">
        <is>
          <t>현도면</t>
        </is>
      </c>
      <c r="G1554" s="3" t="inlineStr">
        <is>
          <t>선동리</t>
        </is>
      </c>
      <c r="H1554" s="3" t="inlineStr">
        <is>
          <t>생산관리지역</t>
        </is>
      </c>
      <c r="I1554" s="3" t="inlineStr">
        <is>
          <t>대</t>
        </is>
      </c>
      <c r="J1554" s="3" t="inlineStr">
        <is>
          <t>현도면</t>
        </is>
      </c>
    </row>
    <row r="1555">
      <c r="A1555" s="3" t="n">
        <v>2023</v>
      </c>
      <c r="B1555" s="4" t="n">
        <v>12600</v>
      </c>
      <c r="C1555" s="4" t="n">
        <v>433</v>
      </c>
      <c r="D1555" s="4" t="n">
        <v>130.9825</v>
      </c>
      <c r="E1555" s="5" t="n">
        <v>96.2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4236</v>
      </c>
      <c r="C1556" s="4" t="n">
        <v>133</v>
      </c>
      <c r="D1556" s="4" t="n">
        <v>40.2325</v>
      </c>
      <c r="E1556" s="5" t="n">
        <v>105.3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대</t>
        </is>
      </c>
      <c r="J1556" s="3" t="inlineStr">
        <is>
          <t>남이면</t>
        </is>
      </c>
    </row>
    <row r="1557">
      <c r="A1557" s="3" t="n">
        <v>2023</v>
      </c>
      <c r="B1557" s="4" t="n">
        <v>6943</v>
      </c>
      <c r="C1557" s="4" t="n">
        <v>218</v>
      </c>
      <c r="D1557" s="4" t="n">
        <v>65.94499999999999</v>
      </c>
      <c r="E1557" s="5" t="n">
        <v>105.3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2023</v>
      </c>
      <c r="B1558" s="4" t="n">
        <v>4000</v>
      </c>
      <c r="C1558" s="4" t="n">
        <v>291</v>
      </c>
      <c r="D1558" s="4" t="n">
        <v>88.0275</v>
      </c>
      <c r="E1558" s="5" t="n">
        <v>45.4</v>
      </c>
      <c r="F1558" s="3" t="inlineStr">
        <is>
          <t>현도면</t>
        </is>
      </c>
      <c r="G1558" s="3" t="inlineStr">
        <is>
          <t>시목리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현도면</t>
        </is>
      </c>
    </row>
    <row r="1559">
      <c r="A1559" s="3" t="n">
        <v>2023</v>
      </c>
      <c r="B1559" s="4" t="n">
        <v>1300</v>
      </c>
      <c r="C1559" s="4" t="n">
        <v>83</v>
      </c>
      <c r="D1559" s="4" t="n">
        <v>25.1075</v>
      </c>
      <c r="E1559" s="5" t="n">
        <v>51.8</v>
      </c>
      <c r="F1559" s="3" t="inlineStr">
        <is>
          <t>현도면</t>
        </is>
      </c>
      <c r="G1559" s="3" t="inlineStr">
        <is>
          <t>시목리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현도면</t>
        </is>
      </c>
    </row>
    <row r="1560">
      <c r="A1560" s="3" t="n">
        <v>2023</v>
      </c>
      <c r="B1560" s="4" t="n">
        <v>9800</v>
      </c>
      <c r="C1560" s="4" t="n">
        <v>688</v>
      </c>
      <c r="D1560" s="4" t="n">
        <v>208.12</v>
      </c>
      <c r="E1560" s="5" t="n">
        <v>47.1</v>
      </c>
      <c r="F1560" s="3" t="inlineStr">
        <is>
          <t>현도면</t>
        </is>
      </c>
      <c r="G1560" s="3" t="inlineStr">
        <is>
          <t>시목리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2023</v>
      </c>
      <c r="B1561" s="4" t="n">
        <v>23000</v>
      </c>
      <c r="C1561" s="4" t="n">
        <v>577</v>
      </c>
      <c r="D1561" s="4" t="n">
        <v>174.5425</v>
      </c>
      <c r="E1561" s="5" t="n">
        <v>131.8</v>
      </c>
      <c r="F1561" s="3" t="inlineStr">
        <is>
          <t>남이면</t>
        </is>
      </c>
      <c r="G1561" s="3" t="inlineStr">
        <is>
          <t>양촌리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2023</v>
      </c>
      <c r="B1562" s="4" t="n">
        <v>13000</v>
      </c>
      <c r="C1562" s="4" t="n">
        <v>599</v>
      </c>
      <c r="D1562" s="4" t="n">
        <v>181.1975</v>
      </c>
      <c r="E1562" s="5" t="n">
        <v>71.7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생산관리지역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3000</v>
      </c>
      <c r="C1563" s="4" t="n">
        <v>374</v>
      </c>
      <c r="D1563" s="4" t="n">
        <v>113.135</v>
      </c>
      <c r="E1563" s="5" t="n">
        <v>26.5</v>
      </c>
      <c r="F1563" s="3" t="inlineStr">
        <is>
          <t>현도면</t>
        </is>
      </c>
      <c r="G1563" s="3" t="inlineStr">
        <is>
          <t>선동리</t>
        </is>
      </c>
      <c r="H1563" s="3" t="inlineStr">
        <is>
          <t>개발제한구역</t>
        </is>
      </c>
      <c r="I1563" s="3" t="inlineStr">
        <is>
          <t>전</t>
        </is>
      </c>
      <c r="J1563" s="3" t="inlineStr">
        <is>
          <t>현도면</t>
        </is>
      </c>
    </row>
    <row r="1564">
      <c r="A1564" s="3" t="n">
        <v>2023</v>
      </c>
      <c r="B1564" s="4" t="n">
        <v>19000</v>
      </c>
      <c r="C1564" s="4" t="n">
        <v>2541</v>
      </c>
      <c r="D1564" s="4" t="n">
        <v>768.6525</v>
      </c>
      <c r="E1564" s="5" t="n">
        <v>24.7</v>
      </c>
      <c r="F1564" s="3" t="inlineStr">
        <is>
          <t>현도면</t>
        </is>
      </c>
      <c r="G1564" s="3" t="inlineStr">
        <is>
          <t>달계리</t>
        </is>
      </c>
      <c r="H1564" s="3" t="inlineStr">
        <is>
          <t>개발제한구역</t>
        </is>
      </c>
      <c r="I1564" s="3" t="inlineStr">
        <is>
          <t>답</t>
        </is>
      </c>
      <c r="J1564" s="3" t="inlineStr">
        <is>
          <t>현도면</t>
        </is>
      </c>
    </row>
    <row r="1565">
      <c r="A1565" s="3" t="n">
        <v>2023</v>
      </c>
      <c r="B1565" s="4" t="n">
        <v>22896</v>
      </c>
      <c r="C1565" s="4" t="n">
        <v>4730</v>
      </c>
      <c r="D1565" s="4" t="n">
        <v>1430.825</v>
      </c>
      <c r="E1565" s="5" t="n">
        <v>16</v>
      </c>
      <c r="F1565" s="3" t="inlineStr">
        <is>
          <t>남이면</t>
        </is>
      </c>
      <c r="G1565" s="3" t="inlineStr">
        <is>
          <t>비룡리</t>
        </is>
      </c>
      <c r="H1565" s="3" t="inlineStr">
        <is>
          <t>보전관리지역</t>
        </is>
      </c>
      <c r="I1565" s="3" t="inlineStr">
        <is>
          <t>과수원</t>
        </is>
      </c>
      <c r="J1565" s="3" t="inlineStr">
        <is>
          <t>남이면</t>
        </is>
      </c>
    </row>
    <row r="1566">
      <c r="A1566" s="3" t="n">
        <v>2023</v>
      </c>
      <c r="B1566" s="4" t="n">
        <v>470</v>
      </c>
      <c r="C1566" s="4" t="n">
        <v>222</v>
      </c>
      <c r="D1566" s="4" t="n">
        <v>67.155</v>
      </c>
      <c r="E1566" s="5" t="n">
        <v>7</v>
      </c>
      <c r="F1566" s="3" t="inlineStr">
        <is>
          <t>남이면</t>
        </is>
      </c>
      <c r="G1566" s="3" t="inlineStr">
        <is>
          <t>비룡리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2234</v>
      </c>
      <c r="C1567" s="4" t="n">
        <v>1055</v>
      </c>
      <c r="D1567" s="4" t="n">
        <v>319.1375</v>
      </c>
      <c r="E1567" s="5" t="n">
        <v>7</v>
      </c>
      <c r="F1567" s="3" t="inlineStr">
        <is>
          <t>남이면</t>
        </is>
      </c>
      <c r="G1567" s="3" t="inlineStr">
        <is>
          <t>비룡리</t>
        </is>
      </c>
      <c r="H1567" s="3" t="inlineStr">
        <is>
          <t>보전관리지역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6000</v>
      </c>
      <c r="C1568" s="4" t="n">
        <v>886</v>
      </c>
      <c r="D1568" s="4" t="n">
        <v>268.015</v>
      </c>
      <c r="E1568" s="5" t="n">
        <v>22.4</v>
      </c>
      <c r="F1568" s="3" t="inlineStr">
        <is>
          <t>현도면</t>
        </is>
      </c>
      <c r="G1568" s="3" t="inlineStr">
        <is>
          <t>시동리</t>
        </is>
      </c>
      <c r="H1568" s="3" t="inlineStr">
        <is>
          <t>생산관리지역</t>
        </is>
      </c>
      <c r="I1568" s="3" t="inlineStr">
        <is>
          <t>전</t>
        </is>
      </c>
      <c r="J1568" s="3" t="inlineStr">
        <is>
          <t>현도면</t>
        </is>
      </c>
    </row>
    <row r="1569">
      <c r="A1569" s="3" t="n">
        <v>2024</v>
      </c>
      <c r="B1569" s="4" t="n">
        <v>305</v>
      </c>
      <c r="C1569" s="4" t="n">
        <v>11</v>
      </c>
      <c r="D1569" s="4" t="n">
        <v>3.3275</v>
      </c>
      <c r="E1569" s="5" t="n">
        <v>91.7</v>
      </c>
      <c r="F1569" s="3" t="inlineStr">
        <is>
          <t>현도면</t>
        </is>
      </c>
      <c r="G1569" s="3" t="inlineStr">
        <is>
          <t>중삼리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현도면</t>
        </is>
      </c>
    </row>
    <row r="1570">
      <c r="A1570" s="3" t="n">
        <v>2024</v>
      </c>
      <c r="B1570" s="4" t="n">
        <v>39000</v>
      </c>
      <c r="C1570" s="4" t="n">
        <v>1079</v>
      </c>
      <c r="D1570" s="4" t="n">
        <v>326.3975</v>
      </c>
      <c r="E1570" s="5" t="n">
        <v>119.5</v>
      </c>
      <c r="F1570" s="3" t="inlineStr">
        <is>
          <t>남이면</t>
        </is>
      </c>
      <c r="G1570" s="3" t="inlineStr">
        <is>
          <t>상발리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2024</v>
      </c>
      <c r="B1571" s="4" t="n">
        <v>14500</v>
      </c>
      <c r="C1571" s="4" t="n">
        <v>1403</v>
      </c>
      <c r="D1571" s="4" t="n">
        <v>424.4075</v>
      </c>
      <c r="E1571" s="5" t="n">
        <v>34.2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9000</v>
      </c>
      <c r="C1572" s="4" t="n">
        <v>1415</v>
      </c>
      <c r="D1572" s="4" t="n">
        <v>428.0375</v>
      </c>
      <c r="E1572" s="5" t="n">
        <v>21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생산관리지역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5800</v>
      </c>
      <c r="C1573" s="4" t="n">
        <v>916</v>
      </c>
      <c r="D1573" s="4" t="n">
        <v>277.09</v>
      </c>
      <c r="E1573" s="5" t="n">
        <v>20.9</v>
      </c>
      <c r="F1573" s="3" t="inlineStr">
        <is>
          <t>남이면</t>
        </is>
      </c>
      <c r="G1573" s="3" t="inlineStr">
        <is>
          <t>산막리</t>
        </is>
      </c>
      <c r="H1573" s="3" t="inlineStr">
        <is>
          <t>생산관리지역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6700</v>
      </c>
      <c r="C1574" s="4" t="n">
        <v>1061</v>
      </c>
      <c r="D1574" s="4" t="n">
        <v>320.9525</v>
      </c>
      <c r="E1574" s="5" t="n">
        <v>20.9</v>
      </c>
      <c r="F1574" s="3" t="inlineStr">
        <is>
          <t>남이면</t>
        </is>
      </c>
      <c r="G1574" s="3" t="inlineStr">
        <is>
          <t>산막리</t>
        </is>
      </c>
      <c r="H1574" s="3" t="inlineStr">
        <is>
          <t>생산관리지역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19000</v>
      </c>
      <c r="C1575" s="4" t="n">
        <v>2992</v>
      </c>
      <c r="D1575" s="4" t="n">
        <v>905.0799999999999</v>
      </c>
      <c r="E1575" s="5" t="n">
        <v>21</v>
      </c>
      <c r="F1575" s="3" t="inlineStr">
        <is>
          <t>남이면</t>
        </is>
      </c>
      <c r="G1575" s="3" t="inlineStr">
        <is>
          <t>산막리</t>
        </is>
      </c>
      <c r="H1575" s="3" t="inlineStr">
        <is>
          <t>생산관리지역</t>
        </is>
      </c>
      <c r="I1575" s="3" t="inlineStr">
        <is>
          <t>전</t>
        </is>
      </c>
      <c r="J1575" s="3" t="inlineStr">
        <is>
          <t>남이면</t>
        </is>
      </c>
    </row>
    <row r="1576">
      <c r="A1576" s="3" t="n">
        <v>2024</v>
      </c>
      <c r="B1576" s="4" t="n">
        <v>12500</v>
      </c>
      <c r="C1576" s="4" t="n">
        <v>655</v>
      </c>
      <c r="D1576" s="4" t="n">
        <v>198.1375</v>
      </c>
      <c r="E1576" s="5" t="n">
        <v>63.1</v>
      </c>
      <c r="F1576" s="3" t="inlineStr">
        <is>
          <t>남이면</t>
        </is>
      </c>
      <c r="G1576" s="3" t="inlineStr">
        <is>
          <t>사동리</t>
        </is>
      </c>
      <c r="H1576" s="3" t="inlineStr">
        <is>
          <t>자연녹지지역</t>
        </is>
      </c>
      <c r="I1576" s="3" t="inlineStr">
        <is>
          <t>전</t>
        </is>
      </c>
      <c r="J1576" s="3" t="inlineStr">
        <is>
          <t>남이면</t>
        </is>
      </c>
    </row>
    <row r="1577">
      <c r="A1577" s="3" t="n">
        <v>2024</v>
      </c>
      <c r="B1577" s="4" t="n">
        <v>15240</v>
      </c>
      <c r="C1577" s="4" t="n">
        <v>1362</v>
      </c>
      <c r="D1577" s="4" t="n">
        <v>412.005</v>
      </c>
      <c r="E1577" s="5" t="n">
        <v>37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생산관리지역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30000</v>
      </c>
      <c r="C1578" s="4" t="n">
        <v>6347</v>
      </c>
      <c r="D1578" s="4" t="n">
        <v>1919.9675</v>
      </c>
      <c r="E1578" s="5" t="n">
        <v>15.6</v>
      </c>
      <c r="F1578" s="3" t="inlineStr">
        <is>
          <t>남이면</t>
        </is>
      </c>
      <c r="G1578" s="3" t="inlineStr">
        <is>
          <t>석실리</t>
        </is>
      </c>
      <c r="H1578" s="3" t="inlineStr">
        <is>
          <t>보전녹지지역</t>
        </is>
      </c>
      <c r="I1578" s="3" t="inlineStr">
        <is>
          <t>임야</t>
        </is>
      </c>
      <c r="J1578" s="3" t="inlineStr">
        <is>
          <t>남이면</t>
        </is>
      </c>
    </row>
    <row r="1579">
      <c r="A1579" s="3" t="n">
        <v>2024</v>
      </c>
      <c r="B1579" s="4" t="n">
        <v>14160</v>
      </c>
      <c r="C1579" s="4" t="n">
        <v>1560</v>
      </c>
      <c r="D1579" s="4" t="n">
        <v>471.9</v>
      </c>
      <c r="E1579" s="5" t="n">
        <v>30</v>
      </c>
      <c r="F1579" s="3" t="inlineStr">
        <is>
          <t>현도면</t>
        </is>
      </c>
      <c r="G1579" s="3" t="inlineStr">
        <is>
          <t>시목리</t>
        </is>
      </c>
      <c r="H1579" s="3" t="inlineStr">
        <is>
          <t>자연녹지지역</t>
        </is>
      </c>
      <c r="I1579" s="3" t="inlineStr">
        <is>
          <t>답</t>
        </is>
      </c>
      <c r="J1579" s="3" t="inlineStr">
        <is>
          <t>현도면</t>
        </is>
      </c>
    </row>
    <row r="1580">
      <c r="A1580" s="3" t="n">
        <v>2024</v>
      </c>
      <c r="B1580" s="4" t="n">
        <v>2500</v>
      </c>
      <c r="C1580" s="4" t="n">
        <v>294</v>
      </c>
      <c r="D1580" s="4" t="n">
        <v>88.935</v>
      </c>
      <c r="E1580" s="5" t="n">
        <v>28.1</v>
      </c>
      <c r="F1580" s="3" t="inlineStr">
        <is>
          <t>현도면</t>
        </is>
      </c>
      <c r="G1580" s="3" t="inlineStr">
        <is>
          <t>죽암리</t>
        </is>
      </c>
      <c r="H1580" s="3" t="inlineStr">
        <is>
          <t>계획관리지역</t>
        </is>
      </c>
      <c r="I1580" s="3" t="inlineStr">
        <is>
          <t>답</t>
        </is>
      </c>
      <c r="J1580" s="3" t="inlineStr">
        <is>
          <t>현도면</t>
        </is>
      </c>
    </row>
    <row r="1581">
      <c r="A1581" s="3" t="n">
        <v>2024</v>
      </c>
      <c r="B1581" s="4" t="n">
        <v>43000</v>
      </c>
      <c r="C1581" s="4" t="n">
        <v>1644</v>
      </c>
      <c r="D1581" s="4" t="n">
        <v>497.31</v>
      </c>
      <c r="E1581" s="5" t="n">
        <v>86.5</v>
      </c>
      <c r="F1581" s="3" t="inlineStr">
        <is>
          <t>남이면</t>
        </is>
      </c>
      <c r="G1581" s="3" t="inlineStr">
        <is>
          <t>팔봉리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23800</v>
      </c>
      <c r="C1582" s="4" t="n">
        <v>1826</v>
      </c>
      <c r="D1582" s="4" t="n">
        <v>552.365</v>
      </c>
      <c r="E1582" s="5" t="n">
        <v>43.1</v>
      </c>
      <c r="F1582" s="3" t="inlineStr">
        <is>
          <t>남이면</t>
        </is>
      </c>
      <c r="G1582" s="3" t="inlineStr">
        <is>
          <t>구암리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2024</v>
      </c>
      <c r="B1583" s="4" t="n">
        <v>10000</v>
      </c>
      <c r="C1583" s="4" t="n">
        <v>1211</v>
      </c>
      <c r="D1583" s="4" t="n">
        <v>366.3275</v>
      </c>
      <c r="E1583" s="5" t="n">
        <v>27.3</v>
      </c>
      <c r="F1583" s="3" t="inlineStr">
        <is>
          <t>남이면</t>
        </is>
      </c>
      <c r="G1583" s="3" t="inlineStr">
        <is>
          <t>산막리</t>
        </is>
      </c>
      <c r="H1583" s="3" t="inlineStr">
        <is>
          <t>생산관리지역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19000</v>
      </c>
      <c r="C1584" s="4" t="n">
        <v>2112</v>
      </c>
      <c r="D1584" s="4" t="n">
        <v>638.88</v>
      </c>
      <c r="E1584" s="5" t="n">
        <v>29.7</v>
      </c>
      <c r="F1584" s="3" t="inlineStr">
        <is>
          <t>남이면</t>
        </is>
      </c>
      <c r="G1584" s="3" t="inlineStr">
        <is>
          <t>산막리</t>
        </is>
      </c>
      <c r="H1584" s="3" t="inlineStr">
        <is>
          <t>생산관리지역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2024</v>
      </c>
      <c r="B1585" s="4" t="n">
        <v>5277</v>
      </c>
      <c r="C1585" s="4" t="n">
        <v>113</v>
      </c>
      <c r="D1585" s="4" t="n">
        <v>34.1825</v>
      </c>
      <c r="E1585" s="5" t="n">
        <v>154.4</v>
      </c>
      <c r="F1585" s="3" t="inlineStr">
        <is>
          <t>현도면</t>
        </is>
      </c>
      <c r="G1585" s="3" t="inlineStr">
        <is>
          <t>매봉리</t>
        </is>
      </c>
      <c r="H1585" s="3" t="inlineStr">
        <is>
          <t>제1종일반주거지역</t>
        </is>
      </c>
      <c r="I1585" s="3" t="inlineStr">
        <is>
          <t>잡종지</t>
        </is>
      </c>
      <c r="J1585" s="3" t="inlineStr">
        <is>
          <t>현도면</t>
        </is>
      </c>
    </row>
    <row r="1586">
      <c r="A1586" s="3" t="n">
        <v>2024</v>
      </c>
      <c r="B1586" s="4" t="n">
        <v>13485</v>
      </c>
      <c r="C1586" s="4" t="n">
        <v>537</v>
      </c>
      <c r="D1586" s="4" t="n">
        <v>162.4425</v>
      </c>
      <c r="E1586" s="5" t="n">
        <v>83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목장용지</t>
        </is>
      </c>
      <c r="J1586" s="3" t="inlineStr">
        <is>
          <t>남이면</t>
        </is>
      </c>
    </row>
    <row r="1587">
      <c r="A1587" s="3" t="n">
        <v>2024</v>
      </c>
      <c r="B1587" s="4" t="n">
        <v>17400</v>
      </c>
      <c r="C1587" s="4" t="n">
        <v>1040</v>
      </c>
      <c r="D1587" s="4" t="n">
        <v>314.6</v>
      </c>
      <c r="E1587" s="5" t="n">
        <v>55.3</v>
      </c>
      <c r="F1587" s="3" t="inlineStr">
        <is>
          <t>남이면</t>
        </is>
      </c>
      <c r="G1587" s="3" t="inlineStr">
        <is>
          <t>척북리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2024</v>
      </c>
      <c r="B1588" s="4" t="n">
        <v>59987</v>
      </c>
      <c r="C1588" s="4" t="n">
        <v>4995</v>
      </c>
      <c r="D1588" s="4" t="n">
        <v>1510.9875</v>
      </c>
      <c r="E1588" s="5" t="n">
        <v>39.7</v>
      </c>
      <c r="F1588" s="3" t="inlineStr">
        <is>
          <t>남이면</t>
        </is>
      </c>
      <c r="G1588" s="3" t="inlineStr">
        <is>
          <t>가좌리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2026</v>
      </c>
      <c r="B1589" s="4" t="n">
        <v>2800</v>
      </c>
      <c r="C1589" s="4" t="n">
        <v>675</v>
      </c>
      <c r="D1589" s="4" t="n">
        <v>204.1875</v>
      </c>
      <c r="E1589" s="5" t="n">
        <v>13.7</v>
      </c>
      <c r="F1589" s="3" t="inlineStr">
        <is>
          <t>연동면</t>
        </is>
      </c>
      <c r="G1589" s="3" t="inlineStr">
        <is>
          <t>예양리</t>
        </is>
      </c>
      <c r="H1589" s="3" t="inlineStr">
        <is>
          <t>보전관리지역</t>
        </is>
      </c>
      <c r="I1589" s="3" t="inlineStr">
        <is>
          <t>임야</t>
        </is>
      </c>
      <c r="J1589" s="3" t="inlineStr">
        <is>
          <t>연동면</t>
        </is>
      </c>
    </row>
    <row r="1590">
      <c r="A1590" s="3" t="n">
        <v>2026</v>
      </c>
      <c r="B1590" s="4" t="n">
        <v>12500</v>
      </c>
      <c r="C1590" s="4" t="n">
        <v>936</v>
      </c>
      <c r="D1590" s="4" t="n">
        <v>283.14</v>
      </c>
      <c r="E1590" s="5" t="n">
        <v>44.1</v>
      </c>
      <c r="F1590" s="3" t="inlineStr">
        <is>
          <t>전동면</t>
        </is>
      </c>
      <c r="G1590" s="3" t="inlineStr">
        <is>
          <t>석곡리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2026</v>
      </c>
      <c r="B1591" s="4" t="n">
        <v>12000</v>
      </c>
      <c r="C1591" s="4" t="n">
        <v>319.1</v>
      </c>
      <c r="D1591" s="4" t="n">
        <v>96.52775</v>
      </c>
      <c r="E1591" s="5" t="n">
        <v>124.3</v>
      </c>
      <c r="F1591" s="3" t="inlineStr">
        <is>
          <t>전의면</t>
        </is>
      </c>
      <c r="G1591" s="3" t="inlineStr">
        <is>
          <t>동교리</t>
        </is>
      </c>
      <c r="H1591" s="3" t="inlineStr">
        <is>
          <t>제1종일반주거지역</t>
        </is>
      </c>
      <c r="I1591" s="3" t="inlineStr">
        <is>
          <t>대</t>
        </is>
      </c>
      <c r="J1591" s="3" t="inlineStr">
        <is>
          <t>전의면</t>
        </is>
      </c>
    </row>
    <row r="1592">
      <c r="A1592" s="3" t="n">
        <v>2026</v>
      </c>
      <c r="B1592" s="4" t="n">
        <v>16000</v>
      </c>
      <c r="C1592" s="4" t="n">
        <v>1597</v>
      </c>
      <c r="D1592" s="4" t="n">
        <v>483.0925</v>
      </c>
      <c r="E1592" s="5" t="n">
        <v>33.1</v>
      </c>
      <c r="F1592" s="3" t="inlineStr">
        <is>
          <t>전의면</t>
        </is>
      </c>
      <c r="G1592" s="3" t="inlineStr">
        <is>
          <t>서정리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전의면</t>
        </is>
      </c>
    </row>
    <row r="1593">
      <c r="A1593" s="3" t="n">
        <v>2026</v>
      </c>
      <c r="B1593" s="4" t="n">
        <v>50000</v>
      </c>
      <c r="C1593" s="4" t="n">
        <v>1888</v>
      </c>
      <c r="D1593" s="4" t="n">
        <v>571.12</v>
      </c>
      <c r="E1593" s="5" t="n">
        <v>87.5</v>
      </c>
      <c r="F1593" s="3" t="inlineStr">
        <is>
          <t>금남면</t>
        </is>
      </c>
      <c r="G1593" s="3" t="inlineStr">
        <is>
          <t>영대리</t>
        </is>
      </c>
      <c r="H1593" s="3" t="inlineStr">
        <is>
          <t>개발제한구역</t>
        </is>
      </c>
      <c r="I1593" s="3" t="inlineStr">
        <is>
          <t>전</t>
        </is>
      </c>
      <c r="J1593" s="3" t="inlineStr">
        <is>
          <t>금남면</t>
        </is>
      </c>
    </row>
    <row r="1594">
      <c r="A1594" s="3" t="n">
        <v>2026</v>
      </c>
      <c r="B1594" s="4" t="n">
        <v>70345</v>
      </c>
      <c r="C1594" s="4" t="n">
        <v>1995</v>
      </c>
      <c r="D1594" s="4" t="n">
        <v>603.4875</v>
      </c>
      <c r="E1594" s="5" t="n">
        <v>116.6</v>
      </c>
      <c r="F1594" s="3" t="inlineStr">
        <is>
          <t>연기면</t>
        </is>
      </c>
      <c r="G1594" s="3" t="inlineStr">
        <is>
          <t>눌왕리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연기면</t>
        </is>
      </c>
    </row>
    <row r="1595">
      <c r="A1595" s="3" t="n">
        <v>2026</v>
      </c>
      <c r="B1595" s="4" t="n">
        <v>18000</v>
      </c>
      <c r="C1595" s="4" t="n">
        <v>1026</v>
      </c>
      <c r="D1595" s="4" t="n">
        <v>310.365</v>
      </c>
      <c r="E1595" s="5" t="n">
        <v>58</v>
      </c>
      <c r="F1595" s="3" t="inlineStr">
        <is>
          <t>금남면</t>
        </is>
      </c>
      <c r="G1595" s="3" t="inlineStr">
        <is>
          <t>달전리</t>
        </is>
      </c>
      <c r="H1595" s="3" t="inlineStr">
        <is>
          <t>개발제한구역</t>
        </is>
      </c>
      <c r="I1595" s="3" t="inlineStr">
        <is>
          <t>답</t>
        </is>
      </c>
      <c r="J1595" s="3" t="inlineStr">
        <is>
          <t>금남면</t>
        </is>
      </c>
    </row>
    <row r="1596">
      <c r="A1596" s="3" t="n">
        <v>2026</v>
      </c>
      <c r="B1596" s="4" t="n">
        <v>18500</v>
      </c>
      <c r="C1596" s="4" t="n">
        <v>1770</v>
      </c>
      <c r="D1596" s="4" t="n">
        <v>535.425</v>
      </c>
      <c r="E1596" s="5" t="n">
        <v>34.6</v>
      </c>
      <c r="F1596" s="3" t="inlineStr">
        <is>
          <t>전의면</t>
        </is>
      </c>
      <c r="G1596" s="3" t="inlineStr">
        <is>
          <t>다방리</t>
        </is>
      </c>
      <c r="H1596" s="3" t="inlineStr">
        <is>
          <t>생산관리지역</t>
        </is>
      </c>
      <c r="I1596" s="3" t="inlineStr">
        <is>
          <t>답</t>
        </is>
      </c>
      <c r="J1596" s="3" t="inlineStr">
        <is>
          <t>전의면</t>
        </is>
      </c>
    </row>
    <row r="1597">
      <c r="A1597" s="3" t="n">
        <v>2026</v>
      </c>
      <c r="B1597" s="4" t="n">
        <v>42480</v>
      </c>
      <c r="C1597" s="4" t="n">
        <v>23405</v>
      </c>
      <c r="D1597" s="4" t="n">
        <v>7080.0125</v>
      </c>
      <c r="E1597" s="5" t="n">
        <v>6</v>
      </c>
      <c r="F1597" s="3" t="inlineStr">
        <is>
          <t>전동면</t>
        </is>
      </c>
      <c r="G1597" s="3" t="inlineStr">
        <is>
          <t>심중리</t>
        </is>
      </c>
      <c r="H1597" s="3" t="inlineStr">
        <is>
          <t>계획관리지역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2026</v>
      </c>
      <c r="B1598" s="4" t="n">
        <v>14300</v>
      </c>
      <c r="C1598" s="4" t="n">
        <v>674</v>
      </c>
      <c r="D1598" s="4" t="n">
        <v>203.885</v>
      </c>
      <c r="E1598" s="5" t="n">
        <v>70.09999999999999</v>
      </c>
      <c r="F1598" s="3" t="inlineStr">
        <is>
          <t>금남면</t>
        </is>
      </c>
      <c r="G1598" s="3" t="inlineStr">
        <is>
          <t>국곡리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금남면</t>
        </is>
      </c>
    </row>
    <row r="1599">
      <c r="A1599" s="3" t="n">
        <v>2026</v>
      </c>
      <c r="B1599" s="4" t="n">
        <v>55000</v>
      </c>
      <c r="C1599" s="4" t="n">
        <v>3523</v>
      </c>
      <c r="D1599" s="4" t="n">
        <v>1065.7075</v>
      </c>
      <c r="E1599" s="5" t="n">
        <v>51.6</v>
      </c>
      <c r="F1599" s="3" t="inlineStr">
        <is>
          <t>연서면</t>
        </is>
      </c>
      <c r="G1599" s="3" t="inlineStr">
        <is>
          <t>봉암리</t>
        </is>
      </c>
      <c r="H1599" s="3" t="inlineStr">
        <is>
          <t>농림지역</t>
        </is>
      </c>
      <c r="I1599" s="3" t="inlineStr">
        <is>
          <t>전</t>
        </is>
      </c>
      <c r="J1599" s="3" t="inlineStr">
        <is>
          <t>연서면</t>
        </is>
      </c>
    </row>
    <row r="1600">
      <c r="A1600" s="3" t="n">
        <v>2026</v>
      </c>
      <c r="B1600" s="4" t="n">
        <v>2052650</v>
      </c>
      <c r="C1600" s="4" t="n">
        <v>18000</v>
      </c>
      <c r="D1600" s="4" t="n">
        <v>5445</v>
      </c>
      <c r="E1600" s="5" t="n">
        <v>377</v>
      </c>
      <c r="F1600" s="3" t="inlineStr">
        <is>
          <t>고운동</t>
        </is>
      </c>
      <c r="G1600" s="3" t="inlineStr"/>
      <c r="H1600" s="3" t="inlineStr">
        <is>
          <t>제2종일반주거지역</t>
        </is>
      </c>
      <c r="I1600" s="3" t="inlineStr">
        <is>
          <t>대</t>
        </is>
      </c>
      <c r="J1600" s="3" t="inlineStr">
        <is>
          <t>고운동</t>
        </is>
      </c>
    </row>
    <row r="1601">
      <c r="A1601" s="3" t="n">
        <v>2026</v>
      </c>
      <c r="B1601" s="4" t="n">
        <v>1500</v>
      </c>
      <c r="C1601" s="4" t="n">
        <v>200</v>
      </c>
      <c r="D1601" s="4" t="n">
        <v>60.5</v>
      </c>
      <c r="E1601" s="5" t="n">
        <v>24.8</v>
      </c>
      <c r="F1601" s="3" t="inlineStr">
        <is>
          <t>연동면</t>
        </is>
      </c>
      <c r="G1601" s="3" t="inlineStr">
        <is>
          <t>송용리</t>
        </is>
      </c>
      <c r="H1601" s="3" t="inlineStr">
        <is>
          <t>계획관리지역</t>
        </is>
      </c>
      <c r="I1601" s="3" t="inlineStr">
        <is>
          <t>임야</t>
        </is>
      </c>
      <c r="J1601" s="3" t="inlineStr">
        <is>
          <t>연동면</t>
        </is>
      </c>
    </row>
    <row r="1602">
      <c r="A1602" s="3" t="n">
        <v>2026</v>
      </c>
      <c r="B1602" s="4" t="n">
        <v>3000</v>
      </c>
      <c r="C1602" s="4" t="n">
        <v>17</v>
      </c>
      <c r="D1602" s="4" t="n">
        <v>5.1425</v>
      </c>
      <c r="E1602" s="5" t="n">
        <v>583.4</v>
      </c>
      <c r="F1602" s="3" t="inlineStr">
        <is>
          <t>연서면</t>
        </is>
      </c>
      <c r="G1602" s="3" t="inlineStr">
        <is>
          <t>월하리</t>
        </is>
      </c>
      <c r="H1602" s="3" t="inlineStr">
        <is>
          <t>자연녹지지역</t>
        </is>
      </c>
      <c r="I1602" s="3" t="inlineStr">
        <is>
          <t>과수원</t>
        </is>
      </c>
      <c r="J1602" s="3" t="inlineStr">
        <is>
          <t>연서면</t>
        </is>
      </c>
    </row>
    <row r="1603">
      <c r="A1603" s="3" t="n">
        <v>2026</v>
      </c>
      <c r="B1603" s="4" t="n">
        <v>13170</v>
      </c>
      <c r="C1603" s="4" t="n">
        <v>850</v>
      </c>
      <c r="D1603" s="4" t="n">
        <v>257.125</v>
      </c>
      <c r="E1603" s="5" t="n">
        <v>51.2</v>
      </c>
      <c r="F1603" s="3" t="inlineStr">
        <is>
          <t>소정면</t>
        </is>
      </c>
      <c r="G1603" s="3" t="inlineStr">
        <is>
          <t>대곡리</t>
        </is>
      </c>
      <c r="H1603" s="3" t="inlineStr">
        <is>
          <t>계획관리지역</t>
        </is>
      </c>
      <c r="I1603" s="3" t="inlineStr">
        <is>
          <t>전</t>
        </is>
      </c>
      <c r="J1603" s="3" t="inlineStr">
        <is>
          <t>소정면</t>
        </is>
      </c>
    </row>
    <row r="1604">
      <c r="A1604" s="3" t="n">
        <v>2026</v>
      </c>
      <c r="B1604" s="4" t="n">
        <v>12000</v>
      </c>
      <c r="C1604" s="4" t="n">
        <v>1524</v>
      </c>
      <c r="D1604" s="4" t="n">
        <v>461.01</v>
      </c>
      <c r="E1604" s="5" t="n">
        <v>26</v>
      </c>
      <c r="F1604" s="3" t="inlineStr">
        <is>
          <t>전동면</t>
        </is>
      </c>
      <c r="G1604" s="3" t="inlineStr">
        <is>
          <t>송정리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전동면</t>
        </is>
      </c>
    </row>
    <row r="1605">
      <c r="A1605" s="3" t="n">
        <v>2026</v>
      </c>
      <c r="B1605" s="4" t="n">
        <v>20000</v>
      </c>
      <c r="C1605" s="4" t="n">
        <v>764</v>
      </c>
      <c r="D1605" s="4" t="n">
        <v>231.11</v>
      </c>
      <c r="E1605" s="5" t="n">
        <v>86.5</v>
      </c>
      <c r="F1605" s="3" t="inlineStr">
        <is>
          <t>장군면</t>
        </is>
      </c>
      <c r="G1605" s="3" t="inlineStr">
        <is>
          <t>하봉리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장군면</t>
        </is>
      </c>
    </row>
    <row r="1606">
      <c r="A1606" s="3" t="n">
        <v>2022</v>
      </c>
      <c r="B1606" s="4" t="n">
        <v>7480</v>
      </c>
      <c r="C1606" s="4" t="n">
        <v>133</v>
      </c>
      <c r="D1606" s="4" t="n">
        <v>40.2325</v>
      </c>
      <c r="E1606" s="5" t="n">
        <v>185.9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자연녹지지역</t>
        </is>
      </c>
      <c r="I1606" s="3" t="inlineStr">
        <is>
          <t>대</t>
        </is>
      </c>
      <c r="J1606" s="3" t="inlineStr">
        <is>
          <t>남이면</t>
        </is>
      </c>
    </row>
    <row r="1607">
      <c r="A1607" s="3" t="n">
        <v>2022</v>
      </c>
      <c r="B1607" s="4" t="n">
        <v>5585</v>
      </c>
      <c r="C1607" s="4" t="n">
        <v>218</v>
      </c>
      <c r="D1607" s="4" t="n">
        <v>65.94499999999999</v>
      </c>
      <c r="E1607" s="5" t="n">
        <v>84.7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59000</v>
      </c>
      <c r="C1608" s="4" t="n">
        <v>2965</v>
      </c>
      <c r="D1608" s="4" t="n">
        <v>896.9125</v>
      </c>
      <c r="E1608" s="5" t="n">
        <v>65.8</v>
      </c>
      <c r="F1608" s="3" t="inlineStr">
        <is>
          <t>남이면</t>
        </is>
      </c>
      <c r="G1608" s="3" t="inlineStr">
        <is>
          <t>대련리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44167</v>
      </c>
      <c r="C1609" s="4" t="n">
        <v>1248</v>
      </c>
      <c r="D1609" s="4" t="n">
        <v>377.52</v>
      </c>
      <c r="E1609" s="5" t="n">
        <v>117</v>
      </c>
      <c r="F1609" s="3" t="inlineStr">
        <is>
          <t>남이면</t>
        </is>
      </c>
      <c r="G1609" s="3" t="inlineStr">
        <is>
          <t>부용외천리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40000</v>
      </c>
      <c r="C1610" s="4" t="n">
        <v>1078</v>
      </c>
      <c r="D1610" s="4" t="n">
        <v>326.095</v>
      </c>
      <c r="E1610" s="5" t="n">
        <v>122.7</v>
      </c>
      <c r="F1610" s="3" t="inlineStr">
        <is>
          <t>남이면</t>
        </is>
      </c>
      <c r="G1610" s="3" t="inlineStr">
        <is>
          <t>부용외천리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1525</v>
      </c>
      <c r="C1611" s="4" t="n">
        <v>36</v>
      </c>
      <c r="D1611" s="4" t="n">
        <v>10.89</v>
      </c>
      <c r="E1611" s="5" t="n">
        <v>140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500</v>
      </c>
      <c r="C1612" s="4" t="n">
        <v>193</v>
      </c>
      <c r="D1612" s="4" t="n">
        <v>58.3825</v>
      </c>
      <c r="E1612" s="5" t="n">
        <v>8.6</v>
      </c>
      <c r="F1612" s="3" t="inlineStr">
        <is>
          <t>남이면</t>
        </is>
      </c>
      <c r="G1612" s="3" t="inlineStr">
        <is>
          <t>외천리</t>
        </is>
      </c>
      <c r="H1612" s="3" t="inlineStr">
        <is>
          <t>계획관리지역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4200</v>
      </c>
      <c r="C1613" s="4" t="n">
        <v>4693</v>
      </c>
      <c r="D1613" s="4" t="n">
        <v>1419.6325</v>
      </c>
      <c r="E1613" s="5" t="n">
        <v>3</v>
      </c>
      <c r="F1613" s="3" t="inlineStr">
        <is>
          <t>남이면</t>
        </is>
      </c>
      <c r="G1613" s="3" t="inlineStr">
        <is>
          <t>석판리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13800</v>
      </c>
      <c r="C1614" s="4" t="n">
        <v>703</v>
      </c>
      <c r="D1614" s="4" t="n">
        <v>212.6575</v>
      </c>
      <c r="E1614" s="5" t="n">
        <v>64.90000000000001</v>
      </c>
      <c r="F1614" s="3" t="inlineStr">
        <is>
          <t>남이면</t>
        </is>
      </c>
      <c r="G1614" s="3" t="inlineStr">
        <is>
          <t>석판리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4400</v>
      </c>
      <c r="C1615" s="4" t="n">
        <v>222</v>
      </c>
      <c r="D1615" s="4" t="n">
        <v>67.155</v>
      </c>
      <c r="E1615" s="5" t="n">
        <v>65.5</v>
      </c>
      <c r="F1615" s="3" t="inlineStr">
        <is>
          <t>남이면</t>
        </is>
      </c>
      <c r="G1615" s="3" t="inlineStr">
        <is>
          <t>석판리</t>
        </is>
      </c>
      <c r="H1615" s="3" t="inlineStr">
        <is>
          <t>자연녹지지역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61300</v>
      </c>
      <c r="C1616" s="4" t="n">
        <v>3120</v>
      </c>
      <c r="D1616" s="4" t="n">
        <v>943.8</v>
      </c>
      <c r="E1616" s="5" t="n">
        <v>65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1000</v>
      </c>
      <c r="C1617" s="4" t="n">
        <v>49</v>
      </c>
      <c r="D1617" s="4" t="n">
        <v>14.8225</v>
      </c>
      <c r="E1617" s="5" t="n">
        <v>67.5</v>
      </c>
      <c r="F1617" s="3" t="inlineStr">
        <is>
          <t>남이면</t>
        </is>
      </c>
      <c r="G1617" s="3" t="inlineStr">
        <is>
          <t>석판리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2022</v>
      </c>
      <c r="B1618" s="4" t="n">
        <v>10770</v>
      </c>
      <c r="C1618" s="4" t="n">
        <v>1781</v>
      </c>
      <c r="D1618" s="4" t="n">
        <v>538.7524999999999</v>
      </c>
      <c r="E1618" s="5" t="n">
        <v>20</v>
      </c>
      <c r="F1618" s="3" t="inlineStr">
        <is>
          <t>남이면</t>
        </is>
      </c>
      <c r="G1618" s="3" t="inlineStr">
        <is>
          <t>문동리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3250</v>
      </c>
      <c r="C1619" s="4" t="n">
        <v>165</v>
      </c>
      <c r="D1619" s="4" t="n">
        <v>49.9125</v>
      </c>
      <c r="E1619" s="5" t="n">
        <v>65.09999999999999</v>
      </c>
      <c r="F1619" s="3" t="inlineStr">
        <is>
          <t>남이면</t>
        </is>
      </c>
      <c r="G1619" s="3" t="inlineStr">
        <is>
          <t>석판리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2022</v>
      </c>
      <c r="B1620" s="4" t="n">
        <v>800</v>
      </c>
      <c r="C1620" s="4" t="n">
        <v>41</v>
      </c>
      <c r="D1620" s="4" t="n">
        <v>12.4025</v>
      </c>
      <c r="E1620" s="5" t="n">
        <v>64.5</v>
      </c>
      <c r="F1620" s="3" t="inlineStr">
        <is>
          <t>남이면</t>
        </is>
      </c>
      <c r="G1620" s="3" t="inlineStr">
        <is>
          <t>석판리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1100</v>
      </c>
      <c r="C1621" s="4" t="n">
        <v>55</v>
      </c>
      <c r="D1621" s="4" t="n">
        <v>16.6375</v>
      </c>
      <c r="E1621" s="5" t="n">
        <v>66.09999999999999</v>
      </c>
      <c r="F1621" s="3" t="inlineStr">
        <is>
          <t>남이면</t>
        </is>
      </c>
      <c r="G1621" s="3" t="inlineStr">
        <is>
          <t>석판리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10500</v>
      </c>
      <c r="C1622" s="4" t="n">
        <v>532</v>
      </c>
      <c r="D1622" s="4" t="n">
        <v>160.93</v>
      </c>
      <c r="E1622" s="5" t="n">
        <v>65.2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700</v>
      </c>
      <c r="C1623" s="4" t="n">
        <v>38</v>
      </c>
      <c r="D1623" s="4" t="n">
        <v>11.495</v>
      </c>
      <c r="E1623" s="5" t="n">
        <v>60.9</v>
      </c>
      <c r="F1623" s="3" t="inlineStr">
        <is>
          <t>남이면</t>
        </is>
      </c>
      <c r="G1623" s="3" t="inlineStr">
        <is>
          <t>석판리</t>
        </is>
      </c>
      <c r="H1623" s="3" t="inlineStr">
        <is>
          <t>자연녹지지역</t>
        </is>
      </c>
      <c r="I1623" s="3" t="inlineStr">
        <is>
          <t>도로</t>
        </is>
      </c>
      <c r="J1623" s="3" t="inlineStr">
        <is>
          <t>남이면</t>
        </is>
      </c>
    </row>
    <row r="1624">
      <c r="A1624" s="3" t="n">
        <v>2022</v>
      </c>
      <c r="B1624" s="4" t="n">
        <v>27800</v>
      </c>
      <c r="C1624" s="4" t="n">
        <v>1412</v>
      </c>
      <c r="D1624" s="4" t="n">
        <v>427.13</v>
      </c>
      <c r="E1624" s="5" t="n">
        <v>65.09999999999999</v>
      </c>
      <c r="F1624" s="3" t="inlineStr">
        <is>
          <t>남이면</t>
        </is>
      </c>
      <c r="G1624" s="3" t="inlineStr">
        <is>
          <t>석판리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44500</v>
      </c>
      <c r="C1625" s="4" t="n">
        <v>2261</v>
      </c>
      <c r="D1625" s="4" t="n">
        <v>683.9525</v>
      </c>
      <c r="E1625" s="5" t="n">
        <v>65.09999999999999</v>
      </c>
      <c r="F1625" s="3" t="inlineStr">
        <is>
          <t>남이면</t>
        </is>
      </c>
      <c r="G1625" s="3" t="inlineStr">
        <is>
          <t>석판리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2022</v>
      </c>
      <c r="B1626" s="4" t="n">
        <v>200</v>
      </c>
      <c r="C1626" s="4" t="n">
        <v>12</v>
      </c>
      <c r="D1626" s="4" t="n">
        <v>3.63</v>
      </c>
      <c r="E1626" s="5" t="n">
        <v>55.1</v>
      </c>
      <c r="F1626" s="3" t="inlineStr">
        <is>
          <t>남이면</t>
        </is>
      </c>
      <c r="G1626" s="3" t="inlineStr">
        <is>
          <t>석판리</t>
        </is>
      </c>
      <c r="H1626" s="3" t="inlineStr">
        <is>
          <t>자연녹지지역</t>
        </is>
      </c>
      <c r="I1626" s="3" t="inlineStr">
        <is>
          <t>전</t>
        </is>
      </c>
      <c r="J1626" s="3" t="inlineStr">
        <is>
          <t>남이면</t>
        </is>
      </c>
    </row>
    <row r="1627">
      <c r="A1627" s="3" t="n">
        <v>2022</v>
      </c>
      <c r="B1627" s="4" t="n">
        <v>9700</v>
      </c>
      <c r="C1627" s="4" t="n">
        <v>495</v>
      </c>
      <c r="D1627" s="4" t="n">
        <v>149.7375</v>
      </c>
      <c r="E1627" s="5" t="n">
        <v>64.8</v>
      </c>
      <c r="F1627" s="3" t="inlineStr">
        <is>
          <t>남이면</t>
        </is>
      </c>
      <c r="G1627" s="3" t="inlineStr">
        <is>
          <t>석판리</t>
        </is>
      </c>
      <c r="H1627" s="3" t="inlineStr">
        <is>
          <t>자연녹지지역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14000</v>
      </c>
      <c r="C1628" s="4" t="n">
        <v>853</v>
      </c>
      <c r="D1628" s="4" t="n">
        <v>258.0325</v>
      </c>
      <c r="E1628" s="5" t="n">
        <v>54.3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2022</v>
      </c>
      <c r="B1629" s="4" t="n">
        <v>24390</v>
      </c>
      <c r="C1629" s="4" t="n">
        <v>681</v>
      </c>
      <c r="D1629" s="4" t="n">
        <v>206.0025</v>
      </c>
      <c r="E1629" s="5" t="n">
        <v>118.4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2022</v>
      </c>
      <c r="B1630" s="4" t="n">
        <v>548</v>
      </c>
      <c r="C1630" s="4" t="n">
        <v>17</v>
      </c>
      <c r="D1630" s="4" t="n">
        <v>5.1425</v>
      </c>
      <c r="E1630" s="5" t="n">
        <v>106.6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남이면</t>
        </is>
      </c>
    </row>
    <row r="1631">
      <c r="A1631" s="3" t="n">
        <v>2022</v>
      </c>
      <c r="B1631" s="4" t="n">
        <v>74</v>
      </c>
      <c r="C1631" s="4" t="n">
        <v>8</v>
      </c>
      <c r="D1631" s="4" t="n">
        <v>2.42</v>
      </c>
      <c r="E1631" s="5" t="n">
        <v>30.6</v>
      </c>
      <c r="F1631" s="3" t="inlineStr">
        <is>
          <t>남이면</t>
        </is>
      </c>
      <c r="G1631" s="3" t="inlineStr">
        <is>
          <t>가좌리</t>
        </is>
      </c>
      <c r="H1631" s="3" t="inlineStr">
        <is>
          <t>자연녹지지역</t>
        </is>
      </c>
      <c r="I1631" s="3" t="inlineStr">
        <is>
          <t>도로</t>
        </is>
      </c>
      <c r="J1631" s="3" t="inlineStr">
        <is>
          <t>남이면</t>
        </is>
      </c>
    </row>
    <row r="1632">
      <c r="A1632" s="3" t="n">
        <v>2022</v>
      </c>
      <c r="B1632" s="4" t="n">
        <v>548</v>
      </c>
      <c r="C1632" s="4" t="n">
        <v>17</v>
      </c>
      <c r="D1632" s="4" t="n">
        <v>5.1425</v>
      </c>
      <c r="E1632" s="5" t="n">
        <v>106.6</v>
      </c>
      <c r="F1632" s="3" t="inlineStr">
        <is>
          <t>남이면</t>
        </is>
      </c>
      <c r="G1632" s="3" t="inlineStr">
        <is>
          <t>가좌리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2022</v>
      </c>
      <c r="B1633" s="4" t="n">
        <v>14480</v>
      </c>
      <c r="C1633" s="4" t="n">
        <v>2394</v>
      </c>
      <c r="D1633" s="4" t="n">
        <v>724.1849999999999</v>
      </c>
      <c r="E1633" s="5" t="n">
        <v>20</v>
      </c>
      <c r="F1633" s="3" t="inlineStr">
        <is>
          <t>현도면</t>
        </is>
      </c>
      <c r="G1633" s="3" t="inlineStr">
        <is>
          <t>하석리</t>
        </is>
      </c>
      <c r="H1633" s="3" t="inlineStr">
        <is>
          <t>개발제한구역</t>
        </is>
      </c>
      <c r="I1633" s="3" t="inlineStr">
        <is>
          <t>답</t>
        </is>
      </c>
      <c r="J1633" s="3" t="inlineStr">
        <is>
          <t>현도면</t>
        </is>
      </c>
    </row>
    <row r="1634">
      <c r="A1634" s="3" t="n">
        <v>2022</v>
      </c>
      <c r="B1634" s="4" t="n">
        <v>4100</v>
      </c>
      <c r="C1634" s="4" t="n">
        <v>1004</v>
      </c>
      <c r="D1634" s="4" t="n">
        <v>303.71</v>
      </c>
      <c r="E1634" s="5" t="n">
        <v>13.5</v>
      </c>
      <c r="F1634" s="3" t="inlineStr">
        <is>
          <t>현도면</t>
        </is>
      </c>
      <c r="G1634" s="3" t="inlineStr">
        <is>
          <t>중척리</t>
        </is>
      </c>
      <c r="H1634" s="3" t="inlineStr">
        <is>
          <t>개발제한구역</t>
        </is>
      </c>
      <c r="I1634" s="3" t="inlineStr">
        <is>
          <t>전</t>
        </is>
      </c>
      <c r="J1634" s="3" t="inlineStr">
        <is>
          <t>현도면</t>
        </is>
      </c>
    </row>
    <row r="1635">
      <c r="A1635" s="3" t="n">
        <v>2022</v>
      </c>
      <c r="B1635" s="4" t="n">
        <v>4000</v>
      </c>
      <c r="C1635" s="4" t="n">
        <v>927</v>
      </c>
      <c r="D1635" s="4" t="n">
        <v>280.4175</v>
      </c>
      <c r="E1635" s="5" t="n">
        <v>14.3</v>
      </c>
      <c r="F1635" s="3" t="inlineStr">
        <is>
          <t>현도면</t>
        </is>
      </c>
      <c r="G1635" s="3" t="inlineStr">
        <is>
          <t>중척리</t>
        </is>
      </c>
      <c r="H1635" s="3" t="inlineStr">
        <is>
          <t>개발제한구역</t>
        </is>
      </c>
      <c r="I1635" s="3" t="inlineStr">
        <is>
          <t>전</t>
        </is>
      </c>
      <c r="J1635" s="3" t="inlineStr">
        <is>
          <t>현도면</t>
        </is>
      </c>
    </row>
    <row r="1636">
      <c r="A1636" s="3" t="n">
        <v>2022</v>
      </c>
      <c r="B1636" s="4" t="n">
        <v>8800</v>
      </c>
      <c r="C1636" s="4" t="n">
        <v>1162</v>
      </c>
      <c r="D1636" s="4" t="n">
        <v>351.505</v>
      </c>
      <c r="E1636" s="5" t="n">
        <v>25</v>
      </c>
      <c r="F1636" s="3" t="inlineStr">
        <is>
          <t>현도면</t>
        </is>
      </c>
      <c r="G1636" s="3" t="inlineStr">
        <is>
          <t>시목리</t>
        </is>
      </c>
      <c r="H1636" s="3" t="inlineStr">
        <is>
          <t>개발제한구역</t>
        </is>
      </c>
      <c r="I1636" s="3" t="inlineStr">
        <is>
          <t>답</t>
        </is>
      </c>
      <c r="J1636" s="3" t="inlineStr">
        <is>
          <t>현도면</t>
        </is>
      </c>
    </row>
    <row r="1637">
      <c r="A1637" s="3" t="n">
        <v>2022</v>
      </c>
      <c r="B1637" s="4" t="n">
        <v>2500</v>
      </c>
      <c r="C1637" s="4" t="n">
        <v>883</v>
      </c>
      <c r="D1637" s="4" t="n">
        <v>267.1075</v>
      </c>
      <c r="E1637" s="5" t="n">
        <v>9.4</v>
      </c>
      <c r="F1637" s="3" t="inlineStr">
        <is>
          <t>현도면</t>
        </is>
      </c>
      <c r="G1637" s="3" t="inlineStr">
        <is>
          <t>시동리</t>
        </is>
      </c>
      <c r="H1637" s="3" t="inlineStr">
        <is>
          <t>개발제한구역</t>
        </is>
      </c>
      <c r="I1637" s="3" t="inlineStr">
        <is>
          <t>전</t>
        </is>
      </c>
      <c r="J1637" s="3" t="inlineStr">
        <is>
          <t>현도면</t>
        </is>
      </c>
    </row>
    <row r="1638">
      <c r="A1638" s="3" t="n">
        <v>2024</v>
      </c>
      <c r="B1638" s="4" t="n">
        <v>11000</v>
      </c>
      <c r="C1638" s="4" t="n">
        <v>193</v>
      </c>
      <c r="D1638" s="4" t="n">
        <v>58.3825</v>
      </c>
      <c r="E1638" s="5" t="n">
        <v>188.4</v>
      </c>
      <c r="F1638" s="3" t="inlineStr">
        <is>
          <t>금남면</t>
        </is>
      </c>
      <c r="G1638" s="3" t="inlineStr">
        <is>
          <t>도암리</t>
        </is>
      </c>
      <c r="H1638" s="3" t="inlineStr">
        <is>
          <t>계획관리지역</t>
        </is>
      </c>
      <c r="I1638" s="3" t="inlineStr">
        <is>
          <t>대</t>
        </is>
      </c>
      <c r="J1638" s="3" t="inlineStr">
        <is>
          <t>금남면</t>
        </is>
      </c>
    </row>
    <row r="1639">
      <c r="A1639" s="3" t="n">
        <v>2024</v>
      </c>
      <c r="B1639" s="4" t="n">
        <v>4112</v>
      </c>
      <c r="C1639" s="4" t="n">
        <v>66</v>
      </c>
      <c r="D1639" s="4" t="n">
        <v>19.965</v>
      </c>
      <c r="E1639" s="5" t="n">
        <v>206</v>
      </c>
      <c r="F1639" s="3" t="inlineStr">
        <is>
          <t>금남면</t>
        </is>
      </c>
      <c r="G1639" s="3" t="inlineStr">
        <is>
          <t>국곡리</t>
        </is>
      </c>
      <c r="H1639" s="3" t="inlineStr">
        <is>
          <t>기타</t>
        </is>
      </c>
      <c r="I1639" s="3" t="inlineStr">
        <is>
          <t>잡종지</t>
        </is>
      </c>
      <c r="J1639" s="3" t="inlineStr">
        <is>
          <t>금남면</t>
        </is>
      </c>
    </row>
    <row r="1640">
      <c r="A1640" s="3" t="n">
        <v>2024</v>
      </c>
      <c r="B1640" s="4" t="n">
        <v>22964</v>
      </c>
      <c r="C1640" s="4" t="n">
        <v>374</v>
      </c>
      <c r="D1640" s="4" t="n">
        <v>113.135</v>
      </c>
      <c r="E1640" s="5" t="n">
        <v>203</v>
      </c>
      <c r="F1640" s="3" t="inlineStr">
        <is>
          <t>금남면</t>
        </is>
      </c>
      <c r="G1640" s="3" t="inlineStr">
        <is>
          <t>국곡리</t>
        </is>
      </c>
      <c r="H1640" s="3" t="inlineStr">
        <is>
          <t>기타</t>
        </is>
      </c>
      <c r="I1640" s="3" t="inlineStr">
        <is>
          <t>임야</t>
        </is>
      </c>
      <c r="J1640" s="3" t="inlineStr">
        <is>
          <t>금남면</t>
        </is>
      </c>
    </row>
    <row r="1641">
      <c r="A1641" s="3" t="n">
        <v>2024</v>
      </c>
      <c r="B1641" s="4" t="n">
        <v>10929</v>
      </c>
      <c r="C1641" s="4" t="n">
        <v>178</v>
      </c>
      <c r="D1641" s="4" t="n">
        <v>53.845</v>
      </c>
      <c r="E1641" s="5" t="n">
        <v>203</v>
      </c>
      <c r="F1641" s="3" t="inlineStr">
        <is>
          <t>금남면</t>
        </is>
      </c>
      <c r="G1641" s="3" t="inlineStr">
        <is>
          <t>국곡리</t>
        </is>
      </c>
      <c r="H1641" s="3" t="inlineStr">
        <is>
          <t>기타</t>
        </is>
      </c>
      <c r="I1641" s="3" t="inlineStr">
        <is>
          <t>임야</t>
        </is>
      </c>
      <c r="J1641" s="3" t="inlineStr">
        <is>
          <t>금남면</t>
        </is>
      </c>
    </row>
    <row r="1642">
      <c r="A1642" s="3" t="n">
        <v>2024</v>
      </c>
      <c r="B1642" s="4" t="n">
        <v>27300</v>
      </c>
      <c r="C1642" s="4" t="n">
        <v>288</v>
      </c>
      <c r="D1642" s="4" t="n">
        <v>87.12</v>
      </c>
      <c r="E1642" s="5" t="n">
        <v>313.4</v>
      </c>
      <c r="F1642" s="3" t="inlineStr">
        <is>
          <t>해밀동</t>
        </is>
      </c>
      <c r="G1642" s="3" t="inlineStr"/>
      <c r="H1642" s="3" t="inlineStr">
        <is>
          <t>기타</t>
        </is>
      </c>
      <c r="I1642" s="3" t="inlineStr">
        <is>
          <t>대</t>
        </is>
      </c>
      <c r="J1642" s="3" t="inlineStr">
        <is>
          <t>해밀동</t>
        </is>
      </c>
    </row>
    <row r="1643">
      <c r="A1643" s="3" t="n">
        <v>2024</v>
      </c>
      <c r="B1643" s="4" t="n">
        <v>26600</v>
      </c>
      <c r="C1643" s="4" t="n">
        <v>280</v>
      </c>
      <c r="D1643" s="4" t="n">
        <v>84.7</v>
      </c>
      <c r="E1643" s="5" t="n">
        <v>314</v>
      </c>
      <c r="F1643" s="3" t="inlineStr">
        <is>
          <t>집현동</t>
        </is>
      </c>
      <c r="G1643" s="3" t="inlineStr"/>
      <c r="H1643" s="3" t="inlineStr">
        <is>
          <t>기타</t>
        </is>
      </c>
      <c r="I1643" s="3" t="inlineStr">
        <is>
          <t>대</t>
        </is>
      </c>
      <c r="J1643" s="3" t="inlineStr">
        <is>
          <t>집현동</t>
        </is>
      </c>
    </row>
    <row r="1644">
      <c r="A1644" s="3" t="n">
        <v>2024</v>
      </c>
      <c r="B1644" s="4" t="n">
        <v>43000</v>
      </c>
      <c r="C1644" s="4" t="n">
        <v>512</v>
      </c>
      <c r="D1644" s="4" t="n">
        <v>154.88</v>
      </c>
      <c r="E1644" s="5" t="n">
        <v>277.6</v>
      </c>
      <c r="F1644" s="3" t="inlineStr">
        <is>
          <t>장군면</t>
        </is>
      </c>
      <c r="G1644" s="3" t="inlineStr">
        <is>
          <t>태산리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장군면</t>
        </is>
      </c>
    </row>
    <row r="1645">
      <c r="A1645" s="3" t="n">
        <v>2024</v>
      </c>
      <c r="B1645" s="4" t="n">
        <v>54000</v>
      </c>
      <c r="C1645" s="4" t="n">
        <v>250.2</v>
      </c>
      <c r="D1645" s="4" t="n">
        <v>75.68549999999999</v>
      </c>
      <c r="E1645" s="5" t="n">
        <v>713.5</v>
      </c>
      <c r="F1645" s="3" t="inlineStr">
        <is>
          <t>조치원읍</t>
        </is>
      </c>
      <c r="G1645" s="3" t="inlineStr">
        <is>
          <t>침산리</t>
        </is>
      </c>
      <c r="H1645" s="3" t="inlineStr">
        <is>
          <t>제2종일반주거지역</t>
        </is>
      </c>
      <c r="I1645" s="3" t="inlineStr">
        <is>
          <t>대</t>
        </is>
      </c>
      <c r="J1645" s="3" t="inlineStr">
        <is>
          <t>조치원읍</t>
        </is>
      </c>
    </row>
    <row r="1646">
      <c r="A1646" s="3" t="n">
        <v>2024</v>
      </c>
      <c r="B1646" s="4" t="n">
        <v>16000</v>
      </c>
      <c r="C1646" s="4" t="n">
        <v>6600</v>
      </c>
      <c r="D1646" s="4" t="n">
        <v>1996.5</v>
      </c>
      <c r="E1646" s="5" t="n">
        <v>8</v>
      </c>
      <c r="F1646" s="3" t="inlineStr">
        <is>
          <t>전동면</t>
        </is>
      </c>
      <c r="G1646" s="3" t="inlineStr">
        <is>
          <t>봉대리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전동면</t>
        </is>
      </c>
    </row>
    <row r="1647">
      <c r="A1647" s="3" t="n">
        <v>2024</v>
      </c>
      <c r="B1647" s="4" t="n">
        <v>34200</v>
      </c>
      <c r="C1647" s="4" t="n">
        <v>1358</v>
      </c>
      <c r="D1647" s="4" t="n">
        <v>410.795</v>
      </c>
      <c r="E1647" s="5" t="n">
        <v>83.3</v>
      </c>
      <c r="F1647" s="3" t="inlineStr">
        <is>
          <t>금남면</t>
        </is>
      </c>
      <c r="G1647" s="3" t="inlineStr">
        <is>
          <t>원봉리</t>
        </is>
      </c>
      <c r="H1647" s="3" t="inlineStr">
        <is>
          <t>계획관리지역</t>
        </is>
      </c>
      <c r="I1647" s="3" t="inlineStr">
        <is>
          <t>전</t>
        </is>
      </c>
      <c r="J1647" s="3" t="inlineStr">
        <is>
          <t>금남면</t>
        </is>
      </c>
    </row>
    <row r="1648">
      <c r="A1648" s="3" t="n">
        <v>2024</v>
      </c>
      <c r="B1648" s="4" t="n">
        <v>20800</v>
      </c>
      <c r="C1648" s="4" t="n">
        <v>827</v>
      </c>
      <c r="D1648" s="4" t="n">
        <v>250.1675</v>
      </c>
      <c r="E1648" s="5" t="n">
        <v>83.09999999999999</v>
      </c>
      <c r="F1648" s="3" t="inlineStr">
        <is>
          <t>금남면</t>
        </is>
      </c>
      <c r="G1648" s="3" t="inlineStr">
        <is>
          <t>원봉리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금남면</t>
        </is>
      </c>
    </row>
    <row r="1649">
      <c r="A1649" s="3" t="n">
        <v>2024</v>
      </c>
      <c r="B1649" s="4" t="n">
        <v>224</v>
      </c>
      <c r="C1649" s="4" t="n">
        <v>3</v>
      </c>
      <c r="D1649" s="4" t="n">
        <v>0.9075</v>
      </c>
      <c r="E1649" s="5" t="n">
        <v>246.8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임야</t>
        </is>
      </c>
      <c r="J1649" s="3" t="inlineStr">
        <is>
          <t>조치원읍</t>
        </is>
      </c>
    </row>
    <row r="1650">
      <c r="A1650" s="3" t="n">
        <v>2024</v>
      </c>
      <c r="B1650" s="4" t="n">
        <v>4200</v>
      </c>
      <c r="C1650" s="4" t="n">
        <v>231</v>
      </c>
      <c r="D1650" s="4" t="n">
        <v>69.8775</v>
      </c>
      <c r="E1650" s="5" t="n">
        <v>60.1</v>
      </c>
      <c r="F1650" s="3" t="inlineStr">
        <is>
          <t>금남면</t>
        </is>
      </c>
      <c r="G1650" s="3" t="inlineStr">
        <is>
          <t>영곡리</t>
        </is>
      </c>
      <c r="H1650" s="3" t="inlineStr">
        <is>
          <t>보전관리지역</t>
        </is>
      </c>
      <c r="I1650" s="3" t="inlineStr">
        <is>
          <t>임야</t>
        </is>
      </c>
      <c r="J1650" s="3" t="inlineStr">
        <is>
          <t>금남면</t>
        </is>
      </c>
    </row>
    <row r="1651">
      <c r="A1651" s="3" t="n">
        <v>2024</v>
      </c>
      <c r="B1651" s="4" t="n">
        <v>10500</v>
      </c>
      <c r="C1651" s="4" t="n">
        <v>700</v>
      </c>
      <c r="D1651" s="4" t="n">
        <v>211.75</v>
      </c>
      <c r="E1651" s="5" t="n">
        <v>49.6</v>
      </c>
      <c r="F1651" s="3" t="inlineStr">
        <is>
          <t>장군면</t>
        </is>
      </c>
      <c r="G1651" s="3" t="inlineStr">
        <is>
          <t>용현리</t>
        </is>
      </c>
      <c r="H1651" s="3" t="inlineStr">
        <is>
          <t>보전관리지역</t>
        </is>
      </c>
      <c r="I1651" s="3" t="inlineStr">
        <is>
          <t>대</t>
        </is>
      </c>
      <c r="J1651" s="3" t="inlineStr">
        <is>
          <t>장군면</t>
        </is>
      </c>
    </row>
    <row r="1652">
      <c r="A1652" s="3" t="n">
        <v>2024</v>
      </c>
      <c r="B1652" s="4" t="n">
        <v>43800</v>
      </c>
      <c r="C1652" s="4" t="n">
        <v>1482</v>
      </c>
      <c r="D1652" s="4" t="n">
        <v>448.305</v>
      </c>
      <c r="E1652" s="5" t="n">
        <v>97.7</v>
      </c>
      <c r="F1652" s="3" t="inlineStr">
        <is>
          <t>연서면</t>
        </is>
      </c>
      <c r="G1652" s="3" t="inlineStr">
        <is>
          <t>신대리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연서면</t>
        </is>
      </c>
    </row>
    <row r="1653">
      <c r="A1653" s="3" t="n">
        <v>2024</v>
      </c>
      <c r="B1653" s="4" t="n">
        <v>3500</v>
      </c>
      <c r="C1653" s="4" t="n">
        <v>271</v>
      </c>
      <c r="D1653" s="4" t="n">
        <v>81.97749999999999</v>
      </c>
      <c r="E1653" s="5" t="n">
        <v>42.7</v>
      </c>
      <c r="F1653" s="3" t="inlineStr">
        <is>
          <t>전의면</t>
        </is>
      </c>
      <c r="G1653" s="3" t="inlineStr">
        <is>
          <t>금사리</t>
        </is>
      </c>
      <c r="H1653" s="3" t="inlineStr">
        <is>
          <t>생산관리지역</t>
        </is>
      </c>
      <c r="I1653" s="3" t="inlineStr">
        <is>
          <t>답</t>
        </is>
      </c>
      <c r="J1653" s="3" t="inlineStr">
        <is>
          <t>전의면</t>
        </is>
      </c>
    </row>
    <row r="1654">
      <c r="A1654" s="3" t="n">
        <v>2024</v>
      </c>
      <c r="B1654" s="4" t="n">
        <v>14520</v>
      </c>
      <c r="C1654" s="4" t="n">
        <v>387</v>
      </c>
      <c r="D1654" s="4" t="n">
        <v>117.0675</v>
      </c>
      <c r="E1654" s="5" t="n">
        <v>124</v>
      </c>
      <c r="F1654" s="3" t="inlineStr">
        <is>
          <t>장군면</t>
        </is>
      </c>
      <c r="G1654" s="3" t="inlineStr">
        <is>
          <t>금암리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장군면</t>
        </is>
      </c>
    </row>
    <row r="1655">
      <c r="A1655" s="3" t="n">
        <v>2024</v>
      </c>
      <c r="B1655" s="4" t="n">
        <v>11160</v>
      </c>
      <c r="C1655" s="4" t="n">
        <v>1537</v>
      </c>
      <c r="D1655" s="4" t="n">
        <v>464.9425</v>
      </c>
      <c r="E1655" s="5" t="n">
        <v>24</v>
      </c>
      <c r="F1655" s="3" t="inlineStr">
        <is>
          <t>소정면</t>
        </is>
      </c>
      <c r="G1655" s="3" t="inlineStr">
        <is>
          <t>소정리</t>
        </is>
      </c>
      <c r="H1655" s="3" t="inlineStr">
        <is>
          <t>농림지역</t>
        </is>
      </c>
      <c r="I1655" s="3" t="inlineStr">
        <is>
          <t>답</t>
        </is>
      </c>
      <c r="J1655" s="3" t="inlineStr">
        <is>
          <t>소정면</t>
        </is>
      </c>
    </row>
    <row r="1656">
      <c r="A1656" s="3" t="n">
        <v>2024</v>
      </c>
      <c r="B1656" s="4" t="n">
        <v>17064</v>
      </c>
      <c r="C1656" s="4" t="n">
        <v>2350</v>
      </c>
      <c r="D1656" s="4" t="n">
        <v>710.875</v>
      </c>
      <c r="E1656" s="5" t="n">
        <v>24</v>
      </c>
      <c r="F1656" s="3" t="inlineStr">
        <is>
          <t>소정면</t>
        </is>
      </c>
      <c r="G1656" s="3" t="inlineStr">
        <is>
          <t>소정리</t>
        </is>
      </c>
      <c r="H1656" s="3" t="inlineStr">
        <is>
          <t>농림지역</t>
        </is>
      </c>
      <c r="I1656" s="3" t="inlineStr">
        <is>
          <t>답</t>
        </is>
      </c>
      <c r="J1656" s="3" t="inlineStr">
        <is>
          <t>소정면</t>
        </is>
      </c>
    </row>
    <row r="1657">
      <c r="A1657" s="3" t="n">
        <v>2024</v>
      </c>
      <c r="B1657" s="4" t="n">
        <v>44000</v>
      </c>
      <c r="C1657" s="4" t="n">
        <v>1215</v>
      </c>
      <c r="D1657" s="4" t="n">
        <v>367.5375</v>
      </c>
      <c r="E1657" s="5" t="n">
        <v>119.7</v>
      </c>
      <c r="F1657" s="3" t="inlineStr">
        <is>
          <t>부강면</t>
        </is>
      </c>
      <c r="G1657" s="3" t="inlineStr">
        <is>
          <t>문곡리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2024</v>
      </c>
      <c r="B1658" s="4" t="n">
        <v>15000</v>
      </c>
      <c r="C1658" s="4" t="n">
        <v>405</v>
      </c>
      <c r="D1658" s="4" t="n">
        <v>122.5125</v>
      </c>
      <c r="E1658" s="5" t="n">
        <v>122.4</v>
      </c>
      <c r="F1658" s="3" t="inlineStr">
        <is>
          <t>부강면</t>
        </is>
      </c>
      <c r="G1658" s="3" t="inlineStr">
        <is>
          <t>부강리</t>
        </is>
      </c>
      <c r="H1658" s="3" t="inlineStr">
        <is>
          <t>자연녹지지역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2024</v>
      </c>
      <c r="B1659" s="4" t="n">
        <v>37085</v>
      </c>
      <c r="C1659" s="4" t="n">
        <v>500</v>
      </c>
      <c r="D1659" s="4" t="n">
        <v>151.25</v>
      </c>
      <c r="E1659" s="5" t="n">
        <v>245.2</v>
      </c>
      <c r="F1659" s="3" t="inlineStr">
        <is>
          <t>장군면</t>
        </is>
      </c>
      <c r="G1659" s="3" t="inlineStr">
        <is>
          <t>대교리</t>
        </is>
      </c>
      <c r="H1659" s="3" t="inlineStr">
        <is>
          <t>보전관리지역</t>
        </is>
      </c>
      <c r="I1659" s="3" t="inlineStr">
        <is>
          <t>대</t>
        </is>
      </c>
      <c r="J1659" s="3" t="inlineStr">
        <is>
          <t>장군면</t>
        </is>
      </c>
    </row>
    <row r="1660">
      <c r="A1660" s="3" t="n">
        <v>2024</v>
      </c>
      <c r="B1660" s="4" t="n">
        <v>14740</v>
      </c>
      <c r="C1660" s="4" t="n">
        <v>885</v>
      </c>
      <c r="D1660" s="4" t="n">
        <v>267.7125</v>
      </c>
      <c r="E1660" s="5" t="n">
        <v>55.1</v>
      </c>
      <c r="F1660" s="3" t="inlineStr">
        <is>
          <t>금남면</t>
        </is>
      </c>
      <c r="G1660" s="3" t="inlineStr">
        <is>
          <t>황용리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2024</v>
      </c>
      <c r="B1661" s="4" t="n">
        <v>50500</v>
      </c>
      <c r="C1661" s="4" t="n">
        <v>363</v>
      </c>
      <c r="D1661" s="4" t="n">
        <v>109.8075</v>
      </c>
      <c r="E1661" s="5" t="n">
        <v>459.9</v>
      </c>
      <c r="F1661" s="3" t="inlineStr">
        <is>
          <t>장군면</t>
        </is>
      </c>
      <c r="G1661" s="3" t="inlineStr">
        <is>
          <t>금암리</t>
        </is>
      </c>
      <c r="H1661" s="3" t="inlineStr">
        <is>
          <t>보전관리지역</t>
        </is>
      </c>
      <c r="I1661" s="3" t="inlineStr">
        <is>
          <t>대</t>
        </is>
      </c>
      <c r="J1661" s="3" t="inlineStr">
        <is>
          <t>장군면</t>
        </is>
      </c>
    </row>
    <row r="1662">
      <c r="A1662" s="3" t="n">
        <v>2024</v>
      </c>
      <c r="B1662" s="4" t="n">
        <v>63000</v>
      </c>
      <c r="C1662" s="4" t="n">
        <v>377.8</v>
      </c>
      <c r="D1662" s="4" t="n">
        <v>114.2845</v>
      </c>
      <c r="E1662" s="5" t="n">
        <v>551.3</v>
      </c>
      <c r="F1662" s="3" t="inlineStr">
        <is>
          <t>반곡동</t>
        </is>
      </c>
      <c r="G1662" s="3" t="inlineStr"/>
      <c r="H1662" s="3" t="inlineStr">
        <is>
          <t>제1종전용주거지역</t>
        </is>
      </c>
      <c r="I1662" s="3" t="inlineStr">
        <is>
          <t>대</t>
        </is>
      </c>
      <c r="J1662" s="3" t="inlineStr">
        <is>
          <t>반곡동</t>
        </is>
      </c>
    </row>
    <row r="1663">
      <c r="A1663" s="3" t="n">
        <v>2024</v>
      </c>
      <c r="B1663" s="4" t="n">
        <v>35000</v>
      </c>
      <c r="C1663" s="4" t="n">
        <v>3260</v>
      </c>
      <c r="D1663" s="4" t="n">
        <v>986.15</v>
      </c>
      <c r="E1663" s="5" t="n">
        <v>35.5</v>
      </c>
      <c r="F1663" s="3" t="inlineStr">
        <is>
          <t>연서면</t>
        </is>
      </c>
      <c r="G1663" s="3" t="inlineStr">
        <is>
          <t>쌍류리</t>
        </is>
      </c>
      <c r="H1663" s="3" t="inlineStr">
        <is>
          <t>생산관리지역</t>
        </is>
      </c>
      <c r="I1663" s="3" t="inlineStr">
        <is>
          <t>과수원</t>
        </is>
      </c>
      <c r="J1663" s="3" t="inlineStr">
        <is>
          <t>연서면</t>
        </is>
      </c>
    </row>
    <row r="1664">
      <c r="A1664" s="3" t="n">
        <v>2024</v>
      </c>
      <c r="B1664" s="4" t="n">
        <v>27000</v>
      </c>
      <c r="C1664" s="4" t="n">
        <v>660</v>
      </c>
      <c r="D1664" s="4" t="n">
        <v>199.65</v>
      </c>
      <c r="E1664" s="5" t="n">
        <v>135.2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장군면</t>
        </is>
      </c>
    </row>
    <row r="1665">
      <c r="A1665" s="3" t="n">
        <v>2024</v>
      </c>
      <c r="B1665" s="4" t="n">
        <v>2511</v>
      </c>
      <c r="C1665" s="4" t="n">
        <v>740</v>
      </c>
      <c r="D1665" s="4" t="n">
        <v>223.85</v>
      </c>
      <c r="E1665" s="5" t="n">
        <v>11.2</v>
      </c>
      <c r="F1665" s="3" t="inlineStr">
        <is>
          <t>소정면</t>
        </is>
      </c>
      <c r="G1665" s="3" t="inlineStr">
        <is>
          <t>소정리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소정면</t>
        </is>
      </c>
    </row>
    <row r="1666">
      <c r="A1666" s="3" t="n">
        <v>2024</v>
      </c>
      <c r="B1666" s="4" t="n">
        <v>4331</v>
      </c>
      <c r="C1666" s="4" t="n">
        <v>1240</v>
      </c>
      <c r="D1666" s="4" t="n">
        <v>375.1</v>
      </c>
      <c r="E1666" s="5" t="n">
        <v>11.5</v>
      </c>
      <c r="F1666" s="3" t="inlineStr">
        <is>
          <t>소정면</t>
        </is>
      </c>
      <c r="G1666" s="3" t="inlineStr">
        <is>
          <t>소정리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소정면</t>
        </is>
      </c>
    </row>
    <row r="1667">
      <c r="A1667" s="3" t="n">
        <v>2024</v>
      </c>
      <c r="B1667" s="4" t="n">
        <v>6801</v>
      </c>
      <c r="C1667" s="4" t="n">
        <v>1964</v>
      </c>
      <c r="D1667" s="4" t="n">
        <v>594.11</v>
      </c>
      <c r="E1667" s="5" t="n">
        <v>11.4</v>
      </c>
      <c r="F1667" s="3" t="inlineStr">
        <is>
          <t>소정면</t>
        </is>
      </c>
      <c r="G1667" s="3" t="inlineStr">
        <is>
          <t>소정리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소정면</t>
        </is>
      </c>
    </row>
    <row r="1668">
      <c r="A1668" s="3" t="n">
        <v>2024</v>
      </c>
      <c r="B1668" s="4" t="n">
        <v>6756</v>
      </c>
      <c r="C1668" s="4" t="n">
        <v>1951</v>
      </c>
      <c r="D1668" s="4" t="n">
        <v>590.1775</v>
      </c>
      <c r="E1668" s="5" t="n">
        <v>11.4</v>
      </c>
      <c r="F1668" s="3" t="inlineStr">
        <is>
          <t>소정면</t>
        </is>
      </c>
      <c r="G1668" s="3" t="inlineStr">
        <is>
          <t>소정리</t>
        </is>
      </c>
      <c r="H1668" s="3" t="inlineStr">
        <is>
          <t>농림지역</t>
        </is>
      </c>
      <c r="I1668" s="3" t="inlineStr">
        <is>
          <t>답</t>
        </is>
      </c>
      <c r="J1668" s="3" t="inlineStr">
        <is>
          <t>소정면</t>
        </is>
      </c>
    </row>
    <row r="1669">
      <c r="A1669" s="3" t="n">
        <v>2022</v>
      </c>
      <c r="B1669" s="4" t="n">
        <v>105490</v>
      </c>
      <c r="C1669" s="4" t="n">
        <v>4982.1</v>
      </c>
      <c r="D1669" s="4" t="n">
        <v>1507.08525</v>
      </c>
      <c r="E1669" s="5" t="n">
        <v>70</v>
      </c>
      <c r="F1669" s="3" t="inlineStr">
        <is>
          <t>장군면</t>
        </is>
      </c>
      <c r="G1669" s="3" t="inlineStr">
        <is>
          <t>송학리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2022</v>
      </c>
      <c r="B1670" s="4" t="n">
        <v>17300</v>
      </c>
      <c r="C1670" s="4" t="n">
        <v>1139</v>
      </c>
      <c r="D1670" s="4" t="n">
        <v>344.5475</v>
      </c>
      <c r="E1670" s="5" t="n">
        <v>50.2</v>
      </c>
      <c r="F1670" s="3" t="inlineStr">
        <is>
          <t>전의면</t>
        </is>
      </c>
      <c r="G1670" s="3" t="inlineStr">
        <is>
          <t>신정리</t>
        </is>
      </c>
      <c r="H1670" s="3" t="inlineStr">
        <is>
          <t>생산관리지역</t>
        </is>
      </c>
      <c r="I1670" s="3" t="inlineStr">
        <is>
          <t>전</t>
        </is>
      </c>
      <c r="J1670" s="3" t="inlineStr">
        <is>
          <t>전의면</t>
        </is>
      </c>
    </row>
    <row r="1671">
      <c r="A1671" s="3" t="n">
        <v>2022</v>
      </c>
      <c r="B1671" s="4" t="n">
        <v>8877</v>
      </c>
      <c r="C1671" s="4" t="n">
        <v>591</v>
      </c>
      <c r="D1671" s="4" t="n">
        <v>178.7775</v>
      </c>
      <c r="E1671" s="5" t="n">
        <v>49.7</v>
      </c>
      <c r="F1671" s="3" t="inlineStr">
        <is>
          <t>전의면</t>
        </is>
      </c>
      <c r="G1671" s="3" t="inlineStr">
        <is>
          <t>신정리</t>
        </is>
      </c>
      <c r="H1671" s="3" t="inlineStr">
        <is>
          <t>생산관리지역</t>
        </is>
      </c>
      <c r="I1671" s="3" t="inlineStr">
        <is>
          <t>잡종지</t>
        </is>
      </c>
      <c r="J1671" s="3" t="inlineStr">
        <is>
          <t>전의면</t>
        </is>
      </c>
    </row>
    <row r="1672">
      <c r="A1672" s="3" t="n">
        <v>2022</v>
      </c>
      <c r="B1672" s="4" t="n">
        <v>3823</v>
      </c>
      <c r="C1672" s="4" t="n">
        <v>300</v>
      </c>
      <c r="D1672" s="4" t="n">
        <v>90.75</v>
      </c>
      <c r="E1672" s="5" t="n">
        <v>42.1</v>
      </c>
      <c r="F1672" s="3" t="inlineStr">
        <is>
          <t>전의면</t>
        </is>
      </c>
      <c r="G1672" s="3" t="inlineStr">
        <is>
          <t>신정리</t>
        </is>
      </c>
      <c r="H1672" s="3" t="inlineStr">
        <is>
          <t>생산관리지역</t>
        </is>
      </c>
      <c r="I1672" s="3" t="inlineStr">
        <is>
          <t>잡종지</t>
        </is>
      </c>
      <c r="J1672" s="3" t="inlineStr">
        <is>
          <t>전의면</t>
        </is>
      </c>
    </row>
    <row r="1673">
      <c r="A1673" s="3" t="n">
        <v>2022</v>
      </c>
      <c r="B1673" s="4" t="n">
        <v>11856</v>
      </c>
      <c r="C1673" s="4" t="n">
        <v>494</v>
      </c>
      <c r="D1673" s="4" t="n">
        <v>149.435</v>
      </c>
      <c r="E1673" s="5" t="n">
        <v>79.3</v>
      </c>
      <c r="F1673" s="3" t="inlineStr">
        <is>
          <t>조치원읍</t>
        </is>
      </c>
      <c r="G1673" s="3" t="inlineStr">
        <is>
          <t>신안리</t>
        </is>
      </c>
      <c r="H1673" s="3" t="inlineStr">
        <is>
          <t>생산녹지지역</t>
        </is>
      </c>
      <c r="I1673" s="3" t="inlineStr">
        <is>
          <t>답</t>
        </is>
      </c>
      <c r="J1673" s="3" t="inlineStr">
        <is>
          <t>조치원읍</t>
        </is>
      </c>
    </row>
    <row r="1674">
      <c r="A1674" s="3" t="n">
        <v>2022</v>
      </c>
      <c r="B1674" s="4" t="n">
        <v>2714</v>
      </c>
      <c r="C1674" s="4" t="n">
        <v>115</v>
      </c>
      <c r="D1674" s="4" t="n">
        <v>34.7875</v>
      </c>
      <c r="E1674" s="5" t="n">
        <v>78</v>
      </c>
      <c r="F1674" s="3" t="inlineStr">
        <is>
          <t>조치원읍</t>
        </is>
      </c>
      <c r="G1674" s="3" t="inlineStr">
        <is>
          <t>신안리</t>
        </is>
      </c>
      <c r="H1674" s="3" t="inlineStr">
        <is>
          <t>생산녹지지역</t>
        </is>
      </c>
      <c r="I1674" s="3" t="inlineStr">
        <is>
          <t>도로</t>
        </is>
      </c>
      <c r="J1674" s="3" t="inlineStr">
        <is>
          <t>조치원읍</t>
        </is>
      </c>
    </row>
    <row r="1675">
      <c r="A1675" s="3" t="n">
        <v>2022</v>
      </c>
      <c r="B1675" s="4" t="n">
        <v>25440</v>
      </c>
      <c r="C1675" s="4" t="n">
        <v>525</v>
      </c>
      <c r="D1675" s="4" t="n">
        <v>158.8125</v>
      </c>
      <c r="E1675" s="5" t="n">
        <v>160.2</v>
      </c>
      <c r="F1675" s="3" t="inlineStr">
        <is>
          <t>전동면</t>
        </is>
      </c>
      <c r="G1675" s="3" t="inlineStr">
        <is>
          <t>석곡리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전동면</t>
        </is>
      </c>
    </row>
    <row r="1676">
      <c r="A1676" s="3" t="n">
        <v>2022</v>
      </c>
      <c r="B1676" s="4" t="n">
        <v>54369</v>
      </c>
      <c r="C1676" s="4" t="n">
        <v>2046</v>
      </c>
      <c r="D1676" s="4" t="n">
        <v>618.915</v>
      </c>
      <c r="E1676" s="5" t="n">
        <v>87.8</v>
      </c>
      <c r="F1676" s="3" t="inlineStr">
        <is>
          <t>전동면</t>
        </is>
      </c>
      <c r="G1676" s="3" t="inlineStr">
        <is>
          <t>송곡리</t>
        </is>
      </c>
      <c r="H1676" s="3" t="inlineStr">
        <is>
          <t>생산관리지역</t>
        </is>
      </c>
      <c r="I1676" s="3" t="inlineStr">
        <is>
          <t>과수원</t>
        </is>
      </c>
      <c r="J1676" s="3" t="inlineStr">
        <is>
          <t>전동면</t>
        </is>
      </c>
    </row>
    <row r="1677">
      <c r="A1677" s="3" t="n">
        <v>2022</v>
      </c>
      <c r="B1677" s="4" t="n">
        <v>2631</v>
      </c>
      <c r="C1677" s="4" t="n">
        <v>99</v>
      </c>
      <c r="D1677" s="4" t="n">
        <v>29.9475</v>
      </c>
      <c r="E1677" s="5" t="n">
        <v>87.90000000000001</v>
      </c>
      <c r="F1677" s="3" t="inlineStr">
        <is>
          <t>전동면</t>
        </is>
      </c>
      <c r="G1677" s="3" t="inlineStr">
        <is>
          <t>송곡리</t>
        </is>
      </c>
      <c r="H1677" s="3" t="inlineStr">
        <is>
          <t>생산관리지역</t>
        </is>
      </c>
      <c r="I1677" s="3" t="inlineStr">
        <is>
          <t>구거</t>
        </is>
      </c>
      <c r="J1677" s="3" t="inlineStr">
        <is>
          <t>전동면</t>
        </is>
      </c>
    </row>
    <row r="1678">
      <c r="A1678" s="3" t="n">
        <v>2022</v>
      </c>
      <c r="B1678" s="4" t="n">
        <v>75570</v>
      </c>
      <c r="C1678" s="4" t="n">
        <v>2633</v>
      </c>
      <c r="D1678" s="4" t="n">
        <v>796.4825</v>
      </c>
      <c r="E1678" s="5" t="n">
        <v>94.90000000000001</v>
      </c>
      <c r="F1678" s="3" t="inlineStr">
        <is>
          <t>전동면</t>
        </is>
      </c>
      <c r="G1678" s="3" t="inlineStr">
        <is>
          <t>석곡리</t>
        </is>
      </c>
      <c r="H1678" s="3" t="inlineStr">
        <is>
          <t>생산관리지역</t>
        </is>
      </c>
      <c r="I1678" s="3" t="inlineStr">
        <is>
          <t>임야</t>
        </is>
      </c>
      <c r="J1678" s="3" t="inlineStr">
        <is>
          <t>전동면</t>
        </is>
      </c>
    </row>
    <row r="1679">
      <c r="A1679" s="3" t="n">
        <v>2022</v>
      </c>
      <c r="B1679" s="4" t="n">
        <v>24030</v>
      </c>
      <c r="C1679" s="4" t="n">
        <v>660</v>
      </c>
      <c r="D1679" s="4" t="n">
        <v>199.65</v>
      </c>
      <c r="E1679" s="5" t="n">
        <v>120.4</v>
      </c>
      <c r="F1679" s="3" t="inlineStr">
        <is>
          <t>전동면</t>
        </is>
      </c>
      <c r="G1679" s="3" t="inlineStr">
        <is>
          <t>석곡리</t>
        </is>
      </c>
      <c r="H1679" s="3" t="inlineStr">
        <is>
          <t>생산관리지역</t>
        </is>
      </c>
      <c r="I1679" s="3" t="inlineStr">
        <is>
          <t>임야</t>
        </is>
      </c>
      <c r="J1679" s="3" t="inlineStr">
        <is>
          <t>전동면</t>
        </is>
      </c>
    </row>
    <row r="1680">
      <c r="A1680" s="3" t="n">
        <v>2022</v>
      </c>
      <c r="B1680" s="4" t="n">
        <v>14000</v>
      </c>
      <c r="C1680" s="4" t="n">
        <v>1574</v>
      </c>
      <c r="D1680" s="4" t="n">
        <v>476.135</v>
      </c>
      <c r="E1680" s="5" t="n">
        <v>29.4</v>
      </c>
      <c r="F1680" s="3" t="inlineStr">
        <is>
          <t>금남면</t>
        </is>
      </c>
      <c r="G1680" s="3" t="inlineStr">
        <is>
          <t>용포리</t>
        </is>
      </c>
      <c r="H1680" s="3" t="inlineStr">
        <is>
          <t>개발제한구역</t>
        </is>
      </c>
      <c r="I1680" s="3" t="inlineStr">
        <is>
          <t>전</t>
        </is>
      </c>
      <c r="J1680" s="3" t="inlineStr">
        <is>
          <t>금남면</t>
        </is>
      </c>
    </row>
    <row r="1681">
      <c r="A1681" s="3" t="n">
        <v>2022</v>
      </c>
      <c r="B1681" s="4" t="n">
        <v>13000</v>
      </c>
      <c r="C1681" s="4" t="n">
        <v>13190</v>
      </c>
      <c r="D1681" s="4" t="n">
        <v>3989.975</v>
      </c>
      <c r="E1681" s="5" t="n">
        <v>3.3</v>
      </c>
      <c r="F1681" s="3" t="inlineStr">
        <is>
          <t>전동면</t>
        </is>
      </c>
      <c r="G1681" s="3" t="inlineStr">
        <is>
          <t>봉대리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전동면</t>
        </is>
      </c>
    </row>
    <row r="1682">
      <c r="A1682" s="3" t="n">
        <v>2022</v>
      </c>
      <c r="B1682" s="4" t="n">
        <v>17000</v>
      </c>
      <c r="C1682" s="4" t="n">
        <v>2132</v>
      </c>
      <c r="D1682" s="4" t="n">
        <v>644.9299999999999</v>
      </c>
      <c r="E1682" s="5" t="n">
        <v>26.4</v>
      </c>
      <c r="F1682" s="3" t="inlineStr">
        <is>
          <t>전동면</t>
        </is>
      </c>
      <c r="G1682" s="3" t="inlineStr">
        <is>
          <t>봉대리</t>
        </is>
      </c>
      <c r="H1682" s="3" t="inlineStr">
        <is>
          <t>생산관리지역</t>
        </is>
      </c>
      <c r="I1682" s="3" t="inlineStr">
        <is>
          <t>전</t>
        </is>
      </c>
      <c r="J1682" s="3" t="inlineStr">
        <is>
          <t>전동면</t>
        </is>
      </c>
    </row>
    <row r="1683">
      <c r="A1683" s="3" t="n">
        <v>2022</v>
      </c>
      <c r="B1683" s="4" t="n">
        <v>29165</v>
      </c>
      <c r="C1683" s="4" t="n">
        <v>1016</v>
      </c>
      <c r="D1683" s="4" t="n">
        <v>307.34</v>
      </c>
      <c r="E1683" s="5" t="n">
        <v>94.90000000000001</v>
      </c>
      <c r="F1683" s="3" t="inlineStr">
        <is>
          <t>장군면</t>
        </is>
      </c>
      <c r="G1683" s="3" t="inlineStr">
        <is>
          <t>송정리</t>
        </is>
      </c>
      <c r="H1683" s="3" t="inlineStr">
        <is>
          <t>생산관리지역</t>
        </is>
      </c>
      <c r="I1683" s="3" t="inlineStr">
        <is>
          <t>답</t>
        </is>
      </c>
      <c r="J1683" s="3" t="inlineStr">
        <is>
          <t>장군면</t>
        </is>
      </c>
    </row>
    <row r="1684">
      <c r="A1684" s="3" t="n">
        <v>2022</v>
      </c>
      <c r="B1684" s="4" t="n">
        <v>550</v>
      </c>
      <c r="C1684" s="4" t="n">
        <v>390</v>
      </c>
      <c r="D1684" s="4" t="n">
        <v>117.975</v>
      </c>
      <c r="E1684" s="5" t="n">
        <v>4.7</v>
      </c>
      <c r="F1684" s="3" t="inlineStr">
        <is>
          <t>전동면</t>
        </is>
      </c>
      <c r="G1684" s="3" t="inlineStr">
        <is>
          <t>미곡리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전동면</t>
        </is>
      </c>
    </row>
    <row r="1685">
      <c r="A1685" s="3" t="n">
        <v>2022</v>
      </c>
      <c r="B1685" s="4" t="n">
        <v>41500</v>
      </c>
      <c r="C1685" s="4" t="n">
        <v>250.2</v>
      </c>
      <c r="D1685" s="4" t="n">
        <v>75.68549999999999</v>
      </c>
      <c r="E1685" s="5" t="n">
        <v>548.3</v>
      </c>
      <c r="F1685" s="3" t="inlineStr">
        <is>
          <t>조치원읍</t>
        </is>
      </c>
      <c r="G1685" s="3" t="inlineStr">
        <is>
          <t>침산리</t>
        </is>
      </c>
      <c r="H1685" s="3" t="inlineStr">
        <is>
          <t>제2종일반주거지역</t>
        </is>
      </c>
      <c r="I1685" s="3" t="inlineStr">
        <is>
          <t>대</t>
        </is>
      </c>
      <c r="J1685" s="3" t="inlineStr">
        <is>
          <t>조치원읍</t>
        </is>
      </c>
    </row>
    <row r="1686">
      <c r="A1686" s="3" t="n">
        <v>2022</v>
      </c>
      <c r="B1686" s="4" t="n">
        <v>3000</v>
      </c>
      <c r="C1686" s="4" t="n">
        <v>30</v>
      </c>
      <c r="D1686" s="4" t="n">
        <v>9.074999999999999</v>
      </c>
      <c r="E1686" s="5" t="n">
        <v>330.6</v>
      </c>
      <c r="F1686" s="3" t="inlineStr">
        <is>
          <t>연동면</t>
        </is>
      </c>
      <c r="G1686" s="3" t="inlineStr">
        <is>
          <t>노송리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연동면</t>
        </is>
      </c>
    </row>
    <row r="1687">
      <c r="A1687" s="3" t="n">
        <v>2022</v>
      </c>
      <c r="B1687" s="4" t="n">
        <v>45000</v>
      </c>
      <c r="C1687" s="4" t="n">
        <v>992</v>
      </c>
      <c r="D1687" s="4" t="n">
        <v>300.08</v>
      </c>
      <c r="E1687" s="5" t="n">
        <v>150</v>
      </c>
      <c r="F1687" s="3" t="inlineStr">
        <is>
          <t>장군면</t>
        </is>
      </c>
      <c r="G1687" s="3" t="inlineStr">
        <is>
          <t>도계리</t>
        </is>
      </c>
      <c r="H1687" s="3" t="inlineStr">
        <is>
          <t>농림지역</t>
        </is>
      </c>
      <c r="I1687" s="3" t="inlineStr">
        <is>
          <t>전</t>
        </is>
      </c>
      <c r="J1687" s="3" t="inlineStr">
        <is>
          <t>장군면</t>
        </is>
      </c>
    </row>
    <row r="1688">
      <c r="A1688" s="3" t="n">
        <v>2022</v>
      </c>
      <c r="B1688" s="4" t="n">
        <v>8400</v>
      </c>
      <c r="C1688" s="4" t="n">
        <v>1488</v>
      </c>
      <c r="D1688" s="4" t="n">
        <v>450.12</v>
      </c>
      <c r="E1688" s="5" t="n">
        <v>18.7</v>
      </c>
      <c r="F1688" s="3" t="inlineStr">
        <is>
          <t>소정면</t>
        </is>
      </c>
      <c r="G1688" s="3" t="inlineStr">
        <is>
          <t>운당리</t>
        </is>
      </c>
      <c r="H1688" s="3" t="inlineStr">
        <is>
          <t>농림지역</t>
        </is>
      </c>
      <c r="I1688" s="3" t="inlineStr">
        <is>
          <t>답</t>
        </is>
      </c>
      <c r="J1688" s="3" t="inlineStr">
        <is>
          <t>소정면</t>
        </is>
      </c>
    </row>
    <row r="1689">
      <c r="A1689" s="3" t="n">
        <v>2022</v>
      </c>
      <c r="B1689" s="4" t="n">
        <v>16000</v>
      </c>
      <c r="C1689" s="4" t="n">
        <v>187</v>
      </c>
      <c r="D1689" s="4" t="n">
        <v>56.5675</v>
      </c>
      <c r="E1689" s="5" t="n">
        <v>282.8</v>
      </c>
      <c r="F1689" s="3" t="inlineStr">
        <is>
          <t>연동면</t>
        </is>
      </c>
      <c r="G1689" s="3" t="inlineStr">
        <is>
          <t>내판리</t>
        </is>
      </c>
      <c r="H1689" s="3" t="inlineStr">
        <is>
          <t>계획관리지역</t>
        </is>
      </c>
      <c r="I1689" s="3" t="inlineStr">
        <is>
          <t>임야</t>
        </is>
      </c>
      <c r="J1689" s="3" t="inlineStr">
        <is>
          <t>연동면</t>
        </is>
      </c>
    </row>
    <row r="1690">
      <c r="A1690" s="3" t="n">
        <v>2022</v>
      </c>
      <c r="B1690" s="4" t="n">
        <v>38696</v>
      </c>
      <c r="C1690" s="4" t="n">
        <v>492</v>
      </c>
      <c r="D1690" s="4" t="n">
        <v>148.83</v>
      </c>
      <c r="E1690" s="5" t="n">
        <v>260</v>
      </c>
      <c r="F1690" s="3" t="inlineStr">
        <is>
          <t>연동면</t>
        </is>
      </c>
      <c r="G1690" s="3" t="inlineStr">
        <is>
          <t>내판리</t>
        </is>
      </c>
      <c r="H1690" s="3" t="inlineStr">
        <is>
          <t>보전관리지역</t>
        </is>
      </c>
      <c r="I1690" s="3" t="inlineStr">
        <is>
          <t>대</t>
        </is>
      </c>
      <c r="J1690" s="3" t="inlineStr">
        <is>
          <t>연동면</t>
        </is>
      </c>
    </row>
    <row r="1691">
      <c r="A1691" s="3" t="n">
        <v>2022</v>
      </c>
      <c r="B1691" s="4" t="n">
        <v>14472</v>
      </c>
      <c r="C1691" s="4" t="n">
        <v>184</v>
      </c>
      <c r="D1691" s="4" t="n">
        <v>55.66</v>
      </c>
      <c r="E1691" s="5" t="n">
        <v>260</v>
      </c>
      <c r="F1691" s="3" t="inlineStr">
        <is>
          <t>연동면</t>
        </is>
      </c>
      <c r="G1691" s="3" t="inlineStr">
        <is>
          <t>내판리</t>
        </is>
      </c>
      <c r="H1691" s="3" t="inlineStr">
        <is>
          <t>계획관리지역</t>
        </is>
      </c>
      <c r="I1691" s="3" t="inlineStr">
        <is>
          <t>대</t>
        </is>
      </c>
      <c r="J1691" s="3" t="inlineStr">
        <is>
          <t>연동면</t>
        </is>
      </c>
    </row>
    <row r="1692">
      <c r="A1692" s="3" t="n">
        <v>2023</v>
      </c>
      <c r="B1692" s="4" t="n">
        <v>44000</v>
      </c>
      <c r="C1692" s="4" t="n">
        <v>1322</v>
      </c>
      <c r="D1692" s="4" t="n">
        <v>399.905</v>
      </c>
      <c r="E1692" s="5" t="n">
        <v>110</v>
      </c>
      <c r="F1692" s="3" t="inlineStr">
        <is>
          <t>금남면</t>
        </is>
      </c>
      <c r="G1692" s="3" t="inlineStr">
        <is>
          <t>영곡리</t>
        </is>
      </c>
      <c r="H1692" s="3" t="inlineStr">
        <is>
          <t>생산관리지역</t>
        </is>
      </c>
      <c r="I1692" s="3" t="inlineStr">
        <is>
          <t>전</t>
        </is>
      </c>
      <c r="J1692" s="3" t="inlineStr">
        <is>
          <t>금남면</t>
        </is>
      </c>
    </row>
    <row r="1693">
      <c r="A1693" s="3" t="n">
        <v>2023</v>
      </c>
      <c r="B1693" s="4" t="n">
        <v>30000</v>
      </c>
      <c r="C1693" s="4" t="n">
        <v>1702</v>
      </c>
      <c r="D1693" s="4" t="n">
        <v>514.855</v>
      </c>
      <c r="E1693" s="5" t="n">
        <v>58.3</v>
      </c>
      <c r="F1693" s="3" t="inlineStr">
        <is>
          <t>장군면</t>
        </is>
      </c>
      <c r="G1693" s="3" t="inlineStr">
        <is>
          <t>도계리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장군면</t>
        </is>
      </c>
    </row>
    <row r="1694">
      <c r="A1694" s="3" t="n">
        <v>2023</v>
      </c>
      <c r="B1694" s="4" t="n">
        <v>31050</v>
      </c>
      <c r="C1694" s="4" t="n">
        <v>661</v>
      </c>
      <c r="D1694" s="4" t="n">
        <v>199.9525</v>
      </c>
      <c r="E1694" s="5" t="n">
        <v>155.3</v>
      </c>
      <c r="F1694" s="3" t="inlineStr">
        <is>
          <t>전의면</t>
        </is>
      </c>
      <c r="G1694" s="3" t="inlineStr">
        <is>
          <t>신흥리</t>
        </is>
      </c>
      <c r="H1694" s="3" t="inlineStr">
        <is>
          <t>계획관리지역</t>
        </is>
      </c>
      <c r="I1694" s="3" t="inlineStr">
        <is>
          <t>전</t>
        </is>
      </c>
      <c r="J1694" s="3" t="inlineStr">
        <is>
          <t>전의면</t>
        </is>
      </c>
    </row>
    <row r="1695">
      <c r="A1695" s="3" t="n">
        <v>2023</v>
      </c>
      <c r="B1695" s="4" t="n">
        <v>10000</v>
      </c>
      <c r="C1695" s="4" t="n">
        <v>661</v>
      </c>
      <c r="D1695" s="4" t="n">
        <v>199.9525</v>
      </c>
      <c r="E1695" s="5" t="n">
        <v>50</v>
      </c>
      <c r="F1695" s="3" t="inlineStr">
        <is>
          <t>전의면</t>
        </is>
      </c>
      <c r="G1695" s="3" t="inlineStr">
        <is>
          <t>동교리</t>
        </is>
      </c>
      <c r="H1695" s="3" t="inlineStr">
        <is>
          <t>자연녹지지역</t>
        </is>
      </c>
      <c r="I1695" s="3" t="inlineStr">
        <is>
          <t>임야</t>
        </is>
      </c>
      <c r="J1695" s="3" t="inlineStr">
        <is>
          <t>전의면</t>
        </is>
      </c>
    </row>
    <row r="1696">
      <c r="A1696" s="3" t="n">
        <v>2023</v>
      </c>
      <c r="B1696" s="4" t="n">
        <v>27973</v>
      </c>
      <c r="C1696" s="4" t="n">
        <v>401</v>
      </c>
      <c r="D1696" s="4" t="n">
        <v>121.3025</v>
      </c>
      <c r="E1696" s="5" t="n">
        <v>230.6</v>
      </c>
      <c r="F1696" s="3" t="inlineStr">
        <is>
          <t>장군면</t>
        </is>
      </c>
      <c r="G1696" s="3" t="inlineStr">
        <is>
          <t>봉안리</t>
        </is>
      </c>
      <c r="H1696" s="3" t="inlineStr">
        <is>
          <t>생산관리지역</t>
        </is>
      </c>
      <c r="I1696" s="3" t="inlineStr">
        <is>
          <t>답</t>
        </is>
      </c>
      <c r="J1696" s="3" t="inlineStr">
        <is>
          <t>장군면</t>
        </is>
      </c>
    </row>
    <row r="1697">
      <c r="A1697" s="3" t="n">
        <v>2023</v>
      </c>
      <c r="B1697" s="4" t="n">
        <v>29578</v>
      </c>
      <c r="C1697" s="4" t="n">
        <v>424</v>
      </c>
      <c r="D1697" s="4" t="n">
        <v>128.26</v>
      </c>
      <c r="E1697" s="5" t="n">
        <v>230.6</v>
      </c>
      <c r="F1697" s="3" t="inlineStr">
        <is>
          <t>장군면</t>
        </is>
      </c>
      <c r="G1697" s="3" t="inlineStr">
        <is>
          <t>봉안리</t>
        </is>
      </c>
      <c r="H1697" s="3" t="inlineStr">
        <is>
          <t>생산관리지역</t>
        </is>
      </c>
      <c r="I1697" s="3" t="inlineStr">
        <is>
          <t>임야</t>
        </is>
      </c>
      <c r="J1697" s="3" t="inlineStr">
        <is>
          <t>장군면</t>
        </is>
      </c>
    </row>
    <row r="1698">
      <c r="A1698" s="3" t="n">
        <v>2023</v>
      </c>
      <c r="B1698" s="4" t="n">
        <v>98930</v>
      </c>
      <c r="C1698" s="4" t="n">
        <v>2348</v>
      </c>
      <c r="D1698" s="4" t="n">
        <v>710.27</v>
      </c>
      <c r="E1698" s="5" t="n">
        <v>139.3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생산관리지역</t>
        </is>
      </c>
      <c r="I1698" s="3" t="inlineStr">
        <is>
          <t>임야</t>
        </is>
      </c>
      <c r="J1698" s="3" t="inlineStr">
        <is>
          <t>장군면</t>
        </is>
      </c>
    </row>
    <row r="1699">
      <c r="A1699" s="3" t="n">
        <v>2023</v>
      </c>
      <c r="B1699" s="4" t="n">
        <v>18600</v>
      </c>
      <c r="C1699" s="4" t="n">
        <v>2674</v>
      </c>
      <c r="D1699" s="4" t="n">
        <v>808.885</v>
      </c>
      <c r="E1699" s="5" t="n">
        <v>23</v>
      </c>
      <c r="F1699" s="3" t="inlineStr">
        <is>
          <t>부강면</t>
        </is>
      </c>
      <c r="G1699" s="3" t="inlineStr">
        <is>
          <t>행산리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부강면</t>
        </is>
      </c>
    </row>
    <row r="1700">
      <c r="A1700" s="3" t="n">
        <v>2023</v>
      </c>
      <c r="B1700" s="4" t="n">
        <v>20330</v>
      </c>
      <c r="C1700" s="4" t="n">
        <v>2922</v>
      </c>
      <c r="D1700" s="4" t="n">
        <v>883.905</v>
      </c>
      <c r="E1700" s="5" t="n">
        <v>23</v>
      </c>
      <c r="F1700" s="3" t="inlineStr">
        <is>
          <t>부강면</t>
        </is>
      </c>
      <c r="G1700" s="3" t="inlineStr">
        <is>
          <t>행산리</t>
        </is>
      </c>
      <c r="H1700" s="3" t="inlineStr">
        <is>
          <t>생산관리지역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12570</v>
      </c>
      <c r="C1701" s="4" t="n">
        <v>1804</v>
      </c>
      <c r="D1701" s="4" t="n">
        <v>545.71</v>
      </c>
      <c r="E1701" s="5" t="n">
        <v>23</v>
      </c>
      <c r="F1701" s="3" t="inlineStr">
        <is>
          <t>부강면</t>
        </is>
      </c>
      <c r="G1701" s="3" t="inlineStr">
        <is>
          <t>행산리</t>
        </is>
      </c>
      <c r="H1701" s="3" t="inlineStr">
        <is>
          <t>보전관리지역</t>
        </is>
      </c>
      <c r="I1701" s="3" t="inlineStr">
        <is>
          <t>답</t>
        </is>
      </c>
      <c r="J1701" s="3" t="inlineStr">
        <is>
          <t>부강면</t>
        </is>
      </c>
    </row>
    <row r="1702">
      <c r="A1702" s="3" t="n">
        <v>2023</v>
      </c>
      <c r="B1702" s="4" t="n">
        <v>18500</v>
      </c>
      <c r="C1702" s="4" t="n">
        <v>2659</v>
      </c>
      <c r="D1702" s="4" t="n">
        <v>804.3475</v>
      </c>
      <c r="E1702" s="5" t="n">
        <v>23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보전관리지역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2023</v>
      </c>
      <c r="B1703" s="4" t="n">
        <v>1000</v>
      </c>
      <c r="C1703" s="4" t="n">
        <v>17</v>
      </c>
      <c r="D1703" s="4" t="n">
        <v>5.1425</v>
      </c>
      <c r="E1703" s="5" t="n">
        <v>194.5</v>
      </c>
      <c r="F1703" s="3" t="inlineStr">
        <is>
          <t>금남면</t>
        </is>
      </c>
      <c r="G1703" s="3" t="inlineStr">
        <is>
          <t>성강리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금남면</t>
        </is>
      </c>
    </row>
    <row r="1704">
      <c r="A1704" s="3" t="n">
        <v>2023</v>
      </c>
      <c r="B1704" s="4" t="n">
        <v>1972</v>
      </c>
      <c r="C1704" s="4" t="n">
        <v>26</v>
      </c>
      <c r="D1704" s="4" t="n">
        <v>7.865</v>
      </c>
      <c r="E1704" s="5" t="n">
        <v>250.7</v>
      </c>
      <c r="F1704" s="3" t="inlineStr">
        <is>
          <t>전의면</t>
        </is>
      </c>
      <c r="G1704" s="3" t="inlineStr">
        <is>
          <t>동교리</t>
        </is>
      </c>
      <c r="H1704" s="3" t="inlineStr">
        <is>
          <t>제1종일반주거지역</t>
        </is>
      </c>
      <c r="I1704" s="3" t="inlineStr">
        <is>
          <t>대</t>
        </is>
      </c>
      <c r="J1704" s="3" t="inlineStr">
        <is>
          <t>전의면</t>
        </is>
      </c>
    </row>
    <row r="1705">
      <c r="A1705" s="3" t="n">
        <v>2023</v>
      </c>
      <c r="B1705" s="4" t="n">
        <v>1646</v>
      </c>
      <c r="C1705" s="4" t="n">
        <v>43.3</v>
      </c>
      <c r="D1705" s="4" t="n">
        <v>13.09825</v>
      </c>
      <c r="E1705" s="5" t="n">
        <v>125.7</v>
      </c>
      <c r="F1705" s="3" t="inlineStr">
        <is>
          <t>전의면</t>
        </is>
      </c>
      <c r="G1705" s="3" t="inlineStr">
        <is>
          <t>동교리</t>
        </is>
      </c>
      <c r="H1705" s="3" t="inlineStr">
        <is>
          <t>제1종일반주거지역</t>
        </is>
      </c>
      <c r="I1705" s="3" t="inlineStr">
        <is>
          <t>도로</t>
        </is>
      </c>
      <c r="J1705" s="3" t="inlineStr">
        <is>
          <t>전의면</t>
        </is>
      </c>
    </row>
    <row r="1706">
      <c r="A1706" s="3" t="n">
        <v>2023</v>
      </c>
      <c r="B1706" s="4" t="n">
        <v>3226</v>
      </c>
      <c r="C1706" s="4" t="n">
        <v>82.2</v>
      </c>
      <c r="D1706" s="4" t="n">
        <v>24.8655</v>
      </c>
      <c r="E1706" s="5" t="n">
        <v>129.7</v>
      </c>
      <c r="F1706" s="3" t="inlineStr">
        <is>
          <t>전의면</t>
        </is>
      </c>
      <c r="G1706" s="3" t="inlineStr">
        <is>
          <t>동교리</t>
        </is>
      </c>
      <c r="H1706" s="3" t="inlineStr">
        <is>
          <t>제1종일반주거지역</t>
        </is>
      </c>
      <c r="I1706" s="3" t="inlineStr">
        <is>
          <t>도로</t>
        </is>
      </c>
      <c r="J1706" s="3" t="inlineStr">
        <is>
          <t>전의면</t>
        </is>
      </c>
    </row>
    <row r="1707">
      <c r="A1707" s="3" t="n">
        <v>2023</v>
      </c>
      <c r="B1707" s="4" t="n">
        <v>1269</v>
      </c>
      <c r="C1707" s="4" t="n">
        <v>18</v>
      </c>
      <c r="D1707" s="4" t="n">
        <v>5.445</v>
      </c>
      <c r="E1707" s="5" t="n">
        <v>233.1</v>
      </c>
      <c r="F1707" s="3" t="inlineStr">
        <is>
          <t>전의면</t>
        </is>
      </c>
      <c r="G1707" s="3" t="inlineStr">
        <is>
          <t>동교리</t>
        </is>
      </c>
      <c r="H1707" s="3" t="inlineStr">
        <is>
          <t>제1종일반주거지역</t>
        </is>
      </c>
      <c r="I1707" s="3" t="inlineStr">
        <is>
          <t>도로</t>
        </is>
      </c>
      <c r="J1707" s="3" t="inlineStr">
        <is>
          <t>전의면</t>
        </is>
      </c>
    </row>
    <row r="1708">
      <c r="A1708" s="3" t="n">
        <v>2023</v>
      </c>
      <c r="B1708" s="4" t="n">
        <v>12523</v>
      </c>
      <c r="C1708" s="4" t="n">
        <v>269</v>
      </c>
      <c r="D1708" s="4" t="n">
        <v>81.3725</v>
      </c>
      <c r="E1708" s="5" t="n">
        <v>153.9</v>
      </c>
      <c r="F1708" s="3" t="inlineStr">
        <is>
          <t>전의면</t>
        </is>
      </c>
      <c r="G1708" s="3" t="inlineStr">
        <is>
          <t>동교리</t>
        </is>
      </c>
      <c r="H1708" s="3" t="inlineStr">
        <is>
          <t>제1종일반주거지역</t>
        </is>
      </c>
      <c r="I1708" s="3" t="inlineStr">
        <is>
          <t>대</t>
        </is>
      </c>
      <c r="J1708" s="3" t="inlineStr">
        <is>
          <t>전의면</t>
        </is>
      </c>
    </row>
    <row r="1709">
      <c r="A1709" s="3" t="n">
        <v>2023</v>
      </c>
      <c r="B1709" s="4" t="n">
        <v>12477</v>
      </c>
      <c r="C1709" s="4" t="n">
        <v>268</v>
      </c>
      <c r="D1709" s="4" t="n">
        <v>81.06999999999999</v>
      </c>
      <c r="E1709" s="5" t="n">
        <v>153.9</v>
      </c>
      <c r="F1709" s="3" t="inlineStr">
        <is>
          <t>전의면</t>
        </is>
      </c>
      <c r="G1709" s="3" t="inlineStr">
        <is>
          <t>동교리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전의면</t>
        </is>
      </c>
    </row>
    <row r="1710">
      <c r="A1710" s="3" t="n">
        <v>2023</v>
      </c>
      <c r="B1710" s="4" t="n">
        <v>70500</v>
      </c>
      <c r="C1710" s="4" t="n">
        <v>2324</v>
      </c>
      <c r="D1710" s="4" t="n">
        <v>703.01</v>
      </c>
      <c r="E1710" s="5" t="n">
        <v>100.3</v>
      </c>
      <c r="F1710" s="3" t="inlineStr">
        <is>
          <t>연서면</t>
        </is>
      </c>
      <c r="G1710" s="3" t="inlineStr">
        <is>
          <t>신대리</t>
        </is>
      </c>
      <c r="H1710" s="3" t="inlineStr">
        <is>
          <t>계획관리지역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2023</v>
      </c>
      <c r="B1711" s="4" t="n">
        <v>14500</v>
      </c>
      <c r="C1711" s="4" t="n">
        <v>466</v>
      </c>
      <c r="D1711" s="4" t="n">
        <v>140.965</v>
      </c>
      <c r="E1711" s="5" t="n">
        <v>102.9</v>
      </c>
      <c r="F1711" s="3" t="inlineStr">
        <is>
          <t>연서면</t>
        </is>
      </c>
      <c r="G1711" s="3" t="inlineStr">
        <is>
          <t>신대리</t>
        </is>
      </c>
      <c r="H1711" s="3" t="inlineStr">
        <is>
          <t>계획관리지역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22000</v>
      </c>
      <c r="C1712" s="4" t="n">
        <v>1406</v>
      </c>
      <c r="D1712" s="4" t="n">
        <v>425.315</v>
      </c>
      <c r="E1712" s="5" t="n">
        <v>51.7</v>
      </c>
      <c r="F1712" s="3" t="inlineStr">
        <is>
          <t>부강면</t>
        </is>
      </c>
      <c r="G1712" s="3" t="inlineStr">
        <is>
          <t>금호리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부강면</t>
        </is>
      </c>
    </row>
    <row r="1713">
      <c r="A1713" s="3" t="n">
        <v>2023</v>
      </c>
      <c r="B1713" s="4" t="n">
        <v>60420</v>
      </c>
      <c r="C1713" s="4" t="n">
        <v>3329</v>
      </c>
      <c r="D1713" s="4" t="n">
        <v>1007.0225</v>
      </c>
      <c r="E1713" s="5" t="n">
        <v>60</v>
      </c>
      <c r="F1713" s="3" t="inlineStr">
        <is>
          <t>전동면</t>
        </is>
      </c>
      <c r="G1713" s="3" t="inlineStr">
        <is>
          <t>심중리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전동면</t>
        </is>
      </c>
    </row>
    <row r="1714">
      <c r="A1714" s="3" t="n">
        <v>2023</v>
      </c>
      <c r="B1714" s="4" t="n">
        <v>1488</v>
      </c>
      <c r="C1714" s="4" t="n">
        <v>82</v>
      </c>
      <c r="D1714" s="4" t="n">
        <v>24.805</v>
      </c>
      <c r="E1714" s="5" t="n">
        <v>60</v>
      </c>
      <c r="F1714" s="3" t="inlineStr">
        <is>
          <t>전동면</t>
        </is>
      </c>
      <c r="G1714" s="3" t="inlineStr">
        <is>
          <t>심중리</t>
        </is>
      </c>
      <c r="H1714" s="3" t="inlineStr">
        <is>
          <t>계획관리지역</t>
        </is>
      </c>
      <c r="I1714" s="3" t="inlineStr">
        <is>
          <t>전</t>
        </is>
      </c>
      <c r="J1714" s="3" t="inlineStr">
        <is>
          <t>전동면</t>
        </is>
      </c>
    </row>
    <row r="1715">
      <c r="A1715" s="3" t="n">
        <v>2023</v>
      </c>
      <c r="B1715" s="4" t="n">
        <v>9000</v>
      </c>
      <c r="C1715" s="4" t="n">
        <v>1983</v>
      </c>
      <c r="D1715" s="4" t="n">
        <v>599.8575</v>
      </c>
      <c r="E1715" s="5" t="n">
        <v>15</v>
      </c>
      <c r="F1715" s="3" t="inlineStr">
        <is>
          <t>전동면</t>
        </is>
      </c>
      <c r="G1715" s="3" t="inlineStr">
        <is>
          <t>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전동면</t>
        </is>
      </c>
    </row>
    <row r="1716">
      <c r="A1716" s="3" t="n">
        <v>2023</v>
      </c>
      <c r="B1716" s="4" t="n">
        <v>32219</v>
      </c>
      <c r="C1716" s="4" t="n">
        <v>663</v>
      </c>
      <c r="D1716" s="4" t="n">
        <v>200.5575</v>
      </c>
      <c r="E1716" s="5" t="n">
        <v>160.6</v>
      </c>
      <c r="F1716" s="3" t="inlineStr">
        <is>
          <t>금남면</t>
        </is>
      </c>
      <c r="G1716" s="3" t="inlineStr">
        <is>
          <t>원봉리</t>
        </is>
      </c>
      <c r="H1716" s="3" t="inlineStr">
        <is>
          <t>계획관리지역</t>
        </is>
      </c>
      <c r="I1716" s="3" t="inlineStr">
        <is>
          <t>대</t>
        </is>
      </c>
      <c r="J1716" s="3" t="inlineStr">
        <is>
          <t>금남면</t>
        </is>
      </c>
    </row>
    <row r="1717">
      <c r="A1717" s="3" t="n">
        <v>2023</v>
      </c>
      <c r="B1717" s="4" t="n">
        <v>19001</v>
      </c>
      <c r="C1717" s="4" t="n">
        <v>391</v>
      </c>
      <c r="D1717" s="4" t="n">
        <v>118.2775</v>
      </c>
      <c r="E1717" s="5" t="n">
        <v>160.6</v>
      </c>
      <c r="F1717" s="3" t="inlineStr">
        <is>
          <t>금남면</t>
        </is>
      </c>
      <c r="G1717" s="3" t="inlineStr">
        <is>
          <t>원봉리</t>
        </is>
      </c>
      <c r="H1717" s="3" t="inlineStr">
        <is>
          <t>계획관리지역</t>
        </is>
      </c>
      <c r="I1717" s="3" t="inlineStr">
        <is>
          <t>임야</t>
        </is>
      </c>
      <c r="J1717" s="3" t="inlineStr">
        <is>
          <t>금남면</t>
        </is>
      </c>
    </row>
    <row r="1718">
      <c r="A1718" s="3" t="n">
        <v>2023</v>
      </c>
      <c r="B1718" s="4" t="n">
        <v>25480</v>
      </c>
      <c r="C1718" s="4" t="n">
        <v>718</v>
      </c>
      <c r="D1718" s="4" t="n">
        <v>217.195</v>
      </c>
      <c r="E1718" s="5" t="n">
        <v>117.3</v>
      </c>
      <c r="F1718" s="3" t="inlineStr">
        <is>
          <t>장군면</t>
        </is>
      </c>
      <c r="G1718" s="3" t="inlineStr">
        <is>
          <t>금암리</t>
        </is>
      </c>
      <c r="H1718" s="3" t="inlineStr">
        <is>
          <t>농림지역</t>
        </is>
      </c>
      <c r="I1718" s="3" t="inlineStr">
        <is>
          <t>임야</t>
        </is>
      </c>
      <c r="J1718" s="3" t="inlineStr">
        <is>
          <t>장군면</t>
        </is>
      </c>
    </row>
    <row r="1719">
      <c r="A1719" s="3" t="n">
        <v>2023</v>
      </c>
      <c r="B1719" s="4" t="n">
        <v>800</v>
      </c>
      <c r="C1719" s="4" t="n">
        <v>14</v>
      </c>
      <c r="D1719" s="4" t="n">
        <v>4.234999999999999</v>
      </c>
      <c r="E1719" s="5" t="n">
        <v>188.9</v>
      </c>
      <c r="F1719" s="3" t="inlineStr">
        <is>
          <t>조치원읍</t>
        </is>
      </c>
      <c r="G1719" s="3" t="inlineStr">
        <is>
          <t>서창리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조치원읍</t>
        </is>
      </c>
    </row>
    <row r="1720">
      <c r="A1720" s="3" t="n">
        <v>2023</v>
      </c>
      <c r="B1720" s="4" t="n">
        <v>1000</v>
      </c>
      <c r="C1720" s="4" t="n">
        <v>807</v>
      </c>
      <c r="D1720" s="4" t="n">
        <v>244.1175</v>
      </c>
      <c r="E1720" s="5" t="n">
        <v>4.1</v>
      </c>
      <c r="F1720" s="3" t="inlineStr">
        <is>
          <t>소정면</t>
        </is>
      </c>
      <c r="G1720" s="3" t="inlineStr">
        <is>
          <t>대곡리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소정면</t>
        </is>
      </c>
    </row>
    <row r="1721">
      <c r="A1721" s="3" t="n">
        <v>2023</v>
      </c>
      <c r="B1721" s="4" t="n">
        <v>15000</v>
      </c>
      <c r="C1721" s="4" t="n">
        <v>258</v>
      </c>
      <c r="D1721" s="4" t="n">
        <v>78.045</v>
      </c>
      <c r="E1721" s="5" t="n">
        <v>192.2</v>
      </c>
      <c r="F1721" s="3" t="inlineStr">
        <is>
          <t>연동면</t>
        </is>
      </c>
      <c r="G1721" s="3" t="inlineStr">
        <is>
          <t>합강리</t>
        </is>
      </c>
      <c r="H1721" s="3" t="inlineStr">
        <is>
          <t>보전관리지역</t>
        </is>
      </c>
      <c r="I1721" s="3" t="inlineStr">
        <is>
          <t>대</t>
        </is>
      </c>
      <c r="J1721" s="3" t="inlineStr">
        <is>
          <t>연동면</t>
        </is>
      </c>
    </row>
    <row r="1722">
      <c r="A1722" s="3" t="n">
        <v>2023</v>
      </c>
      <c r="B1722" s="4" t="n">
        <v>25000</v>
      </c>
      <c r="C1722" s="4" t="n">
        <v>450</v>
      </c>
      <c r="D1722" s="4" t="n">
        <v>136.125</v>
      </c>
      <c r="E1722" s="5" t="n">
        <v>183.7</v>
      </c>
      <c r="F1722" s="3" t="inlineStr">
        <is>
          <t>연동면</t>
        </is>
      </c>
      <c r="G1722" s="3" t="inlineStr">
        <is>
          <t>합강리</t>
        </is>
      </c>
      <c r="H1722" s="3" t="inlineStr">
        <is>
          <t>보전관리지역</t>
        </is>
      </c>
      <c r="I1722" s="3" t="inlineStr">
        <is>
          <t>답</t>
        </is>
      </c>
      <c r="J1722" s="3" t="inlineStr">
        <is>
          <t>연동면</t>
        </is>
      </c>
    </row>
    <row r="1723">
      <c r="A1723" s="3" t="n">
        <v>2023</v>
      </c>
      <c r="B1723" s="4" t="n">
        <v>20000</v>
      </c>
      <c r="C1723" s="4" t="n">
        <v>1323</v>
      </c>
      <c r="D1723" s="4" t="n">
        <v>400.2075</v>
      </c>
      <c r="E1723" s="5" t="n">
        <v>50</v>
      </c>
      <c r="F1723" s="3" t="inlineStr">
        <is>
          <t>연기면</t>
        </is>
      </c>
      <c r="G1723" s="3" t="inlineStr">
        <is>
          <t>눌왕리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연기면</t>
        </is>
      </c>
    </row>
    <row r="1724">
      <c r="A1724" s="3" t="n">
        <v>2024</v>
      </c>
      <c r="B1724" s="4" t="n">
        <v>42800</v>
      </c>
      <c r="C1724" s="4" t="n">
        <v>1418</v>
      </c>
      <c r="D1724" s="4" t="n">
        <v>428.945</v>
      </c>
      <c r="E1724" s="5" t="n">
        <v>99.8</v>
      </c>
      <c r="F1724" s="3" t="inlineStr">
        <is>
          <t>부강면</t>
        </is>
      </c>
      <c r="G1724" s="3" t="inlineStr">
        <is>
          <t>금호리</t>
        </is>
      </c>
      <c r="H1724" s="3" t="inlineStr">
        <is>
          <t>보전관리지역</t>
        </is>
      </c>
      <c r="I1724" s="3" t="inlineStr">
        <is>
          <t>전</t>
        </is>
      </c>
      <c r="J1724" s="3" t="inlineStr">
        <is>
          <t>부강면</t>
        </is>
      </c>
    </row>
    <row r="1725">
      <c r="A1725" s="3" t="n">
        <v>2026</v>
      </c>
      <c r="B1725" s="4" t="n">
        <v>1000</v>
      </c>
      <c r="C1725" s="4" t="n">
        <v>19</v>
      </c>
      <c r="D1725" s="4" t="n">
        <v>5.7475</v>
      </c>
      <c r="E1725" s="5" t="n">
        <v>174</v>
      </c>
      <c r="F1725" s="3" t="inlineStr">
        <is>
          <t>조치원읍</t>
        </is>
      </c>
      <c r="G1725" s="3" t="inlineStr">
        <is>
          <t>봉산리</t>
        </is>
      </c>
      <c r="H1725" s="3" t="inlineStr">
        <is>
          <t>자연녹지지역</t>
        </is>
      </c>
      <c r="I1725" s="3" t="inlineStr">
        <is>
          <t>과수원</t>
        </is>
      </c>
      <c r="J1725" s="3" t="inlineStr">
        <is>
          <t>조치원읍</t>
        </is>
      </c>
    </row>
    <row r="1726">
      <c r="A1726" s="3" t="n">
        <v>2026</v>
      </c>
      <c r="B1726" s="4" t="n">
        <v>19410</v>
      </c>
      <c r="C1726" s="4" t="n">
        <v>2139</v>
      </c>
      <c r="D1726" s="4" t="n">
        <v>647.0475</v>
      </c>
      <c r="E1726" s="5" t="n">
        <v>30</v>
      </c>
      <c r="F1726" s="3" t="inlineStr">
        <is>
          <t>연서면</t>
        </is>
      </c>
      <c r="G1726" s="3" t="inlineStr">
        <is>
          <t>청라리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연서면</t>
        </is>
      </c>
    </row>
    <row r="1727">
      <c r="A1727" s="3" t="n">
        <v>2024</v>
      </c>
      <c r="B1727" s="4" t="n">
        <v>6200</v>
      </c>
      <c r="C1727" s="4" t="n">
        <v>205</v>
      </c>
      <c r="D1727" s="4" t="n">
        <v>62.0125</v>
      </c>
      <c r="E1727" s="5" t="n">
        <v>100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보전관리지역</t>
        </is>
      </c>
      <c r="I1727" s="3" t="inlineStr">
        <is>
          <t>하천</t>
        </is>
      </c>
      <c r="J1727" s="3" t="inlineStr">
        <is>
          <t>부강면</t>
        </is>
      </c>
    </row>
    <row r="1728">
      <c r="A1728" s="3" t="n">
        <v>2024</v>
      </c>
      <c r="B1728" s="4" t="n">
        <v>8000</v>
      </c>
      <c r="C1728" s="4" t="n">
        <v>264</v>
      </c>
      <c r="D1728" s="4" t="n">
        <v>79.86</v>
      </c>
      <c r="E1728" s="5" t="n">
        <v>100.2</v>
      </c>
      <c r="F1728" s="3" t="inlineStr">
        <is>
          <t>부강면</t>
        </is>
      </c>
      <c r="G1728" s="3" t="inlineStr">
        <is>
          <t>금호리</t>
        </is>
      </c>
      <c r="H1728" s="3" t="inlineStr">
        <is>
          <t>보전관리지역</t>
        </is>
      </c>
      <c r="I1728" s="3" t="inlineStr">
        <is>
          <t>전</t>
        </is>
      </c>
      <c r="J1728" s="3" t="inlineStr">
        <is>
          <t>부강면</t>
        </is>
      </c>
    </row>
    <row r="1729">
      <c r="A1729" s="3" t="n">
        <v>2024</v>
      </c>
      <c r="B1729" s="4" t="n">
        <v>5000</v>
      </c>
      <c r="C1729" s="4" t="n">
        <v>165</v>
      </c>
      <c r="D1729" s="4" t="n">
        <v>49.9125</v>
      </c>
      <c r="E1729" s="5" t="n">
        <v>100.2</v>
      </c>
      <c r="F1729" s="3" t="inlineStr">
        <is>
          <t>부강면</t>
        </is>
      </c>
      <c r="G1729" s="3" t="inlineStr">
        <is>
          <t>금호리</t>
        </is>
      </c>
      <c r="H1729" s="3" t="inlineStr">
        <is>
          <t>보전관리지역</t>
        </is>
      </c>
      <c r="I1729" s="3" t="inlineStr">
        <is>
          <t>전</t>
        </is>
      </c>
      <c r="J1729" s="3" t="inlineStr">
        <is>
          <t>부강면</t>
        </is>
      </c>
    </row>
    <row r="1730">
      <c r="A1730" s="3" t="n">
        <v>2024</v>
      </c>
      <c r="B1730" s="4" t="n">
        <v>24793</v>
      </c>
      <c r="C1730" s="4" t="n">
        <v>235</v>
      </c>
      <c r="D1730" s="4" t="n">
        <v>71.08749999999999</v>
      </c>
      <c r="E1730" s="5" t="n">
        <v>348.8</v>
      </c>
      <c r="F1730" s="3" t="inlineStr">
        <is>
          <t>조치원읍</t>
        </is>
      </c>
      <c r="G1730" s="3" t="inlineStr">
        <is>
          <t>신안리</t>
        </is>
      </c>
      <c r="H1730" s="3" t="inlineStr">
        <is>
          <t>제2종일반주거지역</t>
        </is>
      </c>
      <c r="I1730" s="3" t="inlineStr">
        <is>
          <t>대</t>
        </is>
      </c>
      <c r="J1730" s="3" t="inlineStr">
        <is>
          <t>조치원읍</t>
        </is>
      </c>
    </row>
    <row r="1731">
      <c r="A1731" s="3" t="n">
        <v>2024</v>
      </c>
      <c r="B1731" s="4" t="n">
        <v>80000</v>
      </c>
      <c r="C1731" s="4" t="n">
        <v>530</v>
      </c>
      <c r="D1731" s="4" t="n">
        <v>160.325</v>
      </c>
      <c r="E1731" s="5" t="n">
        <v>499</v>
      </c>
      <c r="F1731" s="3" t="inlineStr">
        <is>
          <t>조치원읍</t>
        </is>
      </c>
      <c r="G1731" s="3" t="inlineStr">
        <is>
          <t>신안리</t>
        </is>
      </c>
      <c r="H1731" s="3" t="inlineStr">
        <is>
          <t>제2종일반주거지역</t>
        </is>
      </c>
      <c r="I1731" s="3" t="inlineStr">
        <is>
          <t>대</t>
        </is>
      </c>
      <c r="J1731" s="3" t="inlineStr">
        <is>
          <t>조치원읍</t>
        </is>
      </c>
    </row>
    <row r="1732">
      <c r="A1732" s="3" t="n">
        <v>2024</v>
      </c>
      <c r="B1732" s="4" t="n">
        <v>950</v>
      </c>
      <c r="C1732" s="4" t="n">
        <v>33</v>
      </c>
      <c r="D1732" s="4" t="n">
        <v>9.9825</v>
      </c>
      <c r="E1732" s="5" t="n">
        <v>95.2</v>
      </c>
      <c r="F1732" s="3" t="inlineStr">
        <is>
          <t>금남면</t>
        </is>
      </c>
      <c r="G1732" s="3" t="inlineStr">
        <is>
          <t>남곡리</t>
        </is>
      </c>
      <c r="H1732" s="3" t="inlineStr">
        <is>
          <t>제1종일반주거지역</t>
        </is>
      </c>
      <c r="I1732" s="3" t="inlineStr">
        <is>
          <t>전</t>
        </is>
      </c>
      <c r="J1732" s="3" t="inlineStr">
        <is>
          <t>금남면</t>
        </is>
      </c>
    </row>
    <row r="1733">
      <c r="A1733" s="3" t="n">
        <v>2024</v>
      </c>
      <c r="B1733" s="4" t="n">
        <v>22990</v>
      </c>
      <c r="C1733" s="4" t="n">
        <v>3352</v>
      </c>
      <c r="D1733" s="4" t="n">
        <v>1013.98</v>
      </c>
      <c r="E1733" s="5" t="n">
        <v>22.7</v>
      </c>
      <c r="F1733" s="3" t="inlineStr">
        <is>
          <t>전동면</t>
        </is>
      </c>
      <c r="G1733" s="3" t="inlineStr">
        <is>
          <t>봉대리</t>
        </is>
      </c>
      <c r="H1733" s="3" t="inlineStr">
        <is>
          <t>계획관리지역</t>
        </is>
      </c>
      <c r="I1733" s="3" t="inlineStr">
        <is>
          <t>답</t>
        </is>
      </c>
      <c r="J1733" s="3" t="inlineStr">
        <is>
          <t>전동면</t>
        </is>
      </c>
    </row>
    <row r="1734">
      <c r="A1734" s="3" t="n">
        <v>2024</v>
      </c>
      <c r="B1734" s="4" t="n">
        <v>6000</v>
      </c>
      <c r="C1734" s="4" t="n">
        <v>745</v>
      </c>
      <c r="D1734" s="4" t="n">
        <v>225.3625</v>
      </c>
      <c r="E1734" s="5" t="n">
        <v>26.6</v>
      </c>
      <c r="F1734" s="3" t="inlineStr">
        <is>
          <t>장군면</t>
        </is>
      </c>
      <c r="G1734" s="3" t="inlineStr">
        <is>
          <t>은용리</t>
        </is>
      </c>
      <c r="H1734" s="3" t="inlineStr">
        <is>
          <t>생산관리지역</t>
        </is>
      </c>
      <c r="I1734" s="3" t="inlineStr">
        <is>
          <t>전</t>
        </is>
      </c>
      <c r="J1734" s="3" t="inlineStr">
        <is>
          <t>장군면</t>
        </is>
      </c>
    </row>
    <row r="1735">
      <c r="A1735" s="3" t="n">
        <v>2024</v>
      </c>
      <c r="B1735" s="4" t="n">
        <v>61000</v>
      </c>
      <c r="C1735" s="4" t="n">
        <v>488</v>
      </c>
      <c r="D1735" s="4" t="n">
        <v>147.62</v>
      </c>
      <c r="E1735" s="5" t="n">
        <v>413.2</v>
      </c>
      <c r="F1735" s="3" t="inlineStr">
        <is>
          <t>반곡동</t>
        </is>
      </c>
      <c r="G1735" s="3" t="inlineStr"/>
      <c r="H1735" s="3" t="inlineStr">
        <is>
          <t>제2종전용주거지역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2025</v>
      </c>
      <c r="B1736" s="4" t="n">
        <v>22087</v>
      </c>
      <c r="C1736" s="4" t="n">
        <v>758</v>
      </c>
      <c r="D1736" s="4" t="n">
        <v>229.295</v>
      </c>
      <c r="E1736" s="5" t="n">
        <v>96.3</v>
      </c>
      <c r="F1736" s="3" t="inlineStr">
        <is>
          <t>장군면</t>
        </is>
      </c>
      <c r="G1736" s="3" t="inlineStr">
        <is>
          <t>도계리</t>
        </is>
      </c>
      <c r="H1736" s="3" t="inlineStr">
        <is>
          <t>계획관리지역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2025</v>
      </c>
      <c r="B1737" s="4" t="n">
        <v>4981</v>
      </c>
      <c r="C1737" s="4" t="n">
        <v>183</v>
      </c>
      <c r="D1737" s="4" t="n">
        <v>55.3575</v>
      </c>
      <c r="E1737" s="5" t="n">
        <v>90</v>
      </c>
      <c r="F1737" s="3" t="inlineStr">
        <is>
          <t>장군면</t>
        </is>
      </c>
      <c r="G1737" s="3" t="inlineStr">
        <is>
          <t>도계리</t>
        </is>
      </c>
      <c r="H1737" s="3" t="inlineStr">
        <is>
          <t>계획관리지역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2025</v>
      </c>
      <c r="B1738" s="4" t="n">
        <v>20932</v>
      </c>
      <c r="C1738" s="4" t="n">
        <v>769</v>
      </c>
      <c r="D1738" s="4" t="n">
        <v>232.6225</v>
      </c>
      <c r="E1738" s="5" t="n">
        <v>90</v>
      </c>
      <c r="F1738" s="3" t="inlineStr">
        <is>
          <t>장군면</t>
        </is>
      </c>
      <c r="G1738" s="3" t="inlineStr">
        <is>
          <t>도계리</t>
        </is>
      </c>
      <c r="H1738" s="3" t="inlineStr">
        <is>
          <t>계획관리지역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2025</v>
      </c>
      <c r="B1739" s="4" t="n">
        <v>47722</v>
      </c>
      <c r="C1739" s="4" t="n">
        <v>633</v>
      </c>
      <c r="D1739" s="4" t="n">
        <v>191.4825</v>
      </c>
      <c r="E1739" s="5" t="n">
        <v>249.2</v>
      </c>
      <c r="F1739" s="3" t="inlineStr">
        <is>
          <t>연기면</t>
        </is>
      </c>
      <c r="G1739" s="3" t="inlineStr">
        <is>
          <t>눌왕리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연기면</t>
        </is>
      </c>
    </row>
    <row r="1740">
      <c r="A1740" s="3" t="n">
        <v>2025</v>
      </c>
      <c r="B1740" s="4" t="n">
        <v>20892</v>
      </c>
      <c r="C1740" s="4" t="n">
        <v>3590</v>
      </c>
      <c r="D1740" s="4" t="n">
        <v>1085.975</v>
      </c>
      <c r="E1740" s="5" t="n">
        <v>19.2</v>
      </c>
      <c r="F1740" s="3" t="inlineStr">
        <is>
          <t>전의면</t>
        </is>
      </c>
      <c r="G1740" s="3" t="inlineStr">
        <is>
          <t>유천리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전의면</t>
        </is>
      </c>
    </row>
    <row r="1741">
      <c r="A1741" s="3" t="n">
        <v>2024</v>
      </c>
      <c r="B1741" s="4" t="n">
        <v>125000</v>
      </c>
      <c r="C1741" s="4" t="n">
        <v>1653</v>
      </c>
      <c r="D1741" s="4" t="n">
        <v>500.0325</v>
      </c>
      <c r="E1741" s="5" t="n">
        <v>250</v>
      </c>
      <c r="F1741" s="3" t="inlineStr">
        <is>
          <t>장군면</t>
        </is>
      </c>
      <c r="G1741" s="3" t="inlineStr">
        <is>
          <t>하봉리</t>
        </is>
      </c>
      <c r="H1741" s="3" t="inlineStr">
        <is>
          <t>계획관리지역</t>
        </is>
      </c>
      <c r="I1741" s="3" t="inlineStr">
        <is>
          <t>답</t>
        </is>
      </c>
      <c r="J1741" s="3" t="inlineStr">
        <is>
          <t>장군면</t>
        </is>
      </c>
    </row>
    <row r="1742">
      <c r="A1742" s="3" t="n">
        <v>2024</v>
      </c>
      <c r="B1742" s="4" t="n">
        <v>125000</v>
      </c>
      <c r="C1742" s="4" t="n">
        <v>1653</v>
      </c>
      <c r="D1742" s="4" t="n">
        <v>500.0325</v>
      </c>
      <c r="E1742" s="5" t="n">
        <v>250</v>
      </c>
      <c r="F1742" s="3" t="inlineStr">
        <is>
          <t>장군면</t>
        </is>
      </c>
      <c r="G1742" s="3" t="inlineStr">
        <is>
          <t>하봉리</t>
        </is>
      </c>
      <c r="H1742" s="3" t="inlineStr">
        <is>
          <t>제2종전용주거지역</t>
        </is>
      </c>
      <c r="I1742" s="3" t="inlineStr">
        <is>
          <t>답</t>
        </is>
      </c>
      <c r="J1742" s="3" t="inlineStr">
        <is>
          <t>장군면</t>
        </is>
      </c>
    </row>
    <row r="1743">
      <c r="A1743" s="3" t="n">
        <v>2024</v>
      </c>
      <c r="B1743" s="4" t="n">
        <v>15000</v>
      </c>
      <c r="C1743" s="4" t="n">
        <v>1002</v>
      </c>
      <c r="D1743" s="4" t="n">
        <v>303.105</v>
      </c>
      <c r="E1743" s="5" t="n">
        <v>49.5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전의면</t>
        </is>
      </c>
    </row>
    <row r="1744">
      <c r="A1744" s="3" t="n">
        <v>2024</v>
      </c>
      <c r="B1744" s="4" t="n">
        <v>130000</v>
      </c>
      <c r="C1744" s="4" t="n">
        <v>661</v>
      </c>
      <c r="D1744" s="4" t="n">
        <v>199.9525</v>
      </c>
      <c r="E1744" s="5" t="n">
        <v>650.2</v>
      </c>
      <c r="F1744" s="3" t="inlineStr">
        <is>
          <t>조치원읍</t>
        </is>
      </c>
      <c r="G1744" s="3" t="inlineStr">
        <is>
          <t>서창리</t>
        </is>
      </c>
      <c r="H1744" s="3" t="inlineStr">
        <is>
          <t>제2종일반주거지역</t>
        </is>
      </c>
      <c r="I1744" s="3" t="inlineStr">
        <is>
          <t>전</t>
        </is>
      </c>
      <c r="J1744" s="3" t="inlineStr">
        <is>
          <t>조치원읍</t>
        </is>
      </c>
    </row>
    <row r="1745">
      <c r="A1745" s="3" t="n">
        <v>2024</v>
      </c>
      <c r="B1745" s="4" t="n">
        <v>14000</v>
      </c>
      <c r="C1745" s="4" t="n">
        <v>757</v>
      </c>
      <c r="D1745" s="4" t="n">
        <v>228.9925</v>
      </c>
      <c r="E1745" s="5" t="n">
        <v>61.1</v>
      </c>
      <c r="F1745" s="3" t="inlineStr">
        <is>
          <t>부강면</t>
        </is>
      </c>
      <c r="G1745" s="3" t="inlineStr">
        <is>
          <t>등곡리</t>
        </is>
      </c>
      <c r="H1745" s="3" t="inlineStr">
        <is>
          <t>계획관리지역</t>
        </is>
      </c>
      <c r="I1745" s="3" t="inlineStr">
        <is>
          <t>답</t>
        </is>
      </c>
      <c r="J1745" s="3" t="inlineStr">
        <is>
          <t>부강면</t>
        </is>
      </c>
    </row>
    <row r="1746">
      <c r="A1746" s="3" t="n">
        <v>2024</v>
      </c>
      <c r="B1746" s="4" t="n">
        <v>21000</v>
      </c>
      <c r="C1746" s="4" t="n">
        <v>1131</v>
      </c>
      <c r="D1746" s="4" t="n">
        <v>342.1275</v>
      </c>
      <c r="E1746" s="5" t="n">
        <v>61.4</v>
      </c>
      <c r="F1746" s="3" t="inlineStr">
        <is>
          <t>부강면</t>
        </is>
      </c>
      <c r="G1746" s="3" t="inlineStr">
        <is>
          <t>등곡리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부강면</t>
        </is>
      </c>
    </row>
    <row r="1747">
      <c r="A1747" s="3" t="n">
        <v>2024</v>
      </c>
      <c r="B1747" s="4" t="n">
        <v>12600</v>
      </c>
      <c r="C1747" s="4" t="n">
        <v>1158</v>
      </c>
      <c r="D1747" s="4" t="n">
        <v>350.295</v>
      </c>
      <c r="E1747" s="5" t="n">
        <v>36</v>
      </c>
      <c r="F1747" s="3" t="inlineStr">
        <is>
          <t>연서면</t>
        </is>
      </c>
      <c r="G1747" s="3" t="inlineStr">
        <is>
          <t>기룡리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연서면</t>
        </is>
      </c>
    </row>
    <row r="1748">
      <c r="A1748" s="3" t="n">
        <v>2024</v>
      </c>
      <c r="B1748" s="4" t="n">
        <v>11400</v>
      </c>
      <c r="C1748" s="4" t="n">
        <v>1020</v>
      </c>
      <c r="D1748" s="4" t="n">
        <v>308.55</v>
      </c>
      <c r="E1748" s="5" t="n">
        <v>36.9</v>
      </c>
      <c r="F1748" s="3" t="inlineStr">
        <is>
          <t>연서면</t>
        </is>
      </c>
      <c r="G1748" s="3" t="inlineStr">
        <is>
          <t>기룡리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연서면</t>
        </is>
      </c>
    </row>
    <row r="1749">
      <c r="A1749" s="3" t="n">
        <v>2024</v>
      </c>
      <c r="B1749" s="4" t="n">
        <v>38000</v>
      </c>
      <c r="C1749" s="4" t="n">
        <v>2526</v>
      </c>
      <c r="D1749" s="4" t="n">
        <v>764.115</v>
      </c>
      <c r="E1749" s="5" t="n">
        <v>49.7</v>
      </c>
      <c r="F1749" s="3" t="inlineStr">
        <is>
          <t>금남면</t>
        </is>
      </c>
      <c r="G1749" s="3" t="inlineStr">
        <is>
          <t>두만리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금남면</t>
        </is>
      </c>
    </row>
    <row r="1750">
      <c r="A1750" s="3" t="n">
        <v>2024</v>
      </c>
      <c r="B1750" s="4" t="n">
        <v>33500</v>
      </c>
      <c r="C1750" s="4" t="n">
        <v>1110</v>
      </c>
      <c r="D1750" s="4" t="n">
        <v>335.775</v>
      </c>
      <c r="E1750" s="5" t="n">
        <v>99.8</v>
      </c>
      <c r="F1750" s="3" t="inlineStr">
        <is>
          <t>장군면</t>
        </is>
      </c>
      <c r="G1750" s="3" t="inlineStr">
        <is>
          <t>대교리</t>
        </is>
      </c>
      <c r="H1750" s="3" t="inlineStr">
        <is>
          <t>농림지역</t>
        </is>
      </c>
      <c r="I1750" s="3" t="inlineStr">
        <is>
          <t>답</t>
        </is>
      </c>
      <c r="J1750" s="3" t="inlineStr">
        <is>
          <t>장군면</t>
        </is>
      </c>
    </row>
    <row r="1751">
      <c r="A1751" s="3" t="n">
        <v>2024</v>
      </c>
      <c r="B1751" s="4" t="n">
        <v>7180</v>
      </c>
      <c r="C1751" s="4" t="n">
        <v>418</v>
      </c>
      <c r="D1751" s="4" t="n">
        <v>126.445</v>
      </c>
      <c r="E1751" s="5" t="n">
        <v>56.8</v>
      </c>
      <c r="F1751" s="3" t="inlineStr">
        <is>
          <t>금남면</t>
        </is>
      </c>
      <c r="G1751" s="3" t="inlineStr">
        <is>
          <t>두만리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금남면</t>
        </is>
      </c>
    </row>
    <row r="1752">
      <c r="A1752" s="3" t="n">
        <v>2024</v>
      </c>
      <c r="B1752" s="4" t="n">
        <v>1120</v>
      </c>
      <c r="C1752" s="4" t="n">
        <v>65</v>
      </c>
      <c r="D1752" s="4" t="n">
        <v>19.6625</v>
      </c>
      <c r="E1752" s="5" t="n">
        <v>57</v>
      </c>
      <c r="F1752" s="3" t="inlineStr">
        <is>
          <t>금남면</t>
        </is>
      </c>
      <c r="G1752" s="3" t="inlineStr">
        <is>
          <t>두만리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금남면</t>
        </is>
      </c>
    </row>
    <row r="1753">
      <c r="A1753" s="3" t="n">
        <v>2024</v>
      </c>
      <c r="B1753" s="4" t="n">
        <v>3200</v>
      </c>
      <c r="C1753" s="4" t="n">
        <v>287</v>
      </c>
      <c r="D1753" s="4" t="n">
        <v>86.8175</v>
      </c>
      <c r="E1753" s="5" t="n">
        <v>36.9</v>
      </c>
      <c r="F1753" s="3" t="inlineStr">
        <is>
          <t>연기면</t>
        </is>
      </c>
      <c r="G1753" s="3" t="inlineStr">
        <is>
          <t>수산리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연기면</t>
        </is>
      </c>
    </row>
    <row r="1754">
      <c r="A1754" s="3" t="n">
        <v>2022</v>
      </c>
      <c r="B1754" s="4" t="n">
        <v>406900</v>
      </c>
      <c r="C1754" s="4" t="n">
        <v>5929</v>
      </c>
      <c r="D1754" s="4" t="n">
        <v>1793.5225</v>
      </c>
      <c r="E1754" s="5" t="n">
        <v>226.9</v>
      </c>
      <c r="F1754" s="3" t="inlineStr">
        <is>
          <t>연동면</t>
        </is>
      </c>
      <c r="G1754" s="3" t="inlineStr">
        <is>
          <t>내판리</t>
        </is>
      </c>
      <c r="H1754" s="3" t="inlineStr">
        <is>
          <t>계획관리지역</t>
        </is>
      </c>
      <c r="I1754" s="3" t="inlineStr">
        <is>
          <t>과수원</t>
        </is>
      </c>
      <c r="J1754" s="3" t="inlineStr">
        <is>
          <t>연동면</t>
        </is>
      </c>
    </row>
    <row r="1755">
      <c r="A1755" s="3" t="n">
        <v>2022</v>
      </c>
      <c r="B1755" s="4" t="n">
        <v>23100</v>
      </c>
      <c r="C1755" s="4" t="n">
        <v>336</v>
      </c>
      <c r="D1755" s="4" t="n">
        <v>101.64</v>
      </c>
      <c r="E1755" s="5" t="n">
        <v>227.3</v>
      </c>
      <c r="F1755" s="3" t="inlineStr">
        <is>
          <t>연동면</t>
        </is>
      </c>
      <c r="G1755" s="3" t="inlineStr">
        <is>
          <t>내판리</t>
        </is>
      </c>
      <c r="H1755" s="3" t="inlineStr">
        <is>
          <t>계획관리지역</t>
        </is>
      </c>
      <c r="I1755" s="3" t="inlineStr">
        <is>
          <t>대</t>
        </is>
      </c>
      <c r="J1755" s="3" t="inlineStr">
        <is>
          <t>연동면</t>
        </is>
      </c>
    </row>
    <row r="1756">
      <c r="A1756" s="3" t="n">
        <v>2022</v>
      </c>
      <c r="B1756" s="4" t="n">
        <v>10800</v>
      </c>
      <c r="C1756" s="4" t="n">
        <v>714</v>
      </c>
      <c r="D1756" s="4" t="n">
        <v>215.985</v>
      </c>
      <c r="E1756" s="5" t="n">
        <v>50</v>
      </c>
      <c r="F1756" s="3" t="inlineStr">
        <is>
          <t>부강면</t>
        </is>
      </c>
      <c r="G1756" s="3" t="inlineStr">
        <is>
          <t>문곡리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부강면</t>
        </is>
      </c>
    </row>
    <row r="1757">
      <c r="A1757" s="3" t="n">
        <v>2022</v>
      </c>
      <c r="B1757" s="4" t="n">
        <v>8850</v>
      </c>
      <c r="C1757" s="4" t="n">
        <v>585</v>
      </c>
      <c r="D1757" s="4" t="n">
        <v>176.9625</v>
      </c>
      <c r="E1757" s="5" t="n">
        <v>50</v>
      </c>
      <c r="F1757" s="3" t="inlineStr">
        <is>
          <t>부강면</t>
        </is>
      </c>
      <c r="G1757" s="3" t="inlineStr">
        <is>
          <t>문곡리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부강면</t>
        </is>
      </c>
    </row>
    <row r="1758">
      <c r="A1758" s="3" t="n">
        <v>2022</v>
      </c>
      <c r="B1758" s="4" t="n">
        <v>18755</v>
      </c>
      <c r="C1758" s="4" t="n">
        <v>155</v>
      </c>
      <c r="D1758" s="4" t="n">
        <v>46.8875</v>
      </c>
      <c r="E1758" s="5" t="n">
        <v>400</v>
      </c>
      <c r="F1758" s="3" t="inlineStr">
        <is>
          <t>조치원읍</t>
        </is>
      </c>
      <c r="G1758" s="3" t="inlineStr">
        <is>
          <t>남리</t>
        </is>
      </c>
      <c r="H1758" s="3" t="inlineStr">
        <is>
          <t>제2종일반주거지역</t>
        </is>
      </c>
      <c r="I1758" s="3" t="inlineStr">
        <is>
          <t>대</t>
        </is>
      </c>
      <c r="J1758" s="3" t="inlineStr">
        <is>
          <t>조치원읍</t>
        </is>
      </c>
    </row>
    <row r="1759">
      <c r="A1759" s="3" t="n">
        <v>2022</v>
      </c>
      <c r="B1759" s="4" t="n">
        <v>5445</v>
      </c>
      <c r="C1759" s="4" t="n">
        <v>45</v>
      </c>
      <c r="D1759" s="4" t="n">
        <v>13.6125</v>
      </c>
      <c r="E1759" s="5" t="n">
        <v>400</v>
      </c>
      <c r="F1759" s="3" t="inlineStr">
        <is>
          <t>조치원읍</t>
        </is>
      </c>
      <c r="G1759" s="3" t="inlineStr">
        <is>
          <t>남리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조치원읍</t>
        </is>
      </c>
    </row>
    <row r="1760">
      <c r="A1760" s="3" t="n">
        <v>2022</v>
      </c>
      <c r="B1760" s="4" t="n">
        <v>10043</v>
      </c>
      <c r="C1760" s="4" t="n">
        <v>83</v>
      </c>
      <c r="D1760" s="4" t="n">
        <v>25.1075</v>
      </c>
      <c r="E1760" s="5" t="n">
        <v>400</v>
      </c>
      <c r="F1760" s="3" t="inlineStr">
        <is>
          <t>조치원읍</t>
        </is>
      </c>
      <c r="G1760" s="3" t="inlineStr">
        <is>
          <t>남리</t>
        </is>
      </c>
      <c r="H1760" s="3" t="inlineStr">
        <is>
          <t>제2종일반주거지역</t>
        </is>
      </c>
      <c r="I1760" s="3" t="inlineStr">
        <is>
          <t>전</t>
        </is>
      </c>
      <c r="J1760" s="3" t="inlineStr">
        <is>
          <t>조치원읍</t>
        </is>
      </c>
    </row>
    <row r="1761">
      <c r="A1761" s="3" t="n">
        <v>2022</v>
      </c>
      <c r="B1761" s="4" t="n">
        <v>124993</v>
      </c>
      <c r="C1761" s="4" t="n">
        <v>1033</v>
      </c>
      <c r="D1761" s="4" t="n">
        <v>312.4825</v>
      </c>
      <c r="E1761" s="5" t="n">
        <v>400</v>
      </c>
      <c r="F1761" s="3" t="inlineStr">
        <is>
          <t>조치원읍</t>
        </is>
      </c>
      <c r="G1761" s="3" t="inlineStr">
        <is>
          <t>남리</t>
        </is>
      </c>
      <c r="H1761" s="3" t="inlineStr">
        <is>
          <t>제2종일반주거지역</t>
        </is>
      </c>
      <c r="I1761" s="3" t="inlineStr">
        <is>
          <t>대</t>
        </is>
      </c>
      <c r="J1761" s="3" t="inlineStr">
        <is>
          <t>조치원읍</t>
        </is>
      </c>
    </row>
    <row r="1762">
      <c r="A1762" s="3" t="n">
        <v>2022</v>
      </c>
      <c r="B1762" s="4" t="n">
        <v>13068</v>
      </c>
      <c r="C1762" s="4" t="n">
        <v>108</v>
      </c>
      <c r="D1762" s="4" t="n">
        <v>32.67</v>
      </c>
      <c r="E1762" s="5" t="n">
        <v>400</v>
      </c>
      <c r="F1762" s="3" t="inlineStr">
        <is>
          <t>조치원읍</t>
        </is>
      </c>
      <c r="G1762" s="3" t="inlineStr">
        <is>
          <t>남리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2022</v>
      </c>
      <c r="B1763" s="4" t="n">
        <v>92000</v>
      </c>
      <c r="C1763" s="4" t="n">
        <v>2995</v>
      </c>
      <c r="D1763" s="4" t="n">
        <v>905.9875</v>
      </c>
      <c r="E1763" s="5" t="n">
        <v>101.5</v>
      </c>
      <c r="F1763" s="3" t="inlineStr">
        <is>
          <t>연서면</t>
        </is>
      </c>
      <c r="G1763" s="3" t="inlineStr">
        <is>
          <t>봉암리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연서면</t>
        </is>
      </c>
    </row>
    <row r="1764">
      <c r="A1764" s="3" t="n">
        <v>2022</v>
      </c>
      <c r="B1764" s="4" t="n">
        <v>8000</v>
      </c>
      <c r="C1764" s="4" t="n">
        <v>792</v>
      </c>
      <c r="D1764" s="4" t="n">
        <v>239.58</v>
      </c>
      <c r="E1764" s="5" t="n">
        <v>33.4</v>
      </c>
      <c r="F1764" s="3" t="inlineStr">
        <is>
          <t>전동면</t>
        </is>
      </c>
      <c r="G1764" s="3" t="inlineStr">
        <is>
          <t>봉대리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전동면</t>
        </is>
      </c>
    </row>
    <row r="1765">
      <c r="A1765" s="3" t="n">
        <v>2022</v>
      </c>
      <c r="B1765" s="4" t="n">
        <v>101400</v>
      </c>
      <c r="C1765" s="4" t="n">
        <v>4248</v>
      </c>
      <c r="D1765" s="4" t="n">
        <v>1285.02</v>
      </c>
      <c r="E1765" s="5" t="n">
        <v>78.90000000000001</v>
      </c>
      <c r="F1765" s="3" t="inlineStr">
        <is>
          <t>연서면</t>
        </is>
      </c>
      <c r="G1765" s="3" t="inlineStr">
        <is>
          <t>기룡리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연서면</t>
        </is>
      </c>
    </row>
    <row r="1766">
      <c r="A1766" s="3" t="n">
        <v>2022</v>
      </c>
      <c r="B1766" s="4" t="n">
        <v>18800</v>
      </c>
      <c r="C1766" s="4" t="n">
        <v>1554</v>
      </c>
      <c r="D1766" s="4" t="n">
        <v>470.085</v>
      </c>
      <c r="E1766" s="5" t="n">
        <v>40</v>
      </c>
      <c r="F1766" s="3" t="inlineStr">
        <is>
          <t>소정면</t>
        </is>
      </c>
      <c r="G1766" s="3" t="inlineStr">
        <is>
          <t>소정리</t>
        </is>
      </c>
      <c r="H1766" s="3" t="inlineStr">
        <is>
          <t>보전관리지역</t>
        </is>
      </c>
      <c r="I1766" s="3" t="inlineStr">
        <is>
          <t>전</t>
        </is>
      </c>
      <c r="J1766" s="3" t="inlineStr">
        <is>
          <t>소정면</t>
        </is>
      </c>
    </row>
    <row r="1767">
      <c r="A1767" s="3" t="n">
        <v>2022</v>
      </c>
      <c r="B1767" s="4" t="n">
        <v>14940</v>
      </c>
      <c r="C1767" s="4" t="n">
        <v>353</v>
      </c>
      <c r="D1767" s="4" t="n">
        <v>106.7825</v>
      </c>
      <c r="E1767" s="5" t="n">
        <v>139.9</v>
      </c>
      <c r="F1767" s="3" t="inlineStr">
        <is>
          <t>장군면</t>
        </is>
      </c>
      <c r="G1767" s="3" t="inlineStr">
        <is>
          <t>대교리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장군면</t>
        </is>
      </c>
    </row>
    <row r="1768">
      <c r="A1768" s="3" t="n">
        <v>2022</v>
      </c>
      <c r="B1768" s="4" t="n">
        <v>30000</v>
      </c>
      <c r="C1768" s="4" t="n">
        <v>701</v>
      </c>
      <c r="D1768" s="4" t="n">
        <v>212.0525</v>
      </c>
      <c r="E1768" s="5" t="n">
        <v>141.5</v>
      </c>
      <c r="F1768" s="3" t="inlineStr">
        <is>
          <t>금남면</t>
        </is>
      </c>
      <c r="G1768" s="3" t="inlineStr">
        <is>
          <t>국곡리</t>
        </is>
      </c>
      <c r="H1768" s="3" t="inlineStr">
        <is>
          <t>계획관리지역</t>
        </is>
      </c>
      <c r="I1768" s="3" t="inlineStr">
        <is>
          <t>전</t>
        </is>
      </c>
      <c r="J1768" s="3" t="inlineStr">
        <is>
          <t>금남면</t>
        </is>
      </c>
    </row>
    <row r="1769">
      <c r="A1769" s="3" t="n">
        <v>2022</v>
      </c>
      <c r="B1769" s="4" t="n">
        <v>800</v>
      </c>
      <c r="C1769" s="4" t="n">
        <v>14</v>
      </c>
      <c r="D1769" s="4" t="n">
        <v>4.234999999999999</v>
      </c>
      <c r="E1769" s="5" t="n">
        <v>188.9</v>
      </c>
      <c r="F1769" s="3" t="inlineStr">
        <is>
          <t>금남면</t>
        </is>
      </c>
      <c r="G1769" s="3" t="inlineStr">
        <is>
          <t>국곡리</t>
        </is>
      </c>
      <c r="H1769" s="3" t="inlineStr">
        <is>
          <t>계획관리지역</t>
        </is>
      </c>
      <c r="I1769" s="3" t="inlineStr">
        <is>
          <t>도로</t>
        </is>
      </c>
      <c r="J1769" s="3" t="inlineStr">
        <is>
          <t>금남면</t>
        </is>
      </c>
    </row>
    <row r="1770">
      <c r="A1770" s="3" t="n">
        <v>2022</v>
      </c>
      <c r="B1770" s="4" t="n">
        <v>139842</v>
      </c>
      <c r="C1770" s="4" t="n">
        <v>740</v>
      </c>
      <c r="D1770" s="4" t="n">
        <v>223.85</v>
      </c>
      <c r="E1770" s="5" t="n">
        <v>624.7</v>
      </c>
      <c r="F1770" s="3" t="inlineStr">
        <is>
          <t>연서면</t>
        </is>
      </c>
      <c r="G1770" s="3" t="inlineStr">
        <is>
          <t>봉암리</t>
        </is>
      </c>
      <c r="H1770" s="3" t="inlineStr">
        <is>
          <t>계획관리지역</t>
        </is>
      </c>
      <c r="I1770" s="3" t="inlineStr">
        <is>
          <t>답</t>
        </is>
      </c>
      <c r="J1770" s="3" t="inlineStr">
        <is>
          <t>연서면</t>
        </is>
      </c>
    </row>
    <row r="1771">
      <c r="A1771" s="3" t="n">
        <v>2022</v>
      </c>
      <c r="B1771" s="4" t="n">
        <v>9000</v>
      </c>
      <c r="C1771" s="4" t="n">
        <v>660</v>
      </c>
      <c r="D1771" s="4" t="n">
        <v>199.65</v>
      </c>
      <c r="E1771" s="5" t="n">
        <v>45.1</v>
      </c>
      <c r="F1771" s="3" t="inlineStr">
        <is>
          <t>전동면</t>
        </is>
      </c>
      <c r="G1771" s="3" t="inlineStr">
        <is>
          <t>송성리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전동면</t>
        </is>
      </c>
    </row>
    <row r="1772">
      <c r="A1772" s="3" t="n">
        <v>2023</v>
      </c>
      <c r="B1772" s="4" t="n">
        <v>59500</v>
      </c>
      <c r="C1772" s="4" t="n">
        <v>356.9</v>
      </c>
      <c r="D1772" s="4" t="n">
        <v>107.96225</v>
      </c>
      <c r="E1772" s="5" t="n">
        <v>551.1</v>
      </c>
      <c r="F1772" s="3" t="inlineStr">
        <is>
          <t>고운동</t>
        </is>
      </c>
      <c r="G1772" s="3" t="inlineStr"/>
      <c r="H1772" s="3" t="inlineStr">
        <is>
          <t>제1종전용주거지역</t>
        </is>
      </c>
      <c r="I1772" s="3" t="inlineStr">
        <is>
          <t>대</t>
        </is>
      </c>
      <c r="J1772" s="3" t="inlineStr">
        <is>
          <t>고운동</t>
        </is>
      </c>
    </row>
    <row r="1773">
      <c r="A1773" s="3" t="n">
        <v>2023</v>
      </c>
      <c r="B1773" s="4" t="n">
        <v>6378</v>
      </c>
      <c r="C1773" s="4" t="n">
        <v>703</v>
      </c>
      <c r="D1773" s="4" t="n">
        <v>212.6575</v>
      </c>
      <c r="E1773" s="5" t="n">
        <v>30</v>
      </c>
      <c r="F1773" s="3" t="inlineStr">
        <is>
          <t>연서면</t>
        </is>
      </c>
      <c r="G1773" s="3" t="inlineStr">
        <is>
          <t>청라리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연서면</t>
        </is>
      </c>
    </row>
    <row r="1774">
      <c r="A1774" s="3" t="n">
        <v>2023</v>
      </c>
      <c r="B1774" s="4" t="n">
        <v>3330</v>
      </c>
      <c r="C1774" s="4" t="n">
        <v>367</v>
      </c>
      <c r="D1774" s="4" t="n">
        <v>111.0175</v>
      </c>
      <c r="E1774" s="5" t="n">
        <v>30</v>
      </c>
      <c r="F1774" s="3" t="inlineStr">
        <is>
          <t>연서면</t>
        </is>
      </c>
      <c r="G1774" s="3" t="inlineStr">
        <is>
          <t>청라리</t>
        </is>
      </c>
      <c r="H1774" s="3" t="inlineStr">
        <is>
          <t>생산관리지역</t>
        </is>
      </c>
      <c r="I1774" s="3" t="inlineStr">
        <is>
          <t>전</t>
        </is>
      </c>
      <c r="J1774" s="3" t="inlineStr">
        <is>
          <t>연서면</t>
        </is>
      </c>
    </row>
    <row r="1775">
      <c r="A1775" s="3" t="n">
        <v>2023</v>
      </c>
      <c r="B1775" s="4" t="n">
        <v>22590</v>
      </c>
      <c r="C1775" s="4" t="n">
        <v>540</v>
      </c>
      <c r="D1775" s="4" t="n">
        <v>163.35</v>
      </c>
      <c r="E1775" s="5" t="n">
        <v>138.3</v>
      </c>
      <c r="F1775" s="3" t="inlineStr">
        <is>
          <t>연기면</t>
        </is>
      </c>
      <c r="G1775" s="3" t="inlineStr">
        <is>
          <t>수산리</t>
        </is>
      </c>
      <c r="H1775" s="3" t="inlineStr">
        <is>
          <t>보전관리지역</t>
        </is>
      </c>
      <c r="I1775" s="3" t="inlineStr">
        <is>
          <t>임야</t>
        </is>
      </c>
      <c r="J1775" s="3" t="inlineStr">
        <is>
          <t>연기면</t>
        </is>
      </c>
    </row>
    <row r="1776">
      <c r="A1776" s="3" t="n">
        <v>2023</v>
      </c>
      <c r="B1776" s="4" t="n">
        <v>17500</v>
      </c>
      <c r="C1776" s="4" t="n">
        <v>1655</v>
      </c>
      <c r="D1776" s="4" t="n">
        <v>500.6375</v>
      </c>
      <c r="E1776" s="5" t="n">
        <v>35</v>
      </c>
      <c r="F1776" s="3" t="inlineStr">
        <is>
          <t>장군면</t>
        </is>
      </c>
      <c r="G1776" s="3" t="inlineStr">
        <is>
          <t>은용리</t>
        </is>
      </c>
      <c r="H1776" s="3" t="inlineStr">
        <is>
          <t>농림지역</t>
        </is>
      </c>
      <c r="I1776" s="3" t="inlineStr">
        <is>
          <t>임야</t>
        </is>
      </c>
      <c r="J1776" s="3" t="inlineStr">
        <is>
          <t>장군면</t>
        </is>
      </c>
    </row>
    <row r="1777">
      <c r="A1777" s="3" t="n">
        <v>2023</v>
      </c>
      <c r="B1777" s="4" t="n">
        <v>3780</v>
      </c>
      <c r="C1777" s="4" t="n">
        <v>299</v>
      </c>
      <c r="D1777" s="4" t="n">
        <v>90.44749999999999</v>
      </c>
      <c r="E1777" s="5" t="n">
        <v>41.8</v>
      </c>
      <c r="F1777" s="3" t="inlineStr">
        <is>
          <t>장군면</t>
        </is>
      </c>
      <c r="G1777" s="3" t="inlineStr">
        <is>
          <t>송정리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장군면</t>
        </is>
      </c>
    </row>
    <row r="1778">
      <c r="A1778" s="3" t="n">
        <v>2023</v>
      </c>
      <c r="B1778" s="4" t="n">
        <v>300</v>
      </c>
      <c r="C1778" s="4" t="n">
        <v>106</v>
      </c>
      <c r="D1778" s="4" t="n">
        <v>32.065</v>
      </c>
      <c r="E1778" s="5" t="n">
        <v>9.4</v>
      </c>
      <c r="F1778" s="3" t="inlineStr">
        <is>
          <t>전동면</t>
        </is>
      </c>
      <c r="G1778" s="3" t="inlineStr">
        <is>
          <t>송성리</t>
        </is>
      </c>
      <c r="H1778" s="3" t="inlineStr">
        <is>
          <t>생산관리지역</t>
        </is>
      </c>
      <c r="I1778" s="3" t="inlineStr">
        <is>
          <t>전</t>
        </is>
      </c>
      <c r="J1778" s="3" t="inlineStr">
        <is>
          <t>전동면</t>
        </is>
      </c>
    </row>
    <row r="1779">
      <c r="A1779" s="3" t="n">
        <v>2023</v>
      </c>
      <c r="B1779" s="4" t="n">
        <v>58650</v>
      </c>
      <c r="C1779" s="4" t="n">
        <v>1140</v>
      </c>
      <c r="D1779" s="4" t="n">
        <v>344.85</v>
      </c>
      <c r="E1779" s="5" t="n">
        <v>170.1</v>
      </c>
      <c r="F1779" s="3" t="inlineStr">
        <is>
          <t>장군면</t>
        </is>
      </c>
      <c r="G1779" s="3" t="inlineStr">
        <is>
          <t>봉안리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장군면</t>
        </is>
      </c>
    </row>
    <row r="1780">
      <c r="A1780" s="3" t="n">
        <v>2023</v>
      </c>
      <c r="B1780" s="4" t="n">
        <v>20500</v>
      </c>
      <c r="C1780" s="4" t="n">
        <v>994</v>
      </c>
      <c r="D1780" s="4" t="n">
        <v>300.685</v>
      </c>
      <c r="E1780" s="5" t="n">
        <v>68.2</v>
      </c>
      <c r="F1780" s="3" t="inlineStr">
        <is>
          <t>전동면</t>
        </is>
      </c>
      <c r="G1780" s="3" t="inlineStr">
        <is>
          <t>송정리</t>
        </is>
      </c>
      <c r="H1780" s="3" t="inlineStr">
        <is>
          <t>생산관리지역</t>
        </is>
      </c>
      <c r="I1780" s="3" t="inlineStr">
        <is>
          <t>답</t>
        </is>
      </c>
      <c r="J1780" s="3" t="inlineStr">
        <is>
          <t>전동면</t>
        </is>
      </c>
    </row>
    <row r="1781">
      <c r="A1781" s="3" t="n">
        <v>2023</v>
      </c>
      <c r="B1781" s="4" t="n">
        <v>12400</v>
      </c>
      <c r="C1781" s="4" t="n">
        <v>426</v>
      </c>
      <c r="D1781" s="4" t="n">
        <v>128.865</v>
      </c>
      <c r="E1781" s="5" t="n">
        <v>96.2</v>
      </c>
      <c r="F1781" s="3" t="inlineStr">
        <is>
          <t>부강면</t>
        </is>
      </c>
      <c r="G1781" s="3" t="inlineStr">
        <is>
          <t>갈산리</t>
        </is>
      </c>
      <c r="H1781" s="3" t="inlineStr">
        <is>
          <t>계획관리지역</t>
        </is>
      </c>
      <c r="I1781" s="3" t="inlineStr">
        <is>
          <t>답</t>
        </is>
      </c>
      <c r="J1781" s="3" t="inlineStr">
        <is>
          <t>부강면</t>
        </is>
      </c>
    </row>
    <row r="1782">
      <c r="A1782" s="3" t="n">
        <v>2023</v>
      </c>
      <c r="B1782" s="4" t="n">
        <v>5000</v>
      </c>
      <c r="C1782" s="4" t="n">
        <v>728</v>
      </c>
      <c r="D1782" s="4" t="n">
        <v>220.22</v>
      </c>
      <c r="E1782" s="5" t="n">
        <v>22.7</v>
      </c>
      <c r="F1782" s="3" t="inlineStr">
        <is>
          <t>전동면</t>
        </is>
      </c>
      <c r="G1782" s="3" t="inlineStr">
        <is>
          <t>청람리</t>
        </is>
      </c>
      <c r="H1782" s="3" t="inlineStr">
        <is>
          <t>생산관리지역</t>
        </is>
      </c>
      <c r="I1782" s="3" t="inlineStr">
        <is>
          <t>전</t>
        </is>
      </c>
      <c r="J1782" s="3" t="inlineStr">
        <is>
          <t>전동면</t>
        </is>
      </c>
    </row>
    <row r="1783">
      <c r="A1783" s="3" t="n">
        <v>2023</v>
      </c>
      <c r="B1783" s="4" t="n">
        <v>6000</v>
      </c>
      <c r="C1783" s="4" t="n">
        <v>124</v>
      </c>
      <c r="D1783" s="4" t="n">
        <v>37.51</v>
      </c>
      <c r="E1783" s="5" t="n">
        <v>160</v>
      </c>
      <c r="F1783" s="3" t="inlineStr">
        <is>
          <t>연기면</t>
        </is>
      </c>
      <c r="G1783" s="3" t="inlineStr">
        <is>
          <t>수산리</t>
        </is>
      </c>
      <c r="H1783" s="3" t="inlineStr">
        <is>
          <t>계획관리지역</t>
        </is>
      </c>
      <c r="I1783" s="3" t="inlineStr">
        <is>
          <t>대</t>
        </is>
      </c>
      <c r="J1783" s="3" t="inlineStr">
        <is>
          <t>연기면</t>
        </is>
      </c>
    </row>
    <row r="1784">
      <c r="A1784" s="3" t="n">
        <v>2023</v>
      </c>
      <c r="B1784" s="4" t="n">
        <v>18380</v>
      </c>
      <c r="C1784" s="4" t="n">
        <v>402</v>
      </c>
      <c r="D1784" s="4" t="n">
        <v>121.605</v>
      </c>
      <c r="E1784" s="5" t="n">
        <v>151.1</v>
      </c>
      <c r="F1784" s="3" t="inlineStr">
        <is>
          <t>연기면</t>
        </is>
      </c>
      <c r="G1784" s="3" t="inlineStr">
        <is>
          <t>수산리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연기면</t>
        </is>
      </c>
    </row>
    <row r="1785">
      <c r="A1785" s="3" t="n">
        <v>2023</v>
      </c>
      <c r="B1785" s="4" t="n">
        <v>1000</v>
      </c>
      <c r="C1785" s="4" t="n">
        <v>56</v>
      </c>
      <c r="D1785" s="4" t="n">
        <v>16.94</v>
      </c>
      <c r="E1785" s="5" t="n">
        <v>59</v>
      </c>
      <c r="F1785" s="3" t="inlineStr">
        <is>
          <t>연기면</t>
        </is>
      </c>
      <c r="G1785" s="3" t="inlineStr">
        <is>
          <t>수산리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연기면</t>
        </is>
      </c>
    </row>
    <row r="1786">
      <c r="A1786" s="3" t="n">
        <v>2023</v>
      </c>
      <c r="B1786" s="4" t="n">
        <v>37862</v>
      </c>
      <c r="C1786" s="4" t="n">
        <v>661</v>
      </c>
      <c r="D1786" s="4" t="n">
        <v>199.9525</v>
      </c>
      <c r="E1786" s="5" t="n">
        <v>189.4</v>
      </c>
      <c r="F1786" s="3" t="inlineStr">
        <is>
          <t>장군면</t>
        </is>
      </c>
      <c r="G1786" s="3" t="inlineStr">
        <is>
          <t>대교리</t>
        </is>
      </c>
      <c r="H1786" s="3" t="inlineStr">
        <is>
          <t>보전관리지역</t>
        </is>
      </c>
      <c r="I1786" s="3" t="inlineStr">
        <is>
          <t>대</t>
        </is>
      </c>
      <c r="J1786" s="3" t="inlineStr">
        <is>
          <t>장군면</t>
        </is>
      </c>
    </row>
    <row r="1787">
      <c r="A1787" s="3" t="n">
        <v>2023</v>
      </c>
      <c r="B1787" s="4" t="n">
        <v>5000</v>
      </c>
      <c r="C1787" s="4" t="n">
        <v>38512</v>
      </c>
      <c r="D1787" s="4" t="n">
        <v>11649.88</v>
      </c>
      <c r="E1787" s="5" t="n">
        <v>0.4</v>
      </c>
      <c r="F1787" s="3" t="inlineStr">
        <is>
          <t>전동면</t>
        </is>
      </c>
      <c r="G1787" s="3" t="inlineStr">
        <is>
          <t>청송리</t>
        </is>
      </c>
      <c r="H1787" s="3" t="inlineStr">
        <is>
          <t>농림지역</t>
        </is>
      </c>
      <c r="I1787" s="3" t="inlineStr">
        <is>
          <t>임야</t>
        </is>
      </c>
      <c r="J1787" s="3" t="inlineStr">
        <is>
          <t>전동면</t>
        </is>
      </c>
    </row>
    <row r="1788">
      <c r="A1788" s="3" t="n">
        <v>2023</v>
      </c>
      <c r="B1788" s="4" t="n">
        <v>24607</v>
      </c>
      <c r="C1788" s="4" t="n">
        <v>505</v>
      </c>
      <c r="D1788" s="4" t="n">
        <v>152.7625</v>
      </c>
      <c r="E1788" s="5" t="n">
        <v>161.1</v>
      </c>
      <c r="F1788" s="3" t="inlineStr">
        <is>
          <t>장군면</t>
        </is>
      </c>
      <c r="G1788" s="3" t="inlineStr">
        <is>
          <t>봉안리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장군면</t>
        </is>
      </c>
    </row>
    <row r="1789">
      <c r="A1789" s="3" t="n">
        <v>2023</v>
      </c>
      <c r="B1789" s="4" t="n">
        <v>13900</v>
      </c>
      <c r="C1789" s="4" t="n">
        <v>418</v>
      </c>
      <c r="D1789" s="4" t="n">
        <v>126.445</v>
      </c>
      <c r="E1789" s="5" t="n">
        <v>109.9</v>
      </c>
      <c r="F1789" s="3" t="inlineStr">
        <is>
          <t>남이면</t>
        </is>
      </c>
      <c r="G1789" s="3" t="inlineStr">
        <is>
          <t>수대리</t>
        </is>
      </c>
      <c r="H1789" s="3" t="inlineStr">
        <is>
          <t>보전녹지지역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2025</v>
      </c>
      <c r="B1790" s="4" t="n">
        <v>10000</v>
      </c>
      <c r="C1790" s="4" t="n">
        <v>347</v>
      </c>
      <c r="D1790" s="4" t="n">
        <v>104.9675</v>
      </c>
      <c r="E1790" s="5" t="n">
        <v>95.3</v>
      </c>
      <c r="F1790" s="3" t="inlineStr">
        <is>
          <t>남이면</t>
        </is>
      </c>
      <c r="G1790" s="3" t="inlineStr">
        <is>
          <t>척산리</t>
        </is>
      </c>
      <c r="H1790" s="3" t="inlineStr">
        <is>
          <t>계획관리지역</t>
        </is>
      </c>
      <c r="I1790" s="3" t="inlineStr">
        <is>
          <t>대</t>
        </is>
      </c>
      <c r="J1790" s="3" t="inlineStr">
        <is>
          <t>남이면</t>
        </is>
      </c>
    </row>
    <row r="1791">
      <c r="A1791" s="3" t="n">
        <v>2025</v>
      </c>
      <c r="B1791" s="4" t="n">
        <v>56140</v>
      </c>
      <c r="C1791" s="4" t="n">
        <v>1626</v>
      </c>
      <c r="D1791" s="4" t="n">
        <v>491.865</v>
      </c>
      <c r="E1791" s="5" t="n">
        <v>114.1</v>
      </c>
      <c r="F1791" s="3" t="inlineStr">
        <is>
          <t>남이면</t>
        </is>
      </c>
      <c r="G1791" s="3" t="inlineStr">
        <is>
          <t>가좌리</t>
        </is>
      </c>
      <c r="H1791" s="3" t="inlineStr">
        <is>
          <t>자연녹지지역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2025</v>
      </c>
      <c r="B1792" s="4" t="n">
        <v>930</v>
      </c>
      <c r="C1792" s="4" t="n">
        <v>27</v>
      </c>
      <c r="D1792" s="4" t="n">
        <v>8.1675</v>
      </c>
      <c r="E1792" s="5" t="n">
        <v>113.9</v>
      </c>
      <c r="F1792" s="3" t="inlineStr">
        <is>
          <t>남이면</t>
        </is>
      </c>
      <c r="G1792" s="3" t="inlineStr">
        <is>
          <t>가좌리</t>
        </is>
      </c>
      <c r="H1792" s="3" t="inlineStr">
        <is>
          <t>자연녹지지역</t>
        </is>
      </c>
      <c r="I1792" s="3" t="inlineStr">
        <is>
          <t>임야</t>
        </is>
      </c>
      <c r="J1792" s="3" t="inlineStr">
        <is>
          <t>남이면</t>
        </is>
      </c>
    </row>
    <row r="1793">
      <c r="A1793" s="3" t="n">
        <v>2025</v>
      </c>
      <c r="B1793" s="4" t="n">
        <v>500</v>
      </c>
      <c r="C1793" s="4" t="n">
        <v>157</v>
      </c>
      <c r="D1793" s="4" t="n">
        <v>47.4925</v>
      </c>
      <c r="E1793" s="5" t="n">
        <v>10.5</v>
      </c>
      <c r="F1793" s="3" t="inlineStr">
        <is>
          <t>남이면</t>
        </is>
      </c>
      <c r="G1793" s="3" t="inlineStr">
        <is>
          <t>문동리</t>
        </is>
      </c>
      <c r="H1793" s="3" t="inlineStr">
        <is>
          <t>생산관리지역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2025</v>
      </c>
      <c r="B1794" s="4" t="n">
        <v>2500</v>
      </c>
      <c r="C1794" s="4" t="n">
        <v>1057</v>
      </c>
      <c r="D1794" s="4" t="n">
        <v>319.7425</v>
      </c>
      <c r="E1794" s="5" t="n">
        <v>7.8</v>
      </c>
      <c r="F1794" s="3" t="inlineStr">
        <is>
          <t>남이면</t>
        </is>
      </c>
      <c r="G1794" s="3" t="inlineStr">
        <is>
          <t>문동리</t>
        </is>
      </c>
      <c r="H1794" s="3" t="inlineStr">
        <is>
          <t>생산관리지역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10000</v>
      </c>
      <c r="C1795" s="4" t="n">
        <v>1805</v>
      </c>
      <c r="D1795" s="4" t="n">
        <v>546.0124999999999</v>
      </c>
      <c r="E1795" s="5" t="n">
        <v>18.3</v>
      </c>
      <c r="F1795" s="3" t="inlineStr">
        <is>
          <t>남이면</t>
        </is>
      </c>
      <c r="G1795" s="3" t="inlineStr">
        <is>
          <t>문동리</t>
        </is>
      </c>
      <c r="H1795" s="3" t="inlineStr">
        <is>
          <t>생산관리지역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16728</v>
      </c>
      <c r="C1796" s="4" t="n">
        <v>984</v>
      </c>
      <c r="D1796" s="4" t="n">
        <v>297.66</v>
      </c>
      <c r="E1796" s="5" t="n">
        <v>56.2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272</v>
      </c>
      <c r="C1797" s="4" t="n">
        <v>19</v>
      </c>
      <c r="D1797" s="4" t="n">
        <v>5.7475</v>
      </c>
      <c r="E1797" s="5" t="n">
        <v>47.3</v>
      </c>
      <c r="F1797" s="3" t="inlineStr">
        <is>
          <t>남이면</t>
        </is>
      </c>
      <c r="G1797" s="3" t="inlineStr">
        <is>
          <t>부용외천리</t>
        </is>
      </c>
      <c r="H1797" s="3" t="inlineStr">
        <is>
          <t>계획관리지역</t>
        </is>
      </c>
      <c r="I1797" s="3" t="inlineStr">
        <is>
          <t>도로</t>
        </is>
      </c>
      <c r="J1797" s="3" t="inlineStr">
        <is>
          <t>남이면</t>
        </is>
      </c>
    </row>
    <row r="1798">
      <c r="A1798" s="3" t="n">
        <v>2025</v>
      </c>
      <c r="B1798" s="4" t="n">
        <v>5000</v>
      </c>
      <c r="C1798" s="4" t="n">
        <v>453</v>
      </c>
      <c r="D1798" s="4" t="n">
        <v>137.0325</v>
      </c>
      <c r="E1798" s="5" t="n">
        <v>36.5</v>
      </c>
      <c r="F1798" s="3" t="inlineStr">
        <is>
          <t>현도면</t>
        </is>
      </c>
      <c r="G1798" s="3" t="inlineStr">
        <is>
          <t>달계리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현도면</t>
        </is>
      </c>
    </row>
    <row r="1799">
      <c r="A1799" s="3" t="n">
        <v>2025</v>
      </c>
      <c r="B1799" s="4" t="n">
        <v>18000</v>
      </c>
      <c r="C1799" s="4" t="n">
        <v>658</v>
      </c>
      <c r="D1799" s="4" t="n">
        <v>199.045</v>
      </c>
      <c r="E1799" s="5" t="n">
        <v>90.40000000000001</v>
      </c>
      <c r="F1799" s="3" t="inlineStr">
        <is>
          <t>현도면</t>
        </is>
      </c>
      <c r="G1799" s="3" t="inlineStr">
        <is>
          <t>우록리</t>
        </is>
      </c>
      <c r="H1799" s="3" t="inlineStr">
        <is>
          <t>생산관리지역</t>
        </is>
      </c>
      <c r="I1799" s="3" t="inlineStr">
        <is>
          <t>전</t>
        </is>
      </c>
      <c r="J1799" s="3" t="inlineStr">
        <is>
          <t>현도면</t>
        </is>
      </c>
    </row>
    <row r="1800">
      <c r="A1800" s="3" t="n">
        <v>2026</v>
      </c>
      <c r="B1800" s="4" t="n">
        <v>52360</v>
      </c>
      <c r="C1800" s="4" t="n">
        <v>1018</v>
      </c>
      <c r="D1800" s="4" t="n">
        <v>307.945</v>
      </c>
      <c r="E1800" s="5" t="n">
        <v>170</v>
      </c>
      <c r="F1800" s="3" t="inlineStr">
        <is>
          <t>연서면</t>
        </is>
      </c>
      <c r="G1800" s="3" t="inlineStr">
        <is>
          <t>와촌리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2026</v>
      </c>
      <c r="B1801" s="4" t="n">
        <v>8960</v>
      </c>
      <c r="C1801" s="4" t="n">
        <v>370</v>
      </c>
      <c r="D1801" s="4" t="n">
        <v>111.925</v>
      </c>
      <c r="E1801" s="5" t="n">
        <v>80.09999999999999</v>
      </c>
      <c r="F1801" s="3" t="inlineStr">
        <is>
          <t>연기면</t>
        </is>
      </c>
      <c r="G1801" s="3" t="inlineStr">
        <is>
          <t>수산리</t>
        </is>
      </c>
      <c r="H1801" s="3" t="inlineStr">
        <is>
          <t>생산관리지역</t>
        </is>
      </c>
      <c r="I1801" s="3" t="inlineStr">
        <is>
          <t>임야</t>
        </is>
      </c>
      <c r="J1801" s="3" t="inlineStr">
        <is>
          <t>연기면</t>
        </is>
      </c>
    </row>
    <row r="1802">
      <c r="A1802" s="3" t="n">
        <v>2026</v>
      </c>
      <c r="B1802" s="4" t="n">
        <v>25000</v>
      </c>
      <c r="C1802" s="4" t="n">
        <v>3766</v>
      </c>
      <c r="D1802" s="4" t="n">
        <v>1139.215</v>
      </c>
      <c r="E1802" s="5" t="n">
        <v>21.9</v>
      </c>
      <c r="F1802" s="3" t="inlineStr">
        <is>
          <t>전동면</t>
        </is>
      </c>
      <c r="G1802" s="3" t="inlineStr">
        <is>
          <t>봉대리</t>
        </is>
      </c>
      <c r="H1802" s="3" t="inlineStr">
        <is>
          <t>보전관리지역</t>
        </is>
      </c>
      <c r="I1802" s="3" t="inlineStr">
        <is>
          <t>전</t>
        </is>
      </c>
      <c r="J1802" s="3" t="inlineStr">
        <is>
          <t>전동면</t>
        </is>
      </c>
    </row>
    <row r="1803">
      <c r="A1803" s="3" t="n">
        <v>2026</v>
      </c>
      <c r="B1803" s="4" t="n">
        <v>64000</v>
      </c>
      <c r="C1803" s="4" t="n">
        <v>4243</v>
      </c>
      <c r="D1803" s="4" t="n">
        <v>1283.5075</v>
      </c>
      <c r="E1803" s="5" t="n">
        <v>49.9</v>
      </c>
      <c r="F1803" s="3" t="inlineStr">
        <is>
          <t>연서면</t>
        </is>
      </c>
      <c r="G1803" s="3" t="inlineStr">
        <is>
          <t>쌍류리</t>
        </is>
      </c>
      <c r="H1803" s="3" t="inlineStr">
        <is>
          <t>생산관리지역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2026</v>
      </c>
      <c r="B1804" s="4" t="n">
        <v>62383</v>
      </c>
      <c r="C1804" s="4" t="n">
        <v>405.4</v>
      </c>
      <c r="D1804" s="4" t="n">
        <v>122.6335</v>
      </c>
      <c r="E1804" s="5" t="n">
        <v>508.7</v>
      </c>
      <c r="F1804" s="3" t="inlineStr">
        <is>
          <t>고운동</t>
        </is>
      </c>
      <c r="G1804" s="3" t="inlineStr"/>
      <c r="H1804" s="3" t="inlineStr">
        <is>
          <t>제1종전용주거지역</t>
        </is>
      </c>
      <c r="I1804" s="3" t="inlineStr">
        <is>
          <t>대</t>
        </is>
      </c>
      <c r="J1804" s="3" t="inlineStr">
        <is>
          <t>고운동</t>
        </is>
      </c>
    </row>
    <row r="1805">
      <c r="A1805" s="3" t="n">
        <v>2026</v>
      </c>
      <c r="B1805" s="4" t="n">
        <v>69420</v>
      </c>
      <c r="C1805" s="4" t="n">
        <v>1982</v>
      </c>
      <c r="D1805" s="4" t="n">
        <v>599.5549999999999</v>
      </c>
      <c r="E1805" s="5" t="n">
        <v>115.8</v>
      </c>
      <c r="F1805" s="3" t="inlineStr">
        <is>
          <t>금남면</t>
        </is>
      </c>
      <c r="G1805" s="3" t="inlineStr">
        <is>
          <t>대박리</t>
        </is>
      </c>
      <c r="H1805" s="3" t="inlineStr">
        <is>
          <t>보전관리지역</t>
        </is>
      </c>
      <c r="I1805" s="3" t="inlineStr">
        <is>
          <t>임야</t>
        </is>
      </c>
      <c r="J1805" s="3" t="inlineStr">
        <is>
          <t>금남면</t>
        </is>
      </c>
    </row>
    <row r="1806">
      <c r="A1806" s="3" t="n">
        <v>2022</v>
      </c>
      <c r="B1806" s="4" t="n">
        <v>2320</v>
      </c>
      <c r="C1806" s="4" t="n">
        <v>385</v>
      </c>
      <c r="D1806" s="4" t="n">
        <v>116.4625</v>
      </c>
      <c r="E1806" s="5" t="n">
        <v>19.9</v>
      </c>
      <c r="F1806" s="3" t="inlineStr">
        <is>
          <t>현도면</t>
        </is>
      </c>
      <c r="G1806" s="3" t="inlineStr">
        <is>
          <t>달계리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현도면</t>
        </is>
      </c>
    </row>
    <row r="1807">
      <c r="A1807" s="3" t="n">
        <v>2022</v>
      </c>
      <c r="B1807" s="4" t="n">
        <v>23500</v>
      </c>
      <c r="C1807" s="4" t="n">
        <v>869</v>
      </c>
      <c r="D1807" s="4" t="n">
        <v>262.8725</v>
      </c>
      <c r="E1807" s="5" t="n">
        <v>89.40000000000001</v>
      </c>
      <c r="F1807" s="3" t="inlineStr">
        <is>
          <t>남이면</t>
        </is>
      </c>
      <c r="G1807" s="3" t="inlineStr">
        <is>
          <t>석판리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2022</v>
      </c>
      <c r="B1808" s="4" t="n">
        <v>22650</v>
      </c>
      <c r="C1808" s="4" t="n">
        <v>501</v>
      </c>
      <c r="D1808" s="4" t="n">
        <v>151.5525</v>
      </c>
      <c r="E1808" s="5" t="n">
        <v>149.5</v>
      </c>
      <c r="F1808" s="3" t="inlineStr">
        <is>
          <t>남이면</t>
        </is>
      </c>
      <c r="G1808" s="3" t="inlineStr">
        <is>
          <t>석판리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49448</v>
      </c>
      <c r="C1809" s="4" t="n">
        <v>817</v>
      </c>
      <c r="D1809" s="4" t="n">
        <v>247.1425</v>
      </c>
      <c r="E1809" s="5" t="n">
        <v>200.1</v>
      </c>
      <c r="F1809" s="3" t="inlineStr">
        <is>
          <t>남이면</t>
        </is>
      </c>
      <c r="G1809" s="3" t="inlineStr">
        <is>
          <t>양촌리</t>
        </is>
      </c>
      <c r="H1809" s="3" t="inlineStr">
        <is>
          <t>보전녹지지역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2022</v>
      </c>
      <c r="B1810" s="4" t="n">
        <v>49448</v>
      </c>
      <c r="C1810" s="4" t="n">
        <v>817</v>
      </c>
      <c r="D1810" s="4" t="n">
        <v>247.1425</v>
      </c>
      <c r="E1810" s="5" t="n">
        <v>200.1</v>
      </c>
      <c r="F1810" s="3" t="inlineStr">
        <is>
          <t>남이면</t>
        </is>
      </c>
      <c r="G1810" s="3" t="inlineStr">
        <is>
          <t>양촌리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24420</v>
      </c>
      <c r="C1811" s="4" t="n">
        <v>1345</v>
      </c>
      <c r="D1811" s="4" t="n">
        <v>406.8625</v>
      </c>
      <c r="E1811" s="5" t="n">
        <v>60</v>
      </c>
      <c r="F1811" s="3" t="inlineStr">
        <is>
          <t>남이면</t>
        </is>
      </c>
      <c r="G1811" s="3" t="inlineStr">
        <is>
          <t>가좌리</t>
        </is>
      </c>
      <c r="H1811" s="3" t="inlineStr">
        <is>
          <t>자연녹지지역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37600</v>
      </c>
      <c r="C1812" s="4" t="n">
        <v>2324</v>
      </c>
      <c r="D1812" s="4" t="n">
        <v>703.01</v>
      </c>
      <c r="E1812" s="5" t="n">
        <v>53.5</v>
      </c>
      <c r="F1812" s="3" t="inlineStr">
        <is>
          <t>남이면</t>
        </is>
      </c>
      <c r="G1812" s="3" t="inlineStr">
        <is>
          <t>구암리</t>
        </is>
      </c>
      <c r="H1812" s="3" t="inlineStr">
        <is>
          <t>자연녹지지역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2022</v>
      </c>
      <c r="B1813" s="4" t="n">
        <v>1793</v>
      </c>
      <c r="C1813" s="4" t="n">
        <v>99</v>
      </c>
      <c r="D1813" s="4" t="n">
        <v>29.9475</v>
      </c>
      <c r="E1813" s="5" t="n">
        <v>59.9</v>
      </c>
      <c r="F1813" s="3" t="inlineStr">
        <is>
          <t>현도면</t>
        </is>
      </c>
      <c r="G1813" s="3" t="inlineStr">
        <is>
          <t>상삼리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현도면</t>
        </is>
      </c>
    </row>
    <row r="1814">
      <c r="A1814" s="3" t="n">
        <v>2022</v>
      </c>
      <c r="B1814" s="4" t="n">
        <v>14000</v>
      </c>
      <c r="C1814" s="4" t="n">
        <v>1117</v>
      </c>
      <c r="D1814" s="4" t="n">
        <v>337.8925</v>
      </c>
      <c r="E1814" s="5" t="n">
        <v>41.4</v>
      </c>
      <c r="F1814" s="3" t="inlineStr">
        <is>
          <t>남이면</t>
        </is>
      </c>
      <c r="G1814" s="3" t="inlineStr">
        <is>
          <t>외천리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2022</v>
      </c>
      <c r="B1815" s="4" t="n">
        <v>3000</v>
      </c>
      <c r="C1815" s="4" t="n">
        <v>1225</v>
      </c>
      <c r="D1815" s="4" t="n">
        <v>370.5625</v>
      </c>
      <c r="E1815" s="5" t="n">
        <v>8.1</v>
      </c>
      <c r="F1815" s="3" t="inlineStr">
        <is>
          <t>현도면</t>
        </is>
      </c>
      <c r="G1815" s="3" t="inlineStr">
        <is>
          <t>죽암리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현도면</t>
        </is>
      </c>
    </row>
    <row r="1816">
      <c r="A1816" s="3" t="n">
        <v>2022</v>
      </c>
      <c r="B1816" s="4" t="n">
        <v>2000</v>
      </c>
      <c r="C1816" s="4" t="n">
        <v>743</v>
      </c>
      <c r="D1816" s="4" t="n">
        <v>224.7575</v>
      </c>
      <c r="E1816" s="5" t="n">
        <v>8.9</v>
      </c>
      <c r="F1816" s="3" t="inlineStr">
        <is>
          <t>현도면</t>
        </is>
      </c>
      <c r="G1816" s="3" t="inlineStr">
        <is>
          <t>죽암리</t>
        </is>
      </c>
      <c r="H1816" s="3" t="inlineStr">
        <is>
          <t>생산관리지역</t>
        </is>
      </c>
      <c r="I1816" s="3" t="inlineStr">
        <is>
          <t>전</t>
        </is>
      </c>
      <c r="J1816" s="3" t="inlineStr">
        <is>
          <t>현도면</t>
        </is>
      </c>
    </row>
    <row r="1817">
      <c r="A1817" s="3" t="n">
        <v>2022</v>
      </c>
      <c r="B1817" s="4" t="n">
        <v>66000</v>
      </c>
      <c r="C1817" s="4" t="n">
        <v>881</v>
      </c>
      <c r="D1817" s="4" t="n">
        <v>266.5025</v>
      </c>
      <c r="E1817" s="5" t="n">
        <v>247.7</v>
      </c>
      <c r="F1817" s="3" t="inlineStr">
        <is>
          <t>장군면</t>
        </is>
      </c>
      <c r="G1817" s="3" t="inlineStr">
        <is>
          <t>은용리</t>
        </is>
      </c>
      <c r="H1817" s="3" t="inlineStr">
        <is>
          <t>농림지역</t>
        </is>
      </c>
      <c r="I1817" s="3" t="inlineStr">
        <is>
          <t>답</t>
        </is>
      </c>
      <c r="J1817" s="3" t="inlineStr">
        <is>
          <t>장군면</t>
        </is>
      </c>
    </row>
    <row r="1818">
      <c r="A1818" s="3" t="n">
        <v>2022</v>
      </c>
      <c r="B1818" s="4" t="n">
        <v>8000</v>
      </c>
      <c r="C1818" s="4" t="n">
        <v>1504</v>
      </c>
      <c r="D1818" s="4" t="n">
        <v>454.96</v>
      </c>
      <c r="E1818" s="5" t="n">
        <v>17.6</v>
      </c>
      <c r="F1818" s="3" t="inlineStr">
        <is>
          <t>전동면</t>
        </is>
      </c>
      <c r="G1818" s="3" t="inlineStr">
        <is>
          <t>심중리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전동면</t>
        </is>
      </c>
    </row>
    <row r="1819">
      <c r="A1819" s="3" t="n">
        <v>2022</v>
      </c>
      <c r="B1819" s="4" t="n">
        <v>5000</v>
      </c>
      <c r="C1819" s="4" t="n">
        <v>545</v>
      </c>
      <c r="D1819" s="4" t="n">
        <v>164.8625</v>
      </c>
      <c r="E1819" s="5" t="n">
        <v>30.3</v>
      </c>
      <c r="F1819" s="3" t="inlineStr">
        <is>
          <t>연서면</t>
        </is>
      </c>
      <c r="G1819" s="3" t="inlineStr">
        <is>
          <t>쌍류리</t>
        </is>
      </c>
      <c r="H1819" s="3" t="inlineStr">
        <is>
          <t>보전관리지역</t>
        </is>
      </c>
      <c r="I1819" s="3" t="inlineStr">
        <is>
          <t>전</t>
        </is>
      </c>
      <c r="J1819" s="3" t="inlineStr">
        <is>
          <t>연서면</t>
        </is>
      </c>
    </row>
    <row r="1820">
      <c r="A1820" s="3" t="n">
        <v>2022</v>
      </c>
      <c r="B1820" s="4" t="n">
        <v>30000</v>
      </c>
      <c r="C1820" s="4" t="n">
        <v>992</v>
      </c>
      <c r="D1820" s="4" t="n">
        <v>300.08</v>
      </c>
      <c r="E1820" s="5" t="n">
        <v>100</v>
      </c>
      <c r="F1820" s="3" t="inlineStr">
        <is>
          <t>부강면</t>
        </is>
      </c>
      <c r="G1820" s="3" t="inlineStr">
        <is>
          <t>금호리</t>
        </is>
      </c>
      <c r="H1820" s="3" t="inlineStr">
        <is>
          <t>생산관리지역</t>
        </is>
      </c>
      <c r="I1820" s="3" t="inlineStr">
        <is>
          <t>임야</t>
        </is>
      </c>
      <c r="J1820" s="3" t="inlineStr">
        <is>
          <t>부강면</t>
        </is>
      </c>
    </row>
    <row r="1821">
      <c r="A1821" s="3" t="n">
        <v>2022</v>
      </c>
      <c r="B1821" s="4" t="n">
        <v>53000</v>
      </c>
      <c r="C1821" s="4" t="n">
        <v>2980</v>
      </c>
      <c r="D1821" s="4" t="n">
        <v>901.4499999999999</v>
      </c>
      <c r="E1821" s="5" t="n">
        <v>58.8</v>
      </c>
      <c r="F1821" s="3" t="inlineStr">
        <is>
          <t>연서면</t>
        </is>
      </c>
      <c r="G1821" s="3" t="inlineStr">
        <is>
          <t>고복리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연서면</t>
        </is>
      </c>
    </row>
    <row r="1822">
      <c r="A1822" s="3" t="n">
        <v>2022</v>
      </c>
      <c r="B1822" s="4" t="n">
        <v>12000</v>
      </c>
      <c r="C1822" s="4" t="n">
        <v>715</v>
      </c>
      <c r="D1822" s="4" t="n">
        <v>216.2875</v>
      </c>
      <c r="E1822" s="5" t="n">
        <v>55.5</v>
      </c>
      <c r="F1822" s="3" t="inlineStr">
        <is>
          <t>연서면</t>
        </is>
      </c>
      <c r="G1822" s="3" t="inlineStr">
        <is>
          <t>고복리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2022</v>
      </c>
      <c r="B1823" s="4" t="n">
        <v>500</v>
      </c>
      <c r="C1823" s="4" t="n">
        <v>31</v>
      </c>
      <c r="D1823" s="4" t="n">
        <v>9.3775</v>
      </c>
      <c r="E1823" s="5" t="n">
        <v>53.3</v>
      </c>
      <c r="F1823" s="3" t="inlineStr">
        <is>
          <t>조치원읍</t>
        </is>
      </c>
      <c r="G1823" s="3" t="inlineStr">
        <is>
          <t>신안리</t>
        </is>
      </c>
      <c r="H1823" s="3" t="inlineStr">
        <is>
          <t>제2종일반주거지역</t>
        </is>
      </c>
      <c r="I1823" s="3" t="inlineStr">
        <is>
          <t>대</t>
        </is>
      </c>
      <c r="J1823" s="3" t="inlineStr">
        <is>
          <t>조치원읍</t>
        </is>
      </c>
    </row>
    <row r="1824">
      <c r="A1824" s="3" t="n">
        <v>2022</v>
      </c>
      <c r="B1824" s="4" t="n">
        <v>5300</v>
      </c>
      <c r="C1824" s="4" t="n">
        <v>760</v>
      </c>
      <c r="D1824" s="4" t="n">
        <v>229.9</v>
      </c>
      <c r="E1824" s="5" t="n">
        <v>23.1</v>
      </c>
      <c r="F1824" s="3" t="inlineStr">
        <is>
          <t>전의면</t>
        </is>
      </c>
      <c r="G1824" s="3" t="inlineStr">
        <is>
          <t>유천리</t>
        </is>
      </c>
      <c r="H1824" s="3" t="inlineStr">
        <is>
          <t>보전관리지역</t>
        </is>
      </c>
      <c r="I1824" s="3" t="inlineStr">
        <is>
          <t>전</t>
        </is>
      </c>
      <c r="J1824" s="3" t="inlineStr">
        <is>
          <t>전의면</t>
        </is>
      </c>
    </row>
    <row r="1825">
      <c r="A1825" s="3" t="n">
        <v>2022</v>
      </c>
      <c r="B1825" s="4" t="n">
        <v>5000</v>
      </c>
      <c r="C1825" s="4" t="n">
        <v>1094</v>
      </c>
      <c r="D1825" s="4" t="n">
        <v>330.935</v>
      </c>
      <c r="E1825" s="5" t="n">
        <v>15.1</v>
      </c>
      <c r="F1825" s="3" t="inlineStr">
        <is>
          <t>전의면</t>
        </is>
      </c>
      <c r="G1825" s="3" t="inlineStr">
        <is>
          <t>유천리</t>
        </is>
      </c>
      <c r="H1825" s="3" t="inlineStr">
        <is>
          <t>보전관리지역</t>
        </is>
      </c>
      <c r="I1825" s="3" t="inlineStr">
        <is>
          <t>전</t>
        </is>
      </c>
      <c r="J1825" s="3" t="inlineStr">
        <is>
          <t>전의면</t>
        </is>
      </c>
    </row>
    <row r="1826">
      <c r="A1826" s="3" t="n">
        <v>2022</v>
      </c>
      <c r="B1826" s="4" t="n">
        <v>10700</v>
      </c>
      <c r="C1826" s="4" t="n">
        <v>658</v>
      </c>
      <c r="D1826" s="4" t="n">
        <v>199.045</v>
      </c>
      <c r="E1826" s="5" t="n">
        <v>53.8</v>
      </c>
      <c r="F1826" s="3" t="inlineStr">
        <is>
          <t>전동면</t>
        </is>
      </c>
      <c r="G1826" s="3" t="inlineStr">
        <is>
          <t>송곡리</t>
        </is>
      </c>
      <c r="H1826" s="3" t="inlineStr">
        <is>
          <t>보전관리지역</t>
        </is>
      </c>
      <c r="I1826" s="3" t="inlineStr">
        <is>
          <t>임야</t>
        </is>
      </c>
      <c r="J1826" s="3" t="inlineStr">
        <is>
          <t>전동면</t>
        </is>
      </c>
    </row>
    <row r="1827">
      <c r="A1827" s="3" t="n">
        <v>2022</v>
      </c>
      <c r="B1827" s="4" t="n">
        <v>8000</v>
      </c>
      <c r="C1827" s="4" t="n">
        <v>102</v>
      </c>
      <c r="D1827" s="4" t="n">
        <v>30.855</v>
      </c>
      <c r="E1827" s="5" t="n">
        <v>259.3</v>
      </c>
      <c r="F1827" s="3" t="inlineStr">
        <is>
          <t>조치원읍</t>
        </is>
      </c>
      <c r="G1827" s="3" t="inlineStr">
        <is>
          <t>신흥리</t>
        </is>
      </c>
      <c r="H1827" s="3" t="inlineStr">
        <is>
          <t>제2종일반주거지역</t>
        </is>
      </c>
      <c r="I1827" s="3" t="inlineStr">
        <is>
          <t>대</t>
        </is>
      </c>
      <c r="J1827" s="3" t="inlineStr">
        <is>
          <t>조치원읍</t>
        </is>
      </c>
    </row>
    <row r="1828">
      <c r="A1828" s="3" t="n">
        <v>2022</v>
      </c>
      <c r="B1828" s="4" t="n">
        <v>5650</v>
      </c>
      <c r="C1828" s="4" t="n">
        <v>6600</v>
      </c>
      <c r="D1828" s="4" t="n">
        <v>1996.5</v>
      </c>
      <c r="E1828" s="5" t="n">
        <v>2.8</v>
      </c>
      <c r="F1828" s="3" t="inlineStr">
        <is>
          <t>전의면</t>
        </is>
      </c>
      <c r="G1828" s="3" t="inlineStr">
        <is>
          <t>양곡리</t>
        </is>
      </c>
      <c r="H1828" s="3" t="inlineStr">
        <is>
          <t>농림지역</t>
        </is>
      </c>
      <c r="I1828" s="3" t="inlineStr">
        <is>
          <t>임야</t>
        </is>
      </c>
      <c r="J1828" s="3" t="inlineStr">
        <is>
          <t>전의면</t>
        </is>
      </c>
    </row>
    <row r="1829">
      <c r="A1829" s="3" t="n">
        <v>2022</v>
      </c>
      <c r="B1829" s="4" t="n">
        <v>5650</v>
      </c>
      <c r="C1829" s="4" t="n">
        <v>6600</v>
      </c>
      <c r="D1829" s="4" t="n">
        <v>1996.5</v>
      </c>
      <c r="E1829" s="5" t="n">
        <v>2.8</v>
      </c>
      <c r="F1829" s="3" t="inlineStr">
        <is>
          <t>전의면</t>
        </is>
      </c>
      <c r="G1829" s="3" t="inlineStr">
        <is>
          <t>양곡리</t>
        </is>
      </c>
      <c r="H1829" s="3" t="inlineStr">
        <is>
          <t>농림지역</t>
        </is>
      </c>
      <c r="I1829" s="3" t="inlineStr">
        <is>
          <t>임야</t>
        </is>
      </c>
      <c r="J1829" s="3" t="inlineStr">
        <is>
          <t>전의면</t>
        </is>
      </c>
    </row>
    <row r="1830">
      <c r="A1830" s="3" t="n">
        <v>2022</v>
      </c>
      <c r="B1830" s="4" t="n">
        <v>1378</v>
      </c>
      <c r="C1830" s="4" t="n">
        <v>1139</v>
      </c>
      <c r="D1830" s="4" t="n">
        <v>344.5475</v>
      </c>
      <c r="E1830" s="5" t="n">
        <v>4</v>
      </c>
      <c r="F1830" s="3" t="inlineStr">
        <is>
          <t>전의면</t>
        </is>
      </c>
      <c r="G1830" s="3" t="inlineStr">
        <is>
          <t>양곡리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42500</v>
      </c>
      <c r="C1831" s="4" t="n">
        <v>1412</v>
      </c>
      <c r="D1831" s="4" t="n">
        <v>427.13</v>
      </c>
      <c r="E1831" s="5" t="n">
        <v>99.5</v>
      </c>
      <c r="F1831" s="3" t="inlineStr">
        <is>
          <t>장군면</t>
        </is>
      </c>
      <c r="G1831" s="3" t="inlineStr">
        <is>
          <t>송문리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장군면</t>
        </is>
      </c>
    </row>
    <row r="1832">
      <c r="A1832" s="3" t="n">
        <v>2022</v>
      </c>
      <c r="B1832" s="4" t="n">
        <v>24030</v>
      </c>
      <c r="C1832" s="4" t="n">
        <v>660</v>
      </c>
      <c r="D1832" s="4" t="n">
        <v>199.65</v>
      </c>
      <c r="E1832" s="5" t="n">
        <v>120.4</v>
      </c>
      <c r="F1832" s="3" t="inlineStr">
        <is>
          <t>전동면</t>
        </is>
      </c>
      <c r="G1832" s="3" t="inlineStr">
        <is>
          <t>석곡리</t>
        </is>
      </c>
      <c r="H1832" s="3" t="inlineStr">
        <is>
          <t>생산관리지역</t>
        </is>
      </c>
      <c r="I1832" s="3" t="inlineStr">
        <is>
          <t>임야</t>
        </is>
      </c>
      <c r="J1832" s="3" t="inlineStr">
        <is>
          <t>전동면</t>
        </is>
      </c>
    </row>
    <row r="1833">
      <c r="A1833" s="3" t="n">
        <v>2022</v>
      </c>
      <c r="B1833" s="4" t="n">
        <v>75570</v>
      </c>
      <c r="C1833" s="4" t="n">
        <v>2633</v>
      </c>
      <c r="D1833" s="4" t="n">
        <v>796.4825</v>
      </c>
      <c r="E1833" s="5" t="n">
        <v>94.90000000000001</v>
      </c>
      <c r="F1833" s="3" t="inlineStr">
        <is>
          <t>전동면</t>
        </is>
      </c>
      <c r="G1833" s="3" t="inlineStr">
        <is>
          <t>석곡리</t>
        </is>
      </c>
      <c r="H1833" s="3" t="inlineStr">
        <is>
          <t>생산관리지역</t>
        </is>
      </c>
      <c r="I1833" s="3" t="inlineStr">
        <is>
          <t>임야</t>
        </is>
      </c>
      <c r="J1833" s="3" t="inlineStr">
        <is>
          <t>전동면</t>
        </is>
      </c>
    </row>
    <row r="1834">
      <c r="A1834" s="3" t="n">
        <v>2023</v>
      </c>
      <c r="B1834" s="4" t="n">
        <v>19000</v>
      </c>
      <c r="C1834" s="4" t="n">
        <v>225</v>
      </c>
      <c r="D1834" s="4" t="n">
        <v>68.0625</v>
      </c>
      <c r="E1834" s="5" t="n">
        <v>279.2</v>
      </c>
      <c r="F1834" s="3" t="inlineStr">
        <is>
          <t>금남면</t>
        </is>
      </c>
      <c r="G1834" s="3" t="inlineStr">
        <is>
          <t>남곡리</t>
        </is>
      </c>
      <c r="H1834" s="3" t="inlineStr">
        <is>
          <t>제1종일반주거지역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2023</v>
      </c>
      <c r="B1835" s="4" t="n">
        <v>62000</v>
      </c>
      <c r="C1835" s="4" t="n">
        <v>1375</v>
      </c>
      <c r="D1835" s="4" t="n">
        <v>415.9375</v>
      </c>
      <c r="E1835" s="5" t="n">
        <v>149.1</v>
      </c>
      <c r="F1835" s="3" t="inlineStr">
        <is>
          <t>연기면</t>
        </is>
      </c>
      <c r="G1835" s="3" t="inlineStr">
        <is>
          <t>눌왕리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연기면</t>
        </is>
      </c>
    </row>
    <row r="1836">
      <c r="A1836" s="3" t="n">
        <v>2023</v>
      </c>
      <c r="B1836" s="4" t="n">
        <v>22740</v>
      </c>
      <c r="C1836" s="4" t="n">
        <v>500</v>
      </c>
      <c r="D1836" s="4" t="n">
        <v>151.25</v>
      </c>
      <c r="E1836" s="5" t="n">
        <v>150.3</v>
      </c>
      <c r="F1836" s="3" t="inlineStr">
        <is>
          <t>전의면</t>
        </is>
      </c>
      <c r="G1836" s="3" t="inlineStr">
        <is>
          <t>서정리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전의면</t>
        </is>
      </c>
    </row>
    <row r="1837">
      <c r="A1837" s="3" t="n">
        <v>2023</v>
      </c>
      <c r="B1837" s="4" t="n">
        <v>22600</v>
      </c>
      <c r="C1837" s="4" t="n">
        <v>1848</v>
      </c>
      <c r="D1837" s="4" t="n">
        <v>559.02</v>
      </c>
      <c r="E1837" s="5" t="n">
        <v>40.4</v>
      </c>
      <c r="F1837" s="3" t="inlineStr">
        <is>
          <t>부강면</t>
        </is>
      </c>
      <c r="G1837" s="3" t="inlineStr">
        <is>
          <t>문곡리</t>
        </is>
      </c>
      <c r="H1837" s="3" t="inlineStr">
        <is>
          <t>계획관리지역</t>
        </is>
      </c>
      <c r="I1837" s="3" t="inlineStr">
        <is>
          <t>전</t>
        </is>
      </c>
      <c r="J1837" s="3" t="inlineStr">
        <is>
          <t>부강면</t>
        </is>
      </c>
    </row>
    <row r="1838">
      <c r="A1838" s="3" t="n">
        <v>2023</v>
      </c>
      <c r="B1838" s="4" t="n">
        <v>17000</v>
      </c>
      <c r="C1838" s="4" t="n">
        <v>6565</v>
      </c>
      <c r="D1838" s="4" t="n">
        <v>1985.9125</v>
      </c>
      <c r="E1838" s="5" t="n">
        <v>8.6</v>
      </c>
      <c r="F1838" s="3" t="inlineStr">
        <is>
          <t>전동면</t>
        </is>
      </c>
      <c r="G1838" s="3" t="inlineStr">
        <is>
          <t>청람리</t>
        </is>
      </c>
      <c r="H1838" s="3" t="inlineStr">
        <is>
          <t>농림지역</t>
        </is>
      </c>
      <c r="I1838" s="3" t="inlineStr">
        <is>
          <t>임야</t>
        </is>
      </c>
      <c r="J1838" s="3" t="inlineStr">
        <is>
          <t>전동면</t>
        </is>
      </c>
    </row>
    <row r="1839">
      <c r="A1839" s="3" t="n">
        <v>2023</v>
      </c>
      <c r="B1839" s="4" t="n">
        <v>13000</v>
      </c>
      <c r="C1839" s="4" t="n">
        <v>7195</v>
      </c>
      <c r="D1839" s="4" t="n">
        <v>2176.4875</v>
      </c>
      <c r="E1839" s="5" t="n">
        <v>6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농림지역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2023</v>
      </c>
      <c r="B1840" s="4" t="n">
        <v>4500</v>
      </c>
      <c r="C1840" s="4" t="n">
        <v>177</v>
      </c>
      <c r="D1840" s="4" t="n">
        <v>53.5425</v>
      </c>
      <c r="E1840" s="5" t="n">
        <v>84</v>
      </c>
      <c r="F1840" s="3" t="inlineStr">
        <is>
          <t>전의면</t>
        </is>
      </c>
      <c r="G1840" s="3" t="inlineStr">
        <is>
          <t>신방리</t>
        </is>
      </c>
      <c r="H1840" s="3" t="inlineStr">
        <is>
          <t>계획관리지역</t>
        </is>
      </c>
      <c r="I1840" s="3" t="inlineStr">
        <is>
          <t>대</t>
        </is>
      </c>
      <c r="J1840" s="3" t="inlineStr">
        <is>
          <t>전의면</t>
        </is>
      </c>
    </row>
    <row r="1841">
      <c r="A1841" s="3" t="n">
        <v>2023</v>
      </c>
      <c r="B1841" s="4" t="n">
        <v>85500</v>
      </c>
      <c r="C1841" s="4" t="n">
        <v>2997</v>
      </c>
      <c r="D1841" s="4" t="n">
        <v>906.5925</v>
      </c>
      <c r="E1841" s="5" t="n">
        <v>94.3</v>
      </c>
      <c r="F1841" s="3" t="inlineStr">
        <is>
          <t>연서면</t>
        </is>
      </c>
      <c r="G1841" s="3" t="inlineStr">
        <is>
          <t>신대리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연서면</t>
        </is>
      </c>
    </row>
    <row r="1842">
      <c r="A1842" s="3" t="n">
        <v>2023</v>
      </c>
      <c r="B1842" s="4" t="n">
        <v>20000</v>
      </c>
      <c r="C1842" s="4" t="n">
        <v>410</v>
      </c>
      <c r="D1842" s="4" t="n">
        <v>124.025</v>
      </c>
      <c r="E1842" s="5" t="n">
        <v>161.3</v>
      </c>
      <c r="F1842" s="3" t="inlineStr">
        <is>
          <t>금남면</t>
        </is>
      </c>
      <c r="G1842" s="3" t="inlineStr">
        <is>
          <t>호탄리</t>
        </is>
      </c>
      <c r="H1842" s="3" t="inlineStr">
        <is>
          <t>제1종일반주거지역</t>
        </is>
      </c>
      <c r="I1842" s="3" t="inlineStr">
        <is>
          <t>전</t>
        </is>
      </c>
      <c r="J1842" s="3" t="inlineStr">
        <is>
          <t>금남면</t>
        </is>
      </c>
    </row>
    <row r="1843">
      <c r="A1843" s="3" t="n">
        <v>2023</v>
      </c>
      <c r="B1843" s="4" t="n">
        <v>30000</v>
      </c>
      <c r="C1843" s="4" t="n">
        <v>450</v>
      </c>
      <c r="D1843" s="4" t="n">
        <v>136.125</v>
      </c>
      <c r="E1843" s="5" t="n">
        <v>220.4</v>
      </c>
      <c r="F1843" s="3" t="inlineStr">
        <is>
          <t>금남면</t>
        </is>
      </c>
      <c r="G1843" s="3" t="inlineStr">
        <is>
          <t>호탄리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6000</v>
      </c>
      <c r="C1844" s="4" t="n">
        <v>486</v>
      </c>
      <c r="D1844" s="4" t="n">
        <v>147.015</v>
      </c>
      <c r="E1844" s="5" t="n">
        <v>40.8</v>
      </c>
      <c r="F1844" s="3" t="inlineStr">
        <is>
          <t>장군면</t>
        </is>
      </c>
      <c r="G1844" s="3" t="inlineStr">
        <is>
          <t>송학리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장군면</t>
        </is>
      </c>
    </row>
    <row r="1845">
      <c r="A1845" s="3" t="n">
        <v>2023</v>
      </c>
      <c r="B1845" s="4" t="n">
        <v>21424</v>
      </c>
      <c r="C1845" s="4" t="n">
        <v>337</v>
      </c>
      <c r="D1845" s="4" t="n">
        <v>101.9425</v>
      </c>
      <c r="E1845" s="5" t="n">
        <v>210.2</v>
      </c>
      <c r="F1845" s="3" t="inlineStr">
        <is>
          <t>장군면</t>
        </is>
      </c>
      <c r="G1845" s="3" t="inlineStr">
        <is>
          <t>대교리</t>
        </is>
      </c>
      <c r="H1845" s="3" t="inlineStr">
        <is>
          <t>보전관리지역</t>
        </is>
      </c>
      <c r="I1845" s="3" t="inlineStr">
        <is>
          <t>대</t>
        </is>
      </c>
      <c r="J1845" s="3" t="inlineStr">
        <is>
          <t>장군면</t>
        </is>
      </c>
    </row>
    <row r="1846">
      <c r="A1846" s="3" t="n">
        <v>2023</v>
      </c>
      <c r="B1846" s="4" t="n">
        <v>34583</v>
      </c>
      <c r="C1846" s="4" t="n">
        <v>544</v>
      </c>
      <c r="D1846" s="4" t="n">
        <v>164.56</v>
      </c>
      <c r="E1846" s="5" t="n">
        <v>210.2</v>
      </c>
      <c r="F1846" s="3" t="inlineStr">
        <is>
          <t>장군면</t>
        </is>
      </c>
      <c r="G1846" s="3" t="inlineStr">
        <is>
          <t>대교리</t>
        </is>
      </c>
      <c r="H1846" s="3" t="inlineStr">
        <is>
          <t>보전관리지역</t>
        </is>
      </c>
      <c r="I1846" s="3" t="inlineStr">
        <is>
          <t>대</t>
        </is>
      </c>
      <c r="J1846" s="3" t="inlineStr">
        <is>
          <t>장군면</t>
        </is>
      </c>
    </row>
    <row r="1847">
      <c r="A1847" s="3" t="n">
        <v>2023</v>
      </c>
      <c r="B1847" s="4" t="n">
        <v>9536</v>
      </c>
      <c r="C1847" s="4" t="n">
        <v>150</v>
      </c>
      <c r="D1847" s="4" t="n">
        <v>45.375</v>
      </c>
      <c r="E1847" s="5" t="n">
        <v>210.2</v>
      </c>
      <c r="F1847" s="3" t="inlineStr">
        <is>
          <t>장군면</t>
        </is>
      </c>
      <c r="G1847" s="3" t="inlineStr">
        <is>
          <t>대교리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장군면</t>
        </is>
      </c>
    </row>
    <row r="1848">
      <c r="A1848" s="3" t="n">
        <v>2023</v>
      </c>
      <c r="B1848" s="4" t="n">
        <v>38009</v>
      </c>
      <c r="C1848" s="4" t="n">
        <v>660</v>
      </c>
      <c r="D1848" s="4" t="n">
        <v>199.65</v>
      </c>
      <c r="E1848" s="5" t="n">
        <v>190.4</v>
      </c>
      <c r="F1848" s="3" t="inlineStr">
        <is>
          <t>장군면</t>
        </is>
      </c>
      <c r="G1848" s="3" t="inlineStr">
        <is>
          <t>대교리</t>
        </is>
      </c>
      <c r="H1848" s="3" t="inlineStr">
        <is>
          <t>보전관리지역</t>
        </is>
      </c>
      <c r="I1848" s="3" t="inlineStr">
        <is>
          <t>대</t>
        </is>
      </c>
      <c r="J1848" s="3" t="inlineStr">
        <is>
          <t>장군면</t>
        </is>
      </c>
    </row>
    <row r="1849">
      <c r="A1849" s="3" t="n">
        <v>2023</v>
      </c>
      <c r="B1849" s="4" t="n">
        <v>46428</v>
      </c>
      <c r="C1849" s="4" t="n">
        <v>667</v>
      </c>
      <c r="D1849" s="4" t="n">
        <v>201.7675</v>
      </c>
      <c r="E1849" s="5" t="n">
        <v>230.1</v>
      </c>
      <c r="F1849" s="3" t="inlineStr">
        <is>
          <t>장군면</t>
        </is>
      </c>
      <c r="G1849" s="3" t="inlineStr">
        <is>
          <t>대교리</t>
        </is>
      </c>
      <c r="H1849" s="3" t="inlineStr">
        <is>
          <t>보전관리지역</t>
        </is>
      </c>
      <c r="I1849" s="3" t="inlineStr">
        <is>
          <t>대</t>
        </is>
      </c>
      <c r="J1849" s="3" t="inlineStr">
        <is>
          <t>장군면</t>
        </is>
      </c>
    </row>
    <row r="1850">
      <c r="A1850" s="3" t="n">
        <v>2022</v>
      </c>
      <c r="B1850" s="4" t="n">
        <v>37000</v>
      </c>
      <c r="C1850" s="4" t="n">
        <v>504</v>
      </c>
      <c r="D1850" s="4" t="n">
        <v>152.46</v>
      </c>
      <c r="E1850" s="5" t="n">
        <v>242.7</v>
      </c>
      <c r="F1850" s="3" t="inlineStr">
        <is>
          <t>연서면</t>
        </is>
      </c>
      <c r="G1850" s="3" t="inlineStr">
        <is>
          <t>와촌리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연서면</t>
        </is>
      </c>
    </row>
    <row r="1851">
      <c r="A1851" s="3" t="n">
        <v>2024</v>
      </c>
      <c r="B1851" s="4" t="n">
        <v>25770</v>
      </c>
      <c r="C1851" s="4" t="n">
        <v>393</v>
      </c>
      <c r="D1851" s="4" t="n">
        <v>118.8825</v>
      </c>
      <c r="E1851" s="5" t="n">
        <v>216.8</v>
      </c>
      <c r="F1851" s="3" t="inlineStr">
        <is>
          <t>연기면</t>
        </is>
      </c>
      <c r="G1851" s="3" t="inlineStr">
        <is>
          <t>수산리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연기면</t>
        </is>
      </c>
    </row>
    <row r="1852">
      <c r="A1852" s="3" t="n">
        <v>2022</v>
      </c>
      <c r="B1852" s="4" t="n">
        <v>7950</v>
      </c>
      <c r="C1852" s="4" t="n">
        <v>1325</v>
      </c>
      <c r="D1852" s="4" t="n">
        <v>400.8125</v>
      </c>
      <c r="E1852" s="5" t="n">
        <v>19.8</v>
      </c>
      <c r="F1852" s="3" t="inlineStr">
        <is>
          <t>현도면</t>
        </is>
      </c>
      <c r="G1852" s="3" t="inlineStr">
        <is>
          <t>하석리</t>
        </is>
      </c>
      <c r="H1852" s="3" t="inlineStr">
        <is>
          <t>개발제한구역</t>
        </is>
      </c>
      <c r="I1852" s="3" t="inlineStr">
        <is>
          <t>전</t>
        </is>
      </c>
      <c r="J1852" s="3" t="inlineStr">
        <is>
          <t>현도면</t>
        </is>
      </c>
    </row>
    <row r="1853">
      <c r="A1853" s="3" t="n">
        <v>2024</v>
      </c>
      <c r="B1853" s="4" t="n">
        <v>42300</v>
      </c>
      <c r="C1853" s="4" t="n">
        <v>2155</v>
      </c>
      <c r="D1853" s="4" t="n">
        <v>651.8874999999999</v>
      </c>
      <c r="E1853" s="5" t="n">
        <v>64.90000000000001</v>
      </c>
      <c r="F1853" s="3" t="inlineStr">
        <is>
          <t>남이면</t>
        </is>
      </c>
      <c r="G1853" s="3" t="inlineStr">
        <is>
          <t>대련리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2024</v>
      </c>
      <c r="B1854" s="4" t="n">
        <v>9700</v>
      </c>
      <c r="C1854" s="4" t="n">
        <v>381</v>
      </c>
      <c r="D1854" s="4" t="n">
        <v>115.2525</v>
      </c>
      <c r="E1854" s="5" t="n">
        <v>84.2</v>
      </c>
      <c r="F1854" s="3" t="inlineStr">
        <is>
          <t>남이면</t>
        </is>
      </c>
      <c r="G1854" s="3" t="inlineStr">
        <is>
          <t>수대리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10800</v>
      </c>
      <c r="C1855" s="4" t="n">
        <v>418</v>
      </c>
      <c r="D1855" s="4" t="n">
        <v>126.445</v>
      </c>
      <c r="E1855" s="5" t="n">
        <v>85.40000000000001</v>
      </c>
      <c r="F1855" s="3" t="inlineStr">
        <is>
          <t>남이면</t>
        </is>
      </c>
      <c r="G1855" s="3" t="inlineStr">
        <is>
          <t>수대리</t>
        </is>
      </c>
      <c r="H1855" s="3" t="inlineStr">
        <is>
          <t>보전녹지지역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2024</v>
      </c>
      <c r="B1856" s="4" t="n">
        <v>10750</v>
      </c>
      <c r="C1856" s="4" t="n">
        <v>416</v>
      </c>
      <c r="D1856" s="4" t="n">
        <v>125.84</v>
      </c>
      <c r="E1856" s="5" t="n">
        <v>85.40000000000001</v>
      </c>
      <c r="F1856" s="3" t="inlineStr">
        <is>
          <t>남이면</t>
        </is>
      </c>
      <c r="G1856" s="3" t="inlineStr">
        <is>
          <t>수대리</t>
        </is>
      </c>
      <c r="H1856" s="3" t="inlineStr">
        <is>
          <t>보전녹지지역</t>
        </is>
      </c>
      <c r="I1856" s="3" t="inlineStr">
        <is>
          <t>임야</t>
        </is>
      </c>
      <c r="J1856" s="3" t="inlineStr">
        <is>
          <t>남이면</t>
        </is>
      </c>
    </row>
    <row r="1857">
      <c r="A1857" s="3" t="n">
        <v>2024</v>
      </c>
      <c r="B1857" s="4" t="n">
        <v>14100</v>
      </c>
      <c r="C1857" s="4" t="n">
        <v>418</v>
      </c>
      <c r="D1857" s="4" t="n">
        <v>126.445</v>
      </c>
      <c r="E1857" s="5" t="n">
        <v>111.5</v>
      </c>
      <c r="F1857" s="3" t="inlineStr">
        <is>
          <t>남이면</t>
        </is>
      </c>
      <c r="G1857" s="3" t="inlineStr">
        <is>
          <t>수대리</t>
        </is>
      </c>
      <c r="H1857" s="3" t="inlineStr">
        <is>
          <t>보전녹지지역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2024</v>
      </c>
      <c r="B1858" s="4" t="n">
        <v>9800</v>
      </c>
      <c r="C1858" s="4" t="n">
        <v>382</v>
      </c>
      <c r="D1858" s="4" t="n">
        <v>115.555</v>
      </c>
      <c r="E1858" s="5" t="n">
        <v>84.8</v>
      </c>
      <c r="F1858" s="3" t="inlineStr">
        <is>
          <t>남이면</t>
        </is>
      </c>
      <c r="G1858" s="3" t="inlineStr">
        <is>
          <t>수대리</t>
        </is>
      </c>
      <c r="H1858" s="3" t="inlineStr">
        <is>
          <t>보전녹지지역</t>
        </is>
      </c>
      <c r="I1858" s="3" t="inlineStr">
        <is>
          <t>임야</t>
        </is>
      </c>
      <c r="J1858" s="3" t="inlineStr">
        <is>
          <t>남이면</t>
        </is>
      </c>
    </row>
    <row r="1859">
      <c r="A1859" s="3" t="n">
        <v>2024</v>
      </c>
      <c r="B1859" s="4" t="n">
        <v>9700</v>
      </c>
      <c r="C1859" s="4" t="n">
        <v>381</v>
      </c>
      <c r="D1859" s="4" t="n">
        <v>115.2525</v>
      </c>
      <c r="E1859" s="5" t="n">
        <v>84.2</v>
      </c>
      <c r="F1859" s="3" t="inlineStr">
        <is>
          <t>남이면</t>
        </is>
      </c>
      <c r="G1859" s="3" t="inlineStr">
        <is>
          <t>수대리</t>
        </is>
      </c>
      <c r="H1859" s="3" t="inlineStr">
        <is>
          <t>보전녹지지역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2024</v>
      </c>
      <c r="B1860" s="4" t="n">
        <v>1200</v>
      </c>
      <c r="C1860" s="4" t="n">
        <v>50</v>
      </c>
      <c r="D1860" s="4" t="n">
        <v>15.125</v>
      </c>
      <c r="E1860" s="5" t="n">
        <v>79.3</v>
      </c>
      <c r="F1860" s="3" t="inlineStr">
        <is>
          <t>연기면</t>
        </is>
      </c>
      <c r="G1860" s="3" t="inlineStr">
        <is>
          <t>수산리</t>
        </is>
      </c>
      <c r="H1860" s="3" t="inlineStr">
        <is>
          <t>계획관리지역</t>
        </is>
      </c>
      <c r="I1860" s="3" t="inlineStr">
        <is>
          <t>전</t>
        </is>
      </c>
      <c r="J1860" s="3" t="inlineStr">
        <is>
          <t>연기면</t>
        </is>
      </c>
    </row>
    <row r="1861">
      <c r="A1861" s="3" t="n">
        <v>2024</v>
      </c>
      <c r="B1861" s="4" t="n">
        <v>9000</v>
      </c>
      <c r="C1861" s="4" t="n">
        <v>199</v>
      </c>
      <c r="D1861" s="4" t="n">
        <v>60.1975</v>
      </c>
      <c r="E1861" s="5" t="n">
        <v>149.5</v>
      </c>
      <c r="F1861" s="3" t="inlineStr">
        <is>
          <t>장군면</t>
        </is>
      </c>
      <c r="G1861" s="3" t="inlineStr">
        <is>
          <t>용암리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2024</v>
      </c>
      <c r="B1862" s="4" t="n">
        <v>1165</v>
      </c>
      <c r="C1862" s="4" t="n">
        <v>27</v>
      </c>
      <c r="D1862" s="4" t="n">
        <v>8.1675</v>
      </c>
      <c r="E1862" s="5" t="n">
        <v>142.6</v>
      </c>
      <c r="F1862" s="3" t="inlineStr">
        <is>
          <t>조치원읍</t>
        </is>
      </c>
      <c r="G1862" s="3" t="inlineStr">
        <is>
          <t>봉산리</t>
        </is>
      </c>
      <c r="H1862" s="3" t="inlineStr">
        <is>
          <t>자연녹지지역</t>
        </is>
      </c>
      <c r="I1862" s="3" t="inlineStr">
        <is>
          <t>답</t>
        </is>
      </c>
      <c r="J1862" s="3" t="inlineStr">
        <is>
          <t>조치원읍</t>
        </is>
      </c>
    </row>
    <row r="1863">
      <c r="A1863" s="3" t="n">
        <v>2024</v>
      </c>
      <c r="B1863" s="4" t="n">
        <v>22900</v>
      </c>
      <c r="C1863" s="4" t="n">
        <v>305</v>
      </c>
      <c r="D1863" s="4" t="n">
        <v>92.2625</v>
      </c>
      <c r="E1863" s="5" t="n">
        <v>248.2</v>
      </c>
      <c r="F1863" s="3" t="inlineStr">
        <is>
          <t>금남면</t>
        </is>
      </c>
      <c r="G1863" s="3" t="inlineStr">
        <is>
          <t>용포리</t>
        </is>
      </c>
      <c r="H1863" s="3" t="inlineStr">
        <is>
          <t>제1종일반주거지역</t>
        </is>
      </c>
      <c r="I1863" s="3" t="inlineStr">
        <is>
          <t>임야</t>
        </is>
      </c>
      <c r="J1863" s="3" t="inlineStr">
        <is>
          <t>금남면</t>
        </is>
      </c>
    </row>
    <row r="1864">
      <c r="A1864" s="3" t="n">
        <v>2024</v>
      </c>
      <c r="B1864" s="4" t="n">
        <v>52000</v>
      </c>
      <c r="C1864" s="4" t="n">
        <v>2565</v>
      </c>
      <c r="D1864" s="4" t="n">
        <v>775.9125</v>
      </c>
      <c r="E1864" s="5" t="n">
        <v>67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과수원</t>
        </is>
      </c>
      <c r="J1864" s="3" t="inlineStr">
        <is>
          <t>연서면</t>
        </is>
      </c>
    </row>
    <row r="1865">
      <c r="A1865" s="3" t="n">
        <v>2024</v>
      </c>
      <c r="B1865" s="4" t="n">
        <v>12480</v>
      </c>
      <c r="C1865" s="4" t="n">
        <v>635</v>
      </c>
      <c r="D1865" s="4" t="n">
        <v>192.0875</v>
      </c>
      <c r="E1865" s="5" t="n">
        <v>65</v>
      </c>
      <c r="F1865" s="3" t="inlineStr">
        <is>
          <t>금남면</t>
        </is>
      </c>
      <c r="G1865" s="3" t="inlineStr">
        <is>
          <t>도암리</t>
        </is>
      </c>
      <c r="H1865" s="3" t="inlineStr">
        <is>
          <t>보전관리지역</t>
        </is>
      </c>
      <c r="I1865" s="3" t="inlineStr">
        <is>
          <t>전</t>
        </is>
      </c>
      <c r="J1865" s="3" t="inlineStr">
        <is>
          <t>금남면</t>
        </is>
      </c>
    </row>
    <row r="1866">
      <c r="A1866" s="3" t="n">
        <v>2024</v>
      </c>
      <c r="B1866" s="4" t="n">
        <v>97000</v>
      </c>
      <c r="C1866" s="4" t="n">
        <v>3920</v>
      </c>
      <c r="D1866" s="4" t="n">
        <v>1185.8</v>
      </c>
      <c r="E1866" s="5" t="n">
        <v>81.8</v>
      </c>
      <c r="F1866" s="3" t="inlineStr">
        <is>
          <t>금남면</t>
        </is>
      </c>
      <c r="G1866" s="3" t="inlineStr">
        <is>
          <t>원봉리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금남면</t>
        </is>
      </c>
    </row>
    <row r="1867">
      <c r="A1867" s="3" t="n">
        <v>2024</v>
      </c>
      <c r="B1867" s="4" t="n">
        <v>43000</v>
      </c>
      <c r="C1867" s="4" t="n">
        <v>303</v>
      </c>
      <c r="D1867" s="4" t="n">
        <v>91.6575</v>
      </c>
      <c r="E1867" s="5" t="n">
        <v>469.1</v>
      </c>
      <c r="F1867" s="3" t="inlineStr">
        <is>
          <t>연동면</t>
        </is>
      </c>
      <c r="G1867" s="3" t="inlineStr">
        <is>
          <t>내판리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연동면</t>
        </is>
      </c>
    </row>
    <row r="1868">
      <c r="A1868" s="3" t="n">
        <v>2024</v>
      </c>
      <c r="B1868" s="4" t="n">
        <v>15480</v>
      </c>
      <c r="C1868" s="4" t="n">
        <v>1279</v>
      </c>
      <c r="D1868" s="4" t="n">
        <v>386.8975</v>
      </c>
      <c r="E1868" s="5" t="n">
        <v>40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부강면</t>
        </is>
      </c>
    </row>
    <row r="1869">
      <c r="A1869" s="3" t="n">
        <v>2024</v>
      </c>
      <c r="B1869" s="4" t="n">
        <v>16680</v>
      </c>
      <c r="C1869" s="4" t="n">
        <v>1838</v>
      </c>
      <c r="D1869" s="4" t="n">
        <v>555.995</v>
      </c>
      <c r="E1869" s="5" t="n">
        <v>30</v>
      </c>
      <c r="F1869" s="3" t="inlineStr">
        <is>
          <t>부강면</t>
        </is>
      </c>
      <c r="G1869" s="3" t="inlineStr">
        <is>
          <t>노호리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2024</v>
      </c>
      <c r="B1870" s="4" t="n">
        <v>60000</v>
      </c>
      <c r="C1870" s="4" t="n">
        <v>478</v>
      </c>
      <c r="D1870" s="4" t="n">
        <v>144.595</v>
      </c>
      <c r="E1870" s="5" t="n">
        <v>415</v>
      </c>
      <c r="F1870" s="3" t="inlineStr">
        <is>
          <t>연서면</t>
        </is>
      </c>
      <c r="G1870" s="3" t="inlineStr">
        <is>
          <t>월하리</t>
        </is>
      </c>
      <c r="H1870" s="3" t="inlineStr">
        <is>
          <t>자연녹지지역</t>
        </is>
      </c>
      <c r="I1870" s="3" t="inlineStr">
        <is>
          <t>과수원</t>
        </is>
      </c>
      <c r="J1870" s="3" t="inlineStr">
        <is>
          <t>연서면</t>
        </is>
      </c>
    </row>
    <row r="1871">
      <c r="A1871" s="3" t="n">
        <v>2024</v>
      </c>
      <c r="B1871" s="4" t="n">
        <v>80000</v>
      </c>
      <c r="C1871" s="4" t="n">
        <v>494</v>
      </c>
      <c r="D1871" s="4" t="n">
        <v>149.435</v>
      </c>
      <c r="E1871" s="5" t="n">
        <v>535.3</v>
      </c>
      <c r="F1871" s="3" t="inlineStr">
        <is>
          <t>연서면</t>
        </is>
      </c>
      <c r="G1871" s="3" t="inlineStr">
        <is>
          <t>월하리</t>
        </is>
      </c>
      <c r="H1871" s="3" t="inlineStr">
        <is>
          <t>자연녹지지역</t>
        </is>
      </c>
      <c r="I1871" s="3" t="inlineStr">
        <is>
          <t>대</t>
        </is>
      </c>
      <c r="J1871" s="3" t="inlineStr">
        <is>
          <t>연서면</t>
        </is>
      </c>
    </row>
    <row r="1872">
      <c r="A1872" s="3" t="n">
        <v>2024</v>
      </c>
      <c r="B1872" s="4" t="n">
        <v>1500</v>
      </c>
      <c r="C1872" s="4" t="n">
        <v>1650</v>
      </c>
      <c r="D1872" s="4" t="n">
        <v>499.125</v>
      </c>
      <c r="E1872" s="5" t="n">
        <v>3</v>
      </c>
      <c r="F1872" s="3" t="inlineStr">
        <is>
          <t>전의면</t>
        </is>
      </c>
      <c r="G1872" s="3" t="inlineStr">
        <is>
          <t>다방리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전의면</t>
        </is>
      </c>
    </row>
    <row r="1873">
      <c r="A1873" s="3" t="n">
        <v>2024</v>
      </c>
      <c r="B1873" s="4" t="n">
        <v>3302</v>
      </c>
      <c r="C1873" s="4" t="n">
        <v>1501</v>
      </c>
      <c r="D1873" s="4" t="n">
        <v>454.0525</v>
      </c>
      <c r="E1873" s="5" t="n">
        <v>7.3</v>
      </c>
      <c r="F1873" s="3" t="inlineStr">
        <is>
          <t>전의면</t>
        </is>
      </c>
      <c r="G1873" s="3" t="inlineStr">
        <is>
          <t>양곡리</t>
        </is>
      </c>
      <c r="H1873" s="3" t="inlineStr">
        <is>
          <t>보전관리지역</t>
        </is>
      </c>
      <c r="I1873" s="3" t="inlineStr">
        <is>
          <t>전</t>
        </is>
      </c>
      <c r="J1873" s="3" t="inlineStr">
        <is>
          <t>전의면</t>
        </is>
      </c>
    </row>
    <row r="1874">
      <c r="A1874" s="3" t="n">
        <v>2024</v>
      </c>
      <c r="B1874" s="4" t="n">
        <v>50</v>
      </c>
      <c r="C1874" s="4" t="n">
        <v>34</v>
      </c>
      <c r="D1874" s="4" t="n">
        <v>10.285</v>
      </c>
      <c r="E1874" s="5" t="n">
        <v>4.9</v>
      </c>
      <c r="F1874" s="3" t="inlineStr">
        <is>
          <t>전의면</t>
        </is>
      </c>
      <c r="G1874" s="3" t="inlineStr">
        <is>
          <t>원성리</t>
        </is>
      </c>
      <c r="H1874" s="3" t="inlineStr">
        <is>
          <t>계획관리지역</t>
        </is>
      </c>
      <c r="I1874" s="3" t="inlineStr">
        <is>
          <t>도로</t>
        </is>
      </c>
      <c r="J1874" s="3" t="inlineStr">
        <is>
          <t>전의면</t>
        </is>
      </c>
    </row>
    <row r="1875">
      <c r="A1875" s="3" t="n">
        <v>2024</v>
      </c>
      <c r="B1875" s="4" t="n">
        <v>23950</v>
      </c>
      <c r="C1875" s="4" t="n">
        <v>1089</v>
      </c>
      <c r="D1875" s="4" t="n">
        <v>329.4225</v>
      </c>
      <c r="E1875" s="5" t="n">
        <v>72.7</v>
      </c>
      <c r="F1875" s="3" t="inlineStr">
        <is>
          <t>전의면</t>
        </is>
      </c>
      <c r="G1875" s="3" t="inlineStr">
        <is>
          <t>원성리</t>
        </is>
      </c>
      <c r="H1875" s="3" t="inlineStr">
        <is>
          <t>계획관리지역</t>
        </is>
      </c>
      <c r="I1875" s="3" t="inlineStr">
        <is>
          <t>공장용지</t>
        </is>
      </c>
      <c r="J1875" s="3" t="inlineStr">
        <is>
          <t>전의면</t>
        </is>
      </c>
    </row>
    <row r="1876">
      <c r="A1876" s="3" t="n">
        <v>2024</v>
      </c>
      <c r="B1876" s="4" t="n">
        <v>1650</v>
      </c>
      <c r="C1876" s="4" t="n">
        <v>1650</v>
      </c>
      <c r="D1876" s="4" t="n">
        <v>499.125</v>
      </c>
      <c r="E1876" s="5" t="n">
        <v>3.3</v>
      </c>
      <c r="F1876" s="3" t="inlineStr">
        <is>
          <t>전의면</t>
        </is>
      </c>
      <c r="G1876" s="3" t="inlineStr">
        <is>
          <t>다방리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전의면</t>
        </is>
      </c>
    </row>
    <row r="1877">
      <c r="A1877" s="3" t="n">
        <v>2024</v>
      </c>
      <c r="B1877" s="4" t="n">
        <v>21000</v>
      </c>
      <c r="C1877" s="4" t="n">
        <v>9195</v>
      </c>
      <c r="D1877" s="4" t="n">
        <v>2781.4875</v>
      </c>
      <c r="E1877" s="5" t="n">
        <v>7.5</v>
      </c>
      <c r="F1877" s="3" t="inlineStr">
        <is>
          <t>금남면</t>
        </is>
      </c>
      <c r="G1877" s="3" t="inlineStr">
        <is>
          <t>황용리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금남면</t>
        </is>
      </c>
    </row>
    <row r="1878">
      <c r="A1878" s="3" t="n">
        <v>2024</v>
      </c>
      <c r="B1878" s="4" t="n">
        <v>30000</v>
      </c>
      <c r="C1878" s="4" t="n">
        <v>1213</v>
      </c>
      <c r="D1878" s="4" t="n">
        <v>366.9325</v>
      </c>
      <c r="E1878" s="5" t="n">
        <v>81.8</v>
      </c>
      <c r="F1878" s="3" t="inlineStr">
        <is>
          <t>소정면</t>
        </is>
      </c>
      <c r="G1878" s="3" t="inlineStr">
        <is>
          <t>운당리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소정면</t>
        </is>
      </c>
    </row>
    <row r="1879">
      <c r="A1879" s="3" t="n">
        <v>2024</v>
      </c>
      <c r="B1879" s="4" t="n">
        <v>7366</v>
      </c>
      <c r="C1879" s="4" t="n">
        <v>839.1</v>
      </c>
      <c r="D1879" s="4" t="n">
        <v>253.82775</v>
      </c>
      <c r="E1879" s="5" t="n">
        <v>29</v>
      </c>
      <c r="F1879" s="3" t="inlineStr">
        <is>
          <t>장군면</t>
        </is>
      </c>
      <c r="G1879" s="3" t="inlineStr">
        <is>
          <t>용암리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장군면</t>
        </is>
      </c>
    </row>
    <row r="1880">
      <c r="A1880" s="3" t="n">
        <v>2024</v>
      </c>
      <c r="B1880" s="4" t="n">
        <v>315926</v>
      </c>
      <c r="C1880" s="4" t="n">
        <v>873</v>
      </c>
      <c r="D1880" s="4" t="n">
        <v>264.0825</v>
      </c>
      <c r="E1880" s="5" t="n">
        <v>1196.3</v>
      </c>
      <c r="F1880" s="3" t="inlineStr">
        <is>
          <t>조치원읍</t>
        </is>
      </c>
      <c r="G1880" s="3" t="inlineStr">
        <is>
          <t>죽림리</t>
        </is>
      </c>
      <c r="H1880" s="3" t="inlineStr">
        <is>
          <t>일반상업지역</t>
        </is>
      </c>
      <c r="I1880" s="3" t="inlineStr">
        <is>
          <t>전</t>
        </is>
      </c>
      <c r="J1880" s="3" t="inlineStr">
        <is>
          <t>조치원읍</t>
        </is>
      </c>
    </row>
    <row r="1881">
      <c r="A1881" s="3" t="n">
        <v>2024</v>
      </c>
      <c r="B1881" s="4" t="n">
        <v>172258</v>
      </c>
      <c r="C1881" s="4" t="n">
        <v>476</v>
      </c>
      <c r="D1881" s="4" t="n">
        <v>143.99</v>
      </c>
      <c r="E1881" s="5" t="n">
        <v>1196.3</v>
      </c>
      <c r="F1881" s="3" t="inlineStr">
        <is>
          <t>조치원읍</t>
        </is>
      </c>
      <c r="G1881" s="3" t="inlineStr">
        <is>
          <t>죽림리</t>
        </is>
      </c>
      <c r="H1881" s="3" t="inlineStr">
        <is>
          <t>일반상업지역</t>
        </is>
      </c>
      <c r="I1881" s="3" t="inlineStr">
        <is>
          <t>대</t>
        </is>
      </c>
      <c r="J1881" s="3" t="inlineStr">
        <is>
          <t>조치원읍</t>
        </is>
      </c>
    </row>
    <row r="1882">
      <c r="A1882" s="3" t="n">
        <v>2024</v>
      </c>
      <c r="B1882" s="4" t="n">
        <v>37500</v>
      </c>
      <c r="C1882" s="4" t="n">
        <v>450</v>
      </c>
      <c r="D1882" s="4" t="n">
        <v>136.125</v>
      </c>
      <c r="E1882" s="5" t="n">
        <v>275.5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보전관리지역</t>
        </is>
      </c>
      <c r="I1882" s="3" t="inlineStr">
        <is>
          <t>대</t>
        </is>
      </c>
      <c r="J1882" s="3" t="inlineStr">
        <is>
          <t>연동면</t>
        </is>
      </c>
    </row>
    <row r="1883">
      <c r="A1883" s="3" t="n">
        <v>2023</v>
      </c>
      <c r="B1883" s="4" t="n">
        <v>25163</v>
      </c>
      <c r="C1883" s="4" t="n">
        <v>390</v>
      </c>
      <c r="D1883" s="4" t="n">
        <v>117.975</v>
      </c>
      <c r="E1883" s="5" t="n">
        <v>213.3</v>
      </c>
      <c r="F1883" s="3" t="inlineStr">
        <is>
          <t>오송읍</t>
        </is>
      </c>
      <c r="G1883" s="3" t="inlineStr">
        <is>
          <t>정중리</t>
        </is>
      </c>
      <c r="H1883" s="3" t="inlineStr">
        <is>
          <t>생산관리지역</t>
        </is>
      </c>
      <c r="I1883" s="3" t="inlineStr">
        <is>
          <t>대</t>
        </is>
      </c>
      <c r="J1883" s="3" t="inlineStr">
        <is>
          <t>오송읍</t>
        </is>
      </c>
    </row>
    <row r="1884">
      <c r="A1884" s="3" t="n">
        <v>2023</v>
      </c>
      <c r="B1884" s="4" t="n">
        <v>142</v>
      </c>
      <c r="C1884" s="4" t="n">
        <v>6</v>
      </c>
      <c r="D1884" s="4" t="n">
        <v>1.815</v>
      </c>
      <c r="E1884" s="5" t="n">
        <v>78.2</v>
      </c>
      <c r="F1884" s="3" t="inlineStr">
        <is>
          <t>오송읍</t>
        </is>
      </c>
      <c r="G1884" s="3" t="inlineStr">
        <is>
          <t>정중리</t>
        </is>
      </c>
      <c r="H1884" s="3" t="inlineStr">
        <is>
          <t>생산관리지역</t>
        </is>
      </c>
      <c r="I1884" s="3" t="inlineStr">
        <is>
          <t>임야</t>
        </is>
      </c>
      <c r="J1884" s="3" t="inlineStr">
        <is>
          <t>오송읍</t>
        </is>
      </c>
    </row>
    <row r="1885">
      <c r="A1885" s="3" t="n">
        <v>2023</v>
      </c>
      <c r="B1885" s="4" t="n">
        <v>32804</v>
      </c>
      <c r="C1885" s="4" t="n">
        <v>519</v>
      </c>
      <c r="D1885" s="4" t="n">
        <v>156.9975</v>
      </c>
      <c r="E1885" s="5" t="n">
        <v>208.9</v>
      </c>
      <c r="F1885" s="3" t="inlineStr">
        <is>
          <t>오송읍</t>
        </is>
      </c>
      <c r="G1885" s="3" t="inlineStr">
        <is>
          <t>정중리</t>
        </is>
      </c>
      <c r="H1885" s="3" t="inlineStr">
        <is>
          <t>생산관리지역</t>
        </is>
      </c>
      <c r="I1885" s="3" t="inlineStr">
        <is>
          <t>임야</t>
        </is>
      </c>
      <c r="J1885" s="3" t="inlineStr">
        <is>
          <t>오송읍</t>
        </is>
      </c>
    </row>
    <row r="1886">
      <c r="A1886" s="3" t="n">
        <v>2023</v>
      </c>
      <c r="B1886" s="4" t="n">
        <v>52</v>
      </c>
      <c r="C1886" s="4" t="n">
        <v>1</v>
      </c>
      <c r="D1886" s="4" t="n">
        <v>0.3025</v>
      </c>
      <c r="E1886" s="5" t="n">
        <v>171.9</v>
      </c>
      <c r="F1886" s="3" t="inlineStr">
        <is>
          <t>오송읍</t>
        </is>
      </c>
      <c r="G1886" s="3" t="inlineStr">
        <is>
          <t>정중리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2023</v>
      </c>
      <c r="B1887" s="4" t="n">
        <v>20031</v>
      </c>
      <c r="C1887" s="4" t="n">
        <v>224</v>
      </c>
      <c r="D1887" s="4" t="n">
        <v>67.75999999999999</v>
      </c>
      <c r="E1887" s="5" t="n">
        <v>295.6</v>
      </c>
      <c r="F1887" s="3" t="inlineStr">
        <is>
          <t>오송읍</t>
        </is>
      </c>
      <c r="G1887" s="3" t="inlineStr">
        <is>
          <t>정중리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오송읍</t>
        </is>
      </c>
    </row>
    <row r="1888">
      <c r="A1888" s="3" t="n">
        <v>2023</v>
      </c>
      <c r="B1888" s="4" t="n">
        <v>12410</v>
      </c>
      <c r="C1888" s="4" t="n">
        <v>136</v>
      </c>
      <c r="D1888" s="4" t="n">
        <v>41.14</v>
      </c>
      <c r="E1888" s="5" t="n">
        <v>301.7</v>
      </c>
      <c r="F1888" s="3" t="inlineStr">
        <is>
          <t>오송읍</t>
        </is>
      </c>
      <c r="G1888" s="3" t="inlineStr">
        <is>
          <t>정중리</t>
        </is>
      </c>
      <c r="H1888" s="3" t="inlineStr">
        <is>
          <t>생산관리지역</t>
        </is>
      </c>
      <c r="I1888" s="3" t="inlineStr">
        <is>
          <t>대</t>
        </is>
      </c>
      <c r="J1888" s="3" t="inlineStr">
        <is>
          <t>오송읍</t>
        </is>
      </c>
    </row>
    <row r="1889">
      <c r="A1889" s="3" t="n">
        <v>2023</v>
      </c>
      <c r="B1889" s="4" t="n">
        <v>32500</v>
      </c>
      <c r="C1889" s="4" t="n">
        <v>351</v>
      </c>
      <c r="D1889" s="4" t="n">
        <v>106.1775</v>
      </c>
      <c r="E1889" s="5" t="n">
        <v>306.1</v>
      </c>
      <c r="F1889" s="3" t="inlineStr">
        <is>
          <t>오송읍</t>
        </is>
      </c>
      <c r="G1889" s="3" t="inlineStr">
        <is>
          <t>정중리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오송읍</t>
        </is>
      </c>
    </row>
    <row r="1890">
      <c r="A1890" s="3" t="n">
        <v>2023</v>
      </c>
      <c r="B1890" s="4" t="n">
        <v>2400</v>
      </c>
      <c r="C1890" s="4" t="n">
        <v>53</v>
      </c>
      <c r="D1890" s="4" t="n">
        <v>16.0325</v>
      </c>
      <c r="E1890" s="5" t="n">
        <v>149.7</v>
      </c>
      <c r="F1890" s="3" t="inlineStr">
        <is>
          <t>오송읍</t>
        </is>
      </c>
      <c r="G1890" s="3" t="inlineStr">
        <is>
          <t>정중리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오송읍</t>
        </is>
      </c>
    </row>
    <row r="1891">
      <c r="A1891" s="3" t="n">
        <v>2023</v>
      </c>
      <c r="B1891" s="4" t="n">
        <v>30420</v>
      </c>
      <c r="C1891" s="4" t="n">
        <v>324</v>
      </c>
      <c r="D1891" s="4" t="n">
        <v>98.00999999999999</v>
      </c>
      <c r="E1891" s="5" t="n">
        <v>310.4</v>
      </c>
      <c r="F1891" s="3" t="inlineStr">
        <is>
          <t>오송읍</t>
        </is>
      </c>
      <c r="G1891" s="3" t="inlineStr">
        <is>
          <t>정중리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오송읍</t>
        </is>
      </c>
    </row>
    <row r="1892">
      <c r="A1892" s="3" t="n">
        <v>2026</v>
      </c>
      <c r="B1892" s="4" t="n">
        <v>15500</v>
      </c>
      <c r="C1892" s="4" t="n">
        <v>2066</v>
      </c>
      <c r="D1892" s="4" t="n">
        <v>624.965</v>
      </c>
      <c r="E1892" s="5" t="n">
        <v>24.8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40000</v>
      </c>
      <c r="C1893" s="4" t="n">
        <v>2382</v>
      </c>
      <c r="D1893" s="4" t="n">
        <v>720.5549999999999</v>
      </c>
      <c r="E1893" s="5" t="n">
        <v>55.5</v>
      </c>
      <c r="F1893" s="3" t="inlineStr">
        <is>
          <t>오송읍</t>
        </is>
      </c>
      <c r="G1893" s="3" t="inlineStr">
        <is>
          <t>궁평리</t>
        </is>
      </c>
      <c r="H1893" s="3" t="inlineStr">
        <is>
          <t>농림지역</t>
        </is>
      </c>
      <c r="I1893" s="3" t="inlineStr">
        <is>
          <t>답</t>
        </is>
      </c>
      <c r="J1893" s="3" t="inlineStr">
        <is>
          <t>오송읍</t>
        </is>
      </c>
    </row>
    <row r="1894">
      <c r="A1894" s="3" t="n">
        <v>2026</v>
      </c>
      <c r="B1894" s="4" t="n">
        <v>17000</v>
      </c>
      <c r="C1894" s="4" t="n">
        <v>2083</v>
      </c>
      <c r="D1894" s="4" t="n">
        <v>630.1075</v>
      </c>
      <c r="E1894" s="5" t="n">
        <v>27</v>
      </c>
      <c r="F1894" s="3" t="inlineStr">
        <is>
          <t>오송읍</t>
        </is>
      </c>
      <c r="G1894" s="3" t="inlineStr">
        <is>
          <t>호계리</t>
        </is>
      </c>
      <c r="H1894" s="3" t="inlineStr">
        <is>
          <t>농림지역</t>
        </is>
      </c>
      <c r="I1894" s="3" t="inlineStr">
        <is>
          <t>답</t>
        </is>
      </c>
      <c r="J1894" s="3" t="inlineStr">
        <is>
          <t>오송읍</t>
        </is>
      </c>
    </row>
    <row r="1895">
      <c r="A1895" s="3" t="n">
        <v>2023</v>
      </c>
      <c r="B1895" s="4" t="n">
        <v>22896</v>
      </c>
      <c r="C1895" s="4" t="n">
        <v>4730</v>
      </c>
      <c r="D1895" s="4" t="n">
        <v>1430.825</v>
      </c>
      <c r="E1895" s="5" t="n">
        <v>16</v>
      </c>
      <c r="F1895" s="3" t="inlineStr">
        <is>
          <t>남이면</t>
        </is>
      </c>
      <c r="G1895" s="3" t="inlineStr">
        <is>
          <t>비룡리</t>
        </is>
      </c>
      <c r="H1895" s="3" t="inlineStr">
        <is>
          <t>보전관리지역</t>
        </is>
      </c>
      <c r="I1895" s="3" t="inlineStr">
        <is>
          <t>과수원</t>
        </is>
      </c>
      <c r="J1895" s="3" t="inlineStr">
        <is>
          <t>남이면</t>
        </is>
      </c>
    </row>
    <row r="1896">
      <c r="A1896" s="3" t="n">
        <v>2023</v>
      </c>
      <c r="B1896" s="4" t="n">
        <v>470</v>
      </c>
      <c r="C1896" s="4" t="n">
        <v>222</v>
      </c>
      <c r="D1896" s="4" t="n">
        <v>67.155</v>
      </c>
      <c r="E1896" s="5" t="n">
        <v>7</v>
      </c>
      <c r="F1896" s="3" t="inlineStr">
        <is>
          <t>남이면</t>
        </is>
      </c>
      <c r="G1896" s="3" t="inlineStr">
        <is>
          <t>비룡리</t>
        </is>
      </c>
      <c r="H1896" s="3" t="inlineStr">
        <is>
          <t>보전관리지역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2023</v>
      </c>
      <c r="B1897" s="4" t="n">
        <v>10000</v>
      </c>
      <c r="C1897" s="4" t="n">
        <v>715</v>
      </c>
      <c r="D1897" s="4" t="n">
        <v>216.2875</v>
      </c>
      <c r="E1897" s="5" t="n">
        <v>46.2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1200</v>
      </c>
      <c r="C1898" s="4" t="n">
        <v>94.5</v>
      </c>
      <c r="D1898" s="4" t="n">
        <v>28.58625</v>
      </c>
      <c r="E1898" s="5" t="n">
        <v>42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2023</v>
      </c>
      <c r="B1899" s="4" t="n">
        <v>6030</v>
      </c>
      <c r="C1899" s="4" t="n">
        <v>199</v>
      </c>
      <c r="D1899" s="4" t="n">
        <v>60.1975</v>
      </c>
      <c r="E1899" s="5" t="n">
        <v>100.2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4800</v>
      </c>
      <c r="C1900" s="4" t="n">
        <v>221</v>
      </c>
      <c r="D1900" s="4" t="n">
        <v>66.85249999999999</v>
      </c>
      <c r="E1900" s="5" t="n">
        <v>71.8</v>
      </c>
      <c r="F1900" s="3" t="inlineStr">
        <is>
          <t>남이면</t>
        </is>
      </c>
      <c r="G1900" s="3" t="inlineStr">
        <is>
          <t>가마리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12700</v>
      </c>
      <c r="C1901" s="4" t="n">
        <v>630</v>
      </c>
      <c r="D1901" s="4" t="n">
        <v>190.575</v>
      </c>
      <c r="E1901" s="5" t="n">
        <v>66.59999999999999</v>
      </c>
      <c r="F1901" s="3" t="inlineStr">
        <is>
          <t>남이면</t>
        </is>
      </c>
      <c r="G1901" s="3" t="inlineStr">
        <is>
          <t>구암리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2022</v>
      </c>
      <c r="B1902" s="4" t="n">
        <v>21030</v>
      </c>
      <c r="C1902" s="4" t="n">
        <v>656</v>
      </c>
      <c r="D1902" s="4" t="n">
        <v>198.44</v>
      </c>
      <c r="E1902" s="5" t="n">
        <v>106</v>
      </c>
      <c r="F1902" s="3" t="inlineStr">
        <is>
          <t>남이면</t>
        </is>
      </c>
      <c r="G1902" s="3" t="inlineStr">
        <is>
          <t>수대리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28184</v>
      </c>
      <c r="C1903" s="4" t="n">
        <v>1652</v>
      </c>
      <c r="D1903" s="4" t="n">
        <v>499.73</v>
      </c>
      <c r="E1903" s="5" t="n">
        <v>56.4</v>
      </c>
      <c r="F1903" s="3" t="inlineStr">
        <is>
          <t>남이면</t>
        </is>
      </c>
      <c r="G1903" s="3" t="inlineStr">
        <is>
          <t>구암리</t>
        </is>
      </c>
      <c r="H1903" s="3" t="inlineStr">
        <is>
          <t>자연녹지지역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2022</v>
      </c>
      <c r="B1904" s="4" t="n">
        <v>59000</v>
      </c>
      <c r="C1904" s="4" t="n">
        <v>2144</v>
      </c>
      <c r="D1904" s="4" t="n">
        <v>648.5599999999999</v>
      </c>
      <c r="E1904" s="5" t="n">
        <v>91</v>
      </c>
      <c r="F1904" s="3" t="inlineStr">
        <is>
          <t>남이면</t>
        </is>
      </c>
      <c r="G1904" s="3" t="inlineStr">
        <is>
          <t>구미리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2022</v>
      </c>
      <c r="B1905" s="4" t="n">
        <v>88000</v>
      </c>
      <c r="C1905" s="4" t="n">
        <v>2109</v>
      </c>
      <c r="D1905" s="4" t="n">
        <v>637.9725</v>
      </c>
      <c r="E1905" s="5" t="n">
        <v>137.9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대</t>
        </is>
      </c>
      <c r="J1905" s="3" t="inlineStr">
        <is>
          <t>남이면</t>
        </is>
      </c>
    </row>
    <row r="1906">
      <c r="A1906" s="3" t="n">
        <v>2022</v>
      </c>
      <c r="B1906" s="4" t="n">
        <v>2000</v>
      </c>
      <c r="C1906" s="4" t="n">
        <v>268</v>
      </c>
      <c r="D1906" s="4" t="n">
        <v>81.06999999999999</v>
      </c>
      <c r="E1906" s="5" t="n">
        <v>24.7</v>
      </c>
      <c r="F1906" s="3" t="inlineStr">
        <is>
          <t>남이면</t>
        </is>
      </c>
      <c r="G1906" s="3" t="inlineStr">
        <is>
          <t>구미리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3000</v>
      </c>
      <c r="C1907" s="4" t="n">
        <v>126</v>
      </c>
      <c r="D1907" s="4" t="n">
        <v>38.115</v>
      </c>
      <c r="E1907" s="5" t="n">
        <v>78.7</v>
      </c>
      <c r="F1907" s="3" t="inlineStr">
        <is>
          <t>남이면</t>
        </is>
      </c>
      <c r="G1907" s="3" t="inlineStr">
        <is>
          <t>구미리</t>
        </is>
      </c>
      <c r="H1907" s="3" t="inlineStr">
        <is>
          <t>계획관리지역</t>
        </is>
      </c>
      <c r="I1907" s="3" t="inlineStr">
        <is>
          <t>대</t>
        </is>
      </c>
      <c r="J1907" s="3" t="inlineStr">
        <is>
          <t>남이면</t>
        </is>
      </c>
    </row>
    <row r="1908">
      <c r="A1908" s="3" t="n">
        <v>2022</v>
      </c>
      <c r="B1908" s="4" t="n">
        <v>70000</v>
      </c>
      <c r="C1908" s="4" t="n">
        <v>1652</v>
      </c>
      <c r="D1908" s="4" t="n">
        <v>499.73</v>
      </c>
      <c r="E1908" s="5" t="n">
        <v>140.1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자연녹지지역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75600</v>
      </c>
      <c r="C1909" s="4" t="n">
        <v>2175</v>
      </c>
      <c r="D1909" s="4" t="n">
        <v>657.9375</v>
      </c>
      <c r="E1909" s="5" t="n">
        <v>114.9</v>
      </c>
      <c r="F1909" s="3" t="inlineStr">
        <is>
          <t>남이면</t>
        </is>
      </c>
      <c r="G1909" s="3" t="inlineStr">
        <is>
          <t>가좌리</t>
        </is>
      </c>
      <c r="H1909" s="3" t="inlineStr">
        <is>
          <t>자연녹지지역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200</v>
      </c>
      <c r="D1910" s="4" t="n">
        <v>60.5</v>
      </c>
      <c r="E1910" s="5" t="n">
        <v>82.59999999999999</v>
      </c>
      <c r="F1910" s="3" t="inlineStr">
        <is>
          <t>남이면</t>
        </is>
      </c>
      <c r="G1910" s="3" t="inlineStr">
        <is>
          <t>양촌리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3970</v>
      </c>
      <c r="C1911" s="4" t="n">
        <v>131</v>
      </c>
      <c r="D1911" s="4" t="n">
        <v>39.6275</v>
      </c>
      <c r="E1911" s="5" t="n">
        <v>100.2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2026</v>
      </c>
      <c r="B1912" s="4" t="n">
        <v>1891</v>
      </c>
      <c r="C1912" s="4" t="n">
        <v>992</v>
      </c>
      <c r="D1912" s="4" t="n">
        <v>300.08</v>
      </c>
      <c r="E1912" s="5" t="n">
        <v>6.3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보전관리지역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2026</v>
      </c>
      <c r="B1913" s="4" t="n">
        <v>37952</v>
      </c>
      <c r="C1913" s="4" t="n">
        <v>1732</v>
      </c>
      <c r="D1913" s="4" t="n">
        <v>523.9299999999999</v>
      </c>
      <c r="E1913" s="5" t="n">
        <v>72.40000000000001</v>
      </c>
      <c r="F1913" s="3" t="inlineStr">
        <is>
          <t>남이면</t>
        </is>
      </c>
      <c r="G1913" s="3" t="inlineStr">
        <is>
          <t>부용외천리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2026</v>
      </c>
      <c r="B1914" s="4" t="n">
        <v>31247</v>
      </c>
      <c r="C1914" s="4" t="n">
        <v>1568</v>
      </c>
      <c r="D1914" s="4" t="n">
        <v>474.32</v>
      </c>
      <c r="E1914" s="5" t="n">
        <v>65.90000000000001</v>
      </c>
      <c r="F1914" s="3" t="inlineStr">
        <is>
          <t>남이면</t>
        </is>
      </c>
      <c r="G1914" s="3" t="inlineStr">
        <is>
          <t>부용외천리</t>
        </is>
      </c>
      <c r="H1914" s="3" t="inlineStr">
        <is>
          <t>계획관리지역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2026</v>
      </c>
      <c r="B1915" s="4" t="n">
        <v>6085</v>
      </c>
      <c r="C1915" s="4" t="n">
        <v>218</v>
      </c>
      <c r="D1915" s="4" t="n">
        <v>65.94499999999999</v>
      </c>
      <c r="E1915" s="5" t="n">
        <v>92.3</v>
      </c>
      <c r="F1915" s="3" t="inlineStr">
        <is>
          <t>남이면</t>
        </is>
      </c>
      <c r="G1915" s="3" t="inlineStr">
        <is>
          <t>부용외천리</t>
        </is>
      </c>
      <c r="H1915" s="3" t="inlineStr">
        <is>
          <t>계획관리지역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2026</v>
      </c>
      <c r="B1916" s="4" t="n">
        <v>768</v>
      </c>
      <c r="C1916" s="4" t="n">
        <v>28</v>
      </c>
      <c r="D1916" s="4" t="n">
        <v>8.469999999999999</v>
      </c>
      <c r="E1916" s="5" t="n">
        <v>90.7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2026</v>
      </c>
      <c r="B1917" s="4" t="n">
        <v>271</v>
      </c>
      <c r="C1917" s="4" t="n">
        <v>13</v>
      </c>
      <c r="D1917" s="4" t="n">
        <v>3.9325</v>
      </c>
      <c r="E1917" s="5" t="n">
        <v>68.90000000000001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12961</v>
      </c>
      <c r="C1918" s="4" t="n">
        <v>72</v>
      </c>
      <c r="D1918" s="4" t="n">
        <v>21.78</v>
      </c>
      <c r="E1918" s="5" t="n">
        <v>595.1</v>
      </c>
      <c r="F1918" s="3" t="inlineStr">
        <is>
          <t>금남면</t>
        </is>
      </c>
      <c r="G1918" s="3" t="inlineStr">
        <is>
          <t>성덕리</t>
        </is>
      </c>
      <c r="H1918" s="3" t="inlineStr">
        <is>
          <t>보전관리지역</t>
        </is>
      </c>
      <c r="I1918" s="3" t="inlineStr">
        <is>
          <t>임야</t>
        </is>
      </c>
      <c r="J1918" s="3" t="inlineStr">
        <is>
          <t>금남면</t>
        </is>
      </c>
    </row>
    <row r="1919">
      <c r="A1919" s="3" t="n">
        <v>2022</v>
      </c>
      <c r="B1919" s="4" t="n">
        <v>25000</v>
      </c>
      <c r="C1919" s="4" t="n">
        <v>449</v>
      </c>
      <c r="D1919" s="4" t="n">
        <v>135.8225</v>
      </c>
      <c r="E1919" s="5" t="n">
        <v>184.1</v>
      </c>
      <c r="F1919" s="3" t="inlineStr">
        <is>
          <t>금남면</t>
        </is>
      </c>
      <c r="G1919" s="3" t="inlineStr">
        <is>
          <t>성덕리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금남면</t>
        </is>
      </c>
    </row>
    <row r="1920">
      <c r="A1920" s="3" t="n">
        <v>2022</v>
      </c>
      <c r="B1920" s="4" t="n">
        <v>2000</v>
      </c>
      <c r="C1920" s="4" t="n">
        <v>31</v>
      </c>
      <c r="D1920" s="4" t="n">
        <v>9.3775</v>
      </c>
      <c r="E1920" s="5" t="n">
        <v>213.3</v>
      </c>
      <c r="F1920" s="3" t="inlineStr">
        <is>
          <t>장군면</t>
        </is>
      </c>
      <c r="G1920" s="3" t="inlineStr">
        <is>
          <t>평기리</t>
        </is>
      </c>
      <c r="H1920" s="3" t="inlineStr">
        <is>
          <t>계획관리지역</t>
        </is>
      </c>
      <c r="I1920" s="3" t="inlineStr">
        <is>
          <t>도로</t>
        </is>
      </c>
      <c r="J1920" s="3" t="inlineStr">
        <is>
          <t>장군면</t>
        </is>
      </c>
    </row>
    <row r="1921">
      <c r="A1921" s="3" t="n">
        <v>2022</v>
      </c>
      <c r="B1921" s="4" t="n">
        <v>38000</v>
      </c>
      <c r="C1921" s="4" t="n">
        <v>1583</v>
      </c>
      <c r="D1921" s="4" t="n">
        <v>478.8575</v>
      </c>
      <c r="E1921" s="5" t="n">
        <v>79.40000000000001</v>
      </c>
      <c r="F1921" s="3" t="inlineStr">
        <is>
          <t>연서면</t>
        </is>
      </c>
      <c r="G1921" s="3" t="inlineStr">
        <is>
          <t>고복리</t>
        </is>
      </c>
      <c r="H1921" s="3" t="inlineStr">
        <is>
          <t>농림지역</t>
        </is>
      </c>
      <c r="I1921" s="3" t="inlineStr">
        <is>
          <t>답</t>
        </is>
      </c>
      <c r="J1921" s="3" t="inlineStr">
        <is>
          <t>연서면</t>
        </is>
      </c>
    </row>
    <row r="1922">
      <c r="A1922" s="3" t="n">
        <v>2022</v>
      </c>
      <c r="B1922" s="4" t="n">
        <v>25714</v>
      </c>
      <c r="C1922" s="4" t="n">
        <v>989</v>
      </c>
      <c r="D1922" s="4" t="n">
        <v>299.1725</v>
      </c>
      <c r="E1922" s="5" t="n">
        <v>86</v>
      </c>
      <c r="F1922" s="3" t="inlineStr">
        <is>
          <t>금남면</t>
        </is>
      </c>
      <c r="G1922" s="3" t="inlineStr">
        <is>
          <t>영치리</t>
        </is>
      </c>
      <c r="H1922" s="3" t="inlineStr">
        <is>
          <t>개발제한구역</t>
        </is>
      </c>
      <c r="I1922" s="3" t="inlineStr">
        <is>
          <t>전</t>
        </is>
      </c>
      <c r="J1922" s="3" t="inlineStr">
        <is>
          <t>금남면</t>
        </is>
      </c>
    </row>
    <row r="1923">
      <c r="A1923" s="3" t="n">
        <v>2022</v>
      </c>
      <c r="B1923" s="4" t="n">
        <v>33514</v>
      </c>
      <c r="C1923" s="4" t="n">
        <v>1289</v>
      </c>
      <c r="D1923" s="4" t="n">
        <v>389.9225</v>
      </c>
      <c r="E1923" s="5" t="n">
        <v>86</v>
      </c>
      <c r="F1923" s="3" t="inlineStr">
        <is>
          <t>금남면</t>
        </is>
      </c>
      <c r="G1923" s="3" t="inlineStr">
        <is>
          <t>영치리</t>
        </is>
      </c>
      <c r="H1923" s="3" t="inlineStr">
        <is>
          <t>개발제한구역</t>
        </is>
      </c>
      <c r="I1923" s="3" t="inlineStr">
        <is>
          <t>전</t>
        </is>
      </c>
      <c r="J1923" s="3" t="inlineStr">
        <is>
          <t>금남면</t>
        </is>
      </c>
    </row>
    <row r="1924">
      <c r="A1924" s="3" t="n">
        <v>2022</v>
      </c>
      <c r="B1924" s="4" t="n">
        <v>30000</v>
      </c>
      <c r="C1924" s="4" t="n">
        <v>1151</v>
      </c>
      <c r="D1924" s="4" t="n">
        <v>348.1775</v>
      </c>
      <c r="E1924" s="5" t="n">
        <v>86.2</v>
      </c>
      <c r="F1924" s="3" t="inlineStr">
        <is>
          <t>소정면</t>
        </is>
      </c>
      <c r="G1924" s="3" t="inlineStr">
        <is>
          <t>대곡리</t>
        </is>
      </c>
      <c r="H1924" s="3" t="inlineStr">
        <is>
          <t>계획관리지역</t>
        </is>
      </c>
      <c r="I1924" s="3" t="inlineStr">
        <is>
          <t>대</t>
        </is>
      </c>
      <c r="J1924" s="3" t="inlineStr">
        <is>
          <t>소정면</t>
        </is>
      </c>
    </row>
    <row r="1925">
      <c r="A1925" s="3" t="n">
        <v>2022</v>
      </c>
      <c r="B1925" s="4" t="n">
        <v>195000</v>
      </c>
      <c r="C1925" s="4" t="n">
        <v>2654</v>
      </c>
      <c r="D1925" s="4" t="n">
        <v>802.8349999999999</v>
      </c>
      <c r="E1925" s="5" t="n">
        <v>242.9</v>
      </c>
      <c r="F1925" s="3" t="inlineStr">
        <is>
          <t>소정면</t>
        </is>
      </c>
      <c r="G1925" s="3" t="inlineStr">
        <is>
          <t>대곡리</t>
        </is>
      </c>
      <c r="H1925" s="3" t="inlineStr">
        <is>
          <t>계획관리지역</t>
        </is>
      </c>
      <c r="I1925" s="3" t="inlineStr">
        <is>
          <t>대</t>
        </is>
      </c>
      <c r="J1925" s="3" t="inlineStr">
        <is>
          <t>소정면</t>
        </is>
      </c>
    </row>
    <row r="1926">
      <c r="A1926" s="3" t="n">
        <v>2022</v>
      </c>
      <c r="B1926" s="4" t="n">
        <v>2000</v>
      </c>
      <c r="C1926" s="4" t="n">
        <v>49</v>
      </c>
      <c r="D1926" s="4" t="n">
        <v>14.8225</v>
      </c>
      <c r="E1926" s="5" t="n">
        <v>134.9</v>
      </c>
      <c r="F1926" s="3" t="inlineStr">
        <is>
          <t>부강면</t>
        </is>
      </c>
      <c r="G1926" s="3" t="inlineStr">
        <is>
          <t>문곡리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2022</v>
      </c>
      <c r="B1927" s="4" t="n">
        <v>76000</v>
      </c>
      <c r="C1927" s="4" t="n">
        <v>1482</v>
      </c>
      <c r="D1927" s="4" t="n">
        <v>448.305</v>
      </c>
      <c r="E1927" s="5" t="n">
        <v>169.5</v>
      </c>
      <c r="F1927" s="3" t="inlineStr">
        <is>
          <t>부강면</t>
        </is>
      </c>
      <c r="G1927" s="3" t="inlineStr">
        <is>
          <t>문곡리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부강면</t>
        </is>
      </c>
    </row>
    <row r="1928">
      <c r="A1928" s="3" t="n">
        <v>2022</v>
      </c>
      <c r="B1928" s="4" t="n">
        <v>1500</v>
      </c>
      <c r="C1928" s="4" t="n">
        <v>981</v>
      </c>
      <c r="D1928" s="4" t="n">
        <v>296.7525</v>
      </c>
      <c r="E1928" s="5" t="n">
        <v>5.1</v>
      </c>
      <c r="F1928" s="3" t="inlineStr">
        <is>
          <t>부강면</t>
        </is>
      </c>
      <c r="G1928" s="3" t="inlineStr">
        <is>
          <t>갈산리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부강면</t>
        </is>
      </c>
    </row>
    <row r="1929">
      <c r="A1929" s="3" t="n">
        <v>2022</v>
      </c>
      <c r="B1929" s="4" t="n">
        <v>21000</v>
      </c>
      <c r="C1929" s="4" t="n">
        <v>265</v>
      </c>
      <c r="D1929" s="4" t="n">
        <v>80.16249999999999</v>
      </c>
      <c r="E1929" s="5" t="n">
        <v>262</v>
      </c>
      <c r="F1929" s="3" t="inlineStr">
        <is>
          <t>연동면</t>
        </is>
      </c>
      <c r="G1929" s="3" t="inlineStr">
        <is>
          <t>노송리</t>
        </is>
      </c>
      <c r="H1929" s="3" t="inlineStr">
        <is>
          <t>계획관리지역</t>
        </is>
      </c>
      <c r="I1929" s="3" t="inlineStr">
        <is>
          <t>답</t>
        </is>
      </c>
      <c r="J1929" s="3" t="inlineStr">
        <is>
          <t>연동면</t>
        </is>
      </c>
    </row>
    <row r="1930">
      <c r="A1930" s="3" t="n">
        <v>2022</v>
      </c>
      <c r="B1930" s="4" t="n">
        <v>2400</v>
      </c>
      <c r="C1930" s="4" t="n">
        <v>99</v>
      </c>
      <c r="D1930" s="4" t="n">
        <v>29.9475</v>
      </c>
      <c r="E1930" s="5" t="n">
        <v>80.09999999999999</v>
      </c>
      <c r="F1930" s="3" t="inlineStr">
        <is>
          <t>금남면</t>
        </is>
      </c>
      <c r="G1930" s="3" t="inlineStr">
        <is>
          <t>영곡리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금남면</t>
        </is>
      </c>
    </row>
    <row r="1931">
      <c r="A1931" s="3" t="n">
        <v>2022</v>
      </c>
      <c r="B1931" s="4" t="n">
        <v>3400</v>
      </c>
      <c r="C1931" s="4" t="n">
        <v>562</v>
      </c>
      <c r="D1931" s="4" t="n">
        <v>170.005</v>
      </c>
      <c r="E1931" s="5" t="n">
        <v>20</v>
      </c>
      <c r="F1931" s="3" t="inlineStr">
        <is>
          <t>금남면</t>
        </is>
      </c>
      <c r="G1931" s="3" t="inlineStr">
        <is>
          <t>영대리</t>
        </is>
      </c>
      <c r="H1931" s="3" t="inlineStr">
        <is>
          <t>개발제한구역</t>
        </is>
      </c>
      <c r="I1931" s="3" t="inlineStr">
        <is>
          <t>전</t>
        </is>
      </c>
      <c r="J1931" s="3" t="inlineStr">
        <is>
          <t>금남면</t>
        </is>
      </c>
    </row>
    <row r="1932">
      <c r="A1932" s="3" t="n">
        <v>2022</v>
      </c>
      <c r="B1932" s="4" t="n">
        <v>80000</v>
      </c>
      <c r="C1932" s="4" t="n">
        <v>3306</v>
      </c>
      <c r="D1932" s="4" t="n">
        <v>1000.065</v>
      </c>
      <c r="E1932" s="5" t="n">
        <v>80</v>
      </c>
      <c r="F1932" s="3" t="inlineStr">
        <is>
          <t>연동면</t>
        </is>
      </c>
      <c r="G1932" s="3" t="inlineStr">
        <is>
          <t>송용리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연동면</t>
        </is>
      </c>
    </row>
    <row r="1933">
      <c r="A1933" s="3" t="n">
        <v>2022</v>
      </c>
      <c r="B1933" s="4" t="n">
        <v>94000</v>
      </c>
      <c r="C1933" s="4" t="n">
        <v>5026.2</v>
      </c>
      <c r="D1933" s="4" t="n">
        <v>1520.4255</v>
      </c>
      <c r="E1933" s="5" t="n">
        <v>61.8</v>
      </c>
      <c r="F1933" s="3" t="inlineStr">
        <is>
          <t>장군면</t>
        </is>
      </c>
      <c r="G1933" s="3" t="inlineStr">
        <is>
          <t>송학리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장군면</t>
        </is>
      </c>
    </row>
    <row r="1934">
      <c r="A1934" s="3" t="n">
        <v>2022</v>
      </c>
      <c r="B1934" s="4" t="n">
        <v>7606</v>
      </c>
      <c r="C1934" s="4" t="n">
        <v>323</v>
      </c>
      <c r="D1934" s="4" t="n">
        <v>97.7075</v>
      </c>
      <c r="E1934" s="5" t="n">
        <v>77.8</v>
      </c>
      <c r="F1934" s="3" t="inlineStr">
        <is>
          <t>부강면</t>
        </is>
      </c>
      <c r="G1934" s="3" t="inlineStr">
        <is>
          <t>노호리</t>
        </is>
      </c>
      <c r="H1934" s="3" t="inlineStr">
        <is>
          <t>보전관리지역</t>
        </is>
      </c>
      <c r="I1934" s="3" t="inlineStr">
        <is>
          <t>임야</t>
        </is>
      </c>
      <c r="J1934" s="3" t="inlineStr">
        <is>
          <t>부강면</t>
        </is>
      </c>
    </row>
    <row r="1935">
      <c r="A1935" s="3" t="n">
        <v>2022</v>
      </c>
      <c r="B1935" s="4" t="n">
        <v>15294</v>
      </c>
      <c r="C1935" s="4" t="n">
        <v>636</v>
      </c>
      <c r="D1935" s="4" t="n">
        <v>192.39</v>
      </c>
      <c r="E1935" s="5" t="n">
        <v>79.5</v>
      </c>
      <c r="F1935" s="3" t="inlineStr">
        <is>
          <t>부강면</t>
        </is>
      </c>
      <c r="G1935" s="3" t="inlineStr">
        <is>
          <t>노호리</t>
        </is>
      </c>
      <c r="H1935" s="3" t="inlineStr">
        <is>
          <t>보전관리지역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2000</v>
      </c>
      <c r="C1936" s="4" t="n">
        <v>49</v>
      </c>
      <c r="D1936" s="4" t="n">
        <v>14.8225</v>
      </c>
      <c r="E1936" s="5" t="n">
        <v>134.9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계획관리지역</t>
        </is>
      </c>
      <c r="I1936" s="3" t="inlineStr">
        <is>
          <t>전</t>
        </is>
      </c>
      <c r="J1936" s="3" t="inlineStr">
        <is>
          <t>부강면</t>
        </is>
      </c>
    </row>
    <row r="1937">
      <c r="A1937" s="3" t="n">
        <v>2022</v>
      </c>
      <c r="B1937" s="4" t="n">
        <v>76000</v>
      </c>
      <c r="C1937" s="4" t="n">
        <v>1482</v>
      </c>
      <c r="D1937" s="4" t="n">
        <v>448.305</v>
      </c>
      <c r="E1937" s="5" t="n">
        <v>169.5</v>
      </c>
      <c r="F1937" s="3" t="inlineStr">
        <is>
          <t>부강면</t>
        </is>
      </c>
      <c r="G1937" s="3" t="inlineStr">
        <is>
          <t>문곡리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부강면</t>
        </is>
      </c>
    </row>
    <row r="1938">
      <c r="A1938" s="3" t="n">
        <v>2022</v>
      </c>
      <c r="B1938" s="4" t="n">
        <v>12500</v>
      </c>
      <c r="C1938" s="4" t="n">
        <v>1894</v>
      </c>
      <c r="D1938" s="4" t="n">
        <v>572.9349999999999</v>
      </c>
      <c r="E1938" s="5" t="n">
        <v>21.8</v>
      </c>
      <c r="F1938" s="3" t="inlineStr">
        <is>
          <t>전동면</t>
        </is>
      </c>
      <c r="G1938" s="3" t="inlineStr">
        <is>
          <t>청람리</t>
        </is>
      </c>
      <c r="H1938" s="3" t="inlineStr">
        <is>
          <t>생산관리지역</t>
        </is>
      </c>
      <c r="I1938" s="3" t="inlineStr">
        <is>
          <t>전</t>
        </is>
      </c>
      <c r="J1938" s="3" t="inlineStr">
        <is>
          <t>전동면</t>
        </is>
      </c>
    </row>
    <row r="1939">
      <c r="A1939" s="3" t="n">
        <v>2022</v>
      </c>
      <c r="B1939" s="4" t="n">
        <v>12500</v>
      </c>
      <c r="C1939" s="4" t="n">
        <v>1835</v>
      </c>
      <c r="D1939" s="4" t="n">
        <v>555.0875</v>
      </c>
      <c r="E1939" s="5" t="n">
        <v>22.5</v>
      </c>
      <c r="F1939" s="3" t="inlineStr">
        <is>
          <t>전동면</t>
        </is>
      </c>
      <c r="G1939" s="3" t="inlineStr">
        <is>
          <t>청람리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전동면</t>
        </is>
      </c>
    </row>
    <row r="1940">
      <c r="A1940" s="3" t="n">
        <v>2022</v>
      </c>
      <c r="B1940" s="4" t="n">
        <v>15000</v>
      </c>
      <c r="C1940" s="4" t="n">
        <v>29107</v>
      </c>
      <c r="D1940" s="4" t="n">
        <v>8804.8675</v>
      </c>
      <c r="E1940" s="5" t="n">
        <v>1.7</v>
      </c>
      <c r="F1940" s="3" t="inlineStr">
        <is>
          <t>전동면</t>
        </is>
      </c>
      <c r="G1940" s="3" t="inlineStr">
        <is>
          <t>청람리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2023</v>
      </c>
      <c r="B1941" s="4" t="n">
        <v>70000</v>
      </c>
      <c r="C1941" s="4" t="n">
        <v>476</v>
      </c>
      <c r="D1941" s="4" t="n">
        <v>143.99</v>
      </c>
      <c r="E1941" s="5" t="n">
        <v>486.1</v>
      </c>
      <c r="F1941" s="3" t="inlineStr">
        <is>
          <t>반곡동</t>
        </is>
      </c>
      <c r="G1941" s="3" t="inlineStr"/>
      <c r="H1941" s="3" t="inlineStr">
        <is>
          <t>제1종전용주거지역</t>
        </is>
      </c>
      <c r="I1941" s="3" t="inlineStr">
        <is>
          <t>대</t>
        </is>
      </c>
      <c r="J1941" s="3" t="inlineStr">
        <is>
          <t>반곡동</t>
        </is>
      </c>
    </row>
    <row r="1942">
      <c r="A1942" s="3" t="n">
        <v>2023</v>
      </c>
      <c r="B1942" s="4" t="n">
        <v>58300</v>
      </c>
      <c r="C1942" s="4" t="n">
        <v>825</v>
      </c>
      <c r="D1942" s="4" t="n">
        <v>249.5625</v>
      </c>
      <c r="E1942" s="5" t="n">
        <v>233.6</v>
      </c>
      <c r="F1942" s="3" t="inlineStr">
        <is>
          <t>연서면</t>
        </is>
      </c>
      <c r="G1942" s="3" t="inlineStr">
        <is>
          <t>봉암리</t>
        </is>
      </c>
      <c r="H1942" s="3" t="inlineStr">
        <is>
          <t>계획관리지역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8700</v>
      </c>
      <c r="C1943" s="4" t="n">
        <v>123</v>
      </c>
      <c r="D1943" s="4" t="n">
        <v>37.2075</v>
      </c>
      <c r="E1943" s="5" t="n">
        <v>233.8</v>
      </c>
      <c r="F1943" s="3" t="inlineStr">
        <is>
          <t>연서면</t>
        </is>
      </c>
      <c r="G1943" s="3" t="inlineStr">
        <is>
          <t>봉암리</t>
        </is>
      </c>
      <c r="H1943" s="3" t="inlineStr">
        <is>
          <t>계획관리지역</t>
        </is>
      </c>
      <c r="I1943" s="3" t="inlineStr">
        <is>
          <t>임야</t>
        </is>
      </c>
      <c r="J1943" s="3" t="inlineStr">
        <is>
          <t>연서면</t>
        </is>
      </c>
    </row>
    <row r="1944">
      <c r="A1944" s="3" t="n">
        <v>2023</v>
      </c>
      <c r="B1944" s="4" t="n">
        <v>29178</v>
      </c>
      <c r="C1944" s="4" t="n">
        <v>331</v>
      </c>
      <c r="D1944" s="4" t="n">
        <v>100.1275</v>
      </c>
      <c r="E1944" s="5" t="n">
        <v>291.4</v>
      </c>
      <c r="F1944" s="3" t="inlineStr">
        <is>
          <t>금남면</t>
        </is>
      </c>
      <c r="G1944" s="3" t="inlineStr">
        <is>
          <t>감성리</t>
        </is>
      </c>
      <c r="H1944" s="3" t="inlineStr">
        <is>
          <t>계획관리지역</t>
        </is>
      </c>
      <c r="I1944" s="3" t="inlineStr">
        <is>
          <t>도로</t>
        </is>
      </c>
      <c r="J1944" s="3" t="inlineStr">
        <is>
          <t>금남면</t>
        </is>
      </c>
    </row>
    <row r="1945">
      <c r="A1945" s="3" t="n">
        <v>2023</v>
      </c>
      <c r="B1945" s="4" t="n">
        <v>1616</v>
      </c>
      <c r="C1945" s="4" t="n">
        <v>26</v>
      </c>
      <c r="D1945" s="4" t="n">
        <v>7.865</v>
      </c>
      <c r="E1945" s="5" t="n">
        <v>205.5</v>
      </c>
      <c r="F1945" s="3" t="inlineStr">
        <is>
          <t>금남면</t>
        </is>
      </c>
      <c r="G1945" s="3" t="inlineStr">
        <is>
          <t>감성리</t>
        </is>
      </c>
      <c r="H1945" s="3" t="inlineStr">
        <is>
          <t>계획관리지역</t>
        </is>
      </c>
      <c r="I1945" s="3" t="inlineStr">
        <is>
          <t>도로</t>
        </is>
      </c>
      <c r="J1945" s="3" t="inlineStr">
        <is>
          <t>금남면</t>
        </is>
      </c>
    </row>
    <row r="1946">
      <c r="A1946" s="3" t="n">
        <v>2023</v>
      </c>
      <c r="B1946" s="4" t="n">
        <v>13260</v>
      </c>
      <c r="C1946" s="4" t="n">
        <v>732</v>
      </c>
      <c r="D1946" s="4" t="n">
        <v>221.43</v>
      </c>
      <c r="E1946" s="5" t="n">
        <v>59.9</v>
      </c>
      <c r="F1946" s="3" t="inlineStr">
        <is>
          <t>전동면</t>
        </is>
      </c>
      <c r="G1946" s="3" t="inlineStr">
        <is>
          <t>심중리</t>
        </is>
      </c>
      <c r="H1946" s="3" t="inlineStr">
        <is>
          <t>보전관리지역</t>
        </is>
      </c>
      <c r="I1946" s="3" t="inlineStr">
        <is>
          <t>하천</t>
        </is>
      </c>
      <c r="J1946" s="3" t="inlineStr">
        <is>
          <t>전동면</t>
        </is>
      </c>
    </row>
    <row r="1947">
      <c r="A1947" s="3" t="n">
        <v>2023</v>
      </c>
      <c r="B1947" s="4" t="n">
        <v>46625</v>
      </c>
      <c r="C1947" s="4" t="n">
        <v>1234</v>
      </c>
      <c r="D1947" s="4" t="n">
        <v>373.285</v>
      </c>
      <c r="E1947" s="5" t="n">
        <v>124.9</v>
      </c>
      <c r="F1947" s="3" t="inlineStr">
        <is>
          <t>전동면</t>
        </is>
      </c>
      <c r="G1947" s="3" t="inlineStr">
        <is>
          <t>심중리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전동면</t>
        </is>
      </c>
    </row>
    <row r="1948">
      <c r="A1948" s="3" t="n">
        <v>2023</v>
      </c>
      <c r="B1948" s="4" t="n">
        <v>39550</v>
      </c>
      <c r="C1948" s="4" t="n">
        <v>1868</v>
      </c>
      <c r="D1948" s="4" t="n">
        <v>565.0699999999999</v>
      </c>
      <c r="E1948" s="5" t="n">
        <v>70</v>
      </c>
      <c r="F1948" s="3" t="inlineStr">
        <is>
          <t>전동면</t>
        </is>
      </c>
      <c r="G1948" s="3" t="inlineStr">
        <is>
          <t>심중리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2023</v>
      </c>
      <c r="B1949" s="4" t="n">
        <v>42435</v>
      </c>
      <c r="C1949" s="4" t="n">
        <v>576</v>
      </c>
      <c r="D1949" s="4" t="n">
        <v>174.24</v>
      </c>
      <c r="E1949" s="5" t="n">
        <v>243.5</v>
      </c>
      <c r="F1949" s="3" t="inlineStr">
        <is>
          <t>장군면</t>
        </is>
      </c>
      <c r="G1949" s="3" t="inlineStr">
        <is>
          <t>대교리</t>
        </is>
      </c>
      <c r="H1949" s="3" t="inlineStr">
        <is>
          <t>보전관리지역</t>
        </is>
      </c>
      <c r="I1949" s="3" t="inlineStr">
        <is>
          <t>임야</t>
        </is>
      </c>
      <c r="J1949" s="3" t="inlineStr">
        <is>
          <t>장군면</t>
        </is>
      </c>
    </row>
    <row r="1950">
      <c r="A1950" s="3" t="n">
        <v>2023</v>
      </c>
      <c r="B1950" s="4" t="n">
        <v>1200</v>
      </c>
      <c r="C1950" s="4" t="n">
        <v>20</v>
      </c>
      <c r="D1950" s="4" t="n">
        <v>6.05</v>
      </c>
      <c r="E1950" s="5" t="n">
        <v>198.3</v>
      </c>
      <c r="F1950" s="3" t="inlineStr">
        <is>
          <t>조치원읍</t>
        </is>
      </c>
      <c r="G1950" s="3" t="inlineStr">
        <is>
          <t>번암리</t>
        </is>
      </c>
      <c r="H1950" s="3" t="inlineStr">
        <is>
          <t>일반공업지역</t>
        </is>
      </c>
      <c r="I1950" s="3" t="inlineStr">
        <is>
          <t>전</t>
        </is>
      </c>
      <c r="J1950" s="3" t="inlineStr">
        <is>
          <t>조치원읍</t>
        </is>
      </c>
    </row>
    <row r="1951">
      <c r="A1951" s="3" t="n">
        <v>2023</v>
      </c>
      <c r="B1951" s="4" t="n">
        <v>1000</v>
      </c>
      <c r="C1951" s="4" t="n">
        <v>200</v>
      </c>
      <c r="D1951" s="4" t="n">
        <v>60.5</v>
      </c>
      <c r="E1951" s="5" t="n">
        <v>16.5</v>
      </c>
      <c r="F1951" s="3" t="inlineStr">
        <is>
          <t>부강면</t>
        </is>
      </c>
      <c r="G1951" s="3" t="inlineStr">
        <is>
          <t>문곡리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부강면</t>
        </is>
      </c>
    </row>
    <row r="1952">
      <c r="A1952" s="3" t="n">
        <v>2023</v>
      </c>
      <c r="B1952" s="4" t="n">
        <v>100000</v>
      </c>
      <c r="C1952" s="4" t="n">
        <v>329.3</v>
      </c>
      <c r="D1952" s="4" t="n">
        <v>99.61324999999999</v>
      </c>
      <c r="E1952" s="5" t="n">
        <v>1003.9</v>
      </c>
      <c r="F1952" s="3" t="inlineStr">
        <is>
          <t>도담동</t>
        </is>
      </c>
      <c r="G1952" s="3" t="inlineStr"/>
      <c r="H1952" s="3" t="inlineStr">
        <is>
          <t>제1종전용주거지역</t>
        </is>
      </c>
      <c r="I1952" s="3" t="inlineStr">
        <is>
          <t>대</t>
        </is>
      </c>
      <c r="J1952" s="3" t="inlineStr">
        <is>
          <t>도담동</t>
        </is>
      </c>
    </row>
    <row r="1953">
      <c r="A1953" s="3" t="n">
        <v>2023</v>
      </c>
      <c r="B1953" s="4" t="n">
        <v>7500</v>
      </c>
      <c r="C1953" s="4" t="n">
        <v>82</v>
      </c>
      <c r="D1953" s="4" t="n">
        <v>24.805</v>
      </c>
      <c r="E1953" s="5" t="n">
        <v>302.4</v>
      </c>
      <c r="F1953" s="3" t="inlineStr">
        <is>
          <t>금남면</t>
        </is>
      </c>
      <c r="G1953" s="3" t="inlineStr">
        <is>
          <t>영곡리</t>
        </is>
      </c>
      <c r="H1953" s="3" t="inlineStr">
        <is>
          <t>계획관리지역</t>
        </is>
      </c>
      <c r="I1953" s="3" t="inlineStr">
        <is>
          <t>과수원</t>
        </is>
      </c>
      <c r="J1953" s="3" t="inlineStr">
        <is>
          <t>금남면</t>
        </is>
      </c>
    </row>
    <row r="1954">
      <c r="A1954" s="3" t="n">
        <v>2023</v>
      </c>
      <c r="B1954" s="4" t="n">
        <v>10000</v>
      </c>
      <c r="C1954" s="4" t="n">
        <v>545.3</v>
      </c>
      <c r="D1954" s="4" t="n">
        <v>164.95325</v>
      </c>
      <c r="E1954" s="5" t="n">
        <v>60.6</v>
      </c>
      <c r="F1954" s="3" t="inlineStr">
        <is>
          <t>금남면</t>
        </is>
      </c>
      <c r="G1954" s="3" t="inlineStr">
        <is>
          <t>부용리</t>
        </is>
      </c>
      <c r="H1954" s="3" t="inlineStr">
        <is>
          <t>개발제한구역</t>
        </is>
      </c>
      <c r="I1954" s="3" t="inlineStr">
        <is>
          <t>답</t>
        </is>
      </c>
      <c r="J1954" s="3" t="inlineStr">
        <is>
          <t>금남면</t>
        </is>
      </c>
    </row>
    <row r="1955">
      <c r="A1955" s="3" t="n">
        <v>2023</v>
      </c>
      <c r="B1955" s="4" t="n">
        <v>22000</v>
      </c>
      <c r="C1955" s="4" t="n">
        <v>493</v>
      </c>
      <c r="D1955" s="4" t="n">
        <v>149.1325</v>
      </c>
      <c r="E1955" s="5" t="n">
        <v>147.5</v>
      </c>
      <c r="F1955" s="3" t="inlineStr">
        <is>
          <t>전동면</t>
        </is>
      </c>
      <c r="G1955" s="3" t="inlineStr">
        <is>
          <t>심중리</t>
        </is>
      </c>
      <c r="H1955" s="3" t="inlineStr">
        <is>
          <t>보전관리지역</t>
        </is>
      </c>
      <c r="I1955" s="3" t="inlineStr">
        <is>
          <t>하천</t>
        </is>
      </c>
      <c r="J1955" s="3" t="inlineStr">
        <is>
          <t>전동면</t>
        </is>
      </c>
    </row>
    <row r="1956">
      <c r="A1956" s="3" t="n">
        <v>2023</v>
      </c>
      <c r="B1956" s="4" t="n">
        <v>8000</v>
      </c>
      <c r="C1956" s="4" t="n">
        <v>889</v>
      </c>
      <c r="D1956" s="4" t="n">
        <v>268.9225</v>
      </c>
      <c r="E1956" s="5" t="n">
        <v>29.7</v>
      </c>
      <c r="F1956" s="3" t="inlineStr">
        <is>
          <t>전동면</t>
        </is>
      </c>
      <c r="G1956" s="3" t="inlineStr">
        <is>
          <t>청람리</t>
        </is>
      </c>
      <c r="H1956" s="3" t="inlineStr">
        <is>
          <t>생산관리지역</t>
        </is>
      </c>
      <c r="I1956" s="3" t="inlineStr">
        <is>
          <t>답</t>
        </is>
      </c>
      <c r="J1956" s="3" t="inlineStr">
        <is>
          <t>전동면</t>
        </is>
      </c>
    </row>
    <row r="1957">
      <c r="A1957" s="3" t="n">
        <v>2023</v>
      </c>
      <c r="B1957" s="4" t="n">
        <v>40664</v>
      </c>
      <c r="C1957" s="4" t="n">
        <v>950</v>
      </c>
      <c r="D1957" s="4" t="n">
        <v>287.375</v>
      </c>
      <c r="E1957" s="5" t="n">
        <v>141.5</v>
      </c>
      <c r="F1957" s="3" t="inlineStr">
        <is>
          <t>금남면</t>
        </is>
      </c>
      <c r="G1957" s="3" t="inlineStr">
        <is>
          <t>대박리</t>
        </is>
      </c>
      <c r="H1957" s="3" t="inlineStr">
        <is>
          <t>개발제한구역</t>
        </is>
      </c>
      <c r="I1957" s="3" t="inlineStr">
        <is>
          <t>주차장</t>
        </is>
      </c>
      <c r="J1957" s="3" t="inlineStr">
        <is>
          <t>금남면</t>
        </is>
      </c>
    </row>
    <row r="1958">
      <c r="A1958" s="3" t="n">
        <v>2023</v>
      </c>
      <c r="B1958" s="4" t="n">
        <v>840</v>
      </c>
      <c r="C1958" s="4" t="n">
        <v>20</v>
      </c>
      <c r="D1958" s="4" t="n">
        <v>6.05</v>
      </c>
      <c r="E1958" s="5" t="n">
        <v>138.8</v>
      </c>
      <c r="F1958" s="3" t="inlineStr">
        <is>
          <t>금남면</t>
        </is>
      </c>
      <c r="G1958" s="3" t="inlineStr">
        <is>
          <t>대박리</t>
        </is>
      </c>
      <c r="H1958" s="3" t="inlineStr">
        <is>
          <t>제1종일반주거지역</t>
        </is>
      </c>
      <c r="I1958" s="3" t="inlineStr">
        <is>
          <t>전</t>
        </is>
      </c>
      <c r="J1958" s="3" t="inlineStr">
        <is>
          <t>금남면</t>
        </is>
      </c>
    </row>
    <row r="1959">
      <c r="A1959" s="3" t="n">
        <v>2023</v>
      </c>
      <c r="B1959" s="4" t="n">
        <v>3948</v>
      </c>
      <c r="C1959" s="4" t="n">
        <v>94</v>
      </c>
      <c r="D1959" s="4" t="n">
        <v>28.435</v>
      </c>
      <c r="E1959" s="5" t="n">
        <v>138.8</v>
      </c>
      <c r="F1959" s="3" t="inlineStr">
        <is>
          <t>금남면</t>
        </is>
      </c>
      <c r="G1959" s="3" t="inlineStr">
        <is>
          <t>대박리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금남면</t>
        </is>
      </c>
    </row>
    <row r="1960">
      <c r="A1960" s="3" t="n">
        <v>2023</v>
      </c>
      <c r="B1960" s="4" t="n">
        <v>13350</v>
      </c>
      <c r="C1960" s="4" t="n">
        <v>496</v>
      </c>
      <c r="D1960" s="4" t="n">
        <v>150.04</v>
      </c>
      <c r="E1960" s="5" t="n">
        <v>89</v>
      </c>
      <c r="F1960" s="3" t="inlineStr">
        <is>
          <t>연동면</t>
        </is>
      </c>
      <c r="G1960" s="3" t="inlineStr">
        <is>
          <t>명학리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연동면</t>
        </is>
      </c>
    </row>
    <row r="1961">
      <c r="A1961" s="3" t="n">
        <v>2023</v>
      </c>
      <c r="B1961" s="4" t="n">
        <v>6342</v>
      </c>
      <c r="C1961" s="4" t="n">
        <v>5990</v>
      </c>
      <c r="D1961" s="4" t="n">
        <v>1811.975</v>
      </c>
      <c r="E1961" s="5" t="n">
        <v>3.5</v>
      </c>
      <c r="F1961" s="3" t="inlineStr">
        <is>
          <t>전동면</t>
        </is>
      </c>
      <c r="G1961" s="3" t="inlineStr">
        <is>
          <t>보덕리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전동면</t>
        </is>
      </c>
    </row>
    <row r="1962">
      <c r="A1962" s="3" t="n">
        <v>2023</v>
      </c>
      <c r="B1962" s="4" t="n">
        <v>40824</v>
      </c>
      <c r="C1962" s="4" t="n">
        <v>964</v>
      </c>
      <c r="D1962" s="4" t="n">
        <v>291.61</v>
      </c>
      <c r="E1962" s="5" t="n">
        <v>140</v>
      </c>
      <c r="F1962" s="3" t="inlineStr">
        <is>
          <t>장군면</t>
        </is>
      </c>
      <c r="G1962" s="3" t="inlineStr">
        <is>
          <t>산학리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장군면</t>
        </is>
      </c>
    </row>
    <row r="1963">
      <c r="A1963" s="3" t="n">
        <v>2023</v>
      </c>
      <c r="B1963" s="4" t="n">
        <v>19000</v>
      </c>
      <c r="C1963" s="4" t="n">
        <v>1693</v>
      </c>
      <c r="D1963" s="4" t="n">
        <v>512.1324999999999</v>
      </c>
      <c r="E1963" s="5" t="n">
        <v>37.1</v>
      </c>
      <c r="F1963" s="3" t="inlineStr">
        <is>
          <t>금남면</t>
        </is>
      </c>
      <c r="G1963" s="3" t="inlineStr">
        <is>
          <t>호탄리</t>
        </is>
      </c>
      <c r="H1963" s="3" t="inlineStr">
        <is>
          <t>개발제한구역</t>
        </is>
      </c>
      <c r="I1963" s="3" t="inlineStr">
        <is>
          <t>전</t>
        </is>
      </c>
      <c r="J1963" s="3" t="inlineStr">
        <is>
          <t>금남면</t>
        </is>
      </c>
    </row>
    <row r="1964">
      <c r="A1964" s="3" t="n">
        <v>2023</v>
      </c>
      <c r="B1964" s="4" t="n">
        <v>2500</v>
      </c>
      <c r="C1964" s="4" t="n">
        <v>3677</v>
      </c>
      <c r="D1964" s="4" t="n">
        <v>1112.2925</v>
      </c>
      <c r="E1964" s="5" t="n">
        <v>2.2</v>
      </c>
      <c r="F1964" s="3" t="inlineStr">
        <is>
          <t>금남면</t>
        </is>
      </c>
      <c r="G1964" s="3" t="inlineStr">
        <is>
          <t>호탄리</t>
        </is>
      </c>
      <c r="H1964" s="3" t="inlineStr">
        <is>
          <t>개발제한구역</t>
        </is>
      </c>
      <c r="I1964" s="3" t="inlineStr">
        <is>
          <t>임야</t>
        </is>
      </c>
      <c r="J1964" s="3" t="inlineStr">
        <is>
          <t>금남면</t>
        </is>
      </c>
    </row>
    <row r="1965">
      <c r="A1965" s="3" t="n">
        <v>2023</v>
      </c>
      <c r="B1965" s="4" t="n">
        <v>40664</v>
      </c>
      <c r="C1965" s="4" t="n">
        <v>950</v>
      </c>
      <c r="D1965" s="4" t="n">
        <v>287.375</v>
      </c>
      <c r="E1965" s="5" t="n">
        <v>141.5</v>
      </c>
      <c r="F1965" s="3" t="inlineStr">
        <is>
          <t>금남면</t>
        </is>
      </c>
      <c r="G1965" s="3" t="inlineStr">
        <is>
          <t>대박리</t>
        </is>
      </c>
      <c r="H1965" s="3" t="inlineStr">
        <is>
          <t>개발제한구역</t>
        </is>
      </c>
      <c r="I1965" s="3" t="inlineStr">
        <is>
          <t>주차장</t>
        </is>
      </c>
      <c r="J1965" s="3" t="inlineStr">
        <is>
          <t>금남면</t>
        </is>
      </c>
    </row>
    <row r="1966">
      <c r="A1966" s="3" t="n">
        <v>2023</v>
      </c>
      <c r="B1966" s="4" t="n">
        <v>6048</v>
      </c>
      <c r="C1966" s="4" t="n">
        <v>144</v>
      </c>
      <c r="D1966" s="4" t="n">
        <v>43.56</v>
      </c>
      <c r="E1966" s="5" t="n">
        <v>138.8</v>
      </c>
      <c r="F1966" s="3" t="inlineStr">
        <is>
          <t>금남면</t>
        </is>
      </c>
      <c r="G1966" s="3" t="inlineStr">
        <is>
          <t>대박리</t>
        </is>
      </c>
      <c r="H1966" s="3" t="inlineStr">
        <is>
          <t>제1종일반주거지역</t>
        </is>
      </c>
      <c r="I1966" s="3" t="inlineStr">
        <is>
          <t>전</t>
        </is>
      </c>
      <c r="J1966" s="3" t="inlineStr">
        <is>
          <t>금남면</t>
        </is>
      </c>
    </row>
    <row r="1967">
      <c r="A1967" s="3" t="n">
        <v>2023</v>
      </c>
      <c r="B1967" s="4" t="n">
        <v>840</v>
      </c>
      <c r="C1967" s="4" t="n">
        <v>20</v>
      </c>
      <c r="D1967" s="4" t="n">
        <v>6.05</v>
      </c>
      <c r="E1967" s="5" t="n">
        <v>138.8</v>
      </c>
      <c r="F1967" s="3" t="inlineStr">
        <is>
          <t>금남면</t>
        </is>
      </c>
      <c r="G1967" s="3" t="inlineStr">
        <is>
          <t>대박리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금남면</t>
        </is>
      </c>
    </row>
    <row r="1968">
      <c r="A1968" s="3" t="n">
        <v>2023</v>
      </c>
      <c r="B1968" s="4" t="n">
        <v>3948</v>
      </c>
      <c r="C1968" s="4" t="n">
        <v>94</v>
      </c>
      <c r="D1968" s="4" t="n">
        <v>28.435</v>
      </c>
      <c r="E1968" s="5" t="n">
        <v>138.8</v>
      </c>
      <c r="F1968" s="3" t="inlineStr">
        <is>
          <t>금남면</t>
        </is>
      </c>
      <c r="G1968" s="3" t="inlineStr">
        <is>
          <t>대박리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금남면</t>
        </is>
      </c>
    </row>
    <row r="1969">
      <c r="A1969" s="3" t="n">
        <v>2022</v>
      </c>
      <c r="B1969" s="4" t="n">
        <v>1200</v>
      </c>
      <c r="C1969" s="4" t="n">
        <v>512</v>
      </c>
      <c r="D1969" s="4" t="n">
        <v>154.88</v>
      </c>
      <c r="E1969" s="5" t="n">
        <v>7.7</v>
      </c>
      <c r="F1969" s="3" t="inlineStr">
        <is>
          <t>연서면</t>
        </is>
      </c>
      <c r="G1969" s="3" t="inlineStr">
        <is>
          <t>봉암리</t>
        </is>
      </c>
      <c r="H1969" s="3" t="inlineStr">
        <is>
          <t>계획관리지역</t>
        </is>
      </c>
      <c r="I1969" s="3" t="inlineStr">
        <is>
          <t>도로</t>
        </is>
      </c>
      <c r="J1969" s="3" t="inlineStr">
        <is>
          <t>연서면</t>
        </is>
      </c>
    </row>
    <row r="1970">
      <c r="A1970" s="3" t="n">
        <v>2024</v>
      </c>
      <c r="B1970" s="4" t="n">
        <v>18000</v>
      </c>
      <c r="C1970" s="4" t="n">
        <v>1430</v>
      </c>
      <c r="D1970" s="4" t="n">
        <v>432.575</v>
      </c>
      <c r="E1970" s="5" t="n">
        <v>41.6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임야</t>
        </is>
      </c>
      <c r="J1970" s="3" t="inlineStr">
        <is>
          <t>소정면</t>
        </is>
      </c>
    </row>
    <row r="1971">
      <c r="A1971" s="3" t="n">
        <v>2026</v>
      </c>
      <c r="B1971" s="4" t="n">
        <v>12393</v>
      </c>
      <c r="C1971" s="4" t="n">
        <v>1517</v>
      </c>
      <c r="D1971" s="4" t="n">
        <v>458.8925</v>
      </c>
      <c r="E1971" s="5" t="n">
        <v>27</v>
      </c>
      <c r="F1971" s="3" t="inlineStr">
        <is>
          <t>전의면</t>
        </is>
      </c>
      <c r="G1971" s="3" t="inlineStr">
        <is>
          <t>유천리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전의면</t>
        </is>
      </c>
    </row>
    <row r="1972">
      <c r="A1972" s="3" t="n">
        <v>2026</v>
      </c>
      <c r="B1972" s="4" t="n">
        <v>32850</v>
      </c>
      <c r="C1972" s="4" t="n">
        <v>3620</v>
      </c>
      <c r="D1972" s="4" t="n">
        <v>1095.05</v>
      </c>
      <c r="E1972" s="5" t="n">
        <v>30</v>
      </c>
      <c r="F1972" s="3" t="inlineStr">
        <is>
          <t>전의면</t>
        </is>
      </c>
      <c r="G1972" s="3" t="inlineStr">
        <is>
          <t>유천리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전의면</t>
        </is>
      </c>
    </row>
    <row r="1973">
      <c r="A1973" s="3" t="n">
        <v>2026</v>
      </c>
      <c r="B1973" s="4" t="n">
        <v>7400</v>
      </c>
      <c r="C1973" s="4" t="n">
        <v>1010</v>
      </c>
      <c r="D1973" s="4" t="n">
        <v>305.525</v>
      </c>
      <c r="E1973" s="5" t="n">
        <v>24.2</v>
      </c>
      <c r="F1973" s="3" t="inlineStr">
        <is>
          <t>전의면</t>
        </is>
      </c>
      <c r="G1973" s="3" t="inlineStr">
        <is>
          <t>유천리</t>
        </is>
      </c>
      <c r="H1973" s="3" t="inlineStr">
        <is>
          <t>계획관리지역</t>
        </is>
      </c>
      <c r="I1973" s="3" t="inlineStr">
        <is>
          <t>답</t>
        </is>
      </c>
      <c r="J1973" s="3" t="inlineStr">
        <is>
          <t>전의면</t>
        </is>
      </c>
    </row>
    <row r="1974">
      <c r="A1974" s="3" t="n">
        <v>2026</v>
      </c>
      <c r="B1974" s="4" t="n">
        <v>20952</v>
      </c>
      <c r="C1974" s="4" t="n">
        <v>2565</v>
      </c>
      <c r="D1974" s="4" t="n">
        <v>775.9125</v>
      </c>
      <c r="E1974" s="5" t="n">
        <v>27</v>
      </c>
      <c r="F1974" s="3" t="inlineStr">
        <is>
          <t>전의면</t>
        </is>
      </c>
      <c r="G1974" s="3" t="inlineStr">
        <is>
          <t>유천리</t>
        </is>
      </c>
      <c r="H1974" s="3" t="inlineStr">
        <is>
          <t>계획관리지역</t>
        </is>
      </c>
      <c r="I1974" s="3" t="inlineStr">
        <is>
          <t>답</t>
        </is>
      </c>
      <c r="J1974" s="3" t="inlineStr">
        <is>
          <t>전의면</t>
        </is>
      </c>
    </row>
    <row r="1975">
      <c r="A1975" s="3" t="n">
        <v>2022</v>
      </c>
      <c r="B1975" s="4" t="n">
        <v>33000</v>
      </c>
      <c r="C1975" s="4" t="n">
        <v>2023</v>
      </c>
      <c r="D1975" s="4" t="n">
        <v>611.9575</v>
      </c>
      <c r="E1975" s="5" t="n">
        <v>53.9</v>
      </c>
      <c r="F1975" s="3" t="inlineStr">
        <is>
          <t>연서면</t>
        </is>
      </c>
      <c r="G1975" s="3" t="inlineStr">
        <is>
          <t>청라리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연서면</t>
        </is>
      </c>
    </row>
    <row r="1976">
      <c r="A1976" s="3" t="n">
        <v>2022</v>
      </c>
      <c r="B1976" s="4" t="n">
        <v>9405</v>
      </c>
      <c r="C1976" s="4" t="n">
        <v>3140</v>
      </c>
      <c r="D1976" s="4" t="n">
        <v>949.85</v>
      </c>
      <c r="E1976" s="5" t="n">
        <v>9.9</v>
      </c>
      <c r="F1976" s="3" t="inlineStr">
        <is>
          <t>전의면</t>
        </is>
      </c>
      <c r="G1976" s="3" t="inlineStr">
        <is>
          <t>금사리</t>
        </is>
      </c>
      <c r="H1976" s="3" t="inlineStr">
        <is>
          <t>농림지역</t>
        </is>
      </c>
      <c r="I1976" s="3" t="inlineStr">
        <is>
          <t>임야</t>
        </is>
      </c>
      <c r="J1976" s="3" t="inlineStr">
        <is>
          <t>전의면</t>
        </is>
      </c>
    </row>
    <row r="1977">
      <c r="A1977" s="3" t="n">
        <v>2022</v>
      </c>
      <c r="B1977" s="4" t="n">
        <v>2000</v>
      </c>
      <c r="C1977" s="4" t="n">
        <v>233</v>
      </c>
      <c r="D1977" s="4" t="n">
        <v>70.4825</v>
      </c>
      <c r="E1977" s="5" t="n">
        <v>28.4</v>
      </c>
      <c r="F1977" s="3" t="inlineStr">
        <is>
          <t>부강면</t>
        </is>
      </c>
      <c r="G1977" s="3" t="inlineStr">
        <is>
          <t>노호리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부강면</t>
        </is>
      </c>
    </row>
    <row r="1978">
      <c r="A1978" s="3" t="n">
        <v>2022</v>
      </c>
      <c r="B1978" s="4" t="n">
        <v>17300</v>
      </c>
      <c r="C1978" s="4" t="n">
        <v>1564</v>
      </c>
      <c r="D1978" s="4" t="n">
        <v>473.11</v>
      </c>
      <c r="E1978" s="5" t="n">
        <v>36.6</v>
      </c>
      <c r="F1978" s="3" t="inlineStr">
        <is>
          <t>소정면</t>
        </is>
      </c>
      <c r="G1978" s="3" t="inlineStr">
        <is>
          <t>대곡리</t>
        </is>
      </c>
      <c r="H1978" s="3" t="inlineStr">
        <is>
          <t>계획관리지역</t>
        </is>
      </c>
      <c r="I1978" s="3" t="inlineStr">
        <is>
          <t>과수원</t>
        </is>
      </c>
      <c r="J1978" s="3" t="inlineStr">
        <is>
          <t>소정면</t>
        </is>
      </c>
    </row>
    <row r="1979">
      <c r="A1979" s="3" t="n">
        <v>2022</v>
      </c>
      <c r="B1979" s="4" t="n">
        <v>20000</v>
      </c>
      <c r="C1979" s="4" t="n">
        <v>1120</v>
      </c>
      <c r="D1979" s="4" t="n">
        <v>338.8</v>
      </c>
      <c r="E1979" s="5" t="n">
        <v>59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보전관리지역</t>
        </is>
      </c>
      <c r="I1979" s="3" t="inlineStr">
        <is>
          <t>전</t>
        </is>
      </c>
      <c r="J1979" s="3" t="inlineStr">
        <is>
          <t>연서면</t>
        </is>
      </c>
    </row>
    <row r="1980">
      <c r="A1980" s="3" t="n">
        <v>2022</v>
      </c>
      <c r="B1980" s="4" t="n">
        <v>48000</v>
      </c>
      <c r="C1980" s="4" t="n">
        <v>505</v>
      </c>
      <c r="D1980" s="4" t="n">
        <v>152.7625</v>
      </c>
      <c r="E1980" s="5" t="n">
        <v>314.2</v>
      </c>
      <c r="F1980" s="3" t="inlineStr">
        <is>
          <t>장군면</t>
        </is>
      </c>
      <c r="G1980" s="3" t="inlineStr">
        <is>
          <t>금암리</t>
        </is>
      </c>
      <c r="H1980" s="3" t="inlineStr">
        <is>
          <t>계획관리지역</t>
        </is>
      </c>
      <c r="I1980" s="3" t="inlineStr">
        <is>
          <t>대</t>
        </is>
      </c>
      <c r="J1980" s="3" t="inlineStr">
        <is>
          <t>장군면</t>
        </is>
      </c>
    </row>
    <row r="1981">
      <c r="A1981" s="3" t="n">
        <v>2022</v>
      </c>
      <c r="B1981" s="4" t="n">
        <v>36000</v>
      </c>
      <c r="C1981" s="4" t="n">
        <v>423</v>
      </c>
      <c r="D1981" s="4" t="n">
        <v>127.9575</v>
      </c>
      <c r="E1981" s="5" t="n">
        <v>281.3</v>
      </c>
      <c r="F1981" s="3" t="inlineStr">
        <is>
          <t>금남면</t>
        </is>
      </c>
      <c r="G1981" s="3" t="inlineStr">
        <is>
          <t>영곡리</t>
        </is>
      </c>
      <c r="H1981" s="3" t="inlineStr">
        <is>
          <t>생산관리지역</t>
        </is>
      </c>
      <c r="I1981" s="3" t="inlineStr">
        <is>
          <t>임야</t>
        </is>
      </c>
      <c r="J1981" s="3" t="inlineStr">
        <is>
          <t>금남면</t>
        </is>
      </c>
    </row>
    <row r="1982">
      <c r="A1982" s="3" t="n">
        <v>2022</v>
      </c>
      <c r="B1982" s="4" t="n">
        <v>11000</v>
      </c>
      <c r="C1982" s="4" t="n">
        <v>1121</v>
      </c>
      <c r="D1982" s="4" t="n">
        <v>339.1025</v>
      </c>
      <c r="E1982" s="5" t="n">
        <v>32.4</v>
      </c>
      <c r="F1982" s="3" t="inlineStr">
        <is>
          <t>금남면</t>
        </is>
      </c>
      <c r="G1982" s="3" t="inlineStr">
        <is>
          <t>영대리</t>
        </is>
      </c>
      <c r="H1982" s="3" t="inlineStr">
        <is>
          <t>개발제한구역</t>
        </is>
      </c>
      <c r="I1982" s="3" t="inlineStr">
        <is>
          <t>전</t>
        </is>
      </c>
      <c r="J1982" s="3" t="inlineStr">
        <is>
          <t>금남면</t>
        </is>
      </c>
    </row>
    <row r="1983">
      <c r="A1983" s="3" t="n">
        <v>2022</v>
      </c>
      <c r="B1983" s="4" t="n">
        <v>11909</v>
      </c>
      <c r="C1983" s="4" t="n">
        <v>1567</v>
      </c>
      <c r="D1983" s="4" t="n">
        <v>474.0175</v>
      </c>
      <c r="E1983" s="5" t="n">
        <v>25.1</v>
      </c>
      <c r="F1983" s="3" t="inlineStr">
        <is>
          <t>소정면</t>
        </is>
      </c>
      <c r="G1983" s="3" t="inlineStr">
        <is>
          <t>소정리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소정면</t>
        </is>
      </c>
    </row>
    <row r="1984">
      <c r="A1984" s="3" t="n">
        <v>2022</v>
      </c>
      <c r="B1984" s="4" t="n">
        <v>12061</v>
      </c>
      <c r="C1984" s="4" t="n">
        <v>1587</v>
      </c>
      <c r="D1984" s="4" t="n">
        <v>480.0675</v>
      </c>
      <c r="E1984" s="5" t="n">
        <v>25.1</v>
      </c>
      <c r="F1984" s="3" t="inlineStr">
        <is>
          <t>소정면</t>
        </is>
      </c>
      <c r="G1984" s="3" t="inlineStr">
        <is>
          <t>소정리</t>
        </is>
      </c>
      <c r="H1984" s="3" t="inlineStr">
        <is>
          <t>농림지역</t>
        </is>
      </c>
      <c r="I1984" s="3" t="inlineStr">
        <is>
          <t>답</t>
        </is>
      </c>
      <c r="J1984" s="3" t="inlineStr">
        <is>
          <t>소정면</t>
        </is>
      </c>
    </row>
    <row r="1985">
      <c r="A1985" s="3" t="n">
        <v>2022</v>
      </c>
      <c r="B1985" s="4" t="n">
        <v>14200</v>
      </c>
      <c r="C1985" s="4" t="n">
        <v>5004</v>
      </c>
      <c r="D1985" s="4" t="n">
        <v>1513.71</v>
      </c>
      <c r="E1985" s="5" t="n">
        <v>9.4</v>
      </c>
      <c r="F1985" s="3" t="inlineStr">
        <is>
          <t>금남면</t>
        </is>
      </c>
      <c r="G1985" s="3" t="inlineStr">
        <is>
          <t>영대리</t>
        </is>
      </c>
      <c r="H1985" s="3" t="inlineStr">
        <is>
          <t>개발제한구역</t>
        </is>
      </c>
      <c r="I1985" s="3" t="inlineStr">
        <is>
          <t>임야</t>
        </is>
      </c>
      <c r="J1985" s="3" t="inlineStr">
        <is>
          <t>금남면</t>
        </is>
      </c>
    </row>
    <row r="1986">
      <c r="A1986" s="3" t="n">
        <v>2022</v>
      </c>
      <c r="B1986" s="4" t="n">
        <v>2522</v>
      </c>
      <c r="C1986" s="4" t="n">
        <v>84</v>
      </c>
      <c r="D1986" s="4" t="n">
        <v>25.41</v>
      </c>
      <c r="E1986" s="5" t="n">
        <v>99.3</v>
      </c>
      <c r="F1986" s="3" t="inlineStr">
        <is>
          <t>금남면</t>
        </is>
      </c>
      <c r="G1986" s="3" t="inlineStr">
        <is>
          <t>봉암리</t>
        </is>
      </c>
      <c r="H1986" s="3" t="inlineStr">
        <is>
          <t>생산관리지역</t>
        </is>
      </c>
      <c r="I1986" s="3" t="inlineStr">
        <is>
          <t>구거</t>
        </is>
      </c>
      <c r="J1986" s="3" t="inlineStr">
        <is>
          <t>금남면</t>
        </is>
      </c>
    </row>
    <row r="1987">
      <c r="A1987" s="3" t="n">
        <v>2022</v>
      </c>
      <c r="B1987" s="4" t="n">
        <v>8000</v>
      </c>
      <c r="C1987" s="4" t="n">
        <v>221</v>
      </c>
      <c r="D1987" s="4" t="n">
        <v>66.85249999999999</v>
      </c>
      <c r="E1987" s="5" t="n">
        <v>119.7</v>
      </c>
      <c r="F1987" s="3" t="inlineStr">
        <is>
          <t>전동면</t>
        </is>
      </c>
      <c r="G1987" s="3" t="inlineStr">
        <is>
          <t>송곡리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전동면</t>
        </is>
      </c>
    </row>
    <row r="1988">
      <c r="A1988" s="3" t="n">
        <v>2022</v>
      </c>
      <c r="B1988" s="4" t="n">
        <v>122000</v>
      </c>
      <c r="C1988" s="4" t="n">
        <v>4046</v>
      </c>
      <c r="D1988" s="4" t="n">
        <v>1223.915</v>
      </c>
      <c r="E1988" s="5" t="n">
        <v>99.7</v>
      </c>
      <c r="F1988" s="3" t="inlineStr">
        <is>
          <t>장군면</t>
        </is>
      </c>
      <c r="G1988" s="3" t="inlineStr">
        <is>
          <t>평기리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장군면</t>
        </is>
      </c>
    </row>
    <row r="1989">
      <c r="A1989" s="3" t="n">
        <v>2022</v>
      </c>
      <c r="B1989" s="4" t="n">
        <v>37500</v>
      </c>
      <c r="C1989" s="4" t="n">
        <v>1554</v>
      </c>
      <c r="D1989" s="4" t="n">
        <v>470.085</v>
      </c>
      <c r="E1989" s="5" t="n">
        <v>79.8</v>
      </c>
      <c r="F1989" s="3" t="inlineStr">
        <is>
          <t>전의면</t>
        </is>
      </c>
      <c r="G1989" s="3" t="inlineStr">
        <is>
          <t>관정리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전의면</t>
        </is>
      </c>
    </row>
    <row r="1990">
      <c r="A1990" s="3" t="n">
        <v>2022</v>
      </c>
      <c r="B1990" s="4" t="n">
        <v>263248</v>
      </c>
      <c r="C1990" s="4" t="n">
        <v>6216</v>
      </c>
      <c r="D1990" s="4" t="n">
        <v>1880.34</v>
      </c>
      <c r="E1990" s="5" t="n">
        <v>140</v>
      </c>
      <c r="F1990" s="3" t="inlineStr">
        <is>
          <t>부강면</t>
        </is>
      </c>
      <c r="G1990" s="3" t="inlineStr">
        <is>
          <t>금호리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부강면</t>
        </is>
      </c>
    </row>
    <row r="1991">
      <c r="A1991" s="3" t="n">
        <v>2022</v>
      </c>
      <c r="B1991" s="4" t="n">
        <v>2783</v>
      </c>
      <c r="C1991" s="4" t="n">
        <v>90</v>
      </c>
      <c r="D1991" s="4" t="n">
        <v>27.225</v>
      </c>
      <c r="E1991" s="5" t="n">
        <v>102.2</v>
      </c>
      <c r="F1991" s="3" t="inlineStr">
        <is>
          <t>금남면</t>
        </is>
      </c>
      <c r="G1991" s="3" t="inlineStr">
        <is>
          <t>봉암리</t>
        </is>
      </c>
      <c r="H1991" s="3" t="inlineStr">
        <is>
          <t>생산관리지역</t>
        </is>
      </c>
      <c r="I1991" s="3" t="inlineStr">
        <is>
          <t>답</t>
        </is>
      </c>
      <c r="J1991" s="3" t="inlineStr">
        <is>
          <t>금남면</t>
        </is>
      </c>
    </row>
    <row r="1992">
      <c r="A1992" s="3" t="n">
        <v>2022</v>
      </c>
      <c r="B1992" s="4" t="n">
        <v>23880</v>
      </c>
      <c r="C1992" s="4" t="n">
        <v>3159</v>
      </c>
      <c r="D1992" s="4" t="n">
        <v>955.5975</v>
      </c>
      <c r="E1992" s="5" t="n">
        <v>25</v>
      </c>
      <c r="F1992" s="3" t="inlineStr">
        <is>
          <t>전동면</t>
        </is>
      </c>
      <c r="G1992" s="3" t="inlineStr">
        <is>
          <t>청송리</t>
        </is>
      </c>
      <c r="H1992" s="3" t="inlineStr">
        <is>
          <t>농림지역</t>
        </is>
      </c>
      <c r="I1992" s="3" t="inlineStr">
        <is>
          <t>임야</t>
        </is>
      </c>
      <c r="J1992" s="3" t="inlineStr">
        <is>
          <t>전동면</t>
        </is>
      </c>
    </row>
    <row r="1993">
      <c r="A1993" s="3" t="n">
        <v>2022</v>
      </c>
      <c r="B1993" s="4" t="n">
        <v>77000</v>
      </c>
      <c r="C1993" s="4" t="n">
        <v>4110.1</v>
      </c>
      <c r="D1993" s="4" t="n">
        <v>1243.30525</v>
      </c>
      <c r="E1993" s="5" t="n">
        <v>61.9</v>
      </c>
      <c r="F1993" s="3" t="inlineStr">
        <is>
          <t>장군면</t>
        </is>
      </c>
      <c r="G1993" s="3" t="inlineStr">
        <is>
          <t>송학리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장군면</t>
        </is>
      </c>
    </row>
    <row r="1994">
      <c r="A1994" s="3" t="n">
        <v>2022</v>
      </c>
      <c r="B1994" s="4" t="n">
        <v>2843</v>
      </c>
      <c r="C1994" s="4" t="n">
        <v>108</v>
      </c>
      <c r="D1994" s="4" t="n">
        <v>32.67</v>
      </c>
      <c r="E1994" s="5" t="n">
        <v>87</v>
      </c>
      <c r="F1994" s="3" t="inlineStr">
        <is>
          <t>전의면</t>
        </is>
      </c>
      <c r="G1994" s="3" t="inlineStr">
        <is>
          <t>신방리</t>
        </is>
      </c>
      <c r="H1994" s="3" t="inlineStr">
        <is>
          <t>계획관리지역</t>
        </is>
      </c>
      <c r="I1994" s="3" t="inlineStr">
        <is>
          <t>답</t>
        </is>
      </c>
      <c r="J1994" s="3" t="inlineStr">
        <is>
          <t>전의면</t>
        </is>
      </c>
    </row>
    <row r="1995">
      <c r="A1995" s="3" t="n">
        <v>2022</v>
      </c>
      <c r="B1995" s="4" t="n">
        <v>41965</v>
      </c>
      <c r="C1995" s="4" t="n">
        <v>3131</v>
      </c>
      <c r="D1995" s="4" t="n">
        <v>947.1274999999999</v>
      </c>
      <c r="E1995" s="5" t="n">
        <v>44.3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전</t>
        </is>
      </c>
      <c r="J1995" s="3" t="inlineStr">
        <is>
          <t>전의면</t>
        </is>
      </c>
    </row>
    <row r="1996">
      <c r="A1996" s="3" t="n">
        <v>2022</v>
      </c>
      <c r="B1996" s="4" t="n">
        <v>41035</v>
      </c>
      <c r="C1996" s="4" t="n">
        <v>3061</v>
      </c>
      <c r="D1996" s="4" t="n">
        <v>925.9525</v>
      </c>
      <c r="E1996" s="5" t="n">
        <v>44.3</v>
      </c>
      <c r="F1996" s="3" t="inlineStr">
        <is>
          <t>전의면</t>
        </is>
      </c>
      <c r="G1996" s="3" t="inlineStr">
        <is>
          <t>서정리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전의면</t>
        </is>
      </c>
    </row>
    <row r="1997">
      <c r="A1997" s="3" t="n">
        <v>2022</v>
      </c>
      <c r="B1997" s="4" t="n">
        <v>116000</v>
      </c>
      <c r="C1997" s="4" t="n">
        <v>660</v>
      </c>
      <c r="D1997" s="4" t="n">
        <v>199.65</v>
      </c>
      <c r="E1997" s="5" t="n">
        <v>581</v>
      </c>
      <c r="F1997" s="3" t="inlineStr">
        <is>
          <t>부강면</t>
        </is>
      </c>
      <c r="G1997" s="3" t="inlineStr">
        <is>
          <t>금호리</t>
        </is>
      </c>
      <c r="H1997" s="3" t="inlineStr">
        <is>
          <t>계획관리지역</t>
        </is>
      </c>
      <c r="I1997" s="3" t="inlineStr">
        <is>
          <t>잡종지</t>
        </is>
      </c>
      <c r="J1997" s="3" t="inlineStr">
        <is>
          <t>부강면</t>
        </is>
      </c>
    </row>
    <row r="1998">
      <c r="A1998" s="3" t="n">
        <v>2022</v>
      </c>
      <c r="B1998" s="4" t="n">
        <v>3880</v>
      </c>
      <c r="C1998" s="4" t="n">
        <v>220</v>
      </c>
      <c r="D1998" s="4" t="n">
        <v>66.55</v>
      </c>
      <c r="E1998" s="5" t="n">
        <v>58.3</v>
      </c>
      <c r="F1998" s="3" t="inlineStr">
        <is>
          <t>전동면</t>
        </is>
      </c>
      <c r="G1998" s="3" t="inlineStr">
        <is>
          <t>심중리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전동면</t>
        </is>
      </c>
    </row>
    <row r="1999">
      <c r="A1999" s="3" t="n">
        <v>2022</v>
      </c>
      <c r="B1999" s="4" t="n">
        <v>17000</v>
      </c>
      <c r="C1999" s="4" t="n">
        <v>643</v>
      </c>
      <c r="D1999" s="4" t="n">
        <v>194.5075</v>
      </c>
      <c r="E1999" s="5" t="n">
        <v>87.40000000000001</v>
      </c>
      <c r="F1999" s="3" t="inlineStr">
        <is>
          <t>소정면</t>
        </is>
      </c>
      <c r="G1999" s="3" t="inlineStr">
        <is>
          <t>소정리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소정면</t>
        </is>
      </c>
    </row>
    <row r="2000">
      <c r="A2000" s="3" t="n">
        <v>2022</v>
      </c>
      <c r="B2000" s="4" t="n">
        <v>5400</v>
      </c>
      <c r="C2000" s="4" t="n">
        <v>324</v>
      </c>
      <c r="D2000" s="4" t="n">
        <v>98.00999999999999</v>
      </c>
      <c r="E2000" s="5" t="n">
        <v>55.1</v>
      </c>
      <c r="F2000" s="3" t="inlineStr">
        <is>
          <t>연서면</t>
        </is>
      </c>
      <c r="G2000" s="3" t="inlineStr">
        <is>
          <t>용암리</t>
        </is>
      </c>
      <c r="H2000" s="3" t="inlineStr">
        <is>
          <t>보전관리지역</t>
        </is>
      </c>
      <c r="I2000" s="3" t="inlineStr">
        <is>
          <t>전</t>
        </is>
      </c>
      <c r="J2000" s="3" t="inlineStr">
        <is>
          <t>연서면</t>
        </is>
      </c>
    </row>
    <row r="2001">
      <c r="A2001" s="3" t="n">
        <v>2022</v>
      </c>
      <c r="B2001" s="4" t="n">
        <v>49000</v>
      </c>
      <c r="C2001" s="4" t="n">
        <v>3613</v>
      </c>
      <c r="D2001" s="4" t="n">
        <v>1092.9325</v>
      </c>
      <c r="E2001" s="5" t="n">
        <v>44.8</v>
      </c>
      <c r="F2001" s="3" t="inlineStr">
        <is>
          <t>전의면</t>
        </is>
      </c>
      <c r="G2001" s="3" t="inlineStr">
        <is>
          <t>금사리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전의면</t>
        </is>
      </c>
    </row>
    <row r="2002">
      <c r="A2002" s="3" t="n">
        <v>2022</v>
      </c>
      <c r="B2002" s="4" t="n">
        <v>41000</v>
      </c>
      <c r="C2002" s="4" t="n">
        <v>3061</v>
      </c>
      <c r="D2002" s="4" t="n">
        <v>925.9525</v>
      </c>
      <c r="E2002" s="5" t="n">
        <v>44.3</v>
      </c>
      <c r="F2002" s="3" t="inlineStr">
        <is>
          <t>전의면</t>
        </is>
      </c>
      <c r="G2002" s="3" t="inlineStr">
        <is>
          <t>금사리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전의면</t>
        </is>
      </c>
    </row>
    <row r="2003">
      <c r="A2003" s="3" t="n">
        <v>2022</v>
      </c>
      <c r="B2003" s="4" t="n">
        <v>4400</v>
      </c>
      <c r="C2003" s="4" t="n">
        <v>317</v>
      </c>
      <c r="D2003" s="4" t="n">
        <v>95.8925</v>
      </c>
      <c r="E2003" s="5" t="n">
        <v>45.9</v>
      </c>
      <c r="F2003" s="3" t="inlineStr">
        <is>
          <t>금남면</t>
        </is>
      </c>
      <c r="G2003" s="3" t="inlineStr">
        <is>
          <t>영치리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18000</v>
      </c>
      <c r="C2004" s="4" t="n">
        <v>1788</v>
      </c>
      <c r="D2004" s="4" t="n">
        <v>540.87</v>
      </c>
      <c r="E2004" s="5" t="n">
        <v>33.3</v>
      </c>
      <c r="F2004" s="3" t="inlineStr">
        <is>
          <t>전의면</t>
        </is>
      </c>
      <c r="G2004" s="3" t="inlineStr">
        <is>
          <t>유천리</t>
        </is>
      </c>
      <c r="H2004" s="3" t="inlineStr">
        <is>
          <t>보전관리지역</t>
        </is>
      </c>
      <c r="I2004" s="3" t="inlineStr">
        <is>
          <t>답</t>
        </is>
      </c>
      <c r="J2004" s="3" t="inlineStr">
        <is>
          <t>전의면</t>
        </is>
      </c>
    </row>
    <row r="2005">
      <c r="A2005" s="3" t="n">
        <v>2022</v>
      </c>
      <c r="B2005" s="4" t="n">
        <v>1840</v>
      </c>
      <c r="C2005" s="4" t="n">
        <v>61</v>
      </c>
      <c r="D2005" s="4" t="n">
        <v>18.4525</v>
      </c>
      <c r="E2005" s="5" t="n">
        <v>99.7</v>
      </c>
      <c r="F2005" s="3" t="inlineStr">
        <is>
          <t>금남면</t>
        </is>
      </c>
      <c r="G2005" s="3" t="inlineStr">
        <is>
          <t>도암리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금남면</t>
        </is>
      </c>
    </row>
    <row r="2006">
      <c r="A2006" s="3" t="n">
        <v>2022</v>
      </c>
      <c r="B2006" s="4" t="n">
        <v>204952</v>
      </c>
      <c r="C2006" s="4" t="n">
        <v>2605</v>
      </c>
      <c r="D2006" s="4" t="n">
        <v>788.0124999999999</v>
      </c>
      <c r="E2006" s="5" t="n">
        <v>260.1</v>
      </c>
      <c r="F2006" s="3" t="inlineStr">
        <is>
          <t>조치원읍</t>
        </is>
      </c>
      <c r="G2006" s="3" t="inlineStr">
        <is>
          <t>봉산리</t>
        </is>
      </c>
      <c r="H2006" s="3" t="inlineStr">
        <is>
          <t>준주거지역</t>
        </is>
      </c>
      <c r="I2006" s="3" t="inlineStr">
        <is>
          <t>대</t>
        </is>
      </c>
      <c r="J2006" s="3" t="inlineStr">
        <is>
          <t>조치원읍</t>
        </is>
      </c>
    </row>
    <row r="2007">
      <c r="A2007" s="3" t="n">
        <v>2022</v>
      </c>
      <c r="B2007" s="4" t="n">
        <v>150</v>
      </c>
      <c r="C2007" s="4" t="n">
        <v>16</v>
      </c>
      <c r="D2007" s="4" t="n">
        <v>4.84</v>
      </c>
      <c r="E2007" s="5" t="n">
        <v>31</v>
      </c>
      <c r="F2007" s="3" t="inlineStr">
        <is>
          <t>소정면</t>
        </is>
      </c>
      <c r="G2007" s="3" t="inlineStr">
        <is>
          <t>대곡리</t>
        </is>
      </c>
      <c r="H2007" s="3" t="inlineStr">
        <is>
          <t>계획관리지역</t>
        </is>
      </c>
      <c r="I2007" s="3" t="inlineStr">
        <is>
          <t>도로</t>
        </is>
      </c>
      <c r="J2007" s="3" t="inlineStr">
        <is>
          <t>소정면</t>
        </is>
      </c>
    </row>
    <row r="2008">
      <c r="A2008" s="3" t="n">
        <v>2022</v>
      </c>
      <c r="B2008" s="4" t="n">
        <v>36833</v>
      </c>
      <c r="C2008" s="4" t="n">
        <v>935.1</v>
      </c>
      <c r="D2008" s="4" t="n">
        <v>282.86775</v>
      </c>
      <c r="E2008" s="5" t="n">
        <v>130.2</v>
      </c>
      <c r="F2008" s="3" t="inlineStr">
        <is>
          <t>전동면</t>
        </is>
      </c>
      <c r="G2008" s="3" t="inlineStr">
        <is>
          <t>심중리</t>
        </is>
      </c>
      <c r="H2008" s="3" t="inlineStr">
        <is>
          <t>준공업지역</t>
        </is>
      </c>
      <c r="I2008" s="3" t="inlineStr">
        <is>
          <t>공장용지</t>
        </is>
      </c>
      <c r="J2008" s="3" t="inlineStr">
        <is>
          <t>전동면</t>
        </is>
      </c>
    </row>
    <row r="2009">
      <c r="A2009" s="3" t="n">
        <v>2022</v>
      </c>
      <c r="B2009" s="4" t="n">
        <v>20520</v>
      </c>
      <c r="C2009" s="4" t="n">
        <v>22612</v>
      </c>
      <c r="D2009" s="4" t="n">
        <v>6840.13</v>
      </c>
      <c r="E2009" s="5" t="n">
        <v>3</v>
      </c>
      <c r="F2009" s="3" t="inlineStr">
        <is>
          <t>연서면</t>
        </is>
      </c>
      <c r="G2009" s="3" t="inlineStr">
        <is>
          <t>기룡리</t>
        </is>
      </c>
      <c r="H2009" s="3" t="inlineStr">
        <is>
          <t>농림지역</t>
        </is>
      </c>
      <c r="I2009" s="3" t="inlineStr">
        <is>
          <t>임야</t>
        </is>
      </c>
      <c r="J2009" s="3" t="inlineStr">
        <is>
          <t>연서면</t>
        </is>
      </c>
    </row>
    <row r="2010">
      <c r="A2010" s="3" t="n">
        <v>2022</v>
      </c>
      <c r="B2010" s="4" t="n">
        <v>108300</v>
      </c>
      <c r="C2010" s="4" t="n">
        <v>47723</v>
      </c>
      <c r="D2010" s="4" t="n">
        <v>14436.2075</v>
      </c>
      <c r="E2010" s="5" t="n">
        <v>7.5</v>
      </c>
      <c r="F2010" s="3" t="inlineStr">
        <is>
          <t>전동면</t>
        </is>
      </c>
      <c r="G2010" s="3" t="inlineStr">
        <is>
          <t>심중리</t>
        </is>
      </c>
      <c r="H2010" s="3" t="inlineStr">
        <is>
          <t>보전관리지역</t>
        </is>
      </c>
      <c r="I2010" s="3" t="inlineStr">
        <is>
          <t>임야</t>
        </is>
      </c>
      <c r="J2010" s="3" t="inlineStr">
        <is>
          <t>전동면</t>
        </is>
      </c>
    </row>
    <row r="2011">
      <c r="A2011" s="3" t="n">
        <v>2022</v>
      </c>
      <c r="B2011" s="4" t="n">
        <v>43796</v>
      </c>
      <c r="C2011" s="4" t="n">
        <v>7239</v>
      </c>
      <c r="D2011" s="4" t="n">
        <v>2189.7975</v>
      </c>
      <c r="E2011" s="5" t="n">
        <v>20</v>
      </c>
      <c r="F2011" s="3" t="inlineStr">
        <is>
          <t>전동면</t>
        </is>
      </c>
      <c r="G2011" s="3" t="inlineStr">
        <is>
          <t>미곡리</t>
        </is>
      </c>
      <c r="H2011" s="3" t="inlineStr">
        <is>
          <t>보전관리지역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2023</v>
      </c>
      <c r="B2012" s="4" t="n">
        <v>5691</v>
      </c>
      <c r="C2012" s="4" t="n">
        <v>820</v>
      </c>
      <c r="D2012" s="4" t="n">
        <v>248.05</v>
      </c>
      <c r="E2012" s="5" t="n">
        <v>22.9</v>
      </c>
      <c r="F2012" s="3" t="inlineStr">
        <is>
          <t>장군면</t>
        </is>
      </c>
      <c r="G2012" s="3" t="inlineStr">
        <is>
          <t>금암리</t>
        </is>
      </c>
      <c r="H2012" s="3" t="inlineStr">
        <is>
          <t>보전관리지역</t>
        </is>
      </c>
      <c r="I2012" s="3" t="inlineStr">
        <is>
          <t>답</t>
        </is>
      </c>
      <c r="J2012" s="3" t="inlineStr">
        <is>
          <t>장군면</t>
        </is>
      </c>
    </row>
    <row r="2013">
      <c r="A2013" s="3" t="n">
        <v>2023</v>
      </c>
      <c r="B2013" s="4" t="n">
        <v>2547</v>
      </c>
      <c r="C2013" s="4" t="n">
        <v>367</v>
      </c>
      <c r="D2013" s="4" t="n">
        <v>111.0175</v>
      </c>
      <c r="E2013" s="5" t="n">
        <v>22.9</v>
      </c>
      <c r="F2013" s="3" t="inlineStr">
        <is>
          <t>장군면</t>
        </is>
      </c>
      <c r="G2013" s="3" t="inlineStr">
        <is>
          <t>금암리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장군면</t>
        </is>
      </c>
    </row>
    <row r="2014">
      <c r="A2014" s="3" t="n">
        <v>2023</v>
      </c>
      <c r="B2014" s="4" t="n">
        <v>1262</v>
      </c>
      <c r="C2014" s="4" t="n">
        <v>182</v>
      </c>
      <c r="D2014" s="4" t="n">
        <v>55.055</v>
      </c>
      <c r="E2014" s="5" t="n">
        <v>22.9</v>
      </c>
      <c r="F2014" s="3" t="inlineStr">
        <is>
          <t>장군면</t>
        </is>
      </c>
      <c r="G2014" s="3" t="inlineStr">
        <is>
          <t>금암리</t>
        </is>
      </c>
      <c r="H2014" s="3" t="inlineStr">
        <is>
          <t>보전관리지역</t>
        </is>
      </c>
      <c r="I2014" s="3" t="inlineStr">
        <is>
          <t>답</t>
        </is>
      </c>
      <c r="J2014" s="3" t="inlineStr">
        <is>
          <t>장군면</t>
        </is>
      </c>
    </row>
    <row r="2015">
      <c r="A2015" s="3" t="n">
        <v>2023</v>
      </c>
      <c r="B2015" s="4" t="n">
        <v>52000</v>
      </c>
      <c r="C2015" s="4" t="n">
        <v>337.9</v>
      </c>
      <c r="D2015" s="4" t="n">
        <v>102.21475</v>
      </c>
      <c r="E2015" s="5" t="n">
        <v>508.7</v>
      </c>
      <c r="F2015" s="3" t="inlineStr">
        <is>
          <t>아름동</t>
        </is>
      </c>
      <c r="G2015" s="3" t="inlineStr"/>
      <c r="H2015" s="3" t="inlineStr">
        <is>
          <t>제1종전용주거지역</t>
        </is>
      </c>
      <c r="I2015" s="3" t="inlineStr">
        <is>
          <t>대</t>
        </is>
      </c>
      <c r="J2015" s="3" t="inlineStr">
        <is>
          <t>아름동</t>
        </is>
      </c>
    </row>
    <row r="2016">
      <c r="A2016" s="3" t="n">
        <v>2023</v>
      </c>
      <c r="B2016" s="4" t="n">
        <v>1912</v>
      </c>
      <c r="C2016" s="4" t="n">
        <v>2281</v>
      </c>
      <c r="D2016" s="4" t="n">
        <v>690.0024999999999</v>
      </c>
      <c r="E2016" s="5" t="n">
        <v>2.8</v>
      </c>
      <c r="F2016" s="3" t="inlineStr">
        <is>
          <t>연서면</t>
        </is>
      </c>
      <c r="G2016" s="3" t="inlineStr">
        <is>
          <t>기룡리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연서면</t>
        </is>
      </c>
    </row>
    <row r="2017">
      <c r="A2017" s="3" t="n">
        <v>2023</v>
      </c>
      <c r="B2017" s="4" t="n">
        <v>38088</v>
      </c>
      <c r="C2017" s="4" t="n">
        <v>45620</v>
      </c>
      <c r="D2017" s="4" t="n">
        <v>13800.05</v>
      </c>
      <c r="E2017" s="5" t="n">
        <v>2.8</v>
      </c>
      <c r="F2017" s="3" t="inlineStr">
        <is>
          <t>연서면</t>
        </is>
      </c>
      <c r="G2017" s="3" t="inlineStr">
        <is>
          <t>기룡리</t>
        </is>
      </c>
      <c r="H2017" s="3" t="inlineStr">
        <is>
          <t>농림지역</t>
        </is>
      </c>
      <c r="I2017" s="3" t="inlineStr">
        <is>
          <t>임야</t>
        </is>
      </c>
      <c r="J2017" s="3" t="inlineStr">
        <is>
          <t>연서면</t>
        </is>
      </c>
    </row>
    <row r="2018">
      <c r="A2018" s="3" t="n">
        <v>2023</v>
      </c>
      <c r="B2018" s="4" t="n">
        <v>25000</v>
      </c>
      <c r="C2018" s="4" t="n">
        <v>550</v>
      </c>
      <c r="D2018" s="4" t="n">
        <v>166.375</v>
      </c>
      <c r="E2018" s="5" t="n">
        <v>150.3</v>
      </c>
      <c r="F2018" s="3" t="inlineStr">
        <is>
          <t>전의면</t>
        </is>
      </c>
      <c r="G2018" s="3" t="inlineStr">
        <is>
          <t>서정리</t>
        </is>
      </c>
      <c r="H2018" s="3" t="inlineStr">
        <is>
          <t>농림지역</t>
        </is>
      </c>
      <c r="I2018" s="3" t="inlineStr">
        <is>
          <t>대</t>
        </is>
      </c>
      <c r="J2018" s="3" t="inlineStr">
        <is>
          <t>전의면</t>
        </is>
      </c>
    </row>
    <row r="2019">
      <c r="A2019" s="3" t="n">
        <v>2023</v>
      </c>
      <c r="B2019" s="4" t="n">
        <v>35028</v>
      </c>
      <c r="C2019" s="4" t="n">
        <v>827</v>
      </c>
      <c r="D2019" s="4" t="n">
        <v>250.1675</v>
      </c>
      <c r="E2019" s="5" t="n">
        <v>140</v>
      </c>
      <c r="F2019" s="3" t="inlineStr">
        <is>
          <t>장군면</t>
        </is>
      </c>
      <c r="G2019" s="3" t="inlineStr">
        <is>
          <t>산학리</t>
        </is>
      </c>
      <c r="H2019" s="3" t="inlineStr">
        <is>
          <t>농림지역</t>
        </is>
      </c>
      <c r="I2019" s="3" t="inlineStr">
        <is>
          <t>임야</t>
        </is>
      </c>
      <c r="J2019" s="3" t="inlineStr">
        <is>
          <t>장군면</t>
        </is>
      </c>
    </row>
    <row r="2020">
      <c r="A2020" s="3" t="n">
        <v>2023</v>
      </c>
      <c r="B2020" s="4" t="n">
        <v>16448</v>
      </c>
      <c r="C2020" s="4" t="n">
        <v>1699</v>
      </c>
      <c r="D2020" s="4" t="n">
        <v>513.9475</v>
      </c>
      <c r="E2020" s="5" t="n">
        <v>32</v>
      </c>
      <c r="F2020" s="3" t="inlineStr">
        <is>
          <t>현도면</t>
        </is>
      </c>
      <c r="G2020" s="3" t="inlineStr">
        <is>
          <t>시목리</t>
        </is>
      </c>
      <c r="H2020" s="3" t="inlineStr">
        <is>
          <t>개발제한구역</t>
        </is>
      </c>
      <c r="I2020" s="3" t="inlineStr">
        <is>
          <t>전</t>
        </is>
      </c>
      <c r="J2020" s="3" t="inlineStr">
        <is>
          <t>현도면</t>
        </is>
      </c>
    </row>
    <row r="2021">
      <c r="A2021" s="3" t="n">
        <v>2023</v>
      </c>
      <c r="B2021" s="4" t="n">
        <v>13300</v>
      </c>
      <c r="C2021" s="4" t="n">
        <v>1144</v>
      </c>
      <c r="D2021" s="4" t="n">
        <v>346.06</v>
      </c>
      <c r="E2021" s="5" t="n">
        <v>38.4</v>
      </c>
      <c r="F2021" s="3" t="inlineStr">
        <is>
          <t>남이면</t>
        </is>
      </c>
      <c r="G2021" s="3" t="inlineStr">
        <is>
          <t>팔봉리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남이면</t>
        </is>
      </c>
    </row>
    <row r="2022">
      <c r="A2022" s="3" t="n">
        <v>2023</v>
      </c>
      <c r="B2022" s="4" t="n">
        <v>6700</v>
      </c>
      <c r="C2022" s="4" t="n">
        <v>711</v>
      </c>
      <c r="D2022" s="4" t="n">
        <v>215.0775</v>
      </c>
      <c r="E2022" s="5" t="n">
        <v>31.2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보전녹지지역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13300</v>
      </c>
      <c r="C2023" s="4" t="n">
        <v>1144</v>
      </c>
      <c r="D2023" s="4" t="n">
        <v>346.06</v>
      </c>
      <c r="E2023" s="5" t="n">
        <v>38.4</v>
      </c>
      <c r="F2023" s="3" t="inlineStr">
        <is>
          <t>남이면</t>
        </is>
      </c>
      <c r="G2023" s="3" t="inlineStr">
        <is>
          <t>팔봉리</t>
        </is>
      </c>
      <c r="H2023" s="3" t="inlineStr">
        <is>
          <t>자연녹지지역</t>
        </is>
      </c>
      <c r="I2023" s="3" t="inlineStr">
        <is>
          <t>답</t>
        </is>
      </c>
      <c r="J2023" s="3" t="inlineStr">
        <is>
          <t>남이면</t>
        </is>
      </c>
    </row>
    <row r="2024">
      <c r="A2024" s="3" t="n">
        <v>2023</v>
      </c>
      <c r="B2024" s="4" t="n">
        <v>6700</v>
      </c>
      <c r="C2024" s="4" t="n">
        <v>711</v>
      </c>
      <c r="D2024" s="4" t="n">
        <v>215.0775</v>
      </c>
      <c r="E2024" s="5" t="n">
        <v>31.2</v>
      </c>
      <c r="F2024" s="3" t="inlineStr">
        <is>
          <t>남이면</t>
        </is>
      </c>
      <c r="G2024" s="3" t="inlineStr">
        <is>
          <t>팔봉리</t>
        </is>
      </c>
      <c r="H2024" s="3" t="inlineStr">
        <is>
          <t>보전녹지지역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2023</v>
      </c>
      <c r="B2025" s="4" t="n">
        <v>31000</v>
      </c>
      <c r="C2025" s="4" t="n">
        <v>960</v>
      </c>
      <c r="D2025" s="4" t="n">
        <v>290.4</v>
      </c>
      <c r="E2025" s="5" t="n">
        <v>106.7</v>
      </c>
      <c r="F2025" s="3" t="inlineStr">
        <is>
          <t>남이면</t>
        </is>
      </c>
      <c r="G2025" s="3" t="inlineStr">
        <is>
          <t>구암리</t>
        </is>
      </c>
      <c r="H2025" s="3" t="inlineStr">
        <is>
          <t>자연녹지지역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2023</v>
      </c>
      <c r="B2026" s="4" t="n">
        <v>8000</v>
      </c>
      <c r="C2026" s="4" t="n">
        <v>537</v>
      </c>
      <c r="D2026" s="4" t="n">
        <v>162.4425</v>
      </c>
      <c r="E2026" s="5" t="n">
        <v>49.2</v>
      </c>
      <c r="F2026" s="3" t="inlineStr">
        <is>
          <t>남이면</t>
        </is>
      </c>
      <c r="G2026" s="3" t="inlineStr">
        <is>
          <t>구미리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80093</v>
      </c>
      <c r="C2027" s="4" t="n">
        <v>9127</v>
      </c>
      <c r="D2027" s="4" t="n">
        <v>2760.9175</v>
      </c>
      <c r="E2027" s="5" t="n">
        <v>29</v>
      </c>
      <c r="F2027" s="3" t="inlineStr">
        <is>
          <t>남이면</t>
        </is>
      </c>
      <c r="G2027" s="3" t="inlineStr">
        <is>
          <t>구미리</t>
        </is>
      </c>
      <c r="H2027" s="3" t="inlineStr">
        <is>
          <t>계획관리지역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26150</v>
      </c>
      <c r="C2028" s="4" t="n">
        <v>2294</v>
      </c>
      <c r="D2028" s="4" t="n">
        <v>693.9349999999999</v>
      </c>
      <c r="E2028" s="5" t="n">
        <v>37.7</v>
      </c>
      <c r="F2028" s="3" t="inlineStr">
        <is>
          <t>현도면</t>
        </is>
      </c>
      <c r="G2028" s="3" t="inlineStr">
        <is>
          <t>중척리</t>
        </is>
      </c>
      <c r="H2028" s="3" t="inlineStr">
        <is>
          <t>개발제한구역</t>
        </is>
      </c>
      <c r="I2028" s="3" t="inlineStr">
        <is>
          <t>전</t>
        </is>
      </c>
      <c r="J2028" s="3" t="inlineStr">
        <is>
          <t>현도면</t>
        </is>
      </c>
    </row>
    <row r="2029">
      <c r="A2029" s="3" t="n">
        <v>2023</v>
      </c>
      <c r="B2029" s="4" t="n">
        <v>27300</v>
      </c>
      <c r="C2029" s="4" t="n">
        <v>696</v>
      </c>
      <c r="D2029" s="4" t="n">
        <v>210.54</v>
      </c>
      <c r="E2029" s="5" t="n">
        <v>129.7</v>
      </c>
      <c r="F2029" s="3" t="inlineStr">
        <is>
          <t>남이면</t>
        </is>
      </c>
      <c r="G2029" s="3" t="inlineStr">
        <is>
          <t>양촌리</t>
        </is>
      </c>
      <c r="H2029" s="3" t="inlineStr">
        <is>
          <t>자연녹지지역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2023</v>
      </c>
      <c r="B2030" s="4" t="n">
        <v>400</v>
      </c>
      <c r="C2030" s="4" t="n">
        <v>136</v>
      </c>
      <c r="D2030" s="4" t="n">
        <v>41.14</v>
      </c>
      <c r="E2030" s="5" t="n">
        <v>9.699999999999999</v>
      </c>
      <c r="F2030" s="3" t="inlineStr">
        <is>
          <t>남이면</t>
        </is>
      </c>
      <c r="G2030" s="3" t="inlineStr">
        <is>
          <t>산막리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2023</v>
      </c>
      <c r="B2031" s="4" t="n">
        <v>5700</v>
      </c>
      <c r="C2031" s="4" t="n">
        <v>376</v>
      </c>
      <c r="D2031" s="4" t="n">
        <v>113.74</v>
      </c>
      <c r="E2031" s="5" t="n">
        <v>50.1</v>
      </c>
      <c r="F2031" s="3" t="inlineStr">
        <is>
          <t>남이면</t>
        </is>
      </c>
      <c r="G2031" s="3" t="inlineStr">
        <is>
          <t>석실리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2023</v>
      </c>
      <c r="B2032" s="4" t="n">
        <v>28500</v>
      </c>
      <c r="C2032" s="4" t="n">
        <v>2358</v>
      </c>
      <c r="D2032" s="4" t="n">
        <v>713.295</v>
      </c>
      <c r="E2032" s="5" t="n">
        <v>40</v>
      </c>
      <c r="F2032" s="3" t="inlineStr">
        <is>
          <t>현도면</t>
        </is>
      </c>
      <c r="G2032" s="3" t="inlineStr">
        <is>
          <t>죽전리</t>
        </is>
      </c>
      <c r="H2032" s="3" t="inlineStr">
        <is>
          <t>개발제한구역</t>
        </is>
      </c>
      <c r="I2032" s="3" t="inlineStr">
        <is>
          <t>답</t>
        </is>
      </c>
      <c r="J2032" s="3" t="inlineStr">
        <is>
          <t>현도면</t>
        </is>
      </c>
    </row>
    <row r="2033">
      <c r="A2033" s="3" t="n">
        <v>2023</v>
      </c>
      <c r="B2033" s="4" t="n">
        <v>6300</v>
      </c>
      <c r="C2033" s="4" t="n">
        <v>528</v>
      </c>
      <c r="D2033" s="4" t="n">
        <v>159.72</v>
      </c>
      <c r="E2033" s="5" t="n">
        <v>39.4</v>
      </c>
      <c r="F2033" s="3" t="inlineStr">
        <is>
          <t>현도면</t>
        </is>
      </c>
      <c r="G2033" s="3" t="inlineStr">
        <is>
          <t>죽전리</t>
        </is>
      </c>
      <c r="H2033" s="3" t="inlineStr">
        <is>
          <t>개발제한구역</t>
        </is>
      </c>
      <c r="I2033" s="3" t="inlineStr">
        <is>
          <t>답</t>
        </is>
      </c>
      <c r="J2033" s="3" t="inlineStr">
        <is>
          <t>현도면</t>
        </is>
      </c>
    </row>
    <row r="2034">
      <c r="A2034" s="3" t="n">
        <v>2023</v>
      </c>
      <c r="B2034" s="4" t="n">
        <v>15000</v>
      </c>
      <c r="C2034" s="4" t="n">
        <v>827</v>
      </c>
      <c r="D2034" s="4" t="n">
        <v>250.1675</v>
      </c>
      <c r="E2034" s="5" t="n">
        <v>60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자연녹지지역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2023</v>
      </c>
      <c r="B2035" s="4" t="n">
        <v>1000</v>
      </c>
      <c r="C2035" s="4" t="n">
        <v>311</v>
      </c>
      <c r="D2035" s="4" t="n">
        <v>94.0775</v>
      </c>
      <c r="E2035" s="5" t="n">
        <v>10.6</v>
      </c>
      <c r="F2035" s="3" t="inlineStr">
        <is>
          <t>남이면</t>
        </is>
      </c>
      <c r="G2035" s="3" t="inlineStr">
        <is>
          <t>부용외천리</t>
        </is>
      </c>
      <c r="H2035" s="3" t="inlineStr">
        <is>
          <t>생산관리지역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2023</v>
      </c>
      <c r="B2036" s="4" t="n">
        <v>2068</v>
      </c>
      <c r="C2036" s="4" t="n">
        <v>220</v>
      </c>
      <c r="D2036" s="4" t="n">
        <v>66.55</v>
      </c>
      <c r="E2036" s="5" t="n">
        <v>31.1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9649</v>
      </c>
      <c r="C2037" s="4" t="n">
        <v>441.6</v>
      </c>
      <c r="D2037" s="4" t="n">
        <v>133.584</v>
      </c>
      <c r="E2037" s="5" t="n">
        <v>72.2</v>
      </c>
      <c r="F2037" s="3" t="inlineStr">
        <is>
          <t>현도면</t>
        </is>
      </c>
      <c r="G2037" s="3" t="inlineStr">
        <is>
          <t>죽전리</t>
        </is>
      </c>
      <c r="H2037" s="3" t="inlineStr">
        <is>
          <t>계획관리지역</t>
        </is>
      </c>
      <c r="I2037" s="3" t="inlineStr">
        <is>
          <t>답</t>
        </is>
      </c>
      <c r="J2037" s="3" t="inlineStr">
        <is>
          <t>현도면</t>
        </is>
      </c>
    </row>
    <row r="2038">
      <c r="A2038" s="3" t="n">
        <v>2023</v>
      </c>
      <c r="B2038" s="4" t="n">
        <v>500</v>
      </c>
      <c r="C2038" s="4" t="n">
        <v>33</v>
      </c>
      <c r="D2038" s="4" t="n">
        <v>9.9825</v>
      </c>
      <c r="E2038" s="5" t="n">
        <v>50.1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2023</v>
      </c>
      <c r="B2039" s="4" t="n">
        <v>1050</v>
      </c>
      <c r="C2039" s="4" t="n">
        <v>72</v>
      </c>
      <c r="D2039" s="4" t="n">
        <v>21.78</v>
      </c>
      <c r="E2039" s="5" t="n">
        <v>48.2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1100</v>
      </c>
      <c r="C2040" s="4" t="n">
        <v>397</v>
      </c>
      <c r="D2040" s="4" t="n">
        <v>120.0925</v>
      </c>
      <c r="E2040" s="5" t="n">
        <v>9.199999999999999</v>
      </c>
      <c r="F2040" s="3" t="inlineStr">
        <is>
          <t>현도면</t>
        </is>
      </c>
      <c r="G2040" s="3" t="inlineStr">
        <is>
          <t>죽전리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현도면</t>
        </is>
      </c>
    </row>
    <row r="2041">
      <c r="A2041" s="3" t="n">
        <v>2023</v>
      </c>
      <c r="B2041" s="4" t="n">
        <v>3000</v>
      </c>
      <c r="C2041" s="4" t="n">
        <v>699</v>
      </c>
      <c r="D2041" s="4" t="n">
        <v>211.4475</v>
      </c>
      <c r="E2041" s="5" t="n">
        <v>14.2</v>
      </c>
      <c r="F2041" s="3" t="inlineStr">
        <is>
          <t>현도면</t>
        </is>
      </c>
      <c r="G2041" s="3" t="inlineStr">
        <is>
          <t>중척리</t>
        </is>
      </c>
      <c r="H2041" s="3" t="inlineStr">
        <is>
          <t>개발제한구역</t>
        </is>
      </c>
      <c r="I2041" s="3" t="inlineStr">
        <is>
          <t>전</t>
        </is>
      </c>
      <c r="J2041" s="3" t="inlineStr">
        <is>
          <t>현도면</t>
        </is>
      </c>
    </row>
    <row r="2042">
      <c r="A2042" s="3" t="n">
        <v>2023</v>
      </c>
      <c r="B2042" s="4" t="n">
        <v>1010</v>
      </c>
      <c r="C2042" s="4" t="n">
        <v>94</v>
      </c>
      <c r="D2042" s="4" t="n">
        <v>28.435</v>
      </c>
      <c r="E2042" s="5" t="n">
        <v>35.5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남이면</t>
        </is>
      </c>
    </row>
    <row r="2043">
      <c r="A2043" s="3" t="n">
        <v>2023</v>
      </c>
      <c r="B2043" s="4" t="n">
        <v>6200</v>
      </c>
      <c r="C2043" s="4" t="n">
        <v>718</v>
      </c>
      <c r="D2043" s="4" t="n">
        <v>217.195</v>
      </c>
      <c r="E2043" s="5" t="n">
        <v>28.5</v>
      </c>
      <c r="F2043" s="3" t="inlineStr">
        <is>
          <t>남이면</t>
        </is>
      </c>
      <c r="G2043" s="3" t="inlineStr">
        <is>
          <t>문동리</t>
        </is>
      </c>
      <c r="H2043" s="3" t="inlineStr">
        <is>
          <t>보전녹지지역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8000</v>
      </c>
      <c r="C2044" s="4" t="n">
        <v>617</v>
      </c>
      <c r="D2044" s="4" t="n">
        <v>186.6425</v>
      </c>
      <c r="E2044" s="5" t="n">
        <v>42.9</v>
      </c>
      <c r="F2044" s="3" t="inlineStr">
        <is>
          <t>남이면</t>
        </is>
      </c>
      <c r="G2044" s="3" t="inlineStr">
        <is>
          <t>외천리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14400</v>
      </c>
      <c r="C2045" s="4" t="n">
        <v>1427</v>
      </c>
      <c r="D2045" s="4" t="n">
        <v>431.6675</v>
      </c>
      <c r="E2045" s="5" t="n">
        <v>33.4</v>
      </c>
      <c r="F2045" s="3" t="inlineStr">
        <is>
          <t>현도면</t>
        </is>
      </c>
      <c r="G2045" s="3" t="inlineStr">
        <is>
          <t>노산리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현도면</t>
        </is>
      </c>
    </row>
    <row r="2046">
      <c r="A2046" s="3" t="n">
        <v>2024</v>
      </c>
      <c r="B2046" s="4" t="n">
        <v>14400</v>
      </c>
      <c r="C2046" s="4" t="n">
        <v>1196</v>
      </c>
      <c r="D2046" s="4" t="n">
        <v>361.79</v>
      </c>
      <c r="E2046" s="5" t="n">
        <v>39.8</v>
      </c>
      <c r="F2046" s="3" t="inlineStr">
        <is>
          <t>현도면</t>
        </is>
      </c>
      <c r="G2046" s="3" t="inlineStr">
        <is>
          <t>시목리</t>
        </is>
      </c>
      <c r="H2046" s="3" t="inlineStr">
        <is>
          <t>자연녹지지역</t>
        </is>
      </c>
      <c r="I2046" s="3" t="inlineStr">
        <is>
          <t>답</t>
        </is>
      </c>
      <c r="J2046" s="3" t="inlineStr">
        <is>
          <t>현도면</t>
        </is>
      </c>
    </row>
    <row r="2047">
      <c r="A2047" s="3" t="n">
        <v>2024</v>
      </c>
      <c r="B2047" s="4" t="n">
        <v>39000</v>
      </c>
      <c r="C2047" s="4" t="n">
        <v>1315</v>
      </c>
      <c r="D2047" s="4" t="n">
        <v>397.7875</v>
      </c>
      <c r="E2047" s="5" t="n">
        <v>98</v>
      </c>
      <c r="F2047" s="3" t="inlineStr">
        <is>
          <t>남이면</t>
        </is>
      </c>
      <c r="G2047" s="3" t="inlineStr">
        <is>
          <t>석실리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1000</v>
      </c>
      <c r="C2048" s="4" t="n">
        <v>53</v>
      </c>
      <c r="D2048" s="4" t="n">
        <v>16.0325</v>
      </c>
      <c r="E2048" s="5" t="n">
        <v>62.4</v>
      </c>
      <c r="F2048" s="3" t="inlineStr">
        <is>
          <t>남이면</t>
        </is>
      </c>
      <c r="G2048" s="3" t="inlineStr">
        <is>
          <t>석실리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남이면</t>
        </is>
      </c>
    </row>
    <row r="2049">
      <c r="A2049" s="3" t="n">
        <v>2024</v>
      </c>
      <c r="B2049" s="4" t="n">
        <v>5352</v>
      </c>
      <c r="C2049" s="4" t="n">
        <v>197</v>
      </c>
      <c r="D2049" s="4" t="n">
        <v>59.5925</v>
      </c>
      <c r="E2049" s="5" t="n">
        <v>89.8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1037</v>
      </c>
      <c r="C2050" s="4" t="n">
        <v>37</v>
      </c>
      <c r="D2050" s="4" t="n">
        <v>11.1925</v>
      </c>
      <c r="E2050" s="5" t="n">
        <v>92.7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2024</v>
      </c>
      <c r="B2051" s="4" t="n">
        <v>331</v>
      </c>
      <c r="C2051" s="4" t="n">
        <v>13</v>
      </c>
      <c r="D2051" s="4" t="n">
        <v>3.9325</v>
      </c>
      <c r="E2051" s="5" t="n">
        <v>84.2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도로</t>
        </is>
      </c>
      <c r="J2051" s="3" t="inlineStr">
        <is>
          <t>남이면</t>
        </is>
      </c>
    </row>
    <row r="2052">
      <c r="A2052" s="3" t="n">
        <v>2024</v>
      </c>
      <c r="B2052" s="4" t="n">
        <v>1065</v>
      </c>
      <c r="C2052" s="4" t="n">
        <v>38</v>
      </c>
      <c r="D2052" s="4" t="n">
        <v>11.495</v>
      </c>
      <c r="E2052" s="5" t="n">
        <v>92.59999999999999</v>
      </c>
      <c r="F2052" s="3" t="inlineStr">
        <is>
          <t>남이면</t>
        </is>
      </c>
      <c r="G2052" s="3" t="inlineStr">
        <is>
          <t>부용외천리</t>
        </is>
      </c>
      <c r="H2052" s="3" t="inlineStr">
        <is>
          <t>계획관리지역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13953</v>
      </c>
      <c r="C2053" s="4" t="n">
        <v>471</v>
      </c>
      <c r="D2053" s="4" t="n">
        <v>142.4775</v>
      </c>
      <c r="E2053" s="5" t="n">
        <v>97.90000000000001</v>
      </c>
      <c r="F2053" s="3" t="inlineStr">
        <is>
          <t>남이면</t>
        </is>
      </c>
      <c r="G2053" s="3" t="inlineStr">
        <is>
          <t>부용외천리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2024</v>
      </c>
      <c r="B2054" s="4" t="n">
        <v>987</v>
      </c>
      <c r="C2054" s="4" t="n">
        <v>102</v>
      </c>
      <c r="D2054" s="4" t="n">
        <v>30.855</v>
      </c>
      <c r="E2054" s="5" t="n">
        <v>32</v>
      </c>
      <c r="F2054" s="3" t="inlineStr">
        <is>
          <t>남이면</t>
        </is>
      </c>
      <c r="G2054" s="3" t="inlineStr">
        <is>
          <t>부용외천리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2024</v>
      </c>
      <c r="B2055" s="4" t="n">
        <v>2600</v>
      </c>
      <c r="C2055" s="4" t="n">
        <v>131</v>
      </c>
      <c r="D2055" s="4" t="n">
        <v>39.6275</v>
      </c>
      <c r="E2055" s="5" t="n">
        <v>65.59999999999999</v>
      </c>
      <c r="F2055" s="3" t="inlineStr">
        <is>
          <t>남이면</t>
        </is>
      </c>
      <c r="G2055" s="3" t="inlineStr">
        <is>
          <t>석실리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2024</v>
      </c>
      <c r="B2056" s="4" t="n">
        <v>26000</v>
      </c>
      <c r="C2056" s="4" t="n">
        <v>1306</v>
      </c>
      <c r="D2056" s="4" t="n">
        <v>395.065</v>
      </c>
      <c r="E2056" s="5" t="n">
        <v>65.8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19155</v>
      </c>
      <c r="C2057" s="4" t="n">
        <v>411</v>
      </c>
      <c r="D2057" s="4" t="n">
        <v>124.3275</v>
      </c>
      <c r="E2057" s="5" t="n">
        <v>154.1</v>
      </c>
      <c r="F2057" s="3" t="inlineStr">
        <is>
          <t>현도면</t>
        </is>
      </c>
      <c r="G2057" s="3" t="inlineStr">
        <is>
          <t>매봉리</t>
        </is>
      </c>
      <c r="H2057" s="3" t="inlineStr">
        <is>
          <t>제1종일반주거지역</t>
        </is>
      </c>
      <c r="I2057" s="3" t="inlineStr">
        <is>
          <t>잡종지</t>
        </is>
      </c>
      <c r="J2057" s="3" t="inlineStr">
        <is>
          <t>현도면</t>
        </is>
      </c>
    </row>
    <row r="2058">
      <c r="A2058" s="3" t="n">
        <v>2024</v>
      </c>
      <c r="B2058" s="4" t="n">
        <v>7500</v>
      </c>
      <c r="C2058" s="4" t="n">
        <v>451</v>
      </c>
      <c r="D2058" s="4" t="n">
        <v>136.4275</v>
      </c>
      <c r="E2058" s="5" t="n">
        <v>55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대</t>
        </is>
      </c>
      <c r="J2058" s="3" t="inlineStr">
        <is>
          <t>남이면</t>
        </is>
      </c>
    </row>
    <row r="2059">
      <c r="A2059" s="3" t="n">
        <v>2024</v>
      </c>
      <c r="B2059" s="4" t="n">
        <v>28034</v>
      </c>
      <c r="C2059" s="4" t="n">
        <v>2109</v>
      </c>
      <c r="D2059" s="4" t="n">
        <v>637.9725</v>
      </c>
      <c r="E2059" s="5" t="n">
        <v>43.9</v>
      </c>
      <c r="F2059" s="3" t="inlineStr">
        <is>
          <t>남이면</t>
        </is>
      </c>
      <c r="G2059" s="3" t="inlineStr">
        <is>
          <t>비룡리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400</v>
      </c>
      <c r="C2060" s="4" t="n">
        <v>13</v>
      </c>
      <c r="D2060" s="4" t="n">
        <v>3.9325</v>
      </c>
      <c r="E2060" s="5" t="n">
        <v>101.7</v>
      </c>
      <c r="F2060" s="3" t="inlineStr">
        <is>
          <t>남이면</t>
        </is>
      </c>
      <c r="G2060" s="3" t="inlineStr">
        <is>
          <t>석실리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400</v>
      </c>
      <c r="C2061" s="4" t="n">
        <v>13</v>
      </c>
      <c r="D2061" s="4" t="n">
        <v>3.9325</v>
      </c>
      <c r="E2061" s="5" t="n">
        <v>101.7</v>
      </c>
      <c r="F2061" s="3" t="inlineStr">
        <is>
          <t>남이면</t>
        </is>
      </c>
      <c r="G2061" s="3" t="inlineStr">
        <is>
          <t>석실리</t>
        </is>
      </c>
      <c r="H2061" s="3" t="inlineStr">
        <is>
          <t>자연녹지지역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2024</v>
      </c>
      <c r="B2062" s="4" t="n">
        <v>5000</v>
      </c>
      <c r="C2062" s="4" t="n">
        <v>430</v>
      </c>
      <c r="D2062" s="4" t="n">
        <v>130.075</v>
      </c>
      <c r="E2062" s="5" t="n">
        <v>38.4</v>
      </c>
      <c r="F2062" s="3" t="inlineStr">
        <is>
          <t>현도면</t>
        </is>
      </c>
      <c r="G2062" s="3" t="inlineStr">
        <is>
          <t>하석리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현도면</t>
        </is>
      </c>
    </row>
    <row r="2063">
      <c r="A2063" s="3" t="n">
        <v>2024</v>
      </c>
      <c r="B2063" s="4" t="n">
        <v>9100</v>
      </c>
      <c r="C2063" s="4" t="n">
        <v>31736</v>
      </c>
      <c r="D2063" s="4" t="n">
        <v>9600.139999999999</v>
      </c>
      <c r="E2063" s="5" t="n">
        <v>0.9</v>
      </c>
      <c r="F2063" s="3" t="inlineStr">
        <is>
          <t>현도면</t>
        </is>
      </c>
      <c r="G2063" s="3" t="inlineStr">
        <is>
          <t>죽암리</t>
        </is>
      </c>
      <c r="H2063" s="3" t="inlineStr">
        <is>
          <t>농림지역</t>
        </is>
      </c>
      <c r="I2063" s="3" t="inlineStr">
        <is>
          <t>임야</t>
        </is>
      </c>
      <c r="J2063" s="3" t="inlineStr">
        <is>
          <t>현도면</t>
        </is>
      </c>
    </row>
    <row r="2064">
      <c r="A2064" s="3" t="n">
        <v>2024</v>
      </c>
      <c r="B2064" s="4" t="n">
        <v>18248</v>
      </c>
      <c r="C2064" s="4" t="n">
        <v>411</v>
      </c>
      <c r="D2064" s="4" t="n">
        <v>124.3275</v>
      </c>
      <c r="E2064" s="5" t="n">
        <v>146.8</v>
      </c>
      <c r="F2064" s="3" t="inlineStr">
        <is>
          <t>현도면</t>
        </is>
      </c>
      <c r="G2064" s="3" t="inlineStr">
        <is>
          <t>매봉리</t>
        </is>
      </c>
      <c r="H2064" s="3" t="inlineStr">
        <is>
          <t>제1종일반주거지역</t>
        </is>
      </c>
      <c r="I2064" s="3" t="inlineStr">
        <is>
          <t>잡종지</t>
        </is>
      </c>
      <c r="J2064" s="3" t="inlineStr">
        <is>
          <t>현도면</t>
        </is>
      </c>
    </row>
    <row r="2065">
      <c r="A2065" s="3" t="n">
        <v>2024</v>
      </c>
      <c r="B2065" s="4" t="n">
        <v>94446</v>
      </c>
      <c r="C2065" s="4" t="n">
        <v>5736</v>
      </c>
      <c r="D2065" s="4" t="n">
        <v>1735.14</v>
      </c>
      <c r="E2065" s="5" t="n">
        <v>54.4</v>
      </c>
      <c r="F2065" s="3" t="inlineStr">
        <is>
          <t>남이면</t>
        </is>
      </c>
      <c r="G2065" s="3" t="inlineStr">
        <is>
          <t>석실리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남이면</t>
        </is>
      </c>
    </row>
    <row r="2066">
      <c r="A2066" s="3" t="n">
        <v>2024</v>
      </c>
      <c r="B2066" s="4" t="n">
        <v>3300</v>
      </c>
      <c r="C2066" s="4" t="n">
        <v>72</v>
      </c>
      <c r="D2066" s="4" t="n">
        <v>21.78</v>
      </c>
      <c r="E2066" s="5" t="n">
        <v>151.5</v>
      </c>
      <c r="F2066" s="3" t="inlineStr">
        <is>
          <t>남이면</t>
        </is>
      </c>
      <c r="G2066" s="3" t="inlineStr">
        <is>
          <t>부용외천리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2024</v>
      </c>
      <c r="B2067" s="4" t="n">
        <v>22500</v>
      </c>
      <c r="C2067" s="4" t="n">
        <v>2803</v>
      </c>
      <c r="D2067" s="4" t="n">
        <v>847.9075</v>
      </c>
      <c r="E2067" s="5" t="n">
        <v>26.5</v>
      </c>
      <c r="F2067" s="3" t="inlineStr">
        <is>
          <t>남이면</t>
        </is>
      </c>
      <c r="G2067" s="3" t="inlineStr">
        <is>
          <t>산막리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2024</v>
      </c>
      <c r="B2068" s="4" t="n">
        <v>7500</v>
      </c>
      <c r="C2068" s="4" t="n">
        <v>982</v>
      </c>
      <c r="D2068" s="4" t="n">
        <v>297.055</v>
      </c>
      <c r="E2068" s="5" t="n">
        <v>25.2</v>
      </c>
      <c r="F2068" s="3" t="inlineStr">
        <is>
          <t>남이면</t>
        </is>
      </c>
      <c r="G2068" s="3" t="inlineStr">
        <is>
          <t>산막리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2024</v>
      </c>
      <c r="B2069" s="4" t="n">
        <v>24000</v>
      </c>
      <c r="C2069" s="4" t="n">
        <v>8331</v>
      </c>
      <c r="D2069" s="4" t="n">
        <v>2520.1275</v>
      </c>
      <c r="E2069" s="5" t="n">
        <v>9.5</v>
      </c>
      <c r="F2069" s="3" t="inlineStr">
        <is>
          <t>남이면</t>
        </is>
      </c>
      <c r="G2069" s="3" t="inlineStr">
        <is>
          <t>수대리</t>
        </is>
      </c>
      <c r="H2069" s="3" t="inlineStr">
        <is>
          <t>보전녹지지역</t>
        </is>
      </c>
      <c r="I2069" s="3" t="inlineStr">
        <is>
          <t>임야</t>
        </is>
      </c>
      <c r="J2069" s="3" t="inlineStr">
        <is>
          <t>남이면</t>
        </is>
      </c>
    </row>
    <row r="2070">
      <c r="A2070" s="3" t="n">
        <v>2022</v>
      </c>
      <c r="B2070" s="4" t="n">
        <v>39650</v>
      </c>
      <c r="C2070" s="4" t="n">
        <v>608</v>
      </c>
      <c r="D2070" s="4" t="n">
        <v>183.92</v>
      </c>
      <c r="E2070" s="5" t="n">
        <v>215.6</v>
      </c>
      <c r="F2070" s="3" t="inlineStr">
        <is>
          <t>금남면</t>
        </is>
      </c>
      <c r="G2070" s="3" t="inlineStr">
        <is>
          <t>성덕리</t>
        </is>
      </c>
      <c r="H2070" s="3" t="inlineStr">
        <is>
          <t>생산관리지역</t>
        </is>
      </c>
      <c r="I2070" s="3" t="inlineStr">
        <is>
          <t>양어장</t>
        </is>
      </c>
      <c r="J2070" s="3" t="inlineStr">
        <is>
          <t>금남면</t>
        </is>
      </c>
    </row>
    <row r="2071">
      <c r="A2071" s="3" t="n">
        <v>2024</v>
      </c>
      <c r="B2071" s="4" t="n">
        <v>27000</v>
      </c>
      <c r="C2071" s="4" t="n">
        <v>1821</v>
      </c>
      <c r="D2071" s="4" t="n">
        <v>550.8525</v>
      </c>
      <c r="E2071" s="5" t="n">
        <v>49</v>
      </c>
      <c r="F2071" s="3" t="inlineStr">
        <is>
          <t>소정면</t>
        </is>
      </c>
      <c r="G2071" s="3" t="inlineStr">
        <is>
          <t>대곡리</t>
        </is>
      </c>
      <c r="H2071" s="3" t="inlineStr">
        <is>
          <t>계획관리지역</t>
        </is>
      </c>
      <c r="I2071" s="3" t="inlineStr">
        <is>
          <t>전</t>
        </is>
      </c>
      <c r="J2071" s="3" t="inlineStr">
        <is>
          <t>소정면</t>
        </is>
      </c>
    </row>
    <row r="2072">
      <c r="A2072" s="3" t="n">
        <v>2024</v>
      </c>
      <c r="B2072" s="4" t="n">
        <v>18000</v>
      </c>
      <c r="C2072" s="4" t="n">
        <v>1488</v>
      </c>
      <c r="D2072" s="4" t="n">
        <v>450.12</v>
      </c>
      <c r="E2072" s="5" t="n">
        <v>40</v>
      </c>
      <c r="F2072" s="3" t="inlineStr">
        <is>
          <t>소정면</t>
        </is>
      </c>
      <c r="G2072" s="3" t="inlineStr">
        <is>
          <t>대곡리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소정면</t>
        </is>
      </c>
    </row>
    <row r="2073">
      <c r="A2073" s="3" t="n">
        <v>2024</v>
      </c>
      <c r="B2073" s="4" t="n">
        <v>19200</v>
      </c>
      <c r="C2073" s="4" t="n">
        <v>1500</v>
      </c>
      <c r="D2073" s="4" t="n">
        <v>453.75</v>
      </c>
      <c r="E2073" s="5" t="n">
        <v>42.3</v>
      </c>
      <c r="F2073" s="3" t="inlineStr">
        <is>
          <t>전동면</t>
        </is>
      </c>
      <c r="G2073" s="3" t="inlineStr">
        <is>
          <t>송곡리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전동면</t>
        </is>
      </c>
    </row>
    <row r="2074">
      <c r="A2074" s="3" t="n">
        <v>2024</v>
      </c>
      <c r="B2074" s="4" t="n">
        <v>12300</v>
      </c>
      <c r="C2074" s="4" t="n">
        <v>990</v>
      </c>
      <c r="D2074" s="4" t="n">
        <v>299.475</v>
      </c>
      <c r="E2074" s="5" t="n">
        <v>41.1</v>
      </c>
      <c r="F2074" s="3" t="inlineStr">
        <is>
          <t>전동면</t>
        </is>
      </c>
      <c r="G2074" s="3" t="inlineStr">
        <is>
          <t>송곡리</t>
        </is>
      </c>
      <c r="H2074" s="3" t="inlineStr">
        <is>
          <t>농림지역</t>
        </is>
      </c>
      <c r="I2074" s="3" t="inlineStr">
        <is>
          <t>답</t>
        </is>
      </c>
      <c r="J2074" s="3" t="inlineStr">
        <is>
          <t>전동면</t>
        </is>
      </c>
    </row>
    <row r="2075">
      <c r="A2075" s="3" t="n">
        <v>2024</v>
      </c>
      <c r="B2075" s="4" t="n">
        <v>5000</v>
      </c>
      <c r="C2075" s="4" t="n">
        <v>19</v>
      </c>
      <c r="D2075" s="4" t="n">
        <v>5.7475</v>
      </c>
      <c r="E2075" s="5" t="n">
        <v>869.9</v>
      </c>
      <c r="F2075" s="3" t="inlineStr">
        <is>
          <t>금남면</t>
        </is>
      </c>
      <c r="G2075" s="3" t="inlineStr">
        <is>
          <t>영치리</t>
        </is>
      </c>
      <c r="H2075" s="3" t="inlineStr">
        <is>
          <t>자연녹지지역</t>
        </is>
      </c>
      <c r="I2075" s="3" t="inlineStr">
        <is>
          <t>대</t>
        </is>
      </c>
      <c r="J2075" s="3" t="inlineStr">
        <is>
          <t>금남면</t>
        </is>
      </c>
    </row>
    <row r="2076">
      <c r="A2076" s="3" t="n">
        <v>2024</v>
      </c>
      <c r="B2076" s="4" t="n">
        <v>60000</v>
      </c>
      <c r="C2076" s="4" t="n">
        <v>1540</v>
      </c>
      <c r="D2076" s="4" t="n">
        <v>465.85</v>
      </c>
      <c r="E2076" s="5" t="n">
        <v>128.8</v>
      </c>
      <c r="F2076" s="3" t="inlineStr">
        <is>
          <t>금남면</t>
        </is>
      </c>
      <c r="G2076" s="3" t="inlineStr">
        <is>
          <t>원봉리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금남면</t>
        </is>
      </c>
    </row>
    <row r="2077">
      <c r="A2077" s="3" t="n">
        <v>2024</v>
      </c>
      <c r="B2077" s="4" t="n">
        <v>9300</v>
      </c>
      <c r="C2077" s="4" t="n">
        <v>227</v>
      </c>
      <c r="D2077" s="4" t="n">
        <v>68.6675</v>
      </c>
      <c r="E2077" s="5" t="n">
        <v>135.4</v>
      </c>
      <c r="F2077" s="3" t="inlineStr">
        <is>
          <t>금남면</t>
        </is>
      </c>
      <c r="G2077" s="3" t="inlineStr">
        <is>
          <t>원봉리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금남면</t>
        </is>
      </c>
    </row>
    <row r="2078">
      <c r="A2078" s="3" t="n">
        <v>2024</v>
      </c>
      <c r="B2078" s="4" t="n">
        <v>230</v>
      </c>
      <c r="C2078" s="4" t="n">
        <v>15</v>
      </c>
      <c r="D2078" s="4" t="n">
        <v>4.5375</v>
      </c>
      <c r="E2078" s="5" t="n">
        <v>50.7</v>
      </c>
      <c r="F2078" s="3" t="inlineStr">
        <is>
          <t>금남면</t>
        </is>
      </c>
      <c r="G2078" s="3" t="inlineStr">
        <is>
          <t>원봉리</t>
        </is>
      </c>
      <c r="H2078" s="3" t="inlineStr">
        <is>
          <t>계획관리지역</t>
        </is>
      </c>
      <c r="I2078" s="3" t="inlineStr">
        <is>
          <t>도로</t>
        </is>
      </c>
      <c r="J2078" s="3" t="inlineStr">
        <is>
          <t>금남면</t>
        </is>
      </c>
    </row>
    <row r="2079">
      <c r="A2079" s="3" t="n">
        <v>2024</v>
      </c>
      <c r="B2079" s="4" t="n">
        <v>115</v>
      </c>
      <c r="C2079" s="4" t="n">
        <v>7</v>
      </c>
      <c r="D2079" s="4" t="n">
        <v>2.1175</v>
      </c>
      <c r="E2079" s="5" t="n">
        <v>54.3</v>
      </c>
      <c r="F2079" s="3" t="inlineStr">
        <is>
          <t>금남면</t>
        </is>
      </c>
      <c r="G2079" s="3" t="inlineStr">
        <is>
          <t>원봉리</t>
        </is>
      </c>
      <c r="H2079" s="3" t="inlineStr">
        <is>
          <t>계획관리지역</t>
        </is>
      </c>
      <c r="I2079" s="3" t="inlineStr">
        <is>
          <t>도로</t>
        </is>
      </c>
      <c r="J2079" s="3" t="inlineStr">
        <is>
          <t>금남면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2022</v>
      </c>
      <c r="B2082" s="4" t="n">
        <v>1900</v>
      </c>
      <c r="C2082" s="4" t="n">
        <v>889</v>
      </c>
      <c r="D2082" s="4" t="n">
        <v>268.9225</v>
      </c>
      <c r="E2082" s="5" t="n">
        <v>7.1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보전관리지역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2022</v>
      </c>
      <c r="B2083" s="4" t="n">
        <v>4100</v>
      </c>
      <c r="C2083" s="4" t="n">
        <v>1815</v>
      </c>
      <c r="D2083" s="4" t="n">
        <v>549.0375</v>
      </c>
      <c r="E2083" s="5" t="n">
        <v>7.5</v>
      </c>
      <c r="F2083" s="3" t="inlineStr">
        <is>
          <t>남이면</t>
        </is>
      </c>
      <c r="G2083" s="3" t="inlineStr">
        <is>
          <t>부용외천리</t>
        </is>
      </c>
      <c r="H2083" s="3" t="inlineStr">
        <is>
          <t>보전관리지역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2022</v>
      </c>
      <c r="B2084" s="4" t="n">
        <v>5000</v>
      </c>
      <c r="C2084" s="4" t="n">
        <v>585</v>
      </c>
      <c r="D2084" s="4" t="n">
        <v>176.9625</v>
      </c>
      <c r="E2084" s="5" t="n">
        <v>28.3</v>
      </c>
      <c r="F2084" s="3" t="inlineStr">
        <is>
          <t>남이면</t>
        </is>
      </c>
      <c r="G2084" s="3" t="inlineStr">
        <is>
          <t>석실리</t>
        </is>
      </c>
      <c r="H2084" s="3" t="inlineStr">
        <is>
          <t>보전녹지지역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3250</v>
      </c>
      <c r="C2085" s="4" t="n">
        <v>165</v>
      </c>
      <c r="D2085" s="4" t="n">
        <v>49.9125</v>
      </c>
      <c r="E2085" s="5" t="n">
        <v>65.09999999999999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2022</v>
      </c>
      <c r="B2086" s="4" t="n">
        <v>800</v>
      </c>
      <c r="C2086" s="4" t="n">
        <v>41</v>
      </c>
      <c r="D2086" s="4" t="n">
        <v>12.4025</v>
      </c>
      <c r="E2086" s="5" t="n">
        <v>64.5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도로</t>
        </is>
      </c>
      <c r="J2086" s="3" t="inlineStr">
        <is>
          <t>남이면</t>
        </is>
      </c>
    </row>
    <row r="2087">
      <c r="A2087" s="3" t="n">
        <v>2022</v>
      </c>
      <c r="B2087" s="4" t="n">
        <v>1100</v>
      </c>
      <c r="C2087" s="4" t="n">
        <v>55</v>
      </c>
      <c r="D2087" s="4" t="n">
        <v>16.6375</v>
      </c>
      <c r="E2087" s="5" t="n">
        <v>66.09999999999999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700</v>
      </c>
      <c r="C2088" s="4" t="n">
        <v>38</v>
      </c>
      <c r="D2088" s="4" t="n">
        <v>11.495</v>
      </c>
      <c r="E2088" s="5" t="n">
        <v>60.9</v>
      </c>
      <c r="F2088" s="3" t="inlineStr">
        <is>
          <t>남이면</t>
        </is>
      </c>
      <c r="G2088" s="3" t="inlineStr">
        <is>
          <t>석판리</t>
        </is>
      </c>
      <c r="H2088" s="3" t="inlineStr">
        <is>
          <t>자연녹지지역</t>
        </is>
      </c>
      <c r="I2088" s="3" t="inlineStr">
        <is>
          <t>도로</t>
        </is>
      </c>
      <c r="J2088" s="3" t="inlineStr">
        <is>
          <t>남이면</t>
        </is>
      </c>
    </row>
    <row r="2089">
      <c r="A2089" s="3" t="n">
        <v>2022</v>
      </c>
      <c r="B2089" s="4" t="n">
        <v>27800</v>
      </c>
      <c r="C2089" s="4" t="n">
        <v>1412</v>
      </c>
      <c r="D2089" s="4" t="n">
        <v>427.13</v>
      </c>
      <c r="E2089" s="5" t="n">
        <v>65.09999999999999</v>
      </c>
      <c r="F2089" s="3" t="inlineStr">
        <is>
          <t>남이면</t>
        </is>
      </c>
      <c r="G2089" s="3" t="inlineStr">
        <is>
          <t>석판리</t>
        </is>
      </c>
      <c r="H2089" s="3" t="inlineStr">
        <is>
          <t>자연녹지지역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2022</v>
      </c>
      <c r="B2090" s="4" t="n">
        <v>44500</v>
      </c>
      <c r="C2090" s="4" t="n">
        <v>2261</v>
      </c>
      <c r="D2090" s="4" t="n">
        <v>683.9525</v>
      </c>
      <c r="E2090" s="5" t="n">
        <v>65.09999999999999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200</v>
      </c>
      <c r="C2091" s="4" t="n">
        <v>12</v>
      </c>
      <c r="D2091" s="4" t="n">
        <v>3.63</v>
      </c>
      <c r="E2091" s="5" t="n">
        <v>55.1</v>
      </c>
      <c r="F2091" s="3" t="inlineStr">
        <is>
          <t>남이면</t>
        </is>
      </c>
      <c r="G2091" s="3" t="inlineStr">
        <is>
          <t>석판리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9700</v>
      </c>
      <c r="C2092" s="4" t="n">
        <v>495</v>
      </c>
      <c r="D2092" s="4" t="n">
        <v>149.7375</v>
      </c>
      <c r="E2092" s="5" t="n">
        <v>64.8</v>
      </c>
      <c r="F2092" s="3" t="inlineStr">
        <is>
          <t>남이면</t>
        </is>
      </c>
      <c r="G2092" s="3" t="inlineStr">
        <is>
          <t>석판리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12800</v>
      </c>
      <c r="C2093" s="4" t="n">
        <v>1700</v>
      </c>
      <c r="D2093" s="4" t="n">
        <v>514.25</v>
      </c>
      <c r="E2093" s="5" t="n">
        <v>24.9</v>
      </c>
      <c r="F2093" s="3" t="inlineStr">
        <is>
          <t>현도면</t>
        </is>
      </c>
      <c r="G2093" s="3" t="inlineStr">
        <is>
          <t>죽전리</t>
        </is>
      </c>
      <c r="H2093" s="3" t="inlineStr">
        <is>
          <t>개발제한구역</t>
        </is>
      </c>
      <c r="I2093" s="3" t="inlineStr">
        <is>
          <t>답</t>
        </is>
      </c>
      <c r="J2093" s="3" t="inlineStr">
        <is>
          <t>현도면</t>
        </is>
      </c>
    </row>
    <row r="2094">
      <c r="A2094" s="3" t="n">
        <v>2022</v>
      </c>
      <c r="B2094" s="4" t="n">
        <v>13000</v>
      </c>
      <c r="C2094" s="4" t="n">
        <v>1879</v>
      </c>
      <c r="D2094" s="4" t="n">
        <v>568.3975</v>
      </c>
      <c r="E2094" s="5" t="n">
        <v>22.9</v>
      </c>
      <c r="F2094" s="3" t="inlineStr">
        <is>
          <t>남이면</t>
        </is>
      </c>
      <c r="G2094" s="3" t="inlineStr">
        <is>
          <t>석실리</t>
        </is>
      </c>
      <c r="H2094" s="3" t="inlineStr">
        <is>
          <t>자연녹지지역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2022</v>
      </c>
      <c r="B2095" s="4" t="n">
        <v>33000</v>
      </c>
      <c r="C2095" s="4" t="n">
        <v>1587</v>
      </c>
      <c r="D2095" s="4" t="n">
        <v>480.0675</v>
      </c>
      <c r="E2095" s="5" t="n">
        <v>68.7</v>
      </c>
      <c r="F2095" s="3" t="inlineStr">
        <is>
          <t>남이면</t>
        </is>
      </c>
      <c r="G2095" s="3" t="inlineStr">
        <is>
          <t>양촌리</t>
        </is>
      </c>
      <c r="H2095" s="3" t="inlineStr">
        <is>
          <t>자연녹지지역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62000</v>
      </c>
      <c r="C2096" s="4" t="n">
        <v>1395</v>
      </c>
      <c r="D2096" s="4" t="n">
        <v>421.9875</v>
      </c>
      <c r="E2096" s="5" t="n">
        <v>146.9</v>
      </c>
      <c r="F2096" s="3" t="inlineStr">
        <is>
          <t>현도면</t>
        </is>
      </c>
      <c r="G2096" s="3" t="inlineStr">
        <is>
          <t>매봉리</t>
        </is>
      </c>
      <c r="H2096" s="3" t="inlineStr">
        <is>
          <t>제2종일반주거지역</t>
        </is>
      </c>
      <c r="I2096" s="3" t="inlineStr">
        <is>
          <t>답</t>
        </is>
      </c>
      <c r="J2096" s="3" t="inlineStr">
        <is>
          <t>현도면</t>
        </is>
      </c>
    </row>
    <row r="2097">
      <c r="A2097" s="3" t="n">
        <v>2022</v>
      </c>
      <c r="B2097" s="4" t="n">
        <v>11500</v>
      </c>
      <c r="C2097" s="4" t="n">
        <v>1031</v>
      </c>
      <c r="D2097" s="4" t="n">
        <v>311.8775</v>
      </c>
      <c r="E2097" s="5" t="n">
        <v>36.9</v>
      </c>
      <c r="F2097" s="3" t="inlineStr">
        <is>
          <t>현도면</t>
        </is>
      </c>
      <c r="G2097" s="3" t="inlineStr">
        <is>
          <t>죽전리</t>
        </is>
      </c>
      <c r="H2097" s="3" t="inlineStr">
        <is>
          <t>개발제한구역</t>
        </is>
      </c>
      <c r="I2097" s="3" t="inlineStr">
        <is>
          <t>답</t>
        </is>
      </c>
      <c r="J2097" s="3" t="inlineStr">
        <is>
          <t>현도면</t>
        </is>
      </c>
    </row>
    <row r="2098">
      <c r="A2098" s="3" t="n">
        <v>2022</v>
      </c>
      <c r="B2098" s="4" t="n">
        <v>47500</v>
      </c>
      <c r="C2098" s="4" t="n">
        <v>4734</v>
      </c>
      <c r="D2098" s="4" t="n">
        <v>1432.035</v>
      </c>
      <c r="E2098" s="5" t="n">
        <v>33.2</v>
      </c>
      <c r="F2098" s="3" t="inlineStr">
        <is>
          <t>남이면</t>
        </is>
      </c>
      <c r="G2098" s="3" t="inlineStr">
        <is>
          <t>구암리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43796</v>
      </c>
      <c r="C2099" s="4" t="n">
        <v>7239</v>
      </c>
      <c r="D2099" s="4" t="n">
        <v>2189.7975</v>
      </c>
      <c r="E2099" s="5" t="n">
        <v>20</v>
      </c>
      <c r="F2099" s="3" t="inlineStr">
        <is>
          <t>전동면</t>
        </is>
      </c>
      <c r="G2099" s="3" t="inlineStr">
        <is>
          <t>미곡리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전동면</t>
        </is>
      </c>
    </row>
    <row r="2100">
      <c r="A2100" s="3" t="n">
        <v>2022</v>
      </c>
      <c r="B2100" s="4" t="n">
        <v>10120</v>
      </c>
      <c r="C2100" s="4" t="n">
        <v>436</v>
      </c>
      <c r="D2100" s="4" t="n">
        <v>131.89</v>
      </c>
      <c r="E2100" s="5" t="n">
        <v>76.7</v>
      </c>
      <c r="F2100" s="3" t="inlineStr">
        <is>
          <t>장군면</t>
        </is>
      </c>
      <c r="G2100" s="3" t="inlineStr">
        <is>
          <t>금암리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장군면</t>
        </is>
      </c>
    </row>
    <row r="2101">
      <c r="A2101" s="3" t="n">
        <v>2022</v>
      </c>
      <c r="B2101" s="4" t="n">
        <v>21099</v>
      </c>
      <c r="C2101" s="4" t="n">
        <v>909</v>
      </c>
      <c r="D2101" s="4" t="n">
        <v>274.9725</v>
      </c>
      <c r="E2101" s="5" t="n">
        <v>76.7</v>
      </c>
      <c r="F2101" s="3" t="inlineStr">
        <is>
          <t>장군면</t>
        </is>
      </c>
      <c r="G2101" s="3" t="inlineStr">
        <is>
          <t>금암리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장군면</t>
        </is>
      </c>
    </row>
    <row r="2102">
      <c r="A2102" s="3" t="n">
        <v>2022</v>
      </c>
      <c r="B2102" s="4" t="n">
        <v>20520</v>
      </c>
      <c r="C2102" s="4" t="n">
        <v>22612</v>
      </c>
      <c r="D2102" s="4" t="n">
        <v>6840.13</v>
      </c>
      <c r="E2102" s="5" t="n">
        <v>3</v>
      </c>
      <c r="F2102" s="3" t="inlineStr">
        <is>
          <t>연서면</t>
        </is>
      </c>
      <c r="G2102" s="3" t="inlineStr">
        <is>
          <t>기룡리</t>
        </is>
      </c>
      <c r="H2102" s="3" t="inlineStr">
        <is>
          <t>농림지역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132000</v>
      </c>
      <c r="C2103" s="4" t="n">
        <v>3725</v>
      </c>
      <c r="D2103" s="4" t="n">
        <v>1126.8125</v>
      </c>
      <c r="E2103" s="5" t="n">
        <v>117.1</v>
      </c>
      <c r="F2103" s="3" t="inlineStr">
        <is>
          <t>연서면</t>
        </is>
      </c>
      <c r="G2103" s="3" t="inlineStr">
        <is>
          <t>성제리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연서면</t>
        </is>
      </c>
    </row>
    <row r="2104">
      <c r="A2104" s="3" t="n">
        <v>2022</v>
      </c>
      <c r="B2104" s="4" t="n">
        <v>45000</v>
      </c>
      <c r="C2104" s="4" t="n">
        <v>3154</v>
      </c>
      <c r="D2104" s="4" t="n">
        <v>954.0849999999999</v>
      </c>
      <c r="E2104" s="5" t="n">
        <v>47.2</v>
      </c>
      <c r="F2104" s="3" t="inlineStr">
        <is>
          <t>장군면</t>
        </is>
      </c>
      <c r="G2104" s="3" t="inlineStr">
        <is>
          <t>태산리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장군면</t>
        </is>
      </c>
    </row>
    <row r="2105">
      <c r="A2105" s="3" t="n">
        <v>2022</v>
      </c>
      <c r="B2105" s="4" t="n">
        <v>700</v>
      </c>
      <c r="C2105" s="4" t="n">
        <v>32</v>
      </c>
      <c r="D2105" s="4" t="n">
        <v>9.68</v>
      </c>
      <c r="E2105" s="5" t="n">
        <v>72.3</v>
      </c>
      <c r="F2105" s="3" t="inlineStr">
        <is>
          <t>조치원읍</t>
        </is>
      </c>
      <c r="G2105" s="3" t="inlineStr">
        <is>
          <t>서창리</t>
        </is>
      </c>
      <c r="H2105" s="3" t="inlineStr">
        <is>
          <t>제1종일반주거지역</t>
        </is>
      </c>
      <c r="I2105" s="3" t="inlineStr">
        <is>
          <t>전</t>
        </is>
      </c>
      <c r="J2105" s="3" t="inlineStr">
        <is>
          <t>조치원읍</t>
        </is>
      </c>
    </row>
    <row r="2106">
      <c r="A2106" s="3" t="n">
        <v>2022</v>
      </c>
      <c r="B2106" s="4" t="n">
        <v>48800</v>
      </c>
      <c r="C2106" s="4" t="n">
        <v>2939</v>
      </c>
      <c r="D2106" s="4" t="n">
        <v>889.0475</v>
      </c>
      <c r="E2106" s="5" t="n">
        <v>54.9</v>
      </c>
      <c r="F2106" s="3" t="inlineStr">
        <is>
          <t>소정면</t>
        </is>
      </c>
      <c r="G2106" s="3" t="inlineStr">
        <is>
          <t>운당리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소정면</t>
        </is>
      </c>
    </row>
    <row r="2107">
      <c r="A2107" s="3" t="n">
        <v>2022</v>
      </c>
      <c r="B2107" s="4" t="n">
        <v>14000</v>
      </c>
      <c r="C2107" s="4" t="n">
        <v>1574</v>
      </c>
      <c r="D2107" s="4" t="n">
        <v>476.135</v>
      </c>
      <c r="E2107" s="5" t="n">
        <v>29.4</v>
      </c>
      <c r="F2107" s="3" t="inlineStr">
        <is>
          <t>금남면</t>
        </is>
      </c>
      <c r="G2107" s="3" t="inlineStr">
        <is>
          <t>용포리</t>
        </is>
      </c>
      <c r="H2107" s="3" t="inlineStr">
        <is>
          <t>개발제한구역</t>
        </is>
      </c>
      <c r="I2107" s="3" t="inlineStr">
        <is>
          <t>전</t>
        </is>
      </c>
      <c r="J2107" s="3" t="inlineStr">
        <is>
          <t>금남면</t>
        </is>
      </c>
    </row>
    <row r="2108">
      <c r="A2108" s="3" t="n">
        <v>2022</v>
      </c>
      <c r="B2108" s="4" t="n">
        <v>23850</v>
      </c>
      <c r="C2108" s="4" t="n">
        <v>526</v>
      </c>
      <c r="D2108" s="4" t="n">
        <v>159.115</v>
      </c>
      <c r="E2108" s="5" t="n">
        <v>149.9</v>
      </c>
      <c r="F2108" s="3" t="inlineStr">
        <is>
          <t>전의면</t>
        </is>
      </c>
      <c r="G2108" s="3" t="inlineStr">
        <is>
          <t>영당리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전의면</t>
        </is>
      </c>
    </row>
    <row r="2109">
      <c r="A2109" s="3" t="n">
        <v>2022</v>
      </c>
      <c r="B2109" s="4" t="n">
        <v>1150</v>
      </c>
      <c r="C2109" s="4" t="n">
        <v>92</v>
      </c>
      <c r="D2109" s="4" t="n">
        <v>27.83</v>
      </c>
      <c r="E2109" s="5" t="n">
        <v>41.3</v>
      </c>
      <c r="F2109" s="3" t="inlineStr">
        <is>
          <t>전의면</t>
        </is>
      </c>
      <c r="G2109" s="3" t="inlineStr">
        <is>
          <t>영당리</t>
        </is>
      </c>
      <c r="H2109" s="3" t="inlineStr">
        <is>
          <t>계획관리지역</t>
        </is>
      </c>
      <c r="I2109" s="3" t="inlineStr">
        <is>
          <t>도로</t>
        </is>
      </c>
      <c r="J2109" s="3" t="inlineStr">
        <is>
          <t>전의면</t>
        </is>
      </c>
    </row>
    <row r="2110">
      <c r="A2110" s="3" t="n">
        <v>2022</v>
      </c>
      <c r="B2110" s="4" t="n">
        <v>21700</v>
      </c>
      <c r="C2110" s="4" t="n">
        <v>598</v>
      </c>
      <c r="D2110" s="4" t="n">
        <v>180.895</v>
      </c>
      <c r="E2110" s="5" t="n">
        <v>120</v>
      </c>
      <c r="F2110" s="3" t="inlineStr">
        <is>
          <t>전동면</t>
        </is>
      </c>
      <c r="G2110" s="3" t="inlineStr">
        <is>
          <t>송곡리</t>
        </is>
      </c>
      <c r="H2110" s="3" t="inlineStr">
        <is>
          <t>계획관리지역</t>
        </is>
      </c>
      <c r="I2110" s="3" t="inlineStr">
        <is>
          <t>답</t>
        </is>
      </c>
      <c r="J2110" s="3" t="inlineStr">
        <is>
          <t>전동면</t>
        </is>
      </c>
    </row>
    <row r="2111">
      <c r="A2111" s="3" t="n">
        <v>2022</v>
      </c>
      <c r="B2111" s="4" t="n">
        <v>63100</v>
      </c>
      <c r="C2111" s="4" t="n">
        <v>3330</v>
      </c>
      <c r="D2111" s="4" t="n">
        <v>1007.325</v>
      </c>
      <c r="E2111" s="5" t="n">
        <v>62.6</v>
      </c>
      <c r="F2111" s="3" t="inlineStr">
        <is>
          <t>전의면</t>
        </is>
      </c>
      <c r="G2111" s="3" t="inlineStr">
        <is>
          <t>서정리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전의면</t>
        </is>
      </c>
    </row>
    <row r="2112">
      <c r="A2112" s="3" t="n">
        <v>2022</v>
      </c>
      <c r="B2112" s="4" t="n">
        <v>1900</v>
      </c>
      <c r="C2112" s="4" t="n">
        <v>101</v>
      </c>
      <c r="D2112" s="4" t="n">
        <v>30.5525</v>
      </c>
      <c r="E2112" s="5" t="n">
        <v>62.2</v>
      </c>
      <c r="F2112" s="3" t="inlineStr">
        <is>
          <t>전의면</t>
        </is>
      </c>
      <c r="G2112" s="3" t="inlineStr">
        <is>
          <t>서정리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전의면</t>
        </is>
      </c>
    </row>
    <row r="2113">
      <c r="A2113" s="3" t="n">
        <v>2023</v>
      </c>
      <c r="B2113" s="4" t="n">
        <v>37500</v>
      </c>
      <c r="C2113" s="4" t="n">
        <v>839</v>
      </c>
      <c r="D2113" s="4" t="n">
        <v>253.7975</v>
      </c>
      <c r="E2113" s="5" t="n">
        <v>147.8</v>
      </c>
      <c r="F2113" s="3" t="inlineStr">
        <is>
          <t>전의면</t>
        </is>
      </c>
      <c r="G2113" s="3" t="inlineStr">
        <is>
          <t>서정리</t>
        </is>
      </c>
      <c r="H2113" s="3" t="inlineStr">
        <is>
          <t>계획관리지역</t>
        </is>
      </c>
      <c r="I2113" s="3" t="inlineStr">
        <is>
          <t>답</t>
        </is>
      </c>
      <c r="J2113" s="3" t="inlineStr">
        <is>
          <t>전의면</t>
        </is>
      </c>
    </row>
    <row r="2114">
      <c r="A2114" s="3" t="n">
        <v>2023</v>
      </c>
      <c r="B2114" s="4" t="n">
        <v>8000</v>
      </c>
      <c r="C2114" s="4" t="n">
        <v>360</v>
      </c>
      <c r="D2114" s="4" t="n">
        <v>108.9</v>
      </c>
      <c r="E2114" s="5" t="n">
        <v>73.5</v>
      </c>
      <c r="F2114" s="3" t="inlineStr">
        <is>
          <t>연서면</t>
        </is>
      </c>
      <c r="G2114" s="3" t="inlineStr">
        <is>
          <t>성제리</t>
        </is>
      </c>
      <c r="H2114" s="3" t="inlineStr">
        <is>
          <t>자연녹지지역</t>
        </is>
      </c>
      <c r="I2114" s="3" t="inlineStr">
        <is>
          <t>대</t>
        </is>
      </c>
      <c r="J2114" s="3" t="inlineStr">
        <is>
          <t>연서면</t>
        </is>
      </c>
    </row>
    <row r="2115">
      <c r="A2115" s="3" t="n">
        <v>2023</v>
      </c>
      <c r="B2115" s="4" t="n">
        <v>21000</v>
      </c>
      <c r="C2115" s="4" t="n">
        <v>281</v>
      </c>
      <c r="D2115" s="4" t="n">
        <v>85.0025</v>
      </c>
      <c r="E2115" s="5" t="n">
        <v>247.1</v>
      </c>
      <c r="F2115" s="3" t="inlineStr">
        <is>
          <t>연서면</t>
        </is>
      </c>
      <c r="G2115" s="3" t="inlineStr">
        <is>
          <t>고복리</t>
        </is>
      </c>
      <c r="H2115" s="3" t="inlineStr">
        <is>
          <t>자연환경보전</t>
        </is>
      </c>
      <c r="I2115" s="3" t="inlineStr">
        <is>
          <t>대</t>
        </is>
      </c>
      <c r="J2115" s="3" t="inlineStr">
        <is>
          <t>연서면</t>
        </is>
      </c>
    </row>
    <row r="2116">
      <c r="A2116" s="3" t="n">
        <v>2023</v>
      </c>
      <c r="B2116" s="4" t="n">
        <v>15300</v>
      </c>
      <c r="C2116" s="4" t="n">
        <v>1056</v>
      </c>
      <c r="D2116" s="4" t="n">
        <v>319.44</v>
      </c>
      <c r="E2116" s="5" t="n">
        <v>47.9</v>
      </c>
      <c r="F2116" s="3" t="inlineStr">
        <is>
          <t>금남면</t>
        </is>
      </c>
      <c r="G2116" s="3" t="inlineStr">
        <is>
          <t>신촌리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금남면</t>
        </is>
      </c>
    </row>
    <row r="2117">
      <c r="A2117" s="3" t="n">
        <v>2023</v>
      </c>
      <c r="B2117" s="4" t="n">
        <v>20000</v>
      </c>
      <c r="C2117" s="4" t="n">
        <v>1468</v>
      </c>
      <c r="D2117" s="4" t="n">
        <v>444.07</v>
      </c>
      <c r="E2117" s="5" t="n">
        <v>45</v>
      </c>
      <c r="F2117" s="3" t="inlineStr">
        <is>
          <t>금남면</t>
        </is>
      </c>
      <c r="G2117" s="3" t="inlineStr">
        <is>
          <t>영치리</t>
        </is>
      </c>
      <c r="H2117" s="3" t="inlineStr">
        <is>
          <t>개발제한구역</t>
        </is>
      </c>
      <c r="I2117" s="3" t="inlineStr">
        <is>
          <t>답</t>
        </is>
      </c>
      <c r="J2117" s="3" t="inlineStr">
        <is>
          <t>금남면</t>
        </is>
      </c>
    </row>
    <row r="2118">
      <c r="A2118" s="3" t="n">
        <v>2023</v>
      </c>
      <c r="B2118" s="4" t="n">
        <v>17822</v>
      </c>
      <c r="C2118" s="4" t="n">
        <v>491</v>
      </c>
      <c r="D2118" s="4" t="n">
        <v>148.5275</v>
      </c>
      <c r="E2118" s="5" t="n">
        <v>120</v>
      </c>
      <c r="F2118" s="3" t="inlineStr">
        <is>
          <t>연서면</t>
        </is>
      </c>
      <c r="G2118" s="3" t="inlineStr">
        <is>
          <t>쌍류리</t>
        </is>
      </c>
      <c r="H2118" s="3" t="inlineStr">
        <is>
          <t>보전관리지역</t>
        </is>
      </c>
      <c r="I2118" s="3" t="inlineStr">
        <is>
          <t>임야</t>
        </is>
      </c>
      <c r="J2118" s="3" t="inlineStr">
        <is>
          <t>연서면</t>
        </is>
      </c>
    </row>
    <row r="2119">
      <c r="A2119" s="3" t="n">
        <v>2023</v>
      </c>
      <c r="B2119" s="4" t="n">
        <v>22734</v>
      </c>
      <c r="C2119" s="4" t="n">
        <v>500</v>
      </c>
      <c r="D2119" s="4" t="n">
        <v>151.25</v>
      </c>
      <c r="E2119" s="5" t="n">
        <v>150.3</v>
      </c>
      <c r="F2119" s="3" t="inlineStr">
        <is>
          <t>전의면</t>
        </is>
      </c>
      <c r="G2119" s="3" t="inlineStr">
        <is>
          <t>서정리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전의면</t>
        </is>
      </c>
    </row>
    <row r="2120">
      <c r="A2120" s="3" t="n">
        <v>2023</v>
      </c>
      <c r="B2120" s="4" t="n">
        <v>10000</v>
      </c>
      <c r="C2120" s="4" t="n">
        <v>1288</v>
      </c>
      <c r="D2120" s="4" t="n">
        <v>389.62</v>
      </c>
      <c r="E2120" s="5" t="n">
        <v>25.7</v>
      </c>
      <c r="F2120" s="3" t="inlineStr">
        <is>
          <t>부강면</t>
        </is>
      </c>
      <c r="G2120" s="3" t="inlineStr">
        <is>
          <t>금호리</t>
        </is>
      </c>
      <c r="H2120" s="3" t="inlineStr">
        <is>
          <t>계획관리지역</t>
        </is>
      </c>
      <c r="I2120" s="3" t="inlineStr">
        <is>
          <t>전</t>
        </is>
      </c>
      <c r="J2120" s="3" t="inlineStr">
        <is>
          <t>부강면</t>
        </is>
      </c>
    </row>
    <row r="2121">
      <c r="A2121" s="3" t="n">
        <v>2023</v>
      </c>
      <c r="B2121" s="4" t="n">
        <v>230</v>
      </c>
      <c r="C2121" s="4" t="n">
        <v>11</v>
      </c>
      <c r="D2121" s="4" t="n">
        <v>3.3275</v>
      </c>
      <c r="E2121" s="5" t="n">
        <v>69.09999999999999</v>
      </c>
      <c r="F2121" s="3" t="inlineStr">
        <is>
          <t>연서면</t>
        </is>
      </c>
      <c r="G2121" s="3" t="inlineStr">
        <is>
          <t>와촌리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연서면</t>
        </is>
      </c>
    </row>
    <row r="2122">
      <c r="A2122" s="3" t="n">
        <v>2023</v>
      </c>
      <c r="B2122" s="4" t="n">
        <v>96720</v>
      </c>
      <c r="C2122" s="4" t="n">
        <v>1030</v>
      </c>
      <c r="D2122" s="4" t="n">
        <v>311.575</v>
      </c>
      <c r="E2122" s="5" t="n">
        <v>310.4</v>
      </c>
      <c r="F2122" s="3" t="inlineStr">
        <is>
          <t>금남면</t>
        </is>
      </c>
      <c r="G2122" s="3" t="inlineStr">
        <is>
          <t>호탄리</t>
        </is>
      </c>
      <c r="H2122" s="3" t="inlineStr">
        <is>
          <t>개발제한구역</t>
        </is>
      </c>
      <c r="I2122" s="3" t="inlineStr">
        <is>
          <t>전</t>
        </is>
      </c>
      <c r="J2122" s="3" t="inlineStr">
        <is>
          <t>금남면</t>
        </is>
      </c>
    </row>
    <row r="2123">
      <c r="A2123" s="3" t="n">
        <v>2023</v>
      </c>
      <c r="B2123" s="4" t="n">
        <v>14000</v>
      </c>
      <c r="C2123" s="4" t="n">
        <v>940</v>
      </c>
      <c r="D2123" s="4" t="n">
        <v>284.35</v>
      </c>
      <c r="E2123" s="5" t="n">
        <v>49.2</v>
      </c>
      <c r="F2123" s="3" t="inlineStr">
        <is>
          <t>전동면</t>
        </is>
      </c>
      <c r="G2123" s="3" t="inlineStr">
        <is>
          <t>미곡리</t>
        </is>
      </c>
      <c r="H2123" s="3" t="inlineStr">
        <is>
          <t>생산관리지역</t>
        </is>
      </c>
      <c r="I2123" s="3" t="inlineStr">
        <is>
          <t>전</t>
        </is>
      </c>
      <c r="J2123" s="3" t="inlineStr">
        <is>
          <t>전동면</t>
        </is>
      </c>
    </row>
    <row r="2124">
      <c r="A2124" s="3" t="n">
        <v>2023</v>
      </c>
      <c r="B2124" s="4" t="n">
        <v>68000</v>
      </c>
      <c r="C2124" s="4" t="n">
        <v>370.5</v>
      </c>
      <c r="D2124" s="4" t="n">
        <v>112.07625</v>
      </c>
      <c r="E2124" s="5" t="n">
        <v>606.7</v>
      </c>
      <c r="F2124" s="3" t="inlineStr">
        <is>
          <t>반곡동</t>
        </is>
      </c>
      <c r="G2124" s="3" t="inlineStr"/>
      <c r="H2124" s="3" t="inlineStr">
        <is>
          <t>제1종전용주거지역</t>
        </is>
      </c>
      <c r="I2124" s="3" t="inlineStr">
        <is>
          <t>대</t>
        </is>
      </c>
      <c r="J2124" s="3" t="inlineStr">
        <is>
          <t>반곡동</t>
        </is>
      </c>
    </row>
    <row r="2125">
      <c r="A2125" s="3" t="n">
        <v>2023</v>
      </c>
      <c r="B2125" s="4" t="n">
        <v>26790</v>
      </c>
      <c r="C2125" s="4" t="n">
        <v>490</v>
      </c>
      <c r="D2125" s="4" t="n">
        <v>148.225</v>
      </c>
      <c r="E2125" s="5" t="n">
        <v>180.7</v>
      </c>
      <c r="F2125" s="3" t="inlineStr">
        <is>
          <t>전의면</t>
        </is>
      </c>
      <c r="G2125" s="3" t="inlineStr">
        <is>
          <t>신흥리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전의면</t>
        </is>
      </c>
    </row>
    <row r="2126">
      <c r="A2126" s="3" t="n">
        <v>2023</v>
      </c>
      <c r="B2126" s="4" t="n">
        <v>35870</v>
      </c>
      <c r="C2126" s="4" t="n">
        <v>623</v>
      </c>
      <c r="D2126" s="4" t="n">
        <v>188.4575</v>
      </c>
      <c r="E2126" s="5" t="n">
        <v>190.3</v>
      </c>
      <c r="F2126" s="3" t="inlineStr">
        <is>
          <t>전의면</t>
        </is>
      </c>
      <c r="G2126" s="3" t="inlineStr">
        <is>
          <t>신흥리</t>
        </is>
      </c>
      <c r="H2126" s="3" t="inlineStr">
        <is>
          <t>농림지역</t>
        </is>
      </c>
      <c r="I2126" s="3" t="inlineStr">
        <is>
          <t>전</t>
        </is>
      </c>
      <c r="J2126" s="3" t="inlineStr">
        <is>
          <t>전의면</t>
        </is>
      </c>
    </row>
    <row r="2127">
      <c r="A2127" s="3" t="n">
        <v>2023</v>
      </c>
      <c r="B2127" s="4" t="n">
        <v>19770</v>
      </c>
      <c r="C2127" s="4" t="n">
        <v>361</v>
      </c>
      <c r="D2127" s="4" t="n">
        <v>109.2025</v>
      </c>
      <c r="E2127" s="5" t="n">
        <v>181</v>
      </c>
      <c r="F2127" s="3" t="inlineStr">
        <is>
          <t>전의면</t>
        </is>
      </c>
      <c r="G2127" s="3" t="inlineStr">
        <is>
          <t>신흥리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전의면</t>
        </is>
      </c>
    </row>
    <row r="2128">
      <c r="A2128" s="3" t="n">
        <v>2023</v>
      </c>
      <c r="B2128" s="4" t="n">
        <v>20000</v>
      </c>
      <c r="C2128" s="4" t="n">
        <v>661</v>
      </c>
      <c r="D2128" s="4" t="n">
        <v>199.9525</v>
      </c>
      <c r="E2128" s="5" t="n">
        <v>100</v>
      </c>
      <c r="F2128" s="3" t="inlineStr">
        <is>
          <t>전의면</t>
        </is>
      </c>
      <c r="G2128" s="3" t="inlineStr">
        <is>
          <t>동교리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전의면</t>
        </is>
      </c>
    </row>
    <row r="2129">
      <c r="A2129" s="3" t="n">
        <v>2023</v>
      </c>
      <c r="B2129" s="4" t="n">
        <v>12360</v>
      </c>
      <c r="C2129" s="4" t="n">
        <v>227</v>
      </c>
      <c r="D2129" s="4" t="n">
        <v>68.6675</v>
      </c>
      <c r="E2129" s="5" t="n">
        <v>180</v>
      </c>
      <c r="F2129" s="3" t="inlineStr">
        <is>
          <t>금남면</t>
        </is>
      </c>
      <c r="G2129" s="3" t="inlineStr">
        <is>
          <t>성덕리</t>
        </is>
      </c>
      <c r="H2129" s="3" t="inlineStr">
        <is>
          <t>생산관리지역</t>
        </is>
      </c>
      <c r="I2129" s="3" t="inlineStr">
        <is>
          <t>답</t>
        </is>
      </c>
      <c r="J2129" s="3" t="inlineStr">
        <is>
          <t>금남면</t>
        </is>
      </c>
    </row>
    <row r="2130">
      <c r="A2130" s="3" t="n">
        <v>2023</v>
      </c>
      <c r="B2130" s="4" t="n">
        <v>16389</v>
      </c>
      <c r="C2130" s="4" t="n">
        <v>301</v>
      </c>
      <c r="D2130" s="4" t="n">
        <v>91.05249999999999</v>
      </c>
      <c r="E2130" s="5" t="n">
        <v>180</v>
      </c>
      <c r="F2130" s="3" t="inlineStr">
        <is>
          <t>금남면</t>
        </is>
      </c>
      <c r="G2130" s="3" t="inlineStr">
        <is>
          <t>성덕리</t>
        </is>
      </c>
      <c r="H2130" s="3" t="inlineStr">
        <is>
          <t>생산관리지역</t>
        </is>
      </c>
      <c r="I2130" s="3" t="inlineStr">
        <is>
          <t>목장용지</t>
        </is>
      </c>
      <c r="J2130" s="3" t="inlineStr">
        <is>
          <t>금남면</t>
        </is>
      </c>
    </row>
    <row r="2131">
      <c r="A2131" s="3" t="n">
        <v>2023</v>
      </c>
      <c r="B2131" s="4" t="n">
        <v>2994</v>
      </c>
      <c r="C2131" s="4" t="n">
        <v>1654</v>
      </c>
      <c r="D2131" s="4" t="n">
        <v>500.335</v>
      </c>
      <c r="E2131" s="5" t="n">
        <v>6</v>
      </c>
      <c r="F2131" s="3" t="inlineStr">
        <is>
          <t>소정면</t>
        </is>
      </c>
      <c r="G2131" s="3" t="inlineStr">
        <is>
          <t>대곡리</t>
        </is>
      </c>
      <c r="H2131" s="3" t="inlineStr">
        <is>
          <t>농림지역</t>
        </is>
      </c>
      <c r="I2131" s="3" t="inlineStr">
        <is>
          <t>임야</t>
        </is>
      </c>
      <c r="J2131" s="3" t="inlineStr">
        <is>
          <t>소정면</t>
        </is>
      </c>
    </row>
    <row r="2132">
      <c r="A2132" s="3" t="n">
        <v>2023</v>
      </c>
      <c r="B2132" s="4" t="n">
        <v>65340</v>
      </c>
      <c r="C2132" s="4" t="n">
        <v>2920</v>
      </c>
      <c r="D2132" s="4" t="n">
        <v>883.3</v>
      </c>
      <c r="E2132" s="5" t="n">
        <v>74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2023</v>
      </c>
      <c r="B2133" s="4" t="n">
        <v>11076</v>
      </c>
      <c r="C2133" s="4" t="n">
        <v>410</v>
      </c>
      <c r="D2133" s="4" t="n">
        <v>124.025</v>
      </c>
      <c r="E2133" s="5" t="n">
        <v>89.3</v>
      </c>
      <c r="F2133" s="3" t="inlineStr">
        <is>
          <t>연서면</t>
        </is>
      </c>
      <c r="G2133" s="3" t="inlineStr">
        <is>
          <t>성제리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연서면</t>
        </is>
      </c>
    </row>
    <row r="2134">
      <c r="A2134" s="3" t="n">
        <v>2023</v>
      </c>
      <c r="B2134" s="4" t="n">
        <v>16534</v>
      </c>
      <c r="C2134" s="4" t="n">
        <v>612</v>
      </c>
      <c r="D2134" s="4" t="n">
        <v>185.13</v>
      </c>
      <c r="E2134" s="5" t="n">
        <v>89.3</v>
      </c>
      <c r="F2134" s="3" t="inlineStr">
        <is>
          <t>연서면</t>
        </is>
      </c>
      <c r="G2134" s="3" t="inlineStr">
        <is>
          <t>성제리</t>
        </is>
      </c>
      <c r="H2134" s="3" t="inlineStr">
        <is>
          <t>자연녹지지역</t>
        </is>
      </c>
      <c r="I2134" s="3" t="inlineStr">
        <is>
          <t>전</t>
        </is>
      </c>
      <c r="J2134" s="3" t="inlineStr">
        <is>
          <t>연서면</t>
        </is>
      </c>
    </row>
    <row r="2135">
      <c r="A2135" s="3" t="n">
        <v>2022</v>
      </c>
      <c r="B2135" s="4" t="n">
        <v>20000</v>
      </c>
      <c r="C2135" s="4" t="n">
        <v>2109</v>
      </c>
      <c r="D2135" s="4" t="n">
        <v>637.9725</v>
      </c>
      <c r="E2135" s="5" t="n">
        <v>31.3</v>
      </c>
      <c r="F2135" s="3" t="inlineStr">
        <is>
          <t>전의면</t>
        </is>
      </c>
      <c r="G2135" s="3" t="inlineStr">
        <is>
          <t>서정리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전의면</t>
        </is>
      </c>
    </row>
    <row r="2136">
      <c r="A2136" s="3" t="n">
        <v>2023</v>
      </c>
      <c r="B2136" s="4" t="n">
        <v>29744</v>
      </c>
      <c r="C2136" s="4" t="n">
        <v>1101</v>
      </c>
      <c r="D2136" s="4" t="n">
        <v>333.0525</v>
      </c>
      <c r="E2136" s="5" t="n">
        <v>89.3</v>
      </c>
      <c r="F2136" s="3" t="inlineStr">
        <is>
          <t>연서면</t>
        </is>
      </c>
      <c r="G2136" s="3" t="inlineStr">
        <is>
          <t>성제리</t>
        </is>
      </c>
      <c r="H2136" s="3" t="inlineStr">
        <is>
          <t>자연녹지지역</t>
        </is>
      </c>
      <c r="I2136" s="3" t="inlineStr">
        <is>
          <t>전</t>
        </is>
      </c>
      <c r="J2136" s="3" t="inlineStr">
        <is>
          <t>연서면</t>
        </is>
      </c>
    </row>
    <row r="2137">
      <c r="A2137" s="3" t="n">
        <v>2023</v>
      </c>
      <c r="B2137" s="4" t="n">
        <v>12600</v>
      </c>
      <c r="C2137" s="4" t="n">
        <v>350</v>
      </c>
      <c r="D2137" s="4" t="n">
        <v>105.875</v>
      </c>
      <c r="E2137" s="5" t="n">
        <v>119</v>
      </c>
      <c r="F2137" s="3" t="inlineStr">
        <is>
          <t>금남면</t>
        </is>
      </c>
      <c r="G2137" s="3" t="inlineStr">
        <is>
          <t>원봉리</t>
        </is>
      </c>
      <c r="H2137" s="3" t="inlineStr">
        <is>
          <t>생산관리지역</t>
        </is>
      </c>
      <c r="I2137" s="3" t="inlineStr">
        <is>
          <t>전</t>
        </is>
      </c>
      <c r="J2137" s="3" t="inlineStr">
        <is>
          <t>금남면</t>
        </is>
      </c>
    </row>
    <row r="2138">
      <c r="A2138" s="3" t="n">
        <v>2023</v>
      </c>
      <c r="B2138" s="4" t="n">
        <v>8487</v>
      </c>
      <c r="C2138" s="4" t="n">
        <v>314</v>
      </c>
      <c r="D2138" s="4" t="n">
        <v>94.985</v>
      </c>
      <c r="E2138" s="5" t="n">
        <v>89.40000000000001</v>
      </c>
      <c r="F2138" s="3" t="inlineStr">
        <is>
          <t>연서면</t>
        </is>
      </c>
      <c r="G2138" s="3" t="inlineStr">
        <is>
          <t>성제리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연서면</t>
        </is>
      </c>
    </row>
    <row r="2139">
      <c r="A2139" s="3" t="n">
        <v>2023</v>
      </c>
      <c r="B2139" s="4" t="n">
        <v>1000</v>
      </c>
      <c r="C2139" s="4" t="n">
        <v>201</v>
      </c>
      <c r="D2139" s="4" t="n">
        <v>60.80249999999999</v>
      </c>
      <c r="E2139" s="5" t="n">
        <v>16.4</v>
      </c>
      <c r="F2139" s="3" t="inlineStr">
        <is>
          <t>금남면</t>
        </is>
      </c>
      <c r="G2139" s="3" t="inlineStr">
        <is>
          <t>원봉리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금남면</t>
        </is>
      </c>
    </row>
    <row r="2140">
      <c r="A2140" s="3" t="n">
        <v>2023</v>
      </c>
      <c r="B2140" s="4" t="n">
        <v>1000</v>
      </c>
      <c r="C2140" s="4" t="n">
        <v>201</v>
      </c>
      <c r="D2140" s="4" t="n">
        <v>60.80249999999999</v>
      </c>
      <c r="E2140" s="5" t="n">
        <v>16.4</v>
      </c>
      <c r="F2140" s="3" t="inlineStr">
        <is>
          <t>금남면</t>
        </is>
      </c>
      <c r="G2140" s="3" t="inlineStr">
        <is>
          <t>원봉리</t>
        </is>
      </c>
      <c r="H2140" s="3" t="inlineStr">
        <is>
          <t>농림지역</t>
        </is>
      </c>
      <c r="I2140" s="3" t="inlineStr">
        <is>
          <t>답</t>
        </is>
      </c>
      <c r="J2140" s="3" t="inlineStr">
        <is>
          <t>금남면</t>
        </is>
      </c>
    </row>
    <row r="2141">
      <c r="A2141" s="3" t="n">
        <v>2023</v>
      </c>
      <c r="B2141" s="4" t="n">
        <v>18571</v>
      </c>
      <c r="C2141" s="4" t="n">
        <v>1654</v>
      </c>
      <c r="D2141" s="4" t="n">
        <v>500.335</v>
      </c>
      <c r="E2141" s="5" t="n">
        <v>37.1</v>
      </c>
      <c r="F2141" s="3" t="inlineStr">
        <is>
          <t>소정면</t>
        </is>
      </c>
      <c r="G2141" s="3" t="inlineStr">
        <is>
          <t>대곡리</t>
        </is>
      </c>
      <c r="H2141" s="3" t="inlineStr">
        <is>
          <t>농림지역</t>
        </is>
      </c>
      <c r="I2141" s="3" t="inlineStr">
        <is>
          <t>임야</t>
        </is>
      </c>
      <c r="J2141" s="3" t="inlineStr">
        <is>
          <t>소정면</t>
        </is>
      </c>
    </row>
    <row r="2142">
      <c r="A2142" s="3" t="n">
        <v>2023</v>
      </c>
      <c r="B2142" s="4" t="n">
        <v>99845</v>
      </c>
      <c r="C2142" s="4" t="n">
        <v>3669</v>
      </c>
      <c r="D2142" s="4" t="n">
        <v>1109.8725</v>
      </c>
      <c r="E2142" s="5" t="n">
        <v>90</v>
      </c>
      <c r="F2142" s="3" t="inlineStr">
        <is>
          <t>연서면</t>
        </is>
      </c>
      <c r="G2142" s="3" t="inlineStr">
        <is>
          <t>성제리</t>
        </is>
      </c>
      <c r="H2142" s="3" t="inlineStr">
        <is>
          <t>자연녹지지역</t>
        </is>
      </c>
      <c r="I2142" s="3" t="inlineStr">
        <is>
          <t>임야</t>
        </is>
      </c>
      <c r="J2142" s="3" t="inlineStr">
        <is>
          <t>연서면</t>
        </is>
      </c>
    </row>
    <row r="2143">
      <c r="A2143" s="3" t="n">
        <v>2023</v>
      </c>
      <c r="B2143" s="4" t="n">
        <v>56685</v>
      </c>
      <c r="C2143" s="4" t="n">
        <v>2083</v>
      </c>
      <c r="D2143" s="4" t="n">
        <v>630.1075</v>
      </c>
      <c r="E2143" s="5" t="n">
        <v>90</v>
      </c>
      <c r="F2143" s="3" t="inlineStr">
        <is>
          <t>연서면</t>
        </is>
      </c>
      <c r="G2143" s="3" t="inlineStr">
        <is>
          <t>성제리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연서면</t>
        </is>
      </c>
    </row>
    <row r="2144">
      <c r="A2144" s="3" t="n">
        <v>2023</v>
      </c>
      <c r="B2144" s="4" t="n">
        <v>21000</v>
      </c>
      <c r="C2144" s="4" t="n">
        <v>772</v>
      </c>
      <c r="D2144" s="4" t="n">
        <v>233.53</v>
      </c>
      <c r="E2144" s="5" t="n">
        <v>89.90000000000001</v>
      </c>
      <c r="F2144" s="3" t="inlineStr">
        <is>
          <t>금남면</t>
        </is>
      </c>
      <c r="G2144" s="3" t="inlineStr">
        <is>
          <t>남곡리</t>
        </is>
      </c>
      <c r="H2144" s="3" t="inlineStr">
        <is>
          <t>개발제한구역</t>
        </is>
      </c>
      <c r="I2144" s="3" t="inlineStr">
        <is>
          <t>전</t>
        </is>
      </c>
      <c r="J2144" s="3" t="inlineStr">
        <is>
          <t>금남면</t>
        </is>
      </c>
    </row>
    <row r="2145">
      <c r="A2145" s="3" t="n">
        <v>2023</v>
      </c>
      <c r="B2145" s="4" t="n">
        <v>33463</v>
      </c>
      <c r="C2145" s="4" t="n">
        <v>1230</v>
      </c>
      <c r="D2145" s="4" t="n">
        <v>372.075</v>
      </c>
      <c r="E2145" s="5" t="n">
        <v>89.90000000000001</v>
      </c>
      <c r="F2145" s="3" t="inlineStr">
        <is>
          <t>연서면</t>
        </is>
      </c>
      <c r="G2145" s="3" t="inlineStr">
        <is>
          <t>성제리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연서면</t>
        </is>
      </c>
    </row>
    <row r="2146">
      <c r="A2146" s="3" t="n">
        <v>2023</v>
      </c>
      <c r="B2146" s="4" t="n">
        <v>34007</v>
      </c>
      <c r="C2146" s="4" t="n">
        <v>1250</v>
      </c>
      <c r="D2146" s="4" t="n">
        <v>378.125</v>
      </c>
      <c r="E2146" s="5" t="n">
        <v>89.90000000000001</v>
      </c>
      <c r="F2146" s="3" t="inlineStr">
        <is>
          <t>연서면</t>
        </is>
      </c>
      <c r="G2146" s="3" t="inlineStr">
        <is>
          <t>성제리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연서면</t>
        </is>
      </c>
    </row>
    <row r="2147">
      <c r="A2147" s="3" t="n">
        <v>2023</v>
      </c>
      <c r="B2147" s="4" t="n">
        <v>81000</v>
      </c>
      <c r="C2147" s="4" t="n">
        <v>2699</v>
      </c>
      <c r="D2147" s="4" t="n">
        <v>816.4475</v>
      </c>
      <c r="E2147" s="5" t="n">
        <v>99.2</v>
      </c>
      <c r="F2147" s="3" t="inlineStr">
        <is>
          <t>소정면</t>
        </is>
      </c>
      <c r="G2147" s="3" t="inlineStr">
        <is>
          <t>고등리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소정면</t>
        </is>
      </c>
    </row>
    <row r="2148">
      <c r="A2148" s="3" t="n">
        <v>2023</v>
      </c>
      <c r="B2148" s="4" t="n">
        <v>68000</v>
      </c>
      <c r="C2148" s="4" t="n">
        <v>370.5</v>
      </c>
      <c r="D2148" s="4" t="n">
        <v>112.07625</v>
      </c>
      <c r="E2148" s="5" t="n">
        <v>606.7</v>
      </c>
      <c r="F2148" s="3" t="inlineStr">
        <is>
          <t>반곡동</t>
        </is>
      </c>
      <c r="G2148" s="3" t="inlineStr"/>
      <c r="H2148" s="3" t="inlineStr">
        <is>
          <t>제1종전용주거지역</t>
        </is>
      </c>
      <c r="I2148" s="3" t="inlineStr">
        <is>
          <t>대</t>
        </is>
      </c>
      <c r="J2148" s="3" t="inlineStr">
        <is>
          <t>반곡동</t>
        </is>
      </c>
    </row>
    <row r="2149">
      <c r="A2149" s="3" t="n">
        <v>2023</v>
      </c>
      <c r="B2149" s="4" t="n">
        <v>36000</v>
      </c>
      <c r="C2149" s="4" t="n">
        <v>364</v>
      </c>
      <c r="D2149" s="4" t="n">
        <v>110.11</v>
      </c>
      <c r="E2149" s="5" t="n">
        <v>326.9</v>
      </c>
      <c r="F2149" s="3" t="inlineStr">
        <is>
          <t>연동면</t>
        </is>
      </c>
      <c r="G2149" s="3" t="inlineStr">
        <is>
          <t>노송리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연동면</t>
        </is>
      </c>
    </row>
    <row r="2150">
      <c r="A2150" s="3" t="n">
        <v>2023</v>
      </c>
      <c r="B2150" s="4" t="n">
        <v>7832</v>
      </c>
      <c r="C2150" s="4" t="n">
        <v>6612</v>
      </c>
      <c r="D2150" s="4" t="n">
        <v>2000.13</v>
      </c>
      <c r="E2150" s="5" t="n">
        <v>3.9</v>
      </c>
      <c r="F2150" s="3" t="inlineStr">
        <is>
          <t>소정면</t>
        </is>
      </c>
      <c r="G2150" s="3" t="inlineStr">
        <is>
          <t>운당리</t>
        </is>
      </c>
      <c r="H2150" s="3" t="inlineStr">
        <is>
          <t>농림지역</t>
        </is>
      </c>
      <c r="I2150" s="3" t="inlineStr">
        <is>
          <t>임야</t>
        </is>
      </c>
      <c r="J2150" s="3" t="inlineStr">
        <is>
          <t>소정면</t>
        </is>
      </c>
    </row>
    <row r="2151">
      <c r="A2151" s="3" t="n">
        <v>2023</v>
      </c>
      <c r="B2151" s="4" t="n">
        <v>20000</v>
      </c>
      <c r="C2151" s="4" t="n">
        <v>711</v>
      </c>
      <c r="D2151" s="4" t="n">
        <v>215.0775</v>
      </c>
      <c r="E2151" s="5" t="n">
        <v>93</v>
      </c>
      <c r="F2151" s="3" t="inlineStr">
        <is>
          <t>장군면</t>
        </is>
      </c>
      <c r="G2151" s="3" t="inlineStr">
        <is>
          <t>용암리</t>
        </is>
      </c>
      <c r="H2151" s="3" t="inlineStr">
        <is>
          <t>생산관리지역</t>
        </is>
      </c>
      <c r="I2151" s="3" t="inlineStr">
        <is>
          <t>전</t>
        </is>
      </c>
      <c r="J2151" s="3" t="inlineStr">
        <is>
          <t>장군면</t>
        </is>
      </c>
    </row>
    <row r="2152">
      <c r="A2152" s="3" t="n">
        <v>2023</v>
      </c>
      <c r="B2152" s="4" t="n">
        <v>52039</v>
      </c>
      <c r="C2152" s="4" t="n">
        <v>1325</v>
      </c>
      <c r="D2152" s="4" t="n">
        <v>400.8125</v>
      </c>
      <c r="E2152" s="5" t="n">
        <v>129.8</v>
      </c>
      <c r="F2152" s="3" t="inlineStr">
        <is>
          <t>전동면</t>
        </is>
      </c>
      <c r="G2152" s="3" t="inlineStr">
        <is>
          <t>송곡리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전동면</t>
        </is>
      </c>
    </row>
    <row r="2153">
      <c r="A2153" s="3" t="n">
        <v>2023</v>
      </c>
      <c r="B2153" s="4" t="n">
        <v>18616</v>
      </c>
      <c r="C2153" s="4" t="n">
        <v>474</v>
      </c>
      <c r="D2153" s="4" t="n">
        <v>143.385</v>
      </c>
      <c r="E2153" s="5" t="n">
        <v>129.8</v>
      </c>
      <c r="F2153" s="3" t="inlineStr">
        <is>
          <t>전동면</t>
        </is>
      </c>
      <c r="G2153" s="3" t="inlineStr">
        <is>
          <t>송곡리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전동면</t>
        </is>
      </c>
    </row>
    <row r="2154">
      <c r="A2154" s="3" t="n">
        <v>2023</v>
      </c>
      <c r="B2154" s="4" t="n">
        <v>49000</v>
      </c>
      <c r="C2154" s="4" t="n">
        <v>304.2</v>
      </c>
      <c r="D2154" s="4" t="n">
        <v>92.0205</v>
      </c>
      <c r="E2154" s="5" t="n">
        <v>532.5</v>
      </c>
      <c r="F2154" s="3" t="inlineStr">
        <is>
          <t>아름동</t>
        </is>
      </c>
      <c r="G2154" s="3" t="inlineStr"/>
      <c r="H2154" s="3" t="inlineStr">
        <is>
          <t>제1종전용주거지역</t>
        </is>
      </c>
      <c r="I2154" s="3" t="inlineStr">
        <is>
          <t>대</t>
        </is>
      </c>
      <c r="J2154" s="3" t="inlineStr">
        <is>
          <t>아름동</t>
        </is>
      </c>
    </row>
    <row r="2155">
      <c r="A2155" s="3" t="n">
        <v>2023</v>
      </c>
      <c r="B2155" s="4" t="n">
        <v>22480</v>
      </c>
      <c r="C2155" s="4" t="n">
        <v>1653</v>
      </c>
      <c r="D2155" s="4" t="n">
        <v>500.0325</v>
      </c>
      <c r="E2155" s="5" t="n">
        <v>45</v>
      </c>
      <c r="F2155" s="3" t="inlineStr">
        <is>
          <t>장군면</t>
        </is>
      </c>
      <c r="G2155" s="3" t="inlineStr">
        <is>
          <t>금암리</t>
        </is>
      </c>
      <c r="H2155" s="3" t="inlineStr">
        <is>
          <t>농림지역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6000</v>
      </c>
      <c r="C2156" s="4" t="n">
        <v>625</v>
      </c>
      <c r="D2156" s="4" t="n">
        <v>189.0625</v>
      </c>
      <c r="E2156" s="5" t="n">
        <v>31.7</v>
      </c>
      <c r="F2156" s="3" t="inlineStr">
        <is>
          <t>전의면</t>
        </is>
      </c>
      <c r="G2156" s="3" t="inlineStr">
        <is>
          <t>서정리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전의면</t>
        </is>
      </c>
    </row>
    <row r="2157">
      <c r="A2157" s="3" t="n">
        <v>2022</v>
      </c>
      <c r="B2157" s="4" t="n">
        <v>109000</v>
      </c>
      <c r="C2157" s="4" t="n">
        <v>2148</v>
      </c>
      <c r="D2157" s="4" t="n">
        <v>649.77</v>
      </c>
      <c r="E2157" s="5" t="n">
        <v>167.8</v>
      </c>
      <c r="F2157" s="3" t="inlineStr">
        <is>
          <t>부강면</t>
        </is>
      </c>
      <c r="G2157" s="3" t="inlineStr">
        <is>
          <t>금호리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부강면</t>
        </is>
      </c>
    </row>
    <row r="2158">
      <c r="A2158" s="3" t="n">
        <v>2022</v>
      </c>
      <c r="B2158" s="4" t="n">
        <v>29750</v>
      </c>
      <c r="C2158" s="4" t="n">
        <v>1157</v>
      </c>
      <c r="D2158" s="4" t="n">
        <v>349.9925</v>
      </c>
      <c r="E2158" s="5" t="n">
        <v>85</v>
      </c>
      <c r="F2158" s="3" t="inlineStr">
        <is>
          <t>전동면</t>
        </is>
      </c>
      <c r="G2158" s="3" t="inlineStr">
        <is>
          <t>석곡리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전동면</t>
        </is>
      </c>
    </row>
    <row r="2159">
      <c r="A2159" s="3" t="n">
        <v>2022</v>
      </c>
      <c r="B2159" s="4" t="n">
        <v>21953</v>
      </c>
      <c r="C2159" s="4" t="n">
        <v>246</v>
      </c>
      <c r="D2159" s="4" t="n">
        <v>74.41499999999999</v>
      </c>
      <c r="E2159" s="5" t="n">
        <v>295</v>
      </c>
      <c r="F2159" s="3" t="inlineStr">
        <is>
          <t>전의면</t>
        </is>
      </c>
      <c r="G2159" s="3" t="inlineStr">
        <is>
          <t>읍내리</t>
        </is>
      </c>
      <c r="H2159" s="3" t="inlineStr">
        <is>
          <t>일반공업지역</t>
        </is>
      </c>
      <c r="I2159" s="3" t="inlineStr">
        <is>
          <t>대</t>
        </is>
      </c>
      <c r="J2159" s="3" t="inlineStr">
        <is>
          <t>전의면</t>
        </is>
      </c>
    </row>
    <row r="2160">
      <c r="A2160" s="3" t="n">
        <v>2022</v>
      </c>
      <c r="B2160" s="4" t="n">
        <v>24300</v>
      </c>
      <c r="C2160" s="4" t="n">
        <v>805</v>
      </c>
      <c r="D2160" s="4" t="n">
        <v>243.5125</v>
      </c>
      <c r="E2160" s="5" t="n">
        <v>99.8</v>
      </c>
      <c r="F2160" s="3" t="inlineStr">
        <is>
          <t>전의면</t>
        </is>
      </c>
      <c r="G2160" s="3" t="inlineStr">
        <is>
          <t>읍내리</t>
        </is>
      </c>
      <c r="H2160" s="3" t="inlineStr">
        <is>
          <t>제1종일반주거지역</t>
        </is>
      </c>
      <c r="I2160" s="3" t="inlineStr">
        <is>
          <t>답</t>
        </is>
      </c>
      <c r="J2160" s="3" t="inlineStr">
        <is>
          <t>전의면</t>
        </is>
      </c>
    </row>
    <row r="2161">
      <c r="A2161" s="3" t="n">
        <v>2022</v>
      </c>
      <c r="B2161" s="4" t="n">
        <v>34800</v>
      </c>
      <c r="C2161" s="4" t="n">
        <v>858</v>
      </c>
      <c r="D2161" s="4" t="n">
        <v>259.545</v>
      </c>
      <c r="E2161" s="5" t="n">
        <v>134.1</v>
      </c>
      <c r="F2161" s="3" t="inlineStr">
        <is>
          <t>장군면</t>
        </is>
      </c>
      <c r="G2161" s="3" t="inlineStr">
        <is>
          <t>금암리</t>
        </is>
      </c>
      <c r="H2161" s="3" t="inlineStr">
        <is>
          <t>농림지역</t>
        </is>
      </c>
      <c r="I2161" s="3" t="inlineStr">
        <is>
          <t>임야</t>
        </is>
      </c>
      <c r="J2161" s="3" t="inlineStr">
        <is>
          <t>장군면</t>
        </is>
      </c>
    </row>
    <row r="2162">
      <c r="A2162" s="3" t="n">
        <v>2022</v>
      </c>
      <c r="B2162" s="4" t="n">
        <v>60480</v>
      </c>
      <c r="C2162" s="4" t="n">
        <v>1667</v>
      </c>
      <c r="D2162" s="4" t="n">
        <v>504.2675</v>
      </c>
      <c r="E2162" s="5" t="n">
        <v>119.9</v>
      </c>
      <c r="F2162" s="3" t="inlineStr">
        <is>
          <t>장군면</t>
        </is>
      </c>
      <c r="G2162" s="3" t="inlineStr">
        <is>
          <t>하봉리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장군면</t>
        </is>
      </c>
    </row>
    <row r="2163">
      <c r="A2163" s="3" t="n">
        <v>2022</v>
      </c>
      <c r="B2163" s="4" t="n">
        <v>39700</v>
      </c>
      <c r="C2163" s="4" t="n">
        <v>1094</v>
      </c>
      <c r="D2163" s="4" t="n">
        <v>330.935</v>
      </c>
      <c r="E2163" s="5" t="n">
        <v>120</v>
      </c>
      <c r="F2163" s="3" t="inlineStr">
        <is>
          <t>전동면</t>
        </is>
      </c>
      <c r="G2163" s="3" t="inlineStr">
        <is>
          <t>송곡리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전동면</t>
        </is>
      </c>
    </row>
    <row r="2164">
      <c r="A2164" s="3" t="n">
        <v>2022</v>
      </c>
      <c r="B2164" s="4" t="n">
        <v>23200</v>
      </c>
      <c r="C2164" s="4" t="n">
        <v>268</v>
      </c>
      <c r="D2164" s="4" t="n">
        <v>81.06999999999999</v>
      </c>
      <c r="E2164" s="5" t="n">
        <v>286.2</v>
      </c>
      <c r="F2164" s="3" t="inlineStr">
        <is>
          <t>장군면</t>
        </is>
      </c>
      <c r="G2164" s="3" t="inlineStr">
        <is>
          <t>금암리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장군면</t>
        </is>
      </c>
    </row>
    <row r="2165">
      <c r="A2165" s="3" t="n">
        <v>2022</v>
      </c>
      <c r="B2165" s="4" t="n">
        <v>22600</v>
      </c>
      <c r="C2165" s="4" t="n">
        <v>262</v>
      </c>
      <c r="D2165" s="4" t="n">
        <v>79.255</v>
      </c>
      <c r="E2165" s="5" t="n">
        <v>285.2</v>
      </c>
      <c r="F2165" s="3" t="inlineStr">
        <is>
          <t>장군면</t>
        </is>
      </c>
      <c r="G2165" s="3" t="inlineStr">
        <is>
          <t>금암리</t>
        </is>
      </c>
      <c r="H2165" s="3" t="inlineStr">
        <is>
          <t>계획관리지역</t>
        </is>
      </c>
      <c r="I2165" s="3" t="inlineStr">
        <is>
          <t>전</t>
        </is>
      </c>
      <c r="J2165" s="3" t="inlineStr">
        <is>
          <t>장군면</t>
        </is>
      </c>
    </row>
    <row r="2166">
      <c r="A2166" s="3" t="n">
        <v>2022</v>
      </c>
      <c r="B2166" s="4" t="n">
        <v>900</v>
      </c>
      <c r="C2166" s="4" t="n">
        <v>23</v>
      </c>
      <c r="D2166" s="4" t="n">
        <v>6.9575</v>
      </c>
      <c r="E2166" s="5" t="n">
        <v>129.4</v>
      </c>
      <c r="F2166" s="3" t="inlineStr">
        <is>
          <t>장군면</t>
        </is>
      </c>
      <c r="G2166" s="3" t="inlineStr">
        <is>
          <t>금암리</t>
        </is>
      </c>
      <c r="H2166" s="3" t="inlineStr">
        <is>
          <t>계획관리지역</t>
        </is>
      </c>
      <c r="I2166" s="3" t="inlineStr">
        <is>
          <t>대</t>
        </is>
      </c>
      <c r="J2166" s="3" t="inlineStr">
        <is>
          <t>장군면</t>
        </is>
      </c>
    </row>
    <row r="2167">
      <c r="A2167" s="3" t="n">
        <v>2022</v>
      </c>
      <c r="B2167" s="4" t="n">
        <v>108300</v>
      </c>
      <c r="C2167" s="4" t="n">
        <v>47723</v>
      </c>
      <c r="D2167" s="4" t="n">
        <v>14436.2075</v>
      </c>
      <c r="E2167" s="5" t="n">
        <v>7.5</v>
      </c>
      <c r="F2167" s="3" t="inlineStr">
        <is>
          <t>전동면</t>
        </is>
      </c>
      <c r="G2167" s="3" t="inlineStr">
        <is>
          <t>심중리</t>
        </is>
      </c>
      <c r="H2167" s="3" t="inlineStr">
        <is>
          <t>보전관리지역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43650</v>
      </c>
      <c r="C2168" s="4" t="n">
        <v>645</v>
      </c>
      <c r="D2168" s="4" t="n">
        <v>195.1125</v>
      </c>
      <c r="E2168" s="5" t="n">
        <v>223.7</v>
      </c>
      <c r="F2168" s="3" t="inlineStr">
        <is>
          <t>금남면</t>
        </is>
      </c>
      <c r="G2168" s="3" t="inlineStr">
        <is>
          <t>성덕리</t>
        </is>
      </c>
      <c r="H2168" s="3" t="inlineStr">
        <is>
          <t>생산관리지역</t>
        </is>
      </c>
      <c r="I2168" s="3" t="inlineStr">
        <is>
          <t>양어장</t>
        </is>
      </c>
      <c r="J2168" s="3" t="inlineStr">
        <is>
          <t>금남면</t>
        </is>
      </c>
    </row>
    <row r="2169">
      <c r="A2169" s="3" t="n">
        <v>2022</v>
      </c>
      <c r="B2169" s="4" t="n">
        <v>7000</v>
      </c>
      <c r="C2169" s="4" t="n">
        <v>147</v>
      </c>
      <c r="D2169" s="4" t="n">
        <v>44.4675</v>
      </c>
      <c r="E2169" s="5" t="n">
        <v>157.4</v>
      </c>
      <c r="F2169" s="3" t="inlineStr">
        <is>
          <t>연서면</t>
        </is>
      </c>
      <c r="G2169" s="3" t="inlineStr">
        <is>
          <t>쌍전리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연서면</t>
        </is>
      </c>
    </row>
    <row r="2170">
      <c r="A2170" s="3" t="n">
        <v>2022</v>
      </c>
      <c r="B2170" s="4" t="n">
        <v>91470</v>
      </c>
      <c r="C2170" s="4" t="n">
        <v>3577</v>
      </c>
      <c r="D2170" s="4" t="n">
        <v>1082.0425</v>
      </c>
      <c r="E2170" s="5" t="n">
        <v>84.5</v>
      </c>
      <c r="F2170" s="3" t="inlineStr">
        <is>
          <t>전의면</t>
        </is>
      </c>
      <c r="G2170" s="3" t="inlineStr">
        <is>
          <t>신정리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전의면</t>
        </is>
      </c>
    </row>
    <row r="2171">
      <c r="A2171" s="3" t="n">
        <v>2022</v>
      </c>
      <c r="B2171" s="4" t="n">
        <v>21160</v>
      </c>
      <c r="C2171" s="4" t="n">
        <v>1831</v>
      </c>
      <c r="D2171" s="4" t="n">
        <v>553.8774999999999</v>
      </c>
      <c r="E2171" s="5" t="n">
        <v>38.2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부강면</t>
        </is>
      </c>
    </row>
    <row r="2172">
      <c r="A2172" s="3" t="n">
        <v>2022</v>
      </c>
      <c r="B2172" s="4" t="n">
        <v>10000</v>
      </c>
      <c r="C2172" s="4" t="n">
        <v>198</v>
      </c>
      <c r="D2172" s="4" t="n">
        <v>59.895</v>
      </c>
      <c r="E2172" s="5" t="n">
        <v>167</v>
      </c>
      <c r="F2172" s="3" t="inlineStr">
        <is>
          <t>연서면</t>
        </is>
      </c>
      <c r="G2172" s="3" t="inlineStr">
        <is>
          <t>쌍전리</t>
        </is>
      </c>
      <c r="H2172" s="3" t="inlineStr">
        <is>
          <t>자연녹지지역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15000</v>
      </c>
      <c r="C2173" s="4" t="n">
        <v>399</v>
      </c>
      <c r="D2173" s="4" t="n">
        <v>120.6975</v>
      </c>
      <c r="E2173" s="5" t="n">
        <v>124.3</v>
      </c>
      <c r="F2173" s="3" t="inlineStr">
        <is>
          <t>연서면</t>
        </is>
      </c>
      <c r="G2173" s="3" t="inlineStr">
        <is>
          <t>와촌리</t>
        </is>
      </c>
      <c r="H2173" s="3" t="inlineStr">
        <is>
          <t>보전관리지역</t>
        </is>
      </c>
      <c r="I2173" s="3" t="inlineStr">
        <is>
          <t>전</t>
        </is>
      </c>
      <c r="J2173" s="3" t="inlineStr">
        <is>
          <t>연서면</t>
        </is>
      </c>
    </row>
    <row r="2174">
      <c r="A2174" s="3" t="n">
        <v>2022</v>
      </c>
      <c r="B2174" s="4" t="n">
        <v>280000</v>
      </c>
      <c r="C2174" s="4" t="n">
        <v>3699</v>
      </c>
      <c r="D2174" s="4" t="n">
        <v>1118.9475</v>
      </c>
      <c r="E2174" s="5" t="n">
        <v>250.2</v>
      </c>
      <c r="F2174" s="3" t="inlineStr">
        <is>
          <t>장군면</t>
        </is>
      </c>
      <c r="G2174" s="3" t="inlineStr">
        <is>
          <t>금암리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장군면</t>
        </is>
      </c>
    </row>
    <row r="2175">
      <c r="A2175" s="3" t="n">
        <v>2022</v>
      </c>
      <c r="B2175" s="4" t="n">
        <v>2160</v>
      </c>
      <c r="C2175" s="4" t="n">
        <v>180</v>
      </c>
      <c r="D2175" s="4" t="n">
        <v>54.45</v>
      </c>
      <c r="E2175" s="5" t="n">
        <v>39.7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33956</v>
      </c>
      <c r="C2176" s="4" t="n">
        <v>466</v>
      </c>
      <c r="D2176" s="4" t="n">
        <v>140.965</v>
      </c>
      <c r="E2176" s="5" t="n">
        <v>240.9</v>
      </c>
      <c r="F2176" s="3" t="inlineStr">
        <is>
          <t>금남면</t>
        </is>
      </c>
      <c r="G2176" s="3" t="inlineStr">
        <is>
          <t>성덕리</t>
        </is>
      </c>
      <c r="H2176" s="3" t="inlineStr">
        <is>
          <t>보전관리지역</t>
        </is>
      </c>
      <c r="I2176" s="3" t="inlineStr">
        <is>
          <t>임야</t>
        </is>
      </c>
      <c r="J2176" s="3" t="inlineStr">
        <is>
          <t>금남면</t>
        </is>
      </c>
    </row>
    <row r="2177">
      <c r="A2177" s="3" t="n">
        <v>2022</v>
      </c>
      <c r="B2177" s="4" t="n">
        <v>6013</v>
      </c>
      <c r="C2177" s="4" t="n">
        <v>26</v>
      </c>
      <c r="D2177" s="4" t="n">
        <v>7.865</v>
      </c>
      <c r="E2177" s="5" t="n">
        <v>764.5</v>
      </c>
      <c r="F2177" s="3" t="inlineStr">
        <is>
          <t>조치원읍</t>
        </is>
      </c>
      <c r="G2177" s="3" t="inlineStr">
        <is>
          <t>원리</t>
        </is>
      </c>
      <c r="H2177" s="3" t="inlineStr">
        <is>
          <t>일반상업지역</t>
        </is>
      </c>
      <c r="I2177" s="3" t="inlineStr">
        <is>
          <t>대</t>
        </is>
      </c>
      <c r="J2177" s="3" t="inlineStr">
        <is>
          <t>조치원읍</t>
        </is>
      </c>
    </row>
    <row r="2178">
      <c r="A2178" s="3" t="n">
        <v>2022</v>
      </c>
      <c r="B2178" s="4" t="n">
        <v>11928</v>
      </c>
      <c r="C2178" s="4" t="n">
        <v>399</v>
      </c>
      <c r="D2178" s="4" t="n">
        <v>120.6975</v>
      </c>
      <c r="E2178" s="5" t="n">
        <v>98.8</v>
      </c>
      <c r="F2178" s="3" t="inlineStr">
        <is>
          <t>장군면</t>
        </is>
      </c>
      <c r="G2178" s="3" t="inlineStr">
        <is>
          <t>송문리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장군면</t>
        </is>
      </c>
    </row>
    <row r="2179">
      <c r="A2179" s="3" t="n">
        <v>2022</v>
      </c>
      <c r="B2179" s="4" t="n">
        <v>60000</v>
      </c>
      <c r="C2179" s="4" t="n">
        <v>31430</v>
      </c>
      <c r="D2179" s="4" t="n">
        <v>9507.574999999999</v>
      </c>
      <c r="E2179" s="5" t="n">
        <v>6.3</v>
      </c>
      <c r="F2179" s="3" t="inlineStr">
        <is>
          <t>장군면</t>
        </is>
      </c>
      <c r="G2179" s="3" t="inlineStr">
        <is>
          <t>송문리</t>
        </is>
      </c>
      <c r="H2179" s="3" t="inlineStr">
        <is>
          <t>농림지역</t>
        </is>
      </c>
      <c r="I2179" s="3" t="inlineStr">
        <is>
          <t>임야</t>
        </is>
      </c>
      <c r="J2179" s="3" t="inlineStr">
        <is>
          <t>장군면</t>
        </is>
      </c>
    </row>
    <row r="2180">
      <c r="A2180" s="3" t="n">
        <v>2022</v>
      </c>
      <c r="B2180" s="4" t="n">
        <v>60000</v>
      </c>
      <c r="C2180" s="4" t="n">
        <v>46816</v>
      </c>
      <c r="D2180" s="4" t="n">
        <v>14161.84</v>
      </c>
      <c r="E2180" s="5" t="n">
        <v>4.2</v>
      </c>
      <c r="F2180" s="3" t="inlineStr">
        <is>
          <t>장군면</t>
        </is>
      </c>
      <c r="G2180" s="3" t="inlineStr">
        <is>
          <t>송문리</t>
        </is>
      </c>
      <c r="H2180" s="3" t="inlineStr">
        <is>
          <t>농림지역</t>
        </is>
      </c>
      <c r="I2180" s="3" t="inlineStr">
        <is>
          <t>임야</t>
        </is>
      </c>
      <c r="J2180" s="3" t="inlineStr">
        <is>
          <t>장군면</t>
        </is>
      </c>
    </row>
    <row r="2181">
      <c r="A2181" s="3" t="n">
        <v>2022</v>
      </c>
      <c r="B2181" s="4" t="n">
        <v>200000</v>
      </c>
      <c r="C2181" s="4" t="n">
        <v>12265</v>
      </c>
      <c r="D2181" s="4" t="n">
        <v>3710.1625</v>
      </c>
      <c r="E2181" s="5" t="n">
        <v>53.9</v>
      </c>
      <c r="F2181" s="3" t="inlineStr">
        <is>
          <t>장군면</t>
        </is>
      </c>
      <c r="G2181" s="3" t="inlineStr">
        <is>
          <t>송문리</t>
        </is>
      </c>
      <c r="H2181" s="3" t="inlineStr">
        <is>
          <t>보전관리지역</t>
        </is>
      </c>
      <c r="I2181" s="3" t="inlineStr">
        <is>
          <t>임야</t>
        </is>
      </c>
      <c r="J2181" s="3" t="inlineStr">
        <is>
          <t>장군면</t>
        </is>
      </c>
    </row>
    <row r="2182">
      <c r="A2182" s="3" t="n">
        <v>2022</v>
      </c>
      <c r="B2182" s="4" t="n">
        <v>13640</v>
      </c>
      <c r="C2182" s="4" t="n">
        <v>1127</v>
      </c>
      <c r="D2182" s="4" t="n">
        <v>340.9175</v>
      </c>
      <c r="E2182" s="5" t="n">
        <v>40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생산관리지역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2022</v>
      </c>
      <c r="B2183" s="4" t="n">
        <v>390100</v>
      </c>
      <c r="C2183" s="4" t="n">
        <v>1485.5</v>
      </c>
      <c r="D2183" s="4" t="n">
        <v>449.36375</v>
      </c>
      <c r="E2183" s="5" t="n">
        <v>868.1</v>
      </c>
      <c r="F2183" s="3" t="inlineStr">
        <is>
          <t>고운동</t>
        </is>
      </c>
      <c r="G2183" s="3" t="inlineStr"/>
      <c r="H2183" s="3" t="inlineStr">
        <is>
          <t>일반상업지역</t>
        </is>
      </c>
      <c r="I2183" s="3" t="inlineStr">
        <is>
          <t>주차장</t>
        </is>
      </c>
      <c r="J2183" s="3" t="inlineStr">
        <is>
          <t>고운동</t>
        </is>
      </c>
    </row>
    <row r="2184">
      <c r="A2184" s="3" t="n">
        <v>2022</v>
      </c>
      <c r="B2184" s="4" t="n">
        <v>36000</v>
      </c>
      <c r="C2184" s="4" t="n">
        <v>1597</v>
      </c>
      <c r="D2184" s="4" t="n">
        <v>483.0925</v>
      </c>
      <c r="E2184" s="5" t="n">
        <v>74.5</v>
      </c>
      <c r="F2184" s="3" t="inlineStr">
        <is>
          <t>전동면</t>
        </is>
      </c>
      <c r="G2184" s="3" t="inlineStr">
        <is>
          <t>청송리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전동면</t>
        </is>
      </c>
    </row>
    <row r="2185">
      <c r="A2185" s="3" t="n">
        <v>2022</v>
      </c>
      <c r="B2185" s="4" t="n">
        <v>9563</v>
      </c>
      <c r="C2185" s="4" t="n">
        <v>433</v>
      </c>
      <c r="D2185" s="4" t="n">
        <v>130.9825</v>
      </c>
      <c r="E2185" s="5" t="n">
        <v>73</v>
      </c>
      <c r="F2185" s="3" t="inlineStr">
        <is>
          <t>전의면</t>
        </is>
      </c>
      <c r="G2185" s="3" t="inlineStr">
        <is>
          <t>관정리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전의면</t>
        </is>
      </c>
    </row>
    <row r="2186">
      <c r="A2186" s="3" t="n">
        <v>2022</v>
      </c>
      <c r="B2186" s="4" t="n">
        <v>48000</v>
      </c>
      <c r="C2186" s="4" t="n">
        <v>1607</v>
      </c>
      <c r="D2186" s="4" t="n">
        <v>486.1175</v>
      </c>
      <c r="E2186" s="5" t="n">
        <v>98.7</v>
      </c>
      <c r="F2186" s="3" t="inlineStr">
        <is>
          <t>금남면</t>
        </is>
      </c>
      <c r="G2186" s="3" t="inlineStr">
        <is>
          <t>도암리</t>
        </is>
      </c>
      <c r="H2186" s="3" t="inlineStr">
        <is>
          <t>농림지역</t>
        </is>
      </c>
      <c r="I2186" s="3" t="inlineStr">
        <is>
          <t>답</t>
        </is>
      </c>
      <c r="J2186" s="3" t="inlineStr">
        <is>
          <t>금남면</t>
        </is>
      </c>
    </row>
    <row r="2187">
      <c r="A2187" s="3" t="n">
        <v>2022</v>
      </c>
      <c r="B2187" s="4" t="n">
        <v>129600</v>
      </c>
      <c r="C2187" s="4" t="n">
        <v>1071</v>
      </c>
      <c r="D2187" s="4" t="n">
        <v>323.9775</v>
      </c>
      <c r="E2187" s="5" t="n">
        <v>400</v>
      </c>
      <c r="F2187" s="3" t="inlineStr">
        <is>
          <t>연서면</t>
        </is>
      </c>
      <c r="G2187" s="3" t="inlineStr">
        <is>
          <t>봉암리</t>
        </is>
      </c>
      <c r="H2187" s="3" t="inlineStr">
        <is>
          <t>계획관리지역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40200</v>
      </c>
      <c r="C2188" s="4" t="n">
        <v>2657</v>
      </c>
      <c r="D2188" s="4" t="n">
        <v>803.7424999999999</v>
      </c>
      <c r="E2188" s="5" t="n">
        <v>50</v>
      </c>
      <c r="F2188" s="3" t="inlineStr">
        <is>
          <t>부강면</t>
        </is>
      </c>
      <c r="G2188" s="3" t="inlineStr">
        <is>
          <t>문곡리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부강면</t>
        </is>
      </c>
    </row>
    <row r="2189">
      <c r="A2189" s="3" t="n">
        <v>2022</v>
      </c>
      <c r="B2189" s="4" t="n">
        <v>7800</v>
      </c>
      <c r="C2189" s="4" t="n">
        <v>516</v>
      </c>
      <c r="D2189" s="4" t="n">
        <v>156.09</v>
      </c>
      <c r="E2189" s="5" t="n">
        <v>50</v>
      </c>
      <c r="F2189" s="3" t="inlineStr">
        <is>
          <t>부강면</t>
        </is>
      </c>
      <c r="G2189" s="3" t="inlineStr">
        <is>
          <t>문곡리</t>
        </is>
      </c>
      <c r="H2189" s="3" t="inlineStr">
        <is>
          <t>생산관리지역</t>
        </is>
      </c>
      <c r="I2189" s="3" t="inlineStr">
        <is>
          <t>답</t>
        </is>
      </c>
      <c r="J2189" s="3" t="inlineStr">
        <is>
          <t>부강면</t>
        </is>
      </c>
    </row>
    <row r="2190">
      <c r="A2190" s="3" t="n">
        <v>2022</v>
      </c>
      <c r="B2190" s="4" t="n">
        <v>1500</v>
      </c>
      <c r="C2190" s="4" t="n">
        <v>100</v>
      </c>
      <c r="D2190" s="4" t="n">
        <v>30.25</v>
      </c>
      <c r="E2190" s="5" t="n">
        <v>49.6</v>
      </c>
      <c r="F2190" s="3" t="inlineStr">
        <is>
          <t>부강면</t>
        </is>
      </c>
      <c r="G2190" s="3" t="inlineStr">
        <is>
          <t>문곡리</t>
        </is>
      </c>
      <c r="H2190" s="3" t="inlineStr">
        <is>
          <t>생산관리지역</t>
        </is>
      </c>
      <c r="I2190" s="3" t="inlineStr">
        <is>
          <t>답</t>
        </is>
      </c>
      <c r="J2190" s="3" t="inlineStr">
        <is>
          <t>부강면</t>
        </is>
      </c>
    </row>
    <row r="2191">
      <c r="A2191" s="3" t="n">
        <v>2022</v>
      </c>
      <c r="B2191" s="4" t="n">
        <v>800</v>
      </c>
      <c r="C2191" s="4" t="n">
        <v>53</v>
      </c>
      <c r="D2191" s="4" t="n">
        <v>16.0325</v>
      </c>
      <c r="E2191" s="5" t="n">
        <v>49.9</v>
      </c>
      <c r="F2191" s="3" t="inlineStr">
        <is>
          <t>부강면</t>
        </is>
      </c>
      <c r="G2191" s="3" t="inlineStr">
        <is>
          <t>문곡리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부강면</t>
        </is>
      </c>
    </row>
    <row r="2192">
      <c r="A2192" s="3" t="n">
        <v>2023</v>
      </c>
      <c r="B2192" s="4" t="n">
        <v>22520</v>
      </c>
      <c r="C2192" s="4" t="n">
        <v>1659</v>
      </c>
      <c r="D2192" s="4" t="n">
        <v>501.8475</v>
      </c>
      <c r="E2192" s="5" t="n">
        <v>44.9</v>
      </c>
      <c r="F2192" s="3" t="inlineStr">
        <is>
          <t>장군면</t>
        </is>
      </c>
      <c r="G2192" s="3" t="inlineStr">
        <is>
          <t>금암리</t>
        </is>
      </c>
      <c r="H2192" s="3" t="inlineStr">
        <is>
          <t>농림지역</t>
        </is>
      </c>
      <c r="I2192" s="3" t="inlineStr">
        <is>
          <t>임야</t>
        </is>
      </c>
      <c r="J2192" s="3" t="inlineStr">
        <is>
          <t>장군면</t>
        </is>
      </c>
    </row>
    <row r="2193">
      <c r="A2193" s="3" t="n">
        <v>2026</v>
      </c>
      <c r="B2193" s="4" t="n">
        <v>10500</v>
      </c>
      <c r="C2193" s="4" t="n">
        <v>2013</v>
      </c>
      <c r="D2193" s="4" t="n">
        <v>608.9325</v>
      </c>
      <c r="E2193" s="5" t="n">
        <v>17.2</v>
      </c>
      <c r="F2193" s="3" t="inlineStr">
        <is>
          <t>전동면</t>
        </is>
      </c>
      <c r="G2193" s="3" t="inlineStr">
        <is>
          <t>봉대리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전동면</t>
        </is>
      </c>
    </row>
    <row r="2194">
      <c r="A2194" s="3" t="n">
        <v>2026</v>
      </c>
      <c r="B2194" s="4" t="n">
        <v>38130</v>
      </c>
      <c r="C2194" s="4" t="n">
        <v>4615</v>
      </c>
      <c r="D2194" s="4" t="n">
        <v>1396.0375</v>
      </c>
      <c r="E2194" s="5" t="n">
        <v>27.3</v>
      </c>
      <c r="F2194" s="3" t="inlineStr">
        <is>
          <t>전동면</t>
        </is>
      </c>
      <c r="G2194" s="3" t="inlineStr">
        <is>
          <t>노장리</t>
        </is>
      </c>
      <c r="H2194" s="3" t="inlineStr">
        <is>
          <t>생산관리지역</t>
        </is>
      </c>
      <c r="I2194" s="3" t="inlineStr">
        <is>
          <t>답</t>
        </is>
      </c>
      <c r="J2194" s="3" t="inlineStr">
        <is>
          <t>전동면</t>
        </is>
      </c>
    </row>
    <row r="2195">
      <c r="A2195" s="3" t="n">
        <v>2026</v>
      </c>
      <c r="B2195" s="4" t="n">
        <v>5445</v>
      </c>
      <c r="C2195" s="4" t="n">
        <v>783</v>
      </c>
      <c r="D2195" s="4" t="n">
        <v>236.8575</v>
      </c>
      <c r="E2195" s="5" t="n">
        <v>23</v>
      </c>
      <c r="F2195" s="3" t="inlineStr">
        <is>
          <t>전동면</t>
        </is>
      </c>
      <c r="G2195" s="3" t="inlineStr">
        <is>
          <t>노장리</t>
        </is>
      </c>
      <c r="H2195" s="3" t="inlineStr">
        <is>
          <t>생산관리지역</t>
        </is>
      </c>
      <c r="I2195" s="3" t="inlineStr">
        <is>
          <t>답</t>
        </is>
      </c>
      <c r="J2195" s="3" t="inlineStr">
        <is>
          <t>전동면</t>
        </is>
      </c>
    </row>
    <row r="2196">
      <c r="A2196" s="3" t="n">
        <v>2026</v>
      </c>
      <c r="B2196" s="4" t="n">
        <v>8735</v>
      </c>
      <c r="C2196" s="4" t="n">
        <v>1256</v>
      </c>
      <c r="D2196" s="4" t="n">
        <v>379.94</v>
      </c>
      <c r="E2196" s="5" t="n">
        <v>23</v>
      </c>
      <c r="F2196" s="3" t="inlineStr">
        <is>
          <t>전동면</t>
        </is>
      </c>
      <c r="G2196" s="3" t="inlineStr">
        <is>
          <t>노장리</t>
        </is>
      </c>
      <c r="H2196" s="3" t="inlineStr">
        <is>
          <t>생산관리지역</t>
        </is>
      </c>
      <c r="I2196" s="3" t="inlineStr">
        <is>
          <t>답</t>
        </is>
      </c>
      <c r="J2196" s="3" t="inlineStr">
        <is>
          <t>전동면</t>
        </is>
      </c>
    </row>
    <row r="2197">
      <c r="A2197" s="3" t="n">
        <v>2026</v>
      </c>
      <c r="B2197" s="4" t="n">
        <v>1000</v>
      </c>
      <c r="C2197" s="4" t="n">
        <v>102</v>
      </c>
      <c r="D2197" s="4" t="n">
        <v>30.855</v>
      </c>
      <c r="E2197" s="5" t="n">
        <v>32.4</v>
      </c>
      <c r="F2197" s="3" t="inlineStr">
        <is>
          <t>부강면</t>
        </is>
      </c>
      <c r="G2197" s="3" t="inlineStr">
        <is>
          <t>산수리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부강면</t>
        </is>
      </c>
    </row>
    <row r="2198">
      <c r="A2198" s="3" t="n">
        <v>2026</v>
      </c>
      <c r="B2198" s="4" t="n">
        <v>4200</v>
      </c>
      <c r="C2198" s="4" t="n">
        <v>393</v>
      </c>
      <c r="D2198" s="4" t="n">
        <v>118.8825</v>
      </c>
      <c r="E2198" s="5" t="n">
        <v>35.3</v>
      </c>
      <c r="F2198" s="3" t="inlineStr">
        <is>
          <t>부강면</t>
        </is>
      </c>
      <c r="G2198" s="3" t="inlineStr">
        <is>
          <t>산수리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부강면</t>
        </is>
      </c>
    </row>
    <row r="2199">
      <c r="A2199" s="3" t="n">
        <v>2026</v>
      </c>
      <c r="B2199" s="4" t="n">
        <v>16000</v>
      </c>
      <c r="C2199" s="4" t="n">
        <v>307</v>
      </c>
      <c r="D2199" s="4" t="n">
        <v>92.86749999999999</v>
      </c>
      <c r="E2199" s="5" t="n">
        <v>172.3</v>
      </c>
      <c r="F2199" s="3" t="inlineStr">
        <is>
          <t>장군면</t>
        </is>
      </c>
      <c r="G2199" s="3" t="inlineStr">
        <is>
          <t>산학리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62360</v>
      </c>
      <c r="C2200" s="4" t="n">
        <v>4820</v>
      </c>
      <c r="D2200" s="4" t="n">
        <v>1458.05</v>
      </c>
      <c r="E2200" s="5" t="n">
        <v>42.8</v>
      </c>
      <c r="F2200" s="3" t="inlineStr">
        <is>
          <t>부강면</t>
        </is>
      </c>
      <c r="G2200" s="3" t="inlineStr">
        <is>
          <t>갈산리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2026</v>
      </c>
      <c r="B2201" s="4" t="n">
        <v>7340</v>
      </c>
      <c r="C2201" s="4" t="n">
        <v>122</v>
      </c>
      <c r="D2201" s="4" t="n">
        <v>36.905</v>
      </c>
      <c r="E2201" s="5" t="n">
        <v>198.9</v>
      </c>
      <c r="F2201" s="3" t="inlineStr">
        <is>
          <t>부강면</t>
        </is>
      </c>
      <c r="G2201" s="3" t="inlineStr">
        <is>
          <t>갈산리</t>
        </is>
      </c>
      <c r="H2201" s="3" t="inlineStr">
        <is>
          <t>계획관리지역</t>
        </is>
      </c>
      <c r="I2201" s="3" t="inlineStr">
        <is>
          <t>답</t>
        </is>
      </c>
      <c r="J2201" s="3" t="inlineStr">
        <is>
          <t>부강면</t>
        </is>
      </c>
    </row>
    <row r="2202">
      <c r="A2202" s="3" t="n">
        <v>2026</v>
      </c>
      <c r="B2202" s="4" t="n">
        <v>2123</v>
      </c>
      <c r="C2202" s="4" t="n">
        <v>247</v>
      </c>
      <c r="D2202" s="4" t="n">
        <v>74.7175</v>
      </c>
      <c r="E2202" s="5" t="n">
        <v>28.4</v>
      </c>
      <c r="F2202" s="3" t="inlineStr">
        <is>
          <t>전의면</t>
        </is>
      </c>
      <c r="G2202" s="3" t="inlineStr">
        <is>
          <t>유천리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전의면</t>
        </is>
      </c>
    </row>
    <row r="2203">
      <c r="A2203" s="3" t="n">
        <v>2026</v>
      </c>
      <c r="B2203" s="4" t="n">
        <v>3035</v>
      </c>
      <c r="C2203" s="4" t="n">
        <v>353</v>
      </c>
      <c r="D2203" s="4" t="n">
        <v>106.7825</v>
      </c>
      <c r="E2203" s="5" t="n">
        <v>28.4</v>
      </c>
      <c r="F2203" s="3" t="inlineStr">
        <is>
          <t>전의면</t>
        </is>
      </c>
      <c r="G2203" s="3" t="inlineStr">
        <is>
          <t>유천리</t>
        </is>
      </c>
      <c r="H2203" s="3" t="inlineStr">
        <is>
          <t>계획관리지역</t>
        </is>
      </c>
      <c r="I2203" s="3" t="inlineStr">
        <is>
          <t>잡종지</t>
        </is>
      </c>
      <c r="J2203" s="3" t="inlineStr">
        <is>
          <t>전의면</t>
        </is>
      </c>
    </row>
    <row r="2204">
      <c r="A2204" s="3" t="n">
        <v>2026</v>
      </c>
      <c r="B2204" s="4" t="n">
        <v>1332</v>
      </c>
      <c r="C2204" s="4" t="n">
        <v>155</v>
      </c>
      <c r="D2204" s="4" t="n">
        <v>46.8875</v>
      </c>
      <c r="E2204" s="5" t="n">
        <v>28.4</v>
      </c>
      <c r="F2204" s="3" t="inlineStr">
        <is>
          <t>전의면</t>
        </is>
      </c>
      <c r="G2204" s="3" t="inlineStr">
        <is>
          <t>유천리</t>
        </is>
      </c>
      <c r="H2204" s="3" t="inlineStr">
        <is>
          <t>계획관리지역</t>
        </is>
      </c>
      <c r="I2204" s="3" t="inlineStr">
        <is>
          <t>잡종지</t>
        </is>
      </c>
      <c r="J2204" s="3" t="inlineStr">
        <is>
          <t>전의면</t>
        </is>
      </c>
    </row>
    <row r="2205">
      <c r="A2205" s="3" t="n">
        <v>2022</v>
      </c>
      <c r="B2205" s="4" t="n">
        <v>6500</v>
      </c>
      <c r="C2205" s="4" t="n">
        <v>450</v>
      </c>
      <c r="D2205" s="4" t="n">
        <v>136.125</v>
      </c>
      <c r="E2205" s="5" t="n">
        <v>47.8</v>
      </c>
      <c r="F2205" s="3" t="inlineStr">
        <is>
          <t>부강면</t>
        </is>
      </c>
      <c r="G2205" s="3" t="inlineStr">
        <is>
          <t>문곡리</t>
        </is>
      </c>
      <c r="H2205" s="3" t="inlineStr">
        <is>
          <t>생산관리지역</t>
        </is>
      </c>
      <c r="I2205" s="3" t="inlineStr">
        <is>
          <t>답</t>
        </is>
      </c>
      <c r="J2205" s="3" t="inlineStr">
        <is>
          <t>부강면</t>
        </is>
      </c>
    </row>
    <row r="2206">
      <c r="A2206" s="3" t="n">
        <v>2022</v>
      </c>
      <c r="B2206" s="4" t="n">
        <v>17748</v>
      </c>
      <c r="C2206" s="4" t="n">
        <v>326</v>
      </c>
      <c r="D2206" s="4" t="n">
        <v>98.61499999999999</v>
      </c>
      <c r="E2206" s="5" t="n">
        <v>180</v>
      </c>
      <c r="F2206" s="3" t="inlineStr">
        <is>
          <t>연서면</t>
        </is>
      </c>
      <c r="G2206" s="3" t="inlineStr">
        <is>
          <t>쌍전리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연서면</t>
        </is>
      </c>
    </row>
    <row r="2207">
      <c r="A2207" s="3" t="n">
        <v>2022</v>
      </c>
      <c r="B2207" s="4" t="n">
        <v>3752</v>
      </c>
      <c r="C2207" s="4" t="n">
        <v>69</v>
      </c>
      <c r="D2207" s="4" t="n">
        <v>20.8725</v>
      </c>
      <c r="E2207" s="5" t="n">
        <v>179.8</v>
      </c>
      <c r="F2207" s="3" t="inlineStr">
        <is>
          <t>연서면</t>
        </is>
      </c>
      <c r="G2207" s="3" t="inlineStr">
        <is>
          <t>쌍전리</t>
        </is>
      </c>
      <c r="H2207" s="3" t="inlineStr">
        <is>
          <t>자연녹지지역</t>
        </is>
      </c>
      <c r="I2207" s="3" t="inlineStr">
        <is>
          <t>전</t>
        </is>
      </c>
      <c r="J2207" s="3" t="inlineStr">
        <is>
          <t>연서면</t>
        </is>
      </c>
    </row>
    <row r="2208">
      <c r="A2208" s="3" t="n">
        <v>2022</v>
      </c>
      <c r="B2208" s="4" t="n">
        <v>32400</v>
      </c>
      <c r="C2208" s="4" t="n">
        <v>3064</v>
      </c>
      <c r="D2208" s="4" t="n">
        <v>926.86</v>
      </c>
      <c r="E2208" s="5" t="n">
        <v>35</v>
      </c>
      <c r="F2208" s="3" t="inlineStr">
        <is>
          <t>전동면</t>
        </is>
      </c>
      <c r="G2208" s="3" t="inlineStr">
        <is>
          <t>청람리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전동면</t>
        </is>
      </c>
    </row>
    <row r="2209">
      <c r="A2209" s="3" t="n">
        <v>2022</v>
      </c>
      <c r="B2209" s="4" t="n">
        <v>2070</v>
      </c>
      <c r="C2209" s="4" t="n">
        <v>152</v>
      </c>
      <c r="D2209" s="4" t="n">
        <v>45.98</v>
      </c>
      <c r="E2209" s="5" t="n">
        <v>45</v>
      </c>
      <c r="F2209" s="3" t="inlineStr">
        <is>
          <t>부강면</t>
        </is>
      </c>
      <c r="G2209" s="3" t="inlineStr">
        <is>
          <t>문곡리</t>
        </is>
      </c>
      <c r="H2209" s="3" t="inlineStr">
        <is>
          <t>생산관리지역</t>
        </is>
      </c>
      <c r="I2209" s="3" t="inlineStr">
        <is>
          <t>전</t>
        </is>
      </c>
      <c r="J2209" s="3" t="inlineStr">
        <is>
          <t>부강면</t>
        </is>
      </c>
    </row>
    <row r="2210">
      <c r="A2210" s="3" t="n">
        <v>2022</v>
      </c>
      <c r="B2210" s="4" t="n">
        <v>135</v>
      </c>
      <c r="C2210" s="4" t="n">
        <v>10</v>
      </c>
      <c r="D2210" s="4" t="n">
        <v>3.025</v>
      </c>
      <c r="E2210" s="5" t="n">
        <v>44.6</v>
      </c>
      <c r="F2210" s="3" t="inlineStr">
        <is>
          <t>부강면</t>
        </is>
      </c>
      <c r="G2210" s="3" t="inlineStr">
        <is>
          <t>문곡리</t>
        </is>
      </c>
      <c r="H2210" s="3" t="inlineStr">
        <is>
          <t>생산관리지역</t>
        </is>
      </c>
      <c r="I2210" s="3" t="inlineStr">
        <is>
          <t>임야</t>
        </is>
      </c>
      <c r="J2210" s="3" t="inlineStr">
        <is>
          <t>부강면</t>
        </is>
      </c>
    </row>
    <row r="2211">
      <c r="A2211" s="3" t="n">
        <v>2022</v>
      </c>
      <c r="B2211" s="4" t="n">
        <v>10120</v>
      </c>
      <c r="C2211" s="4" t="n">
        <v>436</v>
      </c>
      <c r="D2211" s="4" t="n">
        <v>131.89</v>
      </c>
      <c r="E2211" s="5" t="n">
        <v>76.7</v>
      </c>
      <c r="F2211" s="3" t="inlineStr">
        <is>
          <t>장군면</t>
        </is>
      </c>
      <c r="G2211" s="3" t="inlineStr">
        <is>
          <t>금암리</t>
        </is>
      </c>
      <c r="H2211" s="3" t="inlineStr">
        <is>
          <t>계획관리지역</t>
        </is>
      </c>
      <c r="I2211" s="3" t="inlineStr">
        <is>
          <t>전</t>
        </is>
      </c>
      <c r="J2211" s="3" t="inlineStr">
        <is>
          <t>장군면</t>
        </is>
      </c>
    </row>
    <row r="2212">
      <c r="A2212" s="3" t="n">
        <v>2022</v>
      </c>
      <c r="B2212" s="4" t="n">
        <v>21099</v>
      </c>
      <c r="C2212" s="4" t="n">
        <v>909</v>
      </c>
      <c r="D2212" s="4" t="n">
        <v>274.9725</v>
      </c>
      <c r="E2212" s="5" t="n">
        <v>76.7</v>
      </c>
      <c r="F2212" s="3" t="inlineStr">
        <is>
          <t>장군면</t>
        </is>
      </c>
      <c r="G2212" s="3" t="inlineStr">
        <is>
          <t>금암리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장군면</t>
        </is>
      </c>
    </row>
    <row r="2213">
      <c r="A2213" s="3" t="n">
        <v>2022</v>
      </c>
      <c r="B2213" s="4" t="n">
        <v>43500</v>
      </c>
      <c r="C2213" s="4" t="n">
        <v>1438</v>
      </c>
      <c r="D2213" s="4" t="n">
        <v>434.995</v>
      </c>
      <c r="E2213" s="5" t="n">
        <v>100</v>
      </c>
      <c r="F2213" s="3" t="inlineStr">
        <is>
          <t>전동면</t>
        </is>
      </c>
      <c r="G2213" s="3" t="inlineStr">
        <is>
          <t>석곡리</t>
        </is>
      </c>
      <c r="H2213" s="3" t="inlineStr">
        <is>
          <t>생산관리지역</t>
        </is>
      </c>
      <c r="I2213" s="3" t="inlineStr">
        <is>
          <t>전</t>
        </is>
      </c>
      <c r="J2213" s="3" t="inlineStr">
        <is>
          <t>전동면</t>
        </is>
      </c>
    </row>
    <row r="2214">
      <c r="A2214" s="3" t="n">
        <v>2022</v>
      </c>
      <c r="B2214" s="4" t="n">
        <v>18000</v>
      </c>
      <c r="C2214" s="4" t="n">
        <v>997</v>
      </c>
      <c r="D2214" s="4" t="n">
        <v>301.5925</v>
      </c>
      <c r="E2214" s="5" t="n">
        <v>59.7</v>
      </c>
      <c r="F2214" s="3" t="inlineStr">
        <is>
          <t>전의면</t>
        </is>
      </c>
      <c r="G2214" s="3" t="inlineStr">
        <is>
          <t>양곡리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전의면</t>
        </is>
      </c>
    </row>
    <row r="2215">
      <c r="A2215" s="3" t="n">
        <v>2022</v>
      </c>
      <c r="B2215" s="4" t="n">
        <v>98700</v>
      </c>
      <c r="C2215" s="4" t="n">
        <v>4661</v>
      </c>
      <c r="D2215" s="4" t="n">
        <v>1409.9525</v>
      </c>
      <c r="E2215" s="5" t="n">
        <v>70</v>
      </c>
      <c r="F2215" s="3" t="inlineStr">
        <is>
          <t>연서면</t>
        </is>
      </c>
      <c r="G2215" s="3" t="inlineStr">
        <is>
          <t>쌍류리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연서면</t>
        </is>
      </c>
    </row>
    <row r="2216">
      <c r="A2216" s="3" t="n">
        <v>2022</v>
      </c>
      <c r="B2216" s="4" t="n">
        <v>69050</v>
      </c>
      <c r="C2216" s="4" t="n">
        <v>2891.9</v>
      </c>
      <c r="D2216" s="4" t="n">
        <v>874.79975</v>
      </c>
      <c r="E2216" s="5" t="n">
        <v>78.90000000000001</v>
      </c>
      <c r="F2216" s="3" t="inlineStr">
        <is>
          <t>연동면</t>
        </is>
      </c>
      <c r="G2216" s="3" t="inlineStr">
        <is>
          <t>예양리</t>
        </is>
      </c>
      <c r="H2216" s="3" t="inlineStr">
        <is>
          <t>농림지역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2026</v>
      </c>
      <c r="B2217" s="4" t="n">
        <v>6762</v>
      </c>
      <c r="C2217" s="4" t="n">
        <v>992</v>
      </c>
      <c r="D2217" s="4" t="n">
        <v>300.08</v>
      </c>
      <c r="E2217" s="5" t="n">
        <v>22.5</v>
      </c>
      <c r="F2217" s="3" t="inlineStr">
        <is>
          <t>연기면</t>
        </is>
      </c>
      <c r="G2217" s="3" t="inlineStr">
        <is>
          <t>수산리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연기면</t>
        </is>
      </c>
    </row>
    <row r="2218">
      <c r="A2218" s="3" t="n">
        <v>2023</v>
      </c>
      <c r="B2218" s="4" t="n">
        <v>2100</v>
      </c>
      <c r="C2218" s="4" t="n">
        <v>24</v>
      </c>
      <c r="D2218" s="4" t="n">
        <v>7.26</v>
      </c>
      <c r="E2218" s="5" t="n">
        <v>289.3</v>
      </c>
      <c r="F2218" s="3" t="inlineStr">
        <is>
          <t>오송읍</t>
        </is>
      </c>
      <c r="G2218" s="3" t="inlineStr">
        <is>
          <t>오송리</t>
        </is>
      </c>
      <c r="H2218" s="3" t="inlineStr">
        <is>
          <t>농림지역</t>
        </is>
      </c>
      <c r="I2218" s="3" t="inlineStr">
        <is>
          <t>도로</t>
        </is>
      </c>
      <c r="J2218" s="3" t="inlineStr">
        <is>
          <t>오송읍</t>
        </is>
      </c>
    </row>
    <row r="2219">
      <c r="A2219" s="3" t="n">
        <v>2023</v>
      </c>
      <c r="B2219" s="4" t="n">
        <v>7100</v>
      </c>
      <c r="C2219" s="4" t="n">
        <v>143</v>
      </c>
      <c r="D2219" s="4" t="n">
        <v>43.2575</v>
      </c>
      <c r="E2219" s="5" t="n">
        <v>164.1</v>
      </c>
      <c r="F2219" s="3" t="inlineStr">
        <is>
          <t>강내면</t>
        </is>
      </c>
      <c r="G2219" s="3" t="inlineStr">
        <is>
          <t>석화리</t>
        </is>
      </c>
      <c r="H2219" s="3" t="inlineStr">
        <is>
          <t>자연녹지지역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2023</v>
      </c>
      <c r="B2220" s="4" t="n">
        <v>1075</v>
      </c>
      <c r="C2220" s="4" t="n">
        <v>15</v>
      </c>
      <c r="D2220" s="4" t="n">
        <v>4.5375</v>
      </c>
      <c r="E2220" s="5" t="n">
        <v>236.9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2023</v>
      </c>
      <c r="B2221" s="4" t="n">
        <v>5394</v>
      </c>
      <c r="C2221" s="4" t="n">
        <v>79</v>
      </c>
      <c r="D2221" s="4" t="n">
        <v>23.8975</v>
      </c>
      <c r="E2221" s="5" t="n">
        <v>225.7</v>
      </c>
      <c r="F2221" s="3" t="inlineStr">
        <is>
          <t>오송읍</t>
        </is>
      </c>
      <c r="G2221" s="3" t="inlineStr">
        <is>
          <t>오송리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2023</v>
      </c>
      <c r="B2222" s="4" t="n">
        <v>51400</v>
      </c>
      <c r="C2222" s="4" t="n">
        <v>2178</v>
      </c>
      <c r="D2222" s="4" t="n">
        <v>658.845</v>
      </c>
      <c r="E2222" s="5" t="n">
        <v>78</v>
      </c>
      <c r="F2222" s="3" t="inlineStr">
        <is>
          <t>강내면</t>
        </is>
      </c>
      <c r="G2222" s="3" t="inlineStr">
        <is>
          <t>저산리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강내면</t>
        </is>
      </c>
    </row>
    <row r="2223">
      <c r="A2223" s="3" t="n">
        <v>2023</v>
      </c>
      <c r="B2223" s="4" t="n">
        <v>30000</v>
      </c>
      <c r="C2223" s="4" t="n">
        <v>271.1</v>
      </c>
      <c r="D2223" s="4" t="n">
        <v>82.00775</v>
      </c>
      <c r="E2223" s="5" t="n">
        <v>365.8</v>
      </c>
      <c r="F2223" s="3" t="inlineStr">
        <is>
          <t>오송읍</t>
        </is>
      </c>
      <c r="G2223" s="3" t="inlineStr">
        <is>
          <t>봉산리</t>
        </is>
      </c>
      <c r="H2223" s="3" t="inlineStr">
        <is>
          <t>제1종일반주거지역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11855</v>
      </c>
      <c r="C2224" s="4" t="n">
        <v>196.3</v>
      </c>
      <c r="D2224" s="4" t="n">
        <v>59.38075</v>
      </c>
      <c r="E2224" s="5" t="n">
        <v>199.6</v>
      </c>
      <c r="F2224" s="3" t="inlineStr">
        <is>
          <t>강내면</t>
        </is>
      </c>
      <c r="G2224" s="3" t="inlineStr">
        <is>
          <t>사곡리</t>
        </is>
      </c>
      <c r="H2224" s="3" t="inlineStr">
        <is>
          <t>보전관리지역</t>
        </is>
      </c>
      <c r="I2224" s="3" t="inlineStr">
        <is>
          <t>대</t>
        </is>
      </c>
      <c r="J2224" s="3" t="inlineStr">
        <is>
          <t>강내면</t>
        </is>
      </c>
    </row>
    <row r="2225">
      <c r="A2225" s="3" t="n">
        <v>2023</v>
      </c>
      <c r="B2225" s="4" t="n">
        <v>53874</v>
      </c>
      <c r="C2225" s="4" t="n">
        <v>2483</v>
      </c>
      <c r="D2225" s="4" t="n">
        <v>751.1075</v>
      </c>
      <c r="E2225" s="5" t="n">
        <v>71.7</v>
      </c>
      <c r="F2225" s="3" t="inlineStr">
        <is>
          <t>남이면</t>
        </is>
      </c>
      <c r="G2225" s="3" t="inlineStr">
        <is>
          <t>가좌리</t>
        </is>
      </c>
      <c r="H2225" s="3" t="inlineStr">
        <is>
          <t>보전녹지지역</t>
        </is>
      </c>
      <c r="I2225" s="3" t="inlineStr">
        <is>
          <t>임야</t>
        </is>
      </c>
      <c r="J2225" s="3" t="inlineStr">
        <is>
          <t>남이면</t>
        </is>
      </c>
    </row>
    <row r="2226">
      <c r="A2226" s="3" t="n">
        <v>2024</v>
      </c>
      <c r="B2226" s="4" t="n">
        <v>7424</v>
      </c>
      <c r="C2226" s="4" t="n">
        <v>276</v>
      </c>
      <c r="D2226" s="4" t="n">
        <v>83.48999999999999</v>
      </c>
      <c r="E2226" s="5" t="n">
        <v>88.90000000000001</v>
      </c>
      <c r="F2226" s="3" t="inlineStr">
        <is>
          <t>강내면</t>
        </is>
      </c>
      <c r="G2226" s="3" t="inlineStr">
        <is>
          <t>연정리</t>
        </is>
      </c>
      <c r="H2226" s="3" t="inlineStr">
        <is>
          <t>계획관리지역</t>
        </is>
      </c>
      <c r="I2226" s="3" t="inlineStr">
        <is>
          <t>잡종지</t>
        </is>
      </c>
      <c r="J2226" s="3" t="inlineStr">
        <is>
          <t>강내면</t>
        </is>
      </c>
    </row>
    <row r="2227">
      <c r="A2227" s="3" t="n">
        <v>2024</v>
      </c>
      <c r="B2227" s="4" t="n">
        <v>1000</v>
      </c>
      <c r="C2227" s="4" t="n">
        <v>13</v>
      </c>
      <c r="D2227" s="4" t="n">
        <v>3.9325</v>
      </c>
      <c r="E2227" s="5" t="n">
        <v>254.3</v>
      </c>
      <c r="F2227" s="3" t="inlineStr">
        <is>
          <t>오송읍</t>
        </is>
      </c>
      <c r="G2227" s="3" t="inlineStr">
        <is>
          <t>오송리</t>
        </is>
      </c>
      <c r="H2227" s="3" t="inlineStr">
        <is>
          <t>농림지역</t>
        </is>
      </c>
      <c r="I2227" s="3" t="inlineStr">
        <is>
          <t>도로</t>
        </is>
      </c>
      <c r="J2227" s="3" t="inlineStr">
        <is>
          <t>오송읍</t>
        </is>
      </c>
    </row>
    <row r="2228">
      <c r="A2228" s="3" t="n">
        <v>2024</v>
      </c>
      <c r="B2228" s="4" t="n">
        <v>11000</v>
      </c>
      <c r="C2228" s="4" t="n">
        <v>377</v>
      </c>
      <c r="D2228" s="4" t="n">
        <v>114.0425</v>
      </c>
      <c r="E2228" s="5" t="n">
        <v>96.5</v>
      </c>
      <c r="F2228" s="3" t="inlineStr">
        <is>
          <t>강내면</t>
        </is>
      </c>
      <c r="G2228" s="3" t="inlineStr">
        <is>
          <t>학천리</t>
        </is>
      </c>
      <c r="H2228" s="3" t="inlineStr">
        <is>
          <t>자연녹지지역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2024</v>
      </c>
      <c r="B2229" s="4" t="n">
        <v>16841</v>
      </c>
      <c r="C2229" s="4" t="n">
        <v>4960</v>
      </c>
      <c r="D2229" s="4" t="n">
        <v>1500.4</v>
      </c>
      <c r="E2229" s="5" t="n">
        <v>11.2</v>
      </c>
      <c r="F2229" s="3" t="inlineStr">
        <is>
          <t>강내면</t>
        </is>
      </c>
      <c r="G2229" s="3" t="inlineStr">
        <is>
          <t>저산리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강내면</t>
        </is>
      </c>
    </row>
    <row r="2230">
      <c r="A2230" s="3" t="n">
        <v>2025</v>
      </c>
      <c r="B2230" s="4" t="n">
        <v>144000</v>
      </c>
      <c r="C2230" s="4" t="n">
        <v>3967</v>
      </c>
      <c r="D2230" s="4" t="n">
        <v>1200.0175</v>
      </c>
      <c r="E2230" s="5" t="n">
        <v>120</v>
      </c>
      <c r="F2230" s="3" t="inlineStr">
        <is>
          <t>오송읍</t>
        </is>
      </c>
      <c r="G2230" s="3" t="inlineStr">
        <is>
          <t>궁평리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오송읍</t>
        </is>
      </c>
    </row>
    <row r="2231">
      <c r="A2231" s="3" t="n">
        <v>2024</v>
      </c>
      <c r="B2231" s="4" t="n">
        <v>45000</v>
      </c>
      <c r="C2231" s="4" t="n">
        <v>1653</v>
      </c>
      <c r="D2231" s="4" t="n">
        <v>500.0325</v>
      </c>
      <c r="E2231" s="5" t="n">
        <v>90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2022</v>
      </c>
      <c r="B2232" s="4" t="n">
        <v>641</v>
      </c>
      <c r="C2232" s="4" t="n">
        <v>7</v>
      </c>
      <c r="D2232" s="4" t="n">
        <v>2.1175</v>
      </c>
      <c r="E2232" s="5" t="n">
        <v>302.7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장군면</t>
        </is>
      </c>
    </row>
    <row r="2233">
      <c r="A2233" s="3" t="n">
        <v>2022</v>
      </c>
      <c r="B2233" s="4" t="n">
        <v>32859</v>
      </c>
      <c r="C2233" s="4" t="n">
        <v>359</v>
      </c>
      <c r="D2233" s="4" t="n">
        <v>108.5975</v>
      </c>
      <c r="E2233" s="5" t="n">
        <v>302.6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장군면</t>
        </is>
      </c>
    </row>
    <row r="2234">
      <c r="A2234" s="3" t="n">
        <v>2022</v>
      </c>
      <c r="B2234" s="4" t="n">
        <v>66000</v>
      </c>
      <c r="C2234" s="4" t="n">
        <v>1823</v>
      </c>
      <c r="D2234" s="4" t="n">
        <v>551.4575</v>
      </c>
      <c r="E2234" s="5" t="n">
        <v>119.7</v>
      </c>
      <c r="F2234" s="3" t="inlineStr">
        <is>
          <t>소정면</t>
        </is>
      </c>
      <c r="G2234" s="3" t="inlineStr">
        <is>
          <t>운당리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소정면</t>
        </is>
      </c>
    </row>
    <row r="2235">
      <c r="A2235" s="3" t="n">
        <v>2022</v>
      </c>
      <c r="B2235" s="4" t="n">
        <v>3200</v>
      </c>
      <c r="C2235" s="4" t="n">
        <v>225</v>
      </c>
      <c r="D2235" s="4" t="n">
        <v>68.0625</v>
      </c>
      <c r="E2235" s="5" t="n">
        <v>47</v>
      </c>
      <c r="F2235" s="3" t="inlineStr">
        <is>
          <t>금남면</t>
        </is>
      </c>
      <c r="G2235" s="3" t="inlineStr">
        <is>
          <t>황용리</t>
        </is>
      </c>
      <c r="H2235" s="3" t="inlineStr">
        <is>
          <t>개발제한구역</t>
        </is>
      </c>
      <c r="I2235" s="3" t="inlineStr">
        <is>
          <t>전</t>
        </is>
      </c>
      <c r="J2235" s="3" t="inlineStr">
        <is>
          <t>금남면</t>
        </is>
      </c>
    </row>
    <row r="2236">
      <c r="A2236" s="3" t="n">
        <v>2022</v>
      </c>
      <c r="B2236" s="4" t="n">
        <v>5750</v>
      </c>
      <c r="C2236" s="4" t="n">
        <v>380</v>
      </c>
      <c r="D2236" s="4" t="n">
        <v>114.95</v>
      </c>
      <c r="E2236" s="5" t="n">
        <v>50</v>
      </c>
      <c r="F2236" s="3" t="inlineStr">
        <is>
          <t>금남면</t>
        </is>
      </c>
      <c r="G2236" s="3" t="inlineStr">
        <is>
          <t>영대리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2022</v>
      </c>
      <c r="B2237" s="4" t="n">
        <v>73360</v>
      </c>
      <c r="C2237" s="4" t="n">
        <v>693</v>
      </c>
      <c r="D2237" s="4" t="n">
        <v>209.6325</v>
      </c>
      <c r="E2237" s="5" t="n">
        <v>349.9</v>
      </c>
      <c r="F2237" s="3" t="inlineStr">
        <is>
          <t>연기면</t>
        </is>
      </c>
      <c r="G2237" s="3" t="inlineStr">
        <is>
          <t>연기리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연기면</t>
        </is>
      </c>
    </row>
    <row r="2238">
      <c r="A2238" s="3" t="n">
        <v>2022</v>
      </c>
      <c r="B2238" s="4" t="n">
        <v>25000</v>
      </c>
      <c r="C2238" s="4" t="n">
        <v>1720</v>
      </c>
      <c r="D2238" s="4" t="n">
        <v>520.3</v>
      </c>
      <c r="E2238" s="5" t="n">
        <v>48</v>
      </c>
      <c r="F2238" s="3" t="inlineStr">
        <is>
          <t>금남면</t>
        </is>
      </c>
      <c r="G2238" s="3" t="inlineStr">
        <is>
          <t>축산리</t>
        </is>
      </c>
      <c r="H2238" s="3" t="inlineStr">
        <is>
          <t>개발제한구역</t>
        </is>
      </c>
      <c r="I2238" s="3" t="inlineStr">
        <is>
          <t>전</t>
        </is>
      </c>
      <c r="J2238" s="3" t="inlineStr">
        <is>
          <t>금남면</t>
        </is>
      </c>
    </row>
    <row r="2239">
      <c r="A2239" s="3" t="n">
        <v>2022</v>
      </c>
      <c r="B2239" s="4" t="n">
        <v>39125</v>
      </c>
      <c r="C2239" s="4" t="n">
        <v>1036</v>
      </c>
      <c r="D2239" s="4" t="n">
        <v>313.39</v>
      </c>
      <c r="E2239" s="5" t="n">
        <v>124.8</v>
      </c>
      <c r="F2239" s="3" t="inlineStr">
        <is>
          <t>장군면</t>
        </is>
      </c>
      <c r="G2239" s="3" t="inlineStr">
        <is>
          <t>하봉리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장군면</t>
        </is>
      </c>
    </row>
    <row r="2240">
      <c r="A2240" s="3" t="n">
        <v>2022</v>
      </c>
      <c r="B2240" s="4" t="n">
        <v>41000</v>
      </c>
      <c r="C2240" s="4" t="n">
        <v>500</v>
      </c>
      <c r="D2240" s="4" t="n">
        <v>151.25</v>
      </c>
      <c r="E2240" s="5" t="n">
        <v>271.1</v>
      </c>
      <c r="F2240" s="3" t="inlineStr">
        <is>
          <t>연동면</t>
        </is>
      </c>
      <c r="G2240" s="3" t="inlineStr">
        <is>
          <t>내판리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연동면</t>
        </is>
      </c>
    </row>
    <row r="2241">
      <c r="A2241" s="3" t="n">
        <v>2022</v>
      </c>
      <c r="B2241" s="4" t="n">
        <v>41000</v>
      </c>
      <c r="C2241" s="4" t="n">
        <v>500</v>
      </c>
      <c r="D2241" s="4" t="n">
        <v>151.25</v>
      </c>
      <c r="E2241" s="5" t="n">
        <v>271.1</v>
      </c>
      <c r="F2241" s="3" t="inlineStr">
        <is>
          <t>연동면</t>
        </is>
      </c>
      <c r="G2241" s="3" t="inlineStr">
        <is>
          <t>내판리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연동면</t>
        </is>
      </c>
    </row>
    <row r="2242">
      <c r="A2242" s="3" t="n">
        <v>2022</v>
      </c>
      <c r="B2242" s="4" t="n">
        <v>37700</v>
      </c>
      <c r="C2242" s="4" t="n">
        <v>1140</v>
      </c>
      <c r="D2242" s="4" t="n">
        <v>344.85</v>
      </c>
      <c r="E2242" s="5" t="n">
        <v>109.3</v>
      </c>
      <c r="F2242" s="3" t="inlineStr">
        <is>
          <t>장군면</t>
        </is>
      </c>
      <c r="G2242" s="3" t="inlineStr">
        <is>
          <t>송학리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장군면</t>
        </is>
      </c>
    </row>
    <row r="2243">
      <c r="A2243" s="3" t="n">
        <v>2022</v>
      </c>
      <c r="B2243" s="4" t="n">
        <v>4700</v>
      </c>
      <c r="C2243" s="4" t="n">
        <v>902</v>
      </c>
      <c r="D2243" s="4" t="n">
        <v>272.855</v>
      </c>
      <c r="E2243" s="5" t="n">
        <v>17.2</v>
      </c>
      <c r="F2243" s="3" t="inlineStr">
        <is>
          <t>부강면</t>
        </is>
      </c>
      <c r="G2243" s="3" t="inlineStr">
        <is>
          <t>문곡리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부강면</t>
        </is>
      </c>
    </row>
    <row r="2244">
      <c r="A2244" s="3" t="n">
        <v>2026</v>
      </c>
      <c r="B2244" s="4" t="n">
        <v>1200</v>
      </c>
      <c r="C2244" s="4" t="n">
        <v>463</v>
      </c>
      <c r="D2244" s="4" t="n">
        <v>140.0575</v>
      </c>
      <c r="E2244" s="5" t="n">
        <v>8.6</v>
      </c>
      <c r="F2244" s="3" t="inlineStr">
        <is>
          <t>전동면</t>
        </is>
      </c>
      <c r="G2244" s="3" t="inlineStr">
        <is>
          <t>미곡리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전동면</t>
        </is>
      </c>
    </row>
    <row r="2245">
      <c r="A2245" s="3" t="n">
        <v>2026</v>
      </c>
      <c r="B2245" s="4" t="n">
        <v>12000</v>
      </c>
      <c r="C2245" s="4" t="n">
        <v>175</v>
      </c>
      <c r="D2245" s="4" t="n">
        <v>52.9375</v>
      </c>
      <c r="E2245" s="5" t="n">
        <v>226.7</v>
      </c>
      <c r="F2245" s="3" t="inlineStr">
        <is>
          <t>장군면</t>
        </is>
      </c>
      <c r="G2245" s="3" t="inlineStr">
        <is>
          <t>대교리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장군면</t>
        </is>
      </c>
    </row>
    <row r="2246">
      <c r="A2246" s="3" t="n">
        <v>2026</v>
      </c>
      <c r="B2246" s="4" t="n">
        <v>29040</v>
      </c>
      <c r="C2246" s="4" t="n">
        <v>480</v>
      </c>
      <c r="D2246" s="4" t="n">
        <v>145.2</v>
      </c>
      <c r="E2246" s="5" t="n">
        <v>200</v>
      </c>
      <c r="F2246" s="3" t="inlineStr">
        <is>
          <t>연기면</t>
        </is>
      </c>
      <c r="G2246" s="3" t="inlineStr">
        <is>
          <t>눌왕리</t>
        </is>
      </c>
      <c r="H2246" s="3" t="inlineStr">
        <is>
          <t>보전관리지역</t>
        </is>
      </c>
      <c r="I2246" s="3" t="inlineStr">
        <is>
          <t>임야</t>
        </is>
      </c>
      <c r="J2246" s="3" t="inlineStr">
        <is>
          <t>연기면</t>
        </is>
      </c>
    </row>
    <row r="2247">
      <c r="A2247" s="3" t="n">
        <v>2022</v>
      </c>
      <c r="B2247" s="4" t="n">
        <v>25550</v>
      </c>
      <c r="C2247" s="4" t="n">
        <v>1408</v>
      </c>
      <c r="D2247" s="4" t="n">
        <v>425.92</v>
      </c>
      <c r="E2247" s="5" t="n">
        <v>60</v>
      </c>
      <c r="F2247" s="3" t="inlineStr">
        <is>
          <t>금남면</t>
        </is>
      </c>
      <c r="G2247" s="3" t="inlineStr">
        <is>
          <t>영곡리</t>
        </is>
      </c>
      <c r="H2247" s="3" t="inlineStr">
        <is>
          <t>생산관리지역</t>
        </is>
      </c>
      <c r="I2247" s="3" t="inlineStr">
        <is>
          <t>전</t>
        </is>
      </c>
      <c r="J2247" s="3" t="inlineStr">
        <is>
          <t>금남면</t>
        </is>
      </c>
    </row>
    <row r="2248">
      <c r="A2248" s="3" t="n">
        <v>2022</v>
      </c>
      <c r="B2248" s="4" t="n">
        <v>14500</v>
      </c>
      <c r="C2248" s="4" t="n">
        <v>3306</v>
      </c>
      <c r="D2248" s="4" t="n">
        <v>1000.065</v>
      </c>
      <c r="E2248" s="5" t="n">
        <v>14.5</v>
      </c>
      <c r="F2248" s="3" t="inlineStr">
        <is>
          <t>전동면</t>
        </is>
      </c>
      <c r="G2248" s="3" t="inlineStr">
        <is>
          <t>송정리</t>
        </is>
      </c>
      <c r="H2248" s="3" t="inlineStr">
        <is>
          <t>농림지역</t>
        </is>
      </c>
      <c r="I2248" s="3" t="inlineStr">
        <is>
          <t>임야</t>
        </is>
      </c>
      <c r="J2248" s="3" t="inlineStr">
        <is>
          <t>전동면</t>
        </is>
      </c>
    </row>
    <row r="2249">
      <c r="A2249" s="3" t="n">
        <v>2022</v>
      </c>
      <c r="B2249" s="4" t="n">
        <v>30000</v>
      </c>
      <c r="C2249" s="4" t="n">
        <v>1038</v>
      </c>
      <c r="D2249" s="4" t="n">
        <v>313.995</v>
      </c>
      <c r="E2249" s="5" t="n">
        <v>95.5</v>
      </c>
      <c r="F2249" s="3" t="inlineStr">
        <is>
          <t>연서면</t>
        </is>
      </c>
      <c r="G2249" s="3" t="inlineStr">
        <is>
          <t>청라리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연서면</t>
        </is>
      </c>
    </row>
    <row r="2250">
      <c r="A2250" s="3" t="n">
        <v>2022</v>
      </c>
      <c r="B2250" s="4" t="n">
        <v>45000</v>
      </c>
      <c r="C2250" s="4" t="n">
        <v>3154</v>
      </c>
      <c r="D2250" s="4" t="n">
        <v>954.0849999999999</v>
      </c>
      <c r="E2250" s="5" t="n">
        <v>47.2</v>
      </c>
      <c r="F2250" s="3" t="inlineStr">
        <is>
          <t>장군면</t>
        </is>
      </c>
      <c r="G2250" s="3" t="inlineStr">
        <is>
          <t>태산리</t>
        </is>
      </c>
      <c r="H2250" s="3" t="inlineStr">
        <is>
          <t>생산관리지역</t>
        </is>
      </c>
      <c r="I2250" s="3" t="inlineStr">
        <is>
          <t>답</t>
        </is>
      </c>
      <c r="J2250" s="3" t="inlineStr">
        <is>
          <t>장군면</t>
        </is>
      </c>
    </row>
    <row r="2251">
      <c r="A2251" s="3" t="n">
        <v>2022</v>
      </c>
      <c r="B2251" s="4" t="n">
        <v>40000</v>
      </c>
      <c r="C2251" s="4" t="n">
        <v>2023</v>
      </c>
      <c r="D2251" s="4" t="n">
        <v>611.9575</v>
      </c>
      <c r="E2251" s="5" t="n">
        <v>65.40000000000001</v>
      </c>
      <c r="F2251" s="3" t="inlineStr">
        <is>
          <t>연서면</t>
        </is>
      </c>
      <c r="G2251" s="3" t="inlineStr">
        <is>
          <t>청라리</t>
        </is>
      </c>
      <c r="H2251" s="3" t="inlineStr">
        <is>
          <t>생산관리지역</t>
        </is>
      </c>
      <c r="I2251" s="3" t="inlineStr">
        <is>
          <t>답</t>
        </is>
      </c>
      <c r="J2251" s="3" t="inlineStr">
        <is>
          <t>연서면</t>
        </is>
      </c>
    </row>
    <row r="2252">
      <c r="A2252" s="3" t="n">
        <v>2022</v>
      </c>
      <c r="B2252" s="4" t="n">
        <v>840</v>
      </c>
      <c r="C2252" s="4" t="n">
        <v>92</v>
      </c>
      <c r="D2252" s="4" t="n">
        <v>27.83</v>
      </c>
      <c r="E2252" s="5" t="n">
        <v>30.2</v>
      </c>
      <c r="F2252" s="3" t="inlineStr">
        <is>
          <t>전의면</t>
        </is>
      </c>
      <c r="G2252" s="3" t="inlineStr">
        <is>
          <t>신정리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전의면</t>
        </is>
      </c>
    </row>
    <row r="2253">
      <c r="A2253" s="3" t="n">
        <v>2022</v>
      </c>
      <c r="B2253" s="4" t="n">
        <v>1590</v>
      </c>
      <c r="C2253" s="4" t="n">
        <v>176</v>
      </c>
      <c r="D2253" s="4" t="n">
        <v>53.23999999999999</v>
      </c>
      <c r="E2253" s="5" t="n">
        <v>29.9</v>
      </c>
      <c r="F2253" s="3" t="inlineStr">
        <is>
          <t>전의면</t>
        </is>
      </c>
      <c r="G2253" s="3" t="inlineStr">
        <is>
          <t>신정리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전의면</t>
        </is>
      </c>
    </row>
    <row r="2254">
      <c r="A2254" s="3" t="n">
        <v>2022</v>
      </c>
      <c r="B2254" s="4" t="n">
        <v>32500</v>
      </c>
      <c r="C2254" s="4" t="n">
        <v>1602</v>
      </c>
      <c r="D2254" s="4" t="n">
        <v>484.605</v>
      </c>
      <c r="E2254" s="5" t="n">
        <v>67.09999999999999</v>
      </c>
      <c r="F2254" s="3" t="inlineStr">
        <is>
          <t>전의면</t>
        </is>
      </c>
      <c r="G2254" s="3" t="inlineStr">
        <is>
          <t>양곡리</t>
        </is>
      </c>
      <c r="H2254" s="3" t="inlineStr">
        <is>
          <t>생산관리지역</t>
        </is>
      </c>
      <c r="I2254" s="3" t="inlineStr">
        <is>
          <t>답</t>
        </is>
      </c>
      <c r="J2254" s="3" t="inlineStr">
        <is>
          <t>전의면</t>
        </is>
      </c>
    </row>
    <row r="2255">
      <c r="A2255" s="3" t="n">
        <v>2022</v>
      </c>
      <c r="B2255" s="4" t="n">
        <v>12200</v>
      </c>
      <c r="C2255" s="4" t="n">
        <v>475</v>
      </c>
      <c r="D2255" s="4" t="n">
        <v>143.6875</v>
      </c>
      <c r="E2255" s="5" t="n">
        <v>84.90000000000001</v>
      </c>
      <c r="F2255" s="3" t="inlineStr">
        <is>
          <t>전동면</t>
        </is>
      </c>
      <c r="G2255" s="3" t="inlineStr">
        <is>
          <t>보덕리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전동면</t>
        </is>
      </c>
    </row>
    <row r="2256">
      <c r="A2256" s="3" t="n">
        <v>2022</v>
      </c>
      <c r="B2256" s="4" t="n">
        <v>22800</v>
      </c>
      <c r="C2256" s="4" t="n">
        <v>883</v>
      </c>
      <c r="D2256" s="4" t="n">
        <v>267.1075</v>
      </c>
      <c r="E2256" s="5" t="n">
        <v>85.40000000000001</v>
      </c>
      <c r="F2256" s="3" t="inlineStr">
        <is>
          <t>전동면</t>
        </is>
      </c>
      <c r="G2256" s="3" t="inlineStr">
        <is>
          <t>보덕리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전동면</t>
        </is>
      </c>
    </row>
    <row r="2257">
      <c r="A2257" s="3" t="n">
        <v>2023</v>
      </c>
      <c r="B2257" s="4" t="n">
        <v>10000</v>
      </c>
      <c r="C2257" s="4" t="n">
        <v>517</v>
      </c>
      <c r="D2257" s="4" t="n">
        <v>156.3925</v>
      </c>
      <c r="E2257" s="5" t="n">
        <v>63.9</v>
      </c>
      <c r="F2257" s="3" t="inlineStr">
        <is>
          <t>오송읍</t>
        </is>
      </c>
      <c r="G2257" s="3" t="inlineStr">
        <is>
          <t>정중리</t>
        </is>
      </c>
      <c r="H2257" s="3" t="inlineStr">
        <is>
          <t>생산관리지역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2208</v>
      </c>
      <c r="C2258" s="4" t="n">
        <v>1216</v>
      </c>
      <c r="D2258" s="4" t="n">
        <v>367.84</v>
      </c>
      <c r="E2258" s="5" t="n">
        <v>6</v>
      </c>
      <c r="F2258" s="3" t="inlineStr">
        <is>
          <t>강내면</t>
        </is>
      </c>
      <c r="G2258" s="3" t="inlineStr">
        <is>
          <t>궁현리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2023</v>
      </c>
      <c r="B2259" s="4" t="n">
        <v>3224</v>
      </c>
      <c r="C2259" s="4" t="n">
        <v>85</v>
      </c>
      <c r="D2259" s="4" t="n">
        <v>25.7125</v>
      </c>
      <c r="E2259" s="5" t="n">
        <v>125.4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오송읍</t>
        </is>
      </c>
    </row>
    <row r="2260">
      <c r="A2260" s="3" t="n">
        <v>2023</v>
      </c>
      <c r="B2260" s="4" t="n">
        <v>1403</v>
      </c>
      <c r="C2260" s="4" t="n">
        <v>37</v>
      </c>
      <c r="D2260" s="4" t="n">
        <v>11.1925</v>
      </c>
      <c r="E2260" s="5" t="n">
        <v>125.4</v>
      </c>
      <c r="F2260" s="3" t="inlineStr">
        <is>
          <t>오송읍</t>
        </is>
      </c>
      <c r="G2260" s="3" t="inlineStr">
        <is>
          <t>정중리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오송읍</t>
        </is>
      </c>
    </row>
    <row r="2261">
      <c r="A2261" s="3" t="n">
        <v>2023</v>
      </c>
      <c r="B2261" s="4" t="n">
        <v>8495</v>
      </c>
      <c r="C2261" s="4" t="n">
        <v>224</v>
      </c>
      <c r="D2261" s="4" t="n">
        <v>67.75999999999999</v>
      </c>
      <c r="E2261" s="5" t="n">
        <v>125.4</v>
      </c>
      <c r="F2261" s="3" t="inlineStr">
        <is>
          <t>오송읍</t>
        </is>
      </c>
      <c r="G2261" s="3" t="inlineStr">
        <is>
          <t>정중리</t>
        </is>
      </c>
      <c r="H2261" s="3" t="inlineStr">
        <is>
          <t>계획관리지역</t>
        </is>
      </c>
      <c r="I2261" s="3" t="inlineStr">
        <is>
          <t>전</t>
        </is>
      </c>
      <c r="J2261" s="3" t="inlineStr">
        <is>
          <t>오송읍</t>
        </is>
      </c>
    </row>
    <row r="2262">
      <c r="A2262" s="3" t="n">
        <v>2023</v>
      </c>
      <c r="B2262" s="4" t="n">
        <v>40</v>
      </c>
      <c r="C2262" s="4" t="n">
        <v>1</v>
      </c>
      <c r="D2262" s="4" t="n">
        <v>0.3025</v>
      </c>
      <c r="E2262" s="5" t="n">
        <v>132.2</v>
      </c>
      <c r="F2262" s="3" t="inlineStr">
        <is>
          <t>오송읍</t>
        </is>
      </c>
      <c r="G2262" s="3" t="inlineStr">
        <is>
          <t>정중리</t>
        </is>
      </c>
      <c r="H2262" s="3" t="inlineStr">
        <is>
          <t>생산관리지역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2023</v>
      </c>
      <c r="B2263" s="4" t="n">
        <v>13653</v>
      </c>
      <c r="C2263" s="4" t="n">
        <v>360</v>
      </c>
      <c r="D2263" s="4" t="n">
        <v>108.9</v>
      </c>
      <c r="E2263" s="5" t="n">
        <v>125.4</v>
      </c>
      <c r="F2263" s="3" t="inlineStr">
        <is>
          <t>오송읍</t>
        </is>
      </c>
      <c r="G2263" s="3" t="inlineStr">
        <is>
          <t>정중리</t>
        </is>
      </c>
      <c r="H2263" s="3" t="inlineStr">
        <is>
          <t>생산관리지역</t>
        </is>
      </c>
      <c r="I2263" s="3" t="inlineStr">
        <is>
          <t>전</t>
        </is>
      </c>
      <c r="J2263" s="3" t="inlineStr">
        <is>
          <t>오송읍</t>
        </is>
      </c>
    </row>
    <row r="2264">
      <c r="A2264" s="3" t="n">
        <v>2023</v>
      </c>
      <c r="B2264" s="4" t="n">
        <v>13653</v>
      </c>
      <c r="C2264" s="4" t="n">
        <v>360</v>
      </c>
      <c r="D2264" s="4" t="n">
        <v>108.9</v>
      </c>
      <c r="E2264" s="5" t="n">
        <v>125.4</v>
      </c>
      <c r="F2264" s="3" t="inlineStr">
        <is>
          <t>오송읍</t>
        </is>
      </c>
      <c r="G2264" s="3" t="inlineStr">
        <is>
          <t>정중리</t>
        </is>
      </c>
      <c r="H2264" s="3" t="inlineStr">
        <is>
          <t>생산관리지역</t>
        </is>
      </c>
      <c r="I2264" s="3" t="inlineStr">
        <is>
          <t>전</t>
        </is>
      </c>
      <c r="J2264" s="3" t="inlineStr">
        <is>
          <t>오송읍</t>
        </is>
      </c>
    </row>
    <row r="2265">
      <c r="A2265" s="3" t="n">
        <v>2023</v>
      </c>
      <c r="B2265" s="4" t="n">
        <v>3262</v>
      </c>
      <c r="C2265" s="4" t="n">
        <v>86</v>
      </c>
      <c r="D2265" s="4" t="n">
        <v>26.015</v>
      </c>
      <c r="E2265" s="5" t="n">
        <v>125.4</v>
      </c>
      <c r="F2265" s="3" t="inlineStr">
        <is>
          <t>오송읍</t>
        </is>
      </c>
      <c r="G2265" s="3" t="inlineStr">
        <is>
          <t>정중리</t>
        </is>
      </c>
      <c r="H2265" s="3" t="inlineStr">
        <is>
          <t>생산관리지역</t>
        </is>
      </c>
      <c r="I2265" s="3" t="inlineStr">
        <is>
          <t>전</t>
        </is>
      </c>
      <c r="J2265" s="3" t="inlineStr">
        <is>
          <t>오송읍</t>
        </is>
      </c>
    </row>
    <row r="2266">
      <c r="A2266" s="3" t="n">
        <v>2023</v>
      </c>
      <c r="B2266" s="4" t="n">
        <v>872</v>
      </c>
      <c r="C2266" s="4" t="n">
        <v>23</v>
      </c>
      <c r="D2266" s="4" t="n">
        <v>6.9575</v>
      </c>
      <c r="E2266" s="5" t="n">
        <v>125.3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계획관리지역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2023</v>
      </c>
      <c r="B2267" s="4" t="n">
        <v>303</v>
      </c>
      <c r="C2267" s="4" t="n">
        <v>8</v>
      </c>
      <c r="D2267" s="4" t="n">
        <v>2.42</v>
      </c>
      <c r="E2267" s="5" t="n">
        <v>125.2</v>
      </c>
      <c r="F2267" s="3" t="inlineStr">
        <is>
          <t>오송읍</t>
        </is>
      </c>
      <c r="G2267" s="3" t="inlineStr">
        <is>
          <t>정중리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오송읍</t>
        </is>
      </c>
    </row>
    <row r="2268">
      <c r="A2268" s="3" t="n">
        <v>2023</v>
      </c>
      <c r="B2268" s="4" t="n">
        <v>12095</v>
      </c>
      <c r="C2268" s="4" t="n">
        <v>319</v>
      </c>
      <c r="D2268" s="4" t="n">
        <v>96.4975</v>
      </c>
      <c r="E2268" s="5" t="n">
        <v>125.3</v>
      </c>
      <c r="F2268" s="3" t="inlineStr">
        <is>
          <t>오송읍</t>
        </is>
      </c>
      <c r="G2268" s="3" t="inlineStr">
        <is>
          <t>정중리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오송읍</t>
        </is>
      </c>
    </row>
    <row r="2269">
      <c r="A2269" s="3" t="n">
        <v>2023</v>
      </c>
      <c r="B2269" s="4" t="n">
        <v>68322</v>
      </c>
      <c r="C2269" s="4" t="n">
        <v>1914.2</v>
      </c>
      <c r="D2269" s="4" t="n">
        <v>579.0454999999999</v>
      </c>
      <c r="E2269" s="5" t="n">
        <v>118</v>
      </c>
      <c r="F2269" s="3" t="inlineStr">
        <is>
          <t>오송읍</t>
        </is>
      </c>
      <c r="G2269" s="3" t="inlineStr">
        <is>
          <t>정중리</t>
        </is>
      </c>
      <c r="H2269" s="3" t="inlineStr">
        <is>
          <t>일반공업지역</t>
        </is>
      </c>
      <c r="I2269" s="3" t="inlineStr">
        <is>
          <t>대</t>
        </is>
      </c>
      <c r="J2269" s="3" t="inlineStr">
        <is>
          <t>오송읍</t>
        </is>
      </c>
    </row>
    <row r="2270">
      <c r="A2270" s="3" t="n">
        <v>2023</v>
      </c>
      <c r="B2270" s="4" t="n">
        <v>1300</v>
      </c>
      <c r="C2270" s="4" t="n">
        <v>108</v>
      </c>
      <c r="D2270" s="4" t="n">
        <v>32.67</v>
      </c>
      <c r="E2270" s="5" t="n">
        <v>39.8</v>
      </c>
      <c r="F2270" s="3" t="inlineStr">
        <is>
          <t>오송읍</t>
        </is>
      </c>
      <c r="G2270" s="3" t="inlineStr">
        <is>
          <t>연제리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오송읍</t>
        </is>
      </c>
    </row>
    <row r="2271">
      <c r="A2271" s="3" t="n">
        <v>2023</v>
      </c>
      <c r="B2271" s="4" t="n">
        <v>1500</v>
      </c>
      <c r="C2271" s="4" t="n">
        <v>73</v>
      </c>
      <c r="D2271" s="4" t="n">
        <v>22.0825</v>
      </c>
      <c r="E2271" s="5" t="n">
        <v>67.90000000000001</v>
      </c>
      <c r="F2271" s="3" t="inlineStr">
        <is>
          <t>오송읍</t>
        </is>
      </c>
      <c r="G2271" s="3" t="inlineStr">
        <is>
          <t>연제리</t>
        </is>
      </c>
      <c r="H2271" s="3" t="inlineStr">
        <is>
          <t>계획관리지역</t>
        </is>
      </c>
      <c r="I2271" s="3" t="inlineStr">
        <is>
          <t>전</t>
        </is>
      </c>
      <c r="J2271" s="3" t="inlineStr">
        <is>
          <t>오송읍</t>
        </is>
      </c>
    </row>
    <row r="2272">
      <c r="A2272" s="3" t="n">
        <v>2023</v>
      </c>
      <c r="B2272" s="4" t="n">
        <v>8600</v>
      </c>
      <c r="C2272" s="4" t="n">
        <v>547</v>
      </c>
      <c r="D2272" s="4" t="n">
        <v>165.4675</v>
      </c>
      <c r="E2272" s="5" t="n">
        <v>52</v>
      </c>
      <c r="F2272" s="3" t="inlineStr">
        <is>
          <t>강내면</t>
        </is>
      </c>
      <c r="G2272" s="3" t="inlineStr">
        <is>
          <t>연정리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강내면</t>
        </is>
      </c>
    </row>
    <row r="2273">
      <c r="A2273" s="3" t="n">
        <v>2023</v>
      </c>
      <c r="B2273" s="4" t="n">
        <v>23400</v>
      </c>
      <c r="C2273" s="4" t="n">
        <v>1510</v>
      </c>
      <c r="D2273" s="4" t="n">
        <v>456.775</v>
      </c>
      <c r="E2273" s="5" t="n">
        <v>51.2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계획관리지역</t>
        </is>
      </c>
      <c r="I2273" s="3" t="inlineStr">
        <is>
          <t>임야</t>
        </is>
      </c>
      <c r="J2273" s="3" t="inlineStr">
        <is>
          <t>강내면</t>
        </is>
      </c>
    </row>
    <row r="2274">
      <c r="A2274" s="3" t="n">
        <v>2023</v>
      </c>
      <c r="B2274" s="4" t="n">
        <v>53500</v>
      </c>
      <c r="C2274" s="4" t="n">
        <v>1653</v>
      </c>
      <c r="D2274" s="4" t="n">
        <v>500.0325</v>
      </c>
      <c r="E2274" s="5" t="n">
        <v>107</v>
      </c>
      <c r="F2274" s="3" t="inlineStr">
        <is>
          <t>강내면</t>
        </is>
      </c>
      <c r="G2274" s="3" t="inlineStr">
        <is>
          <t>궁현리</t>
        </is>
      </c>
      <c r="H2274" s="3" t="inlineStr">
        <is>
          <t>계획관리지역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2023</v>
      </c>
      <c r="B2275" s="4" t="n">
        <v>67000</v>
      </c>
      <c r="C2275" s="4" t="n">
        <v>4000</v>
      </c>
      <c r="D2275" s="4" t="n">
        <v>1210</v>
      </c>
      <c r="E2275" s="5" t="n">
        <v>55.4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농림지역</t>
        </is>
      </c>
      <c r="I2275" s="3" t="inlineStr">
        <is>
          <t>답</t>
        </is>
      </c>
      <c r="J2275" s="3" t="inlineStr">
        <is>
          <t>오송읍</t>
        </is>
      </c>
    </row>
    <row r="2276">
      <c r="A2276" s="3" t="n">
        <v>2024</v>
      </c>
      <c r="B2276" s="4" t="n">
        <v>500</v>
      </c>
      <c r="C2276" s="4" t="n">
        <v>992</v>
      </c>
      <c r="D2276" s="4" t="n">
        <v>300.08</v>
      </c>
      <c r="E2276" s="5" t="n">
        <v>1.7</v>
      </c>
      <c r="F2276" s="3" t="inlineStr">
        <is>
          <t>장군면</t>
        </is>
      </c>
      <c r="G2276" s="3" t="inlineStr">
        <is>
          <t>송문리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2024</v>
      </c>
      <c r="B2277" s="4" t="n">
        <v>24500</v>
      </c>
      <c r="C2277" s="4" t="n">
        <v>262.4</v>
      </c>
      <c r="D2277" s="4" t="n">
        <v>79.37599999999999</v>
      </c>
      <c r="E2277" s="5" t="n">
        <v>308.7</v>
      </c>
      <c r="F2277" s="3" t="inlineStr">
        <is>
          <t>집현동</t>
        </is>
      </c>
      <c r="G2277" s="3" t="inlineStr"/>
      <c r="H2277" s="3" t="inlineStr">
        <is>
          <t>제1종일반주거지역</t>
        </is>
      </c>
      <c r="I2277" s="3" t="inlineStr">
        <is>
          <t>대</t>
        </is>
      </c>
      <c r="J2277" s="3" t="inlineStr">
        <is>
          <t>집현동</t>
        </is>
      </c>
    </row>
    <row r="2278">
      <c r="A2278" s="3" t="n">
        <v>2024</v>
      </c>
      <c r="B2278" s="4" t="n">
        <v>24000</v>
      </c>
      <c r="C2278" s="4" t="n">
        <v>407</v>
      </c>
      <c r="D2278" s="4" t="n">
        <v>123.1175</v>
      </c>
      <c r="E2278" s="5" t="n">
        <v>194.9</v>
      </c>
      <c r="F2278" s="3" t="inlineStr">
        <is>
          <t>장군면</t>
        </is>
      </c>
      <c r="G2278" s="3" t="inlineStr">
        <is>
          <t>봉안리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장군면</t>
        </is>
      </c>
    </row>
    <row r="2279">
      <c r="A2279" s="3" t="n">
        <v>2024</v>
      </c>
      <c r="B2279" s="4" t="n">
        <v>5900</v>
      </c>
      <c r="C2279" s="4" t="n">
        <v>895</v>
      </c>
      <c r="D2279" s="4" t="n">
        <v>270.7375</v>
      </c>
      <c r="E2279" s="5" t="n">
        <v>21.8</v>
      </c>
      <c r="F2279" s="3" t="inlineStr">
        <is>
          <t>전동면</t>
        </is>
      </c>
      <c r="G2279" s="3" t="inlineStr">
        <is>
          <t>봉대리</t>
        </is>
      </c>
      <c r="H2279" s="3" t="inlineStr">
        <is>
          <t>생산관리지역</t>
        </is>
      </c>
      <c r="I2279" s="3" t="inlineStr">
        <is>
          <t>답</t>
        </is>
      </c>
      <c r="J2279" s="3" t="inlineStr">
        <is>
          <t>전동면</t>
        </is>
      </c>
    </row>
    <row r="2280">
      <c r="A2280" s="3" t="n">
        <v>2024</v>
      </c>
      <c r="B2280" s="4" t="n">
        <v>938</v>
      </c>
      <c r="C2280" s="4" t="n">
        <v>31</v>
      </c>
      <c r="D2280" s="4" t="n">
        <v>9.3775</v>
      </c>
      <c r="E2280" s="5" t="n">
        <v>100</v>
      </c>
      <c r="F2280" s="3" t="inlineStr">
        <is>
          <t>전의면</t>
        </is>
      </c>
      <c r="G2280" s="3" t="inlineStr">
        <is>
          <t>읍내리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전의면</t>
        </is>
      </c>
    </row>
    <row r="2281">
      <c r="A2281" s="3" t="n">
        <v>2024</v>
      </c>
      <c r="B2281" s="4" t="n">
        <v>1429</v>
      </c>
      <c r="C2281" s="4" t="n">
        <v>400</v>
      </c>
      <c r="D2281" s="4" t="n">
        <v>121</v>
      </c>
      <c r="E2281" s="5" t="n">
        <v>11.8</v>
      </c>
      <c r="F2281" s="3" t="inlineStr">
        <is>
          <t>전의면</t>
        </is>
      </c>
      <c r="G2281" s="3" t="inlineStr">
        <is>
          <t>달전리</t>
        </is>
      </c>
      <c r="H2281" s="3" t="inlineStr">
        <is>
          <t>생산관리지역</t>
        </is>
      </c>
      <c r="I2281" s="3" t="inlineStr">
        <is>
          <t>전</t>
        </is>
      </c>
      <c r="J2281" s="3" t="inlineStr">
        <is>
          <t>전의면</t>
        </is>
      </c>
    </row>
    <row r="2282">
      <c r="A2282" s="3" t="n">
        <v>2024</v>
      </c>
      <c r="B2282" s="4" t="n">
        <v>871</v>
      </c>
      <c r="C2282" s="4" t="n">
        <v>288</v>
      </c>
      <c r="D2282" s="4" t="n">
        <v>87.12</v>
      </c>
      <c r="E2282" s="5" t="n">
        <v>10</v>
      </c>
      <c r="F2282" s="3" t="inlineStr">
        <is>
          <t>전의면</t>
        </is>
      </c>
      <c r="G2282" s="3" t="inlineStr">
        <is>
          <t>달전리</t>
        </is>
      </c>
      <c r="H2282" s="3" t="inlineStr">
        <is>
          <t>생산관리지역</t>
        </is>
      </c>
      <c r="I2282" s="3" t="inlineStr">
        <is>
          <t>전</t>
        </is>
      </c>
      <c r="J2282" s="3" t="inlineStr">
        <is>
          <t>전의면</t>
        </is>
      </c>
    </row>
    <row r="2283">
      <c r="A2283" s="3" t="n">
        <v>2024</v>
      </c>
      <c r="B2283" s="4" t="n">
        <v>4097</v>
      </c>
      <c r="C2283" s="4" t="n">
        <v>24</v>
      </c>
      <c r="D2283" s="4" t="n">
        <v>7.26</v>
      </c>
      <c r="E2283" s="5" t="n">
        <v>564.3</v>
      </c>
      <c r="F2283" s="3" t="inlineStr">
        <is>
          <t>금남면</t>
        </is>
      </c>
      <c r="G2283" s="3" t="inlineStr">
        <is>
          <t>용포리</t>
        </is>
      </c>
      <c r="H2283" s="3" t="inlineStr">
        <is>
          <t>제1종일반주거지역</t>
        </is>
      </c>
      <c r="I2283" s="3" t="inlineStr">
        <is>
          <t>대</t>
        </is>
      </c>
      <c r="J2283" s="3" t="inlineStr">
        <is>
          <t>금남면</t>
        </is>
      </c>
    </row>
    <row r="2284">
      <c r="A2284" s="3" t="n">
        <v>2024</v>
      </c>
      <c r="B2284" s="4" t="n">
        <v>7400</v>
      </c>
      <c r="C2284" s="4" t="n">
        <v>463</v>
      </c>
      <c r="D2284" s="4" t="n">
        <v>140.0575</v>
      </c>
      <c r="E2284" s="5" t="n">
        <v>52.8</v>
      </c>
      <c r="F2284" s="3" t="inlineStr">
        <is>
          <t>부강면</t>
        </is>
      </c>
      <c r="G2284" s="3" t="inlineStr">
        <is>
          <t>문곡리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부강면</t>
        </is>
      </c>
    </row>
    <row r="2285">
      <c r="A2285" s="3" t="n">
        <v>2024</v>
      </c>
      <c r="B2285" s="4" t="n">
        <v>30500</v>
      </c>
      <c r="C2285" s="4" t="n">
        <v>1010</v>
      </c>
      <c r="D2285" s="4" t="n">
        <v>305.525</v>
      </c>
      <c r="E2285" s="5" t="n">
        <v>99.8</v>
      </c>
      <c r="F2285" s="3" t="inlineStr">
        <is>
          <t>금남면</t>
        </is>
      </c>
      <c r="G2285" s="3" t="inlineStr">
        <is>
          <t>영치리</t>
        </is>
      </c>
      <c r="H2285" s="3" t="inlineStr">
        <is>
          <t>개발제한구역</t>
        </is>
      </c>
      <c r="I2285" s="3" t="inlineStr">
        <is>
          <t>답</t>
        </is>
      </c>
      <c r="J2285" s="3" t="inlineStr">
        <is>
          <t>금남면</t>
        </is>
      </c>
    </row>
    <row r="2286">
      <c r="A2286" s="3" t="n">
        <v>2024</v>
      </c>
      <c r="B2286" s="4" t="n">
        <v>31400</v>
      </c>
      <c r="C2286" s="4" t="n">
        <v>1798</v>
      </c>
      <c r="D2286" s="4" t="n">
        <v>543.895</v>
      </c>
      <c r="E2286" s="5" t="n">
        <v>57.7</v>
      </c>
      <c r="F2286" s="3" t="inlineStr">
        <is>
          <t>전의면</t>
        </is>
      </c>
      <c r="G2286" s="3" t="inlineStr">
        <is>
          <t>유천리</t>
        </is>
      </c>
      <c r="H2286" s="3" t="inlineStr">
        <is>
          <t>계획관리지역</t>
        </is>
      </c>
      <c r="I2286" s="3" t="inlineStr">
        <is>
          <t>공장용지</t>
        </is>
      </c>
      <c r="J2286" s="3" t="inlineStr">
        <is>
          <t>전의면</t>
        </is>
      </c>
    </row>
    <row r="2287">
      <c r="A2287" s="3" t="n">
        <v>2024</v>
      </c>
      <c r="B2287" s="4" t="n">
        <v>5500</v>
      </c>
      <c r="C2287" s="4" t="n">
        <v>316</v>
      </c>
      <c r="D2287" s="4" t="n">
        <v>95.59</v>
      </c>
      <c r="E2287" s="5" t="n">
        <v>57.5</v>
      </c>
      <c r="F2287" s="3" t="inlineStr">
        <is>
          <t>전의면</t>
        </is>
      </c>
      <c r="G2287" s="3" t="inlineStr">
        <is>
          <t>유천리</t>
        </is>
      </c>
      <c r="H2287" s="3" t="inlineStr">
        <is>
          <t>계획관리지역</t>
        </is>
      </c>
      <c r="I2287" s="3" t="inlineStr">
        <is>
          <t>공장용지</t>
        </is>
      </c>
      <c r="J2287" s="3" t="inlineStr">
        <is>
          <t>전의면</t>
        </is>
      </c>
    </row>
    <row r="2288">
      <c r="A2288" s="3" t="n">
        <v>2024</v>
      </c>
      <c r="B2288" s="4" t="n">
        <v>3000</v>
      </c>
      <c r="C2288" s="4" t="n">
        <v>170</v>
      </c>
      <c r="D2288" s="4" t="n">
        <v>51.425</v>
      </c>
      <c r="E2288" s="5" t="n">
        <v>58.3</v>
      </c>
      <c r="F2288" s="3" t="inlineStr">
        <is>
          <t>전의면</t>
        </is>
      </c>
      <c r="G2288" s="3" t="inlineStr">
        <is>
          <t>유천리</t>
        </is>
      </c>
      <c r="H2288" s="3" t="inlineStr">
        <is>
          <t>계획관리지역</t>
        </is>
      </c>
      <c r="I2288" s="3" t="inlineStr">
        <is>
          <t>공장용지</t>
        </is>
      </c>
      <c r="J2288" s="3" t="inlineStr">
        <is>
          <t>전의면</t>
        </is>
      </c>
    </row>
    <row r="2289">
      <c r="A2289" s="3" t="n">
        <v>2024</v>
      </c>
      <c r="B2289" s="4" t="n">
        <v>18350</v>
      </c>
      <c r="C2289" s="4" t="n">
        <v>450</v>
      </c>
      <c r="D2289" s="4" t="n">
        <v>136.125</v>
      </c>
      <c r="E2289" s="5" t="n">
        <v>134.8</v>
      </c>
      <c r="F2289" s="3" t="inlineStr">
        <is>
          <t>장군면</t>
        </is>
      </c>
      <c r="G2289" s="3" t="inlineStr">
        <is>
          <t>하봉리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장군면</t>
        </is>
      </c>
    </row>
    <row r="2290">
      <c r="A2290" s="3" t="n">
        <v>2022</v>
      </c>
      <c r="B2290" s="4" t="n">
        <v>33800</v>
      </c>
      <c r="C2290" s="4" t="n">
        <v>2023</v>
      </c>
      <c r="D2290" s="4" t="n">
        <v>611.9575</v>
      </c>
      <c r="E2290" s="5" t="n">
        <v>55.2</v>
      </c>
      <c r="F2290" s="3" t="inlineStr">
        <is>
          <t>연서면</t>
        </is>
      </c>
      <c r="G2290" s="3" t="inlineStr">
        <is>
          <t>신대리</t>
        </is>
      </c>
      <c r="H2290" s="3" t="inlineStr">
        <is>
          <t>생산관리지역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65680</v>
      </c>
      <c r="C2291" s="4" t="n">
        <v>2889</v>
      </c>
      <c r="D2291" s="4" t="n">
        <v>873.9225</v>
      </c>
      <c r="E2291" s="5" t="n">
        <v>75.2</v>
      </c>
      <c r="F2291" s="3" t="inlineStr">
        <is>
          <t>연서면</t>
        </is>
      </c>
      <c r="G2291" s="3" t="inlineStr">
        <is>
          <t>신대리</t>
        </is>
      </c>
      <c r="H2291" s="3" t="inlineStr">
        <is>
          <t>생산관리지역</t>
        </is>
      </c>
      <c r="I2291" s="3" t="inlineStr">
        <is>
          <t>답</t>
        </is>
      </c>
      <c r="J2291" s="3" t="inlineStr">
        <is>
          <t>연서면</t>
        </is>
      </c>
    </row>
    <row r="2292">
      <c r="A2292" s="3" t="n">
        <v>2022</v>
      </c>
      <c r="B2292" s="4" t="n">
        <v>30000</v>
      </c>
      <c r="C2292" s="4" t="n">
        <v>1452</v>
      </c>
      <c r="D2292" s="4" t="n">
        <v>439.23</v>
      </c>
      <c r="E2292" s="5" t="n">
        <v>68.3</v>
      </c>
      <c r="F2292" s="3" t="inlineStr">
        <is>
          <t>장군면</t>
        </is>
      </c>
      <c r="G2292" s="3" t="inlineStr">
        <is>
          <t>봉안리</t>
        </is>
      </c>
      <c r="H2292" s="3" t="inlineStr">
        <is>
          <t>보전관리지역</t>
        </is>
      </c>
      <c r="I2292" s="3" t="inlineStr">
        <is>
          <t>임야</t>
        </is>
      </c>
      <c r="J2292" s="3" t="inlineStr">
        <is>
          <t>장군면</t>
        </is>
      </c>
    </row>
    <row r="2293">
      <c r="A2293" s="3" t="n">
        <v>2022</v>
      </c>
      <c r="B2293" s="4" t="n">
        <v>3400</v>
      </c>
      <c r="C2293" s="4" t="n">
        <v>317</v>
      </c>
      <c r="D2293" s="4" t="n">
        <v>95.8925</v>
      </c>
      <c r="E2293" s="5" t="n">
        <v>35.5</v>
      </c>
      <c r="F2293" s="3" t="inlineStr">
        <is>
          <t>장군면</t>
        </is>
      </c>
      <c r="G2293" s="3" t="inlineStr">
        <is>
          <t>봉안리</t>
        </is>
      </c>
      <c r="H2293" s="3" t="inlineStr">
        <is>
          <t>보전관리지역</t>
        </is>
      </c>
      <c r="I2293" s="3" t="inlineStr">
        <is>
          <t>임야</t>
        </is>
      </c>
      <c r="J2293" s="3" t="inlineStr">
        <is>
          <t>장군면</t>
        </is>
      </c>
    </row>
    <row r="2294">
      <c r="A2294" s="3" t="n">
        <v>2022</v>
      </c>
      <c r="B2294" s="4" t="n">
        <v>16500</v>
      </c>
      <c r="C2294" s="4" t="n">
        <v>460</v>
      </c>
      <c r="D2294" s="4" t="n">
        <v>139.15</v>
      </c>
      <c r="E2294" s="5" t="n">
        <v>118.6</v>
      </c>
      <c r="F2294" s="3" t="inlineStr">
        <is>
          <t>장군면</t>
        </is>
      </c>
      <c r="G2294" s="3" t="inlineStr">
        <is>
          <t>대교리</t>
        </is>
      </c>
      <c r="H2294" s="3" t="inlineStr">
        <is>
          <t>보전관리지역</t>
        </is>
      </c>
      <c r="I2294" s="3" t="inlineStr">
        <is>
          <t>임야</t>
        </is>
      </c>
      <c r="J2294" s="3" t="inlineStr">
        <is>
          <t>장군면</t>
        </is>
      </c>
    </row>
    <row r="2295">
      <c r="A2295" s="3" t="n">
        <v>2022</v>
      </c>
      <c r="B2295" s="4" t="n">
        <v>23927</v>
      </c>
      <c r="C2295" s="4" t="n">
        <v>267</v>
      </c>
      <c r="D2295" s="4" t="n">
        <v>80.7675</v>
      </c>
      <c r="E2295" s="5" t="n">
        <v>296.2</v>
      </c>
      <c r="F2295" s="3" t="inlineStr">
        <is>
          <t>전의면</t>
        </is>
      </c>
      <c r="G2295" s="3" t="inlineStr">
        <is>
          <t>읍내리</t>
        </is>
      </c>
      <c r="H2295" s="3" t="inlineStr">
        <is>
          <t>일반공업지역</t>
        </is>
      </c>
      <c r="I2295" s="3" t="inlineStr">
        <is>
          <t>전</t>
        </is>
      </c>
      <c r="J2295" s="3" t="inlineStr">
        <is>
          <t>전의면</t>
        </is>
      </c>
    </row>
    <row r="2296">
      <c r="A2296" s="3" t="n">
        <v>2022</v>
      </c>
      <c r="B2296" s="4" t="n">
        <v>30900</v>
      </c>
      <c r="C2296" s="4" t="n">
        <v>786</v>
      </c>
      <c r="D2296" s="4" t="n">
        <v>237.765</v>
      </c>
      <c r="E2296" s="5" t="n">
        <v>130</v>
      </c>
      <c r="F2296" s="3" t="inlineStr">
        <is>
          <t>전동면</t>
        </is>
      </c>
      <c r="G2296" s="3" t="inlineStr">
        <is>
          <t>미곡리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전동면</t>
        </is>
      </c>
    </row>
    <row r="2297">
      <c r="A2297" s="3" t="n">
        <v>2022</v>
      </c>
      <c r="B2297" s="4" t="n">
        <v>57600</v>
      </c>
      <c r="C2297" s="4" t="n">
        <v>1526</v>
      </c>
      <c r="D2297" s="4" t="n">
        <v>461.615</v>
      </c>
      <c r="E2297" s="5" t="n">
        <v>124.8</v>
      </c>
      <c r="F2297" s="3" t="inlineStr">
        <is>
          <t>전동면</t>
        </is>
      </c>
      <c r="G2297" s="3" t="inlineStr">
        <is>
          <t>미곡리</t>
        </is>
      </c>
      <c r="H2297" s="3" t="inlineStr">
        <is>
          <t>생산관리지역</t>
        </is>
      </c>
      <c r="I2297" s="3" t="inlineStr">
        <is>
          <t>답</t>
        </is>
      </c>
      <c r="J2297" s="3" t="inlineStr">
        <is>
          <t>전동면</t>
        </is>
      </c>
    </row>
    <row r="2298">
      <c r="A2298" s="3" t="n">
        <v>2022</v>
      </c>
      <c r="B2298" s="4" t="n">
        <v>13334</v>
      </c>
      <c r="C2298" s="4" t="n">
        <v>1650</v>
      </c>
      <c r="D2298" s="4" t="n">
        <v>499.125</v>
      </c>
      <c r="E2298" s="5" t="n">
        <v>26.7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농림지역</t>
        </is>
      </c>
      <c r="I2298" s="3" t="inlineStr">
        <is>
          <t>임야</t>
        </is>
      </c>
      <c r="J2298" s="3" t="inlineStr">
        <is>
          <t>연동면</t>
        </is>
      </c>
    </row>
    <row r="2299">
      <c r="A2299" s="3" t="n">
        <v>2022</v>
      </c>
      <c r="B2299" s="4" t="n">
        <v>53960</v>
      </c>
      <c r="C2299" s="4" t="n">
        <v>1877</v>
      </c>
      <c r="D2299" s="4" t="n">
        <v>567.7925</v>
      </c>
      <c r="E2299" s="5" t="n">
        <v>95</v>
      </c>
      <c r="F2299" s="3" t="inlineStr">
        <is>
          <t>금남면</t>
        </is>
      </c>
      <c r="G2299" s="3" t="inlineStr">
        <is>
          <t>영대리</t>
        </is>
      </c>
      <c r="H2299" s="3" t="inlineStr">
        <is>
          <t>개발제한구역</t>
        </is>
      </c>
      <c r="I2299" s="3" t="inlineStr">
        <is>
          <t>답</t>
        </is>
      </c>
      <c r="J2299" s="3" t="inlineStr">
        <is>
          <t>금남면</t>
        </is>
      </c>
    </row>
    <row r="2300">
      <c r="A2300" s="3" t="n">
        <v>2022</v>
      </c>
      <c r="B2300" s="4" t="n">
        <v>26600</v>
      </c>
      <c r="C2300" s="4" t="n">
        <v>2471</v>
      </c>
      <c r="D2300" s="4" t="n">
        <v>747.4775</v>
      </c>
      <c r="E2300" s="5" t="n">
        <v>35.6</v>
      </c>
      <c r="F2300" s="3" t="inlineStr">
        <is>
          <t>장군면</t>
        </is>
      </c>
      <c r="G2300" s="3" t="inlineStr">
        <is>
          <t>봉안리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장군면</t>
        </is>
      </c>
    </row>
    <row r="2301">
      <c r="A2301" s="3" t="n">
        <v>2022</v>
      </c>
      <c r="B2301" s="4" t="n">
        <v>26600</v>
      </c>
      <c r="C2301" s="4" t="n">
        <v>2471</v>
      </c>
      <c r="D2301" s="4" t="n">
        <v>747.4775</v>
      </c>
      <c r="E2301" s="5" t="n">
        <v>35.6</v>
      </c>
      <c r="F2301" s="3" t="inlineStr">
        <is>
          <t>장군면</t>
        </is>
      </c>
      <c r="G2301" s="3" t="inlineStr">
        <is>
          <t>봉안리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장군면</t>
        </is>
      </c>
    </row>
    <row r="2302">
      <c r="A2302" s="3" t="n">
        <v>2022</v>
      </c>
      <c r="B2302" s="4" t="n">
        <v>7000</v>
      </c>
      <c r="C2302" s="4" t="n">
        <v>30942</v>
      </c>
      <c r="D2302" s="4" t="n">
        <v>9359.955</v>
      </c>
      <c r="E2302" s="5" t="n">
        <v>0.7</v>
      </c>
      <c r="F2302" s="3" t="inlineStr">
        <is>
          <t>금남면</t>
        </is>
      </c>
      <c r="G2302" s="3" t="inlineStr">
        <is>
          <t>영대리</t>
        </is>
      </c>
      <c r="H2302" s="3" t="inlineStr">
        <is>
          <t>개발제한구역</t>
        </is>
      </c>
      <c r="I2302" s="3" t="inlineStr">
        <is>
          <t>임야</t>
        </is>
      </c>
      <c r="J2302" s="3" t="inlineStr">
        <is>
          <t>금남면</t>
        </is>
      </c>
    </row>
    <row r="2303">
      <c r="A2303" s="3" t="n">
        <v>2022</v>
      </c>
      <c r="B2303" s="4" t="n">
        <v>2300</v>
      </c>
      <c r="C2303" s="4" t="n">
        <v>63</v>
      </c>
      <c r="D2303" s="4" t="n">
        <v>19.0575</v>
      </c>
      <c r="E2303" s="5" t="n">
        <v>120.7</v>
      </c>
      <c r="F2303" s="3" t="inlineStr">
        <is>
          <t>장군면</t>
        </is>
      </c>
      <c r="G2303" s="3" t="inlineStr">
        <is>
          <t>하봉리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장군면</t>
        </is>
      </c>
    </row>
    <row r="2304">
      <c r="A2304" s="3" t="n">
        <v>2022</v>
      </c>
      <c r="B2304" s="4" t="n">
        <v>7100</v>
      </c>
      <c r="C2304" s="4" t="n">
        <v>670</v>
      </c>
      <c r="D2304" s="4" t="n">
        <v>202.675</v>
      </c>
      <c r="E2304" s="5" t="n">
        <v>35</v>
      </c>
      <c r="F2304" s="3" t="inlineStr">
        <is>
          <t>부강면</t>
        </is>
      </c>
      <c r="G2304" s="3" t="inlineStr">
        <is>
          <t>행산리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부강면</t>
        </is>
      </c>
    </row>
    <row r="2305">
      <c r="A2305" s="3" t="n">
        <v>2022</v>
      </c>
      <c r="B2305" s="4" t="n">
        <v>13200</v>
      </c>
      <c r="C2305" s="4" t="n">
        <v>1247</v>
      </c>
      <c r="D2305" s="4" t="n">
        <v>377.2175</v>
      </c>
      <c r="E2305" s="5" t="n">
        <v>35</v>
      </c>
      <c r="F2305" s="3" t="inlineStr">
        <is>
          <t>부강면</t>
        </is>
      </c>
      <c r="G2305" s="3" t="inlineStr">
        <is>
          <t>행산리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2025</v>
      </c>
      <c r="B2306" s="4" t="n">
        <v>17300</v>
      </c>
      <c r="C2306" s="4" t="n">
        <v>4389</v>
      </c>
      <c r="D2306" s="4" t="n">
        <v>1327.6725</v>
      </c>
      <c r="E2306" s="5" t="n">
        <v>13</v>
      </c>
      <c r="F2306" s="3" t="inlineStr">
        <is>
          <t>금남면</t>
        </is>
      </c>
      <c r="G2306" s="3" t="inlineStr">
        <is>
          <t>영대리</t>
        </is>
      </c>
      <c r="H2306" s="3" t="inlineStr">
        <is>
          <t>개발제한구역</t>
        </is>
      </c>
      <c r="I2306" s="3" t="inlineStr">
        <is>
          <t>임야</t>
        </is>
      </c>
      <c r="J2306" s="3" t="inlineStr">
        <is>
          <t>금남면</t>
        </is>
      </c>
    </row>
    <row r="2307">
      <c r="A2307" s="3" t="n">
        <v>2025</v>
      </c>
      <c r="B2307" s="4" t="n">
        <v>9000</v>
      </c>
      <c r="C2307" s="4" t="n">
        <v>3455</v>
      </c>
      <c r="D2307" s="4" t="n">
        <v>1045.1375</v>
      </c>
      <c r="E2307" s="5" t="n">
        <v>8.6</v>
      </c>
      <c r="F2307" s="3" t="inlineStr">
        <is>
          <t>금남면</t>
        </is>
      </c>
      <c r="G2307" s="3" t="inlineStr">
        <is>
          <t>성강리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금남면</t>
        </is>
      </c>
    </row>
    <row r="2308">
      <c r="A2308" s="3" t="n">
        <v>2025</v>
      </c>
      <c r="B2308" s="4" t="n">
        <v>30700</v>
      </c>
      <c r="C2308" s="4" t="n">
        <v>2225</v>
      </c>
      <c r="D2308" s="4" t="n">
        <v>673.0625</v>
      </c>
      <c r="E2308" s="5" t="n">
        <v>45.6</v>
      </c>
      <c r="F2308" s="3" t="inlineStr">
        <is>
          <t>전의면</t>
        </is>
      </c>
      <c r="G2308" s="3" t="inlineStr">
        <is>
          <t>신흥리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전의면</t>
        </is>
      </c>
    </row>
    <row r="2309">
      <c r="A2309" s="3" t="n">
        <v>2025</v>
      </c>
      <c r="B2309" s="4" t="n">
        <v>26300</v>
      </c>
      <c r="C2309" s="4" t="n">
        <v>1537</v>
      </c>
      <c r="D2309" s="4" t="n">
        <v>464.9425</v>
      </c>
      <c r="E2309" s="5" t="n">
        <v>56.6</v>
      </c>
      <c r="F2309" s="3" t="inlineStr">
        <is>
          <t>전의면</t>
        </is>
      </c>
      <c r="G2309" s="3" t="inlineStr">
        <is>
          <t>신흥리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전의면</t>
        </is>
      </c>
    </row>
    <row r="2310">
      <c r="A2310" s="3" t="n">
        <v>2025</v>
      </c>
      <c r="B2310" s="4" t="n">
        <v>21100</v>
      </c>
      <c r="C2310" s="4" t="n">
        <v>1531</v>
      </c>
      <c r="D2310" s="4" t="n">
        <v>463.1275</v>
      </c>
      <c r="E2310" s="5" t="n">
        <v>45.6</v>
      </c>
      <c r="F2310" s="3" t="inlineStr">
        <is>
          <t>부강면</t>
        </is>
      </c>
      <c r="G2310" s="3" t="inlineStr">
        <is>
          <t>문곡리</t>
        </is>
      </c>
      <c r="H2310" s="3" t="inlineStr">
        <is>
          <t>계획관리지역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2025</v>
      </c>
      <c r="B2311" s="4" t="n">
        <v>2800</v>
      </c>
      <c r="C2311" s="4" t="n">
        <v>200</v>
      </c>
      <c r="D2311" s="4" t="n">
        <v>60.5</v>
      </c>
      <c r="E2311" s="5" t="n">
        <v>46.3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2025</v>
      </c>
      <c r="B2312" s="4" t="n">
        <v>99000</v>
      </c>
      <c r="C2312" s="4" t="n">
        <v>1065</v>
      </c>
      <c r="D2312" s="4" t="n">
        <v>322.1625</v>
      </c>
      <c r="E2312" s="5" t="n">
        <v>307.3</v>
      </c>
      <c r="F2312" s="3" t="inlineStr">
        <is>
          <t>금남면</t>
        </is>
      </c>
      <c r="G2312" s="3" t="inlineStr">
        <is>
          <t>발산리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2025</v>
      </c>
      <c r="B2313" s="4" t="n">
        <v>20000</v>
      </c>
      <c r="C2313" s="4" t="n">
        <v>43</v>
      </c>
      <c r="D2313" s="4" t="n">
        <v>13.0075</v>
      </c>
      <c r="E2313" s="5" t="n">
        <v>1537.6</v>
      </c>
      <c r="F2313" s="3" t="inlineStr">
        <is>
          <t>금남면</t>
        </is>
      </c>
      <c r="G2313" s="3" t="inlineStr">
        <is>
          <t>호탄리</t>
        </is>
      </c>
      <c r="H2313" s="3" t="inlineStr">
        <is>
          <t>제1종일반주거지역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2025</v>
      </c>
      <c r="B2314" s="4" t="n">
        <v>7662</v>
      </c>
      <c r="C2314" s="4" t="n">
        <v>421</v>
      </c>
      <c r="D2314" s="4" t="n">
        <v>127.3525</v>
      </c>
      <c r="E2314" s="5" t="n">
        <v>60.2</v>
      </c>
      <c r="F2314" s="3" t="inlineStr">
        <is>
          <t>금남면</t>
        </is>
      </c>
      <c r="G2314" s="3" t="inlineStr">
        <is>
          <t>원봉리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2025</v>
      </c>
      <c r="B2315" s="4" t="n">
        <v>200</v>
      </c>
      <c r="C2315" s="4" t="n">
        <v>12</v>
      </c>
      <c r="D2315" s="4" t="n">
        <v>3.63</v>
      </c>
      <c r="E2315" s="5" t="n">
        <v>55.1</v>
      </c>
      <c r="F2315" s="3" t="inlineStr">
        <is>
          <t>금남면</t>
        </is>
      </c>
      <c r="G2315" s="3" t="inlineStr">
        <is>
          <t>영곡리</t>
        </is>
      </c>
      <c r="H2315" s="3" t="inlineStr">
        <is>
          <t>보전관리지역</t>
        </is>
      </c>
      <c r="I2315" s="3" t="inlineStr">
        <is>
          <t>도로</t>
        </is>
      </c>
      <c r="J2315" s="3" t="inlineStr">
        <is>
          <t>금남면</t>
        </is>
      </c>
    </row>
    <row r="2316">
      <c r="A2316" s="3" t="n">
        <v>2025</v>
      </c>
      <c r="B2316" s="4" t="n">
        <v>140</v>
      </c>
      <c r="C2316" s="4" t="n">
        <v>11</v>
      </c>
      <c r="D2316" s="4" t="n">
        <v>3.3275</v>
      </c>
      <c r="E2316" s="5" t="n">
        <v>42.1</v>
      </c>
      <c r="F2316" s="3" t="inlineStr">
        <is>
          <t>금남면</t>
        </is>
      </c>
      <c r="G2316" s="3" t="inlineStr">
        <is>
          <t>영곡리</t>
        </is>
      </c>
      <c r="H2316" s="3" t="inlineStr">
        <is>
          <t>보전관리지역</t>
        </is>
      </c>
      <c r="I2316" s="3" t="inlineStr">
        <is>
          <t>전</t>
        </is>
      </c>
      <c r="J2316" s="3" t="inlineStr">
        <is>
          <t>금남면</t>
        </is>
      </c>
    </row>
    <row r="2317">
      <c r="A2317" s="3" t="n">
        <v>2025</v>
      </c>
      <c r="B2317" s="4" t="n">
        <v>60000</v>
      </c>
      <c r="C2317" s="4" t="n">
        <v>1293</v>
      </c>
      <c r="D2317" s="4" t="n">
        <v>391.1325</v>
      </c>
      <c r="E2317" s="5" t="n">
        <v>153.4</v>
      </c>
      <c r="F2317" s="3" t="inlineStr">
        <is>
          <t>금남면</t>
        </is>
      </c>
      <c r="G2317" s="3" t="inlineStr">
        <is>
          <t>영곡리</t>
        </is>
      </c>
      <c r="H2317" s="3" t="inlineStr">
        <is>
          <t>보전관리지역</t>
        </is>
      </c>
      <c r="I2317" s="3" t="inlineStr">
        <is>
          <t>전</t>
        </is>
      </c>
      <c r="J2317" s="3" t="inlineStr">
        <is>
          <t>금남면</t>
        </is>
      </c>
    </row>
    <row r="2318">
      <c r="A2318" s="3" t="n">
        <v>2025</v>
      </c>
      <c r="B2318" s="4" t="n">
        <v>87000</v>
      </c>
      <c r="C2318" s="4" t="n">
        <v>1653</v>
      </c>
      <c r="D2318" s="4" t="n">
        <v>500.0325</v>
      </c>
      <c r="E2318" s="5" t="n">
        <v>174</v>
      </c>
      <c r="F2318" s="3" t="inlineStr">
        <is>
          <t>금남면</t>
        </is>
      </c>
      <c r="G2318" s="3" t="inlineStr">
        <is>
          <t>영곡리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금남면</t>
        </is>
      </c>
    </row>
    <row r="2319">
      <c r="A2319" s="3" t="n">
        <v>2025</v>
      </c>
      <c r="B2319" s="4" t="n">
        <v>320</v>
      </c>
      <c r="C2319" s="4" t="n">
        <v>18</v>
      </c>
      <c r="D2319" s="4" t="n">
        <v>5.445</v>
      </c>
      <c r="E2319" s="5" t="n">
        <v>58.8</v>
      </c>
      <c r="F2319" s="3" t="inlineStr">
        <is>
          <t>금남면</t>
        </is>
      </c>
      <c r="G2319" s="3" t="inlineStr">
        <is>
          <t>영곡리</t>
        </is>
      </c>
      <c r="H2319" s="3" t="inlineStr">
        <is>
          <t>보전관리지역</t>
        </is>
      </c>
      <c r="I2319" s="3" t="inlineStr">
        <is>
          <t>도로</t>
        </is>
      </c>
      <c r="J2319" s="3" t="inlineStr">
        <is>
          <t>금남면</t>
        </is>
      </c>
    </row>
    <row r="2320">
      <c r="A2320" s="3" t="n">
        <v>2025</v>
      </c>
      <c r="B2320" s="4" t="n">
        <v>13100</v>
      </c>
      <c r="C2320" s="4" t="n">
        <v>855</v>
      </c>
      <c r="D2320" s="4" t="n">
        <v>258.6375</v>
      </c>
      <c r="E2320" s="5" t="n">
        <v>50.7</v>
      </c>
      <c r="F2320" s="3" t="inlineStr">
        <is>
          <t>부강면</t>
        </is>
      </c>
      <c r="G2320" s="3" t="inlineStr">
        <is>
          <t>문곡리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부강면</t>
        </is>
      </c>
    </row>
    <row r="2321">
      <c r="A2321" s="3" t="n">
        <v>2025</v>
      </c>
      <c r="B2321" s="4" t="n">
        <v>21000</v>
      </c>
      <c r="C2321" s="4" t="n">
        <v>1501</v>
      </c>
      <c r="D2321" s="4" t="n">
        <v>454.0525</v>
      </c>
      <c r="E2321" s="5" t="n">
        <v>46.3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560</v>
      </c>
      <c r="C2322" s="4" t="n">
        <v>45</v>
      </c>
      <c r="D2322" s="4" t="n">
        <v>13.6125</v>
      </c>
      <c r="E2322" s="5" t="n">
        <v>41.1</v>
      </c>
      <c r="F2322" s="3" t="inlineStr">
        <is>
          <t>금남면</t>
        </is>
      </c>
      <c r="G2322" s="3" t="inlineStr">
        <is>
          <t>영곡리</t>
        </is>
      </c>
      <c r="H2322" s="3" t="inlineStr">
        <is>
          <t>보전관리지역</t>
        </is>
      </c>
      <c r="I2322" s="3" t="inlineStr">
        <is>
          <t>도로</t>
        </is>
      </c>
      <c r="J2322" s="3" t="inlineStr">
        <is>
          <t>금남면</t>
        </is>
      </c>
    </row>
    <row r="2323">
      <c r="A2323" s="3" t="n">
        <v>2025</v>
      </c>
      <c r="B2323" s="4" t="n">
        <v>1250</v>
      </c>
      <c r="C2323" s="4" t="n">
        <v>38</v>
      </c>
      <c r="D2323" s="4" t="n">
        <v>11.495</v>
      </c>
      <c r="E2323" s="5" t="n">
        <v>108.7</v>
      </c>
      <c r="F2323" s="3" t="inlineStr">
        <is>
          <t>금남면</t>
        </is>
      </c>
      <c r="G2323" s="3" t="inlineStr">
        <is>
          <t>영곡리</t>
        </is>
      </c>
      <c r="H2323" s="3" t="inlineStr">
        <is>
          <t>보전관리지역</t>
        </is>
      </c>
      <c r="I2323" s="3" t="inlineStr">
        <is>
          <t>도로</t>
        </is>
      </c>
      <c r="J2323" s="3" t="inlineStr">
        <is>
          <t>금남면</t>
        </is>
      </c>
    </row>
    <row r="2324">
      <c r="A2324" s="3" t="n">
        <v>2025</v>
      </c>
      <c r="B2324" s="4" t="n">
        <v>21100</v>
      </c>
      <c r="C2324" s="4" t="n">
        <v>1531</v>
      </c>
      <c r="D2324" s="4" t="n">
        <v>463.1275</v>
      </c>
      <c r="E2324" s="5" t="n">
        <v>45.6</v>
      </c>
      <c r="F2324" s="3" t="inlineStr">
        <is>
          <t>부강면</t>
        </is>
      </c>
      <c r="G2324" s="3" t="inlineStr">
        <is>
          <t>문곡리</t>
        </is>
      </c>
      <c r="H2324" s="3" t="inlineStr">
        <is>
          <t>계획관리지역</t>
        </is>
      </c>
      <c r="I2324" s="3" t="inlineStr">
        <is>
          <t>답</t>
        </is>
      </c>
      <c r="J2324" s="3" t="inlineStr">
        <is>
          <t>부강면</t>
        </is>
      </c>
    </row>
    <row r="2325">
      <c r="A2325" s="3" t="n">
        <v>2025</v>
      </c>
      <c r="B2325" s="4" t="n">
        <v>2800</v>
      </c>
      <c r="C2325" s="4" t="n">
        <v>200</v>
      </c>
      <c r="D2325" s="4" t="n">
        <v>60.5</v>
      </c>
      <c r="E2325" s="5" t="n">
        <v>46.3</v>
      </c>
      <c r="F2325" s="3" t="inlineStr">
        <is>
          <t>부강면</t>
        </is>
      </c>
      <c r="G2325" s="3" t="inlineStr">
        <is>
          <t>문곡리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부강면</t>
        </is>
      </c>
    </row>
    <row r="2326">
      <c r="A2326" s="3" t="n">
        <v>2025</v>
      </c>
      <c r="B2326" s="4" t="n">
        <v>29222</v>
      </c>
      <c r="C2326" s="4" t="n">
        <v>2760</v>
      </c>
      <c r="D2326" s="4" t="n">
        <v>834.9</v>
      </c>
      <c r="E2326" s="5" t="n">
        <v>35</v>
      </c>
      <c r="F2326" s="3" t="inlineStr">
        <is>
          <t>전의면</t>
        </is>
      </c>
      <c r="G2326" s="3" t="inlineStr">
        <is>
          <t>유천리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전의면</t>
        </is>
      </c>
    </row>
    <row r="2327">
      <c r="A2327" s="3" t="n">
        <v>2025</v>
      </c>
      <c r="B2327" s="4" t="n">
        <v>25000</v>
      </c>
      <c r="C2327" s="4" t="n">
        <v>913</v>
      </c>
      <c r="D2327" s="4" t="n">
        <v>276.1825</v>
      </c>
      <c r="E2327" s="5" t="n">
        <v>90.5</v>
      </c>
      <c r="F2327" s="3" t="inlineStr">
        <is>
          <t>장군면</t>
        </is>
      </c>
      <c r="G2327" s="3" t="inlineStr">
        <is>
          <t>은용리</t>
        </is>
      </c>
      <c r="H2327" s="3" t="inlineStr">
        <is>
          <t>농림지역</t>
        </is>
      </c>
      <c r="I2327" s="3" t="inlineStr">
        <is>
          <t>전</t>
        </is>
      </c>
      <c r="J2327" s="3" t="inlineStr">
        <is>
          <t>장군면</t>
        </is>
      </c>
    </row>
    <row r="2328">
      <c r="A2328" s="3" t="n">
        <v>2025</v>
      </c>
      <c r="B2328" s="4" t="n">
        <v>8900</v>
      </c>
      <c r="C2328" s="4" t="n">
        <v>635</v>
      </c>
      <c r="D2328" s="4" t="n">
        <v>192.0875</v>
      </c>
      <c r="E2328" s="5" t="n">
        <v>46.3</v>
      </c>
      <c r="F2328" s="3" t="inlineStr">
        <is>
          <t>부강면</t>
        </is>
      </c>
      <c r="G2328" s="3" t="inlineStr">
        <is>
          <t>행산리</t>
        </is>
      </c>
      <c r="H2328" s="3" t="inlineStr">
        <is>
          <t>계획관리지역</t>
        </is>
      </c>
      <c r="I2328" s="3" t="inlineStr">
        <is>
          <t>전</t>
        </is>
      </c>
      <c r="J2328" s="3" t="inlineStr">
        <is>
          <t>부강면</t>
        </is>
      </c>
    </row>
    <row r="2329">
      <c r="A2329" s="3" t="n">
        <v>2025</v>
      </c>
      <c r="B2329" s="4" t="n">
        <v>3000</v>
      </c>
      <c r="C2329" s="4" t="n">
        <v>218</v>
      </c>
      <c r="D2329" s="4" t="n">
        <v>65.94499999999999</v>
      </c>
      <c r="E2329" s="5" t="n">
        <v>45.5</v>
      </c>
      <c r="F2329" s="3" t="inlineStr">
        <is>
          <t>부강면</t>
        </is>
      </c>
      <c r="G2329" s="3" t="inlineStr">
        <is>
          <t>행산리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부강면</t>
        </is>
      </c>
    </row>
    <row r="2330">
      <c r="A2330" s="3" t="n">
        <v>2025</v>
      </c>
      <c r="B2330" s="4" t="n">
        <v>900</v>
      </c>
      <c r="C2330" s="4" t="n">
        <v>298</v>
      </c>
      <c r="D2330" s="4" t="n">
        <v>90.145</v>
      </c>
      <c r="E2330" s="5" t="n">
        <v>10</v>
      </c>
      <c r="F2330" s="3" t="inlineStr">
        <is>
          <t>부강면</t>
        </is>
      </c>
      <c r="G2330" s="3" t="inlineStr">
        <is>
          <t>행산리</t>
        </is>
      </c>
      <c r="H2330" s="3" t="inlineStr">
        <is>
          <t>계획관리지역</t>
        </is>
      </c>
      <c r="I2330" s="3" t="inlineStr">
        <is>
          <t>임야</t>
        </is>
      </c>
      <c r="J2330" s="3" t="inlineStr">
        <is>
          <t>부강면</t>
        </is>
      </c>
    </row>
    <row r="2331">
      <c r="A2331" s="3" t="n">
        <v>2022</v>
      </c>
      <c r="B2331" s="4" t="n">
        <v>13000</v>
      </c>
      <c r="C2331" s="4" t="n">
        <v>232</v>
      </c>
      <c r="D2331" s="4" t="n">
        <v>70.17999999999999</v>
      </c>
      <c r="E2331" s="5" t="n">
        <v>185.2</v>
      </c>
      <c r="F2331" s="3" t="inlineStr">
        <is>
          <t>연동면</t>
        </is>
      </c>
      <c r="G2331" s="3" t="inlineStr">
        <is>
          <t>응암리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연동면</t>
        </is>
      </c>
    </row>
    <row r="2332">
      <c r="A2332" s="3" t="n">
        <v>2022</v>
      </c>
      <c r="B2332" s="4" t="n">
        <v>331160</v>
      </c>
      <c r="C2332" s="4" t="n">
        <v>8902</v>
      </c>
      <c r="D2332" s="4" t="n">
        <v>2692.855</v>
      </c>
      <c r="E2332" s="5" t="n">
        <v>123</v>
      </c>
      <c r="F2332" s="3" t="inlineStr">
        <is>
          <t>장군면</t>
        </is>
      </c>
      <c r="G2332" s="3" t="inlineStr">
        <is>
          <t>봉안리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장군면</t>
        </is>
      </c>
    </row>
    <row r="2333">
      <c r="A2333" s="3" t="n">
        <v>2022</v>
      </c>
      <c r="B2333" s="4" t="n">
        <v>3400</v>
      </c>
      <c r="C2333" s="4" t="n">
        <v>317</v>
      </c>
      <c r="D2333" s="4" t="n">
        <v>95.8925</v>
      </c>
      <c r="E2333" s="5" t="n">
        <v>35.5</v>
      </c>
      <c r="F2333" s="3" t="inlineStr">
        <is>
          <t>장군면</t>
        </is>
      </c>
      <c r="G2333" s="3" t="inlineStr">
        <is>
          <t>봉안리</t>
        </is>
      </c>
      <c r="H2333" s="3" t="inlineStr">
        <is>
          <t>보전관리지역</t>
        </is>
      </c>
      <c r="I2333" s="3" t="inlineStr">
        <is>
          <t>임야</t>
        </is>
      </c>
      <c r="J2333" s="3" t="inlineStr">
        <is>
          <t>장군면</t>
        </is>
      </c>
    </row>
    <row r="2334">
      <c r="A2334" s="3" t="n">
        <v>2022</v>
      </c>
      <c r="B2334" s="4" t="n">
        <v>5500</v>
      </c>
      <c r="C2334" s="4" t="n">
        <v>1058</v>
      </c>
      <c r="D2334" s="4" t="n">
        <v>320.045</v>
      </c>
      <c r="E2334" s="5" t="n">
        <v>17.2</v>
      </c>
      <c r="F2334" s="3" t="inlineStr">
        <is>
          <t>연서면</t>
        </is>
      </c>
      <c r="G2334" s="3" t="inlineStr">
        <is>
          <t>쌍류리</t>
        </is>
      </c>
      <c r="H2334" s="3" t="inlineStr">
        <is>
          <t>보전관리지역</t>
        </is>
      </c>
      <c r="I2334" s="3" t="inlineStr">
        <is>
          <t>답</t>
        </is>
      </c>
      <c r="J2334" s="3" t="inlineStr">
        <is>
          <t>연서면</t>
        </is>
      </c>
    </row>
    <row r="2335">
      <c r="A2335" s="3" t="n">
        <v>2022</v>
      </c>
      <c r="B2335" s="4" t="n">
        <v>230400</v>
      </c>
      <c r="C2335" s="4" t="n">
        <v>4097</v>
      </c>
      <c r="D2335" s="4" t="n">
        <v>1239.3425</v>
      </c>
      <c r="E2335" s="5" t="n">
        <v>185.9</v>
      </c>
      <c r="F2335" s="3" t="inlineStr">
        <is>
          <t>장군면</t>
        </is>
      </c>
      <c r="G2335" s="3" t="inlineStr">
        <is>
          <t>봉안리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70000</v>
      </c>
      <c r="C2336" s="4" t="n">
        <v>1618</v>
      </c>
      <c r="D2336" s="4" t="n">
        <v>489.445</v>
      </c>
      <c r="E2336" s="5" t="n">
        <v>143</v>
      </c>
      <c r="F2336" s="3" t="inlineStr">
        <is>
          <t>금남면</t>
        </is>
      </c>
      <c r="G2336" s="3" t="inlineStr">
        <is>
          <t>발산리</t>
        </is>
      </c>
      <c r="H2336" s="3" t="inlineStr">
        <is>
          <t>계획관리지역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3400</v>
      </c>
      <c r="C2337" s="4" t="n">
        <v>317</v>
      </c>
      <c r="D2337" s="4" t="n">
        <v>95.8925</v>
      </c>
      <c r="E2337" s="5" t="n">
        <v>35.5</v>
      </c>
      <c r="F2337" s="3" t="inlineStr">
        <is>
          <t>장군면</t>
        </is>
      </c>
      <c r="G2337" s="3" t="inlineStr">
        <is>
          <t>봉안리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30000</v>
      </c>
      <c r="C2338" s="4" t="n">
        <v>661</v>
      </c>
      <c r="D2338" s="4" t="n">
        <v>199.9525</v>
      </c>
      <c r="E2338" s="5" t="n">
        <v>150</v>
      </c>
      <c r="F2338" s="3" t="inlineStr">
        <is>
          <t>연서면</t>
        </is>
      </c>
      <c r="G2338" s="3" t="inlineStr">
        <is>
          <t>월하리</t>
        </is>
      </c>
      <c r="H2338" s="3" t="inlineStr">
        <is>
          <t>자연녹지지역</t>
        </is>
      </c>
      <c r="I2338" s="3" t="inlineStr">
        <is>
          <t>임야</t>
        </is>
      </c>
      <c r="J2338" s="3" t="inlineStr">
        <is>
          <t>연서면</t>
        </is>
      </c>
    </row>
    <row r="2339">
      <c r="A2339" s="3" t="n">
        <v>2022</v>
      </c>
      <c r="B2339" s="4" t="n">
        <v>125000</v>
      </c>
      <c r="C2339" s="4" t="n">
        <v>1831</v>
      </c>
      <c r="D2339" s="4" t="n">
        <v>553.8774999999999</v>
      </c>
      <c r="E2339" s="5" t="n">
        <v>225.7</v>
      </c>
      <c r="F2339" s="3" t="inlineStr">
        <is>
          <t>연기면</t>
        </is>
      </c>
      <c r="G2339" s="3" t="inlineStr">
        <is>
          <t>눌왕리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연기면</t>
        </is>
      </c>
    </row>
    <row r="2340">
      <c r="A2340" s="3" t="n">
        <v>2022</v>
      </c>
      <c r="B2340" s="4" t="n">
        <v>913</v>
      </c>
      <c r="C2340" s="4" t="n">
        <v>10</v>
      </c>
      <c r="D2340" s="4" t="n">
        <v>3.025</v>
      </c>
      <c r="E2340" s="5" t="n">
        <v>301.8</v>
      </c>
      <c r="F2340" s="3" t="inlineStr">
        <is>
          <t>연서면</t>
        </is>
      </c>
      <c r="G2340" s="3" t="inlineStr">
        <is>
          <t>봉암리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연서면</t>
        </is>
      </c>
    </row>
    <row r="2341">
      <c r="A2341" s="3" t="n">
        <v>2022</v>
      </c>
      <c r="B2341" s="4" t="n">
        <v>520</v>
      </c>
      <c r="C2341" s="4" t="n">
        <v>17</v>
      </c>
      <c r="D2341" s="4" t="n">
        <v>5.1425</v>
      </c>
      <c r="E2341" s="5" t="n">
        <v>101.1</v>
      </c>
      <c r="F2341" s="3" t="inlineStr">
        <is>
          <t>연서면</t>
        </is>
      </c>
      <c r="G2341" s="3" t="inlineStr">
        <is>
          <t>월하리</t>
        </is>
      </c>
      <c r="H2341" s="3" t="inlineStr">
        <is>
          <t>자연녹지지역</t>
        </is>
      </c>
      <c r="I2341" s="3" t="inlineStr">
        <is>
          <t>묘지</t>
        </is>
      </c>
      <c r="J2341" s="3" t="inlineStr">
        <is>
          <t>연서면</t>
        </is>
      </c>
    </row>
    <row r="2342">
      <c r="A2342" s="3" t="n">
        <v>2022</v>
      </c>
      <c r="B2342" s="4" t="n">
        <v>1614</v>
      </c>
      <c r="C2342" s="4" t="n">
        <v>53</v>
      </c>
      <c r="D2342" s="4" t="n">
        <v>16.0325</v>
      </c>
      <c r="E2342" s="5" t="n">
        <v>100.7</v>
      </c>
      <c r="F2342" s="3" t="inlineStr">
        <is>
          <t>연서면</t>
        </is>
      </c>
      <c r="G2342" s="3" t="inlineStr">
        <is>
          <t>월하리</t>
        </is>
      </c>
      <c r="H2342" s="3" t="inlineStr">
        <is>
          <t>자연녹지지역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54000</v>
      </c>
      <c r="C2343" s="4" t="n">
        <v>623</v>
      </c>
      <c r="D2343" s="4" t="n">
        <v>188.4575</v>
      </c>
      <c r="E2343" s="5" t="n">
        <v>286.5</v>
      </c>
      <c r="F2343" s="3" t="inlineStr">
        <is>
          <t>연동면</t>
        </is>
      </c>
      <c r="G2343" s="3" t="inlineStr">
        <is>
          <t>내판리</t>
        </is>
      </c>
      <c r="H2343" s="3" t="inlineStr">
        <is>
          <t>계획관리지역</t>
        </is>
      </c>
      <c r="I2343" s="3" t="inlineStr">
        <is>
          <t>철도용지</t>
        </is>
      </c>
      <c r="J2343" s="3" t="inlineStr">
        <is>
          <t>연동면</t>
        </is>
      </c>
    </row>
    <row r="2344">
      <c r="A2344" s="3" t="n">
        <v>2022</v>
      </c>
      <c r="B2344" s="4" t="n">
        <v>690</v>
      </c>
      <c r="C2344" s="4" t="n">
        <v>36</v>
      </c>
      <c r="D2344" s="4" t="n">
        <v>10.89</v>
      </c>
      <c r="E2344" s="5" t="n">
        <v>63.4</v>
      </c>
      <c r="F2344" s="3" t="inlineStr">
        <is>
          <t>전동면</t>
        </is>
      </c>
      <c r="G2344" s="3" t="inlineStr">
        <is>
          <t>미곡리</t>
        </is>
      </c>
      <c r="H2344" s="3" t="inlineStr">
        <is>
          <t>계획관리지역</t>
        </is>
      </c>
      <c r="I2344" s="3" t="inlineStr">
        <is>
          <t>대</t>
        </is>
      </c>
      <c r="J2344" s="3" t="inlineStr">
        <is>
          <t>전동면</t>
        </is>
      </c>
    </row>
    <row r="2345">
      <c r="A2345" s="3" t="n">
        <v>2022</v>
      </c>
      <c r="B2345" s="4" t="n">
        <v>7269</v>
      </c>
      <c r="C2345" s="4" t="n">
        <v>347</v>
      </c>
      <c r="D2345" s="4" t="n">
        <v>104.9675</v>
      </c>
      <c r="E2345" s="5" t="n">
        <v>69.3</v>
      </c>
      <c r="F2345" s="3" t="inlineStr">
        <is>
          <t>전동면</t>
        </is>
      </c>
      <c r="G2345" s="3" t="inlineStr">
        <is>
          <t>미곡리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전동면</t>
        </is>
      </c>
    </row>
    <row r="2346">
      <c r="A2346" s="3" t="n">
        <v>2022</v>
      </c>
      <c r="B2346" s="4" t="n">
        <v>5341</v>
      </c>
      <c r="C2346" s="4" t="n">
        <v>255</v>
      </c>
      <c r="D2346" s="4" t="n">
        <v>77.1375</v>
      </c>
      <c r="E2346" s="5" t="n">
        <v>69.2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계획관리지역</t>
        </is>
      </c>
      <c r="I2346" s="3" t="inlineStr">
        <is>
          <t>전</t>
        </is>
      </c>
      <c r="J2346" s="3" t="inlineStr">
        <is>
          <t>전동면</t>
        </is>
      </c>
    </row>
    <row r="2347">
      <c r="A2347" s="3" t="n">
        <v>2022</v>
      </c>
      <c r="B2347" s="4" t="n">
        <v>57648</v>
      </c>
      <c r="C2347" s="4" t="n">
        <v>659</v>
      </c>
      <c r="D2347" s="4" t="n">
        <v>199.3475</v>
      </c>
      <c r="E2347" s="5" t="n">
        <v>289.2</v>
      </c>
      <c r="F2347" s="3" t="inlineStr">
        <is>
          <t>금남면</t>
        </is>
      </c>
      <c r="G2347" s="3" t="inlineStr">
        <is>
          <t>성덕리</t>
        </is>
      </c>
      <c r="H2347" s="3" t="inlineStr">
        <is>
          <t>보전관리지역</t>
        </is>
      </c>
      <c r="I2347" s="3" t="inlineStr">
        <is>
          <t>임야</t>
        </is>
      </c>
      <c r="J2347" s="3" t="inlineStr">
        <is>
          <t>금남면</t>
        </is>
      </c>
    </row>
    <row r="2348">
      <c r="A2348" s="3" t="n">
        <v>2022</v>
      </c>
      <c r="B2348" s="4" t="n">
        <v>9000</v>
      </c>
      <c r="C2348" s="4" t="n">
        <v>200</v>
      </c>
      <c r="D2348" s="4" t="n">
        <v>60.5</v>
      </c>
      <c r="E2348" s="5" t="n">
        <v>148.8</v>
      </c>
      <c r="F2348" s="3" t="inlineStr">
        <is>
          <t>연서면</t>
        </is>
      </c>
      <c r="G2348" s="3" t="inlineStr">
        <is>
          <t>쌍류리</t>
        </is>
      </c>
      <c r="H2348" s="3" t="inlineStr">
        <is>
          <t>농림지역</t>
        </is>
      </c>
      <c r="I2348" s="3" t="inlineStr">
        <is>
          <t>과수원</t>
        </is>
      </c>
      <c r="J2348" s="3" t="inlineStr">
        <is>
          <t>연서면</t>
        </is>
      </c>
    </row>
    <row r="2349">
      <c r="A2349" s="3" t="n">
        <v>2022</v>
      </c>
      <c r="B2349" s="4" t="n">
        <v>2400</v>
      </c>
      <c r="C2349" s="4" t="n">
        <v>63</v>
      </c>
      <c r="D2349" s="4" t="n">
        <v>19.0575</v>
      </c>
      <c r="E2349" s="5" t="n">
        <v>125.9</v>
      </c>
      <c r="F2349" s="3" t="inlineStr">
        <is>
          <t>연서면</t>
        </is>
      </c>
      <c r="G2349" s="3" t="inlineStr">
        <is>
          <t>월하리</t>
        </is>
      </c>
      <c r="H2349" s="3" t="inlineStr">
        <is>
          <t>자연녹지지역</t>
        </is>
      </c>
      <c r="I2349" s="3" t="inlineStr">
        <is>
          <t>묘지</t>
        </is>
      </c>
      <c r="J2349" s="3" t="inlineStr">
        <is>
          <t>연서면</t>
        </is>
      </c>
    </row>
    <row r="2350">
      <c r="A2350" s="3" t="n">
        <v>2022</v>
      </c>
      <c r="B2350" s="4" t="n">
        <v>50000</v>
      </c>
      <c r="C2350" s="4" t="n">
        <v>1406</v>
      </c>
      <c r="D2350" s="4" t="n">
        <v>425.315</v>
      </c>
      <c r="E2350" s="5" t="n">
        <v>117.6</v>
      </c>
      <c r="F2350" s="3" t="inlineStr">
        <is>
          <t>장군면</t>
        </is>
      </c>
      <c r="G2350" s="3" t="inlineStr">
        <is>
          <t>하봉리</t>
        </is>
      </c>
      <c r="H2350" s="3" t="inlineStr">
        <is>
          <t>계획관리지역</t>
        </is>
      </c>
      <c r="I2350" s="3" t="inlineStr">
        <is>
          <t>답</t>
        </is>
      </c>
      <c r="J2350" s="3" t="inlineStr">
        <is>
          <t>장군면</t>
        </is>
      </c>
    </row>
    <row r="2351">
      <c r="A2351" s="3" t="n">
        <v>2022</v>
      </c>
      <c r="B2351" s="4" t="n">
        <v>48000</v>
      </c>
      <c r="C2351" s="4" t="n">
        <v>660</v>
      </c>
      <c r="D2351" s="4" t="n">
        <v>199.65</v>
      </c>
      <c r="E2351" s="5" t="n">
        <v>240.4</v>
      </c>
      <c r="F2351" s="3" t="inlineStr">
        <is>
          <t>장군면</t>
        </is>
      </c>
      <c r="G2351" s="3" t="inlineStr">
        <is>
          <t>봉안리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장군면</t>
        </is>
      </c>
    </row>
    <row r="2352">
      <c r="A2352" s="3" t="n">
        <v>2022</v>
      </c>
      <c r="B2352" s="4" t="n">
        <v>136800</v>
      </c>
      <c r="C2352" s="4" t="n">
        <v>1884</v>
      </c>
      <c r="D2352" s="4" t="n">
        <v>569.91</v>
      </c>
      <c r="E2352" s="5" t="n">
        <v>240</v>
      </c>
      <c r="F2352" s="3" t="inlineStr">
        <is>
          <t>장군면</t>
        </is>
      </c>
      <c r="G2352" s="3" t="inlineStr">
        <is>
          <t>봉안리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장군면</t>
        </is>
      </c>
    </row>
    <row r="2353">
      <c r="A2353" s="3" t="n">
        <v>2022</v>
      </c>
      <c r="B2353" s="4" t="n">
        <v>34000</v>
      </c>
      <c r="C2353" s="4" t="n">
        <v>8939</v>
      </c>
      <c r="D2353" s="4" t="n">
        <v>2704.0475</v>
      </c>
      <c r="E2353" s="5" t="n">
        <v>12.6</v>
      </c>
      <c r="F2353" s="3" t="inlineStr">
        <is>
          <t>전의면</t>
        </is>
      </c>
      <c r="G2353" s="3" t="inlineStr">
        <is>
          <t>신정리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전의면</t>
        </is>
      </c>
    </row>
    <row r="2354">
      <c r="A2354" s="3" t="n">
        <v>2022</v>
      </c>
      <c r="B2354" s="4" t="n">
        <v>43000</v>
      </c>
      <c r="C2354" s="4" t="n">
        <v>829</v>
      </c>
      <c r="D2354" s="4" t="n">
        <v>250.7725</v>
      </c>
      <c r="E2354" s="5" t="n">
        <v>171.5</v>
      </c>
      <c r="F2354" s="3" t="inlineStr">
        <is>
          <t>금남면</t>
        </is>
      </c>
      <c r="G2354" s="3" t="inlineStr">
        <is>
          <t>영곡리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금남면</t>
        </is>
      </c>
    </row>
    <row r="2355">
      <c r="A2355" s="3" t="n">
        <v>2022</v>
      </c>
      <c r="B2355" s="4" t="n">
        <v>74000</v>
      </c>
      <c r="C2355" s="4" t="n">
        <v>3260</v>
      </c>
      <c r="D2355" s="4" t="n">
        <v>986.15</v>
      </c>
      <c r="E2355" s="5" t="n">
        <v>75</v>
      </c>
      <c r="F2355" s="3" t="inlineStr">
        <is>
          <t>연서면</t>
        </is>
      </c>
      <c r="G2355" s="3" t="inlineStr">
        <is>
          <t>신대리</t>
        </is>
      </c>
      <c r="H2355" s="3" t="inlineStr">
        <is>
          <t>계획관리지역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46000</v>
      </c>
      <c r="C2356" s="4" t="n">
        <v>2046</v>
      </c>
      <c r="D2356" s="4" t="n">
        <v>618.915</v>
      </c>
      <c r="E2356" s="5" t="n">
        <v>74.3</v>
      </c>
      <c r="F2356" s="3" t="inlineStr">
        <is>
          <t>연서면</t>
        </is>
      </c>
      <c r="G2356" s="3" t="inlineStr">
        <is>
          <t>신대리</t>
        </is>
      </c>
      <c r="H2356" s="3" t="inlineStr">
        <is>
          <t>계획관리지역</t>
        </is>
      </c>
      <c r="I2356" s="3" t="inlineStr">
        <is>
          <t>전</t>
        </is>
      </c>
      <c r="J2356" s="3" t="inlineStr">
        <is>
          <t>연서면</t>
        </is>
      </c>
    </row>
    <row r="2357">
      <c r="A2357" s="3" t="n">
        <v>2022</v>
      </c>
      <c r="B2357" s="4" t="n">
        <v>69600</v>
      </c>
      <c r="C2357" s="4" t="n">
        <v>14380</v>
      </c>
      <c r="D2357" s="4" t="n">
        <v>4349.95</v>
      </c>
      <c r="E2357" s="5" t="n">
        <v>16</v>
      </c>
      <c r="F2357" s="3" t="inlineStr">
        <is>
          <t>부강면</t>
        </is>
      </c>
      <c r="G2357" s="3" t="inlineStr">
        <is>
          <t>등곡리</t>
        </is>
      </c>
      <c r="H2357" s="3" t="inlineStr">
        <is>
          <t>보전관리지역</t>
        </is>
      </c>
      <c r="I2357" s="3" t="inlineStr">
        <is>
          <t>임야</t>
        </is>
      </c>
      <c r="J2357" s="3" t="inlineStr">
        <is>
          <t>부강면</t>
        </is>
      </c>
    </row>
    <row r="2358">
      <c r="A2358" s="3" t="n">
        <v>2022</v>
      </c>
      <c r="B2358" s="4" t="n">
        <v>18000</v>
      </c>
      <c r="C2358" s="4" t="n">
        <v>147</v>
      </c>
      <c r="D2358" s="4" t="n">
        <v>44.4675</v>
      </c>
      <c r="E2358" s="5" t="n">
        <v>404.8</v>
      </c>
      <c r="F2358" s="3" t="inlineStr">
        <is>
          <t>조치원읍</t>
        </is>
      </c>
      <c r="G2358" s="3" t="inlineStr">
        <is>
          <t>서창리</t>
        </is>
      </c>
      <c r="H2358" s="3" t="inlineStr">
        <is>
          <t>자연녹지지역</t>
        </is>
      </c>
      <c r="I2358" s="3" t="inlineStr">
        <is>
          <t>대</t>
        </is>
      </c>
      <c r="J2358" s="3" t="inlineStr">
        <is>
          <t>조치원읍</t>
        </is>
      </c>
    </row>
    <row r="2359">
      <c r="A2359" s="3" t="n">
        <v>2022</v>
      </c>
      <c r="B2359" s="4" t="n">
        <v>20000</v>
      </c>
      <c r="C2359" s="4" t="n">
        <v>6935</v>
      </c>
      <c r="D2359" s="4" t="n">
        <v>2097.8375</v>
      </c>
      <c r="E2359" s="5" t="n">
        <v>9.5</v>
      </c>
      <c r="F2359" s="3" t="inlineStr">
        <is>
          <t>전동면</t>
        </is>
      </c>
      <c r="G2359" s="3" t="inlineStr">
        <is>
          <t>노장리</t>
        </is>
      </c>
      <c r="H2359" s="3" t="inlineStr">
        <is>
          <t>농림지역</t>
        </is>
      </c>
      <c r="I2359" s="3" t="inlineStr">
        <is>
          <t>임야</t>
        </is>
      </c>
      <c r="J2359" s="3" t="inlineStr">
        <is>
          <t>전동면</t>
        </is>
      </c>
    </row>
    <row r="2360">
      <c r="A2360" s="3" t="n">
        <v>2022</v>
      </c>
      <c r="B2360" s="4" t="n">
        <v>36567</v>
      </c>
      <c r="C2360" s="4" t="n">
        <v>1038</v>
      </c>
      <c r="D2360" s="4" t="n">
        <v>313.995</v>
      </c>
      <c r="E2360" s="5" t="n">
        <v>116.5</v>
      </c>
      <c r="F2360" s="3" t="inlineStr">
        <is>
          <t>연서면</t>
        </is>
      </c>
      <c r="G2360" s="3" t="inlineStr">
        <is>
          <t>청라리</t>
        </is>
      </c>
      <c r="H2360" s="3" t="inlineStr">
        <is>
          <t>생산관리지역</t>
        </is>
      </c>
      <c r="I2360" s="3" t="inlineStr">
        <is>
          <t>과수원</t>
        </is>
      </c>
      <c r="J2360" s="3" t="inlineStr">
        <is>
          <t>연서면</t>
        </is>
      </c>
    </row>
    <row r="2361">
      <c r="A2361" s="3" t="n">
        <v>2022</v>
      </c>
      <c r="B2361" s="4" t="n">
        <v>7433</v>
      </c>
      <c r="C2361" s="4" t="n">
        <v>211</v>
      </c>
      <c r="D2361" s="4" t="n">
        <v>63.8275</v>
      </c>
      <c r="E2361" s="5" t="n">
        <v>116.5</v>
      </c>
      <c r="F2361" s="3" t="inlineStr">
        <is>
          <t>연서면</t>
        </is>
      </c>
      <c r="G2361" s="3" t="inlineStr">
        <is>
          <t>청라리</t>
        </is>
      </c>
      <c r="H2361" s="3" t="inlineStr">
        <is>
          <t>생산관리지역</t>
        </is>
      </c>
      <c r="I2361" s="3" t="inlineStr">
        <is>
          <t>과수원</t>
        </is>
      </c>
      <c r="J2361" s="3" t="inlineStr">
        <is>
          <t>연서면</t>
        </is>
      </c>
    </row>
    <row r="2362">
      <c r="A2362" s="3" t="n">
        <v>2022</v>
      </c>
      <c r="B2362" s="4" t="n">
        <v>5000</v>
      </c>
      <c r="C2362" s="4" t="n">
        <v>635</v>
      </c>
      <c r="D2362" s="4" t="n">
        <v>192.0875</v>
      </c>
      <c r="E2362" s="5" t="n">
        <v>26</v>
      </c>
      <c r="F2362" s="3" t="inlineStr">
        <is>
          <t>전동면</t>
        </is>
      </c>
      <c r="G2362" s="3" t="inlineStr">
        <is>
          <t>봉대리</t>
        </is>
      </c>
      <c r="H2362" s="3" t="inlineStr">
        <is>
          <t>계획관리지역</t>
        </is>
      </c>
      <c r="I2362" s="3" t="inlineStr">
        <is>
          <t>전</t>
        </is>
      </c>
      <c r="J2362" s="3" t="inlineStr">
        <is>
          <t>전동면</t>
        </is>
      </c>
    </row>
    <row r="2363">
      <c r="A2363" s="3" t="n">
        <v>2026</v>
      </c>
      <c r="B2363" s="4" t="n">
        <v>2150</v>
      </c>
      <c r="C2363" s="4" t="n">
        <v>711</v>
      </c>
      <c r="D2363" s="4" t="n">
        <v>215.0775</v>
      </c>
      <c r="E2363" s="5" t="n">
        <v>10</v>
      </c>
      <c r="F2363" s="3" t="inlineStr">
        <is>
          <t>남이면</t>
        </is>
      </c>
      <c r="G2363" s="3" t="inlineStr">
        <is>
          <t>석실리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남이면</t>
        </is>
      </c>
    </row>
    <row r="2364">
      <c r="A2364" s="3" t="n">
        <v>2026</v>
      </c>
      <c r="B2364" s="4" t="n">
        <v>7850</v>
      </c>
      <c r="C2364" s="4" t="n">
        <v>2628</v>
      </c>
      <c r="D2364" s="4" t="n">
        <v>794.97</v>
      </c>
      <c r="E2364" s="5" t="n">
        <v>9.9</v>
      </c>
      <c r="F2364" s="3" t="inlineStr">
        <is>
          <t>남이면</t>
        </is>
      </c>
      <c r="G2364" s="3" t="inlineStr">
        <is>
          <t>석실리</t>
        </is>
      </c>
      <c r="H2364" s="3" t="inlineStr">
        <is>
          <t>자연녹지지역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14200</v>
      </c>
      <c r="C2365" s="4" t="n">
        <v>1175</v>
      </c>
      <c r="D2365" s="4" t="n">
        <v>355.4375</v>
      </c>
      <c r="E2365" s="5" t="n">
        <v>40</v>
      </c>
      <c r="F2365" s="3" t="inlineStr">
        <is>
          <t>현도면</t>
        </is>
      </c>
      <c r="G2365" s="3" t="inlineStr">
        <is>
          <t>중척리</t>
        </is>
      </c>
      <c r="H2365" s="3" t="inlineStr">
        <is>
          <t>자연녹지지역</t>
        </is>
      </c>
      <c r="I2365" s="3" t="inlineStr">
        <is>
          <t>답</t>
        </is>
      </c>
      <c r="J2365" s="3" t="inlineStr">
        <is>
          <t>현도면</t>
        </is>
      </c>
    </row>
    <row r="2366">
      <c r="A2366" s="3" t="n">
        <v>2022</v>
      </c>
      <c r="B2366" s="4" t="n">
        <v>20936</v>
      </c>
      <c r="C2366" s="4" t="n">
        <v>394</v>
      </c>
      <c r="D2366" s="4" t="n">
        <v>119.185</v>
      </c>
      <c r="E2366" s="5" t="n">
        <v>175.7</v>
      </c>
      <c r="F2366" s="3" t="inlineStr">
        <is>
          <t>현도면</t>
        </is>
      </c>
      <c r="G2366" s="3" t="inlineStr">
        <is>
          <t>중삼리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현도면</t>
        </is>
      </c>
    </row>
    <row r="2367">
      <c r="A2367" s="3" t="n">
        <v>2022</v>
      </c>
      <c r="B2367" s="4" t="n">
        <v>87251</v>
      </c>
      <c r="C2367" s="4" t="n">
        <v>1642</v>
      </c>
      <c r="D2367" s="4" t="n">
        <v>496.705</v>
      </c>
      <c r="E2367" s="5" t="n">
        <v>175.7</v>
      </c>
      <c r="F2367" s="3" t="inlineStr">
        <is>
          <t>현도면</t>
        </is>
      </c>
      <c r="G2367" s="3" t="inlineStr">
        <is>
          <t>중삼리</t>
        </is>
      </c>
      <c r="H2367" s="3" t="inlineStr">
        <is>
          <t>계획관리지역</t>
        </is>
      </c>
      <c r="I2367" s="3" t="inlineStr">
        <is>
          <t>답</t>
        </is>
      </c>
      <c r="J2367" s="3" t="inlineStr">
        <is>
          <t>현도면</t>
        </is>
      </c>
    </row>
    <row r="2368">
      <c r="A2368" s="3" t="n">
        <v>2022</v>
      </c>
      <c r="B2368" s="4" t="n">
        <v>6217</v>
      </c>
      <c r="C2368" s="4" t="n">
        <v>117</v>
      </c>
      <c r="D2368" s="4" t="n">
        <v>35.3925</v>
      </c>
      <c r="E2368" s="5" t="n">
        <v>175.7</v>
      </c>
      <c r="F2368" s="3" t="inlineStr">
        <is>
          <t>현도면</t>
        </is>
      </c>
      <c r="G2368" s="3" t="inlineStr">
        <is>
          <t>중삼리</t>
        </is>
      </c>
      <c r="H2368" s="3" t="inlineStr">
        <is>
          <t>계획관리지역</t>
        </is>
      </c>
      <c r="I2368" s="3" t="inlineStr">
        <is>
          <t>전</t>
        </is>
      </c>
      <c r="J2368" s="3" t="inlineStr">
        <is>
          <t>현도면</t>
        </is>
      </c>
    </row>
    <row r="2369">
      <c r="A2369" s="3" t="n">
        <v>2022</v>
      </c>
      <c r="B2369" s="4" t="n">
        <v>25561</v>
      </c>
      <c r="C2369" s="4" t="n">
        <v>545</v>
      </c>
      <c r="D2369" s="4" t="n">
        <v>164.8625</v>
      </c>
      <c r="E2369" s="5" t="n">
        <v>155</v>
      </c>
      <c r="F2369" s="3" t="inlineStr">
        <is>
          <t>현도면</t>
        </is>
      </c>
      <c r="G2369" s="3" t="inlineStr">
        <is>
          <t>중삼리</t>
        </is>
      </c>
      <c r="H2369" s="3" t="inlineStr">
        <is>
          <t>계획관리지역</t>
        </is>
      </c>
      <c r="I2369" s="3" t="inlineStr">
        <is>
          <t>전</t>
        </is>
      </c>
      <c r="J2369" s="3" t="inlineStr">
        <is>
          <t>현도면</t>
        </is>
      </c>
    </row>
    <row r="2370">
      <c r="A2370" s="3" t="n">
        <v>2022</v>
      </c>
      <c r="B2370" s="4" t="n">
        <v>71011</v>
      </c>
      <c r="C2370" s="4" t="n">
        <v>1646</v>
      </c>
      <c r="D2370" s="4" t="n">
        <v>497.915</v>
      </c>
      <c r="E2370" s="5" t="n">
        <v>142.6</v>
      </c>
      <c r="F2370" s="3" t="inlineStr">
        <is>
          <t>현도면</t>
        </is>
      </c>
      <c r="G2370" s="3" t="inlineStr">
        <is>
          <t>중삼리</t>
        </is>
      </c>
      <c r="H2370" s="3" t="inlineStr">
        <is>
          <t>계획관리지역</t>
        </is>
      </c>
      <c r="I2370" s="3" t="inlineStr">
        <is>
          <t>답</t>
        </is>
      </c>
      <c r="J2370" s="3" t="inlineStr">
        <is>
          <t>현도면</t>
        </is>
      </c>
    </row>
    <row r="2371">
      <c r="A2371" s="3" t="n">
        <v>2022</v>
      </c>
      <c r="B2371" s="4" t="n">
        <v>26499</v>
      </c>
      <c r="C2371" s="4" t="n">
        <v>565</v>
      </c>
      <c r="D2371" s="4" t="n">
        <v>170.9125</v>
      </c>
      <c r="E2371" s="5" t="n">
        <v>155</v>
      </c>
      <c r="F2371" s="3" t="inlineStr">
        <is>
          <t>현도면</t>
        </is>
      </c>
      <c r="G2371" s="3" t="inlineStr">
        <is>
          <t>중삼리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현도면</t>
        </is>
      </c>
    </row>
    <row r="2372">
      <c r="A2372" s="3" t="n">
        <v>2022</v>
      </c>
      <c r="B2372" s="4" t="n">
        <v>51145</v>
      </c>
      <c r="C2372" s="4" t="n">
        <v>1071</v>
      </c>
      <c r="D2372" s="4" t="n">
        <v>323.9775</v>
      </c>
      <c r="E2372" s="5" t="n">
        <v>157.9</v>
      </c>
      <c r="F2372" s="3" t="inlineStr">
        <is>
          <t>현도면</t>
        </is>
      </c>
      <c r="G2372" s="3" t="inlineStr">
        <is>
          <t>중삼리</t>
        </is>
      </c>
      <c r="H2372" s="3" t="inlineStr">
        <is>
          <t>계획관리지역</t>
        </is>
      </c>
      <c r="I2372" s="3" t="inlineStr">
        <is>
          <t>전</t>
        </is>
      </c>
      <c r="J2372" s="3" t="inlineStr">
        <is>
          <t>현도면</t>
        </is>
      </c>
    </row>
    <row r="2373">
      <c r="A2373" s="3" t="n">
        <v>2022</v>
      </c>
      <c r="B2373" s="4" t="n">
        <v>121848</v>
      </c>
      <c r="C2373" s="4" t="n">
        <v>2598</v>
      </c>
      <c r="D2373" s="4" t="n">
        <v>785.895</v>
      </c>
      <c r="E2373" s="5" t="n">
        <v>155</v>
      </c>
      <c r="F2373" s="3" t="inlineStr">
        <is>
          <t>현도면</t>
        </is>
      </c>
      <c r="G2373" s="3" t="inlineStr">
        <is>
          <t>중삼리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현도면</t>
        </is>
      </c>
    </row>
    <row r="2374">
      <c r="A2374" s="3" t="n">
        <v>2022</v>
      </c>
      <c r="B2374" s="4" t="n">
        <v>83576</v>
      </c>
      <c r="C2374" s="4" t="n">
        <v>1805</v>
      </c>
      <c r="D2374" s="4" t="n">
        <v>546.0124999999999</v>
      </c>
      <c r="E2374" s="5" t="n">
        <v>153.1</v>
      </c>
      <c r="F2374" s="3" t="inlineStr">
        <is>
          <t>현도면</t>
        </is>
      </c>
      <c r="G2374" s="3" t="inlineStr">
        <is>
          <t>중삼리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현도면</t>
        </is>
      </c>
    </row>
    <row r="2375">
      <c r="A2375" s="3" t="n">
        <v>2022</v>
      </c>
      <c r="B2375" s="4" t="n">
        <v>28612</v>
      </c>
      <c r="C2375" s="4" t="n">
        <v>658</v>
      </c>
      <c r="D2375" s="4" t="n">
        <v>199.045</v>
      </c>
      <c r="E2375" s="5" t="n">
        <v>143.7</v>
      </c>
      <c r="F2375" s="3" t="inlineStr">
        <is>
          <t>현도면</t>
        </is>
      </c>
      <c r="G2375" s="3" t="inlineStr">
        <is>
          <t>중삼리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현도면</t>
        </is>
      </c>
    </row>
    <row r="2376">
      <c r="A2376" s="3" t="n">
        <v>2022</v>
      </c>
      <c r="B2376" s="4" t="n">
        <v>16464</v>
      </c>
      <c r="C2376" s="4" t="n">
        <v>387</v>
      </c>
      <c r="D2376" s="4" t="n">
        <v>117.0675</v>
      </c>
      <c r="E2376" s="5" t="n">
        <v>140.6</v>
      </c>
      <c r="F2376" s="3" t="inlineStr">
        <is>
          <t>현도면</t>
        </is>
      </c>
      <c r="G2376" s="3" t="inlineStr">
        <is>
          <t>중삼리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현도면</t>
        </is>
      </c>
    </row>
    <row r="2377">
      <c r="A2377" s="3" t="n">
        <v>2022</v>
      </c>
      <c r="B2377" s="4" t="n">
        <v>28582</v>
      </c>
      <c r="C2377" s="4" t="n">
        <v>605</v>
      </c>
      <c r="D2377" s="4" t="n">
        <v>183.0125</v>
      </c>
      <c r="E2377" s="5" t="n">
        <v>156.2</v>
      </c>
      <c r="F2377" s="3" t="inlineStr">
        <is>
          <t>현도면</t>
        </is>
      </c>
      <c r="G2377" s="3" t="inlineStr">
        <is>
          <t>중삼리</t>
        </is>
      </c>
      <c r="H2377" s="3" t="inlineStr">
        <is>
          <t>계획관리지역</t>
        </is>
      </c>
      <c r="I2377" s="3" t="inlineStr">
        <is>
          <t>전</t>
        </is>
      </c>
      <c r="J2377" s="3" t="inlineStr">
        <is>
          <t>현도면</t>
        </is>
      </c>
    </row>
    <row r="2378">
      <c r="A2378" s="3" t="n">
        <v>2022</v>
      </c>
      <c r="B2378" s="4" t="n">
        <v>70907</v>
      </c>
      <c r="C2378" s="4" t="n">
        <v>1048</v>
      </c>
      <c r="D2378" s="4" t="n">
        <v>317.02</v>
      </c>
      <c r="E2378" s="5" t="n">
        <v>223.7</v>
      </c>
      <c r="F2378" s="3" t="inlineStr">
        <is>
          <t>현도면</t>
        </is>
      </c>
      <c r="G2378" s="3" t="inlineStr">
        <is>
          <t>중삼리</t>
        </is>
      </c>
      <c r="H2378" s="3" t="inlineStr">
        <is>
          <t>계획관리지역</t>
        </is>
      </c>
      <c r="I2378" s="3" t="inlineStr">
        <is>
          <t>창고용지</t>
        </is>
      </c>
      <c r="J2378" s="3" t="inlineStr">
        <is>
          <t>현도면</t>
        </is>
      </c>
    </row>
    <row r="2379">
      <c r="A2379" s="3" t="n">
        <v>2022</v>
      </c>
      <c r="B2379" s="4" t="n">
        <v>38295</v>
      </c>
      <c r="C2379" s="4" t="n">
        <v>566</v>
      </c>
      <c r="D2379" s="4" t="n">
        <v>171.215</v>
      </c>
      <c r="E2379" s="5" t="n">
        <v>223.7</v>
      </c>
      <c r="F2379" s="3" t="inlineStr">
        <is>
          <t>현도면</t>
        </is>
      </c>
      <c r="G2379" s="3" t="inlineStr">
        <is>
          <t>중삼리</t>
        </is>
      </c>
      <c r="H2379" s="3" t="inlineStr">
        <is>
          <t>계획관리지역</t>
        </is>
      </c>
      <c r="I2379" s="3" t="inlineStr">
        <is>
          <t>창고용지</t>
        </is>
      </c>
      <c r="J2379" s="3" t="inlineStr">
        <is>
          <t>현도면</t>
        </is>
      </c>
    </row>
    <row r="2380">
      <c r="A2380" s="3" t="n">
        <v>2022</v>
      </c>
      <c r="B2380" s="4" t="n">
        <v>97127</v>
      </c>
      <c r="C2380" s="4" t="n">
        <v>13423</v>
      </c>
      <c r="D2380" s="4" t="n">
        <v>4060.4575</v>
      </c>
      <c r="E2380" s="5" t="n">
        <v>23.9</v>
      </c>
      <c r="F2380" s="3" t="inlineStr">
        <is>
          <t>현도면</t>
        </is>
      </c>
      <c r="G2380" s="3" t="inlineStr">
        <is>
          <t>중삼리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현도면</t>
        </is>
      </c>
    </row>
    <row r="2381">
      <c r="A2381" s="3" t="n">
        <v>2022</v>
      </c>
      <c r="B2381" s="4" t="n">
        <v>156624</v>
      </c>
      <c r="C2381" s="4" t="n">
        <v>15805</v>
      </c>
      <c r="D2381" s="4" t="n">
        <v>4781.0125</v>
      </c>
      <c r="E2381" s="5" t="n">
        <v>32.8</v>
      </c>
      <c r="F2381" s="3" t="inlineStr">
        <is>
          <t>현도면</t>
        </is>
      </c>
      <c r="G2381" s="3" t="inlineStr">
        <is>
          <t>중삼리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현도면</t>
        </is>
      </c>
    </row>
    <row r="2382">
      <c r="A2382" s="3" t="n">
        <v>2022</v>
      </c>
      <c r="B2382" s="4" t="n">
        <v>19345</v>
      </c>
      <c r="C2382" s="4" t="n">
        <v>2313</v>
      </c>
      <c r="D2382" s="4" t="n">
        <v>699.6825</v>
      </c>
      <c r="E2382" s="5" t="n">
        <v>27.6</v>
      </c>
      <c r="F2382" s="3" t="inlineStr">
        <is>
          <t>현도면</t>
        </is>
      </c>
      <c r="G2382" s="3" t="inlineStr">
        <is>
          <t>중삼리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현도면</t>
        </is>
      </c>
    </row>
    <row r="2383">
      <c r="A2383" s="3" t="n">
        <v>2022</v>
      </c>
      <c r="B2383" s="4" t="n">
        <v>50</v>
      </c>
      <c r="C2383" s="4" t="n">
        <v>350</v>
      </c>
      <c r="D2383" s="4" t="n">
        <v>105.875</v>
      </c>
      <c r="E2383" s="5" t="n">
        <v>0.5</v>
      </c>
      <c r="F2383" s="3" t="inlineStr">
        <is>
          <t>현도면</t>
        </is>
      </c>
      <c r="G2383" s="3" t="inlineStr">
        <is>
          <t>우록리</t>
        </is>
      </c>
      <c r="H2383" s="3" t="inlineStr">
        <is>
          <t>계획관리지역</t>
        </is>
      </c>
      <c r="I2383" s="3" t="inlineStr">
        <is>
          <t>임야</t>
        </is>
      </c>
      <c r="J2383" s="3" t="inlineStr">
        <is>
          <t>현도면</t>
        </is>
      </c>
    </row>
    <row r="2384">
      <c r="A2384" s="3" t="n">
        <v>2022</v>
      </c>
      <c r="B2384" s="4" t="n">
        <v>11000</v>
      </c>
      <c r="C2384" s="4" t="n">
        <v>539</v>
      </c>
      <c r="D2384" s="4" t="n">
        <v>163.0475</v>
      </c>
      <c r="E2384" s="5" t="n">
        <v>67.5</v>
      </c>
      <c r="F2384" s="3" t="inlineStr">
        <is>
          <t>남이면</t>
        </is>
      </c>
      <c r="G2384" s="3" t="inlineStr">
        <is>
          <t>사동리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2022</v>
      </c>
      <c r="B2385" s="4" t="n">
        <v>13070</v>
      </c>
      <c r="C2385" s="4" t="n">
        <v>1136</v>
      </c>
      <c r="D2385" s="4" t="n">
        <v>343.64</v>
      </c>
      <c r="E2385" s="5" t="n">
        <v>38</v>
      </c>
      <c r="F2385" s="3" t="inlineStr">
        <is>
          <t>현도면</t>
        </is>
      </c>
      <c r="G2385" s="3" t="inlineStr">
        <is>
          <t>노산리</t>
        </is>
      </c>
      <c r="H2385" s="3" t="inlineStr">
        <is>
          <t>개발제한구역</t>
        </is>
      </c>
      <c r="I2385" s="3" t="inlineStr">
        <is>
          <t>답</t>
        </is>
      </c>
      <c r="J2385" s="3" t="inlineStr">
        <is>
          <t>현도면</t>
        </is>
      </c>
    </row>
    <row r="2386">
      <c r="A2386" s="3" t="n">
        <v>2022</v>
      </c>
      <c r="B2386" s="4" t="n">
        <v>10300</v>
      </c>
      <c r="C2386" s="4" t="n">
        <v>374</v>
      </c>
      <c r="D2386" s="4" t="n">
        <v>113.135</v>
      </c>
      <c r="E2386" s="5" t="n">
        <v>91</v>
      </c>
      <c r="F2386" s="3" t="inlineStr">
        <is>
          <t>남이면</t>
        </is>
      </c>
      <c r="G2386" s="3" t="inlineStr">
        <is>
          <t>척산리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남이면</t>
        </is>
      </c>
    </row>
    <row r="2387">
      <c r="A2387" s="3" t="n">
        <v>2022</v>
      </c>
      <c r="B2387" s="4" t="n">
        <v>605</v>
      </c>
      <c r="C2387" s="4" t="n">
        <v>25</v>
      </c>
      <c r="D2387" s="4" t="n">
        <v>7.5625</v>
      </c>
      <c r="E2387" s="5" t="n">
        <v>80</v>
      </c>
      <c r="F2387" s="3" t="inlineStr">
        <is>
          <t>남이면</t>
        </is>
      </c>
      <c r="G2387" s="3" t="inlineStr">
        <is>
          <t>갈원리</t>
        </is>
      </c>
      <c r="H2387" s="3" t="inlineStr">
        <is>
          <t>보전관리지역</t>
        </is>
      </c>
      <c r="I2387" s="3" t="inlineStr">
        <is>
          <t>임야</t>
        </is>
      </c>
      <c r="J2387" s="3" t="inlineStr">
        <is>
          <t>남이면</t>
        </is>
      </c>
    </row>
    <row r="2388">
      <c r="A2388" s="3" t="n">
        <v>2023</v>
      </c>
      <c r="B2388" s="4" t="n">
        <v>53852</v>
      </c>
      <c r="C2388" s="4" t="n">
        <v>2482</v>
      </c>
      <c r="D2388" s="4" t="n">
        <v>750.8049999999999</v>
      </c>
      <c r="E2388" s="5" t="n">
        <v>71.7</v>
      </c>
      <c r="F2388" s="3" t="inlineStr">
        <is>
          <t>남이면</t>
        </is>
      </c>
      <c r="G2388" s="3" t="inlineStr">
        <is>
          <t>가좌리</t>
        </is>
      </c>
      <c r="H2388" s="3" t="inlineStr">
        <is>
          <t>보전녹지지역</t>
        </is>
      </c>
      <c r="I2388" s="3" t="inlineStr">
        <is>
          <t>임야</t>
        </is>
      </c>
      <c r="J2388" s="3" t="inlineStr">
        <is>
          <t>남이면</t>
        </is>
      </c>
    </row>
    <row r="2389">
      <c r="A2389" s="3" t="n">
        <v>2023</v>
      </c>
      <c r="B2389" s="4" t="n">
        <v>542</v>
      </c>
      <c r="C2389" s="4" t="n">
        <v>25</v>
      </c>
      <c r="D2389" s="4" t="n">
        <v>7.5625</v>
      </c>
      <c r="E2389" s="5" t="n">
        <v>71.7</v>
      </c>
      <c r="F2389" s="3" t="inlineStr">
        <is>
          <t>남이면</t>
        </is>
      </c>
      <c r="G2389" s="3" t="inlineStr">
        <is>
          <t>가좌리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2023</v>
      </c>
      <c r="B2390" s="4" t="n">
        <v>10376</v>
      </c>
      <c r="C2390" s="4" t="n">
        <v>243</v>
      </c>
      <c r="D2390" s="4" t="n">
        <v>73.50749999999999</v>
      </c>
      <c r="E2390" s="5" t="n">
        <v>141.2</v>
      </c>
      <c r="F2390" s="3" t="inlineStr">
        <is>
          <t>현도면</t>
        </is>
      </c>
      <c r="G2390" s="3" t="inlineStr">
        <is>
          <t>선동리</t>
        </is>
      </c>
      <c r="H2390" s="3" t="inlineStr">
        <is>
          <t>일반상업지역</t>
        </is>
      </c>
      <c r="I2390" s="3" t="inlineStr">
        <is>
          <t>대</t>
        </is>
      </c>
      <c r="J2390" s="3" t="inlineStr">
        <is>
          <t>현도면</t>
        </is>
      </c>
    </row>
    <row r="2391">
      <c r="A2391" s="3" t="n">
        <v>2024</v>
      </c>
      <c r="B2391" s="4" t="n">
        <v>14100</v>
      </c>
      <c r="C2391" s="4" t="n">
        <v>919</v>
      </c>
      <c r="D2391" s="4" t="n">
        <v>277.9975</v>
      </c>
      <c r="E2391" s="5" t="n">
        <v>50.7</v>
      </c>
      <c r="F2391" s="3" t="inlineStr">
        <is>
          <t>남이면</t>
        </is>
      </c>
      <c r="G2391" s="3" t="inlineStr">
        <is>
          <t>구미리</t>
        </is>
      </c>
      <c r="H2391" s="3" t="inlineStr">
        <is>
          <t>계획관리지역</t>
        </is>
      </c>
      <c r="I2391" s="3" t="inlineStr">
        <is>
          <t>공장용지</t>
        </is>
      </c>
      <c r="J2391" s="3" t="inlineStr">
        <is>
          <t>남이면</t>
        </is>
      </c>
    </row>
    <row r="2392">
      <c r="A2392" s="3" t="n">
        <v>2024</v>
      </c>
      <c r="B2392" s="4" t="n">
        <v>200</v>
      </c>
      <c r="C2392" s="4" t="n">
        <v>25.13</v>
      </c>
      <c r="D2392" s="4" t="n">
        <v>7.601825</v>
      </c>
      <c r="E2392" s="5" t="n">
        <v>26.3</v>
      </c>
      <c r="F2392" s="3" t="inlineStr">
        <is>
          <t>남이면</t>
        </is>
      </c>
      <c r="G2392" s="3" t="inlineStr">
        <is>
          <t>구미리</t>
        </is>
      </c>
      <c r="H2392" s="3" t="inlineStr">
        <is>
          <t>계획관리지역</t>
        </is>
      </c>
      <c r="I2392" s="3" t="inlineStr">
        <is>
          <t>도로</t>
        </is>
      </c>
      <c r="J2392" s="3" t="inlineStr">
        <is>
          <t>남이면</t>
        </is>
      </c>
    </row>
    <row r="2393">
      <c r="A2393" s="3" t="n">
        <v>2024</v>
      </c>
      <c r="B2393" s="4" t="n">
        <v>200</v>
      </c>
      <c r="C2393" s="4" t="n">
        <v>32.78</v>
      </c>
      <c r="D2393" s="4" t="n">
        <v>9.91595</v>
      </c>
      <c r="E2393" s="5" t="n">
        <v>20.2</v>
      </c>
      <c r="F2393" s="3" t="inlineStr">
        <is>
          <t>남이면</t>
        </is>
      </c>
      <c r="G2393" s="3" t="inlineStr">
        <is>
          <t>구미리</t>
        </is>
      </c>
      <c r="H2393" s="3" t="inlineStr">
        <is>
          <t>계획관리지역</t>
        </is>
      </c>
      <c r="I2393" s="3" t="inlineStr">
        <is>
          <t>도로</t>
        </is>
      </c>
      <c r="J2393" s="3" t="inlineStr">
        <is>
          <t>남이면</t>
        </is>
      </c>
    </row>
    <row r="2394">
      <c r="A2394" s="3" t="n">
        <v>2024</v>
      </c>
      <c r="B2394" s="4" t="n">
        <v>80</v>
      </c>
      <c r="C2394" s="4" t="n">
        <v>10.83</v>
      </c>
      <c r="D2394" s="4" t="n">
        <v>3.276075</v>
      </c>
      <c r="E2394" s="5" t="n">
        <v>24.4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도로</t>
        </is>
      </c>
      <c r="J2394" s="3" t="inlineStr">
        <is>
          <t>남이면</t>
        </is>
      </c>
    </row>
    <row r="2395">
      <c r="A2395" s="3" t="n">
        <v>2024</v>
      </c>
      <c r="B2395" s="4" t="n">
        <v>200</v>
      </c>
      <c r="C2395" s="4" t="n">
        <v>32.66</v>
      </c>
      <c r="D2395" s="4" t="n">
        <v>9.879649999999998</v>
      </c>
      <c r="E2395" s="5" t="n">
        <v>20.2</v>
      </c>
      <c r="F2395" s="3" t="inlineStr">
        <is>
          <t>남이면</t>
        </is>
      </c>
      <c r="G2395" s="3" t="inlineStr">
        <is>
          <t>구미리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2024</v>
      </c>
      <c r="B2396" s="4" t="n">
        <v>60</v>
      </c>
      <c r="C2396" s="4" t="n">
        <v>8</v>
      </c>
      <c r="D2396" s="4" t="n">
        <v>2.42</v>
      </c>
      <c r="E2396" s="5" t="n">
        <v>24.8</v>
      </c>
      <c r="F2396" s="3" t="inlineStr">
        <is>
          <t>남이면</t>
        </is>
      </c>
      <c r="G2396" s="3" t="inlineStr">
        <is>
          <t>구미리</t>
        </is>
      </c>
      <c r="H2396" s="3" t="inlineStr">
        <is>
          <t>계획관리지역</t>
        </is>
      </c>
      <c r="I2396" s="3" t="inlineStr">
        <is>
          <t>도로</t>
        </is>
      </c>
      <c r="J2396" s="3" t="inlineStr">
        <is>
          <t>남이면</t>
        </is>
      </c>
    </row>
    <row r="2397">
      <c r="A2397" s="3" t="n">
        <v>2024</v>
      </c>
      <c r="B2397" s="4" t="n">
        <v>200</v>
      </c>
      <c r="C2397" s="4" t="n">
        <v>26.66</v>
      </c>
      <c r="D2397" s="4" t="n">
        <v>8.06465</v>
      </c>
      <c r="E2397" s="5" t="n">
        <v>24.8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도로</t>
        </is>
      </c>
      <c r="J2397" s="3" t="inlineStr">
        <is>
          <t>남이면</t>
        </is>
      </c>
    </row>
    <row r="2398">
      <c r="A2398" s="3" t="n">
        <v>2024</v>
      </c>
      <c r="B2398" s="4" t="n">
        <v>19360</v>
      </c>
      <c r="C2398" s="4" t="n">
        <v>804</v>
      </c>
      <c r="D2398" s="4" t="n">
        <v>243.21</v>
      </c>
      <c r="E2398" s="5" t="n">
        <v>79.59999999999999</v>
      </c>
      <c r="F2398" s="3" t="inlineStr">
        <is>
          <t>남이면</t>
        </is>
      </c>
      <c r="G2398" s="3" t="inlineStr">
        <is>
          <t>문동리</t>
        </is>
      </c>
      <c r="H2398" s="3" t="inlineStr">
        <is>
          <t>기타</t>
        </is>
      </c>
      <c r="I2398" s="3" t="inlineStr">
        <is>
          <t>임야</t>
        </is>
      </c>
      <c r="J2398" s="3" t="inlineStr">
        <is>
          <t>남이면</t>
        </is>
      </c>
    </row>
    <row r="2399">
      <c r="A2399" s="3" t="n">
        <v>2024</v>
      </c>
      <c r="B2399" s="4" t="n">
        <v>200</v>
      </c>
      <c r="C2399" s="4" t="n">
        <v>25.13</v>
      </c>
      <c r="D2399" s="4" t="n">
        <v>7.601825</v>
      </c>
      <c r="E2399" s="5" t="n">
        <v>26.3</v>
      </c>
      <c r="F2399" s="3" t="inlineStr">
        <is>
          <t>남이면</t>
        </is>
      </c>
      <c r="G2399" s="3" t="inlineStr">
        <is>
          <t>구미리</t>
        </is>
      </c>
      <c r="H2399" s="3" t="inlineStr">
        <is>
          <t>계획관리지역</t>
        </is>
      </c>
      <c r="I2399" s="3" t="inlineStr">
        <is>
          <t>도로</t>
        </is>
      </c>
      <c r="J2399" s="3" t="inlineStr">
        <is>
          <t>남이면</t>
        </is>
      </c>
    </row>
    <row r="2400">
      <c r="A2400" s="3" t="n">
        <v>2024</v>
      </c>
      <c r="B2400" s="4" t="n">
        <v>200</v>
      </c>
      <c r="C2400" s="4" t="n">
        <v>32.86</v>
      </c>
      <c r="D2400" s="4" t="n">
        <v>9.940149999999999</v>
      </c>
      <c r="E2400" s="5" t="n">
        <v>20.1</v>
      </c>
      <c r="F2400" s="3" t="inlineStr">
        <is>
          <t>남이면</t>
        </is>
      </c>
      <c r="G2400" s="3" t="inlineStr">
        <is>
          <t>구미리</t>
        </is>
      </c>
      <c r="H2400" s="3" t="inlineStr">
        <is>
          <t>계획관리지역</t>
        </is>
      </c>
      <c r="I2400" s="3" t="inlineStr">
        <is>
          <t>도로</t>
        </is>
      </c>
      <c r="J2400" s="3" t="inlineStr">
        <is>
          <t>남이면</t>
        </is>
      </c>
    </row>
    <row r="2401">
      <c r="A2401" s="3" t="n">
        <v>2024</v>
      </c>
      <c r="B2401" s="4" t="n">
        <v>80</v>
      </c>
      <c r="C2401" s="4" t="n">
        <v>10.83</v>
      </c>
      <c r="D2401" s="4" t="n">
        <v>3.276075</v>
      </c>
      <c r="E2401" s="5" t="n">
        <v>24.4</v>
      </c>
      <c r="F2401" s="3" t="inlineStr">
        <is>
          <t>남이면</t>
        </is>
      </c>
      <c r="G2401" s="3" t="inlineStr">
        <is>
          <t>구미리</t>
        </is>
      </c>
      <c r="H2401" s="3" t="inlineStr">
        <is>
          <t>계획관리지역</t>
        </is>
      </c>
      <c r="I2401" s="3" t="inlineStr">
        <is>
          <t>도로</t>
        </is>
      </c>
      <c r="J2401" s="3" t="inlineStr">
        <is>
          <t>남이면</t>
        </is>
      </c>
    </row>
    <row r="2402">
      <c r="A2402" s="3" t="n">
        <v>2024</v>
      </c>
      <c r="B2402" s="4" t="n">
        <v>200</v>
      </c>
      <c r="C2402" s="4" t="n">
        <v>32</v>
      </c>
      <c r="D2402" s="4" t="n">
        <v>9.68</v>
      </c>
      <c r="E2402" s="5" t="n">
        <v>20.7</v>
      </c>
      <c r="F2402" s="3" t="inlineStr">
        <is>
          <t>남이면</t>
        </is>
      </c>
      <c r="G2402" s="3" t="inlineStr">
        <is>
          <t>구미리</t>
        </is>
      </c>
      <c r="H2402" s="3" t="inlineStr">
        <is>
          <t>계획관리지역</t>
        </is>
      </c>
      <c r="I2402" s="3" t="inlineStr">
        <is>
          <t>도로</t>
        </is>
      </c>
      <c r="J2402" s="3" t="inlineStr">
        <is>
          <t>남이면</t>
        </is>
      </c>
    </row>
    <row r="2403">
      <c r="A2403" s="3" t="n">
        <v>2024</v>
      </c>
      <c r="B2403" s="4" t="n">
        <v>60</v>
      </c>
      <c r="C2403" s="4" t="n">
        <v>8</v>
      </c>
      <c r="D2403" s="4" t="n">
        <v>2.42</v>
      </c>
      <c r="E2403" s="5" t="n">
        <v>24.8</v>
      </c>
      <c r="F2403" s="3" t="inlineStr">
        <is>
          <t>남이면</t>
        </is>
      </c>
      <c r="G2403" s="3" t="inlineStr">
        <is>
          <t>구미리</t>
        </is>
      </c>
      <c r="H2403" s="3" t="inlineStr">
        <is>
          <t>계획관리지역</t>
        </is>
      </c>
      <c r="I2403" s="3" t="inlineStr">
        <is>
          <t>도로</t>
        </is>
      </c>
      <c r="J2403" s="3" t="inlineStr">
        <is>
          <t>남이면</t>
        </is>
      </c>
    </row>
    <row r="2404">
      <c r="A2404" s="3" t="n">
        <v>2024</v>
      </c>
      <c r="B2404" s="4" t="n">
        <v>200</v>
      </c>
      <c r="C2404" s="4" t="n">
        <v>26.6</v>
      </c>
      <c r="D2404" s="4" t="n">
        <v>8.0465</v>
      </c>
      <c r="E2404" s="5" t="n">
        <v>24.9</v>
      </c>
      <c r="F2404" s="3" t="inlineStr">
        <is>
          <t>남이면</t>
        </is>
      </c>
      <c r="G2404" s="3" t="inlineStr">
        <is>
          <t>구미리</t>
        </is>
      </c>
      <c r="H2404" s="3" t="inlineStr">
        <is>
          <t>계획관리지역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2024</v>
      </c>
      <c r="B2405" s="4" t="n">
        <v>34900</v>
      </c>
      <c r="C2405" s="4" t="n">
        <v>1154</v>
      </c>
      <c r="D2405" s="4" t="n">
        <v>349.085</v>
      </c>
      <c r="E2405" s="5" t="n">
        <v>100</v>
      </c>
      <c r="F2405" s="3" t="inlineStr">
        <is>
          <t>남이면</t>
        </is>
      </c>
      <c r="G2405" s="3" t="inlineStr">
        <is>
          <t>구암리</t>
        </is>
      </c>
      <c r="H2405" s="3" t="inlineStr">
        <is>
          <t>자연녹지지역</t>
        </is>
      </c>
      <c r="I2405" s="3" t="inlineStr">
        <is>
          <t>전</t>
        </is>
      </c>
      <c r="J2405" s="3" t="inlineStr">
        <is>
          <t>남이면</t>
        </is>
      </c>
    </row>
    <row r="2406">
      <c r="A2406" s="3" t="n">
        <v>2024</v>
      </c>
      <c r="B2406" s="4" t="n">
        <v>27800</v>
      </c>
      <c r="C2406" s="4" t="n">
        <v>897</v>
      </c>
      <c r="D2406" s="4" t="n">
        <v>271.3425</v>
      </c>
      <c r="E2406" s="5" t="n">
        <v>102.5</v>
      </c>
      <c r="F2406" s="3" t="inlineStr">
        <is>
          <t>남이면</t>
        </is>
      </c>
      <c r="G2406" s="3" t="inlineStr">
        <is>
          <t>양촌리</t>
        </is>
      </c>
      <c r="H2406" s="3" t="inlineStr">
        <is>
          <t>자연녹지지역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2024</v>
      </c>
      <c r="B2407" s="4" t="n">
        <v>12000</v>
      </c>
      <c r="C2407" s="4" t="n">
        <v>1954</v>
      </c>
      <c r="D2407" s="4" t="n">
        <v>591.085</v>
      </c>
      <c r="E2407" s="5" t="n">
        <v>20.3</v>
      </c>
      <c r="F2407" s="3" t="inlineStr">
        <is>
          <t>남이면</t>
        </is>
      </c>
      <c r="G2407" s="3" t="inlineStr">
        <is>
          <t>대련리</t>
        </is>
      </c>
      <c r="H2407" s="3" t="inlineStr">
        <is>
          <t>자연녹지지역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2024</v>
      </c>
      <c r="B2408" s="4" t="n">
        <v>8000</v>
      </c>
      <c r="C2408" s="4" t="n">
        <v>1375</v>
      </c>
      <c r="D2408" s="4" t="n">
        <v>415.9375</v>
      </c>
      <c r="E2408" s="5" t="n">
        <v>19.2</v>
      </c>
      <c r="F2408" s="3" t="inlineStr">
        <is>
          <t>남이면</t>
        </is>
      </c>
      <c r="G2408" s="3" t="inlineStr">
        <is>
          <t>대련리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남이면</t>
        </is>
      </c>
    </row>
    <row r="2409">
      <c r="A2409" s="3" t="n">
        <v>2024</v>
      </c>
      <c r="B2409" s="4" t="n">
        <v>38000</v>
      </c>
      <c r="C2409" s="4" t="n">
        <v>3072</v>
      </c>
      <c r="D2409" s="4" t="n">
        <v>929.28</v>
      </c>
      <c r="E2409" s="5" t="n">
        <v>40.9</v>
      </c>
      <c r="F2409" s="3" t="inlineStr">
        <is>
          <t>현도면</t>
        </is>
      </c>
      <c r="G2409" s="3" t="inlineStr">
        <is>
          <t>상삼리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현도면</t>
        </is>
      </c>
    </row>
    <row r="2410">
      <c r="A2410" s="3" t="n">
        <v>2024</v>
      </c>
      <c r="B2410" s="4" t="n">
        <v>10152</v>
      </c>
      <c r="C2410" s="4" t="n">
        <v>819</v>
      </c>
      <c r="D2410" s="4" t="n">
        <v>247.7475</v>
      </c>
      <c r="E2410" s="5" t="n">
        <v>41</v>
      </c>
      <c r="F2410" s="3" t="inlineStr">
        <is>
          <t>현도면</t>
        </is>
      </c>
      <c r="G2410" s="3" t="inlineStr">
        <is>
          <t>상삼리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현도면</t>
        </is>
      </c>
    </row>
    <row r="2411">
      <c r="A2411" s="3" t="n">
        <v>2024</v>
      </c>
      <c r="B2411" s="4" t="n">
        <v>25124</v>
      </c>
      <c r="C2411" s="4" t="n">
        <v>3315</v>
      </c>
      <c r="D2411" s="4" t="n">
        <v>1002.7875</v>
      </c>
      <c r="E2411" s="5" t="n">
        <v>25.1</v>
      </c>
      <c r="F2411" s="3" t="inlineStr">
        <is>
          <t>현도면</t>
        </is>
      </c>
      <c r="G2411" s="3" t="inlineStr">
        <is>
          <t>시목리</t>
        </is>
      </c>
      <c r="H2411" s="3" t="inlineStr">
        <is>
          <t>개발제한구역</t>
        </is>
      </c>
      <c r="I2411" s="3" t="inlineStr">
        <is>
          <t>묘지</t>
        </is>
      </c>
      <c r="J2411" s="3" t="inlineStr">
        <is>
          <t>현도면</t>
        </is>
      </c>
    </row>
    <row r="2412">
      <c r="A2412" s="3" t="n">
        <v>2024</v>
      </c>
      <c r="B2412" s="4" t="n">
        <v>18</v>
      </c>
      <c r="C2412" s="4" t="n">
        <v>4</v>
      </c>
      <c r="D2412" s="4" t="n">
        <v>1.21</v>
      </c>
      <c r="E2412" s="5" t="n">
        <v>14.9</v>
      </c>
      <c r="F2412" s="3" t="inlineStr">
        <is>
          <t>현도면</t>
        </is>
      </c>
      <c r="G2412" s="3" t="inlineStr">
        <is>
          <t>시목리</t>
        </is>
      </c>
      <c r="H2412" s="3" t="inlineStr">
        <is>
          <t>자연녹지지역</t>
        </is>
      </c>
      <c r="I2412" s="3" t="inlineStr">
        <is>
          <t>도로</t>
        </is>
      </c>
      <c r="J2412" s="3" t="inlineStr">
        <is>
          <t>현도면</t>
        </is>
      </c>
    </row>
    <row r="2413">
      <c r="A2413" s="3" t="n">
        <v>2022</v>
      </c>
      <c r="B2413" s="4" t="n">
        <v>90000</v>
      </c>
      <c r="C2413" s="4" t="n">
        <v>3307</v>
      </c>
      <c r="D2413" s="4" t="n">
        <v>1000.3675</v>
      </c>
      <c r="E2413" s="5" t="n">
        <v>90</v>
      </c>
      <c r="F2413" s="3" t="inlineStr">
        <is>
          <t>연서면</t>
        </is>
      </c>
      <c r="G2413" s="3" t="inlineStr">
        <is>
          <t>고복리</t>
        </is>
      </c>
      <c r="H2413" s="3" t="inlineStr">
        <is>
          <t>생산관리지역</t>
        </is>
      </c>
      <c r="I2413" s="3" t="inlineStr">
        <is>
          <t>과수원</t>
        </is>
      </c>
      <c r="J2413" s="3" t="inlineStr">
        <is>
          <t>연서면</t>
        </is>
      </c>
    </row>
    <row r="2414">
      <c r="A2414" s="3" t="n">
        <v>2022</v>
      </c>
      <c r="B2414" s="4" t="n">
        <v>15000</v>
      </c>
      <c r="C2414" s="4" t="n">
        <v>517</v>
      </c>
      <c r="D2414" s="4" t="n">
        <v>156.3925</v>
      </c>
      <c r="E2414" s="5" t="n">
        <v>95.90000000000001</v>
      </c>
      <c r="F2414" s="3" t="inlineStr">
        <is>
          <t>연서면</t>
        </is>
      </c>
      <c r="G2414" s="3" t="inlineStr">
        <is>
          <t>고복리</t>
        </is>
      </c>
      <c r="H2414" s="3" t="inlineStr">
        <is>
          <t>생산관리지역</t>
        </is>
      </c>
      <c r="I2414" s="3" t="inlineStr">
        <is>
          <t>전</t>
        </is>
      </c>
      <c r="J2414" s="3" t="inlineStr">
        <is>
          <t>연서면</t>
        </is>
      </c>
    </row>
    <row r="2415">
      <c r="A2415" s="3" t="n">
        <v>2022</v>
      </c>
      <c r="B2415" s="4" t="n">
        <v>5000</v>
      </c>
      <c r="C2415" s="4" t="n">
        <v>6823</v>
      </c>
      <c r="D2415" s="4" t="n">
        <v>2063.9575</v>
      </c>
      <c r="E2415" s="5" t="n">
        <v>2.4</v>
      </c>
      <c r="F2415" s="3" t="inlineStr">
        <is>
          <t>연서면</t>
        </is>
      </c>
      <c r="G2415" s="3" t="inlineStr">
        <is>
          <t>고복리</t>
        </is>
      </c>
      <c r="H2415" s="3" t="inlineStr">
        <is>
          <t>농림지역</t>
        </is>
      </c>
      <c r="I2415" s="3" t="inlineStr">
        <is>
          <t>임야</t>
        </is>
      </c>
      <c r="J2415" s="3" t="inlineStr">
        <is>
          <t>연서면</t>
        </is>
      </c>
    </row>
    <row r="2416">
      <c r="A2416" s="3" t="n">
        <v>2022</v>
      </c>
      <c r="B2416" s="4" t="n">
        <v>7762</v>
      </c>
      <c r="C2416" s="4" t="n">
        <v>282</v>
      </c>
      <c r="D2416" s="4" t="n">
        <v>85.30499999999999</v>
      </c>
      <c r="E2416" s="5" t="n">
        <v>91</v>
      </c>
      <c r="F2416" s="3" t="inlineStr">
        <is>
          <t>소정면</t>
        </is>
      </c>
      <c r="G2416" s="3" t="inlineStr">
        <is>
          <t>대곡리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소정면</t>
        </is>
      </c>
    </row>
    <row r="2417">
      <c r="A2417" s="3" t="n">
        <v>2022</v>
      </c>
      <c r="B2417" s="4" t="n">
        <v>738</v>
      </c>
      <c r="C2417" s="4" t="n">
        <v>165</v>
      </c>
      <c r="D2417" s="4" t="n">
        <v>49.9125</v>
      </c>
      <c r="E2417" s="5" t="n">
        <v>14.8</v>
      </c>
      <c r="F2417" s="3" t="inlineStr">
        <is>
          <t>소정면</t>
        </is>
      </c>
      <c r="G2417" s="3" t="inlineStr">
        <is>
          <t>대곡리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소정면</t>
        </is>
      </c>
    </row>
    <row r="2418">
      <c r="A2418" s="3" t="n">
        <v>2022</v>
      </c>
      <c r="B2418" s="4" t="n">
        <v>70000</v>
      </c>
      <c r="C2418" s="4" t="n">
        <v>2060</v>
      </c>
      <c r="D2418" s="4" t="n">
        <v>623.15</v>
      </c>
      <c r="E2418" s="5" t="n">
        <v>112.3</v>
      </c>
      <c r="F2418" s="3" t="inlineStr">
        <is>
          <t>연서면</t>
        </is>
      </c>
      <c r="G2418" s="3" t="inlineStr">
        <is>
          <t>국촌리</t>
        </is>
      </c>
      <c r="H2418" s="3" t="inlineStr">
        <is>
          <t>농림지역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2022</v>
      </c>
      <c r="B2419" s="4" t="n">
        <v>22000</v>
      </c>
      <c r="C2419" s="4" t="n">
        <v>653</v>
      </c>
      <c r="D2419" s="4" t="n">
        <v>197.5325</v>
      </c>
      <c r="E2419" s="5" t="n">
        <v>111.4</v>
      </c>
      <c r="F2419" s="3" t="inlineStr">
        <is>
          <t>연서면</t>
        </is>
      </c>
      <c r="G2419" s="3" t="inlineStr">
        <is>
          <t>국촌리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2022</v>
      </c>
      <c r="B2420" s="4" t="n">
        <v>2300</v>
      </c>
      <c r="C2420" s="4" t="n">
        <v>63</v>
      </c>
      <c r="D2420" s="4" t="n">
        <v>19.0575</v>
      </c>
      <c r="E2420" s="5" t="n">
        <v>120.7</v>
      </c>
      <c r="F2420" s="3" t="inlineStr">
        <is>
          <t>장군면</t>
        </is>
      </c>
      <c r="G2420" s="3" t="inlineStr">
        <is>
          <t>하봉리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장군면</t>
        </is>
      </c>
    </row>
    <row r="2421">
      <c r="A2421" s="3" t="n">
        <v>2022</v>
      </c>
      <c r="B2421" s="4" t="n">
        <v>33760</v>
      </c>
      <c r="C2421" s="4" t="n">
        <v>531</v>
      </c>
      <c r="D2421" s="4" t="n">
        <v>160.6275</v>
      </c>
      <c r="E2421" s="5" t="n">
        <v>210.2</v>
      </c>
      <c r="F2421" s="3" t="inlineStr">
        <is>
          <t>금남면</t>
        </is>
      </c>
      <c r="G2421" s="3" t="inlineStr">
        <is>
          <t>성강리</t>
        </is>
      </c>
      <c r="H2421" s="3" t="inlineStr">
        <is>
          <t>생산관리지역</t>
        </is>
      </c>
      <c r="I2421" s="3" t="inlineStr">
        <is>
          <t>전</t>
        </is>
      </c>
      <c r="J2421" s="3" t="inlineStr">
        <is>
          <t>금남면</t>
        </is>
      </c>
    </row>
    <row r="2422">
      <c r="A2422" s="3" t="n">
        <v>2022</v>
      </c>
      <c r="B2422" s="4" t="n">
        <v>22231</v>
      </c>
      <c r="C2422" s="4" t="n">
        <v>248</v>
      </c>
      <c r="D2422" s="4" t="n">
        <v>75.02</v>
      </c>
      <c r="E2422" s="5" t="n">
        <v>296.3</v>
      </c>
      <c r="F2422" s="3" t="inlineStr">
        <is>
          <t>전의면</t>
        </is>
      </c>
      <c r="G2422" s="3" t="inlineStr">
        <is>
          <t>읍내리</t>
        </is>
      </c>
      <c r="H2422" s="3" t="inlineStr">
        <is>
          <t>제2종일반주거지역</t>
        </is>
      </c>
      <c r="I2422" s="3" t="inlineStr">
        <is>
          <t>전</t>
        </is>
      </c>
      <c r="J2422" s="3" t="inlineStr">
        <is>
          <t>전의면</t>
        </is>
      </c>
    </row>
    <row r="2423">
      <c r="A2423" s="3" t="n">
        <v>2022</v>
      </c>
      <c r="B2423" s="4" t="n">
        <v>81500</v>
      </c>
      <c r="C2423" s="4" t="n">
        <v>1457</v>
      </c>
      <c r="D2423" s="4" t="n">
        <v>440.7425</v>
      </c>
      <c r="E2423" s="5" t="n">
        <v>184.9</v>
      </c>
      <c r="F2423" s="3" t="inlineStr">
        <is>
          <t>소정면</t>
        </is>
      </c>
      <c r="G2423" s="3" t="inlineStr">
        <is>
          <t>소정리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소정면</t>
        </is>
      </c>
    </row>
    <row r="2424">
      <c r="A2424" s="3" t="n">
        <v>2022</v>
      </c>
      <c r="B2424" s="4" t="n">
        <v>1800</v>
      </c>
      <c r="C2424" s="4" t="n">
        <v>58</v>
      </c>
      <c r="D2424" s="4" t="n">
        <v>17.545</v>
      </c>
      <c r="E2424" s="5" t="n">
        <v>102.6</v>
      </c>
      <c r="F2424" s="3" t="inlineStr">
        <is>
          <t>장군면</t>
        </is>
      </c>
      <c r="G2424" s="3" t="inlineStr">
        <is>
          <t>도계리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장군면</t>
        </is>
      </c>
    </row>
    <row r="2425">
      <c r="A2425" s="3" t="n">
        <v>2022</v>
      </c>
      <c r="B2425" s="4" t="n">
        <v>2000</v>
      </c>
      <c r="C2425" s="4" t="n">
        <v>248</v>
      </c>
      <c r="D2425" s="4" t="n">
        <v>75.02</v>
      </c>
      <c r="E2425" s="5" t="n">
        <v>26.7</v>
      </c>
      <c r="F2425" s="3" t="inlineStr">
        <is>
          <t>전의면</t>
        </is>
      </c>
      <c r="G2425" s="3" t="inlineStr">
        <is>
          <t>유천리</t>
        </is>
      </c>
      <c r="H2425" s="3" t="inlineStr">
        <is>
          <t>계획관리지역</t>
        </is>
      </c>
      <c r="I2425" s="3" t="inlineStr">
        <is>
          <t>답</t>
        </is>
      </c>
      <c r="J2425" s="3" t="inlineStr">
        <is>
          <t>전의면</t>
        </is>
      </c>
    </row>
    <row r="2426">
      <c r="A2426" s="3" t="n">
        <v>2022</v>
      </c>
      <c r="B2426" s="4" t="n">
        <v>67300</v>
      </c>
      <c r="C2426" s="4" t="n">
        <v>623</v>
      </c>
      <c r="D2426" s="4" t="n">
        <v>188.4575</v>
      </c>
      <c r="E2426" s="5" t="n">
        <v>357.1</v>
      </c>
      <c r="F2426" s="3" t="inlineStr">
        <is>
          <t>연동면</t>
        </is>
      </c>
      <c r="G2426" s="3" t="inlineStr">
        <is>
          <t>명학리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연동면</t>
        </is>
      </c>
    </row>
    <row r="2427">
      <c r="A2427" s="3" t="n">
        <v>2022</v>
      </c>
      <c r="B2427" s="4" t="n">
        <v>3700</v>
      </c>
      <c r="C2427" s="4" t="n">
        <v>34</v>
      </c>
      <c r="D2427" s="4" t="n">
        <v>10.285</v>
      </c>
      <c r="E2427" s="5" t="n">
        <v>359.7</v>
      </c>
      <c r="F2427" s="3" t="inlineStr">
        <is>
          <t>연동면</t>
        </is>
      </c>
      <c r="G2427" s="3" t="inlineStr">
        <is>
          <t>명학리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연동면</t>
        </is>
      </c>
    </row>
    <row r="2428">
      <c r="A2428" s="3" t="n">
        <v>2022</v>
      </c>
      <c r="B2428" s="4" t="n">
        <v>4000</v>
      </c>
      <c r="C2428" s="4" t="n">
        <v>37</v>
      </c>
      <c r="D2428" s="4" t="n">
        <v>11.1925</v>
      </c>
      <c r="E2428" s="5" t="n">
        <v>357.4</v>
      </c>
      <c r="F2428" s="3" t="inlineStr">
        <is>
          <t>연동면</t>
        </is>
      </c>
      <c r="G2428" s="3" t="inlineStr">
        <is>
          <t>명학리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연동면</t>
        </is>
      </c>
    </row>
    <row r="2429">
      <c r="A2429" s="3" t="n">
        <v>2022</v>
      </c>
      <c r="B2429" s="4" t="n">
        <v>46000</v>
      </c>
      <c r="C2429" s="4" t="n">
        <v>1642</v>
      </c>
      <c r="D2429" s="4" t="n">
        <v>496.705</v>
      </c>
      <c r="E2429" s="5" t="n">
        <v>92.59999999999999</v>
      </c>
      <c r="F2429" s="3" t="inlineStr">
        <is>
          <t>연서면</t>
        </is>
      </c>
      <c r="G2429" s="3" t="inlineStr">
        <is>
          <t>청라리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연서면</t>
        </is>
      </c>
    </row>
    <row r="2430">
      <c r="A2430" s="3" t="n">
        <v>2024</v>
      </c>
      <c r="B2430" s="4" t="n">
        <v>60000</v>
      </c>
      <c r="C2430" s="4" t="n">
        <v>445.5</v>
      </c>
      <c r="D2430" s="4" t="n">
        <v>134.76375</v>
      </c>
      <c r="E2430" s="5" t="n">
        <v>445.2</v>
      </c>
      <c r="F2430" s="3" t="inlineStr">
        <is>
          <t>장군면</t>
        </is>
      </c>
      <c r="G2430" s="3" t="inlineStr">
        <is>
          <t>금암리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2024</v>
      </c>
      <c r="B2431" s="4" t="n">
        <v>30000</v>
      </c>
      <c r="C2431" s="4" t="n">
        <v>617</v>
      </c>
      <c r="D2431" s="4" t="n">
        <v>186.6425</v>
      </c>
      <c r="E2431" s="5" t="n">
        <v>160.7</v>
      </c>
      <c r="F2431" s="3" t="inlineStr">
        <is>
          <t>전의면</t>
        </is>
      </c>
      <c r="G2431" s="3" t="inlineStr">
        <is>
          <t>원성리</t>
        </is>
      </c>
      <c r="H2431" s="3" t="inlineStr">
        <is>
          <t>계획관리지역</t>
        </is>
      </c>
      <c r="I2431" s="3" t="inlineStr">
        <is>
          <t>답</t>
        </is>
      </c>
      <c r="J2431" s="3" t="inlineStr">
        <is>
          <t>전의면</t>
        </is>
      </c>
    </row>
    <row r="2432">
      <c r="A2432" s="3" t="n">
        <v>2024</v>
      </c>
      <c r="B2432" s="4" t="n">
        <v>19500</v>
      </c>
      <c r="C2432" s="4" t="n">
        <v>579</v>
      </c>
      <c r="D2432" s="4" t="n">
        <v>175.1475</v>
      </c>
      <c r="E2432" s="5" t="n">
        <v>111.3</v>
      </c>
      <c r="F2432" s="3" t="inlineStr">
        <is>
          <t>금남면</t>
        </is>
      </c>
      <c r="G2432" s="3" t="inlineStr">
        <is>
          <t>성덕리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금남면</t>
        </is>
      </c>
    </row>
    <row r="2433">
      <c r="A2433" s="3" t="n">
        <v>2024</v>
      </c>
      <c r="B2433" s="4" t="n">
        <v>51000</v>
      </c>
      <c r="C2433" s="4" t="n">
        <v>678</v>
      </c>
      <c r="D2433" s="4" t="n">
        <v>205.095</v>
      </c>
      <c r="E2433" s="5" t="n">
        <v>248.7</v>
      </c>
      <c r="F2433" s="3" t="inlineStr">
        <is>
          <t>장군면</t>
        </is>
      </c>
      <c r="G2433" s="3" t="inlineStr">
        <is>
          <t>산학리</t>
        </is>
      </c>
      <c r="H2433" s="3" t="inlineStr">
        <is>
          <t>계획관리지역</t>
        </is>
      </c>
      <c r="I2433" s="3" t="inlineStr">
        <is>
          <t>답</t>
        </is>
      </c>
      <c r="J2433" s="3" t="inlineStr">
        <is>
          <t>장군면</t>
        </is>
      </c>
    </row>
    <row r="2434">
      <c r="A2434" s="3" t="n">
        <v>2024</v>
      </c>
      <c r="B2434" s="4" t="n">
        <v>55800</v>
      </c>
      <c r="C2434" s="4" t="n">
        <v>2528.5</v>
      </c>
      <c r="D2434" s="4" t="n">
        <v>764.87125</v>
      </c>
      <c r="E2434" s="5" t="n">
        <v>73</v>
      </c>
      <c r="F2434" s="3" t="inlineStr">
        <is>
          <t>연동면</t>
        </is>
      </c>
      <c r="G2434" s="3" t="inlineStr">
        <is>
          <t>명학리</t>
        </is>
      </c>
      <c r="H2434" s="3" t="inlineStr">
        <is>
          <t>자연녹지지역</t>
        </is>
      </c>
      <c r="I2434" s="3" t="inlineStr">
        <is>
          <t>답</t>
        </is>
      </c>
      <c r="J2434" s="3" t="inlineStr">
        <is>
          <t>연동면</t>
        </is>
      </c>
    </row>
    <row r="2435">
      <c r="A2435" s="3" t="n">
        <v>2024</v>
      </c>
      <c r="B2435" s="4" t="n">
        <v>9747</v>
      </c>
      <c r="C2435" s="4" t="n">
        <v>1652</v>
      </c>
      <c r="D2435" s="4" t="n">
        <v>499.73</v>
      </c>
      <c r="E2435" s="5" t="n">
        <v>19.5</v>
      </c>
      <c r="F2435" s="3" t="inlineStr">
        <is>
          <t>전의면</t>
        </is>
      </c>
      <c r="G2435" s="3" t="inlineStr">
        <is>
          <t>관정리</t>
        </is>
      </c>
      <c r="H2435" s="3" t="inlineStr">
        <is>
          <t>농림지역</t>
        </is>
      </c>
      <c r="I2435" s="3" t="inlineStr">
        <is>
          <t>임야</t>
        </is>
      </c>
      <c r="J2435" s="3" t="inlineStr">
        <is>
          <t>전의면</t>
        </is>
      </c>
    </row>
    <row r="2436">
      <c r="A2436" s="3" t="n">
        <v>2024</v>
      </c>
      <c r="B2436" s="4" t="n">
        <v>9753</v>
      </c>
      <c r="C2436" s="4" t="n">
        <v>1653</v>
      </c>
      <c r="D2436" s="4" t="n">
        <v>500.0325</v>
      </c>
      <c r="E2436" s="5" t="n">
        <v>19.5</v>
      </c>
      <c r="F2436" s="3" t="inlineStr">
        <is>
          <t>전의면</t>
        </is>
      </c>
      <c r="G2436" s="3" t="inlineStr">
        <is>
          <t>관정리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전의면</t>
        </is>
      </c>
    </row>
    <row r="2437">
      <c r="A2437" s="3" t="n">
        <v>2022</v>
      </c>
      <c r="B2437" s="4" t="n">
        <v>451964</v>
      </c>
      <c r="C2437" s="4" t="n">
        <v>14380</v>
      </c>
      <c r="D2437" s="4" t="n">
        <v>4349.95</v>
      </c>
      <c r="E2437" s="5" t="n">
        <v>103.9</v>
      </c>
      <c r="F2437" s="3" t="inlineStr">
        <is>
          <t>연서면</t>
        </is>
      </c>
      <c r="G2437" s="3" t="inlineStr">
        <is>
          <t>와촌리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연서면</t>
        </is>
      </c>
    </row>
    <row r="2438">
      <c r="A2438" s="3" t="n">
        <v>2022</v>
      </c>
      <c r="B2438" s="4" t="n">
        <v>148036</v>
      </c>
      <c r="C2438" s="4" t="n">
        <v>4710</v>
      </c>
      <c r="D2438" s="4" t="n">
        <v>1424.775</v>
      </c>
      <c r="E2438" s="5" t="n">
        <v>103.9</v>
      </c>
      <c r="F2438" s="3" t="inlineStr">
        <is>
          <t>연서면</t>
        </is>
      </c>
      <c r="G2438" s="3" t="inlineStr">
        <is>
          <t>와촌리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연서면</t>
        </is>
      </c>
    </row>
    <row r="2439">
      <c r="A2439" s="3" t="n">
        <v>2022</v>
      </c>
      <c r="B2439" s="4" t="n">
        <v>29899</v>
      </c>
      <c r="C2439" s="4" t="n">
        <v>5258</v>
      </c>
      <c r="D2439" s="4" t="n">
        <v>1590.545</v>
      </c>
      <c r="E2439" s="5" t="n">
        <v>18.8</v>
      </c>
      <c r="F2439" s="3" t="inlineStr">
        <is>
          <t>금남면</t>
        </is>
      </c>
      <c r="G2439" s="3" t="inlineStr">
        <is>
          <t>축산리</t>
        </is>
      </c>
      <c r="H2439" s="3" t="inlineStr">
        <is>
          <t>개발제한구역</t>
        </is>
      </c>
      <c r="I2439" s="3" t="inlineStr">
        <is>
          <t>답</t>
        </is>
      </c>
      <c r="J2439" s="3" t="inlineStr">
        <is>
          <t>금남면</t>
        </is>
      </c>
    </row>
    <row r="2440">
      <c r="A2440" s="3" t="n">
        <v>2022</v>
      </c>
      <c r="B2440" s="4" t="n">
        <v>1137</v>
      </c>
      <c r="C2440" s="4" t="n">
        <v>200</v>
      </c>
      <c r="D2440" s="4" t="n">
        <v>60.5</v>
      </c>
      <c r="E2440" s="5" t="n">
        <v>18.8</v>
      </c>
      <c r="F2440" s="3" t="inlineStr">
        <is>
          <t>금남면</t>
        </is>
      </c>
      <c r="G2440" s="3" t="inlineStr">
        <is>
          <t>축산리</t>
        </is>
      </c>
      <c r="H2440" s="3" t="inlineStr">
        <is>
          <t>자연녹지지역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659</v>
      </c>
      <c r="C2441" s="4" t="n">
        <v>116</v>
      </c>
      <c r="D2441" s="4" t="n">
        <v>35.09</v>
      </c>
      <c r="E2441" s="5" t="n">
        <v>18.8</v>
      </c>
      <c r="F2441" s="3" t="inlineStr">
        <is>
          <t>금남면</t>
        </is>
      </c>
      <c r="G2441" s="3" t="inlineStr">
        <is>
          <t>축산리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금남면</t>
        </is>
      </c>
    </row>
    <row r="2442">
      <c r="A2442" s="3" t="n">
        <v>2022</v>
      </c>
      <c r="B2442" s="4" t="n">
        <v>3327</v>
      </c>
      <c r="C2442" s="4" t="n">
        <v>585</v>
      </c>
      <c r="D2442" s="4" t="n">
        <v>176.9625</v>
      </c>
      <c r="E2442" s="5" t="n">
        <v>18.8</v>
      </c>
      <c r="F2442" s="3" t="inlineStr">
        <is>
          <t>금남면</t>
        </is>
      </c>
      <c r="G2442" s="3" t="inlineStr">
        <is>
          <t>축산리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금남면</t>
        </is>
      </c>
    </row>
    <row r="2443">
      <c r="A2443" s="3" t="n">
        <v>2022</v>
      </c>
      <c r="B2443" s="4" t="n">
        <v>978</v>
      </c>
      <c r="C2443" s="4" t="n">
        <v>172</v>
      </c>
      <c r="D2443" s="4" t="n">
        <v>52.03</v>
      </c>
      <c r="E2443" s="5" t="n">
        <v>18.8</v>
      </c>
      <c r="F2443" s="3" t="inlineStr">
        <is>
          <t>금남면</t>
        </is>
      </c>
      <c r="G2443" s="3" t="inlineStr">
        <is>
          <t>축산리</t>
        </is>
      </c>
      <c r="H2443" s="3" t="inlineStr">
        <is>
          <t>개발제한구역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102500</v>
      </c>
      <c r="C2444" s="4" t="n">
        <v>2053</v>
      </c>
      <c r="D2444" s="4" t="n">
        <v>621.0325</v>
      </c>
      <c r="E2444" s="5" t="n">
        <v>165</v>
      </c>
      <c r="F2444" s="3" t="inlineStr">
        <is>
          <t>장군면</t>
        </is>
      </c>
      <c r="G2444" s="3" t="inlineStr">
        <is>
          <t>봉안리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장군면</t>
        </is>
      </c>
    </row>
    <row r="2445">
      <c r="A2445" s="3" t="n">
        <v>2022</v>
      </c>
      <c r="B2445" s="4" t="n">
        <v>17500</v>
      </c>
      <c r="C2445" s="4" t="n">
        <v>279</v>
      </c>
      <c r="D2445" s="4" t="n">
        <v>84.39749999999999</v>
      </c>
      <c r="E2445" s="5" t="n">
        <v>207.4</v>
      </c>
      <c r="F2445" s="3" t="inlineStr">
        <is>
          <t>전의면</t>
        </is>
      </c>
      <c r="G2445" s="3" t="inlineStr">
        <is>
          <t>양곡리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전의면</t>
        </is>
      </c>
    </row>
    <row r="2446">
      <c r="A2446" s="3" t="n">
        <v>2022</v>
      </c>
      <c r="B2446" s="4" t="n">
        <v>36900</v>
      </c>
      <c r="C2446" s="4" t="n">
        <v>2033</v>
      </c>
      <c r="D2446" s="4" t="n">
        <v>614.9825</v>
      </c>
      <c r="E2446" s="5" t="n">
        <v>60</v>
      </c>
      <c r="F2446" s="3" t="inlineStr">
        <is>
          <t>전동면</t>
        </is>
      </c>
      <c r="G2446" s="3" t="inlineStr">
        <is>
          <t>송정리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전동면</t>
        </is>
      </c>
    </row>
    <row r="2447">
      <c r="A2447" s="3" t="n">
        <v>2022</v>
      </c>
      <c r="B2447" s="4" t="n">
        <v>4500</v>
      </c>
      <c r="C2447" s="4" t="n">
        <v>384</v>
      </c>
      <c r="D2447" s="4" t="n">
        <v>116.16</v>
      </c>
      <c r="E2447" s="5" t="n">
        <v>38.7</v>
      </c>
      <c r="F2447" s="3" t="inlineStr">
        <is>
          <t>장군면</t>
        </is>
      </c>
      <c r="G2447" s="3" t="inlineStr">
        <is>
          <t>하봉리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장군면</t>
        </is>
      </c>
    </row>
    <row r="2448">
      <c r="A2448" s="3" t="n">
        <v>2022</v>
      </c>
      <c r="B2448" s="4" t="n">
        <v>32500</v>
      </c>
      <c r="C2448" s="4" t="n">
        <v>1430</v>
      </c>
      <c r="D2448" s="4" t="n">
        <v>432.575</v>
      </c>
      <c r="E2448" s="5" t="n">
        <v>75.09999999999999</v>
      </c>
      <c r="F2448" s="3" t="inlineStr">
        <is>
          <t>연서면</t>
        </is>
      </c>
      <c r="G2448" s="3" t="inlineStr">
        <is>
          <t>성제리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연서면</t>
        </is>
      </c>
    </row>
    <row r="2449">
      <c r="A2449" s="3" t="n">
        <v>2022</v>
      </c>
      <c r="B2449" s="4" t="n">
        <v>436</v>
      </c>
      <c r="C2449" s="4" t="n">
        <v>200</v>
      </c>
      <c r="D2449" s="4" t="n">
        <v>60.5</v>
      </c>
      <c r="E2449" s="5" t="n">
        <v>7.2</v>
      </c>
      <c r="F2449" s="3" t="inlineStr">
        <is>
          <t>연서면</t>
        </is>
      </c>
      <c r="G2449" s="3" t="inlineStr">
        <is>
          <t>기룡리</t>
        </is>
      </c>
      <c r="H2449" s="3" t="inlineStr">
        <is>
          <t>농림지역</t>
        </is>
      </c>
      <c r="I2449" s="3" t="inlineStr">
        <is>
          <t>임야</t>
        </is>
      </c>
      <c r="J2449" s="3" t="inlineStr">
        <is>
          <t>연서면</t>
        </is>
      </c>
    </row>
    <row r="2450">
      <c r="A2450" s="3" t="n">
        <v>2022</v>
      </c>
      <c r="B2450" s="4" t="n">
        <v>18640</v>
      </c>
      <c r="C2450" s="4" t="n">
        <v>1061</v>
      </c>
      <c r="D2450" s="4" t="n">
        <v>320.9525</v>
      </c>
      <c r="E2450" s="5" t="n">
        <v>58.1</v>
      </c>
      <c r="F2450" s="3" t="inlineStr">
        <is>
          <t>부강면</t>
        </is>
      </c>
      <c r="G2450" s="3" t="inlineStr">
        <is>
          <t>문곡리</t>
        </is>
      </c>
      <c r="H2450" s="3" t="inlineStr">
        <is>
          <t>생산관리지역</t>
        </is>
      </c>
      <c r="I2450" s="3" t="inlineStr">
        <is>
          <t>대</t>
        </is>
      </c>
      <c r="J2450" s="3" t="inlineStr">
        <is>
          <t>부강면</t>
        </is>
      </c>
    </row>
    <row r="2451">
      <c r="A2451" s="3" t="n">
        <v>2022</v>
      </c>
      <c r="B2451" s="4" t="n">
        <v>3360</v>
      </c>
      <c r="C2451" s="4" t="n">
        <v>185</v>
      </c>
      <c r="D2451" s="4" t="n">
        <v>55.9625</v>
      </c>
      <c r="E2451" s="5" t="n">
        <v>60</v>
      </c>
      <c r="F2451" s="3" t="inlineStr">
        <is>
          <t>부강면</t>
        </is>
      </c>
      <c r="G2451" s="3" t="inlineStr">
        <is>
          <t>문곡리</t>
        </is>
      </c>
      <c r="H2451" s="3" t="inlineStr">
        <is>
          <t>생산관리지역</t>
        </is>
      </c>
      <c r="I2451" s="3" t="inlineStr">
        <is>
          <t>대</t>
        </is>
      </c>
      <c r="J2451" s="3" t="inlineStr">
        <is>
          <t>부강면</t>
        </is>
      </c>
    </row>
    <row r="2452">
      <c r="A2452" s="3" t="n">
        <v>2022</v>
      </c>
      <c r="B2452" s="4" t="n">
        <v>42000</v>
      </c>
      <c r="C2452" s="4" t="n">
        <v>2016</v>
      </c>
      <c r="D2452" s="4" t="n">
        <v>609.84</v>
      </c>
      <c r="E2452" s="5" t="n">
        <v>68.90000000000001</v>
      </c>
      <c r="F2452" s="3" t="inlineStr">
        <is>
          <t>장군면</t>
        </is>
      </c>
      <c r="G2452" s="3" t="inlineStr">
        <is>
          <t>평기리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장군면</t>
        </is>
      </c>
    </row>
    <row r="2453">
      <c r="A2453" s="3" t="n">
        <v>2022</v>
      </c>
      <c r="B2453" s="4" t="n">
        <v>6300</v>
      </c>
      <c r="C2453" s="4" t="n">
        <v>1111</v>
      </c>
      <c r="D2453" s="4" t="n">
        <v>336.0775</v>
      </c>
      <c r="E2453" s="5" t="n">
        <v>18.7</v>
      </c>
      <c r="F2453" s="3" t="inlineStr">
        <is>
          <t>소정면</t>
        </is>
      </c>
      <c r="G2453" s="3" t="inlineStr">
        <is>
          <t>운당리</t>
        </is>
      </c>
      <c r="H2453" s="3" t="inlineStr">
        <is>
          <t>농림지역</t>
        </is>
      </c>
      <c r="I2453" s="3" t="inlineStr">
        <is>
          <t>답</t>
        </is>
      </c>
      <c r="J2453" s="3" t="inlineStr">
        <is>
          <t>소정면</t>
        </is>
      </c>
    </row>
    <row r="2454">
      <c r="A2454" s="3" t="n">
        <v>2022</v>
      </c>
      <c r="B2454" s="4" t="n">
        <v>42000</v>
      </c>
      <c r="C2454" s="4" t="n">
        <v>2016</v>
      </c>
      <c r="D2454" s="4" t="n">
        <v>609.84</v>
      </c>
      <c r="E2454" s="5" t="n">
        <v>68.90000000000001</v>
      </c>
      <c r="F2454" s="3" t="inlineStr">
        <is>
          <t>장군면</t>
        </is>
      </c>
      <c r="G2454" s="3" t="inlineStr">
        <is>
          <t>평기리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장군면</t>
        </is>
      </c>
    </row>
    <row r="2455">
      <c r="A2455" s="3" t="n">
        <v>2022</v>
      </c>
      <c r="B2455" s="4" t="n">
        <v>27450</v>
      </c>
      <c r="C2455" s="4" t="n">
        <v>1818</v>
      </c>
      <c r="D2455" s="4" t="n">
        <v>549.9449999999999</v>
      </c>
      <c r="E2455" s="5" t="n">
        <v>49.9</v>
      </c>
      <c r="F2455" s="3" t="inlineStr">
        <is>
          <t>연서면</t>
        </is>
      </c>
      <c r="G2455" s="3" t="inlineStr">
        <is>
          <t>기룡리</t>
        </is>
      </c>
      <c r="H2455" s="3" t="inlineStr">
        <is>
          <t>생산관리지역</t>
        </is>
      </c>
      <c r="I2455" s="3" t="inlineStr">
        <is>
          <t>전</t>
        </is>
      </c>
      <c r="J2455" s="3" t="inlineStr">
        <is>
          <t>연서면</t>
        </is>
      </c>
    </row>
    <row r="2456">
      <c r="A2456" s="3" t="n">
        <v>2022</v>
      </c>
      <c r="B2456" s="4" t="n">
        <v>126750</v>
      </c>
      <c r="C2456" s="4" t="n">
        <v>838</v>
      </c>
      <c r="D2456" s="4" t="n">
        <v>253.495</v>
      </c>
      <c r="E2456" s="5" t="n">
        <v>500</v>
      </c>
      <c r="F2456" s="3" t="inlineStr">
        <is>
          <t>소정면</t>
        </is>
      </c>
      <c r="G2456" s="3" t="inlineStr">
        <is>
          <t>고등리</t>
        </is>
      </c>
      <c r="H2456" s="3" t="inlineStr">
        <is>
          <t>일반공업지역</t>
        </is>
      </c>
      <c r="I2456" s="3" t="inlineStr">
        <is>
          <t>대</t>
        </is>
      </c>
      <c r="J2456" s="3" t="inlineStr">
        <is>
          <t>소정면</t>
        </is>
      </c>
    </row>
    <row r="2457">
      <c r="A2457" s="3" t="n">
        <v>2022</v>
      </c>
      <c r="B2457" s="4" t="n">
        <v>112149</v>
      </c>
      <c r="C2457" s="4" t="n">
        <v>740</v>
      </c>
      <c r="D2457" s="4" t="n">
        <v>223.85</v>
      </c>
      <c r="E2457" s="5" t="n">
        <v>501</v>
      </c>
      <c r="F2457" s="3" t="inlineStr">
        <is>
          <t>소정면</t>
        </is>
      </c>
      <c r="G2457" s="3" t="inlineStr">
        <is>
          <t>고등리</t>
        </is>
      </c>
      <c r="H2457" s="3" t="inlineStr">
        <is>
          <t>일반공업지역</t>
        </is>
      </c>
      <c r="I2457" s="3" t="inlineStr">
        <is>
          <t>대</t>
        </is>
      </c>
      <c r="J2457" s="3" t="inlineStr">
        <is>
          <t>소정면</t>
        </is>
      </c>
    </row>
    <row r="2458">
      <c r="A2458" s="3" t="n">
        <v>2022</v>
      </c>
      <c r="B2458" s="4" t="n">
        <v>15500</v>
      </c>
      <c r="C2458" s="4" t="n">
        <v>1048</v>
      </c>
      <c r="D2458" s="4" t="n">
        <v>317.02</v>
      </c>
      <c r="E2458" s="5" t="n">
        <v>48.9</v>
      </c>
      <c r="F2458" s="3" t="inlineStr">
        <is>
          <t>전의면</t>
        </is>
      </c>
      <c r="G2458" s="3" t="inlineStr">
        <is>
          <t>동교리</t>
        </is>
      </c>
      <c r="H2458" s="3" t="inlineStr">
        <is>
          <t>계획관리지역</t>
        </is>
      </c>
      <c r="I2458" s="3" t="inlineStr">
        <is>
          <t>전</t>
        </is>
      </c>
      <c r="J2458" s="3" t="inlineStr">
        <is>
          <t>전의면</t>
        </is>
      </c>
    </row>
    <row r="2459">
      <c r="A2459" s="3" t="n">
        <v>2022</v>
      </c>
      <c r="B2459" s="4" t="n">
        <v>2500</v>
      </c>
      <c r="C2459" s="4" t="n">
        <v>85</v>
      </c>
      <c r="D2459" s="4" t="n">
        <v>25.7125</v>
      </c>
      <c r="E2459" s="5" t="n">
        <v>97.2</v>
      </c>
      <c r="F2459" s="3" t="inlineStr">
        <is>
          <t>전의면</t>
        </is>
      </c>
      <c r="G2459" s="3" t="inlineStr">
        <is>
          <t>동교리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전의면</t>
        </is>
      </c>
    </row>
    <row r="2460">
      <c r="A2460" s="3" t="n">
        <v>2022</v>
      </c>
      <c r="B2460" s="4" t="n">
        <v>6014</v>
      </c>
      <c r="C2460" s="4" t="n">
        <v>163</v>
      </c>
      <c r="D2460" s="4" t="n">
        <v>49.3075</v>
      </c>
      <c r="E2460" s="5" t="n">
        <v>122</v>
      </c>
      <c r="F2460" s="3" t="inlineStr">
        <is>
          <t>전동면</t>
        </is>
      </c>
      <c r="G2460" s="3" t="inlineStr">
        <is>
          <t>송곡리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전동면</t>
        </is>
      </c>
    </row>
    <row r="2461">
      <c r="A2461" s="3" t="n">
        <v>2022</v>
      </c>
      <c r="B2461" s="4" t="n">
        <v>90000</v>
      </c>
      <c r="C2461" s="4" t="n">
        <v>3263</v>
      </c>
      <c r="D2461" s="4" t="n">
        <v>987.0575</v>
      </c>
      <c r="E2461" s="5" t="n">
        <v>91.2</v>
      </c>
      <c r="F2461" s="3" t="inlineStr">
        <is>
          <t>연서면</t>
        </is>
      </c>
      <c r="G2461" s="3" t="inlineStr">
        <is>
          <t>고복리</t>
        </is>
      </c>
      <c r="H2461" s="3" t="inlineStr">
        <is>
          <t>보전관리지역</t>
        </is>
      </c>
      <c r="I2461" s="3" t="inlineStr">
        <is>
          <t>임야</t>
        </is>
      </c>
      <c r="J2461" s="3" t="inlineStr">
        <is>
          <t>연서면</t>
        </is>
      </c>
    </row>
    <row r="2462">
      <c r="A2462" s="3" t="n">
        <v>2022</v>
      </c>
      <c r="B2462" s="4" t="n">
        <v>37694</v>
      </c>
      <c r="C2462" s="4" t="n">
        <v>466</v>
      </c>
      <c r="D2462" s="4" t="n">
        <v>140.965</v>
      </c>
      <c r="E2462" s="5" t="n">
        <v>267.4</v>
      </c>
      <c r="F2462" s="3" t="inlineStr">
        <is>
          <t>연동면</t>
        </is>
      </c>
      <c r="G2462" s="3" t="inlineStr">
        <is>
          <t>내판리</t>
        </is>
      </c>
      <c r="H2462" s="3" t="inlineStr">
        <is>
          <t>보전관리지역</t>
        </is>
      </c>
      <c r="I2462" s="3" t="inlineStr">
        <is>
          <t>대</t>
        </is>
      </c>
      <c r="J2462" s="3" t="inlineStr">
        <is>
          <t>연동면</t>
        </is>
      </c>
    </row>
    <row r="2463">
      <c r="A2463" s="3" t="n">
        <v>2022</v>
      </c>
      <c r="B2463" s="4" t="n">
        <v>15692</v>
      </c>
      <c r="C2463" s="4" t="n">
        <v>194</v>
      </c>
      <c r="D2463" s="4" t="n">
        <v>58.685</v>
      </c>
      <c r="E2463" s="5" t="n">
        <v>267.4</v>
      </c>
      <c r="F2463" s="3" t="inlineStr">
        <is>
          <t>연동면</t>
        </is>
      </c>
      <c r="G2463" s="3" t="inlineStr">
        <is>
          <t>내판리</t>
        </is>
      </c>
      <c r="H2463" s="3" t="inlineStr">
        <is>
          <t>계획관리지역</t>
        </is>
      </c>
      <c r="I2463" s="3" t="inlineStr">
        <is>
          <t>대</t>
        </is>
      </c>
      <c r="J2463" s="3" t="inlineStr">
        <is>
          <t>연동면</t>
        </is>
      </c>
    </row>
    <row r="2464">
      <c r="A2464" s="3" t="n">
        <v>2022</v>
      </c>
      <c r="B2464" s="4" t="n">
        <v>9725</v>
      </c>
      <c r="C2464" s="4" t="n">
        <v>262</v>
      </c>
      <c r="D2464" s="4" t="n">
        <v>79.255</v>
      </c>
      <c r="E2464" s="5" t="n">
        <v>122.7</v>
      </c>
      <c r="F2464" s="3" t="inlineStr">
        <is>
          <t>장군면</t>
        </is>
      </c>
      <c r="G2464" s="3" t="inlineStr">
        <is>
          <t>송문리</t>
        </is>
      </c>
      <c r="H2464" s="3" t="inlineStr">
        <is>
          <t>보전관리지역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2022</v>
      </c>
      <c r="B2465" s="4" t="n">
        <v>32700</v>
      </c>
      <c r="C2465" s="4" t="n">
        <v>1081</v>
      </c>
      <c r="D2465" s="4" t="n">
        <v>327.0025</v>
      </c>
      <c r="E2465" s="5" t="n">
        <v>100</v>
      </c>
      <c r="F2465" s="3" t="inlineStr">
        <is>
          <t>금남면</t>
        </is>
      </c>
      <c r="G2465" s="3" t="inlineStr">
        <is>
          <t>황용리</t>
        </is>
      </c>
      <c r="H2465" s="3" t="inlineStr">
        <is>
          <t>개발제한구역</t>
        </is>
      </c>
      <c r="I2465" s="3" t="inlineStr">
        <is>
          <t>답</t>
        </is>
      </c>
      <c r="J2465" s="3" t="inlineStr">
        <is>
          <t>금남면</t>
        </is>
      </c>
    </row>
    <row r="2466">
      <c r="A2466" s="3" t="n">
        <v>2022</v>
      </c>
      <c r="B2466" s="4" t="n">
        <v>13980</v>
      </c>
      <c r="C2466" s="4" t="n">
        <v>378</v>
      </c>
      <c r="D2466" s="4" t="n">
        <v>114.345</v>
      </c>
      <c r="E2466" s="5" t="n">
        <v>122.3</v>
      </c>
      <c r="F2466" s="3" t="inlineStr">
        <is>
          <t>장군면</t>
        </is>
      </c>
      <c r="G2466" s="3" t="inlineStr">
        <is>
          <t>송문리</t>
        </is>
      </c>
      <c r="H2466" s="3" t="inlineStr">
        <is>
          <t>보전관리지역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2022</v>
      </c>
      <c r="B2467" s="4" t="n">
        <v>3200</v>
      </c>
      <c r="C2467" s="4" t="n">
        <v>520</v>
      </c>
      <c r="D2467" s="4" t="n">
        <v>157.3</v>
      </c>
      <c r="E2467" s="5" t="n">
        <v>20.3</v>
      </c>
      <c r="F2467" s="3" t="inlineStr">
        <is>
          <t>전의면</t>
        </is>
      </c>
      <c r="G2467" s="3" t="inlineStr">
        <is>
          <t>신정리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전의면</t>
        </is>
      </c>
    </row>
    <row r="2468">
      <c r="A2468" s="3" t="n">
        <v>2022</v>
      </c>
      <c r="B2468" s="4" t="n">
        <v>31500</v>
      </c>
      <c r="C2468" s="4" t="n">
        <v>932</v>
      </c>
      <c r="D2468" s="4" t="n">
        <v>281.93</v>
      </c>
      <c r="E2468" s="5" t="n">
        <v>111.7</v>
      </c>
      <c r="F2468" s="3" t="inlineStr">
        <is>
          <t>금남면</t>
        </is>
      </c>
      <c r="G2468" s="3" t="inlineStr">
        <is>
          <t>축산리</t>
        </is>
      </c>
      <c r="H2468" s="3" t="inlineStr">
        <is>
          <t>자연녹지지역</t>
        </is>
      </c>
      <c r="I2468" s="3" t="inlineStr">
        <is>
          <t>전</t>
        </is>
      </c>
      <c r="J2468" s="3" t="inlineStr">
        <is>
          <t>금남면</t>
        </is>
      </c>
    </row>
    <row r="2469">
      <c r="A2469" s="3" t="n">
        <v>2022</v>
      </c>
      <c r="B2469" s="4" t="n">
        <v>62100</v>
      </c>
      <c r="C2469" s="4" t="n">
        <v>2054</v>
      </c>
      <c r="D2469" s="4" t="n">
        <v>621.335</v>
      </c>
      <c r="E2469" s="5" t="n">
        <v>99.90000000000001</v>
      </c>
      <c r="F2469" s="3" t="inlineStr">
        <is>
          <t>금남면</t>
        </is>
      </c>
      <c r="G2469" s="3" t="inlineStr">
        <is>
          <t>황용리</t>
        </is>
      </c>
      <c r="H2469" s="3" t="inlineStr">
        <is>
          <t>개발제한구역</t>
        </is>
      </c>
      <c r="I2469" s="3" t="inlineStr">
        <is>
          <t>답</t>
        </is>
      </c>
      <c r="J2469" s="3" t="inlineStr">
        <is>
          <t>금남면</t>
        </is>
      </c>
    </row>
    <row r="2470">
      <c r="A2470" s="3" t="n">
        <v>2022</v>
      </c>
      <c r="B2470" s="4" t="n">
        <v>73000</v>
      </c>
      <c r="C2470" s="4" t="n">
        <v>1597</v>
      </c>
      <c r="D2470" s="4" t="n">
        <v>483.0925</v>
      </c>
      <c r="E2470" s="5" t="n">
        <v>151.1</v>
      </c>
      <c r="F2470" s="3" t="inlineStr">
        <is>
          <t>장군면</t>
        </is>
      </c>
      <c r="G2470" s="3" t="inlineStr">
        <is>
          <t>도계리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장군면</t>
        </is>
      </c>
    </row>
    <row r="2471">
      <c r="A2471" s="3" t="n">
        <v>2022</v>
      </c>
      <c r="B2471" s="4" t="n">
        <v>36900</v>
      </c>
      <c r="C2471" s="4" t="n">
        <v>937</v>
      </c>
      <c r="D2471" s="4" t="n">
        <v>283.4425</v>
      </c>
      <c r="E2471" s="5" t="n">
        <v>130.2</v>
      </c>
      <c r="F2471" s="3" t="inlineStr">
        <is>
          <t>전동면</t>
        </is>
      </c>
      <c r="G2471" s="3" t="inlineStr">
        <is>
          <t>심중리</t>
        </is>
      </c>
      <c r="H2471" s="3" t="inlineStr">
        <is>
          <t>준공업지역</t>
        </is>
      </c>
      <c r="I2471" s="3" t="inlineStr">
        <is>
          <t>전</t>
        </is>
      </c>
      <c r="J2471" s="3" t="inlineStr">
        <is>
          <t>전동면</t>
        </is>
      </c>
    </row>
    <row r="2472">
      <c r="A2472" s="3" t="n">
        <v>2026</v>
      </c>
      <c r="B2472" s="4" t="n">
        <v>200000</v>
      </c>
      <c r="C2472" s="4" t="n">
        <v>34655</v>
      </c>
      <c r="D2472" s="4" t="n">
        <v>10483.1375</v>
      </c>
      <c r="E2472" s="5" t="n">
        <v>19.1</v>
      </c>
      <c r="F2472" s="3" t="inlineStr">
        <is>
          <t>연서면</t>
        </is>
      </c>
      <c r="G2472" s="3" t="inlineStr">
        <is>
          <t>신대리</t>
        </is>
      </c>
      <c r="H2472" s="3" t="inlineStr">
        <is>
          <t>계획관리지역</t>
        </is>
      </c>
      <c r="I2472" s="3" t="inlineStr">
        <is>
          <t>임야</t>
        </is>
      </c>
      <c r="J2472" s="3" t="inlineStr">
        <is>
          <t>연서면</t>
        </is>
      </c>
    </row>
    <row r="2473">
      <c r="A2473" s="3" t="n">
        <v>2026</v>
      </c>
      <c r="B2473" s="4" t="n">
        <v>4750</v>
      </c>
      <c r="C2473" s="4" t="n">
        <v>631</v>
      </c>
      <c r="D2473" s="4" t="n">
        <v>190.8775</v>
      </c>
      <c r="E2473" s="5" t="n">
        <v>24.9</v>
      </c>
      <c r="F2473" s="3" t="inlineStr">
        <is>
          <t>금남면</t>
        </is>
      </c>
      <c r="G2473" s="3" t="inlineStr">
        <is>
          <t>성강리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금남면</t>
        </is>
      </c>
    </row>
    <row r="2474">
      <c r="A2474" s="3" t="n">
        <v>2026</v>
      </c>
      <c r="B2474" s="4" t="n">
        <v>49350</v>
      </c>
      <c r="C2474" s="4" t="n">
        <v>1551</v>
      </c>
      <c r="D2474" s="4" t="n">
        <v>469.1775</v>
      </c>
      <c r="E2474" s="5" t="n">
        <v>105.2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연서면</t>
        </is>
      </c>
    </row>
    <row r="2475">
      <c r="A2475" s="3" t="n">
        <v>2026</v>
      </c>
      <c r="B2475" s="4" t="n">
        <v>5000</v>
      </c>
      <c r="C2475" s="4" t="n">
        <v>611</v>
      </c>
      <c r="D2475" s="4" t="n">
        <v>184.8275</v>
      </c>
      <c r="E2475" s="5" t="n">
        <v>27.1</v>
      </c>
      <c r="F2475" s="3" t="inlineStr">
        <is>
          <t>전동면</t>
        </is>
      </c>
      <c r="G2475" s="3" t="inlineStr">
        <is>
          <t>미곡리</t>
        </is>
      </c>
      <c r="H2475" s="3" t="inlineStr">
        <is>
          <t>생산관리지역</t>
        </is>
      </c>
      <c r="I2475" s="3" t="inlineStr">
        <is>
          <t>답</t>
        </is>
      </c>
      <c r="J2475" s="3" t="inlineStr">
        <is>
          <t>전동면</t>
        </is>
      </c>
    </row>
    <row r="2476">
      <c r="A2476" s="3" t="n">
        <v>2026</v>
      </c>
      <c r="B2476" s="4" t="n">
        <v>50</v>
      </c>
      <c r="C2476" s="4" t="n">
        <v>14</v>
      </c>
      <c r="D2476" s="4" t="n">
        <v>4.234999999999999</v>
      </c>
      <c r="E2476" s="5" t="n">
        <v>11.8</v>
      </c>
      <c r="F2476" s="3" t="inlineStr">
        <is>
          <t>전동면</t>
        </is>
      </c>
      <c r="G2476" s="3" t="inlineStr">
        <is>
          <t>미곡리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전동면</t>
        </is>
      </c>
    </row>
    <row r="2477">
      <c r="A2477" s="3" t="n">
        <v>2026</v>
      </c>
      <c r="B2477" s="4" t="n">
        <v>10</v>
      </c>
      <c r="C2477" s="4" t="n">
        <v>4</v>
      </c>
      <c r="D2477" s="4" t="n">
        <v>1.21</v>
      </c>
      <c r="E2477" s="5" t="n">
        <v>8.300000000000001</v>
      </c>
      <c r="F2477" s="3" t="inlineStr">
        <is>
          <t>전동면</t>
        </is>
      </c>
      <c r="G2477" s="3" t="inlineStr">
        <is>
          <t>미곡리</t>
        </is>
      </c>
      <c r="H2477" s="3" t="inlineStr">
        <is>
          <t>생산관리지역</t>
        </is>
      </c>
      <c r="I2477" s="3" t="inlineStr">
        <is>
          <t>답</t>
        </is>
      </c>
      <c r="J2477" s="3" t="inlineStr">
        <is>
          <t>전동면</t>
        </is>
      </c>
    </row>
    <row r="2478">
      <c r="A2478" s="3" t="n">
        <v>2026</v>
      </c>
      <c r="B2478" s="4" t="n">
        <v>5000</v>
      </c>
      <c r="C2478" s="4" t="n">
        <v>478</v>
      </c>
      <c r="D2478" s="4" t="n">
        <v>144.595</v>
      </c>
      <c r="E2478" s="5" t="n">
        <v>34.6</v>
      </c>
      <c r="F2478" s="3" t="inlineStr">
        <is>
          <t>전동면</t>
        </is>
      </c>
      <c r="G2478" s="3" t="inlineStr">
        <is>
          <t>미곡리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전동면</t>
        </is>
      </c>
    </row>
    <row r="2479">
      <c r="A2479" s="3" t="n">
        <v>2026</v>
      </c>
      <c r="B2479" s="4" t="n">
        <v>5000</v>
      </c>
      <c r="C2479" s="4" t="n">
        <v>682</v>
      </c>
      <c r="D2479" s="4" t="n">
        <v>206.305</v>
      </c>
      <c r="E2479" s="5" t="n">
        <v>24.2</v>
      </c>
      <c r="F2479" s="3" t="inlineStr">
        <is>
          <t>전동면</t>
        </is>
      </c>
      <c r="G2479" s="3" t="inlineStr">
        <is>
          <t>미곡리</t>
        </is>
      </c>
      <c r="H2479" s="3" t="inlineStr">
        <is>
          <t>생산관리지역</t>
        </is>
      </c>
      <c r="I2479" s="3" t="inlineStr">
        <is>
          <t>답</t>
        </is>
      </c>
      <c r="J2479" s="3" t="inlineStr">
        <is>
          <t>전동면</t>
        </is>
      </c>
    </row>
    <row r="2480">
      <c r="A2480" s="3" t="n">
        <v>2026</v>
      </c>
      <c r="B2480" s="4" t="n">
        <v>40</v>
      </c>
      <c r="C2480" s="4" t="n">
        <v>7</v>
      </c>
      <c r="D2480" s="4" t="n">
        <v>2.1175</v>
      </c>
      <c r="E2480" s="5" t="n">
        <v>18.9</v>
      </c>
      <c r="F2480" s="3" t="inlineStr">
        <is>
          <t>전동면</t>
        </is>
      </c>
      <c r="G2480" s="3" t="inlineStr">
        <is>
          <t>미곡리</t>
        </is>
      </c>
      <c r="H2480" s="3" t="inlineStr">
        <is>
          <t>생산관리지역</t>
        </is>
      </c>
      <c r="I2480" s="3" t="inlineStr">
        <is>
          <t>답</t>
        </is>
      </c>
      <c r="J2480" s="3" t="inlineStr">
        <is>
          <t>전동면</t>
        </is>
      </c>
    </row>
    <row r="2481">
      <c r="A2481" s="3" t="n">
        <v>2026</v>
      </c>
      <c r="B2481" s="4" t="n">
        <v>50</v>
      </c>
      <c r="C2481" s="4" t="n">
        <v>69</v>
      </c>
      <c r="D2481" s="4" t="n">
        <v>20.8725</v>
      </c>
      <c r="E2481" s="5" t="n">
        <v>2.4</v>
      </c>
      <c r="F2481" s="3" t="inlineStr">
        <is>
          <t>전동면</t>
        </is>
      </c>
      <c r="G2481" s="3" t="inlineStr">
        <is>
          <t>미곡리</t>
        </is>
      </c>
      <c r="H2481" s="3" t="inlineStr">
        <is>
          <t>생산관리지역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2026</v>
      </c>
      <c r="B2482" s="4" t="n">
        <v>10000</v>
      </c>
      <c r="C2482" s="4" t="n">
        <v>410</v>
      </c>
      <c r="D2482" s="4" t="n">
        <v>124.025</v>
      </c>
      <c r="E2482" s="5" t="n">
        <v>80.59999999999999</v>
      </c>
      <c r="F2482" s="3" t="inlineStr">
        <is>
          <t>전동면</t>
        </is>
      </c>
      <c r="G2482" s="3" t="inlineStr">
        <is>
          <t>미곡리</t>
        </is>
      </c>
      <c r="H2482" s="3" t="inlineStr">
        <is>
          <t>생산관리지역</t>
        </is>
      </c>
      <c r="I2482" s="3" t="inlineStr">
        <is>
          <t>전</t>
        </is>
      </c>
      <c r="J2482" s="3" t="inlineStr">
        <is>
          <t>전동면</t>
        </is>
      </c>
    </row>
    <row r="2483">
      <c r="A2483" s="3" t="n">
        <v>2026</v>
      </c>
      <c r="B2483" s="4" t="n">
        <v>2000</v>
      </c>
      <c r="C2483" s="4" t="n">
        <v>1003</v>
      </c>
      <c r="D2483" s="4" t="n">
        <v>303.4075</v>
      </c>
      <c r="E2483" s="5" t="n">
        <v>6.6</v>
      </c>
      <c r="F2483" s="3" t="inlineStr">
        <is>
          <t>전동면</t>
        </is>
      </c>
      <c r="G2483" s="3" t="inlineStr">
        <is>
          <t>미곡리</t>
        </is>
      </c>
      <c r="H2483" s="3" t="inlineStr">
        <is>
          <t>생산관리지역</t>
        </is>
      </c>
      <c r="I2483" s="3" t="inlineStr">
        <is>
          <t>답</t>
        </is>
      </c>
      <c r="J2483" s="3" t="inlineStr">
        <is>
          <t>전동면</t>
        </is>
      </c>
    </row>
    <row r="2484">
      <c r="A2484" s="3" t="n">
        <v>2026</v>
      </c>
      <c r="B2484" s="4" t="n">
        <v>6100</v>
      </c>
      <c r="C2484" s="4" t="n">
        <v>679</v>
      </c>
      <c r="D2484" s="4" t="n">
        <v>205.3975</v>
      </c>
      <c r="E2484" s="5" t="n">
        <v>29.7</v>
      </c>
      <c r="F2484" s="3" t="inlineStr">
        <is>
          <t>전동면</t>
        </is>
      </c>
      <c r="G2484" s="3" t="inlineStr">
        <is>
          <t>미곡리</t>
        </is>
      </c>
      <c r="H2484" s="3" t="inlineStr">
        <is>
          <t>생산관리지역</t>
        </is>
      </c>
      <c r="I2484" s="3" t="inlineStr">
        <is>
          <t>임야</t>
        </is>
      </c>
      <c r="J2484" s="3" t="inlineStr">
        <is>
          <t>전동면</t>
        </is>
      </c>
    </row>
    <row r="2485">
      <c r="A2485" s="3" t="n">
        <v>2026</v>
      </c>
      <c r="B2485" s="4" t="n">
        <v>6000</v>
      </c>
      <c r="C2485" s="4" t="n">
        <v>730</v>
      </c>
      <c r="D2485" s="4" t="n">
        <v>220.825</v>
      </c>
      <c r="E2485" s="5" t="n">
        <v>27.2</v>
      </c>
      <c r="F2485" s="3" t="inlineStr">
        <is>
          <t>전동면</t>
        </is>
      </c>
      <c r="G2485" s="3" t="inlineStr">
        <is>
          <t>미곡리</t>
        </is>
      </c>
      <c r="H2485" s="3" t="inlineStr">
        <is>
          <t>생산관리지역</t>
        </is>
      </c>
      <c r="I2485" s="3" t="inlineStr">
        <is>
          <t>답</t>
        </is>
      </c>
      <c r="J2485" s="3" t="inlineStr">
        <is>
          <t>전동면</t>
        </is>
      </c>
    </row>
    <row r="2486">
      <c r="A2486" s="3" t="n">
        <v>2026</v>
      </c>
      <c r="B2486" s="4" t="n">
        <v>12500</v>
      </c>
      <c r="C2486" s="4" t="n">
        <v>827</v>
      </c>
      <c r="D2486" s="4" t="n">
        <v>250.1675</v>
      </c>
      <c r="E2486" s="5" t="n">
        <v>50</v>
      </c>
      <c r="F2486" s="3" t="inlineStr">
        <is>
          <t>장군면</t>
        </is>
      </c>
      <c r="G2486" s="3" t="inlineStr">
        <is>
          <t>금암리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2022</v>
      </c>
      <c r="B2487" s="4" t="n">
        <v>5856</v>
      </c>
      <c r="C2487" s="4" t="n">
        <v>71</v>
      </c>
      <c r="D2487" s="4" t="n">
        <v>21.4775</v>
      </c>
      <c r="E2487" s="5" t="n">
        <v>272.7</v>
      </c>
      <c r="F2487" s="3" t="inlineStr">
        <is>
          <t>장군면</t>
        </is>
      </c>
      <c r="G2487" s="3" t="inlineStr">
        <is>
          <t>도계리</t>
        </is>
      </c>
      <c r="H2487" s="3" t="inlineStr">
        <is>
          <t>계획관리지역</t>
        </is>
      </c>
      <c r="I2487" s="3" t="inlineStr">
        <is>
          <t>하천</t>
        </is>
      </c>
      <c r="J2487" s="3" t="inlineStr">
        <is>
          <t>장군면</t>
        </is>
      </c>
    </row>
    <row r="2488">
      <c r="A2488" s="3" t="n">
        <v>2022</v>
      </c>
      <c r="B2488" s="4" t="n">
        <v>14235</v>
      </c>
      <c r="C2488" s="4" t="n">
        <v>362</v>
      </c>
      <c r="D2488" s="4" t="n">
        <v>109.505</v>
      </c>
      <c r="E2488" s="5" t="n">
        <v>130</v>
      </c>
      <c r="F2488" s="3" t="inlineStr">
        <is>
          <t>장군면</t>
        </is>
      </c>
      <c r="G2488" s="3" t="inlineStr">
        <is>
          <t>하봉리</t>
        </is>
      </c>
      <c r="H2488" s="3" t="inlineStr">
        <is>
          <t>보전관리지역</t>
        </is>
      </c>
      <c r="I2488" s="3" t="inlineStr">
        <is>
          <t>임야</t>
        </is>
      </c>
      <c r="J2488" s="3" t="inlineStr">
        <is>
          <t>장군면</t>
        </is>
      </c>
    </row>
    <row r="2489">
      <c r="A2489" s="3" t="n">
        <v>2022</v>
      </c>
      <c r="B2489" s="4" t="n">
        <v>24348</v>
      </c>
      <c r="C2489" s="4" t="n">
        <v>687.33</v>
      </c>
      <c r="D2489" s="4" t="n">
        <v>207.917325</v>
      </c>
      <c r="E2489" s="5" t="n">
        <v>117.1</v>
      </c>
      <c r="F2489" s="3" t="inlineStr">
        <is>
          <t>장군면</t>
        </is>
      </c>
      <c r="G2489" s="3" t="inlineStr">
        <is>
          <t>하봉리</t>
        </is>
      </c>
      <c r="H2489" s="3" t="inlineStr">
        <is>
          <t>보전관리지역</t>
        </is>
      </c>
      <c r="I2489" s="3" t="inlineStr">
        <is>
          <t>임야</t>
        </is>
      </c>
      <c r="J2489" s="3" t="inlineStr">
        <is>
          <t>장군면</t>
        </is>
      </c>
    </row>
    <row r="2490">
      <c r="A2490" s="3" t="n">
        <v>2022</v>
      </c>
      <c r="B2490" s="4" t="n">
        <v>7500</v>
      </c>
      <c r="C2490" s="4" t="n">
        <v>552</v>
      </c>
      <c r="D2490" s="4" t="n">
        <v>166.98</v>
      </c>
      <c r="E2490" s="5" t="n">
        <v>44.9</v>
      </c>
      <c r="F2490" s="3" t="inlineStr">
        <is>
          <t>전의면</t>
        </is>
      </c>
      <c r="G2490" s="3" t="inlineStr">
        <is>
          <t>양곡리</t>
        </is>
      </c>
      <c r="H2490" s="3" t="inlineStr">
        <is>
          <t>생산관리지역</t>
        </is>
      </c>
      <c r="I2490" s="3" t="inlineStr">
        <is>
          <t>임야</t>
        </is>
      </c>
      <c r="J2490" s="3" t="inlineStr">
        <is>
          <t>전의면</t>
        </is>
      </c>
    </row>
    <row r="2491">
      <c r="A2491" s="3" t="n">
        <v>2022</v>
      </c>
      <c r="B2491" s="4" t="n">
        <v>12500</v>
      </c>
      <c r="C2491" s="4" t="n">
        <v>514</v>
      </c>
      <c r="D2491" s="4" t="n">
        <v>155.485</v>
      </c>
      <c r="E2491" s="5" t="n">
        <v>80.40000000000001</v>
      </c>
      <c r="F2491" s="3" t="inlineStr">
        <is>
          <t>전의면</t>
        </is>
      </c>
      <c r="G2491" s="3" t="inlineStr">
        <is>
          <t>양곡리</t>
        </is>
      </c>
      <c r="H2491" s="3" t="inlineStr">
        <is>
          <t>생산관리지역</t>
        </is>
      </c>
      <c r="I2491" s="3" t="inlineStr">
        <is>
          <t>답</t>
        </is>
      </c>
      <c r="J2491" s="3" t="inlineStr">
        <is>
          <t>전의면</t>
        </is>
      </c>
    </row>
    <row r="2492">
      <c r="A2492" s="3" t="n">
        <v>2022</v>
      </c>
      <c r="B2492" s="4" t="n">
        <v>57500</v>
      </c>
      <c r="C2492" s="4" t="n">
        <v>761</v>
      </c>
      <c r="D2492" s="4" t="n">
        <v>230.2025</v>
      </c>
      <c r="E2492" s="5" t="n">
        <v>249.8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자연녹지지역</t>
        </is>
      </c>
      <c r="I2492" s="3" t="inlineStr">
        <is>
          <t>답</t>
        </is>
      </c>
      <c r="J2492" s="3" t="inlineStr">
        <is>
          <t>조치원읍</t>
        </is>
      </c>
    </row>
    <row r="2493">
      <c r="A2493" s="3" t="n">
        <v>2022</v>
      </c>
      <c r="B2493" s="4" t="n">
        <v>71148</v>
      </c>
      <c r="C2493" s="4" t="n">
        <v>539</v>
      </c>
      <c r="D2493" s="4" t="n">
        <v>163.0475</v>
      </c>
      <c r="E2493" s="5" t="n">
        <v>436.4</v>
      </c>
      <c r="F2493" s="3" t="inlineStr">
        <is>
          <t>장군면</t>
        </is>
      </c>
      <c r="G2493" s="3" t="inlineStr">
        <is>
          <t>봉안리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장군면</t>
        </is>
      </c>
    </row>
    <row r="2494">
      <c r="A2494" s="3" t="n">
        <v>2022</v>
      </c>
      <c r="B2494" s="4" t="n">
        <v>8852</v>
      </c>
      <c r="C2494" s="4" t="n">
        <v>64</v>
      </c>
      <c r="D2494" s="4" t="n">
        <v>19.36</v>
      </c>
      <c r="E2494" s="5" t="n">
        <v>457.2</v>
      </c>
      <c r="F2494" s="3" t="inlineStr">
        <is>
          <t>장군면</t>
        </is>
      </c>
      <c r="G2494" s="3" t="inlineStr">
        <is>
          <t>봉안리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장군면</t>
        </is>
      </c>
    </row>
    <row r="2495">
      <c r="A2495" s="3" t="n">
        <v>2022</v>
      </c>
      <c r="B2495" s="4" t="n">
        <v>51774</v>
      </c>
      <c r="C2495" s="4" t="n">
        <v>686</v>
      </c>
      <c r="D2495" s="4" t="n">
        <v>207.515</v>
      </c>
      <c r="E2495" s="5" t="n">
        <v>249.5</v>
      </c>
      <c r="F2495" s="3" t="inlineStr">
        <is>
          <t>장군면</t>
        </is>
      </c>
      <c r="G2495" s="3" t="inlineStr">
        <is>
          <t>태산리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장군면</t>
        </is>
      </c>
    </row>
    <row r="2496">
      <c r="A2496" s="3" t="n">
        <v>2022</v>
      </c>
      <c r="B2496" s="4" t="n">
        <v>65600</v>
      </c>
      <c r="C2496" s="4" t="n">
        <v>1002</v>
      </c>
      <c r="D2496" s="4" t="n">
        <v>303.105</v>
      </c>
      <c r="E2496" s="5" t="n">
        <v>216.4</v>
      </c>
      <c r="F2496" s="3" t="inlineStr">
        <is>
          <t>연서면</t>
        </is>
      </c>
      <c r="G2496" s="3" t="inlineStr">
        <is>
          <t>월하리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49000</v>
      </c>
      <c r="C2497" s="4" t="n">
        <v>873.6</v>
      </c>
      <c r="D2497" s="4" t="n">
        <v>264.264</v>
      </c>
      <c r="E2497" s="5" t="n">
        <v>185.4</v>
      </c>
      <c r="F2497" s="3" t="inlineStr">
        <is>
          <t>전의면</t>
        </is>
      </c>
      <c r="G2497" s="3" t="inlineStr">
        <is>
          <t>양곡리</t>
        </is>
      </c>
      <c r="H2497" s="3" t="inlineStr">
        <is>
          <t>준주거지역</t>
        </is>
      </c>
      <c r="I2497" s="3" t="inlineStr">
        <is>
          <t>대</t>
        </is>
      </c>
      <c r="J2497" s="3" t="inlineStr">
        <is>
          <t>전의면</t>
        </is>
      </c>
    </row>
    <row r="2498">
      <c r="A2498" s="3" t="n">
        <v>2022</v>
      </c>
      <c r="B2498" s="4" t="n">
        <v>7500</v>
      </c>
      <c r="C2498" s="4" t="n">
        <v>552</v>
      </c>
      <c r="D2498" s="4" t="n">
        <v>166.98</v>
      </c>
      <c r="E2498" s="5" t="n">
        <v>44.9</v>
      </c>
      <c r="F2498" s="3" t="inlineStr">
        <is>
          <t>전의면</t>
        </is>
      </c>
      <c r="G2498" s="3" t="inlineStr">
        <is>
          <t>양곡리</t>
        </is>
      </c>
      <c r="H2498" s="3" t="inlineStr">
        <is>
          <t>생산관리지역</t>
        </is>
      </c>
      <c r="I2498" s="3" t="inlineStr">
        <is>
          <t>임야</t>
        </is>
      </c>
      <c r="J2498" s="3" t="inlineStr">
        <is>
          <t>전의면</t>
        </is>
      </c>
    </row>
    <row r="2499">
      <c r="A2499" s="3" t="n">
        <v>2022</v>
      </c>
      <c r="B2499" s="4" t="n">
        <v>12500</v>
      </c>
      <c r="C2499" s="4" t="n">
        <v>514</v>
      </c>
      <c r="D2499" s="4" t="n">
        <v>155.485</v>
      </c>
      <c r="E2499" s="5" t="n">
        <v>80.40000000000001</v>
      </c>
      <c r="F2499" s="3" t="inlineStr">
        <is>
          <t>전의면</t>
        </is>
      </c>
      <c r="G2499" s="3" t="inlineStr">
        <is>
          <t>양곡리</t>
        </is>
      </c>
      <c r="H2499" s="3" t="inlineStr">
        <is>
          <t>생산관리지역</t>
        </is>
      </c>
      <c r="I2499" s="3" t="inlineStr">
        <is>
          <t>답</t>
        </is>
      </c>
      <c r="J2499" s="3" t="inlineStr">
        <is>
          <t>전의면</t>
        </is>
      </c>
    </row>
    <row r="2500">
      <c r="A2500" s="3" t="n">
        <v>2022</v>
      </c>
      <c r="B2500" s="4" t="n">
        <v>11365</v>
      </c>
      <c r="C2500" s="4" t="n">
        <v>6522</v>
      </c>
      <c r="D2500" s="4" t="n">
        <v>1972.905</v>
      </c>
      <c r="E2500" s="5" t="n">
        <v>5.8</v>
      </c>
      <c r="F2500" s="3" t="inlineStr">
        <is>
          <t>연서면</t>
        </is>
      </c>
      <c r="G2500" s="3" t="inlineStr">
        <is>
          <t>쌍류리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연서면</t>
        </is>
      </c>
    </row>
    <row r="2501">
      <c r="A2501" s="3" t="n">
        <v>2022</v>
      </c>
      <c r="B2501" s="4" t="n">
        <v>12478</v>
      </c>
      <c r="C2501" s="4" t="n">
        <v>1650</v>
      </c>
      <c r="D2501" s="4" t="n">
        <v>499.125</v>
      </c>
      <c r="E2501" s="5" t="n">
        <v>25</v>
      </c>
      <c r="F2501" s="3" t="inlineStr">
        <is>
          <t>연서면</t>
        </is>
      </c>
      <c r="G2501" s="3" t="inlineStr">
        <is>
          <t>쌍류리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연서면</t>
        </is>
      </c>
    </row>
    <row r="2502">
      <c r="A2502" s="3" t="n">
        <v>2022</v>
      </c>
      <c r="B2502" s="4" t="n">
        <v>12478</v>
      </c>
      <c r="C2502" s="4" t="n">
        <v>1650</v>
      </c>
      <c r="D2502" s="4" t="n">
        <v>499.125</v>
      </c>
      <c r="E2502" s="5" t="n">
        <v>25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농림지역</t>
        </is>
      </c>
      <c r="I2502" s="3" t="inlineStr">
        <is>
          <t>임야</t>
        </is>
      </c>
      <c r="J2502" s="3" t="inlineStr">
        <is>
          <t>연서면</t>
        </is>
      </c>
    </row>
    <row r="2503">
      <c r="A2503" s="3" t="n">
        <v>2022</v>
      </c>
      <c r="B2503" s="4" t="n">
        <v>24956</v>
      </c>
      <c r="C2503" s="4" t="n">
        <v>3300</v>
      </c>
      <c r="D2503" s="4" t="n">
        <v>998.25</v>
      </c>
      <c r="E2503" s="5" t="n">
        <v>25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농림지역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12478</v>
      </c>
      <c r="C2504" s="4" t="n">
        <v>1650</v>
      </c>
      <c r="D2504" s="4" t="n">
        <v>499.125</v>
      </c>
      <c r="E2504" s="5" t="n">
        <v>25</v>
      </c>
      <c r="F2504" s="3" t="inlineStr">
        <is>
          <t>연서면</t>
        </is>
      </c>
      <c r="G2504" s="3" t="inlineStr">
        <is>
          <t>쌍류리</t>
        </is>
      </c>
      <c r="H2504" s="3" t="inlineStr">
        <is>
          <t>농림지역</t>
        </is>
      </c>
      <c r="I2504" s="3" t="inlineStr">
        <is>
          <t>임야</t>
        </is>
      </c>
      <c r="J2504" s="3" t="inlineStr">
        <is>
          <t>연서면</t>
        </is>
      </c>
    </row>
    <row r="2505">
      <c r="A2505" s="3" t="n">
        <v>2022</v>
      </c>
      <c r="B2505" s="4" t="n">
        <v>40000</v>
      </c>
      <c r="C2505" s="4" t="n">
        <v>330</v>
      </c>
      <c r="D2505" s="4" t="n">
        <v>99.825</v>
      </c>
      <c r="E2505" s="5" t="n">
        <v>400.7</v>
      </c>
      <c r="F2505" s="3" t="inlineStr">
        <is>
          <t>부강면</t>
        </is>
      </c>
      <c r="G2505" s="3" t="inlineStr">
        <is>
          <t>문곡리</t>
        </is>
      </c>
      <c r="H2505" s="3" t="inlineStr">
        <is>
          <t>계획관리지역</t>
        </is>
      </c>
      <c r="I2505" s="3" t="inlineStr">
        <is>
          <t>전</t>
        </is>
      </c>
      <c r="J2505" s="3" t="inlineStr">
        <is>
          <t>부강면</t>
        </is>
      </c>
    </row>
    <row r="2506">
      <c r="A2506" s="3" t="n">
        <v>2022</v>
      </c>
      <c r="B2506" s="4" t="n">
        <v>458983</v>
      </c>
      <c r="C2506" s="4" t="n">
        <v>30964</v>
      </c>
      <c r="D2506" s="4" t="n">
        <v>9366.610000000001</v>
      </c>
      <c r="E2506" s="5" t="n">
        <v>49</v>
      </c>
      <c r="F2506" s="3" t="inlineStr">
        <is>
          <t>전동면</t>
        </is>
      </c>
      <c r="G2506" s="3" t="inlineStr">
        <is>
          <t>송곡리</t>
        </is>
      </c>
      <c r="H2506" s="3" t="inlineStr">
        <is>
          <t>보전관리지역</t>
        </is>
      </c>
      <c r="I2506" s="3" t="inlineStr">
        <is>
          <t>임야</t>
        </is>
      </c>
      <c r="J2506" s="3" t="inlineStr">
        <is>
          <t>전동면</t>
        </is>
      </c>
    </row>
    <row r="2507">
      <c r="A2507" s="3" t="n">
        <v>2022</v>
      </c>
      <c r="B2507" s="4" t="n">
        <v>71148</v>
      </c>
      <c r="C2507" s="4" t="n">
        <v>539</v>
      </c>
      <c r="D2507" s="4" t="n">
        <v>163.0475</v>
      </c>
      <c r="E2507" s="5" t="n">
        <v>436.4</v>
      </c>
      <c r="F2507" s="3" t="inlineStr">
        <is>
          <t>장군면</t>
        </is>
      </c>
      <c r="G2507" s="3" t="inlineStr">
        <is>
          <t>봉안리</t>
        </is>
      </c>
      <c r="H2507" s="3" t="inlineStr">
        <is>
          <t>계획관리지역</t>
        </is>
      </c>
      <c r="I2507" s="3" t="inlineStr">
        <is>
          <t>임야</t>
        </is>
      </c>
      <c r="J2507" s="3" t="inlineStr">
        <is>
          <t>장군면</t>
        </is>
      </c>
    </row>
    <row r="2508">
      <c r="A2508" s="3" t="n">
        <v>2022</v>
      </c>
      <c r="B2508" s="4" t="n">
        <v>8852</v>
      </c>
      <c r="C2508" s="4" t="n">
        <v>64</v>
      </c>
      <c r="D2508" s="4" t="n">
        <v>19.36</v>
      </c>
      <c r="E2508" s="5" t="n">
        <v>457.2</v>
      </c>
      <c r="F2508" s="3" t="inlineStr">
        <is>
          <t>장군면</t>
        </is>
      </c>
      <c r="G2508" s="3" t="inlineStr">
        <is>
          <t>봉안리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장군면</t>
        </is>
      </c>
    </row>
    <row r="2509">
      <c r="A2509" s="3" t="n">
        <v>2022</v>
      </c>
      <c r="B2509" s="4" t="n">
        <v>25544</v>
      </c>
      <c r="C2509" s="4" t="n">
        <v>380</v>
      </c>
      <c r="D2509" s="4" t="n">
        <v>114.95</v>
      </c>
      <c r="E2509" s="5" t="n">
        <v>222.2</v>
      </c>
      <c r="F2509" s="3" t="inlineStr">
        <is>
          <t>금남면</t>
        </is>
      </c>
      <c r="G2509" s="3" t="inlineStr">
        <is>
          <t>성덕리</t>
        </is>
      </c>
      <c r="H2509" s="3" t="inlineStr">
        <is>
          <t>생산관리지역</t>
        </is>
      </c>
      <c r="I2509" s="3" t="inlineStr">
        <is>
          <t>양어장</t>
        </is>
      </c>
      <c r="J2509" s="3" t="inlineStr">
        <is>
          <t>금남면</t>
        </is>
      </c>
    </row>
    <row r="2510">
      <c r="A2510" s="3" t="n">
        <v>2022</v>
      </c>
      <c r="B2510" s="4" t="n">
        <v>16956</v>
      </c>
      <c r="C2510" s="4" t="n">
        <v>228</v>
      </c>
      <c r="D2510" s="4" t="n">
        <v>68.97</v>
      </c>
      <c r="E2510" s="5" t="n">
        <v>245.8</v>
      </c>
      <c r="F2510" s="3" t="inlineStr">
        <is>
          <t>금남면</t>
        </is>
      </c>
      <c r="G2510" s="3" t="inlineStr">
        <is>
          <t>성덕리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금남면</t>
        </is>
      </c>
    </row>
    <row r="2511">
      <c r="A2511" s="3" t="n">
        <v>2022</v>
      </c>
      <c r="B2511" s="4" t="n">
        <v>78000</v>
      </c>
      <c r="C2511" s="4" t="n">
        <v>432</v>
      </c>
      <c r="D2511" s="4" t="n">
        <v>130.68</v>
      </c>
      <c r="E2511" s="5" t="n">
        <v>596.9</v>
      </c>
      <c r="F2511" s="3" t="inlineStr">
        <is>
          <t>조치원읍</t>
        </is>
      </c>
      <c r="G2511" s="3" t="inlineStr">
        <is>
          <t>남리</t>
        </is>
      </c>
      <c r="H2511" s="3" t="inlineStr">
        <is>
          <t>제2종일반주거지역</t>
        </is>
      </c>
      <c r="I2511" s="3" t="inlineStr">
        <is>
          <t>대</t>
        </is>
      </c>
      <c r="J2511" s="3" t="inlineStr">
        <is>
          <t>조치원읍</t>
        </is>
      </c>
    </row>
    <row r="2512">
      <c r="A2512" s="3" t="n">
        <v>2022</v>
      </c>
      <c r="B2512" s="4" t="n">
        <v>46780</v>
      </c>
      <c r="C2512" s="4" t="n">
        <v>1444</v>
      </c>
      <c r="D2512" s="4" t="n">
        <v>436.81</v>
      </c>
      <c r="E2512" s="5" t="n">
        <v>107.1</v>
      </c>
      <c r="F2512" s="3" t="inlineStr">
        <is>
          <t>연서면</t>
        </is>
      </c>
      <c r="G2512" s="3" t="inlineStr">
        <is>
          <t>고복리</t>
        </is>
      </c>
      <c r="H2512" s="3" t="inlineStr">
        <is>
          <t>자연환경보전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25000</v>
      </c>
      <c r="C2513" s="4" t="n">
        <v>773</v>
      </c>
      <c r="D2513" s="4" t="n">
        <v>233.8325</v>
      </c>
      <c r="E2513" s="5" t="n">
        <v>106.9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자연환경보전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67430</v>
      </c>
      <c r="C2514" s="4" t="n">
        <v>2073</v>
      </c>
      <c r="D2514" s="4" t="n">
        <v>627.0825</v>
      </c>
      <c r="E2514" s="5" t="n">
        <v>107.5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자연환경보전</t>
        </is>
      </c>
      <c r="I2514" s="3" t="inlineStr">
        <is>
          <t>전</t>
        </is>
      </c>
      <c r="J2514" s="3" t="inlineStr">
        <is>
          <t>연서면</t>
        </is>
      </c>
    </row>
    <row r="2515">
      <c r="A2515" s="3" t="n">
        <v>2022</v>
      </c>
      <c r="B2515" s="4" t="n">
        <v>7480</v>
      </c>
      <c r="C2515" s="4" t="n">
        <v>231</v>
      </c>
      <c r="D2515" s="4" t="n">
        <v>69.8775</v>
      </c>
      <c r="E2515" s="5" t="n">
        <v>107</v>
      </c>
      <c r="F2515" s="3" t="inlineStr">
        <is>
          <t>연서면</t>
        </is>
      </c>
      <c r="G2515" s="3" t="inlineStr">
        <is>
          <t>고복리</t>
        </is>
      </c>
      <c r="H2515" s="3" t="inlineStr">
        <is>
          <t>자연환경보전</t>
        </is>
      </c>
      <c r="I2515" s="3" t="inlineStr">
        <is>
          <t>전</t>
        </is>
      </c>
      <c r="J2515" s="3" t="inlineStr">
        <is>
          <t>연서면</t>
        </is>
      </c>
    </row>
    <row r="2516">
      <c r="A2516" s="3" t="n">
        <v>2022</v>
      </c>
      <c r="B2516" s="4" t="n">
        <v>73080</v>
      </c>
      <c r="C2516" s="4" t="n">
        <v>8050</v>
      </c>
      <c r="D2516" s="4" t="n">
        <v>2435.125</v>
      </c>
      <c r="E2516" s="5" t="n">
        <v>30</v>
      </c>
      <c r="F2516" s="3" t="inlineStr">
        <is>
          <t>연서면</t>
        </is>
      </c>
      <c r="G2516" s="3" t="inlineStr">
        <is>
          <t>고복리</t>
        </is>
      </c>
      <c r="H2516" s="3" t="inlineStr">
        <is>
          <t>자연환경보전</t>
        </is>
      </c>
      <c r="I2516" s="3" t="inlineStr">
        <is>
          <t>임야</t>
        </is>
      </c>
      <c r="J2516" s="3" t="inlineStr">
        <is>
          <t>연서면</t>
        </is>
      </c>
    </row>
    <row r="2517">
      <c r="A2517" s="3" t="n">
        <v>2022</v>
      </c>
      <c r="B2517" s="4" t="n">
        <v>53073</v>
      </c>
      <c r="C2517" s="4" t="n">
        <v>1636</v>
      </c>
      <c r="D2517" s="4" t="n">
        <v>494.89</v>
      </c>
      <c r="E2517" s="5" t="n">
        <v>107.2</v>
      </c>
      <c r="F2517" s="3" t="inlineStr">
        <is>
          <t>연서면</t>
        </is>
      </c>
      <c r="G2517" s="3" t="inlineStr">
        <is>
          <t>고복리</t>
        </is>
      </c>
      <c r="H2517" s="3" t="inlineStr">
        <is>
          <t>자연환경보전</t>
        </is>
      </c>
      <c r="I2517" s="3" t="inlineStr">
        <is>
          <t>전</t>
        </is>
      </c>
      <c r="J2517" s="3" t="inlineStr">
        <is>
          <t>연서면</t>
        </is>
      </c>
    </row>
    <row r="2518">
      <c r="A2518" s="3" t="n">
        <v>2023</v>
      </c>
      <c r="B2518" s="4" t="n">
        <v>50000</v>
      </c>
      <c r="C2518" s="4" t="n">
        <v>2247</v>
      </c>
      <c r="D2518" s="4" t="n">
        <v>679.7175</v>
      </c>
      <c r="E2518" s="5" t="n">
        <v>73.59999999999999</v>
      </c>
      <c r="F2518" s="3" t="inlineStr">
        <is>
          <t>금남면</t>
        </is>
      </c>
      <c r="G2518" s="3" t="inlineStr">
        <is>
          <t>달전리</t>
        </is>
      </c>
      <c r="H2518" s="3" t="inlineStr">
        <is>
          <t>개발제한구역</t>
        </is>
      </c>
      <c r="I2518" s="3" t="inlineStr">
        <is>
          <t>답</t>
        </is>
      </c>
      <c r="J2518" s="3" t="inlineStr">
        <is>
          <t>금남면</t>
        </is>
      </c>
    </row>
    <row r="2519">
      <c r="A2519" s="3" t="n">
        <v>2023</v>
      </c>
      <c r="B2519" s="4" t="n">
        <v>19238</v>
      </c>
      <c r="C2519" s="4" t="n">
        <v>528</v>
      </c>
      <c r="D2519" s="4" t="n">
        <v>159.72</v>
      </c>
      <c r="E2519" s="5" t="n">
        <v>120.4</v>
      </c>
      <c r="F2519" s="3" t="inlineStr">
        <is>
          <t>전동면</t>
        </is>
      </c>
      <c r="G2519" s="3" t="inlineStr">
        <is>
          <t>보덕리</t>
        </is>
      </c>
      <c r="H2519" s="3" t="inlineStr">
        <is>
          <t>보전관리지역</t>
        </is>
      </c>
      <c r="I2519" s="3" t="inlineStr">
        <is>
          <t>전</t>
        </is>
      </c>
      <c r="J2519" s="3" t="inlineStr">
        <is>
          <t>전동면</t>
        </is>
      </c>
    </row>
    <row r="2520">
      <c r="A2520" s="3" t="n">
        <v>2023</v>
      </c>
      <c r="B2520" s="4" t="n">
        <v>2333</v>
      </c>
      <c r="C2520" s="4" t="n">
        <v>64</v>
      </c>
      <c r="D2520" s="4" t="n">
        <v>19.36</v>
      </c>
      <c r="E2520" s="5" t="n">
        <v>120.5</v>
      </c>
      <c r="F2520" s="3" t="inlineStr">
        <is>
          <t>전동면</t>
        </is>
      </c>
      <c r="G2520" s="3" t="inlineStr">
        <is>
          <t>보덕리</t>
        </is>
      </c>
      <c r="H2520" s="3" t="inlineStr">
        <is>
          <t>계획관리지역</t>
        </is>
      </c>
      <c r="I2520" s="3" t="inlineStr">
        <is>
          <t>임야</t>
        </is>
      </c>
      <c r="J2520" s="3" t="inlineStr">
        <is>
          <t>전동면</t>
        </is>
      </c>
    </row>
    <row r="2521">
      <c r="A2521" s="3" t="n">
        <v>2023</v>
      </c>
      <c r="B2521" s="4" t="n">
        <v>55000</v>
      </c>
      <c r="C2521" s="4" t="n">
        <v>2344</v>
      </c>
      <c r="D2521" s="4" t="n">
        <v>709.0599999999999</v>
      </c>
      <c r="E2521" s="5" t="n">
        <v>77.59999999999999</v>
      </c>
      <c r="F2521" s="3" t="inlineStr">
        <is>
          <t>장군면</t>
        </is>
      </c>
      <c r="G2521" s="3" t="inlineStr">
        <is>
          <t>산학리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장군면</t>
        </is>
      </c>
    </row>
    <row r="2522">
      <c r="A2522" s="3" t="n">
        <v>2023</v>
      </c>
      <c r="B2522" s="4" t="n">
        <v>21285</v>
      </c>
      <c r="C2522" s="4" t="n">
        <v>1563</v>
      </c>
      <c r="D2522" s="4" t="n">
        <v>472.8075</v>
      </c>
      <c r="E2522" s="5" t="n">
        <v>45</v>
      </c>
      <c r="F2522" s="3" t="inlineStr">
        <is>
          <t>소정면</t>
        </is>
      </c>
      <c r="G2522" s="3" t="inlineStr">
        <is>
          <t>대곡리</t>
        </is>
      </c>
      <c r="H2522" s="3" t="inlineStr">
        <is>
          <t>계획관리지역</t>
        </is>
      </c>
      <c r="I2522" s="3" t="inlineStr">
        <is>
          <t>과수원</t>
        </is>
      </c>
      <c r="J2522" s="3" t="inlineStr">
        <is>
          <t>소정면</t>
        </is>
      </c>
    </row>
    <row r="2523">
      <c r="A2523" s="3" t="n">
        <v>2023</v>
      </c>
      <c r="B2523" s="4" t="n">
        <v>40000</v>
      </c>
      <c r="C2523" s="4" t="n">
        <v>1985</v>
      </c>
      <c r="D2523" s="4" t="n">
        <v>600.4625</v>
      </c>
      <c r="E2523" s="5" t="n">
        <v>66.59999999999999</v>
      </c>
      <c r="F2523" s="3" t="inlineStr">
        <is>
          <t>전의면</t>
        </is>
      </c>
      <c r="G2523" s="3" t="inlineStr">
        <is>
          <t>관정리</t>
        </is>
      </c>
      <c r="H2523" s="3" t="inlineStr">
        <is>
          <t>농림지역</t>
        </is>
      </c>
      <c r="I2523" s="3" t="inlineStr">
        <is>
          <t>임야</t>
        </is>
      </c>
      <c r="J2523" s="3" t="inlineStr">
        <is>
          <t>전의면</t>
        </is>
      </c>
    </row>
    <row r="2524">
      <c r="A2524" s="3" t="n">
        <v>2023</v>
      </c>
      <c r="B2524" s="4" t="n">
        <v>1341</v>
      </c>
      <c r="C2524" s="4" t="n">
        <v>1842</v>
      </c>
      <c r="D2524" s="4" t="n">
        <v>557.2049999999999</v>
      </c>
      <c r="E2524" s="5" t="n">
        <v>2.4</v>
      </c>
      <c r="F2524" s="3" t="inlineStr">
        <is>
          <t>연서면</t>
        </is>
      </c>
      <c r="G2524" s="3" t="inlineStr">
        <is>
          <t>고복리</t>
        </is>
      </c>
      <c r="H2524" s="3" t="inlineStr">
        <is>
          <t>농림지역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2023</v>
      </c>
      <c r="B2525" s="4" t="n">
        <v>2554</v>
      </c>
      <c r="C2525" s="4" t="n">
        <v>2409</v>
      </c>
      <c r="D2525" s="4" t="n">
        <v>728.7225</v>
      </c>
      <c r="E2525" s="5" t="n">
        <v>3.5</v>
      </c>
      <c r="F2525" s="3" t="inlineStr">
        <is>
          <t>연서면</t>
        </is>
      </c>
      <c r="G2525" s="3" t="inlineStr">
        <is>
          <t>고복리</t>
        </is>
      </c>
      <c r="H2525" s="3" t="inlineStr">
        <is>
          <t>농림지역</t>
        </is>
      </c>
      <c r="I2525" s="3" t="inlineStr">
        <is>
          <t>임야</t>
        </is>
      </c>
      <c r="J2525" s="3" t="inlineStr">
        <is>
          <t>연서면</t>
        </is>
      </c>
    </row>
    <row r="2526">
      <c r="A2526" s="3" t="n">
        <v>2023</v>
      </c>
      <c r="B2526" s="4" t="n">
        <v>11000</v>
      </c>
      <c r="C2526" s="4" t="n">
        <v>516</v>
      </c>
      <c r="D2526" s="4" t="n">
        <v>156.09</v>
      </c>
      <c r="E2526" s="5" t="n">
        <v>70.5</v>
      </c>
      <c r="F2526" s="3" t="inlineStr">
        <is>
          <t>연기면</t>
        </is>
      </c>
      <c r="G2526" s="3" t="inlineStr">
        <is>
          <t>눌왕리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연기면</t>
        </is>
      </c>
    </row>
    <row r="2527">
      <c r="A2527" s="3" t="n">
        <v>2023</v>
      </c>
      <c r="B2527" s="4" t="n">
        <v>28560</v>
      </c>
      <c r="C2527" s="4" t="n">
        <v>963</v>
      </c>
      <c r="D2527" s="4" t="n">
        <v>291.3075</v>
      </c>
      <c r="E2527" s="5" t="n">
        <v>98</v>
      </c>
      <c r="F2527" s="3" t="inlineStr">
        <is>
          <t>전의면</t>
        </is>
      </c>
      <c r="G2527" s="3" t="inlineStr">
        <is>
          <t>노곡리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전의면</t>
        </is>
      </c>
    </row>
    <row r="2528">
      <c r="A2528" s="3" t="n">
        <v>2023</v>
      </c>
      <c r="B2528" s="4" t="n">
        <v>20490</v>
      </c>
      <c r="C2528" s="4" t="n">
        <v>691</v>
      </c>
      <c r="D2528" s="4" t="n">
        <v>209.0275</v>
      </c>
      <c r="E2528" s="5" t="n">
        <v>98</v>
      </c>
      <c r="F2528" s="3" t="inlineStr">
        <is>
          <t>전의면</t>
        </is>
      </c>
      <c r="G2528" s="3" t="inlineStr">
        <is>
          <t>노곡리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전의면</t>
        </is>
      </c>
    </row>
    <row r="2529">
      <c r="A2529" s="3" t="n">
        <v>2023</v>
      </c>
      <c r="B2529" s="4" t="n">
        <v>2100</v>
      </c>
      <c r="C2529" s="4" t="n">
        <v>661</v>
      </c>
      <c r="D2529" s="4" t="n">
        <v>199.9525</v>
      </c>
      <c r="E2529" s="5" t="n">
        <v>10.5</v>
      </c>
      <c r="F2529" s="3" t="inlineStr">
        <is>
          <t>부강면</t>
        </is>
      </c>
      <c r="G2529" s="3" t="inlineStr">
        <is>
          <t>노호리</t>
        </is>
      </c>
      <c r="H2529" s="3" t="inlineStr">
        <is>
          <t>보전관리지역</t>
        </is>
      </c>
      <c r="I2529" s="3" t="inlineStr">
        <is>
          <t>임야</t>
        </is>
      </c>
      <c r="J2529" s="3" t="inlineStr">
        <is>
          <t>부강면</t>
        </is>
      </c>
    </row>
    <row r="2530">
      <c r="A2530" s="3" t="n">
        <v>2022</v>
      </c>
      <c r="B2530" s="4" t="n">
        <v>36462</v>
      </c>
      <c r="C2530" s="4" t="n">
        <v>1124</v>
      </c>
      <c r="D2530" s="4" t="n">
        <v>340.01</v>
      </c>
      <c r="E2530" s="5" t="n">
        <v>107.2</v>
      </c>
      <c r="F2530" s="3" t="inlineStr">
        <is>
          <t>연서면</t>
        </is>
      </c>
      <c r="G2530" s="3" t="inlineStr">
        <is>
          <t>고복리</t>
        </is>
      </c>
      <c r="H2530" s="3" t="inlineStr">
        <is>
          <t>자연환경보전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2022</v>
      </c>
      <c r="B2531" s="4" t="n">
        <v>190700</v>
      </c>
      <c r="C2531" s="4" t="n">
        <v>31521</v>
      </c>
      <c r="D2531" s="4" t="n">
        <v>9535.102499999999</v>
      </c>
      <c r="E2531" s="5" t="n">
        <v>20</v>
      </c>
      <c r="F2531" s="3" t="inlineStr">
        <is>
          <t>연서면</t>
        </is>
      </c>
      <c r="G2531" s="3" t="inlineStr">
        <is>
          <t>고복리</t>
        </is>
      </c>
      <c r="H2531" s="3" t="inlineStr">
        <is>
          <t>자연환경보전</t>
        </is>
      </c>
      <c r="I2531" s="3" t="inlineStr">
        <is>
          <t>임야</t>
        </is>
      </c>
      <c r="J2531" s="3" t="inlineStr">
        <is>
          <t>연서면</t>
        </is>
      </c>
    </row>
    <row r="2532">
      <c r="A2532" s="3" t="n">
        <v>2022</v>
      </c>
      <c r="B2532" s="4" t="n">
        <v>19000</v>
      </c>
      <c r="C2532" s="4" t="n">
        <v>264</v>
      </c>
      <c r="D2532" s="4" t="n">
        <v>79.86</v>
      </c>
      <c r="E2532" s="5" t="n">
        <v>237.9</v>
      </c>
      <c r="F2532" s="3" t="inlineStr">
        <is>
          <t>장군면</t>
        </is>
      </c>
      <c r="G2532" s="3" t="inlineStr">
        <is>
          <t>송문리</t>
        </is>
      </c>
      <c r="H2532" s="3" t="inlineStr">
        <is>
          <t>계획관리지역</t>
        </is>
      </c>
      <c r="I2532" s="3" t="inlineStr">
        <is>
          <t>대</t>
        </is>
      </c>
      <c r="J2532" s="3" t="inlineStr">
        <is>
          <t>장군면</t>
        </is>
      </c>
    </row>
    <row r="2533">
      <c r="A2533" s="3" t="n">
        <v>2022</v>
      </c>
      <c r="B2533" s="4" t="n">
        <v>60175</v>
      </c>
      <c r="C2533" s="4" t="n">
        <v>657</v>
      </c>
      <c r="D2533" s="4" t="n">
        <v>198.7425</v>
      </c>
      <c r="E2533" s="5" t="n">
        <v>302.8</v>
      </c>
      <c r="F2533" s="3" t="inlineStr">
        <is>
          <t>금남면</t>
        </is>
      </c>
      <c r="G2533" s="3" t="inlineStr">
        <is>
          <t>성덕리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2022</v>
      </c>
      <c r="B2534" s="4" t="n">
        <v>257760</v>
      </c>
      <c r="C2534" s="4" t="n">
        <v>4760</v>
      </c>
      <c r="D2534" s="4" t="n">
        <v>1439.9</v>
      </c>
      <c r="E2534" s="5" t="n">
        <v>179</v>
      </c>
      <c r="F2534" s="3" t="inlineStr">
        <is>
          <t>부강면</t>
        </is>
      </c>
      <c r="G2534" s="3" t="inlineStr">
        <is>
          <t>산수리</t>
        </is>
      </c>
      <c r="H2534" s="3" t="inlineStr">
        <is>
          <t>계획관리지역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2022</v>
      </c>
      <c r="B2535" s="4" t="n">
        <v>25000</v>
      </c>
      <c r="C2535" s="4" t="n">
        <v>1951</v>
      </c>
      <c r="D2535" s="4" t="n">
        <v>590.1775</v>
      </c>
      <c r="E2535" s="5" t="n">
        <v>42.4</v>
      </c>
      <c r="F2535" s="3" t="inlineStr">
        <is>
          <t>소정면</t>
        </is>
      </c>
      <c r="G2535" s="3" t="inlineStr">
        <is>
          <t>대곡리</t>
        </is>
      </c>
      <c r="H2535" s="3" t="inlineStr">
        <is>
          <t>계획관리지역</t>
        </is>
      </c>
      <c r="I2535" s="3" t="inlineStr">
        <is>
          <t>답</t>
        </is>
      </c>
      <c r="J2535" s="3" t="inlineStr">
        <is>
          <t>소정면</t>
        </is>
      </c>
    </row>
    <row r="2536">
      <c r="A2536" s="3" t="n">
        <v>2022</v>
      </c>
      <c r="B2536" s="4" t="n">
        <v>46403</v>
      </c>
      <c r="C2536" s="4" t="n">
        <v>645</v>
      </c>
      <c r="D2536" s="4" t="n">
        <v>195.1125</v>
      </c>
      <c r="E2536" s="5" t="n">
        <v>237.8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연동면</t>
        </is>
      </c>
    </row>
    <row r="2537">
      <c r="A2537" s="3" t="n">
        <v>2022</v>
      </c>
      <c r="B2537" s="4" t="n">
        <v>3597</v>
      </c>
      <c r="C2537" s="4" t="n">
        <v>50</v>
      </c>
      <c r="D2537" s="4" t="n">
        <v>15.125</v>
      </c>
      <c r="E2537" s="5" t="n">
        <v>237.8</v>
      </c>
      <c r="F2537" s="3" t="inlineStr">
        <is>
          <t>연동면</t>
        </is>
      </c>
      <c r="G2537" s="3" t="inlineStr">
        <is>
          <t>내판리</t>
        </is>
      </c>
      <c r="H2537" s="3" t="inlineStr">
        <is>
          <t>계획관리지역</t>
        </is>
      </c>
      <c r="I2537" s="3" t="inlineStr">
        <is>
          <t>목장용지</t>
        </is>
      </c>
      <c r="J2537" s="3" t="inlineStr">
        <is>
          <t>연동면</t>
        </is>
      </c>
    </row>
    <row r="2538">
      <c r="A2538" s="3" t="n">
        <v>2022</v>
      </c>
      <c r="B2538" s="4" t="n">
        <v>25500</v>
      </c>
      <c r="C2538" s="4" t="n">
        <v>283</v>
      </c>
      <c r="D2538" s="4" t="n">
        <v>85.6075</v>
      </c>
      <c r="E2538" s="5" t="n">
        <v>297.9</v>
      </c>
      <c r="F2538" s="3" t="inlineStr">
        <is>
          <t>조치원읍</t>
        </is>
      </c>
      <c r="G2538" s="3" t="inlineStr">
        <is>
          <t>침산리</t>
        </is>
      </c>
      <c r="H2538" s="3" t="inlineStr">
        <is>
          <t>제2종일반주거지역</t>
        </is>
      </c>
      <c r="I2538" s="3" t="inlineStr">
        <is>
          <t>임야</t>
        </is>
      </c>
      <c r="J2538" s="3" t="inlineStr">
        <is>
          <t>조치원읍</t>
        </is>
      </c>
    </row>
    <row r="2539">
      <c r="A2539" s="3" t="n">
        <v>2022</v>
      </c>
      <c r="B2539" s="4" t="n">
        <v>4000</v>
      </c>
      <c r="C2539" s="4" t="n">
        <v>265</v>
      </c>
      <c r="D2539" s="4" t="n">
        <v>80.16249999999999</v>
      </c>
      <c r="E2539" s="5" t="n">
        <v>49.9</v>
      </c>
      <c r="F2539" s="3" t="inlineStr">
        <is>
          <t>장군면</t>
        </is>
      </c>
      <c r="G2539" s="3" t="inlineStr">
        <is>
          <t>송정리</t>
        </is>
      </c>
      <c r="H2539" s="3" t="inlineStr">
        <is>
          <t>보전관리지역</t>
        </is>
      </c>
      <c r="I2539" s="3" t="inlineStr">
        <is>
          <t>전</t>
        </is>
      </c>
      <c r="J2539" s="3" t="inlineStr">
        <is>
          <t>장군면</t>
        </is>
      </c>
    </row>
    <row r="2540">
      <c r="A2540" s="3" t="n">
        <v>2022</v>
      </c>
      <c r="B2540" s="4" t="n">
        <v>43500</v>
      </c>
      <c r="C2540" s="4" t="n">
        <v>1210</v>
      </c>
      <c r="D2540" s="4" t="n">
        <v>366.025</v>
      </c>
      <c r="E2540" s="5" t="n">
        <v>118.8</v>
      </c>
      <c r="F2540" s="3" t="inlineStr">
        <is>
          <t>금남면</t>
        </is>
      </c>
      <c r="G2540" s="3" t="inlineStr">
        <is>
          <t>영곡리</t>
        </is>
      </c>
      <c r="H2540" s="3" t="inlineStr">
        <is>
          <t>보전관리지역</t>
        </is>
      </c>
      <c r="I2540" s="3" t="inlineStr">
        <is>
          <t>답</t>
        </is>
      </c>
      <c r="J2540" s="3" t="inlineStr">
        <is>
          <t>금남면</t>
        </is>
      </c>
    </row>
    <row r="2541">
      <c r="A2541" s="3" t="n">
        <v>2022</v>
      </c>
      <c r="B2541" s="4" t="n">
        <v>49000</v>
      </c>
      <c r="C2541" s="4" t="n">
        <v>873.6</v>
      </c>
      <c r="D2541" s="4" t="n">
        <v>264.264</v>
      </c>
      <c r="E2541" s="5" t="n">
        <v>185.4</v>
      </c>
      <c r="F2541" s="3" t="inlineStr">
        <is>
          <t>전의면</t>
        </is>
      </c>
      <c r="G2541" s="3" t="inlineStr">
        <is>
          <t>양곡리</t>
        </is>
      </c>
      <c r="H2541" s="3" t="inlineStr">
        <is>
          <t>준주거지역</t>
        </is>
      </c>
      <c r="I2541" s="3" t="inlineStr">
        <is>
          <t>대</t>
        </is>
      </c>
      <c r="J2541" s="3" t="inlineStr">
        <is>
          <t>전의면</t>
        </is>
      </c>
    </row>
    <row r="2542">
      <c r="A2542" s="3" t="n">
        <v>2022</v>
      </c>
      <c r="B2542" s="4" t="n">
        <v>14365</v>
      </c>
      <c r="C2542" s="4" t="n">
        <v>95</v>
      </c>
      <c r="D2542" s="4" t="n">
        <v>28.7375</v>
      </c>
      <c r="E2542" s="5" t="n">
        <v>499.9</v>
      </c>
      <c r="F2542" s="3" t="inlineStr">
        <is>
          <t>연서면</t>
        </is>
      </c>
      <c r="G2542" s="3" t="inlineStr">
        <is>
          <t>봉암리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연서면</t>
        </is>
      </c>
    </row>
    <row r="2543">
      <c r="A2543" s="3" t="n">
        <v>2022</v>
      </c>
      <c r="B2543" s="4" t="n">
        <v>25000</v>
      </c>
      <c r="C2543" s="4" t="n">
        <v>407</v>
      </c>
      <c r="D2543" s="4" t="n">
        <v>123.1175</v>
      </c>
      <c r="E2543" s="5" t="n">
        <v>203.1</v>
      </c>
      <c r="F2543" s="3" t="inlineStr">
        <is>
          <t>장군면</t>
        </is>
      </c>
      <c r="G2543" s="3" t="inlineStr">
        <is>
          <t>봉안리</t>
        </is>
      </c>
      <c r="H2543" s="3" t="inlineStr">
        <is>
          <t>보전관리지역</t>
        </is>
      </c>
      <c r="I2543" s="3" t="inlineStr">
        <is>
          <t>임야</t>
        </is>
      </c>
      <c r="J2543" s="3" t="inlineStr">
        <is>
          <t>장군면</t>
        </is>
      </c>
    </row>
    <row r="2544">
      <c r="A2544" s="3" t="n">
        <v>2022</v>
      </c>
      <c r="B2544" s="4" t="n">
        <v>203000</v>
      </c>
      <c r="C2544" s="4" t="n">
        <v>1523</v>
      </c>
      <c r="D2544" s="4" t="n">
        <v>460.7075</v>
      </c>
      <c r="E2544" s="5" t="n">
        <v>440.6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일반공업지역</t>
        </is>
      </c>
      <c r="I2544" s="3" t="inlineStr">
        <is>
          <t>답</t>
        </is>
      </c>
      <c r="J2544" s="3" t="inlineStr">
        <is>
          <t>부강면</t>
        </is>
      </c>
    </row>
    <row r="2545">
      <c r="A2545" s="3" t="n">
        <v>2022</v>
      </c>
      <c r="B2545" s="4" t="n">
        <v>38250</v>
      </c>
      <c r="C2545" s="4" t="n">
        <v>1404</v>
      </c>
      <c r="D2545" s="4" t="n">
        <v>424.71</v>
      </c>
      <c r="E2545" s="5" t="n">
        <v>90.09999999999999</v>
      </c>
      <c r="F2545" s="3" t="inlineStr">
        <is>
          <t>장군면</t>
        </is>
      </c>
      <c r="G2545" s="3" t="inlineStr">
        <is>
          <t>송문리</t>
        </is>
      </c>
      <c r="H2545" s="3" t="inlineStr">
        <is>
          <t>보전관리지역</t>
        </is>
      </c>
      <c r="I2545" s="3" t="inlineStr">
        <is>
          <t>임야</t>
        </is>
      </c>
      <c r="J2545" s="3" t="inlineStr">
        <is>
          <t>장군면</t>
        </is>
      </c>
    </row>
    <row r="2546">
      <c r="A2546" s="3" t="n">
        <v>2022</v>
      </c>
      <c r="B2546" s="4" t="n">
        <v>37620</v>
      </c>
      <c r="C2546" s="4" t="n">
        <v>1383</v>
      </c>
      <c r="D2546" s="4" t="n">
        <v>418.3575</v>
      </c>
      <c r="E2546" s="5" t="n">
        <v>89.90000000000001</v>
      </c>
      <c r="F2546" s="3" t="inlineStr">
        <is>
          <t>장군면</t>
        </is>
      </c>
      <c r="G2546" s="3" t="inlineStr">
        <is>
          <t>송문리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장군면</t>
        </is>
      </c>
    </row>
    <row r="2547">
      <c r="A2547" s="3" t="n">
        <v>2022</v>
      </c>
      <c r="B2547" s="4" t="n">
        <v>16330</v>
      </c>
      <c r="C2547" s="4" t="n">
        <v>600</v>
      </c>
      <c r="D2547" s="4" t="n">
        <v>181.5</v>
      </c>
      <c r="E2547" s="5" t="n">
        <v>90</v>
      </c>
      <c r="F2547" s="3" t="inlineStr">
        <is>
          <t>장군면</t>
        </is>
      </c>
      <c r="G2547" s="3" t="inlineStr">
        <is>
          <t>송문리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10000</v>
      </c>
      <c r="C2548" s="4" t="n">
        <v>1248</v>
      </c>
      <c r="D2548" s="4" t="n">
        <v>377.52</v>
      </c>
      <c r="E2548" s="5" t="n">
        <v>26.5</v>
      </c>
      <c r="F2548" s="3" t="inlineStr">
        <is>
          <t>남이면</t>
        </is>
      </c>
      <c r="G2548" s="3" t="inlineStr">
        <is>
          <t>팔봉리</t>
        </is>
      </c>
      <c r="H2548" s="3" t="inlineStr">
        <is>
          <t>자연녹지지역</t>
        </is>
      </c>
      <c r="I2548" s="3" t="inlineStr">
        <is>
          <t>임야</t>
        </is>
      </c>
      <c r="J2548" s="3" t="inlineStr">
        <is>
          <t>남이면</t>
        </is>
      </c>
    </row>
    <row r="2549">
      <c r="A2549" s="3" t="n">
        <v>2022</v>
      </c>
      <c r="B2549" s="4" t="n">
        <v>25000</v>
      </c>
      <c r="C2549" s="4" t="n">
        <v>5289</v>
      </c>
      <c r="D2549" s="4" t="n">
        <v>1599.9225</v>
      </c>
      <c r="E2549" s="5" t="n">
        <v>15.6</v>
      </c>
      <c r="F2549" s="3" t="inlineStr">
        <is>
          <t>남이면</t>
        </is>
      </c>
      <c r="G2549" s="3" t="inlineStr">
        <is>
          <t>구암리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2022</v>
      </c>
      <c r="B2550" s="4" t="n">
        <v>10500</v>
      </c>
      <c r="C2550" s="4" t="n">
        <v>837</v>
      </c>
      <c r="D2550" s="4" t="n">
        <v>253.1925</v>
      </c>
      <c r="E2550" s="5" t="n">
        <v>41.5</v>
      </c>
      <c r="F2550" s="3" t="inlineStr">
        <is>
          <t>현도면</t>
        </is>
      </c>
      <c r="G2550" s="3" t="inlineStr">
        <is>
          <t>노산리</t>
        </is>
      </c>
      <c r="H2550" s="3" t="inlineStr">
        <is>
          <t>개발제한구역</t>
        </is>
      </c>
      <c r="I2550" s="3" t="inlineStr">
        <is>
          <t>답</t>
        </is>
      </c>
      <c r="J2550" s="3" t="inlineStr">
        <is>
          <t>현도면</t>
        </is>
      </c>
    </row>
    <row r="2551">
      <c r="A2551" s="3" t="n">
        <v>2022</v>
      </c>
      <c r="B2551" s="4" t="n">
        <v>51000</v>
      </c>
      <c r="C2551" s="4" t="n">
        <v>2255</v>
      </c>
      <c r="D2551" s="4" t="n">
        <v>682.1374999999999</v>
      </c>
      <c r="E2551" s="5" t="n">
        <v>74.8</v>
      </c>
      <c r="F2551" s="3" t="inlineStr">
        <is>
          <t>남이면</t>
        </is>
      </c>
      <c r="G2551" s="3" t="inlineStr">
        <is>
          <t>수대리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2022</v>
      </c>
      <c r="B2552" s="4" t="n">
        <v>2500</v>
      </c>
      <c r="C2552" s="4" t="n">
        <v>334</v>
      </c>
      <c r="D2552" s="4" t="n">
        <v>101.035</v>
      </c>
      <c r="E2552" s="5" t="n">
        <v>24.7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계획관리지역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2022</v>
      </c>
      <c r="B2553" s="4" t="n">
        <v>28900</v>
      </c>
      <c r="C2553" s="4" t="n">
        <v>1649</v>
      </c>
      <c r="D2553" s="4" t="n">
        <v>498.8225</v>
      </c>
      <c r="E2553" s="5" t="n">
        <v>57.9</v>
      </c>
      <c r="F2553" s="3" t="inlineStr">
        <is>
          <t>남이면</t>
        </is>
      </c>
      <c r="G2553" s="3" t="inlineStr">
        <is>
          <t>석판리</t>
        </is>
      </c>
      <c r="H2553" s="3" t="inlineStr">
        <is>
          <t>자연녹지지역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2022</v>
      </c>
      <c r="B2554" s="4" t="n">
        <v>22650</v>
      </c>
      <c r="C2554" s="4" t="n">
        <v>501</v>
      </c>
      <c r="D2554" s="4" t="n">
        <v>151.5525</v>
      </c>
      <c r="E2554" s="5" t="n">
        <v>149.5</v>
      </c>
      <c r="F2554" s="3" t="inlineStr">
        <is>
          <t>남이면</t>
        </is>
      </c>
      <c r="G2554" s="3" t="inlineStr">
        <is>
          <t>석판리</t>
        </is>
      </c>
      <c r="H2554" s="3" t="inlineStr">
        <is>
          <t>자연녹지지역</t>
        </is>
      </c>
      <c r="I2554" s="3" t="inlineStr">
        <is>
          <t>대</t>
        </is>
      </c>
      <c r="J2554" s="3" t="inlineStr">
        <is>
          <t>남이면</t>
        </is>
      </c>
    </row>
    <row r="2555">
      <c r="A2555" s="3" t="n">
        <v>2022</v>
      </c>
      <c r="B2555" s="4" t="n">
        <v>350</v>
      </c>
      <c r="C2555" s="4" t="n">
        <v>8</v>
      </c>
      <c r="D2555" s="4" t="n">
        <v>2.42</v>
      </c>
      <c r="E2555" s="5" t="n">
        <v>144.6</v>
      </c>
      <c r="F2555" s="3" t="inlineStr">
        <is>
          <t>남이면</t>
        </is>
      </c>
      <c r="G2555" s="3" t="inlineStr">
        <is>
          <t>석실리</t>
        </is>
      </c>
      <c r="H2555" s="3" t="inlineStr">
        <is>
          <t>용도미지정</t>
        </is>
      </c>
      <c r="I2555" s="3" t="inlineStr">
        <is>
          <t>도로</t>
        </is>
      </c>
      <c r="J2555" s="3" t="inlineStr">
        <is>
          <t>남이면</t>
        </is>
      </c>
    </row>
    <row r="2556">
      <c r="A2556" s="3" t="n">
        <v>2022</v>
      </c>
      <c r="B2556" s="4" t="n">
        <v>8700</v>
      </c>
      <c r="C2556" s="4" t="n">
        <v>2671</v>
      </c>
      <c r="D2556" s="4" t="n">
        <v>807.9775</v>
      </c>
      <c r="E2556" s="5" t="n">
        <v>10.8</v>
      </c>
      <c r="F2556" s="3" t="inlineStr">
        <is>
          <t>현도면</t>
        </is>
      </c>
      <c r="G2556" s="3" t="inlineStr">
        <is>
          <t>중척리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현도면</t>
        </is>
      </c>
    </row>
    <row r="2557">
      <c r="A2557" s="3" t="n">
        <v>2022</v>
      </c>
      <c r="B2557" s="4" t="n">
        <v>6000</v>
      </c>
      <c r="C2557" s="4" t="n">
        <v>1861</v>
      </c>
      <c r="D2557" s="4" t="n">
        <v>562.9525</v>
      </c>
      <c r="E2557" s="5" t="n">
        <v>10.7</v>
      </c>
      <c r="F2557" s="3" t="inlineStr">
        <is>
          <t>현도면</t>
        </is>
      </c>
      <c r="G2557" s="3" t="inlineStr">
        <is>
          <t>중척리</t>
        </is>
      </c>
      <c r="H2557" s="3" t="inlineStr">
        <is>
          <t>개발제한구역</t>
        </is>
      </c>
      <c r="I2557" s="3" t="inlineStr">
        <is>
          <t>답</t>
        </is>
      </c>
      <c r="J2557" s="3" t="inlineStr">
        <is>
          <t>현도면</t>
        </is>
      </c>
    </row>
    <row r="2558">
      <c r="A2558" s="3" t="n">
        <v>2022</v>
      </c>
      <c r="B2558" s="4" t="n">
        <v>3800</v>
      </c>
      <c r="C2558" s="4" t="n">
        <v>1402</v>
      </c>
      <c r="D2558" s="4" t="n">
        <v>424.105</v>
      </c>
      <c r="E2558" s="5" t="n">
        <v>9</v>
      </c>
      <c r="F2558" s="3" t="inlineStr">
        <is>
          <t>현도면</t>
        </is>
      </c>
      <c r="G2558" s="3" t="inlineStr">
        <is>
          <t>중척리</t>
        </is>
      </c>
      <c r="H2558" s="3" t="inlineStr">
        <is>
          <t>개발제한구역</t>
        </is>
      </c>
      <c r="I2558" s="3" t="inlineStr">
        <is>
          <t>임야</t>
        </is>
      </c>
      <c r="J2558" s="3" t="inlineStr">
        <is>
          <t>현도면</t>
        </is>
      </c>
    </row>
    <row r="2559">
      <c r="A2559" s="3" t="n">
        <v>2022</v>
      </c>
      <c r="B2559" s="4" t="n">
        <v>1700</v>
      </c>
      <c r="C2559" s="4" t="n">
        <v>74</v>
      </c>
      <c r="D2559" s="4" t="n">
        <v>22.385</v>
      </c>
      <c r="E2559" s="5" t="n">
        <v>75.90000000000001</v>
      </c>
      <c r="F2559" s="3" t="inlineStr">
        <is>
          <t>현도면</t>
        </is>
      </c>
      <c r="G2559" s="3" t="inlineStr">
        <is>
          <t>죽암리</t>
        </is>
      </c>
      <c r="H2559" s="3" t="inlineStr">
        <is>
          <t>계획관리지역</t>
        </is>
      </c>
      <c r="I2559" s="3" t="inlineStr">
        <is>
          <t>답</t>
        </is>
      </c>
      <c r="J2559" s="3" t="inlineStr">
        <is>
          <t>현도면</t>
        </is>
      </c>
    </row>
    <row r="2560">
      <c r="A2560" s="3" t="n">
        <v>2022</v>
      </c>
      <c r="B2560" s="4" t="n">
        <v>300</v>
      </c>
      <c r="C2560" s="4" t="n">
        <v>28</v>
      </c>
      <c r="D2560" s="4" t="n">
        <v>8.469999999999999</v>
      </c>
      <c r="E2560" s="5" t="n">
        <v>35.4</v>
      </c>
      <c r="F2560" s="3" t="inlineStr">
        <is>
          <t>남이면</t>
        </is>
      </c>
      <c r="G2560" s="3" t="inlineStr">
        <is>
          <t>외천리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남이면</t>
        </is>
      </c>
    </row>
    <row r="2561">
      <c r="A2561" s="3" t="n">
        <v>2024</v>
      </c>
      <c r="B2561" s="4" t="n">
        <v>47000</v>
      </c>
      <c r="C2561" s="4" t="n">
        <v>3917</v>
      </c>
      <c r="D2561" s="4" t="n">
        <v>1184.8925</v>
      </c>
      <c r="E2561" s="5" t="n">
        <v>39.7</v>
      </c>
      <c r="F2561" s="3" t="inlineStr">
        <is>
          <t>금남면</t>
        </is>
      </c>
      <c r="G2561" s="3" t="inlineStr">
        <is>
          <t>남곡리</t>
        </is>
      </c>
      <c r="H2561" s="3" t="inlineStr">
        <is>
          <t>개발제한구역</t>
        </is>
      </c>
      <c r="I2561" s="3" t="inlineStr">
        <is>
          <t>답</t>
        </is>
      </c>
      <c r="J2561" s="3" t="inlineStr">
        <is>
          <t>금남면</t>
        </is>
      </c>
    </row>
    <row r="2562">
      <c r="A2562" s="3" t="n">
        <v>2025</v>
      </c>
      <c r="B2562" s="4" t="n">
        <v>3900</v>
      </c>
      <c r="C2562" s="4" t="n">
        <v>1288</v>
      </c>
      <c r="D2562" s="4" t="n">
        <v>389.62</v>
      </c>
      <c r="E2562" s="5" t="n">
        <v>10</v>
      </c>
      <c r="F2562" s="3" t="inlineStr">
        <is>
          <t>부강면</t>
        </is>
      </c>
      <c r="G2562" s="3" t="inlineStr">
        <is>
          <t>행산리</t>
        </is>
      </c>
      <c r="H2562" s="3" t="inlineStr">
        <is>
          <t>계획관리지역</t>
        </is>
      </c>
      <c r="I2562" s="3" t="inlineStr">
        <is>
          <t>임야</t>
        </is>
      </c>
      <c r="J2562" s="3" t="inlineStr">
        <is>
          <t>부강면</t>
        </is>
      </c>
    </row>
    <row r="2563">
      <c r="A2563" s="3" t="n">
        <v>2026</v>
      </c>
      <c r="B2563" s="4" t="n">
        <v>32500</v>
      </c>
      <c r="C2563" s="4" t="n">
        <v>2149</v>
      </c>
      <c r="D2563" s="4" t="n">
        <v>650.0725</v>
      </c>
      <c r="E2563" s="5" t="n">
        <v>50</v>
      </c>
      <c r="F2563" s="3" t="inlineStr">
        <is>
          <t>장군면</t>
        </is>
      </c>
      <c r="G2563" s="3" t="inlineStr">
        <is>
          <t>금암리</t>
        </is>
      </c>
      <c r="H2563" s="3" t="inlineStr">
        <is>
          <t>농림지역</t>
        </is>
      </c>
      <c r="I2563" s="3" t="inlineStr">
        <is>
          <t>임야</t>
        </is>
      </c>
      <c r="J2563" s="3" t="inlineStr">
        <is>
          <t>장군면</t>
        </is>
      </c>
    </row>
    <row r="2564">
      <c r="A2564" s="3" t="n">
        <v>2026</v>
      </c>
      <c r="B2564" s="4" t="n">
        <v>46170</v>
      </c>
      <c r="C2564" s="4" t="n">
        <v>500</v>
      </c>
      <c r="D2564" s="4" t="n">
        <v>151.25</v>
      </c>
      <c r="E2564" s="5" t="n">
        <v>305.3</v>
      </c>
      <c r="F2564" s="3" t="inlineStr">
        <is>
          <t>장군면</t>
        </is>
      </c>
      <c r="G2564" s="3" t="inlineStr">
        <is>
          <t>대교리</t>
        </is>
      </c>
      <c r="H2564" s="3" t="inlineStr">
        <is>
          <t>보전관리지역</t>
        </is>
      </c>
      <c r="I2564" s="3" t="inlineStr">
        <is>
          <t>대</t>
        </is>
      </c>
      <c r="J2564" s="3" t="inlineStr">
        <is>
          <t>장군면</t>
        </is>
      </c>
    </row>
    <row r="2565">
      <c r="A2565" s="3" t="n">
        <v>2026</v>
      </c>
      <c r="B2565" s="4" t="n">
        <v>22500</v>
      </c>
      <c r="C2565" s="4" t="n">
        <v>1388</v>
      </c>
      <c r="D2565" s="4" t="n">
        <v>419.87</v>
      </c>
      <c r="E2565" s="5" t="n">
        <v>53.6</v>
      </c>
      <c r="F2565" s="3" t="inlineStr">
        <is>
          <t>금남면</t>
        </is>
      </c>
      <c r="G2565" s="3" t="inlineStr">
        <is>
          <t>도암리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금남면</t>
        </is>
      </c>
    </row>
    <row r="2566">
      <c r="A2566" s="3" t="n">
        <v>2026</v>
      </c>
      <c r="B2566" s="4" t="n">
        <v>30000</v>
      </c>
      <c r="C2566" s="4" t="n">
        <v>1855</v>
      </c>
      <c r="D2566" s="4" t="n">
        <v>561.1374999999999</v>
      </c>
      <c r="E2566" s="5" t="n">
        <v>53.5</v>
      </c>
      <c r="F2566" s="3" t="inlineStr">
        <is>
          <t>금남면</t>
        </is>
      </c>
      <c r="G2566" s="3" t="inlineStr">
        <is>
          <t>도암리</t>
        </is>
      </c>
      <c r="H2566" s="3" t="inlineStr">
        <is>
          <t>농림지역</t>
        </is>
      </c>
      <c r="I2566" s="3" t="inlineStr">
        <is>
          <t>답</t>
        </is>
      </c>
      <c r="J2566" s="3" t="inlineStr">
        <is>
          <t>금남면</t>
        </is>
      </c>
    </row>
    <row r="2567">
      <c r="A2567" s="3" t="n">
        <v>2022</v>
      </c>
      <c r="B2567" s="4" t="n">
        <v>32850</v>
      </c>
      <c r="C2567" s="4" t="n">
        <v>1207</v>
      </c>
      <c r="D2567" s="4" t="n">
        <v>365.1175</v>
      </c>
      <c r="E2567" s="5" t="n">
        <v>90</v>
      </c>
      <c r="F2567" s="3" t="inlineStr">
        <is>
          <t>전동면</t>
        </is>
      </c>
      <c r="G2567" s="3" t="inlineStr">
        <is>
          <t>석곡리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전동면</t>
        </is>
      </c>
    </row>
    <row r="2568">
      <c r="A2568" s="3" t="n">
        <v>2022</v>
      </c>
      <c r="B2568" s="4" t="n">
        <v>53000</v>
      </c>
      <c r="C2568" s="4" t="n">
        <v>885</v>
      </c>
      <c r="D2568" s="4" t="n">
        <v>267.7125</v>
      </c>
      <c r="E2568" s="5" t="n">
        <v>198</v>
      </c>
      <c r="F2568" s="3" t="inlineStr">
        <is>
          <t>금남면</t>
        </is>
      </c>
      <c r="G2568" s="3" t="inlineStr">
        <is>
          <t>두만리</t>
        </is>
      </c>
      <c r="H2568" s="3" t="inlineStr">
        <is>
          <t>생산관리지역</t>
        </is>
      </c>
      <c r="I2568" s="3" t="inlineStr">
        <is>
          <t>답</t>
        </is>
      </c>
      <c r="J2568" s="3" t="inlineStr">
        <is>
          <t>금남면</t>
        </is>
      </c>
    </row>
    <row r="2569">
      <c r="A2569" s="3" t="n">
        <v>2022</v>
      </c>
      <c r="B2569" s="4" t="n">
        <v>22600</v>
      </c>
      <c r="C2569" s="4" t="n">
        <v>365</v>
      </c>
      <c r="D2569" s="4" t="n">
        <v>110.4125</v>
      </c>
      <c r="E2569" s="5" t="n">
        <v>204.7</v>
      </c>
      <c r="F2569" s="3" t="inlineStr">
        <is>
          <t>금남면</t>
        </is>
      </c>
      <c r="G2569" s="3" t="inlineStr">
        <is>
          <t>두만리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금남면</t>
        </is>
      </c>
    </row>
    <row r="2570">
      <c r="A2570" s="3" t="n">
        <v>2022</v>
      </c>
      <c r="B2570" s="4" t="n">
        <v>1716</v>
      </c>
      <c r="C2570" s="4" t="n">
        <v>516</v>
      </c>
      <c r="D2570" s="4" t="n">
        <v>156.09</v>
      </c>
      <c r="E2570" s="5" t="n">
        <v>11</v>
      </c>
      <c r="F2570" s="3" t="inlineStr">
        <is>
          <t>금남면</t>
        </is>
      </c>
      <c r="G2570" s="3" t="inlineStr">
        <is>
          <t>영대리</t>
        </is>
      </c>
      <c r="H2570" s="3" t="inlineStr">
        <is>
          <t>개발제한구역</t>
        </is>
      </c>
      <c r="I2570" s="3" t="inlineStr">
        <is>
          <t>전</t>
        </is>
      </c>
      <c r="J2570" s="3" t="inlineStr">
        <is>
          <t>금남면</t>
        </is>
      </c>
    </row>
    <row r="2571">
      <c r="A2571" s="3" t="n">
        <v>2022</v>
      </c>
      <c r="B2571" s="4" t="n">
        <v>7358</v>
      </c>
      <c r="C2571" s="4" t="n">
        <v>1874</v>
      </c>
      <c r="D2571" s="4" t="n">
        <v>566.885</v>
      </c>
      <c r="E2571" s="5" t="n">
        <v>13</v>
      </c>
      <c r="F2571" s="3" t="inlineStr">
        <is>
          <t>금남면</t>
        </is>
      </c>
      <c r="G2571" s="3" t="inlineStr">
        <is>
          <t>영대리</t>
        </is>
      </c>
      <c r="H2571" s="3" t="inlineStr">
        <is>
          <t>개발제한구역</t>
        </is>
      </c>
      <c r="I2571" s="3" t="inlineStr">
        <is>
          <t>전</t>
        </is>
      </c>
      <c r="J2571" s="3" t="inlineStr">
        <is>
          <t>금남면</t>
        </is>
      </c>
    </row>
    <row r="2572">
      <c r="A2572" s="3" t="n">
        <v>2022</v>
      </c>
      <c r="B2572" s="4" t="n">
        <v>2370</v>
      </c>
      <c r="C2572" s="4" t="n">
        <v>1312</v>
      </c>
      <c r="D2572" s="4" t="n">
        <v>396.88</v>
      </c>
      <c r="E2572" s="5" t="n">
        <v>6</v>
      </c>
      <c r="F2572" s="3" t="inlineStr">
        <is>
          <t>금남면</t>
        </is>
      </c>
      <c r="G2572" s="3" t="inlineStr">
        <is>
          <t>영대리</t>
        </is>
      </c>
      <c r="H2572" s="3" t="inlineStr">
        <is>
          <t>개발제한구역</t>
        </is>
      </c>
      <c r="I2572" s="3" t="inlineStr">
        <is>
          <t>답</t>
        </is>
      </c>
      <c r="J2572" s="3" t="inlineStr">
        <is>
          <t>금남면</t>
        </is>
      </c>
    </row>
    <row r="2573">
      <c r="A2573" s="3" t="n">
        <v>2022</v>
      </c>
      <c r="B2573" s="4" t="n">
        <v>2964</v>
      </c>
      <c r="C2573" s="4" t="n">
        <v>754</v>
      </c>
      <c r="D2573" s="4" t="n">
        <v>228.085</v>
      </c>
      <c r="E2573" s="5" t="n">
        <v>13</v>
      </c>
      <c r="F2573" s="3" t="inlineStr">
        <is>
          <t>금남면</t>
        </is>
      </c>
      <c r="G2573" s="3" t="inlineStr">
        <is>
          <t>영대리</t>
        </is>
      </c>
      <c r="H2573" s="3" t="inlineStr">
        <is>
          <t>개발제한구역</t>
        </is>
      </c>
      <c r="I2573" s="3" t="inlineStr">
        <is>
          <t>전</t>
        </is>
      </c>
      <c r="J2573" s="3" t="inlineStr">
        <is>
          <t>금남면</t>
        </is>
      </c>
    </row>
    <row r="2574">
      <c r="A2574" s="3" t="n">
        <v>2022</v>
      </c>
      <c r="B2574" s="4" t="n">
        <v>91000</v>
      </c>
      <c r="C2574" s="4" t="n">
        <v>974</v>
      </c>
      <c r="D2574" s="4" t="n">
        <v>294.635</v>
      </c>
      <c r="E2574" s="5" t="n">
        <v>308.9</v>
      </c>
      <c r="F2574" s="3" t="inlineStr">
        <is>
          <t>금남면</t>
        </is>
      </c>
      <c r="G2574" s="3" t="inlineStr">
        <is>
          <t>감성리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금남면</t>
        </is>
      </c>
    </row>
    <row r="2575">
      <c r="A2575" s="3" t="n">
        <v>2022</v>
      </c>
      <c r="B2575" s="4" t="n">
        <v>9000</v>
      </c>
      <c r="C2575" s="4" t="n">
        <v>109</v>
      </c>
      <c r="D2575" s="4" t="n">
        <v>32.9725</v>
      </c>
      <c r="E2575" s="5" t="n">
        <v>273</v>
      </c>
      <c r="F2575" s="3" t="inlineStr">
        <is>
          <t>금남면</t>
        </is>
      </c>
      <c r="G2575" s="3" t="inlineStr">
        <is>
          <t>감성리</t>
        </is>
      </c>
      <c r="H2575" s="3" t="inlineStr">
        <is>
          <t>농림지역</t>
        </is>
      </c>
      <c r="I2575" s="3" t="inlineStr">
        <is>
          <t>대</t>
        </is>
      </c>
      <c r="J2575" s="3" t="inlineStr">
        <is>
          <t>금남면</t>
        </is>
      </c>
    </row>
    <row r="2576">
      <c r="A2576" s="3" t="n">
        <v>2022</v>
      </c>
      <c r="B2576" s="4" t="n">
        <v>73756</v>
      </c>
      <c r="C2576" s="4" t="n">
        <v>14772</v>
      </c>
      <c r="D2576" s="4" t="n">
        <v>4468.53</v>
      </c>
      <c r="E2576" s="5" t="n">
        <v>16.5</v>
      </c>
      <c r="F2576" s="3" t="inlineStr">
        <is>
          <t>연서면</t>
        </is>
      </c>
      <c r="G2576" s="3" t="inlineStr">
        <is>
          <t>쌍류리</t>
        </is>
      </c>
      <c r="H2576" s="3" t="inlineStr">
        <is>
          <t>농림지역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2022</v>
      </c>
      <c r="B2577" s="4" t="n">
        <v>44000</v>
      </c>
      <c r="C2577" s="4" t="n">
        <v>777</v>
      </c>
      <c r="D2577" s="4" t="n">
        <v>235.0425</v>
      </c>
      <c r="E2577" s="5" t="n">
        <v>187.2</v>
      </c>
      <c r="F2577" s="3" t="inlineStr">
        <is>
          <t>금남면</t>
        </is>
      </c>
      <c r="G2577" s="3" t="inlineStr">
        <is>
          <t>감성리</t>
        </is>
      </c>
      <c r="H2577" s="3" t="inlineStr">
        <is>
          <t>제1종일반주거지역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23000</v>
      </c>
      <c r="C2578" s="4" t="n">
        <v>1091</v>
      </c>
      <c r="D2578" s="4" t="n">
        <v>330.0275</v>
      </c>
      <c r="E2578" s="5" t="n">
        <v>69.7</v>
      </c>
      <c r="F2578" s="3" t="inlineStr">
        <is>
          <t>금남면</t>
        </is>
      </c>
      <c r="G2578" s="3" t="inlineStr">
        <is>
          <t>달전리</t>
        </is>
      </c>
      <c r="H2578" s="3" t="inlineStr">
        <is>
          <t>개발제한구역</t>
        </is>
      </c>
      <c r="I2578" s="3" t="inlineStr">
        <is>
          <t>전</t>
        </is>
      </c>
      <c r="J2578" s="3" t="inlineStr">
        <is>
          <t>금남면</t>
        </is>
      </c>
    </row>
    <row r="2579">
      <c r="A2579" s="3" t="n">
        <v>2022</v>
      </c>
      <c r="B2579" s="4" t="n">
        <v>6300</v>
      </c>
      <c r="C2579" s="4" t="n">
        <v>2675</v>
      </c>
      <c r="D2579" s="4" t="n">
        <v>809.1875</v>
      </c>
      <c r="E2579" s="5" t="n">
        <v>7.8</v>
      </c>
      <c r="F2579" s="3" t="inlineStr">
        <is>
          <t>연서면</t>
        </is>
      </c>
      <c r="G2579" s="3" t="inlineStr">
        <is>
          <t>쌍류리</t>
        </is>
      </c>
      <c r="H2579" s="3" t="inlineStr">
        <is>
          <t>보전관리지역</t>
        </is>
      </c>
      <c r="I2579" s="3" t="inlineStr">
        <is>
          <t>임야</t>
        </is>
      </c>
      <c r="J2579" s="3" t="inlineStr">
        <is>
          <t>연서면</t>
        </is>
      </c>
    </row>
    <row r="2580">
      <c r="A2580" s="3" t="n">
        <v>2022</v>
      </c>
      <c r="B2580" s="4" t="n">
        <v>1000</v>
      </c>
      <c r="C2580" s="4" t="n">
        <v>345</v>
      </c>
      <c r="D2580" s="4" t="n">
        <v>104.3625</v>
      </c>
      <c r="E2580" s="5" t="n">
        <v>9.6</v>
      </c>
      <c r="F2580" s="3" t="inlineStr">
        <is>
          <t>연서면</t>
        </is>
      </c>
      <c r="G2580" s="3" t="inlineStr">
        <is>
          <t>쌍류리</t>
        </is>
      </c>
      <c r="H2580" s="3" t="inlineStr">
        <is>
          <t>보전관리지역</t>
        </is>
      </c>
      <c r="I2580" s="3" t="inlineStr">
        <is>
          <t>임야</t>
        </is>
      </c>
      <c r="J2580" s="3" t="inlineStr">
        <is>
          <t>연서면</t>
        </is>
      </c>
    </row>
    <row r="2581">
      <c r="A2581" s="3" t="n">
        <v>2022</v>
      </c>
      <c r="B2581" s="4" t="n">
        <v>2700</v>
      </c>
      <c r="C2581" s="4" t="n">
        <v>318</v>
      </c>
      <c r="D2581" s="4" t="n">
        <v>96.19499999999999</v>
      </c>
      <c r="E2581" s="5" t="n">
        <v>28.1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72000</v>
      </c>
      <c r="C2582" s="4" t="n">
        <v>1772</v>
      </c>
      <c r="D2582" s="4" t="n">
        <v>536.03</v>
      </c>
      <c r="E2582" s="5" t="n">
        <v>134.3</v>
      </c>
      <c r="F2582" s="3" t="inlineStr">
        <is>
          <t>전의면</t>
        </is>
      </c>
      <c r="G2582" s="3" t="inlineStr">
        <is>
          <t>서정리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전의면</t>
        </is>
      </c>
    </row>
    <row r="2583">
      <c r="A2583" s="3" t="n">
        <v>2022</v>
      </c>
      <c r="B2583" s="4" t="n">
        <v>73000</v>
      </c>
      <c r="C2583" s="4" t="n">
        <v>1792</v>
      </c>
      <c r="D2583" s="4" t="n">
        <v>542.0799999999999</v>
      </c>
      <c r="E2583" s="5" t="n">
        <v>134.7</v>
      </c>
      <c r="F2583" s="3" t="inlineStr">
        <is>
          <t>전의면</t>
        </is>
      </c>
      <c r="G2583" s="3" t="inlineStr">
        <is>
          <t>서정리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700</v>
      </c>
      <c r="C2584" s="4" t="n">
        <v>116</v>
      </c>
      <c r="D2584" s="4" t="n">
        <v>35.09</v>
      </c>
      <c r="E2584" s="5" t="n">
        <v>19.9</v>
      </c>
      <c r="F2584" s="3" t="inlineStr">
        <is>
          <t>부강면</t>
        </is>
      </c>
      <c r="G2584" s="3" t="inlineStr">
        <is>
          <t>등곡리</t>
        </is>
      </c>
      <c r="H2584" s="3" t="inlineStr">
        <is>
          <t>보전관리지역</t>
        </is>
      </c>
      <c r="I2584" s="3" t="inlineStr">
        <is>
          <t>임야</t>
        </is>
      </c>
      <c r="J2584" s="3" t="inlineStr">
        <is>
          <t>부강면</t>
        </is>
      </c>
    </row>
    <row r="2585">
      <c r="A2585" s="3" t="n">
        <v>2022</v>
      </c>
      <c r="B2585" s="4" t="n">
        <v>2244</v>
      </c>
      <c r="C2585" s="4" t="n">
        <v>68</v>
      </c>
      <c r="D2585" s="4" t="n">
        <v>20.57</v>
      </c>
      <c r="E2585" s="5" t="n">
        <v>109.1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2022</v>
      </c>
      <c r="B2586" s="4" t="n">
        <v>11400</v>
      </c>
      <c r="C2586" s="4" t="n">
        <v>1260</v>
      </c>
      <c r="D2586" s="4" t="n">
        <v>381.15</v>
      </c>
      <c r="E2586" s="5" t="n">
        <v>29.9</v>
      </c>
      <c r="F2586" s="3" t="inlineStr">
        <is>
          <t>장군면</t>
        </is>
      </c>
      <c r="G2586" s="3" t="inlineStr">
        <is>
          <t>송학리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장군면</t>
        </is>
      </c>
    </row>
    <row r="2587">
      <c r="A2587" s="3" t="n">
        <v>2022</v>
      </c>
      <c r="B2587" s="4" t="n">
        <v>7200</v>
      </c>
      <c r="C2587" s="4" t="n">
        <v>396</v>
      </c>
      <c r="D2587" s="4" t="n">
        <v>119.79</v>
      </c>
      <c r="E2587" s="5" t="n">
        <v>60.1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보전관리지역</t>
        </is>
      </c>
      <c r="I2587" s="3" t="inlineStr">
        <is>
          <t>전</t>
        </is>
      </c>
      <c r="J2587" s="3" t="inlineStr">
        <is>
          <t>연기면</t>
        </is>
      </c>
    </row>
    <row r="2588">
      <c r="A2588" s="3" t="n">
        <v>2022</v>
      </c>
      <c r="B2588" s="4" t="n">
        <v>115000</v>
      </c>
      <c r="C2588" s="4" t="n">
        <v>664</v>
      </c>
      <c r="D2588" s="4" t="n">
        <v>200.86</v>
      </c>
      <c r="E2588" s="5" t="n">
        <v>572.5</v>
      </c>
      <c r="F2588" s="3" t="inlineStr">
        <is>
          <t>장군면</t>
        </is>
      </c>
      <c r="G2588" s="3" t="inlineStr">
        <is>
          <t>봉안리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장군면</t>
        </is>
      </c>
    </row>
    <row r="2589">
      <c r="A2589" s="3" t="n">
        <v>2022</v>
      </c>
      <c r="B2589" s="4" t="n">
        <v>27452</v>
      </c>
      <c r="C2589" s="4" t="n">
        <v>605</v>
      </c>
      <c r="D2589" s="4" t="n">
        <v>183.0125</v>
      </c>
      <c r="E2589" s="5" t="n">
        <v>150</v>
      </c>
      <c r="F2589" s="3" t="inlineStr">
        <is>
          <t>전의면</t>
        </is>
      </c>
      <c r="G2589" s="3" t="inlineStr">
        <is>
          <t>읍내리</t>
        </is>
      </c>
      <c r="H2589" s="3" t="inlineStr">
        <is>
          <t>자연녹지지역</t>
        </is>
      </c>
      <c r="I2589" s="3" t="inlineStr">
        <is>
          <t>임야</t>
        </is>
      </c>
      <c r="J2589" s="3" t="inlineStr">
        <is>
          <t>전의면</t>
        </is>
      </c>
    </row>
    <row r="2590">
      <c r="A2590" s="3" t="n">
        <v>2022</v>
      </c>
      <c r="B2590" s="4" t="n">
        <v>17427</v>
      </c>
      <c r="C2590" s="4" t="n">
        <v>1558</v>
      </c>
      <c r="D2590" s="4" t="n">
        <v>471.295</v>
      </c>
      <c r="E2590" s="5" t="n">
        <v>37</v>
      </c>
      <c r="F2590" s="3" t="inlineStr">
        <is>
          <t>연서면</t>
        </is>
      </c>
      <c r="G2590" s="3" t="inlineStr">
        <is>
          <t>쌍류리</t>
        </is>
      </c>
      <c r="H2590" s="3" t="inlineStr">
        <is>
          <t>생산관리지역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94000</v>
      </c>
      <c r="C2591" s="4" t="n">
        <v>710</v>
      </c>
      <c r="D2591" s="4" t="n">
        <v>214.775</v>
      </c>
      <c r="E2591" s="5" t="n">
        <v>437.7</v>
      </c>
      <c r="F2591" s="3" t="inlineStr">
        <is>
          <t>조치원읍</t>
        </is>
      </c>
      <c r="G2591" s="3" t="inlineStr">
        <is>
          <t>봉산리</t>
        </is>
      </c>
      <c r="H2591" s="3" t="inlineStr">
        <is>
          <t>자연녹지지역</t>
        </is>
      </c>
      <c r="I2591" s="3" t="inlineStr">
        <is>
          <t>과수원</t>
        </is>
      </c>
      <c r="J2591" s="3" t="inlineStr">
        <is>
          <t>조치원읍</t>
        </is>
      </c>
    </row>
    <row r="2592">
      <c r="A2592" s="3" t="n">
        <v>2025</v>
      </c>
      <c r="B2592" s="4" t="n">
        <v>1687</v>
      </c>
      <c r="C2592" s="4" t="n">
        <v>227</v>
      </c>
      <c r="D2592" s="4" t="n">
        <v>68.6675</v>
      </c>
      <c r="E2592" s="5" t="n">
        <v>24.6</v>
      </c>
      <c r="F2592" s="3" t="inlineStr">
        <is>
          <t>소정면</t>
        </is>
      </c>
      <c r="G2592" s="3" t="inlineStr">
        <is>
          <t>대곡리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소정면</t>
        </is>
      </c>
    </row>
    <row r="2593">
      <c r="A2593" s="3" t="n">
        <v>2025</v>
      </c>
      <c r="B2593" s="4" t="n">
        <v>3988</v>
      </c>
      <c r="C2593" s="4" t="n">
        <v>521</v>
      </c>
      <c r="D2593" s="4" t="n">
        <v>157.6025</v>
      </c>
      <c r="E2593" s="5" t="n">
        <v>25.3</v>
      </c>
      <c r="F2593" s="3" t="inlineStr">
        <is>
          <t>소정면</t>
        </is>
      </c>
      <c r="G2593" s="3" t="inlineStr">
        <is>
          <t>대곡리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소정면</t>
        </is>
      </c>
    </row>
    <row r="2594">
      <c r="A2594" s="3" t="n">
        <v>2025</v>
      </c>
      <c r="B2594" s="4" t="n">
        <v>34300</v>
      </c>
      <c r="C2594" s="4" t="n">
        <v>910</v>
      </c>
      <c r="D2594" s="4" t="n">
        <v>275.275</v>
      </c>
      <c r="E2594" s="5" t="n">
        <v>124.6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연기면</t>
        </is>
      </c>
    </row>
    <row r="2595">
      <c r="A2595" s="3" t="n">
        <v>2025</v>
      </c>
      <c r="B2595" s="4" t="n">
        <v>2800</v>
      </c>
      <c r="C2595" s="4" t="n">
        <v>99</v>
      </c>
      <c r="D2595" s="4" t="n">
        <v>29.9475</v>
      </c>
      <c r="E2595" s="5" t="n">
        <v>93.5</v>
      </c>
      <c r="F2595" s="3" t="inlineStr">
        <is>
          <t>금남면</t>
        </is>
      </c>
      <c r="G2595" s="3" t="inlineStr">
        <is>
          <t>용포리</t>
        </is>
      </c>
      <c r="H2595" s="3" t="inlineStr">
        <is>
          <t>제1종일반주거지역</t>
        </is>
      </c>
      <c r="I2595" s="3" t="inlineStr">
        <is>
          <t>답</t>
        </is>
      </c>
      <c r="J2595" s="3" t="inlineStr">
        <is>
          <t>금남면</t>
        </is>
      </c>
    </row>
    <row r="2596">
      <c r="A2596" s="3" t="n">
        <v>2025</v>
      </c>
      <c r="B2596" s="4" t="n">
        <v>4340</v>
      </c>
      <c r="C2596" s="4" t="n">
        <v>157</v>
      </c>
      <c r="D2596" s="4" t="n">
        <v>47.4925</v>
      </c>
      <c r="E2596" s="5" t="n">
        <v>91.40000000000001</v>
      </c>
      <c r="F2596" s="3" t="inlineStr">
        <is>
          <t>금남면</t>
        </is>
      </c>
      <c r="G2596" s="3" t="inlineStr">
        <is>
          <t>용포리</t>
        </is>
      </c>
      <c r="H2596" s="3" t="inlineStr">
        <is>
          <t>제1종일반주거지역</t>
        </is>
      </c>
      <c r="I2596" s="3" t="inlineStr">
        <is>
          <t>답</t>
        </is>
      </c>
      <c r="J2596" s="3" t="inlineStr">
        <is>
          <t>금남면</t>
        </is>
      </c>
    </row>
    <row r="2597">
      <c r="A2597" s="3" t="n">
        <v>2025</v>
      </c>
      <c r="B2597" s="4" t="n">
        <v>260</v>
      </c>
      <c r="C2597" s="4" t="n">
        <v>12</v>
      </c>
      <c r="D2597" s="4" t="n">
        <v>3.63</v>
      </c>
      <c r="E2597" s="5" t="n">
        <v>71.59999999999999</v>
      </c>
      <c r="F2597" s="3" t="inlineStr">
        <is>
          <t>금남면</t>
        </is>
      </c>
      <c r="G2597" s="3" t="inlineStr">
        <is>
          <t>용포리</t>
        </is>
      </c>
      <c r="H2597" s="3" t="inlineStr">
        <is>
          <t>자연녹지지역</t>
        </is>
      </c>
      <c r="I2597" s="3" t="inlineStr">
        <is>
          <t>도로</t>
        </is>
      </c>
      <c r="J2597" s="3" t="inlineStr">
        <is>
          <t>금남면</t>
        </is>
      </c>
    </row>
    <row r="2598">
      <c r="A2598" s="3" t="n">
        <v>2025</v>
      </c>
      <c r="B2598" s="4" t="n">
        <v>2095</v>
      </c>
      <c r="C2598" s="4" t="n">
        <v>16</v>
      </c>
      <c r="D2598" s="4" t="n">
        <v>4.84</v>
      </c>
      <c r="E2598" s="5" t="n">
        <v>432.9</v>
      </c>
      <c r="F2598" s="3" t="inlineStr">
        <is>
          <t>조치원읍</t>
        </is>
      </c>
      <c r="G2598" s="3" t="inlineStr">
        <is>
          <t>신흥리</t>
        </is>
      </c>
      <c r="H2598" s="3" t="inlineStr">
        <is>
          <t>제2종일반주거지역</t>
        </is>
      </c>
      <c r="I2598" s="3" t="inlineStr">
        <is>
          <t>대</t>
        </is>
      </c>
      <c r="J2598" s="3" t="inlineStr">
        <is>
          <t>조치원읍</t>
        </is>
      </c>
    </row>
    <row r="2599">
      <c r="A2599" s="3" t="n">
        <v>2025</v>
      </c>
      <c r="B2599" s="4" t="n">
        <v>47680</v>
      </c>
      <c r="C2599" s="4" t="n">
        <v>986</v>
      </c>
      <c r="D2599" s="4" t="n">
        <v>298.265</v>
      </c>
      <c r="E2599" s="5" t="n">
        <v>159.9</v>
      </c>
      <c r="F2599" s="3" t="inlineStr">
        <is>
          <t>전의면</t>
        </is>
      </c>
      <c r="G2599" s="3" t="inlineStr">
        <is>
          <t>유천리</t>
        </is>
      </c>
      <c r="H2599" s="3" t="inlineStr">
        <is>
          <t>계획관리지역</t>
        </is>
      </c>
      <c r="I2599" s="3" t="inlineStr">
        <is>
          <t>임야</t>
        </is>
      </c>
      <c r="J2599" s="3" t="inlineStr">
        <is>
          <t>전의면</t>
        </is>
      </c>
    </row>
    <row r="2600">
      <c r="A2600" s="3" t="n">
        <v>2025</v>
      </c>
      <c r="B2600" s="4" t="n">
        <v>15000</v>
      </c>
      <c r="C2600" s="4" t="n">
        <v>496</v>
      </c>
      <c r="D2600" s="4" t="n">
        <v>150.04</v>
      </c>
      <c r="E2600" s="5" t="n">
        <v>100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11300</v>
      </c>
      <c r="C2601" s="4" t="n">
        <v>2499</v>
      </c>
      <c r="D2601" s="4" t="n">
        <v>755.9475</v>
      </c>
      <c r="E2601" s="5" t="n">
        <v>14.9</v>
      </c>
      <c r="F2601" s="3" t="inlineStr">
        <is>
          <t>전동면</t>
        </is>
      </c>
      <c r="G2601" s="3" t="inlineStr">
        <is>
          <t>봉대리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전동면</t>
        </is>
      </c>
    </row>
    <row r="2602">
      <c r="A2602" s="3" t="n">
        <v>2025</v>
      </c>
      <c r="B2602" s="4" t="n">
        <v>27000</v>
      </c>
      <c r="C2602" s="4" t="n">
        <v>655</v>
      </c>
      <c r="D2602" s="4" t="n">
        <v>198.1375</v>
      </c>
      <c r="E2602" s="5" t="n">
        <v>136.3</v>
      </c>
      <c r="F2602" s="3" t="inlineStr">
        <is>
          <t>연기면</t>
        </is>
      </c>
      <c r="G2602" s="3" t="inlineStr">
        <is>
          <t>수산리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연기면</t>
        </is>
      </c>
    </row>
    <row r="2603">
      <c r="A2603" s="3" t="n">
        <v>2024</v>
      </c>
      <c r="B2603" s="4" t="n">
        <v>3259</v>
      </c>
      <c r="C2603" s="4" t="n">
        <v>430</v>
      </c>
      <c r="D2603" s="4" t="n">
        <v>130.075</v>
      </c>
      <c r="E2603" s="5" t="n">
        <v>25.1</v>
      </c>
      <c r="F2603" s="3" t="inlineStr">
        <is>
          <t>현도면</t>
        </is>
      </c>
      <c r="G2603" s="3" t="inlineStr">
        <is>
          <t>시목리</t>
        </is>
      </c>
      <c r="H2603" s="3" t="inlineStr">
        <is>
          <t>개발제한구역</t>
        </is>
      </c>
      <c r="I2603" s="3" t="inlineStr">
        <is>
          <t>묘지</t>
        </is>
      </c>
      <c r="J2603" s="3" t="inlineStr">
        <is>
          <t>현도면</t>
        </is>
      </c>
    </row>
    <row r="2604">
      <c r="A2604" s="3" t="n">
        <v>2026</v>
      </c>
      <c r="B2604" s="4" t="n">
        <v>6900</v>
      </c>
      <c r="C2604" s="4" t="n">
        <v>1518</v>
      </c>
      <c r="D2604" s="4" t="n">
        <v>459.195</v>
      </c>
      <c r="E2604" s="5" t="n">
        <v>15</v>
      </c>
      <c r="F2604" s="3" t="inlineStr">
        <is>
          <t>남이면</t>
        </is>
      </c>
      <c r="G2604" s="3" t="inlineStr">
        <is>
          <t>문동리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2026</v>
      </c>
      <c r="B2605" s="4" t="n">
        <v>51000</v>
      </c>
      <c r="C2605" s="4" t="n">
        <v>1779</v>
      </c>
      <c r="D2605" s="4" t="n">
        <v>538.1475</v>
      </c>
      <c r="E2605" s="5" t="n">
        <v>94.8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생산관리지역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2026</v>
      </c>
      <c r="B2606" s="4" t="n">
        <v>2130</v>
      </c>
      <c r="C2606" s="4" t="n">
        <v>235</v>
      </c>
      <c r="D2606" s="4" t="n">
        <v>71.08749999999999</v>
      </c>
      <c r="E2606" s="5" t="n">
        <v>30</v>
      </c>
      <c r="F2606" s="3" t="inlineStr">
        <is>
          <t>남이면</t>
        </is>
      </c>
      <c r="G2606" s="3" t="inlineStr">
        <is>
          <t>부용외천리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남이면</t>
        </is>
      </c>
    </row>
    <row r="2607">
      <c r="A2607" s="3" t="n">
        <v>2026</v>
      </c>
      <c r="B2607" s="4" t="n">
        <v>3450</v>
      </c>
      <c r="C2607" s="4" t="n">
        <v>360</v>
      </c>
      <c r="D2607" s="4" t="n">
        <v>108.9</v>
      </c>
      <c r="E2607" s="5" t="n">
        <v>31.7</v>
      </c>
      <c r="F2607" s="3" t="inlineStr">
        <is>
          <t>남이면</t>
        </is>
      </c>
      <c r="G2607" s="3" t="inlineStr">
        <is>
          <t>부용외천리</t>
        </is>
      </c>
      <c r="H2607" s="3" t="inlineStr">
        <is>
          <t>보전관리지역</t>
        </is>
      </c>
      <c r="I2607" s="3" t="inlineStr">
        <is>
          <t>전</t>
        </is>
      </c>
      <c r="J2607" s="3" t="inlineStr">
        <is>
          <t>남이면</t>
        </is>
      </c>
    </row>
    <row r="2608">
      <c r="A2608" s="3" t="n">
        <v>2026</v>
      </c>
      <c r="B2608" s="4" t="n">
        <v>11900</v>
      </c>
      <c r="C2608" s="4" t="n">
        <v>1332</v>
      </c>
      <c r="D2608" s="4" t="n">
        <v>402.93</v>
      </c>
      <c r="E2608" s="5" t="n">
        <v>29.5</v>
      </c>
      <c r="F2608" s="3" t="inlineStr">
        <is>
          <t>남이면</t>
        </is>
      </c>
      <c r="G2608" s="3" t="inlineStr">
        <is>
          <t>부용외천리</t>
        </is>
      </c>
      <c r="H2608" s="3" t="inlineStr">
        <is>
          <t>보전관리지역</t>
        </is>
      </c>
      <c r="I2608" s="3" t="inlineStr">
        <is>
          <t>답</t>
        </is>
      </c>
      <c r="J2608" s="3" t="inlineStr">
        <is>
          <t>남이면</t>
        </is>
      </c>
    </row>
    <row r="2609">
      <c r="A2609" s="3" t="n">
        <v>2026</v>
      </c>
      <c r="B2609" s="4" t="n">
        <v>30483</v>
      </c>
      <c r="C2609" s="4" t="n">
        <v>2400</v>
      </c>
      <c r="D2609" s="4" t="n">
        <v>726</v>
      </c>
      <c r="E2609" s="5" t="n">
        <v>42</v>
      </c>
      <c r="F2609" s="3" t="inlineStr">
        <is>
          <t>남이면</t>
        </is>
      </c>
      <c r="G2609" s="3" t="inlineStr">
        <is>
          <t>척산리</t>
        </is>
      </c>
      <c r="H2609" s="3" t="inlineStr">
        <is>
          <t>자연녹지지역</t>
        </is>
      </c>
      <c r="I2609" s="3" t="inlineStr">
        <is>
          <t>전</t>
        </is>
      </c>
      <c r="J2609" s="3" t="inlineStr">
        <is>
          <t>남이면</t>
        </is>
      </c>
    </row>
    <row r="2610">
      <c r="A2610" s="3" t="n">
        <v>2026</v>
      </c>
      <c r="B2610" s="4" t="n">
        <v>33417</v>
      </c>
      <c r="C2610" s="4" t="n">
        <v>2631</v>
      </c>
      <c r="D2610" s="4" t="n">
        <v>795.8774999999999</v>
      </c>
      <c r="E2610" s="5" t="n">
        <v>42</v>
      </c>
      <c r="F2610" s="3" t="inlineStr">
        <is>
          <t>남이면</t>
        </is>
      </c>
      <c r="G2610" s="3" t="inlineStr">
        <is>
          <t>척산리</t>
        </is>
      </c>
      <c r="H2610" s="3" t="inlineStr">
        <is>
          <t>자연녹지지역</t>
        </is>
      </c>
      <c r="I2610" s="3" t="inlineStr">
        <is>
          <t>전</t>
        </is>
      </c>
      <c r="J2610" s="3" t="inlineStr">
        <is>
          <t>남이면</t>
        </is>
      </c>
    </row>
    <row r="2611">
      <c r="A2611" s="3" t="n">
        <v>2026</v>
      </c>
      <c r="B2611" s="4" t="n">
        <v>12800</v>
      </c>
      <c r="C2611" s="4" t="n">
        <v>1259</v>
      </c>
      <c r="D2611" s="4" t="n">
        <v>380.8475</v>
      </c>
      <c r="E2611" s="5" t="n">
        <v>33.6</v>
      </c>
      <c r="F2611" s="3" t="inlineStr">
        <is>
          <t>남이면</t>
        </is>
      </c>
      <c r="G2611" s="3" t="inlineStr">
        <is>
          <t>사동리</t>
        </is>
      </c>
      <c r="H2611" s="3" t="inlineStr">
        <is>
          <t>농림지역</t>
        </is>
      </c>
      <c r="I2611" s="3" t="inlineStr">
        <is>
          <t>전</t>
        </is>
      </c>
      <c r="J2611" s="3" t="inlineStr">
        <is>
          <t>남이면</t>
        </is>
      </c>
    </row>
    <row r="2612">
      <c r="A2612" s="3" t="n">
        <v>2026</v>
      </c>
      <c r="B2612" s="4" t="n">
        <v>3200</v>
      </c>
      <c r="C2612" s="4" t="n">
        <v>311.3</v>
      </c>
      <c r="D2612" s="4" t="n">
        <v>94.16825</v>
      </c>
      <c r="E2612" s="5" t="n">
        <v>34</v>
      </c>
      <c r="F2612" s="3" t="inlineStr">
        <is>
          <t>남이면</t>
        </is>
      </c>
      <c r="G2612" s="3" t="inlineStr">
        <is>
          <t>사동리</t>
        </is>
      </c>
      <c r="H2612" s="3" t="inlineStr">
        <is>
          <t>농림지역</t>
        </is>
      </c>
      <c r="I2612" s="3" t="inlineStr">
        <is>
          <t>답</t>
        </is>
      </c>
      <c r="J2612" s="3" t="inlineStr">
        <is>
          <t>남이면</t>
        </is>
      </c>
    </row>
    <row r="2613">
      <c r="A2613" s="3" t="n">
        <v>2026</v>
      </c>
      <c r="B2613" s="4" t="n">
        <v>4741</v>
      </c>
      <c r="C2613" s="4" t="n">
        <v>442</v>
      </c>
      <c r="D2613" s="4" t="n">
        <v>133.705</v>
      </c>
      <c r="E2613" s="5" t="n">
        <v>35.5</v>
      </c>
      <c r="F2613" s="3" t="inlineStr">
        <is>
          <t>남이면</t>
        </is>
      </c>
      <c r="G2613" s="3" t="inlineStr">
        <is>
          <t>팔봉리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남이면</t>
        </is>
      </c>
    </row>
    <row r="2614">
      <c r="A2614" s="3" t="n">
        <v>2026</v>
      </c>
      <c r="B2614" s="4" t="n">
        <v>18500</v>
      </c>
      <c r="C2614" s="4" t="n">
        <v>495</v>
      </c>
      <c r="D2614" s="4" t="n">
        <v>149.7375</v>
      </c>
      <c r="E2614" s="5" t="n">
        <v>123.5</v>
      </c>
      <c r="F2614" s="3" t="inlineStr">
        <is>
          <t>남이면</t>
        </is>
      </c>
      <c r="G2614" s="3" t="inlineStr">
        <is>
          <t>구암리</t>
        </is>
      </c>
      <c r="H2614" s="3" t="inlineStr">
        <is>
          <t>자연녹지지역</t>
        </is>
      </c>
      <c r="I2614" s="3" t="inlineStr">
        <is>
          <t>대</t>
        </is>
      </c>
      <c r="J2614" s="3" t="inlineStr">
        <is>
          <t>남이면</t>
        </is>
      </c>
    </row>
    <row r="2615">
      <c r="A2615" s="3" t="n">
        <v>2026</v>
      </c>
      <c r="B2615" s="4" t="n">
        <v>200</v>
      </c>
      <c r="C2615" s="4" t="n">
        <v>178</v>
      </c>
      <c r="D2615" s="4" t="n">
        <v>53.845</v>
      </c>
      <c r="E2615" s="5" t="n">
        <v>3.7</v>
      </c>
      <c r="F2615" s="3" t="inlineStr">
        <is>
          <t>현도면</t>
        </is>
      </c>
      <c r="G2615" s="3" t="inlineStr">
        <is>
          <t>하석리</t>
        </is>
      </c>
      <c r="H2615" s="3" t="inlineStr">
        <is>
          <t>자연녹지지역</t>
        </is>
      </c>
      <c r="I2615" s="3" t="inlineStr">
        <is>
          <t>전</t>
        </is>
      </c>
      <c r="J2615" s="3" t="inlineStr">
        <is>
          <t>현도면</t>
        </is>
      </c>
    </row>
    <row r="2616">
      <c r="A2616" s="3" t="n">
        <v>2024</v>
      </c>
      <c r="B2616" s="4" t="n">
        <v>6000</v>
      </c>
      <c r="C2616" s="4" t="n">
        <v>352</v>
      </c>
      <c r="D2616" s="4" t="n">
        <v>106.48</v>
      </c>
      <c r="E2616" s="5" t="n">
        <v>56.3</v>
      </c>
      <c r="F2616" s="3" t="inlineStr">
        <is>
          <t>금남면</t>
        </is>
      </c>
      <c r="G2616" s="3" t="inlineStr">
        <is>
          <t>남곡리</t>
        </is>
      </c>
      <c r="H2616" s="3" t="inlineStr">
        <is>
          <t>개발제한구역</t>
        </is>
      </c>
      <c r="I2616" s="3" t="inlineStr">
        <is>
          <t>답</t>
        </is>
      </c>
      <c r="J2616" s="3" t="inlineStr">
        <is>
          <t>금남면</t>
        </is>
      </c>
    </row>
    <row r="2617">
      <c r="A2617" s="3" t="n">
        <v>2024</v>
      </c>
      <c r="B2617" s="4" t="n">
        <v>2000</v>
      </c>
      <c r="C2617" s="4" t="n">
        <v>86</v>
      </c>
      <c r="D2617" s="4" t="n">
        <v>26.015</v>
      </c>
      <c r="E2617" s="5" t="n">
        <v>76.90000000000001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개발제한구역</t>
        </is>
      </c>
      <c r="I2617" s="3" t="inlineStr">
        <is>
          <t>답</t>
        </is>
      </c>
      <c r="J2617" s="3" t="inlineStr">
        <is>
          <t>금남면</t>
        </is>
      </c>
    </row>
    <row r="2618">
      <c r="A2618" s="3" t="n">
        <v>2024</v>
      </c>
      <c r="B2618" s="4" t="n">
        <v>6500</v>
      </c>
      <c r="C2618" s="4" t="n">
        <v>258</v>
      </c>
      <c r="D2618" s="4" t="n">
        <v>78.045</v>
      </c>
      <c r="E2618" s="5" t="n">
        <v>83.3</v>
      </c>
      <c r="F2618" s="3" t="inlineStr">
        <is>
          <t>금남면</t>
        </is>
      </c>
      <c r="G2618" s="3" t="inlineStr">
        <is>
          <t>용담리</t>
        </is>
      </c>
      <c r="H2618" s="3" t="inlineStr">
        <is>
          <t>개발제한구역</t>
        </is>
      </c>
      <c r="I2618" s="3" t="inlineStr">
        <is>
          <t>답</t>
        </is>
      </c>
      <c r="J2618" s="3" t="inlineStr">
        <is>
          <t>금남면</t>
        </is>
      </c>
    </row>
    <row r="2619">
      <c r="A2619" s="3" t="n">
        <v>2024</v>
      </c>
      <c r="B2619" s="4" t="n">
        <v>14870</v>
      </c>
      <c r="C2619" s="4" t="n">
        <v>228</v>
      </c>
      <c r="D2619" s="4" t="n">
        <v>68.97</v>
      </c>
      <c r="E2619" s="5" t="n">
        <v>215.6</v>
      </c>
      <c r="F2619" s="3" t="inlineStr">
        <is>
          <t>연서면</t>
        </is>
      </c>
      <c r="G2619" s="3" t="inlineStr">
        <is>
          <t>월하리</t>
        </is>
      </c>
      <c r="H2619" s="3" t="inlineStr">
        <is>
          <t>자연녹지지역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2024</v>
      </c>
      <c r="B2620" s="4" t="n">
        <v>68130</v>
      </c>
      <c r="C2620" s="4" t="n">
        <v>1045</v>
      </c>
      <c r="D2620" s="4" t="n">
        <v>316.1125</v>
      </c>
      <c r="E2620" s="5" t="n">
        <v>215.5</v>
      </c>
      <c r="F2620" s="3" t="inlineStr">
        <is>
          <t>연서면</t>
        </is>
      </c>
      <c r="G2620" s="3" t="inlineStr">
        <is>
          <t>월하리</t>
        </is>
      </c>
      <c r="H2620" s="3" t="inlineStr">
        <is>
          <t>자연녹지지역</t>
        </is>
      </c>
      <c r="I2620" s="3" t="inlineStr">
        <is>
          <t>전</t>
        </is>
      </c>
      <c r="J2620" s="3" t="inlineStr">
        <is>
          <t>연서면</t>
        </is>
      </c>
    </row>
    <row r="2621">
      <c r="A2621" s="3" t="n">
        <v>2024</v>
      </c>
      <c r="B2621" s="4" t="n">
        <v>14648</v>
      </c>
      <c r="C2621" s="4" t="n">
        <v>650</v>
      </c>
      <c r="D2621" s="4" t="n">
        <v>196.625</v>
      </c>
      <c r="E2621" s="5" t="n">
        <v>74.5</v>
      </c>
      <c r="F2621" s="3" t="inlineStr">
        <is>
          <t>장군면</t>
        </is>
      </c>
      <c r="G2621" s="3" t="inlineStr">
        <is>
          <t>대교리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장군면</t>
        </is>
      </c>
    </row>
    <row r="2622">
      <c r="A2622" s="3" t="n">
        <v>2024</v>
      </c>
      <c r="B2622" s="4" t="n">
        <v>1352</v>
      </c>
      <c r="C2622" s="4" t="n">
        <v>60</v>
      </c>
      <c r="D2622" s="4" t="n">
        <v>18.15</v>
      </c>
      <c r="E2622" s="5" t="n">
        <v>74.5</v>
      </c>
      <c r="F2622" s="3" t="inlineStr">
        <is>
          <t>장군면</t>
        </is>
      </c>
      <c r="G2622" s="3" t="inlineStr">
        <is>
          <t>대교리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장군면</t>
        </is>
      </c>
    </row>
    <row r="2623">
      <c r="A2623" s="3" t="n">
        <v>2024</v>
      </c>
      <c r="B2623" s="4" t="n">
        <v>65000</v>
      </c>
      <c r="C2623" s="4" t="n">
        <v>1366</v>
      </c>
      <c r="D2623" s="4" t="n">
        <v>413.215</v>
      </c>
      <c r="E2623" s="5" t="n">
        <v>157.3</v>
      </c>
      <c r="F2623" s="3" t="inlineStr">
        <is>
          <t>전의면</t>
        </is>
      </c>
      <c r="G2623" s="3" t="inlineStr">
        <is>
          <t>영당리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전의면</t>
        </is>
      </c>
    </row>
    <row r="2624">
      <c r="A2624" s="3" t="n">
        <v>2024</v>
      </c>
      <c r="B2624" s="4" t="n">
        <v>15000</v>
      </c>
      <c r="C2624" s="4" t="n">
        <v>1507</v>
      </c>
      <c r="D2624" s="4" t="n">
        <v>455.8675</v>
      </c>
      <c r="E2624" s="5" t="n">
        <v>32.9</v>
      </c>
      <c r="F2624" s="3" t="inlineStr">
        <is>
          <t>장군면</t>
        </is>
      </c>
      <c r="G2624" s="3" t="inlineStr">
        <is>
          <t>용암리</t>
        </is>
      </c>
      <c r="H2624" s="3" t="inlineStr">
        <is>
          <t>보전관리지역</t>
        </is>
      </c>
      <c r="I2624" s="3" t="inlineStr">
        <is>
          <t>전</t>
        </is>
      </c>
      <c r="J2624" s="3" t="inlineStr">
        <is>
          <t>장군면</t>
        </is>
      </c>
    </row>
    <row r="2625">
      <c r="A2625" s="3" t="n">
        <v>2024</v>
      </c>
      <c r="B2625" s="4" t="n">
        <v>5000</v>
      </c>
      <c r="C2625" s="4" t="n">
        <v>1924</v>
      </c>
      <c r="D2625" s="4" t="n">
        <v>582.01</v>
      </c>
      <c r="E2625" s="5" t="n">
        <v>8.6</v>
      </c>
      <c r="F2625" s="3" t="inlineStr">
        <is>
          <t>부강면</t>
        </is>
      </c>
      <c r="G2625" s="3" t="inlineStr">
        <is>
          <t>행산리</t>
        </is>
      </c>
      <c r="H2625" s="3" t="inlineStr">
        <is>
          <t>계획관리지역</t>
        </is>
      </c>
      <c r="I2625" s="3" t="inlineStr">
        <is>
          <t>답</t>
        </is>
      </c>
      <c r="J2625" s="3" t="inlineStr">
        <is>
          <t>부강면</t>
        </is>
      </c>
    </row>
    <row r="2626">
      <c r="A2626" s="3" t="n">
        <v>2024</v>
      </c>
      <c r="B2626" s="4" t="n">
        <v>26400</v>
      </c>
      <c r="C2626" s="4" t="n">
        <v>221</v>
      </c>
      <c r="D2626" s="4" t="n">
        <v>66.85249999999999</v>
      </c>
      <c r="E2626" s="5" t="n">
        <v>394.9</v>
      </c>
      <c r="F2626" s="3" t="inlineStr">
        <is>
          <t>장군면</t>
        </is>
      </c>
      <c r="G2626" s="3" t="inlineStr">
        <is>
          <t>대교리</t>
        </is>
      </c>
      <c r="H2626" s="3" t="inlineStr">
        <is>
          <t>계획관리지역</t>
        </is>
      </c>
      <c r="I2626" s="3" t="inlineStr">
        <is>
          <t>답</t>
        </is>
      </c>
      <c r="J2626" s="3" t="inlineStr">
        <is>
          <t>장군면</t>
        </is>
      </c>
    </row>
    <row r="2627">
      <c r="A2627" s="3" t="n">
        <v>2024</v>
      </c>
      <c r="B2627" s="4" t="n">
        <v>4700</v>
      </c>
      <c r="C2627" s="4" t="n">
        <v>326</v>
      </c>
      <c r="D2627" s="4" t="n">
        <v>98.61499999999999</v>
      </c>
      <c r="E2627" s="5" t="n">
        <v>47.7</v>
      </c>
      <c r="F2627" s="3" t="inlineStr">
        <is>
          <t>소정면</t>
        </is>
      </c>
      <c r="G2627" s="3" t="inlineStr">
        <is>
          <t>운당리</t>
        </is>
      </c>
      <c r="H2627" s="3" t="inlineStr">
        <is>
          <t>계획관리지역</t>
        </is>
      </c>
      <c r="I2627" s="3" t="inlineStr">
        <is>
          <t>대</t>
        </is>
      </c>
      <c r="J2627" s="3" t="inlineStr">
        <is>
          <t>소정면</t>
        </is>
      </c>
    </row>
    <row r="2628">
      <c r="A2628" s="3" t="n">
        <v>2024</v>
      </c>
      <c r="B2628" s="4" t="n">
        <v>5614</v>
      </c>
      <c r="C2628" s="4" t="n">
        <v>54</v>
      </c>
      <c r="D2628" s="4" t="n">
        <v>16.335</v>
      </c>
      <c r="E2628" s="5" t="n">
        <v>343.7</v>
      </c>
      <c r="F2628" s="3" t="inlineStr">
        <is>
          <t>조치원읍</t>
        </is>
      </c>
      <c r="G2628" s="3" t="inlineStr">
        <is>
          <t>평리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조치원읍</t>
        </is>
      </c>
    </row>
    <row r="2629">
      <c r="A2629" s="3" t="n">
        <v>2024</v>
      </c>
      <c r="B2629" s="4" t="n">
        <v>25000</v>
      </c>
      <c r="C2629" s="4" t="n">
        <v>2202.8</v>
      </c>
      <c r="D2629" s="4" t="n">
        <v>666.347</v>
      </c>
      <c r="E2629" s="5" t="n">
        <v>37.5</v>
      </c>
      <c r="F2629" s="3" t="inlineStr">
        <is>
          <t>연동면</t>
        </is>
      </c>
      <c r="G2629" s="3" t="inlineStr">
        <is>
          <t>명학리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연동면</t>
        </is>
      </c>
    </row>
    <row r="2630">
      <c r="A2630" s="3" t="n">
        <v>2024</v>
      </c>
      <c r="B2630" s="4" t="n">
        <v>182000</v>
      </c>
      <c r="C2630" s="4" t="n">
        <v>1041</v>
      </c>
      <c r="D2630" s="4" t="n">
        <v>314.9025</v>
      </c>
      <c r="E2630" s="5" t="n">
        <v>578</v>
      </c>
      <c r="F2630" s="3" t="inlineStr">
        <is>
          <t>연동면</t>
        </is>
      </c>
      <c r="G2630" s="3" t="inlineStr">
        <is>
          <t>내판리</t>
        </is>
      </c>
      <c r="H2630" s="3" t="inlineStr">
        <is>
          <t>계획관리지역</t>
        </is>
      </c>
      <c r="I2630" s="3" t="inlineStr">
        <is>
          <t>잡종지</t>
        </is>
      </c>
      <c r="J2630" s="3" t="inlineStr">
        <is>
          <t>연동면</t>
        </is>
      </c>
    </row>
    <row r="2631">
      <c r="A2631" s="3" t="n">
        <v>2023</v>
      </c>
      <c r="B2631" s="4" t="n">
        <v>42834</v>
      </c>
      <c r="C2631" s="4" t="n">
        <v>590</v>
      </c>
      <c r="D2631" s="4" t="n">
        <v>178.475</v>
      </c>
      <c r="E2631" s="5" t="n">
        <v>240</v>
      </c>
      <c r="F2631" s="3" t="inlineStr">
        <is>
          <t>금남면</t>
        </is>
      </c>
      <c r="G2631" s="3" t="inlineStr">
        <is>
          <t>성덕리</t>
        </is>
      </c>
      <c r="H2631" s="3" t="inlineStr">
        <is>
          <t>생산관리지역</t>
        </is>
      </c>
      <c r="I2631" s="3" t="inlineStr">
        <is>
          <t>목장용지</t>
        </is>
      </c>
      <c r="J2631" s="3" t="inlineStr">
        <is>
          <t>금남면</t>
        </is>
      </c>
    </row>
    <row r="2632">
      <c r="A2632" s="3" t="n">
        <v>2023</v>
      </c>
      <c r="B2632" s="4" t="n">
        <v>6500</v>
      </c>
      <c r="C2632" s="4" t="n">
        <v>1021</v>
      </c>
      <c r="D2632" s="4" t="n">
        <v>308.8525</v>
      </c>
      <c r="E2632" s="5" t="n">
        <v>21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부강면</t>
        </is>
      </c>
    </row>
    <row r="2633">
      <c r="A2633" s="3" t="n">
        <v>2023</v>
      </c>
      <c r="B2633" s="4" t="n">
        <v>7000</v>
      </c>
      <c r="C2633" s="4" t="n">
        <v>1088</v>
      </c>
      <c r="D2633" s="4" t="n">
        <v>329.12</v>
      </c>
      <c r="E2633" s="5" t="n">
        <v>21.3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생산관리지역</t>
        </is>
      </c>
      <c r="I2633" s="3" t="inlineStr">
        <is>
          <t>전</t>
        </is>
      </c>
      <c r="J2633" s="3" t="inlineStr">
        <is>
          <t>부강면</t>
        </is>
      </c>
    </row>
    <row r="2634">
      <c r="A2634" s="3" t="n">
        <v>2023</v>
      </c>
      <c r="B2634" s="4" t="n">
        <v>40800</v>
      </c>
      <c r="C2634" s="4" t="n">
        <v>3375.2</v>
      </c>
      <c r="D2634" s="4" t="n">
        <v>1020.998</v>
      </c>
      <c r="E2634" s="5" t="n">
        <v>40</v>
      </c>
      <c r="F2634" s="3" t="inlineStr">
        <is>
          <t>연서면</t>
        </is>
      </c>
      <c r="G2634" s="3" t="inlineStr">
        <is>
          <t>월하리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2023</v>
      </c>
      <c r="B2635" s="4" t="n">
        <v>14300</v>
      </c>
      <c r="C2635" s="4" t="n">
        <v>433</v>
      </c>
      <c r="D2635" s="4" t="n">
        <v>130.9825</v>
      </c>
      <c r="E2635" s="5" t="n">
        <v>109.2</v>
      </c>
      <c r="F2635" s="3" t="inlineStr">
        <is>
          <t>소정면</t>
        </is>
      </c>
      <c r="G2635" s="3" t="inlineStr">
        <is>
          <t>운당리</t>
        </is>
      </c>
      <c r="H2635" s="3" t="inlineStr">
        <is>
          <t>계획관리지역</t>
        </is>
      </c>
      <c r="I2635" s="3" t="inlineStr">
        <is>
          <t>답</t>
        </is>
      </c>
      <c r="J2635" s="3" t="inlineStr">
        <is>
          <t>소정면</t>
        </is>
      </c>
    </row>
    <row r="2636">
      <c r="A2636" s="3" t="n">
        <v>2023</v>
      </c>
      <c r="B2636" s="4" t="n">
        <v>50800</v>
      </c>
      <c r="C2636" s="4" t="n">
        <v>646</v>
      </c>
      <c r="D2636" s="4" t="n">
        <v>195.415</v>
      </c>
      <c r="E2636" s="5" t="n">
        <v>260</v>
      </c>
      <c r="F2636" s="3" t="inlineStr">
        <is>
          <t>장군면</t>
        </is>
      </c>
      <c r="G2636" s="3" t="inlineStr">
        <is>
          <t>대교리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장군면</t>
        </is>
      </c>
    </row>
    <row r="2637">
      <c r="A2637" s="3" t="n">
        <v>2023</v>
      </c>
      <c r="B2637" s="4" t="n">
        <v>7800</v>
      </c>
      <c r="C2637" s="4" t="n">
        <v>506</v>
      </c>
      <c r="D2637" s="4" t="n">
        <v>153.065</v>
      </c>
      <c r="E2637" s="5" t="n">
        <v>51</v>
      </c>
      <c r="F2637" s="3" t="inlineStr">
        <is>
          <t>전의면</t>
        </is>
      </c>
      <c r="G2637" s="3" t="inlineStr">
        <is>
          <t>관정리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2023</v>
      </c>
      <c r="B2638" s="4" t="n">
        <v>8700</v>
      </c>
      <c r="C2638" s="4" t="n">
        <v>565</v>
      </c>
      <c r="D2638" s="4" t="n">
        <v>170.9125</v>
      </c>
      <c r="E2638" s="5" t="n">
        <v>50.9</v>
      </c>
      <c r="F2638" s="3" t="inlineStr">
        <is>
          <t>전의면</t>
        </is>
      </c>
      <c r="G2638" s="3" t="inlineStr">
        <is>
          <t>관정리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전의면</t>
        </is>
      </c>
    </row>
    <row r="2639">
      <c r="A2639" s="3" t="n">
        <v>2023</v>
      </c>
      <c r="B2639" s="4" t="n">
        <v>1050</v>
      </c>
      <c r="C2639" s="4" t="n">
        <v>54</v>
      </c>
      <c r="D2639" s="4" t="n">
        <v>16.335</v>
      </c>
      <c r="E2639" s="5" t="n">
        <v>64.3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생산관리지역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2490</v>
      </c>
      <c r="C2640" s="4" t="n">
        <v>274</v>
      </c>
      <c r="D2640" s="4" t="n">
        <v>82.88499999999999</v>
      </c>
      <c r="E2640" s="5" t="n">
        <v>30</v>
      </c>
      <c r="F2640" s="3" t="inlineStr">
        <is>
          <t>장군면</t>
        </is>
      </c>
      <c r="G2640" s="3" t="inlineStr">
        <is>
          <t>산학리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장군면</t>
        </is>
      </c>
    </row>
    <row r="2641">
      <c r="A2641" s="3" t="n">
        <v>2022</v>
      </c>
      <c r="B2641" s="4" t="n">
        <v>10000</v>
      </c>
      <c r="C2641" s="4" t="n">
        <v>493</v>
      </c>
      <c r="D2641" s="4" t="n">
        <v>149.1325</v>
      </c>
      <c r="E2641" s="5" t="n">
        <v>67.09999999999999</v>
      </c>
      <c r="F2641" s="3" t="inlineStr">
        <is>
          <t>연서면</t>
        </is>
      </c>
      <c r="G2641" s="3" t="inlineStr">
        <is>
          <t>기룡리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17700</v>
      </c>
      <c r="C2642" s="4" t="n">
        <v>1002</v>
      </c>
      <c r="D2642" s="4" t="n">
        <v>303.105</v>
      </c>
      <c r="E2642" s="5" t="n">
        <v>58.4</v>
      </c>
      <c r="F2642" s="3" t="inlineStr">
        <is>
          <t>연서면</t>
        </is>
      </c>
      <c r="G2642" s="3" t="inlineStr">
        <is>
          <t>기룡리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39000</v>
      </c>
      <c r="C2643" s="4" t="n">
        <v>1236</v>
      </c>
      <c r="D2643" s="4" t="n">
        <v>373.89</v>
      </c>
      <c r="E2643" s="5" t="n">
        <v>104.3</v>
      </c>
      <c r="F2643" s="3" t="inlineStr">
        <is>
          <t>금남면</t>
        </is>
      </c>
      <c r="G2643" s="3" t="inlineStr">
        <is>
          <t>도암리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2022</v>
      </c>
      <c r="B2644" s="4" t="n">
        <v>15260</v>
      </c>
      <c r="C2644" s="4" t="n">
        <v>108</v>
      </c>
      <c r="D2644" s="4" t="n">
        <v>32.67</v>
      </c>
      <c r="E2644" s="5" t="n">
        <v>467.1</v>
      </c>
      <c r="F2644" s="3" t="inlineStr">
        <is>
          <t>연서면</t>
        </is>
      </c>
      <c r="G2644" s="3" t="inlineStr">
        <is>
          <t>봉암리</t>
        </is>
      </c>
      <c r="H2644" s="3" t="inlineStr">
        <is>
          <t>계획관리지역</t>
        </is>
      </c>
      <c r="I2644" s="3" t="inlineStr">
        <is>
          <t>대</t>
        </is>
      </c>
      <c r="J2644" s="3" t="inlineStr">
        <is>
          <t>연서면</t>
        </is>
      </c>
    </row>
    <row r="2645">
      <c r="A2645" s="3" t="n">
        <v>2022</v>
      </c>
      <c r="B2645" s="4" t="n">
        <v>1272</v>
      </c>
      <c r="C2645" s="4" t="n">
        <v>9</v>
      </c>
      <c r="D2645" s="4" t="n">
        <v>2.7225</v>
      </c>
      <c r="E2645" s="5" t="n">
        <v>467.2</v>
      </c>
      <c r="F2645" s="3" t="inlineStr">
        <is>
          <t>연서면</t>
        </is>
      </c>
      <c r="G2645" s="3" t="inlineStr">
        <is>
          <t>봉암리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연서면</t>
        </is>
      </c>
    </row>
    <row r="2646">
      <c r="A2646" s="3" t="n">
        <v>2022</v>
      </c>
      <c r="B2646" s="4" t="n">
        <v>28500</v>
      </c>
      <c r="C2646" s="4" t="n">
        <v>992</v>
      </c>
      <c r="D2646" s="4" t="n">
        <v>300.08</v>
      </c>
      <c r="E2646" s="5" t="n">
        <v>95</v>
      </c>
      <c r="F2646" s="3" t="inlineStr">
        <is>
          <t>전동면</t>
        </is>
      </c>
      <c r="G2646" s="3" t="inlineStr">
        <is>
          <t>미곡리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전동면</t>
        </is>
      </c>
    </row>
    <row r="2647">
      <c r="A2647" s="3" t="n">
        <v>2022</v>
      </c>
      <c r="B2647" s="4" t="n">
        <v>37100</v>
      </c>
      <c r="C2647" s="4" t="n">
        <v>483</v>
      </c>
      <c r="D2647" s="4" t="n">
        <v>146.1075</v>
      </c>
      <c r="E2647" s="5" t="n">
        <v>253.9</v>
      </c>
      <c r="F2647" s="3" t="inlineStr">
        <is>
          <t>금남면</t>
        </is>
      </c>
      <c r="G2647" s="3" t="inlineStr">
        <is>
          <t>성덕리</t>
        </is>
      </c>
      <c r="H2647" s="3" t="inlineStr">
        <is>
          <t>생산관리지역</t>
        </is>
      </c>
      <c r="I2647" s="3" t="inlineStr">
        <is>
          <t>양어장</t>
        </is>
      </c>
      <c r="J2647" s="3" t="inlineStr">
        <is>
          <t>금남면</t>
        </is>
      </c>
    </row>
    <row r="2648">
      <c r="A2648" s="3" t="n">
        <v>2022</v>
      </c>
      <c r="B2648" s="4" t="n">
        <v>12900</v>
      </c>
      <c r="C2648" s="4" t="n">
        <v>168</v>
      </c>
      <c r="D2648" s="4" t="n">
        <v>50.82</v>
      </c>
      <c r="E2648" s="5" t="n">
        <v>253.8</v>
      </c>
      <c r="F2648" s="3" t="inlineStr">
        <is>
          <t>금남면</t>
        </is>
      </c>
      <c r="G2648" s="3" t="inlineStr">
        <is>
          <t>성덕리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2022</v>
      </c>
      <c r="B2649" s="4" t="n">
        <v>41331</v>
      </c>
      <c r="C2649" s="4" t="n">
        <v>493</v>
      </c>
      <c r="D2649" s="4" t="n">
        <v>149.1325</v>
      </c>
      <c r="E2649" s="5" t="n">
        <v>277.1</v>
      </c>
      <c r="F2649" s="3" t="inlineStr">
        <is>
          <t>금남면</t>
        </is>
      </c>
      <c r="G2649" s="3" t="inlineStr">
        <is>
          <t>성덕리</t>
        </is>
      </c>
      <c r="H2649" s="3" t="inlineStr">
        <is>
          <t>보전관리지역</t>
        </is>
      </c>
      <c r="I2649" s="3" t="inlineStr">
        <is>
          <t>전</t>
        </is>
      </c>
      <c r="J2649" s="3" t="inlineStr">
        <is>
          <t>금남면</t>
        </is>
      </c>
    </row>
    <row r="2650">
      <c r="A2650" s="3" t="n">
        <v>2022</v>
      </c>
      <c r="B2650" s="4" t="n">
        <v>27500</v>
      </c>
      <c r="C2650" s="4" t="n">
        <v>408</v>
      </c>
      <c r="D2650" s="4" t="n">
        <v>123.42</v>
      </c>
      <c r="E2650" s="5" t="n">
        <v>222.8</v>
      </c>
      <c r="F2650" s="3" t="inlineStr">
        <is>
          <t>금남면</t>
        </is>
      </c>
      <c r="G2650" s="3" t="inlineStr">
        <is>
          <t>성덕리</t>
        </is>
      </c>
      <c r="H2650" s="3" t="inlineStr">
        <is>
          <t>계획관리지역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7354</v>
      </c>
      <c r="C2651" s="4" t="n">
        <v>641</v>
      </c>
      <c r="D2651" s="4" t="n">
        <v>193.9025</v>
      </c>
      <c r="E2651" s="5" t="n">
        <v>37.9</v>
      </c>
      <c r="F2651" s="3" t="inlineStr">
        <is>
          <t>전의면</t>
        </is>
      </c>
      <c r="G2651" s="3" t="inlineStr">
        <is>
          <t>신정리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2025</v>
      </c>
      <c r="B2652" s="4" t="n">
        <v>75000</v>
      </c>
      <c r="C2652" s="4" t="n">
        <v>1647</v>
      </c>
      <c r="D2652" s="4" t="n">
        <v>498.2175</v>
      </c>
      <c r="E2652" s="5" t="n">
        <v>150.5</v>
      </c>
      <c r="F2652" s="3" t="inlineStr">
        <is>
          <t>연기면</t>
        </is>
      </c>
      <c r="G2652" s="3" t="inlineStr">
        <is>
          <t>수산리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연기면</t>
        </is>
      </c>
    </row>
    <row r="2653">
      <c r="A2653" s="3" t="n">
        <v>2022</v>
      </c>
      <c r="B2653" s="4" t="n">
        <v>9000</v>
      </c>
      <c r="C2653" s="4" t="n">
        <v>179</v>
      </c>
      <c r="D2653" s="4" t="n">
        <v>54.1475</v>
      </c>
      <c r="E2653" s="5" t="n">
        <v>166.2</v>
      </c>
      <c r="F2653" s="3" t="inlineStr">
        <is>
          <t>연서면</t>
        </is>
      </c>
      <c r="G2653" s="3" t="inlineStr">
        <is>
          <t>쌍전리</t>
        </is>
      </c>
      <c r="H2653" s="3" t="inlineStr">
        <is>
          <t>자연녹지지역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2500</v>
      </c>
      <c r="C2654" s="4" t="n">
        <v>314</v>
      </c>
      <c r="D2654" s="4" t="n">
        <v>94.985</v>
      </c>
      <c r="E2654" s="5" t="n">
        <v>26.3</v>
      </c>
      <c r="F2654" s="3" t="inlineStr">
        <is>
          <t>전의면</t>
        </is>
      </c>
      <c r="G2654" s="3" t="inlineStr">
        <is>
          <t>양곡리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전의면</t>
        </is>
      </c>
    </row>
    <row r="2655">
      <c r="A2655" s="3" t="n">
        <v>2022</v>
      </c>
      <c r="B2655" s="4" t="n">
        <v>27000</v>
      </c>
      <c r="C2655" s="4" t="n">
        <v>1755</v>
      </c>
      <c r="D2655" s="4" t="n">
        <v>530.8874999999999</v>
      </c>
      <c r="E2655" s="5" t="n">
        <v>50.9</v>
      </c>
      <c r="F2655" s="3" t="inlineStr">
        <is>
          <t>전동면</t>
        </is>
      </c>
      <c r="G2655" s="3" t="inlineStr">
        <is>
          <t>청송리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2022</v>
      </c>
      <c r="B2656" s="4" t="n">
        <v>33760</v>
      </c>
      <c r="C2656" s="4" t="n">
        <v>532</v>
      </c>
      <c r="D2656" s="4" t="n">
        <v>160.93</v>
      </c>
      <c r="E2656" s="5" t="n">
        <v>209.8</v>
      </c>
      <c r="F2656" s="3" t="inlineStr">
        <is>
          <t>금남면</t>
        </is>
      </c>
      <c r="G2656" s="3" t="inlineStr">
        <is>
          <t>성강리</t>
        </is>
      </c>
      <c r="H2656" s="3" t="inlineStr">
        <is>
          <t>생산관리지역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33760</v>
      </c>
      <c r="C2657" s="4" t="n">
        <v>531</v>
      </c>
      <c r="D2657" s="4" t="n">
        <v>160.6275</v>
      </c>
      <c r="E2657" s="5" t="n">
        <v>210.2</v>
      </c>
      <c r="F2657" s="3" t="inlineStr">
        <is>
          <t>금남면</t>
        </is>
      </c>
      <c r="G2657" s="3" t="inlineStr">
        <is>
          <t>성강리</t>
        </is>
      </c>
      <c r="H2657" s="3" t="inlineStr">
        <is>
          <t>생산관리지역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109000</v>
      </c>
      <c r="C2658" s="4" t="n">
        <v>1210</v>
      </c>
      <c r="D2658" s="4" t="n">
        <v>366.025</v>
      </c>
      <c r="E2658" s="5" t="n">
        <v>297.8</v>
      </c>
      <c r="F2658" s="3" t="inlineStr">
        <is>
          <t>금남면</t>
        </is>
      </c>
      <c r="G2658" s="3" t="inlineStr">
        <is>
          <t>두만리</t>
        </is>
      </c>
      <c r="H2658" s="3" t="inlineStr">
        <is>
          <t>자연녹지지역</t>
        </is>
      </c>
      <c r="I2658" s="3" t="inlineStr">
        <is>
          <t>대</t>
        </is>
      </c>
      <c r="J2658" s="3" t="inlineStr">
        <is>
          <t>금남면</t>
        </is>
      </c>
    </row>
    <row r="2659">
      <c r="A2659" s="3" t="n">
        <v>2022</v>
      </c>
      <c r="B2659" s="4" t="n">
        <v>120680</v>
      </c>
      <c r="C2659" s="4" t="n">
        <v>1023</v>
      </c>
      <c r="D2659" s="4" t="n">
        <v>309.4575</v>
      </c>
      <c r="E2659" s="5" t="n">
        <v>390</v>
      </c>
      <c r="F2659" s="3" t="inlineStr">
        <is>
          <t>장군면</t>
        </is>
      </c>
      <c r="G2659" s="3" t="inlineStr">
        <is>
          <t>봉안리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장군면</t>
        </is>
      </c>
    </row>
    <row r="2660">
      <c r="A2660" s="3" t="n">
        <v>2022</v>
      </c>
      <c r="B2660" s="4" t="n">
        <v>10000</v>
      </c>
      <c r="C2660" s="4" t="n">
        <v>857</v>
      </c>
      <c r="D2660" s="4" t="n">
        <v>259.2425</v>
      </c>
      <c r="E2660" s="5" t="n">
        <v>38.6</v>
      </c>
      <c r="F2660" s="3" t="inlineStr">
        <is>
          <t>전동면</t>
        </is>
      </c>
      <c r="G2660" s="3" t="inlineStr">
        <is>
          <t>청송리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전동면</t>
        </is>
      </c>
    </row>
    <row r="2661">
      <c r="A2661" s="3" t="n">
        <v>2022</v>
      </c>
      <c r="B2661" s="4" t="n">
        <v>4200</v>
      </c>
      <c r="C2661" s="4" t="n">
        <v>694</v>
      </c>
      <c r="D2661" s="4" t="n">
        <v>209.935</v>
      </c>
      <c r="E2661" s="5" t="n">
        <v>20</v>
      </c>
      <c r="F2661" s="3" t="inlineStr">
        <is>
          <t>전의면</t>
        </is>
      </c>
      <c r="G2661" s="3" t="inlineStr">
        <is>
          <t>읍내리</t>
        </is>
      </c>
      <c r="H2661" s="3" t="inlineStr">
        <is>
          <t>보전녹지지역</t>
        </is>
      </c>
      <c r="I2661" s="3" t="inlineStr">
        <is>
          <t>임야</t>
        </is>
      </c>
      <c r="J2661" s="3" t="inlineStr">
        <is>
          <t>전의면</t>
        </is>
      </c>
    </row>
    <row r="2662">
      <c r="A2662" s="3" t="n">
        <v>2022</v>
      </c>
      <c r="B2662" s="4" t="n">
        <v>22234</v>
      </c>
      <c r="C2662" s="4" t="n">
        <v>490</v>
      </c>
      <c r="D2662" s="4" t="n">
        <v>148.225</v>
      </c>
      <c r="E2662" s="5" t="n">
        <v>150</v>
      </c>
      <c r="F2662" s="3" t="inlineStr">
        <is>
          <t>전의면</t>
        </is>
      </c>
      <c r="G2662" s="3" t="inlineStr">
        <is>
          <t>읍내리</t>
        </is>
      </c>
      <c r="H2662" s="3" t="inlineStr">
        <is>
          <t>자연녹지지역</t>
        </is>
      </c>
      <c r="I2662" s="3" t="inlineStr">
        <is>
          <t>임야</t>
        </is>
      </c>
      <c r="J2662" s="3" t="inlineStr">
        <is>
          <t>전의면</t>
        </is>
      </c>
    </row>
    <row r="2663">
      <c r="A2663" s="3" t="n">
        <v>2022</v>
      </c>
      <c r="B2663" s="4" t="n">
        <v>27452</v>
      </c>
      <c r="C2663" s="4" t="n">
        <v>605</v>
      </c>
      <c r="D2663" s="4" t="n">
        <v>183.0125</v>
      </c>
      <c r="E2663" s="5" t="n">
        <v>150</v>
      </c>
      <c r="F2663" s="3" t="inlineStr">
        <is>
          <t>전의면</t>
        </is>
      </c>
      <c r="G2663" s="3" t="inlineStr">
        <is>
          <t>읍내리</t>
        </is>
      </c>
      <c r="H2663" s="3" t="inlineStr">
        <is>
          <t>자연녹지지역</t>
        </is>
      </c>
      <c r="I2663" s="3" t="inlineStr">
        <is>
          <t>임야</t>
        </is>
      </c>
      <c r="J2663" s="3" t="inlineStr">
        <is>
          <t>전의면</t>
        </is>
      </c>
    </row>
    <row r="2664">
      <c r="A2664" s="3" t="n">
        <v>2022</v>
      </c>
      <c r="B2664" s="4" t="n">
        <v>22678</v>
      </c>
      <c r="C2664" s="4" t="n">
        <v>448</v>
      </c>
      <c r="D2664" s="4" t="n">
        <v>135.52</v>
      </c>
      <c r="E2664" s="5" t="n">
        <v>167.3</v>
      </c>
      <c r="F2664" s="3" t="inlineStr">
        <is>
          <t>전의면</t>
        </is>
      </c>
      <c r="G2664" s="3" t="inlineStr">
        <is>
          <t>읍내리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전의면</t>
        </is>
      </c>
    </row>
    <row r="2665">
      <c r="A2665" s="3" t="n">
        <v>2022</v>
      </c>
      <c r="B2665" s="4" t="n">
        <v>861</v>
      </c>
      <c r="C2665" s="4" t="n">
        <v>17</v>
      </c>
      <c r="D2665" s="4" t="n">
        <v>5.1425</v>
      </c>
      <c r="E2665" s="5" t="n">
        <v>167.4</v>
      </c>
      <c r="F2665" s="3" t="inlineStr">
        <is>
          <t>전의면</t>
        </is>
      </c>
      <c r="G2665" s="3" t="inlineStr">
        <is>
          <t>읍내리</t>
        </is>
      </c>
      <c r="H2665" s="3" t="inlineStr">
        <is>
          <t>자연녹지지역</t>
        </is>
      </c>
      <c r="I2665" s="3" t="inlineStr">
        <is>
          <t>임야</t>
        </is>
      </c>
      <c r="J2665" s="3" t="inlineStr">
        <is>
          <t>전의면</t>
        </is>
      </c>
    </row>
    <row r="2666">
      <c r="A2666" s="3" t="n">
        <v>2022</v>
      </c>
      <c r="B2666" s="4" t="n">
        <v>22960</v>
      </c>
      <c r="C2666" s="4" t="n">
        <v>506</v>
      </c>
      <c r="D2666" s="4" t="n">
        <v>153.065</v>
      </c>
      <c r="E2666" s="5" t="n">
        <v>150</v>
      </c>
      <c r="F2666" s="3" t="inlineStr">
        <is>
          <t>전의면</t>
        </is>
      </c>
      <c r="G2666" s="3" t="inlineStr">
        <is>
          <t>읍내리</t>
        </is>
      </c>
      <c r="H2666" s="3" t="inlineStr">
        <is>
          <t>자연녹지지역</t>
        </is>
      </c>
      <c r="I2666" s="3" t="inlineStr">
        <is>
          <t>임야</t>
        </is>
      </c>
      <c r="J2666" s="3" t="inlineStr">
        <is>
          <t>전의면</t>
        </is>
      </c>
    </row>
    <row r="2667">
      <c r="A2667" s="3" t="n">
        <v>2022</v>
      </c>
      <c r="B2667" s="4" t="n">
        <v>27951</v>
      </c>
      <c r="C2667" s="4" t="n">
        <v>616</v>
      </c>
      <c r="D2667" s="4" t="n">
        <v>186.34</v>
      </c>
      <c r="E2667" s="5" t="n">
        <v>150</v>
      </c>
      <c r="F2667" s="3" t="inlineStr">
        <is>
          <t>전의면</t>
        </is>
      </c>
      <c r="G2667" s="3" t="inlineStr">
        <is>
          <t>읍내리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전의면</t>
        </is>
      </c>
    </row>
    <row r="2668">
      <c r="A2668" s="3" t="n">
        <v>2022</v>
      </c>
      <c r="B2668" s="4" t="n">
        <v>862</v>
      </c>
      <c r="C2668" s="4" t="n">
        <v>19</v>
      </c>
      <c r="D2668" s="4" t="n">
        <v>5.7475</v>
      </c>
      <c r="E2668" s="5" t="n">
        <v>150</v>
      </c>
      <c r="F2668" s="3" t="inlineStr">
        <is>
          <t>전의면</t>
        </is>
      </c>
      <c r="G2668" s="3" t="inlineStr">
        <is>
          <t>읍내리</t>
        </is>
      </c>
      <c r="H2668" s="3" t="inlineStr">
        <is>
          <t>자연녹지지역</t>
        </is>
      </c>
      <c r="I2668" s="3" t="inlineStr">
        <is>
          <t>임야</t>
        </is>
      </c>
      <c r="J2668" s="3" t="inlineStr">
        <is>
          <t>전의면</t>
        </is>
      </c>
    </row>
    <row r="2669">
      <c r="A2669" s="3" t="n">
        <v>2022</v>
      </c>
      <c r="B2669" s="4" t="n">
        <v>15036</v>
      </c>
      <c r="C2669" s="4" t="n">
        <v>338</v>
      </c>
      <c r="D2669" s="4" t="n">
        <v>102.245</v>
      </c>
      <c r="E2669" s="5" t="n">
        <v>147.1</v>
      </c>
      <c r="F2669" s="3" t="inlineStr">
        <is>
          <t>전의면</t>
        </is>
      </c>
      <c r="G2669" s="3" t="inlineStr">
        <is>
          <t>읍내리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전의면</t>
        </is>
      </c>
    </row>
    <row r="2670">
      <c r="A2670" s="3" t="n">
        <v>2022</v>
      </c>
      <c r="B2670" s="4" t="n">
        <v>9200</v>
      </c>
      <c r="C2670" s="4" t="n">
        <v>241</v>
      </c>
      <c r="D2670" s="4" t="n">
        <v>72.9025</v>
      </c>
      <c r="E2670" s="5" t="n">
        <v>126.2</v>
      </c>
      <c r="F2670" s="3" t="inlineStr">
        <is>
          <t>부강면</t>
        </is>
      </c>
      <c r="G2670" s="3" t="inlineStr">
        <is>
          <t>금호리</t>
        </is>
      </c>
      <c r="H2670" s="3" t="inlineStr">
        <is>
          <t>생산관리지역</t>
        </is>
      </c>
      <c r="I2670" s="3" t="inlineStr">
        <is>
          <t>대</t>
        </is>
      </c>
      <c r="J2670" s="3" t="inlineStr">
        <is>
          <t>부강면</t>
        </is>
      </c>
    </row>
    <row r="2671">
      <c r="A2671" s="3" t="n">
        <v>2022</v>
      </c>
      <c r="B2671" s="4" t="n">
        <v>18200</v>
      </c>
      <c r="C2671" s="4" t="n">
        <v>475</v>
      </c>
      <c r="D2671" s="4" t="n">
        <v>143.6875</v>
      </c>
      <c r="E2671" s="5" t="n">
        <v>126.7</v>
      </c>
      <c r="F2671" s="3" t="inlineStr">
        <is>
          <t>부강면</t>
        </is>
      </c>
      <c r="G2671" s="3" t="inlineStr">
        <is>
          <t>금호리</t>
        </is>
      </c>
      <c r="H2671" s="3" t="inlineStr">
        <is>
          <t>생산관리지역</t>
        </is>
      </c>
      <c r="I2671" s="3" t="inlineStr">
        <is>
          <t>대</t>
        </is>
      </c>
      <c r="J2671" s="3" t="inlineStr">
        <is>
          <t>부강면</t>
        </is>
      </c>
    </row>
    <row r="2672">
      <c r="A2672" s="3" t="n">
        <v>2022</v>
      </c>
      <c r="B2672" s="4" t="n">
        <v>10056</v>
      </c>
      <c r="C2672" s="4" t="n">
        <v>262</v>
      </c>
      <c r="D2672" s="4" t="n">
        <v>79.255</v>
      </c>
      <c r="E2672" s="5" t="n">
        <v>126.9</v>
      </c>
      <c r="F2672" s="3" t="inlineStr">
        <is>
          <t>부강면</t>
        </is>
      </c>
      <c r="G2672" s="3" t="inlineStr">
        <is>
          <t>금호리</t>
        </is>
      </c>
      <c r="H2672" s="3" t="inlineStr">
        <is>
          <t>생산관리지역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2022</v>
      </c>
      <c r="B2673" s="4" t="n">
        <v>17464</v>
      </c>
      <c r="C2673" s="4" t="n">
        <v>455</v>
      </c>
      <c r="D2673" s="4" t="n">
        <v>137.6375</v>
      </c>
      <c r="E2673" s="5" t="n">
        <v>126.9</v>
      </c>
      <c r="F2673" s="3" t="inlineStr">
        <is>
          <t>부강면</t>
        </is>
      </c>
      <c r="G2673" s="3" t="inlineStr">
        <is>
          <t>금호리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10000</v>
      </c>
      <c r="C2674" s="4" t="n">
        <v>1644</v>
      </c>
      <c r="D2674" s="4" t="n">
        <v>497.31</v>
      </c>
      <c r="E2674" s="5" t="n">
        <v>20.1</v>
      </c>
      <c r="F2674" s="3" t="inlineStr">
        <is>
          <t>금남면</t>
        </is>
      </c>
      <c r="G2674" s="3" t="inlineStr">
        <is>
          <t>금천리</t>
        </is>
      </c>
      <c r="H2674" s="3" t="inlineStr">
        <is>
          <t>개발제한구역</t>
        </is>
      </c>
      <c r="I2674" s="3" t="inlineStr">
        <is>
          <t>전</t>
        </is>
      </c>
      <c r="J2674" s="3" t="inlineStr">
        <is>
          <t>금남면</t>
        </is>
      </c>
    </row>
    <row r="2675">
      <c r="A2675" s="3" t="n">
        <v>2022</v>
      </c>
      <c r="B2675" s="4" t="n">
        <v>2000</v>
      </c>
      <c r="C2675" s="4" t="n">
        <v>397</v>
      </c>
      <c r="D2675" s="4" t="n">
        <v>120.0925</v>
      </c>
      <c r="E2675" s="5" t="n">
        <v>16.7</v>
      </c>
      <c r="F2675" s="3" t="inlineStr">
        <is>
          <t>전의면</t>
        </is>
      </c>
      <c r="G2675" s="3" t="inlineStr">
        <is>
          <t>양곡리</t>
        </is>
      </c>
      <c r="H2675" s="3" t="inlineStr">
        <is>
          <t>보전관리지역</t>
        </is>
      </c>
      <c r="I2675" s="3" t="inlineStr">
        <is>
          <t>답</t>
        </is>
      </c>
      <c r="J2675" s="3" t="inlineStr">
        <is>
          <t>전의면</t>
        </is>
      </c>
    </row>
    <row r="2676">
      <c r="A2676" s="3" t="n">
        <v>2022</v>
      </c>
      <c r="B2676" s="4" t="n">
        <v>6000</v>
      </c>
      <c r="C2676" s="4" t="n">
        <v>661</v>
      </c>
      <c r="D2676" s="4" t="n">
        <v>199.9525</v>
      </c>
      <c r="E2676" s="5" t="n">
        <v>30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답</t>
        </is>
      </c>
      <c r="J2676" s="3" t="inlineStr">
        <is>
          <t>전의면</t>
        </is>
      </c>
    </row>
    <row r="2677">
      <c r="A2677" s="3" t="n">
        <v>2022</v>
      </c>
      <c r="B2677" s="4" t="n">
        <v>24200</v>
      </c>
      <c r="C2677" s="4" t="n">
        <v>801</v>
      </c>
      <c r="D2677" s="4" t="n">
        <v>242.3025</v>
      </c>
      <c r="E2677" s="5" t="n">
        <v>99.90000000000001</v>
      </c>
      <c r="F2677" s="3" t="inlineStr">
        <is>
          <t>연서면</t>
        </is>
      </c>
      <c r="G2677" s="3" t="inlineStr">
        <is>
          <t>쌍류리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연서면</t>
        </is>
      </c>
    </row>
    <row r="2678">
      <c r="A2678" s="3" t="n">
        <v>2022</v>
      </c>
      <c r="B2678" s="4" t="n">
        <v>50880</v>
      </c>
      <c r="C2678" s="4" t="n">
        <v>1051</v>
      </c>
      <c r="D2678" s="4" t="n">
        <v>317.9275</v>
      </c>
      <c r="E2678" s="5" t="n">
        <v>160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과수원</t>
        </is>
      </c>
      <c r="J2678" s="3" t="inlineStr">
        <is>
          <t>연서면</t>
        </is>
      </c>
    </row>
    <row r="2679">
      <c r="A2679" s="3" t="n">
        <v>2022</v>
      </c>
      <c r="B2679" s="4" t="n">
        <v>21234</v>
      </c>
      <c r="C2679" s="4" t="n">
        <v>281</v>
      </c>
      <c r="D2679" s="4" t="n">
        <v>85.0025</v>
      </c>
      <c r="E2679" s="5" t="n">
        <v>249.8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금남면</t>
        </is>
      </c>
    </row>
    <row r="2680">
      <c r="A2680" s="3" t="n">
        <v>2022</v>
      </c>
      <c r="B2680" s="4" t="n">
        <v>5894</v>
      </c>
      <c r="C2680" s="4" t="n">
        <v>78</v>
      </c>
      <c r="D2680" s="4" t="n">
        <v>23.595</v>
      </c>
      <c r="E2680" s="5" t="n">
        <v>249.8</v>
      </c>
      <c r="F2680" s="3" t="inlineStr">
        <is>
          <t>금남면</t>
        </is>
      </c>
      <c r="G2680" s="3" t="inlineStr">
        <is>
          <t>영곡리</t>
        </is>
      </c>
      <c r="H2680" s="3" t="inlineStr">
        <is>
          <t>계획관리지역</t>
        </is>
      </c>
      <c r="I2680" s="3" t="inlineStr">
        <is>
          <t>답</t>
        </is>
      </c>
      <c r="J2680" s="3" t="inlineStr">
        <is>
          <t>금남면</t>
        </is>
      </c>
    </row>
    <row r="2681">
      <c r="A2681" s="3" t="n">
        <v>2022</v>
      </c>
      <c r="B2681" s="4" t="n">
        <v>2872</v>
      </c>
      <c r="C2681" s="4" t="n">
        <v>38</v>
      </c>
      <c r="D2681" s="4" t="n">
        <v>11.495</v>
      </c>
      <c r="E2681" s="5" t="n">
        <v>249.8</v>
      </c>
      <c r="F2681" s="3" t="inlineStr">
        <is>
          <t>금남면</t>
        </is>
      </c>
      <c r="G2681" s="3" t="inlineStr">
        <is>
          <t>영곡리</t>
        </is>
      </c>
      <c r="H2681" s="3" t="inlineStr">
        <is>
          <t>계획관리지역</t>
        </is>
      </c>
      <c r="I2681" s="3" t="inlineStr">
        <is>
          <t>답</t>
        </is>
      </c>
      <c r="J2681" s="3" t="inlineStr">
        <is>
          <t>금남면</t>
        </is>
      </c>
    </row>
    <row r="2682">
      <c r="A2682" s="3" t="n">
        <v>2024</v>
      </c>
      <c r="B2682" s="4" t="n">
        <v>22000</v>
      </c>
      <c r="C2682" s="4" t="n">
        <v>1094</v>
      </c>
      <c r="D2682" s="4" t="n">
        <v>330.935</v>
      </c>
      <c r="E2682" s="5" t="n">
        <v>66.5</v>
      </c>
      <c r="F2682" s="3" t="inlineStr">
        <is>
          <t>연동면</t>
        </is>
      </c>
      <c r="G2682" s="3" t="inlineStr">
        <is>
          <t>응암리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연동면</t>
        </is>
      </c>
    </row>
    <row r="2683">
      <c r="A2683" s="3" t="n">
        <v>2024</v>
      </c>
      <c r="B2683" s="4" t="n">
        <v>58800</v>
      </c>
      <c r="C2683" s="4" t="n">
        <v>727</v>
      </c>
      <c r="D2683" s="4" t="n">
        <v>219.9175</v>
      </c>
      <c r="E2683" s="5" t="n">
        <v>267.4</v>
      </c>
      <c r="F2683" s="3" t="inlineStr">
        <is>
          <t>금남면</t>
        </is>
      </c>
      <c r="G2683" s="3" t="inlineStr">
        <is>
          <t>두만리</t>
        </is>
      </c>
      <c r="H2683" s="3" t="inlineStr">
        <is>
          <t>생산관리지역</t>
        </is>
      </c>
      <c r="I2683" s="3" t="inlineStr">
        <is>
          <t>대</t>
        </is>
      </c>
      <c r="J2683" s="3" t="inlineStr">
        <is>
          <t>금남면</t>
        </is>
      </c>
    </row>
    <row r="2684">
      <c r="A2684" s="3" t="n">
        <v>2024</v>
      </c>
      <c r="B2684" s="4" t="n">
        <v>1650</v>
      </c>
      <c r="C2684" s="4" t="n">
        <v>20</v>
      </c>
      <c r="D2684" s="4" t="n">
        <v>6.05</v>
      </c>
      <c r="E2684" s="5" t="n">
        <v>272.7</v>
      </c>
      <c r="F2684" s="3" t="inlineStr">
        <is>
          <t>금남면</t>
        </is>
      </c>
      <c r="G2684" s="3" t="inlineStr">
        <is>
          <t>두만리</t>
        </is>
      </c>
      <c r="H2684" s="3" t="inlineStr">
        <is>
          <t>생산관리지역</t>
        </is>
      </c>
      <c r="I2684" s="3" t="inlineStr">
        <is>
          <t>대</t>
        </is>
      </c>
      <c r="J2684" s="3" t="inlineStr">
        <is>
          <t>금남면</t>
        </is>
      </c>
    </row>
    <row r="2685">
      <c r="A2685" s="3" t="n">
        <v>2024</v>
      </c>
      <c r="B2685" s="4" t="n">
        <v>550</v>
      </c>
      <c r="C2685" s="4" t="n">
        <v>7</v>
      </c>
      <c r="D2685" s="4" t="n">
        <v>2.1175</v>
      </c>
      <c r="E2685" s="5" t="n">
        <v>259.7</v>
      </c>
      <c r="F2685" s="3" t="inlineStr">
        <is>
          <t>금남면</t>
        </is>
      </c>
      <c r="G2685" s="3" t="inlineStr">
        <is>
          <t>두만리</t>
        </is>
      </c>
      <c r="H2685" s="3" t="inlineStr">
        <is>
          <t>생산관리지역</t>
        </is>
      </c>
      <c r="I2685" s="3" t="inlineStr">
        <is>
          <t>대</t>
        </is>
      </c>
      <c r="J2685" s="3" t="inlineStr">
        <is>
          <t>금남면</t>
        </is>
      </c>
    </row>
    <row r="2686">
      <c r="A2686" s="3" t="n">
        <v>2024</v>
      </c>
      <c r="B2686" s="4" t="n">
        <v>30000</v>
      </c>
      <c r="C2686" s="4" t="n">
        <v>344</v>
      </c>
      <c r="D2686" s="4" t="n">
        <v>104.06</v>
      </c>
      <c r="E2686" s="5" t="n">
        <v>288.3</v>
      </c>
      <c r="F2686" s="3" t="inlineStr">
        <is>
          <t>조치원읍</t>
        </is>
      </c>
      <c r="G2686" s="3" t="inlineStr">
        <is>
          <t>신안리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조치원읍</t>
        </is>
      </c>
    </row>
    <row r="2687">
      <c r="A2687" s="3" t="n">
        <v>2024</v>
      </c>
      <c r="B2687" s="4" t="n">
        <v>30000</v>
      </c>
      <c r="C2687" s="4" t="n">
        <v>280</v>
      </c>
      <c r="D2687" s="4" t="n">
        <v>84.7</v>
      </c>
      <c r="E2687" s="5" t="n">
        <v>354.2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14500</v>
      </c>
      <c r="C2688" s="4" t="n">
        <v>1316</v>
      </c>
      <c r="D2688" s="4" t="n">
        <v>398.09</v>
      </c>
      <c r="E2688" s="5" t="n">
        <v>36.4</v>
      </c>
      <c r="F2688" s="3" t="inlineStr">
        <is>
          <t>전의면</t>
        </is>
      </c>
      <c r="G2688" s="3" t="inlineStr">
        <is>
          <t>유천리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전의면</t>
        </is>
      </c>
    </row>
    <row r="2689">
      <c r="A2689" s="3" t="n">
        <v>2024</v>
      </c>
      <c r="B2689" s="4" t="n">
        <v>25000</v>
      </c>
      <c r="C2689" s="4" t="n">
        <v>2182</v>
      </c>
      <c r="D2689" s="4" t="n">
        <v>660.0549999999999</v>
      </c>
      <c r="E2689" s="5" t="n">
        <v>37.9</v>
      </c>
      <c r="F2689" s="3" t="inlineStr">
        <is>
          <t>부강면</t>
        </is>
      </c>
      <c r="G2689" s="3" t="inlineStr">
        <is>
          <t>갈산리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부강면</t>
        </is>
      </c>
    </row>
    <row r="2690">
      <c r="A2690" s="3" t="n">
        <v>2024</v>
      </c>
      <c r="B2690" s="4" t="n">
        <v>170</v>
      </c>
      <c r="C2690" s="4" t="n">
        <v>21</v>
      </c>
      <c r="D2690" s="4" t="n">
        <v>6.3525</v>
      </c>
      <c r="E2690" s="5" t="n">
        <v>26.8</v>
      </c>
      <c r="F2690" s="3" t="inlineStr">
        <is>
          <t>소정면</t>
        </is>
      </c>
      <c r="G2690" s="3" t="inlineStr">
        <is>
          <t>고등리</t>
        </is>
      </c>
      <c r="H2690" s="3" t="inlineStr">
        <is>
          <t>계획관리지역</t>
        </is>
      </c>
      <c r="I2690" s="3" t="inlineStr">
        <is>
          <t>대</t>
        </is>
      </c>
      <c r="J2690" s="3" t="inlineStr">
        <is>
          <t>소정면</t>
        </is>
      </c>
    </row>
    <row r="2691">
      <c r="A2691" s="3" t="n">
        <v>2024</v>
      </c>
      <c r="B2691" s="4" t="n">
        <v>5400</v>
      </c>
      <c r="C2691" s="4" t="n">
        <v>631</v>
      </c>
      <c r="D2691" s="4" t="n">
        <v>190.8775</v>
      </c>
      <c r="E2691" s="5" t="n">
        <v>28.3</v>
      </c>
      <c r="F2691" s="3" t="inlineStr">
        <is>
          <t>소정면</t>
        </is>
      </c>
      <c r="G2691" s="3" t="inlineStr">
        <is>
          <t>고등리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소정면</t>
        </is>
      </c>
    </row>
    <row r="2692">
      <c r="A2692" s="3" t="n">
        <v>2024</v>
      </c>
      <c r="B2692" s="4" t="n">
        <v>38740</v>
      </c>
      <c r="C2692" s="4" t="n">
        <v>988</v>
      </c>
      <c r="D2692" s="4" t="n">
        <v>298.87</v>
      </c>
      <c r="E2692" s="5" t="n">
        <v>129.6</v>
      </c>
      <c r="F2692" s="3" t="inlineStr">
        <is>
          <t>금남면</t>
        </is>
      </c>
      <c r="G2692" s="3" t="inlineStr">
        <is>
          <t>박산리</t>
        </is>
      </c>
      <c r="H2692" s="3" t="inlineStr">
        <is>
          <t>개발제한구역</t>
        </is>
      </c>
      <c r="I2692" s="3" t="inlineStr">
        <is>
          <t>답</t>
        </is>
      </c>
      <c r="J2692" s="3" t="inlineStr">
        <is>
          <t>금남면</t>
        </is>
      </c>
    </row>
    <row r="2693">
      <c r="A2693" s="3" t="n">
        <v>2024</v>
      </c>
      <c r="B2693" s="4" t="n">
        <v>1263</v>
      </c>
      <c r="C2693" s="4" t="n">
        <v>28</v>
      </c>
      <c r="D2693" s="4" t="n">
        <v>8.469999999999999</v>
      </c>
      <c r="E2693" s="5" t="n">
        <v>149.1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자연녹지지역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2024</v>
      </c>
      <c r="B2694" s="4" t="n">
        <v>7943</v>
      </c>
      <c r="C2694" s="4" t="n">
        <v>169</v>
      </c>
      <c r="D2694" s="4" t="n">
        <v>51.1225</v>
      </c>
      <c r="E2694" s="5" t="n">
        <v>155.4</v>
      </c>
      <c r="F2694" s="3" t="inlineStr">
        <is>
          <t>조치원읍</t>
        </is>
      </c>
      <c r="G2694" s="3" t="inlineStr">
        <is>
          <t>죽림리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조치원읍</t>
        </is>
      </c>
    </row>
    <row r="2695">
      <c r="A2695" s="3" t="n">
        <v>2024</v>
      </c>
      <c r="B2695" s="4" t="n">
        <v>1000</v>
      </c>
      <c r="C2695" s="4" t="n">
        <v>90</v>
      </c>
      <c r="D2695" s="4" t="n">
        <v>27.225</v>
      </c>
      <c r="E2695" s="5" t="n">
        <v>36.7</v>
      </c>
      <c r="F2695" s="3" t="inlineStr">
        <is>
          <t>금남면</t>
        </is>
      </c>
      <c r="G2695" s="3" t="inlineStr">
        <is>
          <t>도남리</t>
        </is>
      </c>
      <c r="H2695" s="3" t="inlineStr">
        <is>
          <t>계획관리지역</t>
        </is>
      </c>
      <c r="I2695" s="3" t="inlineStr">
        <is>
          <t>목장용지</t>
        </is>
      </c>
      <c r="J2695" s="3" t="inlineStr">
        <is>
          <t>금남면</t>
        </is>
      </c>
    </row>
    <row r="2696">
      <c r="A2696" s="3" t="n">
        <v>2024</v>
      </c>
      <c r="B2696" s="4" t="n">
        <v>3000</v>
      </c>
      <c r="C2696" s="4" t="n">
        <v>331</v>
      </c>
      <c r="D2696" s="4" t="n">
        <v>100.1275</v>
      </c>
      <c r="E2696" s="5" t="n">
        <v>30</v>
      </c>
      <c r="F2696" s="3" t="inlineStr">
        <is>
          <t>연동면</t>
        </is>
      </c>
      <c r="G2696" s="3" t="inlineStr">
        <is>
          <t>내판리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연동면</t>
        </is>
      </c>
    </row>
    <row r="2697">
      <c r="A2697" s="3" t="n">
        <v>2024</v>
      </c>
      <c r="B2697" s="4" t="n">
        <v>46568</v>
      </c>
      <c r="C2697" s="4" t="n">
        <v>738</v>
      </c>
      <c r="D2697" s="4" t="n">
        <v>223.245</v>
      </c>
      <c r="E2697" s="5" t="n">
        <v>208.6</v>
      </c>
      <c r="F2697" s="3" t="inlineStr">
        <is>
          <t>금남면</t>
        </is>
      </c>
      <c r="G2697" s="3" t="inlineStr">
        <is>
          <t>국곡리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금남면</t>
        </is>
      </c>
    </row>
    <row r="2698">
      <c r="A2698" s="3" t="n">
        <v>2024</v>
      </c>
      <c r="B2698" s="4" t="n">
        <v>7664</v>
      </c>
      <c r="C2698" s="4" t="n">
        <v>1582</v>
      </c>
      <c r="D2698" s="4" t="n">
        <v>478.555</v>
      </c>
      <c r="E2698" s="5" t="n">
        <v>16</v>
      </c>
      <c r="F2698" s="3" t="inlineStr">
        <is>
          <t>전동면</t>
        </is>
      </c>
      <c r="G2698" s="3" t="inlineStr">
        <is>
          <t>봉대리</t>
        </is>
      </c>
      <c r="H2698" s="3" t="inlineStr">
        <is>
          <t>생산관리지역</t>
        </is>
      </c>
      <c r="I2698" s="3" t="inlineStr">
        <is>
          <t>전</t>
        </is>
      </c>
      <c r="J2698" s="3" t="inlineStr">
        <is>
          <t>전동면</t>
        </is>
      </c>
    </row>
    <row r="2699">
      <c r="A2699" s="3" t="n">
        <v>2024</v>
      </c>
      <c r="B2699" s="4" t="n">
        <v>76250</v>
      </c>
      <c r="C2699" s="4" t="n">
        <v>1009</v>
      </c>
      <c r="D2699" s="4" t="n">
        <v>305.2225</v>
      </c>
      <c r="E2699" s="5" t="n">
        <v>249.8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29680</v>
      </c>
      <c r="C2700" s="4" t="n">
        <v>311.9</v>
      </c>
      <c r="D2700" s="4" t="n">
        <v>94.34974999999999</v>
      </c>
      <c r="E2700" s="5" t="n">
        <v>314.6</v>
      </c>
      <c r="F2700" s="3" t="inlineStr">
        <is>
          <t>집현동</t>
        </is>
      </c>
      <c r="G2700" s="3" t="inlineStr"/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집현동</t>
        </is>
      </c>
    </row>
    <row r="2701">
      <c r="A2701" s="3" t="n">
        <v>2024</v>
      </c>
      <c r="B2701" s="4" t="n">
        <v>13838</v>
      </c>
      <c r="C2701" s="4" t="n">
        <v>706</v>
      </c>
      <c r="D2701" s="4" t="n">
        <v>213.565</v>
      </c>
      <c r="E2701" s="5" t="n">
        <v>64.8</v>
      </c>
      <c r="F2701" s="3" t="inlineStr">
        <is>
          <t>전동면</t>
        </is>
      </c>
      <c r="G2701" s="3" t="inlineStr">
        <is>
          <t>송성리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2024</v>
      </c>
      <c r="B2702" s="4" t="n">
        <v>18265</v>
      </c>
      <c r="C2702" s="4" t="n">
        <v>929</v>
      </c>
      <c r="D2702" s="4" t="n">
        <v>281.0225</v>
      </c>
      <c r="E2702" s="5" t="n">
        <v>65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계획관리지역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2024</v>
      </c>
      <c r="B2703" s="4" t="n">
        <v>9929</v>
      </c>
      <c r="C2703" s="4" t="n">
        <v>505</v>
      </c>
      <c r="D2703" s="4" t="n">
        <v>152.7625</v>
      </c>
      <c r="E2703" s="5" t="n">
        <v>65</v>
      </c>
      <c r="F2703" s="3" t="inlineStr">
        <is>
          <t>연동면</t>
        </is>
      </c>
      <c r="G2703" s="3" t="inlineStr">
        <is>
          <t>송용리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연동면</t>
        </is>
      </c>
    </row>
    <row r="2704">
      <c r="A2704" s="3" t="n">
        <v>2024</v>
      </c>
      <c r="B2704" s="4" t="n">
        <v>5800</v>
      </c>
      <c r="C2704" s="4" t="n">
        <v>83</v>
      </c>
      <c r="D2704" s="4" t="n">
        <v>25.1075</v>
      </c>
      <c r="E2704" s="5" t="n">
        <v>231</v>
      </c>
      <c r="F2704" s="3" t="inlineStr">
        <is>
          <t>금남면</t>
        </is>
      </c>
      <c r="G2704" s="3" t="inlineStr">
        <is>
          <t>영곡리</t>
        </is>
      </c>
      <c r="H2704" s="3" t="inlineStr">
        <is>
          <t>계획관리지역</t>
        </is>
      </c>
      <c r="I2704" s="3" t="inlineStr">
        <is>
          <t>도로</t>
        </is>
      </c>
      <c r="J2704" s="3" t="inlineStr">
        <is>
          <t>금남면</t>
        </is>
      </c>
    </row>
    <row r="2705">
      <c r="A2705" s="3" t="n">
        <v>2024</v>
      </c>
      <c r="B2705" s="4" t="n">
        <v>2600</v>
      </c>
      <c r="C2705" s="4" t="n">
        <v>37</v>
      </c>
      <c r="D2705" s="4" t="n">
        <v>11.1925</v>
      </c>
      <c r="E2705" s="5" t="n">
        <v>232.3</v>
      </c>
      <c r="F2705" s="3" t="inlineStr">
        <is>
          <t>금남면</t>
        </is>
      </c>
      <c r="G2705" s="3" t="inlineStr">
        <is>
          <t>영곡리</t>
        </is>
      </c>
      <c r="H2705" s="3" t="inlineStr">
        <is>
          <t>계획관리지역</t>
        </is>
      </c>
      <c r="I2705" s="3" t="inlineStr">
        <is>
          <t>도로</t>
        </is>
      </c>
      <c r="J2705" s="3" t="inlineStr">
        <is>
          <t>금남면</t>
        </is>
      </c>
    </row>
    <row r="2706">
      <c r="A2706" s="3" t="n">
        <v>2024</v>
      </c>
      <c r="B2706" s="4" t="n">
        <v>2000</v>
      </c>
      <c r="C2706" s="4" t="n">
        <v>27</v>
      </c>
      <c r="D2706" s="4" t="n">
        <v>8.1675</v>
      </c>
      <c r="E2706" s="5" t="n">
        <v>244.9</v>
      </c>
      <c r="F2706" s="3" t="inlineStr">
        <is>
          <t>금남면</t>
        </is>
      </c>
      <c r="G2706" s="3" t="inlineStr">
        <is>
          <t>영곡리</t>
        </is>
      </c>
      <c r="H2706" s="3" t="inlineStr">
        <is>
          <t>계획관리지역</t>
        </is>
      </c>
      <c r="I2706" s="3" t="inlineStr">
        <is>
          <t>도로</t>
        </is>
      </c>
      <c r="J2706" s="3" t="inlineStr">
        <is>
          <t>금남면</t>
        </is>
      </c>
    </row>
    <row r="2707">
      <c r="A2707" s="3" t="n">
        <v>2022</v>
      </c>
      <c r="B2707" s="4" t="n">
        <v>6240</v>
      </c>
      <c r="C2707" s="4" t="n">
        <v>317</v>
      </c>
      <c r="D2707" s="4" t="n">
        <v>95.8925</v>
      </c>
      <c r="E2707" s="5" t="n">
        <v>65.09999999999999</v>
      </c>
      <c r="F2707" s="3" t="inlineStr">
        <is>
          <t>금남면</t>
        </is>
      </c>
      <c r="G2707" s="3" t="inlineStr">
        <is>
          <t>성강리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금남면</t>
        </is>
      </c>
    </row>
    <row r="2708">
      <c r="A2708" s="3" t="n">
        <v>2022</v>
      </c>
      <c r="B2708" s="4" t="n">
        <v>7635</v>
      </c>
      <c r="C2708" s="4" t="n">
        <v>1654</v>
      </c>
      <c r="D2708" s="4" t="n">
        <v>500.335</v>
      </c>
      <c r="E2708" s="5" t="n">
        <v>15.3</v>
      </c>
      <c r="F2708" s="3" t="inlineStr">
        <is>
          <t>전동면</t>
        </is>
      </c>
      <c r="G2708" s="3" t="inlineStr">
        <is>
          <t>노장리</t>
        </is>
      </c>
      <c r="H2708" s="3" t="inlineStr">
        <is>
          <t>농림지역</t>
        </is>
      </c>
      <c r="I2708" s="3" t="inlineStr">
        <is>
          <t>임야</t>
        </is>
      </c>
      <c r="J2708" s="3" t="inlineStr">
        <is>
          <t>전동면</t>
        </is>
      </c>
    </row>
    <row r="2709">
      <c r="A2709" s="3" t="n">
        <v>2022</v>
      </c>
      <c r="B2709" s="4" t="n">
        <v>15000</v>
      </c>
      <c r="C2709" s="4" t="n">
        <v>6612</v>
      </c>
      <c r="D2709" s="4" t="n">
        <v>2000.13</v>
      </c>
      <c r="E2709" s="5" t="n">
        <v>7.5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농림지역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21250</v>
      </c>
      <c r="C2710" s="4" t="n">
        <v>8265</v>
      </c>
      <c r="D2710" s="4" t="n">
        <v>2500.1625</v>
      </c>
      <c r="E2710" s="5" t="n">
        <v>8.5</v>
      </c>
      <c r="F2710" s="3" t="inlineStr">
        <is>
          <t>연서면</t>
        </is>
      </c>
      <c r="G2710" s="3" t="inlineStr">
        <is>
          <t>쌍류리</t>
        </is>
      </c>
      <c r="H2710" s="3" t="inlineStr">
        <is>
          <t>농림지역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32200</v>
      </c>
      <c r="C2711" s="4" t="n">
        <v>1745</v>
      </c>
      <c r="D2711" s="4" t="n">
        <v>527.8625</v>
      </c>
      <c r="E2711" s="5" t="n">
        <v>61</v>
      </c>
      <c r="F2711" s="3" t="inlineStr">
        <is>
          <t>부강면</t>
        </is>
      </c>
      <c r="G2711" s="3" t="inlineStr">
        <is>
          <t>금호리</t>
        </is>
      </c>
      <c r="H2711" s="3" t="inlineStr">
        <is>
          <t>계획관리지역</t>
        </is>
      </c>
      <c r="I2711" s="3" t="inlineStr">
        <is>
          <t>전</t>
        </is>
      </c>
      <c r="J2711" s="3" t="inlineStr">
        <is>
          <t>부강면</t>
        </is>
      </c>
    </row>
    <row r="2712">
      <c r="A2712" s="3" t="n">
        <v>2022</v>
      </c>
      <c r="B2712" s="4" t="n">
        <v>15800</v>
      </c>
      <c r="C2712" s="4" t="n">
        <v>856</v>
      </c>
      <c r="D2712" s="4" t="n">
        <v>258.94</v>
      </c>
      <c r="E2712" s="5" t="n">
        <v>61</v>
      </c>
      <c r="F2712" s="3" t="inlineStr">
        <is>
          <t>부강면</t>
        </is>
      </c>
      <c r="G2712" s="3" t="inlineStr">
        <is>
          <t>금호리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부강면</t>
        </is>
      </c>
    </row>
    <row r="2713">
      <c r="A2713" s="3" t="n">
        <v>2022</v>
      </c>
      <c r="B2713" s="4" t="n">
        <v>37000</v>
      </c>
      <c r="C2713" s="4" t="n">
        <v>943</v>
      </c>
      <c r="D2713" s="4" t="n">
        <v>285.2575</v>
      </c>
      <c r="E2713" s="5" t="n">
        <v>129.7</v>
      </c>
      <c r="F2713" s="3" t="inlineStr">
        <is>
          <t>금남면</t>
        </is>
      </c>
      <c r="G2713" s="3" t="inlineStr">
        <is>
          <t>영치리</t>
        </is>
      </c>
      <c r="H2713" s="3" t="inlineStr">
        <is>
          <t>자연녹지지역</t>
        </is>
      </c>
      <c r="I2713" s="3" t="inlineStr">
        <is>
          <t>답</t>
        </is>
      </c>
      <c r="J2713" s="3" t="inlineStr">
        <is>
          <t>금남면</t>
        </is>
      </c>
    </row>
    <row r="2714">
      <c r="A2714" s="3" t="n">
        <v>2022</v>
      </c>
      <c r="B2714" s="4" t="n">
        <v>21573</v>
      </c>
      <c r="C2714" s="4" t="n">
        <v>590</v>
      </c>
      <c r="D2714" s="4" t="n">
        <v>178.475</v>
      </c>
      <c r="E2714" s="5" t="n">
        <v>120.9</v>
      </c>
      <c r="F2714" s="3" t="inlineStr">
        <is>
          <t>전동면</t>
        </is>
      </c>
      <c r="G2714" s="3" t="inlineStr">
        <is>
          <t>보덕리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전동면</t>
        </is>
      </c>
    </row>
    <row r="2715">
      <c r="A2715" s="3" t="n">
        <v>2022</v>
      </c>
      <c r="B2715" s="4" t="n">
        <v>2120</v>
      </c>
      <c r="C2715" s="4" t="n">
        <v>132</v>
      </c>
      <c r="D2715" s="4" t="n">
        <v>39.93</v>
      </c>
      <c r="E2715" s="5" t="n">
        <v>53.1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연서면</t>
        </is>
      </c>
    </row>
    <row r="2716">
      <c r="A2716" s="3" t="n">
        <v>2022</v>
      </c>
      <c r="B2716" s="4" t="n">
        <v>14000</v>
      </c>
      <c r="C2716" s="4" t="n">
        <v>1339</v>
      </c>
      <c r="D2716" s="4" t="n">
        <v>405.0475</v>
      </c>
      <c r="E2716" s="5" t="n">
        <v>34.6</v>
      </c>
      <c r="F2716" s="3" t="inlineStr">
        <is>
          <t>소정면</t>
        </is>
      </c>
      <c r="G2716" s="3" t="inlineStr">
        <is>
          <t>대곡리</t>
        </is>
      </c>
      <c r="H2716" s="3" t="inlineStr">
        <is>
          <t>보전관리지역</t>
        </is>
      </c>
      <c r="I2716" s="3" t="inlineStr">
        <is>
          <t>답</t>
        </is>
      </c>
      <c r="J2716" s="3" t="inlineStr">
        <is>
          <t>소정면</t>
        </is>
      </c>
    </row>
    <row r="2717">
      <c r="A2717" s="3" t="n">
        <v>2022</v>
      </c>
      <c r="B2717" s="4" t="n">
        <v>3492</v>
      </c>
      <c r="C2717" s="4" t="n">
        <v>122.8</v>
      </c>
      <c r="D2717" s="4" t="n">
        <v>37.147</v>
      </c>
      <c r="E2717" s="5" t="n">
        <v>94</v>
      </c>
      <c r="F2717" s="3" t="inlineStr">
        <is>
          <t>전의면</t>
        </is>
      </c>
      <c r="G2717" s="3" t="inlineStr">
        <is>
          <t>양곡리</t>
        </is>
      </c>
      <c r="H2717" s="3" t="inlineStr">
        <is>
          <t>일반공업지역</t>
        </is>
      </c>
      <c r="I2717" s="3" t="inlineStr">
        <is>
          <t>대</t>
        </is>
      </c>
      <c r="J2717" s="3" t="inlineStr">
        <is>
          <t>전의면</t>
        </is>
      </c>
    </row>
    <row r="2718">
      <c r="A2718" s="3" t="n">
        <v>2022</v>
      </c>
      <c r="B2718" s="4" t="n">
        <v>6200</v>
      </c>
      <c r="C2718" s="4" t="n">
        <v>251</v>
      </c>
      <c r="D2718" s="4" t="n">
        <v>75.92749999999999</v>
      </c>
      <c r="E2718" s="5" t="n">
        <v>81.7</v>
      </c>
      <c r="F2718" s="3" t="inlineStr">
        <is>
          <t>전의면</t>
        </is>
      </c>
      <c r="G2718" s="3" t="inlineStr">
        <is>
          <t>읍내리</t>
        </is>
      </c>
      <c r="H2718" s="3" t="inlineStr">
        <is>
          <t>보전관리지역</t>
        </is>
      </c>
      <c r="I2718" s="3" t="inlineStr">
        <is>
          <t>대</t>
        </is>
      </c>
      <c r="J2718" s="3" t="inlineStr">
        <is>
          <t>전의면</t>
        </is>
      </c>
    </row>
    <row r="2719">
      <c r="A2719" s="3" t="n">
        <v>2022</v>
      </c>
      <c r="B2719" s="4" t="n">
        <v>11600</v>
      </c>
      <c r="C2719" s="4" t="n">
        <v>334</v>
      </c>
      <c r="D2719" s="4" t="n">
        <v>101.035</v>
      </c>
      <c r="E2719" s="5" t="n">
        <v>114.8</v>
      </c>
      <c r="F2719" s="3" t="inlineStr">
        <is>
          <t>전의면</t>
        </is>
      </c>
      <c r="G2719" s="3" t="inlineStr">
        <is>
          <t>읍내리</t>
        </is>
      </c>
      <c r="H2719" s="3" t="inlineStr">
        <is>
          <t>보전관리지역</t>
        </is>
      </c>
      <c r="I2719" s="3" t="inlineStr">
        <is>
          <t>대</t>
        </is>
      </c>
      <c r="J2719" s="3" t="inlineStr">
        <is>
          <t>전의면</t>
        </is>
      </c>
    </row>
    <row r="2720">
      <c r="A2720" s="3" t="n">
        <v>2022</v>
      </c>
      <c r="B2720" s="4" t="n">
        <v>42360</v>
      </c>
      <c r="C2720" s="4" t="n">
        <v>1752</v>
      </c>
      <c r="D2720" s="4" t="n">
        <v>529.98</v>
      </c>
      <c r="E2720" s="5" t="n">
        <v>79.90000000000001</v>
      </c>
      <c r="F2720" s="3" t="inlineStr">
        <is>
          <t>전의면</t>
        </is>
      </c>
      <c r="G2720" s="3" t="inlineStr">
        <is>
          <t>읍내리</t>
        </is>
      </c>
      <c r="H2720" s="3" t="inlineStr">
        <is>
          <t>보전관리지역</t>
        </is>
      </c>
      <c r="I2720" s="3" t="inlineStr">
        <is>
          <t>전</t>
        </is>
      </c>
      <c r="J2720" s="3" t="inlineStr">
        <is>
          <t>전의면</t>
        </is>
      </c>
    </row>
    <row r="2721">
      <c r="A2721" s="3" t="n">
        <v>2022</v>
      </c>
      <c r="B2721" s="4" t="n">
        <v>17340</v>
      </c>
      <c r="C2721" s="4" t="n">
        <v>717</v>
      </c>
      <c r="D2721" s="4" t="n">
        <v>216.8925</v>
      </c>
      <c r="E2721" s="5" t="n">
        <v>79.90000000000001</v>
      </c>
      <c r="F2721" s="3" t="inlineStr">
        <is>
          <t>전의면</t>
        </is>
      </c>
      <c r="G2721" s="3" t="inlineStr">
        <is>
          <t>읍내리</t>
        </is>
      </c>
      <c r="H2721" s="3" t="inlineStr">
        <is>
          <t>보전관리지역</t>
        </is>
      </c>
      <c r="I2721" s="3" t="inlineStr">
        <is>
          <t>전</t>
        </is>
      </c>
      <c r="J2721" s="3" t="inlineStr">
        <is>
          <t>전의면</t>
        </is>
      </c>
    </row>
    <row r="2722">
      <c r="A2722" s="3" t="n">
        <v>2022</v>
      </c>
      <c r="B2722" s="4" t="n">
        <v>47100</v>
      </c>
      <c r="C2722" s="4" t="n">
        <v>2946</v>
      </c>
      <c r="D2722" s="4" t="n">
        <v>891.165</v>
      </c>
      <c r="E2722" s="5" t="n">
        <v>52.9</v>
      </c>
      <c r="F2722" s="3" t="inlineStr">
        <is>
          <t>연서면</t>
        </is>
      </c>
      <c r="G2722" s="3" t="inlineStr">
        <is>
          <t>쌍류리</t>
        </is>
      </c>
      <c r="H2722" s="3" t="inlineStr">
        <is>
          <t>생산관리지역</t>
        </is>
      </c>
      <c r="I2722" s="3" t="inlineStr">
        <is>
          <t>과수원</t>
        </is>
      </c>
      <c r="J2722" s="3" t="inlineStr">
        <is>
          <t>연서면</t>
        </is>
      </c>
    </row>
    <row r="2723">
      <c r="A2723" s="3" t="n">
        <v>2025</v>
      </c>
      <c r="B2723" s="4" t="n">
        <v>5000</v>
      </c>
      <c r="C2723" s="4" t="n">
        <v>165</v>
      </c>
      <c r="D2723" s="4" t="n">
        <v>49.9125</v>
      </c>
      <c r="E2723" s="5" t="n">
        <v>100.2</v>
      </c>
      <c r="F2723" s="3" t="inlineStr">
        <is>
          <t>연기면</t>
        </is>
      </c>
      <c r="G2723" s="3" t="inlineStr">
        <is>
          <t>수산리</t>
        </is>
      </c>
      <c r="H2723" s="3" t="inlineStr">
        <is>
          <t>계획관리지역</t>
        </is>
      </c>
      <c r="I2723" s="3" t="inlineStr">
        <is>
          <t>구거</t>
        </is>
      </c>
      <c r="J2723" s="3" t="inlineStr">
        <is>
          <t>연기면</t>
        </is>
      </c>
    </row>
    <row r="2724">
      <c r="A2724" s="3" t="n">
        <v>2025</v>
      </c>
      <c r="B2724" s="4" t="n">
        <v>4507</v>
      </c>
      <c r="C2724" s="4" t="n">
        <v>211</v>
      </c>
      <c r="D2724" s="4" t="n">
        <v>63.8275</v>
      </c>
      <c r="E2724" s="5" t="n">
        <v>70.59999999999999</v>
      </c>
      <c r="F2724" s="3" t="inlineStr">
        <is>
          <t>전의면</t>
        </is>
      </c>
      <c r="G2724" s="3" t="inlineStr">
        <is>
          <t>노곡리</t>
        </is>
      </c>
      <c r="H2724" s="3" t="inlineStr">
        <is>
          <t>계획관리지역</t>
        </is>
      </c>
      <c r="I2724" s="3" t="inlineStr">
        <is>
          <t>대</t>
        </is>
      </c>
      <c r="J2724" s="3" t="inlineStr">
        <is>
          <t>전의면</t>
        </is>
      </c>
    </row>
    <row r="2725">
      <c r="A2725" s="3" t="n">
        <v>2025</v>
      </c>
      <c r="B2725" s="4" t="n">
        <v>1730</v>
      </c>
      <c r="C2725" s="4" t="n">
        <v>81</v>
      </c>
      <c r="D2725" s="4" t="n">
        <v>24.5025</v>
      </c>
      <c r="E2725" s="5" t="n">
        <v>70.59999999999999</v>
      </c>
      <c r="F2725" s="3" t="inlineStr">
        <is>
          <t>전의면</t>
        </is>
      </c>
      <c r="G2725" s="3" t="inlineStr">
        <is>
          <t>노곡리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전의면</t>
        </is>
      </c>
    </row>
    <row r="2726">
      <c r="A2726" s="3" t="n">
        <v>2025</v>
      </c>
      <c r="B2726" s="4" t="n">
        <v>3500</v>
      </c>
      <c r="C2726" s="4" t="n">
        <v>358</v>
      </c>
      <c r="D2726" s="4" t="n">
        <v>108.295</v>
      </c>
      <c r="E2726" s="5" t="n">
        <v>32.3</v>
      </c>
      <c r="F2726" s="3" t="inlineStr">
        <is>
          <t>소정면</t>
        </is>
      </c>
      <c r="G2726" s="3" t="inlineStr">
        <is>
          <t>운당리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소정면</t>
        </is>
      </c>
    </row>
    <row r="2727">
      <c r="A2727" s="3" t="n">
        <v>2025</v>
      </c>
      <c r="B2727" s="4" t="n">
        <v>27522</v>
      </c>
      <c r="C2727" s="4" t="n">
        <v>1019</v>
      </c>
      <c r="D2727" s="4" t="n">
        <v>308.2475</v>
      </c>
      <c r="E2727" s="5" t="n">
        <v>89.3</v>
      </c>
      <c r="F2727" s="3" t="inlineStr">
        <is>
          <t>금남면</t>
        </is>
      </c>
      <c r="G2727" s="3" t="inlineStr">
        <is>
          <t>두만리</t>
        </is>
      </c>
      <c r="H2727" s="3" t="inlineStr">
        <is>
          <t>개발제한구역</t>
        </is>
      </c>
      <c r="I2727" s="3" t="inlineStr">
        <is>
          <t>전</t>
        </is>
      </c>
      <c r="J2727" s="3" t="inlineStr">
        <is>
          <t>금남면</t>
        </is>
      </c>
    </row>
    <row r="2728">
      <c r="A2728" s="3" t="n">
        <v>2025</v>
      </c>
      <c r="B2728" s="4" t="n">
        <v>28000</v>
      </c>
      <c r="C2728" s="4" t="n">
        <v>1365</v>
      </c>
      <c r="D2728" s="4" t="n">
        <v>412.9125</v>
      </c>
      <c r="E2728" s="5" t="n">
        <v>67.8</v>
      </c>
      <c r="F2728" s="3" t="inlineStr">
        <is>
          <t>금남면</t>
        </is>
      </c>
      <c r="G2728" s="3" t="inlineStr">
        <is>
          <t>영치리</t>
        </is>
      </c>
      <c r="H2728" s="3" t="inlineStr">
        <is>
          <t>개발제한구역</t>
        </is>
      </c>
      <c r="I2728" s="3" t="inlineStr">
        <is>
          <t>답</t>
        </is>
      </c>
      <c r="J2728" s="3" t="inlineStr">
        <is>
          <t>금남면</t>
        </is>
      </c>
    </row>
    <row r="2729">
      <c r="A2729" s="3" t="n">
        <v>2025</v>
      </c>
      <c r="B2729" s="4" t="n">
        <v>2000</v>
      </c>
      <c r="C2729" s="4" t="n">
        <v>278</v>
      </c>
      <c r="D2729" s="4" t="n">
        <v>84.095</v>
      </c>
      <c r="E2729" s="5" t="n">
        <v>23.8</v>
      </c>
      <c r="F2729" s="3" t="inlineStr">
        <is>
          <t>전동면</t>
        </is>
      </c>
      <c r="G2729" s="3" t="inlineStr">
        <is>
          <t>송성리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전동면</t>
        </is>
      </c>
    </row>
    <row r="2730">
      <c r="A2730" s="3" t="n">
        <v>2025</v>
      </c>
      <c r="B2730" s="4" t="n">
        <v>5900</v>
      </c>
      <c r="C2730" s="4" t="n">
        <v>370</v>
      </c>
      <c r="D2730" s="4" t="n">
        <v>111.925</v>
      </c>
      <c r="E2730" s="5" t="n">
        <v>52.7</v>
      </c>
      <c r="F2730" s="3" t="inlineStr">
        <is>
          <t>전동면</t>
        </is>
      </c>
      <c r="G2730" s="3" t="inlineStr">
        <is>
          <t>미곡리</t>
        </is>
      </c>
      <c r="H2730" s="3" t="inlineStr">
        <is>
          <t>농림지역</t>
        </is>
      </c>
      <c r="I2730" s="3" t="inlineStr">
        <is>
          <t>전</t>
        </is>
      </c>
      <c r="J2730" s="3" t="inlineStr">
        <is>
          <t>전동면</t>
        </is>
      </c>
    </row>
    <row r="2731">
      <c r="A2731" s="3" t="n">
        <v>2025</v>
      </c>
      <c r="B2731" s="4" t="n">
        <v>19874</v>
      </c>
      <c r="C2731" s="4" t="n">
        <v>1720</v>
      </c>
      <c r="D2731" s="4" t="n">
        <v>520.3</v>
      </c>
      <c r="E2731" s="5" t="n">
        <v>38.2</v>
      </c>
      <c r="F2731" s="3" t="inlineStr">
        <is>
          <t>전의면</t>
        </is>
      </c>
      <c r="G2731" s="3" t="inlineStr">
        <is>
          <t>달전리</t>
        </is>
      </c>
      <c r="H2731" s="3" t="inlineStr">
        <is>
          <t>농림지역</t>
        </is>
      </c>
      <c r="I2731" s="3" t="inlineStr">
        <is>
          <t>임야</t>
        </is>
      </c>
      <c r="J2731" s="3" t="inlineStr">
        <is>
          <t>전의면</t>
        </is>
      </c>
    </row>
    <row r="2732">
      <c r="A2732" s="3" t="n">
        <v>2025</v>
      </c>
      <c r="B2732" s="4" t="n">
        <v>24564</v>
      </c>
      <c r="C2732" s="4" t="n">
        <v>884</v>
      </c>
      <c r="D2732" s="4" t="n">
        <v>267.41</v>
      </c>
      <c r="E2732" s="5" t="n">
        <v>91.90000000000001</v>
      </c>
      <c r="F2732" s="3" t="inlineStr">
        <is>
          <t>연동면</t>
        </is>
      </c>
      <c r="G2732" s="3" t="inlineStr">
        <is>
          <t>명학리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연동면</t>
        </is>
      </c>
    </row>
    <row r="2733">
      <c r="A2733" s="3" t="n">
        <v>2025</v>
      </c>
      <c r="B2733" s="4" t="n">
        <v>14436</v>
      </c>
      <c r="C2733" s="4" t="n">
        <v>478</v>
      </c>
      <c r="D2733" s="4" t="n">
        <v>144.595</v>
      </c>
      <c r="E2733" s="5" t="n">
        <v>99.8</v>
      </c>
      <c r="F2733" s="3" t="inlineStr">
        <is>
          <t>전의면</t>
        </is>
      </c>
      <c r="G2733" s="3" t="inlineStr">
        <is>
          <t>유천리</t>
        </is>
      </c>
      <c r="H2733" s="3" t="inlineStr">
        <is>
          <t>계획관리지역</t>
        </is>
      </c>
      <c r="I2733" s="3" t="inlineStr">
        <is>
          <t>도로</t>
        </is>
      </c>
      <c r="J2733" s="3" t="inlineStr">
        <is>
          <t>전의면</t>
        </is>
      </c>
    </row>
    <row r="2734">
      <c r="A2734" s="3" t="n">
        <v>2025</v>
      </c>
      <c r="B2734" s="4" t="n">
        <v>5500</v>
      </c>
      <c r="C2734" s="4" t="n">
        <v>1653</v>
      </c>
      <c r="D2734" s="4" t="n">
        <v>500.0325</v>
      </c>
      <c r="E2734" s="5" t="n">
        <v>11</v>
      </c>
      <c r="F2734" s="3" t="inlineStr">
        <is>
          <t>전의면</t>
        </is>
      </c>
      <c r="G2734" s="3" t="inlineStr">
        <is>
          <t>신정리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전의면</t>
        </is>
      </c>
    </row>
    <row r="2735">
      <c r="A2735" s="3" t="n">
        <v>2025</v>
      </c>
      <c r="B2735" s="4" t="n">
        <v>13000</v>
      </c>
      <c r="C2735" s="4" t="n">
        <v>871</v>
      </c>
      <c r="D2735" s="4" t="n">
        <v>263.4775</v>
      </c>
      <c r="E2735" s="5" t="n">
        <v>49.3</v>
      </c>
      <c r="F2735" s="3" t="inlineStr">
        <is>
          <t>조치원읍</t>
        </is>
      </c>
      <c r="G2735" s="3" t="inlineStr">
        <is>
          <t>신안리</t>
        </is>
      </c>
      <c r="H2735" s="3" t="inlineStr">
        <is>
          <t>생산녹지지역</t>
        </is>
      </c>
      <c r="I2735" s="3" t="inlineStr">
        <is>
          <t>전</t>
        </is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198</v>
      </c>
      <c r="D2736" s="4" t="n">
        <v>59.895</v>
      </c>
      <c r="E2736" s="5" t="n">
        <v>83.5</v>
      </c>
      <c r="F2736" s="3" t="inlineStr">
        <is>
          <t>전의면</t>
        </is>
      </c>
      <c r="G2736" s="3" t="inlineStr">
        <is>
          <t>유천리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전의면</t>
        </is>
      </c>
    </row>
    <row r="2737">
      <c r="A2737" s="3" t="n">
        <v>2025</v>
      </c>
      <c r="B2737" s="4" t="n">
        <v>4360</v>
      </c>
      <c r="C2737" s="4" t="n">
        <v>962</v>
      </c>
      <c r="D2737" s="4" t="n">
        <v>291.005</v>
      </c>
      <c r="E2737" s="5" t="n">
        <v>15</v>
      </c>
      <c r="F2737" s="3" t="inlineStr">
        <is>
          <t>전동면</t>
        </is>
      </c>
      <c r="G2737" s="3" t="inlineStr">
        <is>
          <t>심중리</t>
        </is>
      </c>
      <c r="H2737" s="3" t="inlineStr">
        <is>
          <t>계획관리지역</t>
        </is>
      </c>
      <c r="I2737" s="3" t="inlineStr">
        <is>
          <t>전</t>
        </is>
      </c>
      <c r="J2737" s="3" t="inlineStr">
        <is>
          <t>전동면</t>
        </is>
      </c>
    </row>
    <row r="2738">
      <c r="A2738" s="3" t="n">
        <v>2024</v>
      </c>
      <c r="B2738" s="4" t="n">
        <v>81000</v>
      </c>
      <c r="C2738" s="4" t="n">
        <v>2699</v>
      </c>
      <c r="D2738" s="4" t="n">
        <v>816.4475</v>
      </c>
      <c r="E2738" s="5" t="n">
        <v>99.2</v>
      </c>
      <c r="F2738" s="3" t="inlineStr">
        <is>
          <t>소정면</t>
        </is>
      </c>
      <c r="G2738" s="3" t="inlineStr">
        <is>
          <t>고등리</t>
        </is>
      </c>
      <c r="H2738" s="3" t="inlineStr">
        <is>
          <t>계획관리지역</t>
        </is>
      </c>
      <c r="I2738" s="3" t="inlineStr">
        <is>
          <t>전</t>
        </is>
      </c>
      <c r="J2738" s="3" t="inlineStr">
        <is>
          <t>소정면</t>
        </is>
      </c>
    </row>
    <row r="2739">
      <c r="A2739" s="3" t="n">
        <v>2024</v>
      </c>
      <c r="B2739" s="4" t="n">
        <v>22500</v>
      </c>
      <c r="C2739" s="4" t="n">
        <v>621</v>
      </c>
      <c r="D2739" s="4" t="n">
        <v>187.8525</v>
      </c>
      <c r="E2739" s="5" t="n">
        <v>119.8</v>
      </c>
      <c r="F2739" s="3" t="inlineStr">
        <is>
          <t>장군면</t>
        </is>
      </c>
      <c r="G2739" s="3" t="inlineStr">
        <is>
          <t>하봉리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장군면</t>
        </is>
      </c>
    </row>
    <row r="2740">
      <c r="A2740" s="3" t="n">
        <v>2024</v>
      </c>
      <c r="B2740" s="4" t="n">
        <v>13000</v>
      </c>
      <c r="C2740" s="4" t="n">
        <v>294</v>
      </c>
      <c r="D2740" s="4" t="n">
        <v>88.935</v>
      </c>
      <c r="E2740" s="5" t="n">
        <v>146.2</v>
      </c>
      <c r="F2740" s="3" t="inlineStr">
        <is>
          <t>조치원읍</t>
        </is>
      </c>
      <c r="G2740" s="3" t="inlineStr">
        <is>
          <t>서창리</t>
        </is>
      </c>
      <c r="H2740" s="3" t="inlineStr">
        <is>
          <t>제1종일반주거지역</t>
        </is>
      </c>
      <c r="I2740" s="3" t="inlineStr">
        <is>
          <t>대</t>
        </is>
      </c>
      <c r="J2740" s="3" t="inlineStr">
        <is>
          <t>조치원읍</t>
        </is>
      </c>
    </row>
    <row r="2741">
      <c r="A2741" s="3" t="n">
        <v>2024</v>
      </c>
      <c r="B2741" s="4" t="n">
        <v>70800</v>
      </c>
      <c r="C2741" s="4" t="n">
        <v>3874</v>
      </c>
      <c r="D2741" s="4" t="n">
        <v>1171.885</v>
      </c>
      <c r="E2741" s="5" t="n">
        <v>60.4</v>
      </c>
      <c r="F2741" s="3" t="inlineStr">
        <is>
          <t>전의면</t>
        </is>
      </c>
      <c r="G2741" s="3" t="inlineStr">
        <is>
          <t>신정리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전의면</t>
        </is>
      </c>
    </row>
    <row r="2742">
      <c r="A2742" s="3" t="n">
        <v>2024</v>
      </c>
      <c r="B2742" s="4" t="n">
        <v>3200</v>
      </c>
      <c r="C2742" s="4" t="n">
        <v>357</v>
      </c>
      <c r="D2742" s="4" t="n">
        <v>107.9925</v>
      </c>
      <c r="E2742" s="5" t="n">
        <v>29.6</v>
      </c>
      <c r="F2742" s="3" t="inlineStr">
        <is>
          <t>전의면</t>
        </is>
      </c>
      <c r="G2742" s="3" t="inlineStr">
        <is>
          <t>신정리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전의면</t>
        </is>
      </c>
    </row>
    <row r="2743">
      <c r="A2743" s="3" t="n">
        <v>2024</v>
      </c>
      <c r="B2743" s="4" t="n">
        <v>6000</v>
      </c>
      <c r="C2743" s="4" t="n">
        <v>199</v>
      </c>
      <c r="D2743" s="4" t="n">
        <v>60.1975</v>
      </c>
      <c r="E2743" s="5" t="n">
        <v>99.7</v>
      </c>
      <c r="F2743" s="3" t="inlineStr">
        <is>
          <t>전의면</t>
        </is>
      </c>
      <c r="G2743" s="3" t="inlineStr">
        <is>
          <t>영당리</t>
        </is>
      </c>
      <c r="H2743" s="3" t="inlineStr">
        <is>
          <t>계획관리지역</t>
        </is>
      </c>
      <c r="I2743" s="3" t="inlineStr">
        <is>
          <t>대</t>
        </is>
      </c>
      <c r="J2743" s="3" t="inlineStr">
        <is>
          <t>전의면</t>
        </is>
      </c>
    </row>
    <row r="2744">
      <c r="A2744" s="3" t="n">
        <v>2024</v>
      </c>
      <c r="B2744" s="4" t="n">
        <v>26376</v>
      </c>
      <c r="C2744" s="4" t="n">
        <v>519</v>
      </c>
      <c r="D2744" s="4" t="n">
        <v>156.9975</v>
      </c>
      <c r="E2744" s="5" t="n">
        <v>168</v>
      </c>
      <c r="F2744" s="3" t="inlineStr">
        <is>
          <t>장군면</t>
        </is>
      </c>
      <c r="G2744" s="3" t="inlineStr">
        <is>
          <t>금암리</t>
        </is>
      </c>
      <c r="H2744" s="3" t="inlineStr">
        <is>
          <t>계획관리지역</t>
        </is>
      </c>
      <c r="I2744" s="3" t="inlineStr">
        <is>
          <t>임야</t>
        </is>
      </c>
      <c r="J2744" s="3" t="inlineStr">
        <is>
          <t>장군면</t>
        </is>
      </c>
    </row>
    <row r="2745">
      <c r="A2745" s="3" t="n">
        <v>2024</v>
      </c>
      <c r="B2745" s="4" t="n">
        <v>9000</v>
      </c>
      <c r="C2745" s="4" t="n">
        <v>199</v>
      </c>
      <c r="D2745" s="4" t="n">
        <v>60.1975</v>
      </c>
      <c r="E2745" s="5" t="n">
        <v>149.5</v>
      </c>
      <c r="F2745" s="3" t="inlineStr">
        <is>
          <t>장군면</t>
        </is>
      </c>
      <c r="G2745" s="3" t="inlineStr">
        <is>
          <t>용암리</t>
        </is>
      </c>
      <c r="H2745" s="3" t="inlineStr">
        <is>
          <t>보전관리지역</t>
        </is>
      </c>
      <c r="I2745" s="3" t="inlineStr">
        <is>
          <t>임야</t>
        </is>
      </c>
      <c r="J2745" s="3" t="inlineStr">
        <is>
          <t>장군면</t>
        </is>
      </c>
    </row>
    <row r="2746">
      <c r="A2746" s="3" t="n">
        <v>2024</v>
      </c>
      <c r="B2746" s="4" t="n">
        <v>23808</v>
      </c>
      <c r="C2746" s="4" t="n">
        <v>512</v>
      </c>
      <c r="D2746" s="4" t="n">
        <v>154.88</v>
      </c>
      <c r="E2746" s="5" t="n">
        <v>153.7</v>
      </c>
      <c r="F2746" s="3" t="inlineStr">
        <is>
          <t>금남면</t>
        </is>
      </c>
      <c r="G2746" s="3" t="inlineStr">
        <is>
          <t>남곡리</t>
        </is>
      </c>
      <c r="H2746" s="3" t="inlineStr">
        <is>
          <t>제1종일반주거지역</t>
        </is>
      </c>
      <c r="I2746" s="3" t="inlineStr">
        <is>
          <t>전</t>
        </is>
      </c>
      <c r="J2746" s="3" t="inlineStr">
        <is>
          <t>금남면</t>
        </is>
      </c>
    </row>
    <row r="2747">
      <c r="A2747" s="3" t="n">
        <v>2024</v>
      </c>
      <c r="B2747" s="4" t="n">
        <v>60000</v>
      </c>
      <c r="C2747" s="4" t="n">
        <v>326</v>
      </c>
      <c r="D2747" s="4" t="n">
        <v>98.61499999999999</v>
      </c>
      <c r="E2747" s="5" t="n">
        <v>608.4</v>
      </c>
      <c r="F2747" s="3" t="inlineStr">
        <is>
          <t>해밀동</t>
        </is>
      </c>
      <c r="G2747" s="3" t="inlineStr"/>
      <c r="H2747" s="3" t="inlineStr">
        <is>
          <t>기타</t>
        </is>
      </c>
      <c r="I2747" s="3" t="inlineStr">
        <is>
          <t>대</t>
        </is>
      </c>
      <c r="J2747" s="3" t="inlineStr">
        <is>
          <t>해밀동</t>
        </is>
      </c>
    </row>
    <row r="2748">
      <c r="A2748" s="3" t="n">
        <v>2024</v>
      </c>
      <c r="B2748" s="4" t="n">
        <v>36000</v>
      </c>
      <c r="C2748" s="4" t="n">
        <v>1322</v>
      </c>
      <c r="D2748" s="4" t="n">
        <v>399.905</v>
      </c>
      <c r="E2748" s="5" t="n">
        <v>90</v>
      </c>
      <c r="F2748" s="3" t="inlineStr">
        <is>
          <t>장군면</t>
        </is>
      </c>
      <c r="G2748" s="3" t="inlineStr">
        <is>
          <t>도계리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장군면</t>
        </is>
      </c>
    </row>
    <row r="2749">
      <c r="A2749" s="3" t="n">
        <v>2024</v>
      </c>
      <c r="B2749" s="4" t="n">
        <v>16000</v>
      </c>
      <c r="C2749" s="4" t="n">
        <v>6076</v>
      </c>
      <c r="D2749" s="4" t="n">
        <v>1837.99</v>
      </c>
      <c r="E2749" s="5" t="n">
        <v>8.699999999999999</v>
      </c>
      <c r="F2749" s="3" t="inlineStr">
        <is>
          <t>전동면</t>
        </is>
      </c>
      <c r="G2749" s="3" t="inlineStr">
        <is>
          <t>청송리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전동면</t>
        </is>
      </c>
    </row>
    <row r="2750">
      <c r="A2750" s="3" t="n">
        <v>2024</v>
      </c>
      <c r="B2750" s="4" t="n">
        <v>50000</v>
      </c>
      <c r="C2750" s="4" t="n">
        <v>322</v>
      </c>
      <c r="D2750" s="4" t="n">
        <v>97.405</v>
      </c>
      <c r="E2750" s="5" t="n">
        <v>513.3</v>
      </c>
      <c r="F2750" s="3" t="inlineStr">
        <is>
          <t>반곡동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반곡동</t>
        </is>
      </c>
    </row>
    <row r="2751">
      <c r="A2751" s="3" t="n">
        <v>2024</v>
      </c>
      <c r="B2751" s="4" t="n">
        <v>24350</v>
      </c>
      <c r="C2751" s="4" t="n">
        <v>256</v>
      </c>
      <c r="D2751" s="4" t="n">
        <v>77.44</v>
      </c>
      <c r="E2751" s="5" t="n">
        <v>314.4</v>
      </c>
      <c r="F2751" s="3" t="inlineStr">
        <is>
          <t>집현동</t>
        </is>
      </c>
      <c r="G2751" s="3" t="inlineStr"/>
      <c r="H2751" s="3" t="inlineStr">
        <is>
          <t>기타</t>
        </is>
      </c>
      <c r="I2751" s="3" t="inlineStr">
        <is>
          <t>대</t>
        </is>
      </c>
      <c r="J2751" s="3" t="inlineStr">
        <is>
          <t>집현동</t>
        </is>
      </c>
    </row>
    <row r="2752">
      <c r="A2752" s="3" t="n">
        <v>2024</v>
      </c>
      <c r="B2752" s="4" t="n">
        <v>59000</v>
      </c>
      <c r="C2752" s="4" t="n">
        <v>1098</v>
      </c>
      <c r="D2752" s="4" t="n">
        <v>332.145</v>
      </c>
      <c r="E2752" s="5" t="n">
        <v>177.6</v>
      </c>
      <c r="F2752" s="3" t="inlineStr">
        <is>
          <t>전의면</t>
        </is>
      </c>
      <c r="G2752" s="3" t="inlineStr">
        <is>
          <t>읍내리</t>
        </is>
      </c>
      <c r="H2752" s="3" t="inlineStr">
        <is>
          <t>계획관리지역</t>
        </is>
      </c>
      <c r="I2752" s="3" t="inlineStr">
        <is>
          <t>과수원</t>
        </is>
      </c>
      <c r="J2752" s="3" t="inlineStr">
        <is>
          <t>전의면</t>
        </is>
      </c>
    </row>
    <row r="2753">
      <c r="A2753" s="3" t="n">
        <v>2024</v>
      </c>
      <c r="B2753" s="4" t="n">
        <v>49400</v>
      </c>
      <c r="C2753" s="4" t="n">
        <v>358.7</v>
      </c>
      <c r="D2753" s="4" t="n">
        <v>108.50675</v>
      </c>
      <c r="E2753" s="5" t="n">
        <v>455.3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1100</v>
      </c>
      <c r="C2754" s="4" t="n">
        <v>89</v>
      </c>
      <c r="D2754" s="4" t="n">
        <v>26.9225</v>
      </c>
      <c r="E2754" s="5" t="n">
        <v>40.9</v>
      </c>
      <c r="F2754" s="3" t="inlineStr">
        <is>
          <t>현도면</t>
        </is>
      </c>
      <c r="G2754" s="3" t="inlineStr">
        <is>
          <t>매봉리</t>
        </is>
      </c>
      <c r="H2754" s="3" t="inlineStr">
        <is>
          <t>제2종일반주거지역</t>
        </is>
      </c>
      <c r="I2754" s="3" t="inlineStr">
        <is>
          <t>도로</t>
        </is>
      </c>
      <c r="J2754" s="3" t="inlineStr">
        <is>
          <t>현도면</t>
        </is>
      </c>
    </row>
    <row r="2755">
      <c r="A2755" s="3" t="n">
        <v>2022</v>
      </c>
      <c r="B2755" s="4" t="n">
        <v>10253</v>
      </c>
      <c r="C2755" s="4" t="n">
        <v>1456</v>
      </c>
      <c r="D2755" s="4" t="n">
        <v>440.44</v>
      </c>
      <c r="E2755" s="5" t="n">
        <v>23.3</v>
      </c>
      <c r="F2755" s="3" t="inlineStr">
        <is>
          <t>남이면</t>
        </is>
      </c>
      <c r="G2755" s="3" t="inlineStr">
        <is>
          <t>구암리</t>
        </is>
      </c>
      <c r="H2755" s="3" t="inlineStr">
        <is>
          <t>보전녹지지역</t>
        </is>
      </c>
      <c r="I2755" s="3" t="inlineStr">
        <is>
          <t>임야</t>
        </is>
      </c>
      <c r="J2755" s="3" t="inlineStr">
        <is>
          <t>남이면</t>
        </is>
      </c>
    </row>
    <row r="2756">
      <c r="A2756" s="3" t="n">
        <v>2022</v>
      </c>
      <c r="B2756" s="4" t="n">
        <v>23272</v>
      </c>
      <c r="C2756" s="4" t="n">
        <v>3305</v>
      </c>
      <c r="D2756" s="4" t="n">
        <v>999.7624999999999</v>
      </c>
      <c r="E2756" s="5" t="n">
        <v>23.3</v>
      </c>
      <c r="F2756" s="3" t="inlineStr">
        <is>
          <t>남이면</t>
        </is>
      </c>
      <c r="G2756" s="3" t="inlineStr">
        <is>
          <t>구암리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2022</v>
      </c>
      <c r="B2757" s="4" t="n">
        <v>46475</v>
      </c>
      <c r="C2757" s="4" t="n">
        <v>6600</v>
      </c>
      <c r="D2757" s="4" t="n">
        <v>1996.5</v>
      </c>
      <c r="E2757" s="5" t="n">
        <v>23.3</v>
      </c>
      <c r="F2757" s="3" t="inlineStr">
        <is>
          <t>남이면</t>
        </is>
      </c>
      <c r="G2757" s="3" t="inlineStr">
        <is>
          <t>구암리</t>
        </is>
      </c>
      <c r="H2757" s="3" t="inlineStr">
        <is>
          <t>보전녹지지역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2022</v>
      </c>
      <c r="B2758" s="4" t="n">
        <v>49448</v>
      </c>
      <c r="C2758" s="4" t="n">
        <v>817</v>
      </c>
      <c r="D2758" s="4" t="n">
        <v>247.1425</v>
      </c>
      <c r="E2758" s="5" t="n">
        <v>200.1</v>
      </c>
      <c r="F2758" s="3" t="inlineStr">
        <is>
          <t>남이면</t>
        </is>
      </c>
      <c r="G2758" s="3" t="inlineStr">
        <is>
          <t>양촌리</t>
        </is>
      </c>
      <c r="H2758" s="3" t="inlineStr">
        <is>
          <t>보전녹지지역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2022</v>
      </c>
      <c r="B2759" s="4" t="n">
        <v>34500</v>
      </c>
      <c r="C2759" s="4" t="n">
        <v>524</v>
      </c>
      <c r="D2759" s="4" t="n">
        <v>158.51</v>
      </c>
      <c r="E2759" s="5" t="n">
        <v>217.7</v>
      </c>
      <c r="F2759" s="3" t="inlineStr">
        <is>
          <t>남이면</t>
        </is>
      </c>
      <c r="G2759" s="3" t="inlineStr">
        <is>
          <t>석판리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41000</v>
      </c>
      <c r="C2760" s="4" t="n">
        <v>1365</v>
      </c>
      <c r="D2760" s="4" t="n">
        <v>412.9125</v>
      </c>
      <c r="E2760" s="5" t="n">
        <v>99.3</v>
      </c>
      <c r="F2760" s="3" t="inlineStr">
        <is>
          <t>현도면</t>
        </is>
      </c>
      <c r="G2760" s="3" t="inlineStr">
        <is>
          <t>상삼리</t>
        </is>
      </c>
      <c r="H2760" s="3" t="inlineStr">
        <is>
          <t>계획관리지역</t>
        </is>
      </c>
      <c r="I2760" s="3" t="inlineStr">
        <is>
          <t>답</t>
        </is>
      </c>
      <c r="J2760" s="3" t="inlineStr">
        <is>
          <t>현도면</t>
        </is>
      </c>
    </row>
    <row r="2761">
      <c r="A2761" s="3" t="n">
        <v>2022</v>
      </c>
      <c r="B2761" s="4" t="n">
        <v>57000</v>
      </c>
      <c r="C2761" s="4" t="n">
        <v>1718</v>
      </c>
      <c r="D2761" s="4" t="n">
        <v>519.6949999999999</v>
      </c>
      <c r="E2761" s="5" t="n">
        <v>109.7</v>
      </c>
      <c r="F2761" s="3" t="inlineStr">
        <is>
          <t>현도면</t>
        </is>
      </c>
      <c r="G2761" s="3" t="inlineStr">
        <is>
          <t>상삼리</t>
        </is>
      </c>
      <c r="H2761" s="3" t="inlineStr">
        <is>
          <t>계획관리지역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5600</v>
      </c>
      <c r="C2762" s="4" t="n">
        <v>863</v>
      </c>
      <c r="D2762" s="4" t="n">
        <v>261.0575</v>
      </c>
      <c r="E2762" s="5" t="n">
        <v>21.5</v>
      </c>
      <c r="F2762" s="3" t="inlineStr">
        <is>
          <t>현도면</t>
        </is>
      </c>
      <c r="G2762" s="3" t="inlineStr">
        <is>
          <t>중척리</t>
        </is>
      </c>
      <c r="H2762" s="3" t="inlineStr">
        <is>
          <t>개발제한구역</t>
        </is>
      </c>
      <c r="I2762" s="3" t="inlineStr">
        <is>
          <t>전</t>
        </is>
      </c>
      <c r="J2762" s="3" t="inlineStr">
        <is>
          <t>현도면</t>
        </is>
      </c>
    </row>
    <row r="2763">
      <c r="A2763" s="3" t="n">
        <v>2022</v>
      </c>
      <c r="B2763" s="4" t="n">
        <v>1100</v>
      </c>
      <c r="C2763" s="4" t="n">
        <v>10</v>
      </c>
      <c r="D2763" s="4" t="n">
        <v>3.025</v>
      </c>
      <c r="E2763" s="5" t="n">
        <v>363.6</v>
      </c>
      <c r="F2763" s="3" t="inlineStr">
        <is>
          <t>남이면</t>
        </is>
      </c>
      <c r="G2763" s="3" t="inlineStr">
        <is>
          <t>외천리</t>
        </is>
      </c>
      <c r="H2763" s="3" t="inlineStr">
        <is>
          <t>계획관리지역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24500</v>
      </c>
      <c r="C2764" s="4" t="n">
        <v>1620</v>
      </c>
      <c r="D2764" s="4" t="n">
        <v>490.05</v>
      </c>
      <c r="E2764" s="5" t="n">
        <v>50</v>
      </c>
      <c r="F2764" s="3" t="inlineStr">
        <is>
          <t>현도면</t>
        </is>
      </c>
      <c r="G2764" s="3" t="inlineStr">
        <is>
          <t>중삼리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현도면</t>
        </is>
      </c>
    </row>
    <row r="2765">
      <c r="A2765" s="3" t="n">
        <v>2022</v>
      </c>
      <c r="B2765" s="4" t="n">
        <v>2400</v>
      </c>
      <c r="C2765" s="4" t="n">
        <v>132</v>
      </c>
      <c r="D2765" s="4" t="n">
        <v>39.93</v>
      </c>
      <c r="E2765" s="5" t="n">
        <v>60.1</v>
      </c>
      <c r="F2765" s="3" t="inlineStr">
        <is>
          <t>남이면</t>
        </is>
      </c>
      <c r="G2765" s="3" t="inlineStr">
        <is>
          <t>문동리</t>
        </is>
      </c>
      <c r="H2765" s="3" t="inlineStr">
        <is>
          <t>자연녹지지역</t>
        </is>
      </c>
      <c r="I2765" s="3" t="inlineStr">
        <is>
          <t>도로</t>
        </is>
      </c>
      <c r="J2765" s="3" t="inlineStr">
        <is>
          <t>남이면</t>
        </is>
      </c>
    </row>
    <row r="2766">
      <c r="A2766" s="3" t="n">
        <v>2022</v>
      </c>
      <c r="B2766" s="4" t="n">
        <v>18270</v>
      </c>
      <c r="C2766" s="4" t="n">
        <v>1340</v>
      </c>
      <c r="D2766" s="4" t="n">
        <v>405.35</v>
      </c>
      <c r="E2766" s="5" t="n">
        <v>45.1</v>
      </c>
      <c r="F2766" s="3" t="inlineStr">
        <is>
          <t>현도면</t>
        </is>
      </c>
      <c r="G2766" s="3" t="inlineStr">
        <is>
          <t>시목리</t>
        </is>
      </c>
      <c r="H2766" s="3" t="inlineStr">
        <is>
          <t>개발제한구역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8430</v>
      </c>
      <c r="C2767" s="4" t="n">
        <v>619</v>
      </c>
      <c r="D2767" s="4" t="n">
        <v>187.2475</v>
      </c>
      <c r="E2767" s="5" t="n">
        <v>45</v>
      </c>
      <c r="F2767" s="3" t="inlineStr">
        <is>
          <t>현도면</t>
        </is>
      </c>
      <c r="G2767" s="3" t="inlineStr">
        <is>
          <t>시목리</t>
        </is>
      </c>
      <c r="H2767" s="3" t="inlineStr">
        <is>
          <t>개발제한구역</t>
        </is>
      </c>
      <c r="I2767" s="3" t="inlineStr">
        <is>
          <t>답</t>
        </is>
      </c>
      <c r="J2767" s="3" t="inlineStr">
        <is>
          <t>현도면</t>
        </is>
      </c>
    </row>
    <row r="2768">
      <c r="A2768" s="3" t="n">
        <v>2022</v>
      </c>
      <c r="B2768" s="4" t="n">
        <v>23300</v>
      </c>
      <c r="C2768" s="4" t="n">
        <v>1711</v>
      </c>
      <c r="D2768" s="4" t="n">
        <v>517.5775</v>
      </c>
      <c r="E2768" s="5" t="n">
        <v>45</v>
      </c>
      <c r="F2768" s="3" t="inlineStr">
        <is>
          <t>현도면</t>
        </is>
      </c>
      <c r="G2768" s="3" t="inlineStr">
        <is>
          <t>시목리</t>
        </is>
      </c>
      <c r="H2768" s="3" t="inlineStr">
        <is>
          <t>개발제한구역</t>
        </is>
      </c>
      <c r="I2768" s="3" t="inlineStr">
        <is>
          <t>답</t>
        </is>
      </c>
      <c r="J2768" s="3" t="inlineStr">
        <is>
          <t>현도면</t>
        </is>
      </c>
    </row>
    <row r="2769">
      <c r="A2769" s="3" t="n">
        <v>2022</v>
      </c>
      <c r="B2769" s="4" t="n">
        <v>13854</v>
      </c>
      <c r="C2769" s="4" t="n">
        <v>701</v>
      </c>
      <c r="D2769" s="4" t="n">
        <v>212.0525</v>
      </c>
      <c r="E2769" s="5" t="n">
        <v>65.3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전</t>
        </is>
      </c>
      <c r="J2769" s="3" t="inlineStr">
        <is>
          <t>남이면</t>
        </is>
      </c>
    </row>
    <row r="2770">
      <c r="A2770" s="3" t="n">
        <v>2022</v>
      </c>
      <c r="B2770" s="4" t="n">
        <v>24500</v>
      </c>
      <c r="C2770" s="4" t="n">
        <v>1620</v>
      </c>
      <c r="D2770" s="4" t="n">
        <v>490.05</v>
      </c>
      <c r="E2770" s="5" t="n">
        <v>50</v>
      </c>
      <c r="F2770" s="3" t="inlineStr">
        <is>
          <t>현도면</t>
        </is>
      </c>
      <c r="G2770" s="3" t="inlineStr">
        <is>
          <t>중삼리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현도면</t>
        </is>
      </c>
    </row>
    <row r="2771">
      <c r="A2771" s="3" t="n">
        <v>2022</v>
      </c>
      <c r="B2771" s="4" t="n">
        <v>28000</v>
      </c>
      <c r="C2771" s="4" t="n">
        <v>2059</v>
      </c>
      <c r="D2771" s="4" t="n">
        <v>622.8475</v>
      </c>
      <c r="E2771" s="5" t="n">
        <v>45</v>
      </c>
      <c r="F2771" s="3" t="inlineStr">
        <is>
          <t>남이면</t>
        </is>
      </c>
      <c r="G2771" s="3" t="inlineStr">
        <is>
          <t>가좌리</t>
        </is>
      </c>
      <c r="H2771" s="3" t="inlineStr">
        <is>
          <t>자연녹지지역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34300</v>
      </c>
      <c r="C2772" s="4" t="n">
        <v>1620</v>
      </c>
      <c r="D2772" s="4" t="n">
        <v>490.05</v>
      </c>
      <c r="E2772" s="5" t="n">
        <v>70</v>
      </c>
      <c r="F2772" s="3" t="inlineStr">
        <is>
          <t>현도면</t>
        </is>
      </c>
      <c r="G2772" s="3" t="inlineStr">
        <is>
          <t>중삼리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19107</v>
      </c>
      <c r="C2773" s="4" t="n">
        <v>1914</v>
      </c>
      <c r="D2773" s="4" t="n">
        <v>578.985</v>
      </c>
      <c r="E2773" s="5" t="n">
        <v>33</v>
      </c>
      <c r="F2773" s="3" t="inlineStr">
        <is>
          <t>현도면</t>
        </is>
      </c>
      <c r="G2773" s="3" t="inlineStr">
        <is>
          <t>중삼리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현도면</t>
        </is>
      </c>
    </row>
    <row r="2774">
      <c r="A2774" s="3" t="n">
        <v>2022</v>
      </c>
      <c r="B2774" s="4" t="n">
        <v>57114</v>
      </c>
      <c r="C2774" s="4" t="n">
        <v>791</v>
      </c>
      <c r="D2774" s="4" t="n">
        <v>239.2775</v>
      </c>
      <c r="E2774" s="5" t="n">
        <v>238.7</v>
      </c>
      <c r="F2774" s="3" t="inlineStr">
        <is>
          <t>남이면</t>
        </is>
      </c>
      <c r="G2774" s="3" t="inlineStr">
        <is>
          <t>석판리</t>
        </is>
      </c>
      <c r="H2774" s="3" t="inlineStr">
        <is>
          <t>자연녹지지역</t>
        </is>
      </c>
      <c r="I2774" s="3" t="inlineStr">
        <is>
          <t>묘지</t>
        </is>
      </c>
      <c r="J2774" s="3" t="inlineStr">
        <is>
          <t>남이면</t>
        </is>
      </c>
    </row>
    <row r="2775">
      <c r="A2775" s="3" t="n">
        <v>2022</v>
      </c>
      <c r="B2775" s="4" t="n">
        <v>23100</v>
      </c>
      <c r="C2775" s="4" t="n">
        <v>2015</v>
      </c>
      <c r="D2775" s="4" t="n">
        <v>609.5375</v>
      </c>
      <c r="E2775" s="5" t="n">
        <v>37.9</v>
      </c>
      <c r="F2775" s="3" t="inlineStr">
        <is>
          <t>남이면</t>
        </is>
      </c>
      <c r="G2775" s="3" t="inlineStr">
        <is>
          <t>외천리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870</v>
      </c>
      <c r="C2776" s="4" t="n">
        <v>124</v>
      </c>
      <c r="D2776" s="4" t="n">
        <v>37.51</v>
      </c>
      <c r="E2776" s="5" t="n">
        <v>23.2</v>
      </c>
      <c r="F2776" s="3" t="inlineStr">
        <is>
          <t>조치원읍</t>
        </is>
      </c>
      <c r="G2776" s="3" t="inlineStr">
        <is>
          <t>신안리</t>
        </is>
      </c>
      <c r="H2776" s="3" t="inlineStr">
        <is>
          <t>보전녹지지역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530</v>
      </c>
      <c r="C2777" s="4" t="n">
        <v>75</v>
      </c>
      <c r="D2777" s="4" t="n">
        <v>22.6875</v>
      </c>
      <c r="E2777" s="5" t="n">
        <v>23.4</v>
      </c>
      <c r="F2777" s="3" t="inlineStr">
        <is>
          <t>조치원읍</t>
        </is>
      </c>
      <c r="G2777" s="3" t="inlineStr">
        <is>
          <t>신안리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1220</v>
      </c>
      <c r="C2778" s="4" t="n">
        <v>134</v>
      </c>
      <c r="D2778" s="4" t="n">
        <v>40.535</v>
      </c>
      <c r="E2778" s="5" t="n">
        <v>30.1</v>
      </c>
      <c r="F2778" s="3" t="inlineStr">
        <is>
          <t>조치원읍</t>
        </is>
      </c>
      <c r="G2778" s="3" t="inlineStr">
        <is>
          <t>신안리</t>
        </is>
      </c>
      <c r="H2778" s="3" t="inlineStr">
        <is>
          <t>자연녹지지역</t>
        </is>
      </c>
      <c r="I2778" s="3" t="inlineStr">
        <is>
          <t>임야</t>
        </is>
      </c>
      <c r="J2778" s="3" t="inlineStr">
        <is>
          <t>조치원읍</t>
        </is>
      </c>
    </row>
    <row r="2779">
      <c r="A2779" s="3" t="n">
        <v>2026</v>
      </c>
      <c r="B2779" s="4" t="n">
        <v>900</v>
      </c>
      <c r="C2779" s="4" t="n">
        <v>217</v>
      </c>
      <c r="D2779" s="4" t="n">
        <v>65.6425</v>
      </c>
      <c r="E2779" s="5" t="n">
        <v>13.7</v>
      </c>
      <c r="F2779" s="3" t="inlineStr">
        <is>
          <t>조치원읍</t>
        </is>
      </c>
      <c r="G2779" s="3" t="inlineStr">
        <is>
          <t>신안리</t>
        </is>
      </c>
      <c r="H2779" s="3" t="inlineStr">
        <is>
          <t>자연녹지지역</t>
        </is>
      </c>
      <c r="I2779" s="3" t="inlineStr">
        <is>
          <t>임야</t>
        </is>
      </c>
      <c r="J2779" s="3" t="inlineStr">
        <is>
          <t>조치원읍</t>
        </is>
      </c>
    </row>
    <row r="2780">
      <c r="A2780" s="3" t="n">
        <v>2026</v>
      </c>
      <c r="B2780" s="4" t="n">
        <v>8000</v>
      </c>
      <c r="C2780" s="4" t="n">
        <v>425</v>
      </c>
      <c r="D2780" s="4" t="n">
        <v>128.5625</v>
      </c>
      <c r="E2780" s="5" t="n">
        <v>62.2</v>
      </c>
      <c r="F2780" s="3" t="inlineStr">
        <is>
          <t>조치원읍</t>
        </is>
      </c>
      <c r="G2780" s="3" t="inlineStr">
        <is>
          <t>신안리</t>
        </is>
      </c>
      <c r="H2780" s="3" t="inlineStr">
        <is>
          <t>보전녹지지역</t>
        </is>
      </c>
      <c r="I2780" s="3" t="inlineStr">
        <is>
          <t>임야</t>
        </is>
      </c>
      <c r="J2780" s="3" t="inlineStr">
        <is>
          <t>조치원읍</t>
        </is>
      </c>
    </row>
    <row r="2781">
      <c r="A2781" s="3" t="n">
        <v>2026</v>
      </c>
      <c r="B2781" s="4" t="n">
        <v>12320</v>
      </c>
      <c r="C2781" s="4" t="n">
        <v>88</v>
      </c>
      <c r="D2781" s="4" t="n">
        <v>26.62</v>
      </c>
      <c r="E2781" s="5" t="n">
        <v>462.8</v>
      </c>
      <c r="F2781" s="3" t="inlineStr">
        <is>
          <t>조치원읍</t>
        </is>
      </c>
      <c r="G2781" s="3" t="inlineStr">
        <is>
          <t>서창리</t>
        </is>
      </c>
      <c r="H2781" s="3" t="inlineStr">
        <is>
          <t>준주거지역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2026</v>
      </c>
      <c r="B2782" s="4" t="n">
        <v>23478</v>
      </c>
      <c r="C2782" s="4" t="n">
        <v>1805.7</v>
      </c>
      <c r="D2782" s="4" t="n">
        <v>546.22425</v>
      </c>
      <c r="E2782" s="5" t="n">
        <v>43</v>
      </c>
      <c r="F2782" s="3" t="inlineStr">
        <is>
          <t>연동면</t>
        </is>
      </c>
      <c r="G2782" s="3" t="inlineStr">
        <is>
          <t>응암리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연동면</t>
        </is>
      </c>
    </row>
    <row r="2783">
      <c r="A2783" s="3" t="n">
        <v>2026</v>
      </c>
      <c r="B2783" s="4" t="n">
        <v>25155</v>
      </c>
      <c r="C2783" s="4" t="n">
        <v>1935.2</v>
      </c>
      <c r="D2783" s="4" t="n">
        <v>585.398</v>
      </c>
      <c r="E2783" s="5" t="n">
        <v>43</v>
      </c>
      <c r="F2783" s="3" t="inlineStr">
        <is>
          <t>연동면</t>
        </is>
      </c>
      <c r="G2783" s="3" t="inlineStr">
        <is>
          <t>응암리</t>
        </is>
      </c>
      <c r="H2783" s="3" t="inlineStr">
        <is>
          <t>농림지역</t>
        </is>
      </c>
      <c r="I2783" s="3" t="inlineStr">
        <is>
          <t>답</t>
        </is>
      </c>
      <c r="J2783" s="3" t="inlineStr">
        <is>
          <t>연동면</t>
        </is>
      </c>
    </row>
    <row r="2784">
      <c r="A2784" s="3" t="n">
        <v>2026</v>
      </c>
      <c r="B2784" s="4" t="n">
        <v>25425</v>
      </c>
      <c r="C2784" s="4" t="n">
        <v>777</v>
      </c>
      <c r="D2784" s="4" t="n">
        <v>235.0425</v>
      </c>
      <c r="E2784" s="5" t="n">
        <v>108.2</v>
      </c>
      <c r="F2784" s="3" t="inlineStr">
        <is>
          <t>장군면</t>
        </is>
      </c>
      <c r="G2784" s="3" t="inlineStr">
        <is>
          <t>하봉리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장군면</t>
        </is>
      </c>
    </row>
    <row r="2785">
      <c r="A2785" s="3" t="n">
        <v>2026</v>
      </c>
      <c r="B2785" s="4" t="n">
        <v>12800</v>
      </c>
      <c r="C2785" s="4" t="n">
        <v>397</v>
      </c>
      <c r="D2785" s="4" t="n">
        <v>120.0925</v>
      </c>
      <c r="E2785" s="5" t="n">
        <v>106.6</v>
      </c>
      <c r="F2785" s="3" t="inlineStr">
        <is>
          <t>장군면</t>
        </is>
      </c>
      <c r="G2785" s="3" t="inlineStr">
        <is>
          <t>봉안리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장군면</t>
        </is>
      </c>
    </row>
    <row r="2786">
      <c r="A2786" s="3" t="n">
        <v>2026</v>
      </c>
      <c r="B2786" s="4" t="n">
        <v>12000</v>
      </c>
      <c r="C2786" s="4" t="n">
        <v>734</v>
      </c>
      <c r="D2786" s="4" t="n">
        <v>222.035</v>
      </c>
      <c r="E2786" s="5" t="n">
        <v>54</v>
      </c>
      <c r="F2786" s="3" t="inlineStr">
        <is>
          <t>금남면</t>
        </is>
      </c>
      <c r="G2786" s="3" t="inlineStr">
        <is>
          <t>달전리</t>
        </is>
      </c>
      <c r="H2786" s="3" t="inlineStr">
        <is>
          <t>개발제한구역</t>
        </is>
      </c>
      <c r="I2786" s="3" t="inlineStr">
        <is>
          <t>답</t>
        </is>
      </c>
      <c r="J2786" s="3" t="inlineStr">
        <is>
          <t>금남면</t>
        </is>
      </c>
    </row>
    <row r="2787">
      <c r="A2787" s="3" t="n">
        <v>2026</v>
      </c>
      <c r="B2787" s="4" t="n">
        <v>37800</v>
      </c>
      <c r="C2787" s="4" t="n">
        <v>450</v>
      </c>
      <c r="D2787" s="4" t="n">
        <v>136.125</v>
      </c>
      <c r="E2787" s="5" t="n">
        <v>277.7</v>
      </c>
      <c r="F2787" s="3" t="inlineStr">
        <is>
          <t>장군면</t>
        </is>
      </c>
      <c r="G2787" s="3" t="inlineStr">
        <is>
          <t>대교리</t>
        </is>
      </c>
      <c r="H2787" s="3" t="inlineStr">
        <is>
          <t>보전관리지역</t>
        </is>
      </c>
      <c r="I2787" s="3" t="inlineStr">
        <is>
          <t>대</t>
        </is>
      </c>
      <c r="J2787" s="3" t="inlineStr">
        <is>
          <t>장군면</t>
        </is>
      </c>
    </row>
    <row r="2788">
      <c r="A2788" s="3" t="n">
        <v>2023</v>
      </c>
      <c r="B2788" s="4" t="n">
        <v>6345</v>
      </c>
      <c r="C2788" s="4" t="n">
        <v>553</v>
      </c>
      <c r="D2788" s="4" t="n">
        <v>167.2825</v>
      </c>
      <c r="E2788" s="5" t="n">
        <v>37.9</v>
      </c>
      <c r="F2788" s="3" t="inlineStr">
        <is>
          <t>전의면</t>
        </is>
      </c>
      <c r="G2788" s="3" t="inlineStr">
        <is>
          <t>신정리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전의면</t>
        </is>
      </c>
    </row>
    <row r="2789">
      <c r="A2789" s="3" t="n">
        <v>2023</v>
      </c>
      <c r="B2789" s="4" t="n">
        <v>40000</v>
      </c>
      <c r="C2789" s="4" t="n">
        <v>477</v>
      </c>
      <c r="D2789" s="4" t="n">
        <v>144.2925</v>
      </c>
      <c r="E2789" s="5" t="n">
        <v>277.2</v>
      </c>
      <c r="F2789" s="3" t="inlineStr">
        <is>
          <t>장군면</t>
        </is>
      </c>
      <c r="G2789" s="3" t="inlineStr">
        <is>
          <t>봉안리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장군면</t>
        </is>
      </c>
    </row>
    <row r="2790">
      <c r="A2790" s="3" t="n">
        <v>2023</v>
      </c>
      <c r="B2790" s="4" t="n">
        <v>70000</v>
      </c>
      <c r="C2790" s="4" t="n">
        <v>1077</v>
      </c>
      <c r="D2790" s="4" t="n">
        <v>325.7925</v>
      </c>
      <c r="E2790" s="5" t="n">
        <v>214.9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18229</v>
      </c>
      <c r="C2791" s="4" t="n">
        <v>302</v>
      </c>
      <c r="D2791" s="4" t="n">
        <v>91.355</v>
      </c>
      <c r="E2791" s="5" t="n">
        <v>199.5</v>
      </c>
      <c r="F2791" s="3" t="inlineStr">
        <is>
          <t>장군면</t>
        </is>
      </c>
      <c r="G2791" s="3" t="inlineStr">
        <is>
          <t>대교리</t>
        </is>
      </c>
      <c r="H2791" s="3" t="inlineStr">
        <is>
          <t>보전관리지역</t>
        </is>
      </c>
      <c r="I2791" s="3" t="inlineStr">
        <is>
          <t>임야</t>
        </is>
      </c>
      <c r="J2791" s="3" t="inlineStr">
        <is>
          <t>장군면</t>
        </is>
      </c>
    </row>
    <row r="2792">
      <c r="A2792" s="3" t="n">
        <v>2023</v>
      </c>
      <c r="B2792" s="4" t="n">
        <v>18799</v>
      </c>
      <c r="C2792" s="4" t="n">
        <v>277</v>
      </c>
      <c r="D2792" s="4" t="n">
        <v>83.7925</v>
      </c>
      <c r="E2792" s="5" t="n">
        <v>224.4</v>
      </c>
      <c r="F2792" s="3" t="inlineStr">
        <is>
          <t>장군면</t>
        </is>
      </c>
      <c r="G2792" s="3" t="inlineStr">
        <is>
          <t>대교리</t>
        </is>
      </c>
      <c r="H2792" s="3" t="inlineStr">
        <is>
          <t>보전관리지역</t>
        </is>
      </c>
      <c r="I2792" s="3" t="inlineStr">
        <is>
          <t>임야</t>
        </is>
      </c>
      <c r="J2792" s="3" t="inlineStr">
        <is>
          <t>장군면</t>
        </is>
      </c>
    </row>
    <row r="2793">
      <c r="A2793" s="3" t="n">
        <v>2023</v>
      </c>
      <c r="B2793" s="4" t="n">
        <v>7572</v>
      </c>
      <c r="C2793" s="4" t="n">
        <v>631</v>
      </c>
      <c r="D2793" s="4" t="n">
        <v>190.8775</v>
      </c>
      <c r="E2793" s="5" t="n">
        <v>39.7</v>
      </c>
      <c r="F2793" s="3" t="inlineStr">
        <is>
          <t>전의면</t>
        </is>
      </c>
      <c r="G2793" s="3" t="inlineStr">
        <is>
          <t>금사리</t>
        </is>
      </c>
      <c r="H2793" s="3" t="inlineStr">
        <is>
          <t>생산관리지역</t>
        </is>
      </c>
      <c r="I2793" s="3" t="inlineStr">
        <is>
          <t>전</t>
        </is>
      </c>
      <c r="J2793" s="3" t="inlineStr">
        <is>
          <t>전의면</t>
        </is>
      </c>
    </row>
    <row r="2794">
      <c r="A2794" s="3" t="n">
        <v>2023</v>
      </c>
      <c r="B2794" s="4" t="n">
        <v>6996</v>
      </c>
      <c r="C2794" s="4" t="n">
        <v>583</v>
      </c>
      <c r="D2794" s="4" t="n">
        <v>176.3575</v>
      </c>
      <c r="E2794" s="5" t="n">
        <v>39.7</v>
      </c>
      <c r="F2794" s="3" t="inlineStr">
        <is>
          <t>전의면</t>
        </is>
      </c>
      <c r="G2794" s="3" t="inlineStr">
        <is>
          <t>금사리</t>
        </is>
      </c>
      <c r="H2794" s="3" t="inlineStr">
        <is>
          <t>생산관리지역</t>
        </is>
      </c>
      <c r="I2794" s="3" t="inlineStr">
        <is>
          <t>전</t>
        </is>
      </c>
      <c r="J2794" s="3" t="inlineStr">
        <is>
          <t>전의면</t>
        </is>
      </c>
    </row>
    <row r="2795">
      <c r="A2795" s="3" t="n">
        <v>2023</v>
      </c>
      <c r="B2795" s="4" t="n">
        <v>37780</v>
      </c>
      <c r="C2795" s="4" t="n">
        <v>3112</v>
      </c>
      <c r="D2795" s="4" t="n">
        <v>941.38</v>
      </c>
      <c r="E2795" s="5" t="n">
        <v>40.1</v>
      </c>
      <c r="F2795" s="3" t="inlineStr">
        <is>
          <t>전의면</t>
        </is>
      </c>
      <c r="G2795" s="3" t="inlineStr">
        <is>
          <t>금사리</t>
        </is>
      </c>
      <c r="H2795" s="3" t="inlineStr">
        <is>
          <t>생산관리지역</t>
        </is>
      </c>
      <c r="I2795" s="3" t="inlineStr">
        <is>
          <t>전</t>
        </is>
      </c>
      <c r="J2795" s="3" t="inlineStr">
        <is>
          <t>전의면</t>
        </is>
      </c>
    </row>
    <row r="2796">
      <c r="A2796" s="3" t="n">
        <v>2023</v>
      </c>
      <c r="B2796" s="4" t="n">
        <v>9408</v>
      </c>
      <c r="C2796" s="4" t="n">
        <v>784</v>
      </c>
      <c r="D2796" s="4" t="n">
        <v>237.16</v>
      </c>
      <c r="E2796" s="5" t="n">
        <v>39.7</v>
      </c>
      <c r="F2796" s="3" t="inlineStr">
        <is>
          <t>전의면</t>
        </is>
      </c>
      <c r="G2796" s="3" t="inlineStr">
        <is>
          <t>금사리</t>
        </is>
      </c>
      <c r="H2796" s="3" t="inlineStr">
        <is>
          <t>생산관리지역</t>
        </is>
      </c>
      <c r="I2796" s="3" t="inlineStr">
        <is>
          <t>전</t>
        </is>
      </c>
      <c r="J2796" s="3" t="inlineStr">
        <is>
          <t>전의면</t>
        </is>
      </c>
    </row>
    <row r="2797">
      <c r="A2797" s="3" t="n">
        <v>2023</v>
      </c>
      <c r="B2797" s="4" t="n">
        <v>804</v>
      </c>
      <c r="C2797" s="4" t="n">
        <v>67</v>
      </c>
      <c r="D2797" s="4" t="n">
        <v>20.2675</v>
      </c>
      <c r="E2797" s="5" t="n">
        <v>39.7</v>
      </c>
      <c r="F2797" s="3" t="inlineStr">
        <is>
          <t>전의면</t>
        </is>
      </c>
      <c r="G2797" s="3" t="inlineStr">
        <is>
          <t>금사리</t>
        </is>
      </c>
      <c r="H2797" s="3" t="inlineStr">
        <is>
          <t>생산관리지역</t>
        </is>
      </c>
      <c r="I2797" s="3" t="inlineStr">
        <is>
          <t>전</t>
        </is>
      </c>
      <c r="J2797" s="3" t="inlineStr">
        <is>
          <t>전의면</t>
        </is>
      </c>
    </row>
    <row r="2798">
      <c r="A2798" s="3" t="n">
        <v>2023</v>
      </c>
      <c r="B2798" s="4" t="n">
        <v>14230</v>
      </c>
      <c r="C2798" s="4" t="n">
        <v>1176</v>
      </c>
      <c r="D2798" s="4" t="n">
        <v>355.74</v>
      </c>
      <c r="E2798" s="5" t="n">
        <v>40</v>
      </c>
      <c r="F2798" s="3" t="inlineStr">
        <is>
          <t>전의면</t>
        </is>
      </c>
      <c r="G2798" s="3" t="inlineStr">
        <is>
          <t>금사리</t>
        </is>
      </c>
      <c r="H2798" s="3" t="inlineStr">
        <is>
          <t>생산관리지역</t>
        </is>
      </c>
      <c r="I2798" s="3" t="inlineStr">
        <is>
          <t>전</t>
        </is>
      </c>
      <c r="J2798" s="3" t="inlineStr">
        <is>
          <t>전의면</t>
        </is>
      </c>
    </row>
    <row r="2799">
      <c r="A2799" s="3" t="n">
        <v>2023</v>
      </c>
      <c r="B2799" s="4" t="n">
        <v>15996</v>
      </c>
      <c r="C2799" s="4" t="n">
        <v>1322</v>
      </c>
      <c r="D2799" s="4" t="n">
        <v>399.905</v>
      </c>
      <c r="E2799" s="5" t="n">
        <v>40</v>
      </c>
      <c r="F2799" s="3" t="inlineStr">
        <is>
          <t>전의면</t>
        </is>
      </c>
      <c r="G2799" s="3" t="inlineStr">
        <is>
          <t>금사리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전의면</t>
        </is>
      </c>
    </row>
    <row r="2800">
      <c r="A2800" s="3" t="n">
        <v>2022</v>
      </c>
      <c r="B2800" s="4" t="n">
        <v>13690</v>
      </c>
      <c r="C2800" s="4" t="n">
        <v>856</v>
      </c>
      <c r="D2800" s="4" t="n">
        <v>258.94</v>
      </c>
      <c r="E2800" s="5" t="n">
        <v>52.9</v>
      </c>
      <c r="F2800" s="3" t="inlineStr">
        <is>
          <t>연서면</t>
        </is>
      </c>
      <c r="G2800" s="3" t="inlineStr">
        <is>
          <t>쌍류리</t>
        </is>
      </c>
      <c r="H2800" s="3" t="inlineStr">
        <is>
          <t>생산관리지역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2022</v>
      </c>
      <c r="B2801" s="4" t="n">
        <v>37210</v>
      </c>
      <c r="C2801" s="4" t="n">
        <v>2328</v>
      </c>
      <c r="D2801" s="4" t="n">
        <v>704.22</v>
      </c>
      <c r="E2801" s="5" t="n">
        <v>52.8</v>
      </c>
      <c r="F2801" s="3" t="inlineStr">
        <is>
          <t>연서면</t>
        </is>
      </c>
      <c r="G2801" s="3" t="inlineStr">
        <is>
          <t>쌍류리</t>
        </is>
      </c>
      <c r="H2801" s="3" t="inlineStr">
        <is>
          <t>생산관리지역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48000</v>
      </c>
      <c r="C2802" s="4" t="n">
        <v>993</v>
      </c>
      <c r="D2802" s="4" t="n">
        <v>300.3825</v>
      </c>
      <c r="E2802" s="5" t="n">
        <v>159.8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자연녹지지역</t>
        </is>
      </c>
      <c r="I2802" s="3" t="inlineStr">
        <is>
          <t>전</t>
        </is>
      </c>
      <c r="J2802" s="3" t="inlineStr">
        <is>
          <t>조치원읍</t>
        </is>
      </c>
    </row>
    <row r="2803">
      <c r="A2803" s="3" t="n">
        <v>2022</v>
      </c>
      <c r="B2803" s="4" t="n">
        <v>48606</v>
      </c>
      <c r="C2803" s="4" t="n">
        <v>1339</v>
      </c>
      <c r="D2803" s="4" t="n">
        <v>405.0475</v>
      </c>
      <c r="E2803" s="5" t="n">
        <v>120</v>
      </c>
      <c r="F2803" s="3" t="inlineStr">
        <is>
          <t>연서면</t>
        </is>
      </c>
      <c r="G2803" s="3" t="inlineStr">
        <is>
          <t>고복리</t>
        </is>
      </c>
      <c r="H2803" s="3" t="inlineStr">
        <is>
          <t>자연녹지지역</t>
        </is>
      </c>
      <c r="I2803" s="3" t="inlineStr">
        <is>
          <t>과수원</t>
        </is>
      </c>
      <c r="J2803" s="3" t="inlineStr">
        <is>
          <t>연서면</t>
        </is>
      </c>
    </row>
    <row r="2804">
      <c r="A2804" s="3" t="n">
        <v>2022</v>
      </c>
      <c r="B2804" s="4" t="n">
        <v>19800</v>
      </c>
      <c r="C2804" s="4" t="n">
        <v>727</v>
      </c>
      <c r="D2804" s="4" t="n">
        <v>219.9175</v>
      </c>
      <c r="E2804" s="5" t="n">
        <v>90</v>
      </c>
      <c r="F2804" s="3" t="inlineStr">
        <is>
          <t>금남면</t>
        </is>
      </c>
      <c r="G2804" s="3" t="inlineStr">
        <is>
          <t>영곡리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금남면</t>
        </is>
      </c>
    </row>
    <row r="2805">
      <c r="A2805" s="3" t="n">
        <v>2022</v>
      </c>
      <c r="B2805" s="4" t="n">
        <v>13860</v>
      </c>
      <c r="C2805" s="4" t="n">
        <v>1309</v>
      </c>
      <c r="D2805" s="4" t="n">
        <v>395.9725</v>
      </c>
      <c r="E2805" s="5" t="n">
        <v>35</v>
      </c>
      <c r="F2805" s="3" t="inlineStr">
        <is>
          <t>전의면</t>
        </is>
      </c>
      <c r="G2805" s="3" t="inlineStr">
        <is>
          <t>금사리</t>
        </is>
      </c>
      <c r="H2805" s="3" t="inlineStr">
        <is>
          <t>보전관리지역</t>
        </is>
      </c>
      <c r="I2805" s="3" t="inlineStr">
        <is>
          <t>전</t>
        </is>
      </c>
      <c r="J2805" s="3" t="inlineStr">
        <is>
          <t>전의면</t>
        </is>
      </c>
    </row>
    <row r="2806">
      <c r="A2806" s="3" t="n">
        <v>2022</v>
      </c>
      <c r="B2806" s="4" t="n">
        <v>12000</v>
      </c>
      <c r="C2806" s="4" t="n">
        <v>912</v>
      </c>
      <c r="D2806" s="4" t="n">
        <v>275.88</v>
      </c>
      <c r="E2806" s="5" t="n">
        <v>43.5</v>
      </c>
      <c r="F2806" s="3" t="inlineStr">
        <is>
          <t>전의면</t>
        </is>
      </c>
      <c r="G2806" s="3" t="inlineStr">
        <is>
          <t>영당리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전의면</t>
        </is>
      </c>
    </row>
    <row r="2807">
      <c r="A2807" s="3" t="n">
        <v>2022</v>
      </c>
      <c r="B2807" s="4" t="n">
        <v>4000</v>
      </c>
      <c r="C2807" s="4" t="n">
        <v>563</v>
      </c>
      <c r="D2807" s="4" t="n">
        <v>170.3075</v>
      </c>
      <c r="E2807" s="5" t="n">
        <v>23.5</v>
      </c>
      <c r="F2807" s="3" t="inlineStr">
        <is>
          <t>전의면</t>
        </is>
      </c>
      <c r="G2807" s="3" t="inlineStr">
        <is>
          <t>신정리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전의면</t>
        </is>
      </c>
    </row>
    <row r="2808">
      <c r="A2808" s="3" t="n">
        <v>2022</v>
      </c>
      <c r="B2808" s="4" t="n">
        <v>240</v>
      </c>
      <c r="C2808" s="4" t="n">
        <v>10</v>
      </c>
      <c r="D2808" s="4" t="n">
        <v>3.025</v>
      </c>
      <c r="E2808" s="5" t="n">
        <v>79.3</v>
      </c>
      <c r="F2808" s="3" t="inlineStr">
        <is>
          <t>전의면</t>
        </is>
      </c>
      <c r="G2808" s="3" t="inlineStr">
        <is>
          <t>신정리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전의면</t>
        </is>
      </c>
    </row>
    <row r="2809">
      <c r="A2809" s="3" t="n">
        <v>2022</v>
      </c>
      <c r="B2809" s="4" t="n">
        <v>30080</v>
      </c>
      <c r="C2809" s="4" t="n">
        <v>622</v>
      </c>
      <c r="D2809" s="4" t="n">
        <v>188.155</v>
      </c>
      <c r="E2809" s="5" t="n">
        <v>159.9</v>
      </c>
      <c r="F2809" s="3" t="inlineStr">
        <is>
          <t>연서면</t>
        </is>
      </c>
      <c r="G2809" s="3" t="inlineStr">
        <is>
          <t>쌍전리</t>
        </is>
      </c>
      <c r="H2809" s="3" t="inlineStr">
        <is>
          <t>자연녹지지역</t>
        </is>
      </c>
      <c r="I2809" s="3" t="inlineStr">
        <is>
          <t>과수원</t>
        </is>
      </c>
      <c r="J2809" s="3" t="inlineStr">
        <is>
          <t>연서면</t>
        </is>
      </c>
    </row>
    <row r="2810">
      <c r="A2810" s="3" t="n">
        <v>2022</v>
      </c>
      <c r="B2810" s="4" t="n">
        <v>69000</v>
      </c>
      <c r="C2810" s="4" t="n">
        <v>993</v>
      </c>
      <c r="D2810" s="4" t="n">
        <v>300.3825</v>
      </c>
      <c r="E2810" s="5" t="n">
        <v>229.7</v>
      </c>
      <c r="F2810" s="3" t="inlineStr">
        <is>
          <t>연서면</t>
        </is>
      </c>
      <c r="G2810" s="3" t="inlineStr">
        <is>
          <t>봉암리</t>
        </is>
      </c>
      <c r="H2810" s="3" t="inlineStr">
        <is>
          <t>농림지역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2022</v>
      </c>
      <c r="B2811" s="4" t="n">
        <v>29200</v>
      </c>
      <c r="C2811" s="4" t="n">
        <v>661</v>
      </c>
      <c r="D2811" s="4" t="n">
        <v>199.9525</v>
      </c>
      <c r="E2811" s="5" t="n">
        <v>146</v>
      </c>
      <c r="F2811" s="3" t="inlineStr">
        <is>
          <t>전동면</t>
        </is>
      </c>
      <c r="G2811" s="3" t="inlineStr">
        <is>
          <t>보덕리</t>
        </is>
      </c>
      <c r="H2811" s="3" t="inlineStr">
        <is>
          <t>계획관리지역</t>
        </is>
      </c>
      <c r="I2811" s="3" t="inlineStr">
        <is>
          <t>답</t>
        </is>
      </c>
      <c r="J2811" s="3" t="inlineStr">
        <is>
          <t>전동면</t>
        </is>
      </c>
    </row>
    <row r="2812">
      <c r="A2812" s="3" t="n">
        <v>2022</v>
      </c>
      <c r="B2812" s="4" t="n">
        <v>29200</v>
      </c>
      <c r="C2812" s="4" t="n">
        <v>661</v>
      </c>
      <c r="D2812" s="4" t="n">
        <v>199.9525</v>
      </c>
      <c r="E2812" s="5" t="n">
        <v>146</v>
      </c>
      <c r="F2812" s="3" t="inlineStr">
        <is>
          <t>전동면</t>
        </is>
      </c>
      <c r="G2812" s="3" t="inlineStr">
        <is>
          <t>보덕리</t>
        </is>
      </c>
      <c r="H2812" s="3" t="inlineStr">
        <is>
          <t>계획관리지역</t>
        </is>
      </c>
      <c r="I2812" s="3" t="inlineStr">
        <is>
          <t>답</t>
        </is>
      </c>
      <c r="J2812" s="3" t="inlineStr">
        <is>
          <t>전동면</t>
        </is>
      </c>
    </row>
    <row r="2813">
      <c r="A2813" s="3" t="n">
        <v>2022</v>
      </c>
      <c r="B2813" s="4" t="n">
        <v>1204</v>
      </c>
      <c r="C2813" s="4" t="n">
        <v>17</v>
      </c>
      <c r="D2813" s="4" t="n">
        <v>5.1425</v>
      </c>
      <c r="E2813" s="5" t="n">
        <v>234.1</v>
      </c>
      <c r="F2813" s="3" t="inlineStr">
        <is>
          <t>조치원읍</t>
        </is>
      </c>
      <c r="G2813" s="3" t="inlineStr">
        <is>
          <t>명리</t>
        </is>
      </c>
      <c r="H2813" s="3" t="inlineStr">
        <is>
          <t>제2종일반주거지역</t>
        </is>
      </c>
      <c r="I2813" s="3" t="inlineStr">
        <is>
          <t>잡종지</t>
        </is>
      </c>
      <c r="J2813" s="3" t="inlineStr">
        <is>
          <t>조치원읍</t>
        </is>
      </c>
    </row>
    <row r="2814">
      <c r="A2814" s="3" t="n">
        <v>2022</v>
      </c>
      <c r="B2814" s="4" t="n">
        <v>23400</v>
      </c>
      <c r="C2814" s="4" t="n">
        <v>150</v>
      </c>
      <c r="D2814" s="4" t="n">
        <v>45.375</v>
      </c>
      <c r="E2814" s="5" t="n">
        <v>515.7</v>
      </c>
      <c r="F2814" s="3" t="inlineStr">
        <is>
          <t>조치원읍</t>
        </is>
      </c>
      <c r="G2814" s="3" t="inlineStr">
        <is>
          <t>정리</t>
        </is>
      </c>
      <c r="H2814" s="3" t="inlineStr">
        <is>
          <t>준주거지역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2022</v>
      </c>
      <c r="B2815" s="4" t="n">
        <v>38900</v>
      </c>
      <c r="C2815" s="4" t="n">
        <v>249</v>
      </c>
      <c r="D2815" s="4" t="n">
        <v>75.32249999999999</v>
      </c>
      <c r="E2815" s="5" t="n">
        <v>516.4</v>
      </c>
      <c r="F2815" s="3" t="inlineStr">
        <is>
          <t>조치원읍</t>
        </is>
      </c>
      <c r="G2815" s="3" t="inlineStr">
        <is>
          <t>정리</t>
        </is>
      </c>
      <c r="H2815" s="3" t="inlineStr">
        <is>
          <t>준주거지역</t>
        </is>
      </c>
      <c r="I2815" s="3" t="inlineStr">
        <is>
          <t>대</t>
        </is>
      </c>
      <c r="J2815" s="3" t="inlineStr">
        <is>
          <t>조치원읍</t>
        </is>
      </c>
    </row>
    <row r="2816">
      <c r="A2816" s="3" t="n">
        <v>2022</v>
      </c>
      <c r="B2816" s="4" t="n">
        <v>6200</v>
      </c>
      <c r="C2816" s="4" t="n">
        <v>40</v>
      </c>
      <c r="D2816" s="4" t="n">
        <v>12.1</v>
      </c>
      <c r="E2816" s="5" t="n">
        <v>512.4</v>
      </c>
      <c r="F2816" s="3" t="inlineStr">
        <is>
          <t>조치원읍</t>
        </is>
      </c>
      <c r="G2816" s="3" t="inlineStr">
        <is>
          <t>정리</t>
        </is>
      </c>
      <c r="H2816" s="3" t="inlineStr">
        <is>
          <t>준주거지역</t>
        </is>
      </c>
      <c r="I2816" s="3" t="inlineStr">
        <is>
          <t>대</t>
        </is>
      </c>
      <c r="J2816" s="3" t="inlineStr">
        <is>
          <t>조치원읍</t>
        </is>
      </c>
    </row>
    <row r="2817">
      <c r="A2817" s="3" t="n">
        <v>2022</v>
      </c>
      <c r="B2817" s="4" t="n">
        <v>7300</v>
      </c>
      <c r="C2817" s="4" t="n">
        <v>46</v>
      </c>
      <c r="D2817" s="4" t="n">
        <v>13.915</v>
      </c>
      <c r="E2817" s="5" t="n">
        <v>524.6</v>
      </c>
      <c r="F2817" s="3" t="inlineStr">
        <is>
          <t>조치원읍</t>
        </is>
      </c>
      <c r="G2817" s="3" t="inlineStr">
        <is>
          <t>정리</t>
        </is>
      </c>
      <c r="H2817" s="3" t="inlineStr">
        <is>
          <t>준주거지역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8300</v>
      </c>
      <c r="C2818" s="4" t="n">
        <v>330</v>
      </c>
      <c r="D2818" s="4" t="n">
        <v>99.825</v>
      </c>
      <c r="E2818" s="5" t="n">
        <v>83.09999999999999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농림지역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2022</v>
      </c>
      <c r="B2819" s="4" t="n">
        <v>5000</v>
      </c>
      <c r="C2819" s="4" t="n">
        <v>1045</v>
      </c>
      <c r="D2819" s="4" t="n">
        <v>316.1125</v>
      </c>
      <c r="E2819" s="5" t="n">
        <v>15.8</v>
      </c>
      <c r="F2819" s="3" t="inlineStr">
        <is>
          <t>장군면</t>
        </is>
      </c>
      <c r="G2819" s="3" t="inlineStr">
        <is>
          <t>대교리</t>
        </is>
      </c>
      <c r="H2819" s="3" t="inlineStr">
        <is>
          <t>보전관리지역</t>
        </is>
      </c>
      <c r="I2819" s="3" t="inlineStr">
        <is>
          <t>임야</t>
        </is>
      </c>
      <c r="J2819" s="3" t="inlineStr">
        <is>
          <t>장군면</t>
        </is>
      </c>
    </row>
    <row r="2820">
      <c r="A2820" s="3" t="n">
        <v>2022</v>
      </c>
      <c r="B2820" s="4" t="n">
        <v>31400</v>
      </c>
      <c r="C2820" s="4" t="n">
        <v>1653</v>
      </c>
      <c r="D2820" s="4" t="n">
        <v>500.0325</v>
      </c>
      <c r="E2820" s="5" t="n">
        <v>62.8</v>
      </c>
      <c r="F2820" s="3" t="inlineStr">
        <is>
          <t>전동면</t>
        </is>
      </c>
      <c r="G2820" s="3" t="inlineStr">
        <is>
          <t>노장리</t>
        </is>
      </c>
      <c r="H2820" s="3" t="inlineStr">
        <is>
          <t>농림지역</t>
        </is>
      </c>
      <c r="I2820" s="3" t="inlineStr">
        <is>
          <t>임야</t>
        </is>
      </c>
      <c r="J2820" s="3" t="inlineStr">
        <is>
          <t>전동면</t>
        </is>
      </c>
    </row>
    <row r="2821">
      <c r="A2821" s="3" t="n">
        <v>2022</v>
      </c>
      <c r="B2821" s="4" t="n">
        <v>1610</v>
      </c>
      <c r="C2821" s="4" t="n">
        <v>83</v>
      </c>
      <c r="D2821" s="4" t="n">
        <v>25.1075</v>
      </c>
      <c r="E2821" s="5" t="n">
        <v>64.09999999999999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2022</v>
      </c>
      <c r="B2822" s="4" t="n">
        <v>390</v>
      </c>
      <c r="C2822" s="4" t="n">
        <v>20</v>
      </c>
      <c r="D2822" s="4" t="n">
        <v>6.05</v>
      </c>
      <c r="E2822" s="5" t="n">
        <v>64.5</v>
      </c>
      <c r="F2822" s="3" t="inlineStr">
        <is>
          <t>부강면</t>
        </is>
      </c>
      <c r="G2822" s="3" t="inlineStr">
        <is>
          <t>문곡리</t>
        </is>
      </c>
      <c r="H2822" s="3" t="inlineStr">
        <is>
          <t>계획관리지역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2022</v>
      </c>
      <c r="B2823" s="4" t="n">
        <v>17787</v>
      </c>
      <c r="C2823" s="4" t="n">
        <v>196</v>
      </c>
      <c r="D2823" s="4" t="n">
        <v>59.29</v>
      </c>
      <c r="E2823" s="5" t="n">
        <v>300</v>
      </c>
      <c r="F2823" s="3" t="inlineStr">
        <is>
          <t>금남면</t>
        </is>
      </c>
      <c r="G2823" s="3" t="inlineStr">
        <is>
          <t>감성리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금남면</t>
        </is>
      </c>
    </row>
    <row r="2824">
      <c r="A2824" s="3" t="n">
        <v>2023</v>
      </c>
      <c r="B2824" s="4" t="n">
        <v>15996</v>
      </c>
      <c r="C2824" s="4" t="n">
        <v>1322</v>
      </c>
      <c r="D2824" s="4" t="n">
        <v>399.905</v>
      </c>
      <c r="E2824" s="5" t="n">
        <v>40</v>
      </c>
      <c r="F2824" s="3" t="inlineStr">
        <is>
          <t>전의면</t>
        </is>
      </c>
      <c r="G2824" s="3" t="inlineStr">
        <is>
          <t>금사리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전의면</t>
        </is>
      </c>
    </row>
    <row r="2825">
      <c r="A2825" s="3" t="n">
        <v>2024</v>
      </c>
      <c r="B2825" s="4" t="n">
        <v>17200</v>
      </c>
      <c r="C2825" s="4" t="n">
        <v>2506</v>
      </c>
      <c r="D2825" s="4" t="n">
        <v>758.0649999999999</v>
      </c>
      <c r="E2825" s="5" t="n">
        <v>22.7</v>
      </c>
      <c r="F2825" s="3" t="inlineStr">
        <is>
          <t>전동면</t>
        </is>
      </c>
      <c r="G2825" s="3" t="inlineStr">
        <is>
          <t>송성리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전동면</t>
        </is>
      </c>
    </row>
    <row r="2826">
      <c r="A2826" s="3" t="n">
        <v>2024</v>
      </c>
      <c r="B2826" s="4" t="n">
        <v>100</v>
      </c>
      <c r="C2826" s="4" t="n">
        <v>1</v>
      </c>
      <c r="D2826" s="4" t="n">
        <v>0.3025</v>
      </c>
      <c r="E2826" s="5" t="n">
        <v>330.6</v>
      </c>
      <c r="F2826" s="3" t="inlineStr">
        <is>
          <t>금남면</t>
        </is>
      </c>
      <c r="G2826" s="3" t="inlineStr">
        <is>
          <t>영곡리</t>
        </is>
      </c>
      <c r="H2826" s="3" t="inlineStr">
        <is>
          <t>계획관리지역</t>
        </is>
      </c>
      <c r="I2826" s="3" t="inlineStr">
        <is>
          <t>도로</t>
        </is>
      </c>
      <c r="J2826" s="3" t="inlineStr">
        <is>
          <t>금남면</t>
        </is>
      </c>
    </row>
    <row r="2827">
      <c r="A2827" s="3" t="n">
        <v>2026</v>
      </c>
      <c r="B2827" s="4" t="n">
        <v>8112</v>
      </c>
      <c r="C2827" s="4" t="n">
        <v>242</v>
      </c>
      <c r="D2827" s="4" t="n">
        <v>73.205</v>
      </c>
      <c r="E2827" s="5" t="n">
        <v>110.8</v>
      </c>
      <c r="F2827" s="3" t="inlineStr">
        <is>
          <t>연기면</t>
        </is>
      </c>
      <c r="G2827" s="3" t="inlineStr">
        <is>
          <t>수산리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연기면</t>
        </is>
      </c>
    </row>
    <row r="2828">
      <c r="A2828" s="3" t="n">
        <v>2026</v>
      </c>
      <c r="B2828" s="4" t="n">
        <v>570</v>
      </c>
      <c r="C2828" s="4" t="n">
        <v>17</v>
      </c>
      <c r="D2828" s="4" t="n">
        <v>5.1425</v>
      </c>
      <c r="E2828" s="5" t="n">
        <v>110.8</v>
      </c>
      <c r="F2828" s="3" t="inlineStr">
        <is>
          <t>연기면</t>
        </is>
      </c>
      <c r="G2828" s="3" t="inlineStr">
        <is>
          <t>수산리</t>
        </is>
      </c>
      <c r="H2828" s="3" t="inlineStr">
        <is>
          <t>생산관리지역</t>
        </is>
      </c>
      <c r="I2828" s="3" t="inlineStr">
        <is>
          <t>도로</t>
        </is>
      </c>
      <c r="J2828" s="3" t="inlineStr">
        <is>
          <t>연기면</t>
        </is>
      </c>
    </row>
    <row r="2829">
      <c r="A2829" s="3" t="n">
        <v>2026</v>
      </c>
      <c r="B2829" s="4" t="n">
        <v>1200</v>
      </c>
      <c r="C2829" s="4" t="n">
        <v>22</v>
      </c>
      <c r="D2829" s="4" t="n">
        <v>6.654999999999999</v>
      </c>
      <c r="E2829" s="5" t="n">
        <v>180.3</v>
      </c>
      <c r="F2829" s="3" t="inlineStr">
        <is>
          <t>연기면</t>
        </is>
      </c>
      <c r="G2829" s="3" t="inlineStr">
        <is>
          <t>눌왕리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연기면</t>
        </is>
      </c>
    </row>
    <row r="2830">
      <c r="A2830" s="3" t="n">
        <v>2026</v>
      </c>
      <c r="B2830" s="4" t="n">
        <v>30387</v>
      </c>
      <c r="C2830" s="4" t="n">
        <v>452</v>
      </c>
      <c r="D2830" s="4" t="n">
        <v>136.73</v>
      </c>
      <c r="E2830" s="5" t="n">
        <v>222.2</v>
      </c>
      <c r="F2830" s="3" t="inlineStr">
        <is>
          <t>연기면</t>
        </is>
      </c>
      <c r="G2830" s="3" t="inlineStr">
        <is>
          <t>눌왕리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연기면</t>
        </is>
      </c>
    </row>
    <row r="2831">
      <c r="A2831" s="3" t="n">
        <v>2026</v>
      </c>
      <c r="B2831" s="4" t="n">
        <v>21654</v>
      </c>
      <c r="C2831" s="4" t="n">
        <v>636</v>
      </c>
      <c r="D2831" s="4" t="n">
        <v>192.39</v>
      </c>
      <c r="E2831" s="5" t="n">
        <v>112.6</v>
      </c>
      <c r="F2831" s="3" t="inlineStr">
        <is>
          <t>연기면</t>
        </is>
      </c>
      <c r="G2831" s="3" t="inlineStr">
        <is>
          <t>수산리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연기면</t>
        </is>
      </c>
    </row>
    <row r="2832">
      <c r="A2832" s="3" t="n">
        <v>2026</v>
      </c>
      <c r="B2832" s="4" t="n">
        <v>9028</v>
      </c>
      <c r="C2832" s="4" t="n">
        <v>265</v>
      </c>
      <c r="D2832" s="4" t="n">
        <v>80.16249999999999</v>
      </c>
      <c r="E2832" s="5" t="n">
        <v>112.6</v>
      </c>
      <c r="F2832" s="3" t="inlineStr">
        <is>
          <t>연기면</t>
        </is>
      </c>
      <c r="G2832" s="3" t="inlineStr">
        <is>
          <t>수산리</t>
        </is>
      </c>
      <c r="H2832" s="3" t="inlineStr">
        <is>
          <t>보전관리지역</t>
        </is>
      </c>
      <c r="I2832" s="3" t="inlineStr">
        <is>
          <t>대</t>
        </is>
      </c>
      <c r="J2832" s="3" t="inlineStr">
        <is>
          <t>연기면</t>
        </is>
      </c>
    </row>
    <row r="2833">
      <c r="A2833" s="3" t="n">
        <v>2022</v>
      </c>
      <c r="B2833" s="4" t="n">
        <v>900</v>
      </c>
      <c r="C2833" s="4" t="n">
        <v>190</v>
      </c>
      <c r="D2833" s="4" t="n">
        <v>57.475</v>
      </c>
      <c r="E2833" s="5" t="n">
        <v>15.7</v>
      </c>
      <c r="F2833" s="3" t="inlineStr">
        <is>
          <t>남이면</t>
        </is>
      </c>
      <c r="G2833" s="3" t="inlineStr">
        <is>
          <t>외천리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남이면</t>
        </is>
      </c>
    </row>
    <row r="2834">
      <c r="A2834" s="3" t="n">
        <v>2026</v>
      </c>
      <c r="B2834" s="4" t="n">
        <v>154000</v>
      </c>
      <c r="C2834" s="4" t="n">
        <v>2090</v>
      </c>
      <c r="D2834" s="4" t="n">
        <v>632.225</v>
      </c>
      <c r="E2834" s="5" t="n">
        <v>243.6</v>
      </c>
      <c r="F2834" s="3" t="inlineStr">
        <is>
          <t>남이면</t>
        </is>
      </c>
      <c r="G2834" s="3" t="inlineStr">
        <is>
          <t>석판리</t>
        </is>
      </c>
      <c r="H2834" s="3" t="inlineStr">
        <is>
          <t>자연녹지지역</t>
        </is>
      </c>
      <c r="I2834" s="3" t="inlineStr">
        <is>
          <t>묘지</t>
        </is>
      </c>
      <c r="J2834" s="3" t="inlineStr">
        <is>
          <t>남이면</t>
        </is>
      </c>
    </row>
    <row r="2835">
      <c r="A2835" s="3" t="n">
        <v>2026</v>
      </c>
      <c r="B2835" s="4" t="n">
        <v>16500</v>
      </c>
      <c r="C2835" s="4" t="n">
        <v>3306</v>
      </c>
      <c r="D2835" s="4" t="n">
        <v>1000.065</v>
      </c>
      <c r="E2835" s="5" t="n">
        <v>16.5</v>
      </c>
      <c r="F2835" s="3" t="inlineStr">
        <is>
          <t>남이면</t>
        </is>
      </c>
      <c r="G2835" s="3" t="inlineStr">
        <is>
          <t>부용외천리</t>
        </is>
      </c>
      <c r="H2835" s="3" t="inlineStr">
        <is>
          <t>계획관리지역</t>
        </is>
      </c>
      <c r="I2835" s="3" t="inlineStr">
        <is>
          <t>임야</t>
        </is>
      </c>
      <c r="J2835" s="3" t="inlineStr">
        <is>
          <t>남이면</t>
        </is>
      </c>
    </row>
    <row r="2836">
      <c r="A2836" s="3" t="n">
        <v>2026</v>
      </c>
      <c r="B2836" s="4" t="n">
        <v>92999</v>
      </c>
      <c r="C2836" s="4" t="n">
        <v>23249.7</v>
      </c>
      <c r="D2836" s="4" t="n">
        <v>7033.03425</v>
      </c>
      <c r="E2836" s="5" t="n">
        <v>13.2</v>
      </c>
      <c r="F2836" s="3" t="inlineStr">
        <is>
          <t>남이면</t>
        </is>
      </c>
      <c r="G2836" s="3" t="inlineStr">
        <is>
          <t>부용외천리</t>
        </is>
      </c>
      <c r="H2836" s="3" t="inlineStr">
        <is>
          <t>농림지역</t>
        </is>
      </c>
      <c r="I2836" s="3" t="inlineStr">
        <is>
          <t>전</t>
        </is>
      </c>
      <c r="J2836" s="3" t="inlineStr">
        <is>
          <t>남이면</t>
        </is>
      </c>
    </row>
    <row r="2837">
      <c r="A2837" s="3" t="n">
        <v>2026</v>
      </c>
      <c r="B2837" s="4" t="n">
        <v>5400</v>
      </c>
      <c r="C2837" s="4" t="n">
        <v>187</v>
      </c>
      <c r="D2837" s="4" t="n">
        <v>56.5675</v>
      </c>
      <c r="E2837" s="5" t="n">
        <v>95.5</v>
      </c>
      <c r="F2837" s="3" t="inlineStr">
        <is>
          <t>남이면</t>
        </is>
      </c>
      <c r="G2837" s="3" t="inlineStr">
        <is>
          <t>가마리</t>
        </is>
      </c>
      <c r="H2837" s="3" t="inlineStr">
        <is>
          <t>자연녹지지역</t>
        </is>
      </c>
      <c r="I2837" s="3" t="inlineStr">
        <is>
          <t>전</t>
        </is>
      </c>
      <c r="J2837" s="3" t="inlineStr">
        <is>
          <t>남이면</t>
        </is>
      </c>
    </row>
    <row r="2838">
      <c r="A2838" s="3" t="n">
        <v>2026</v>
      </c>
      <c r="B2838" s="4" t="n">
        <v>1100</v>
      </c>
      <c r="C2838" s="4" t="n">
        <v>36</v>
      </c>
      <c r="D2838" s="4" t="n">
        <v>10.89</v>
      </c>
      <c r="E2838" s="5" t="n">
        <v>101</v>
      </c>
      <c r="F2838" s="3" t="inlineStr">
        <is>
          <t>남이면</t>
        </is>
      </c>
      <c r="G2838" s="3" t="inlineStr">
        <is>
          <t>가마리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2026</v>
      </c>
      <c r="B2839" s="4" t="n">
        <v>200</v>
      </c>
      <c r="C2839" s="4" t="n">
        <v>7</v>
      </c>
      <c r="D2839" s="4" t="n">
        <v>2.1175</v>
      </c>
      <c r="E2839" s="5" t="n">
        <v>94.5</v>
      </c>
      <c r="F2839" s="3" t="inlineStr">
        <is>
          <t>남이면</t>
        </is>
      </c>
      <c r="G2839" s="3" t="inlineStr">
        <is>
          <t>가마리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2026</v>
      </c>
      <c r="B2840" s="4" t="n">
        <v>27500</v>
      </c>
      <c r="C2840" s="4" t="n">
        <v>889</v>
      </c>
      <c r="D2840" s="4" t="n">
        <v>268.9225</v>
      </c>
      <c r="E2840" s="5" t="n">
        <v>102.3</v>
      </c>
      <c r="F2840" s="3" t="inlineStr">
        <is>
          <t>남이면</t>
        </is>
      </c>
      <c r="G2840" s="3" t="inlineStr">
        <is>
          <t>가마리</t>
        </is>
      </c>
      <c r="H2840" s="3" t="inlineStr">
        <is>
          <t>자연녹지지역</t>
        </is>
      </c>
      <c r="I2840" s="3" t="inlineStr">
        <is>
          <t>전</t>
        </is>
      </c>
      <c r="J2840" s="3" t="inlineStr">
        <is>
          <t>남이면</t>
        </is>
      </c>
    </row>
    <row r="2841">
      <c r="A2841" s="3" t="n">
        <v>2026</v>
      </c>
      <c r="B2841" s="4" t="n">
        <v>10300</v>
      </c>
      <c r="C2841" s="4" t="n">
        <v>351</v>
      </c>
      <c r="D2841" s="4" t="n">
        <v>106.1775</v>
      </c>
      <c r="E2841" s="5" t="n">
        <v>97</v>
      </c>
      <c r="F2841" s="3" t="inlineStr">
        <is>
          <t>남이면</t>
        </is>
      </c>
      <c r="G2841" s="3" t="inlineStr">
        <is>
          <t>가마리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2025</v>
      </c>
      <c r="B2842" s="4" t="n">
        <v>15000</v>
      </c>
      <c r="C2842" s="4" t="n">
        <v>803</v>
      </c>
      <c r="D2842" s="4" t="n">
        <v>242.9075</v>
      </c>
      <c r="E2842" s="5" t="n">
        <v>61.8</v>
      </c>
      <c r="F2842" s="3" t="inlineStr">
        <is>
          <t>금남면</t>
        </is>
      </c>
      <c r="G2842" s="3" t="inlineStr">
        <is>
          <t>남곡리</t>
        </is>
      </c>
      <c r="H2842" s="3" t="inlineStr">
        <is>
          <t>개발제한구역</t>
        </is>
      </c>
      <c r="I2842" s="3" t="inlineStr">
        <is>
          <t>전</t>
        </is>
      </c>
      <c r="J2842" s="3" t="inlineStr">
        <is>
          <t>금남면</t>
        </is>
      </c>
    </row>
    <row r="2843">
      <c r="A2843" s="3" t="n">
        <v>2025</v>
      </c>
      <c r="B2843" s="4" t="n">
        <v>1500</v>
      </c>
      <c r="C2843" s="4" t="n">
        <v>198</v>
      </c>
      <c r="D2843" s="4" t="n">
        <v>59.895</v>
      </c>
      <c r="E2843" s="5" t="n">
        <v>25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2025</v>
      </c>
      <c r="B2844" s="4" t="n">
        <v>24000</v>
      </c>
      <c r="C2844" s="4" t="n">
        <v>1056</v>
      </c>
      <c r="D2844" s="4" t="n">
        <v>319.44</v>
      </c>
      <c r="E2844" s="5" t="n">
        <v>75.09999999999999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답</t>
        </is>
      </c>
      <c r="J2844" s="3" t="inlineStr">
        <is>
          <t>연서면</t>
        </is>
      </c>
    </row>
    <row r="2845">
      <c r="A2845" s="3" t="n">
        <v>2025</v>
      </c>
      <c r="B2845" s="4" t="n">
        <v>3600</v>
      </c>
      <c r="C2845" s="4" t="n">
        <v>130</v>
      </c>
      <c r="D2845" s="4" t="n">
        <v>39.325</v>
      </c>
      <c r="E2845" s="5" t="n">
        <v>91.5</v>
      </c>
      <c r="F2845" s="3" t="inlineStr">
        <is>
          <t>연서면</t>
        </is>
      </c>
      <c r="G2845" s="3" t="inlineStr">
        <is>
          <t>쌍류리</t>
        </is>
      </c>
      <c r="H2845" s="3" t="inlineStr">
        <is>
          <t>생산관리지역</t>
        </is>
      </c>
      <c r="I2845" s="3" t="inlineStr">
        <is>
          <t>답</t>
        </is>
      </c>
      <c r="J2845" s="3" t="inlineStr">
        <is>
          <t>연서면</t>
        </is>
      </c>
    </row>
    <row r="2846">
      <c r="A2846" s="3" t="n">
        <v>2025</v>
      </c>
      <c r="B2846" s="4" t="n">
        <v>21000</v>
      </c>
      <c r="C2846" s="4" t="n">
        <v>927</v>
      </c>
      <c r="D2846" s="4" t="n">
        <v>280.4175</v>
      </c>
      <c r="E2846" s="5" t="n">
        <v>74.90000000000001</v>
      </c>
      <c r="F2846" s="3" t="inlineStr">
        <is>
          <t>연서면</t>
        </is>
      </c>
      <c r="G2846" s="3" t="inlineStr">
        <is>
          <t>쌍류리</t>
        </is>
      </c>
      <c r="H2846" s="3" t="inlineStr">
        <is>
          <t>생산관리지역</t>
        </is>
      </c>
      <c r="I2846" s="3" t="inlineStr">
        <is>
          <t>답</t>
        </is>
      </c>
      <c r="J2846" s="3" t="inlineStr">
        <is>
          <t>연서면</t>
        </is>
      </c>
    </row>
    <row r="2847">
      <c r="A2847" s="3" t="n">
        <v>2025</v>
      </c>
      <c r="B2847" s="4" t="n">
        <v>5270</v>
      </c>
      <c r="C2847" s="4" t="n">
        <v>120</v>
      </c>
      <c r="D2847" s="4" t="n">
        <v>36.3</v>
      </c>
      <c r="E2847" s="5" t="n">
        <v>145.2</v>
      </c>
      <c r="F2847" s="3" t="inlineStr">
        <is>
          <t>연기면</t>
        </is>
      </c>
      <c r="G2847" s="3" t="inlineStr">
        <is>
          <t>연기리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연기면</t>
        </is>
      </c>
    </row>
    <row r="2848">
      <c r="A2848" s="3" t="n">
        <v>2025</v>
      </c>
      <c r="B2848" s="4" t="n">
        <v>4730</v>
      </c>
      <c r="C2848" s="4" t="n">
        <v>41</v>
      </c>
      <c r="D2848" s="4" t="n">
        <v>12.4025</v>
      </c>
      <c r="E2848" s="5" t="n">
        <v>381.4</v>
      </c>
      <c r="F2848" s="3" t="inlineStr">
        <is>
          <t>연기면</t>
        </is>
      </c>
      <c r="G2848" s="3" t="inlineStr">
        <is>
          <t>연기리</t>
        </is>
      </c>
      <c r="H2848" s="3" t="inlineStr">
        <is>
          <t>계획관리지역</t>
        </is>
      </c>
      <c r="I2848" s="3" t="inlineStr">
        <is>
          <t>대</t>
        </is>
      </c>
      <c r="J2848" s="3" t="inlineStr">
        <is>
          <t>연기면</t>
        </is>
      </c>
    </row>
    <row r="2849">
      <c r="A2849" s="3" t="n">
        <v>2025</v>
      </c>
      <c r="B2849" s="4" t="n">
        <v>19000</v>
      </c>
      <c r="C2849" s="4" t="n">
        <v>1027</v>
      </c>
      <c r="D2849" s="4" t="n">
        <v>310.6675</v>
      </c>
      <c r="E2849" s="5" t="n">
        <v>61.2</v>
      </c>
      <c r="F2849" s="3" t="inlineStr">
        <is>
          <t>금남면</t>
        </is>
      </c>
      <c r="G2849" s="3" t="inlineStr">
        <is>
          <t>영대리</t>
        </is>
      </c>
      <c r="H2849" s="3" t="inlineStr">
        <is>
          <t>개발제한구역</t>
        </is>
      </c>
      <c r="I2849" s="3" t="inlineStr">
        <is>
          <t>전</t>
        </is>
      </c>
      <c r="J2849" s="3" t="inlineStr">
        <is>
          <t>금남면</t>
        </is>
      </c>
    </row>
    <row r="2850">
      <c r="A2850" s="3" t="n">
        <v>2025</v>
      </c>
      <c r="B2850" s="4" t="n">
        <v>25200</v>
      </c>
      <c r="C2850" s="4" t="n">
        <v>1884</v>
      </c>
      <c r="D2850" s="4" t="n">
        <v>569.91</v>
      </c>
      <c r="E2850" s="5" t="n">
        <v>44.2</v>
      </c>
      <c r="F2850" s="3" t="inlineStr">
        <is>
          <t>금남면</t>
        </is>
      </c>
      <c r="G2850" s="3" t="inlineStr">
        <is>
          <t>남곡리</t>
        </is>
      </c>
      <c r="H2850" s="3" t="inlineStr">
        <is>
          <t>개발제한구역</t>
        </is>
      </c>
      <c r="I2850" s="3" t="inlineStr">
        <is>
          <t>임야</t>
        </is>
      </c>
      <c r="J2850" s="3" t="inlineStr">
        <is>
          <t>금남면</t>
        </is>
      </c>
    </row>
    <row r="2851">
      <c r="A2851" s="3" t="n">
        <v>2025</v>
      </c>
      <c r="B2851" s="4" t="n">
        <v>200</v>
      </c>
      <c r="C2851" s="4" t="n">
        <v>33</v>
      </c>
      <c r="D2851" s="4" t="n">
        <v>9.9825</v>
      </c>
      <c r="E2851" s="5" t="n">
        <v>20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22419</v>
      </c>
      <c r="C2852" s="4" t="n">
        <v>315</v>
      </c>
      <c r="D2852" s="4" t="n">
        <v>95.28749999999999</v>
      </c>
      <c r="E2852" s="5" t="n">
        <v>235.3</v>
      </c>
      <c r="F2852" s="3" t="inlineStr">
        <is>
          <t>금남면</t>
        </is>
      </c>
      <c r="G2852" s="3" t="inlineStr">
        <is>
          <t>감성리</t>
        </is>
      </c>
      <c r="H2852" s="3" t="inlineStr">
        <is>
          <t>제1종일반주거지역</t>
        </is>
      </c>
      <c r="I2852" s="3" t="inlineStr">
        <is>
          <t>임야</t>
        </is>
      </c>
      <c r="J2852" s="3" t="inlineStr">
        <is>
          <t>금남면</t>
        </is>
      </c>
    </row>
    <row r="2853">
      <c r="A2853" s="3" t="n">
        <v>2022</v>
      </c>
      <c r="B2853" s="4" t="n">
        <v>5808</v>
      </c>
      <c r="C2853" s="4" t="n">
        <v>64</v>
      </c>
      <c r="D2853" s="4" t="n">
        <v>19.36</v>
      </c>
      <c r="E2853" s="5" t="n">
        <v>300</v>
      </c>
      <c r="F2853" s="3" t="inlineStr">
        <is>
          <t>금남면</t>
        </is>
      </c>
      <c r="G2853" s="3" t="inlineStr">
        <is>
          <t>감성리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금남면</t>
        </is>
      </c>
    </row>
    <row r="2854">
      <c r="A2854" s="3" t="n">
        <v>2022</v>
      </c>
      <c r="B2854" s="4" t="n">
        <v>3986</v>
      </c>
      <c r="C2854" s="4" t="n">
        <v>56</v>
      </c>
      <c r="D2854" s="4" t="n">
        <v>16.94</v>
      </c>
      <c r="E2854" s="5" t="n">
        <v>235.3</v>
      </c>
      <c r="F2854" s="3" t="inlineStr">
        <is>
          <t>금남면</t>
        </is>
      </c>
      <c r="G2854" s="3" t="inlineStr">
        <is>
          <t>감성리</t>
        </is>
      </c>
      <c r="H2854" s="3" t="inlineStr">
        <is>
          <t>제1종일반주거지역</t>
        </is>
      </c>
      <c r="I2854" s="3" t="inlineStr">
        <is>
          <t>임야</t>
        </is>
      </c>
      <c r="J2854" s="3" t="inlineStr">
        <is>
          <t>금남면</t>
        </is>
      </c>
    </row>
    <row r="2855">
      <c r="A2855" s="3" t="n">
        <v>2022</v>
      </c>
      <c r="B2855" s="4" t="n">
        <v>6300</v>
      </c>
      <c r="C2855" s="4" t="n">
        <v>150</v>
      </c>
      <c r="D2855" s="4" t="n">
        <v>45.375</v>
      </c>
      <c r="E2855" s="5" t="n">
        <v>138.8</v>
      </c>
      <c r="F2855" s="3" t="inlineStr">
        <is>
          <t>전의면</t>
        </is>
      </c>
      <c r="G2855" s="3" t="inlineStr">
        <is>
          <t>신방리</t>
        </is>
      </c>
      <c r="H2855" s="3" t="inlineStr">
        <is>
          <t>일반공업지역</t>
        </is>
      </c>
      <c r="I2855" s="3" t="inlineStr">
        <is>
          <t>창고용지</t>
        </is>
      </c>
      <c r="J2855" s="3" t="inlineStr">
        <is>
          <t>전의면</t>
        </is>
      </c>
    </row>
    <row r="2856">
      <c r="A2856" s="3" t="n">
        <v>2022</v>
      </c>
      <c r="B2856" s="4" t="n">
        <v>62700</v>
      </c>
      <c r="C2856" s="4" t="n">
        <v>2965</v>
      </c>
      <c r="D2856" s="4" t="n">
        <v>896.9125</v>
      </c>
      <c r="E2856" s="5" t="n">
        <v>69.90000000000001</v>
      </c>
      <c r="F2856" s="3" t="inlineStr">
        <is>
          <t>금남면</t>
        </is>
      </c>
      <c r="G2856" s="3" t="inlineStr">
        <is>
          <t>달전리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금남면</t>
        </is>
      </c>
    </row>
    <row r="2857">
      <c r="A2857" s="3" t="n">
        <v>2022</v>
      </c>
      <c r="B2857" s="4" t="n">
        <v>1290</v>
      </c>
      <c r="C2857" s="4" t="n">
        <v>143</v>
      </c>
      <c r="D2857" s="4" t="n">
        <v>43.2575</v>
      </c>
      <c r="E2857" s="5" t="n">
        <v>29.8</v>
      </c>
      <c r="F2857" s="3" t="inlineStr">
        <is>
          <t>장군면</t>
        </is>
      </c>
      <c r="G2857" s="3" t="inlineStr">
        <is>
          <t>산학리</t>
        </is>
      </c>
      <c r="H2857" s="3" t="inlineStr">
        <is>
          <t>생산관리지역</t>
        </is>
      </c>
      <c r="I2857" s="3" t="inlineStr">
        <is>
          <t>답</t>
        </is>
      </c>
      <c r="J2857" s="3" t="inlineStr">
        <is>
          <t>장군면</t>
        </is>
      </c>
    </row>
    <row r="2858">
      <c r="A2858" s="3" t="n">
        <v>2022</v>
      </c>
      <c r="B2858" s="4" t="n">
        <v>23274</v>
      </c>
      <c r="C2858" s="4" t="n">
        <v>258</v>
      </c>
      <c r="D2858" s="4" t="n">
        <v>78.045</v>
      </c>
      <c r="E2858" s="5" t="n">
        <v>298.2</v>
      </c>
      <c r="F2858" s="3" t="inlineStr">
        <is>
          <t>전의면</t>
        </is>
      </c>
      <c r="G2858" s="3" t="inlineStr">
        <is>
          <t>읍내리</t>
        </is>
      </c>
      <c r="H2858" s="3" t="inlineStr">
        <is>
          <t>제1종일반주거지역</t>
        </is>
      </c>
      <c r="I2858" s="3" t="inlineStr">
        <is>
          <t>대</t>
        </is>
      </c>
      <c r="J2858" s="3" t="inlineStr">
        <is>
          <t>전의면</t>
        </is>
      </c>
    </row>
    <row r="2859">
      <c r="A2859" s="3" t="n">
        <v>2022</v>
      </c>
      <c r="B2859" s="4" t="n">
        <v>3600</v>
      </c>
      <c r="C2859" s="4" t="n">
        <v>40</v>
      </c>
      <c r="D2859" s="4" t="n">
        <v>12.1</v>
      </c>
      <c r="E2859" s="5" t="n">
        <v>297.5</v>
      </c>
      <c r="F2859" s="3" t="inlineStr">
        <is>
          <t>조치원읍</t>
        </is>
      </c>
      <c r="G2859" s="3" t="inlineStr">
        <is>
          <t>서창리</t>
        </is>
      </c>
      <c r="H2859" s="3" t="inlineStr">
        <is>
          <t>제1종일반주거지역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2022</v>
      </c>
      <c r="B2860" s="4" t="n">
        <v>2000</v>
      </c>
      <c r="C2860" s="4" t="n">
        <v>233</v>
      </c>
      <c r="D2860" s="4" t="n">
        <v>70.4825</v>
      </c>
      <c r="E2860" s="5" t="n">
        <v>28.4</v>
      </c>
      <c r="F2860" s="3" t="inlineStr">
        <is>
          <t>부강면</t>
        </is>
      </c>
      <c r="G2860" s="3" t="inlineStr">
        <is>
          <t>노호리</t>
        </is>
      </c>
      <c r="H2860" s="3" t="inlineStr">
        <is>
          <t>계획관리지역</t>
        </is>
      </c>
      <c r="I2860" s="3" t="inlineStr">
        <is>
          <t>임야</t>
        </is>
      </c>
      <c r="J2860" s="3" t="inlineStr">
        <is>
          <t>부강면</t>
        </is>
      </c>
    </row>
    <row r="2861">
      <c r="A2861" s="3" t="n">
        <v>2022</v>
      </c>
      <c r="B2861" s="4" t="n">
        <v>90000</v>
      </c>
      <c r="C2861" s="4" t="n">
        <v>660</v>
      </c>
      <c r="D2861" s="4" t="n">
        <v>199.65</v>
      </c>
      <c r="E2861" s="5" t="n">
        <v>450.8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계획관리지역</t>
        </is>
      </c>
      <c r="I2861" s="3" t="inlineStr">
        <is>
          <t>전</t>
        </is>
      </c>
      <c r="J2861" s="3" t="inlineStr">
        <is>
          <t>부강면</t>
        </is>
      </c>
    </row>
    <row r="2862">
      <c r="A2862" s="3" t="n">
        <v>2022</v>
      </c>
      <c r="B2862" s="4" t="n">
        <v>1656</v>
      </c>
      <c r="C2862" s="4" t="n">
        <v>81</v>
      </c>
      <c r="D2862" s="4" t="n">
        <v>24.5025</v>
      </c>
      <c r="E2862" s="5" t="n">
        <v>67.59999999999999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임야</t>
        </is>
      </c>
      <c r="J2862" s="3" t="inlineStr">
        <is>
          <t>연서면</t>
        </is>
      </c>
    </row>
    <row r="2863">
      <c r="A2863" s="3" t="n">
        <v>2022</v>
      </c>
      <c r="B2863" s="4" t="n">
        <v>6500</v>
      </c>
      <c r="C2863" s="4" t="n">
        <v>288</v>
      </c>
      <c r="D2863" s="4" t="n">
        <v>87.12</v>
      </c>
      <c r="E2863" s="5" t="n">
        <v>74.59999999999999</v>
      </c>
      <c r="F2863" s="3" t="inlineStr">
        <is>
          <t>연서면</t>
        </is>
      </c>
      <c r="G2863" s="3" t="inlineStr">
        <is>
          <t>와촌리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45000</v>
      </c>
      <c r="C2864" s="4" t="n">
        <v>1869.3</v>
      </c>
      <c r="D2864" s="4" t="n">
        <v>565.46325</v>
      </c>
      <c r="E2864" s="5" t="n">
        <v>79.59999999999999</v>
      </c>
      <c r="F2864" s="3" t="inlineStr">
        <is>
          <t>장군면</t>
        </is>
      </c>
      <c r="G2864" s="3" t="inlineStr">
        <is>
          <t>송정리</t>
        </is>
      </c>
      <c r="H2864" s="3" t="inlineStr">
        <is>
          <t>생산관리지역</t>
        </is>
      </c>
      <c r="I2864" s="3" t="inlineStr">
        <is>
          <t>답</t>
        </is>
      </c>
      <c r="J2864" s="3" t="inlineStr">
        <is>
          <t>장군면</t>
        </is>
      </c>
    </row>
    <row r="2865">
      <c r="A2865" s="3" t="n">
        <v>2022</v>
      </c>
      <c r="B2865" s="4" t="n">
        <v>47500</v>
      </c>
      <c r="C2865" s="4" t="n">
        <v>2833</v>
      </c>
      <c r="D2865" s="4" t="n">
        <v>856.9825</v>
      </c>
      <c r="E2865" s="5" t="n">
        <v>55.4</v>
      </c>
      <c r="F2865" s="3" t="inlineStr">
        <is>
          <t>연서면</t>
        </is>
      </c>
      <c r="G2865" s="3" t="inlineStr">
        <is>
          <t>청라리</t>
        </is>
      </c>
      <c r="H2865" s="3" t="inlineStr">
        <is>
          <t>생산관리지역</t>
        </is>
      </c>
      <c r="I2865" s="3" t="inlineStr">
        <is>
          <t>답</t>
        </is>
      </c>
      <c r="J2865" s="3" t="inlineStr">
        <is>
          <t>연서면</t>
        </is>
      </c>
    </row>
    <row r="2866">
      <c r="A2866" s="3" t="n">
        <v>2022</v>
      </c>
      <c r="B2866" s="4" t="n">
        <v>43000</v>
      </c>
      <c r="C2866" s="4" t="n">
        <v>1858</v>
      </c>
      <c r="D2866" s="4" t="n">
        <v>562.045</v>
      </c>
      <c r="E2866" s="5" t="n">
        <v>76.5</v>
      </c>
      <c r="F2866" s="3" t="inlineStr">
        <is>
          <t>전의면</t>
        </is>
      </c>
      <c r="G2866" s="3" t="inlineStr">
        <is>
          <t>관정리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전의면</t>
        </is>
      </c>
    </row>
    <row r="2867">
      <c r="A2867" s="3" t="n">
        <v>2024</v>
      </c>
      <c r="B2867" s="4" t="n">
        <v>50000</v>
      </c>
      <c r="C2867" s="4" t="n">
        <v>1825</v>
      </c>
      <c r="D2867" s="4" t="n">
        <v>552.0625</v>
      </c>
      <c r="E2867" s="5" t="n">
        <v>90.59999999999999</v>
      </c>
      <c r="F2867" s="3" t="inlineStr">
        <is>
          <t>남이면</t>
        </is>
      </c>
      <c r="G2867" s="3" t="inlineStr">
        <is>
          <t>석실리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9000</v>
      </c>
      <c r="C2868" s="4" t="n">
        <v>3187</v>
      </c>
      <c r="D2868" s="4" t="n">
        <v>964.0675</v>
      </c>
      <c r="E2868" s="5" t="n">
        <v>9.300000000000001</v>
      </c>
      <c r="F2868" s="3" t="inlineStr">
        <is>
          <t>남이면</t>
        </is>
      </c>
      <c r="G2868" s="3" t="inlineStr">
        <is>
          <t>척산리</t>
        </is>
      </c>
      <c r="H2868" s="3" t="inlineStr">
        <is>
          <t>생산관리지역</t>
        </is>
      </c>
      <c r="I2868" s="3" t="inlineStr">
        <is>
          <t>임야</t>
        </is>
      </c>
      <c r="J2868" s="3" t="inlineStr">
        <is>
          <t>남이면</t>
        </is>
      </c>
    </row>
    <row r="2869">
      <c r="A2869" s="3" t="n">
        <v>2024</v>
      </c>
      <c r="B2869" s="4" t="n">
        <v>14700</v>
      </c>
      <c r="C2869" s="4" t="n">
        <v>1245</v>
      </c>
      <c r="D2869" s="4" t="n">
        <v>376.6125</v>
      </c>
      <c r="E2869" s="5" t="n">
        <v>39</v>
      </c>
      <c r="F2869" s="3" t="inlineStr">
        <is>
          <t>현도면</t>
        </is>
      </c>
      <c r="G2869" s="3" t="inlineStr">
        <is>
          <t>노산리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현도면</t>
        </is>
      </c>
    </row>
    <row r="2870">
      <c r="A2870" s="3" t="n">
        <v>2024</v>
      </c>
      <c r="B2870" s="4" t="n">
        <v>3000</v>
      </c>
      <c r="C2870" s="4" t="n">
        <v>49</v>
      </c>
      <c r="D2870" s="4" t="n">
        <v>14.8225</v>
      </c>
      <c r="E2870" s="5" t="n">
        <v>202.4</v>
      </c>
      <c r="F2870" s="3" t="inlineStr">
        <is>
          <t>현도면</t>
        </is>
      </c>
      <c r="G2870" s="3" t="inlineStr">
        <is>
          <t>노산리</t>
        </is>
      </c>
      <c r="H2870" s="3" t="inlineStr">
        <is>
          <t>제1종일반주거지역</t>
        </is>
      </c>
      <c r="I2870" s="3" t="inlineStr">
        <is>
          <t>대</t>
        </is>
      </c>
      <c r="J2870" s="3" t="inlineStr">
        <is>
          <t>현도면</t>
        </is>
      </c>
    </row>
    <row r="2871">
      <c r="A2871" s="3" t="n">
        <v>2024</v>
      </c>
      <c r="B2871" s="4" t="n">
        <v>4000</v>
      </c>
      <c r="C2871" s="4" t="n">
        <v>108</v>
      </c>
      <c r="D2871" s="4" t="n">
        <v>32.67</v>
      </c>
      <c r="E2871" s="5" t="n">
        <v>122.4</v>
      </c>
      <c r="F2871" s="3" t="inlineStr">
        <is>
          <t>현도면</t>
        </is>
      </c>
      <c r="G2871" s="3" t="inlineStr">
        <is>
          <t>노산리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현도면</t>
        </is>
      </c>
    </row>
    <row r="2872">
      <c r="A2872" s="3" t="n">
        <v>2024</v>
      </c>
      <c r="B2872" s="4" t="n">
        <v>6000</v>
      </c>
      <c r="C2872" s="4" t="n">
        <v>286</v>
      </c>
      <c r="D2872" s="4" t="n">
        <v>86.515</v>
      </c>
      <c r="E2872" s="5" t="n">
        <v>69.40000000000001</v>
      </c>
      <c r="F2872" s="3" t="inlineStr">
        <is>
          <t>현도면</t>
        </is>
      </c>
      <c r="G2872" s="3" t="inlineStr">
        <is>
          <t>노산리</t>
        </is>
      </c>
      <c r="H2872" s="3" t="inlineStr">
        <is>
          <t>제1종일반주거지역</t>
        </is>
      </c>
      <c r="I2872" s="3" t="inlineStr">
        <is>
          <t>전</t>
        </is>
      </c>
      <c r="J2872" s="3" t="inlineStr">
        <is>
          <t>현도면</t>
        </is>
      </c>
    </row>
    <row r="2873">
      <c r="A2873" s="3" t="n">
        <v>2024</v>
      </c>
      <c r="B2873" s="4" t="n">
        <v>3070</v>
      </c>
      <c r="C2873" s="4" t="n">
        <v>73</v>
      </c>
      <c r="D2873" s="4" t="n">
        <v>22.0825</v>
      </c>
      <c r="E2873" s="5" t="n">
        <v>139</v>
      </c>
      <c r="F2873" s="3" t="inlineStr">
        <is>
          <t>남이면</t>
        </is>
      </c>
      <c r="G2873" s="3" t="inlineStr">
        <is>
          <t>가좌리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남이면</t>
        </is>
      </c>
    </row>
    <row r="2874">
      <c r="A2874" s="3" t="n">
        <v>2024</v>
      </c>
      <c r="B2874" s="4" t="n">
        <v>9060</v>
      </c>
      <c r="C2874" s="4" t="n">
        <v>214.9</v>
      </c>
      <c r="D2874" s="4" t="n">
        <v>65.00725</v>
      </c>
      <c r="E2874" s="5" t="n">
        <v>139.4</v>
      </c>
      <c r="F2874" s="3" t="inlineStr">
        <is>
          <t>남이면</t>
        </is>
      </c>
      <c r="G2874" s="3" t="inlineStr">
        <is>
          <t>가좌리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남이면</t>
        </is>
      </c>
    </row>
    <row r="2875">
      <c r="A2875" s="3" t="n">
        <v>2024</v>
      </c>
      <c r="B2875" s="4" t="n">
        <v>8800</v>
      </c>
      <c r="C2875" s="4" t="n">
        <v>1121</v>
      </c>
      <c r="D2875" s="4" t="n">
        <v>339.1025</v>
      </c>
      <c r="E2875" s="5" t="n">
        <v>26</v>
      </c>
      <c r="F2875" s="3" t="inlineStr">
        <is>
          <t>현도면</t>
        </is>
      </c>
      <c r="G2875" s="3" t="inlineStr">
        <is>
          <t>중척리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현도면</t>
        </is>
      </c>
    </row>
    <row r="2876">
      <c r="A2876" s="3" t="n">
        <v>2024</v>
      </c>
      <c r="B2876" s="4" t="n">
        <v>7000</v>
      </c>
      <c r="C2876" s="4" t="n">
        <v>271</v>
      </c>
      <c r="D2876" s="4" t="n">
        <v>81.97749999999999</v>
      </c>
      <c r="E2876" s="5" t="n">
        <v>85.40000000000001</v>
      </c>
      <c r="F2876" s="3" t="inlineStr">
        <is>
          <t>남이면</t>
        </is>
      </c>
      <c r="G2876" s="3" t="inlineStr">
        <is>
          <t>석판리</t>
        </is>
      </c>
      <c r="H2876" s="3" t="inlineStr">
        <is>
          <t>자연녹지지역</t>
        </is>
      </c>
      <c r="I2876" s="3" t="inlineStr">
        <is>
          <t>전</t>
        </is>
      </c>
      <c r="J2876" s="3" t="inlineStr">
        <is>
          <t>남이면</t>
        </is>
      </c>
    </row>
    <row r="2877">
      <c r="A2877" s="3" t="n">
        <v>2024</v>
      </c>
      <c r="B2877" s="4" t="n">
        <v>40620</v>
      </c>
      <c r="C2877" s="4" t="n">
        <v>4663</v>
      </c>
      <c r="D2877" s="4" t="n">
        <v>1410.5575</v>
      </c>
      <c r="E2877" s="5" t="n">
        <v>28.8</v>
      </c>
      <c r="F2877" s="3" t="inlineStr">
        <is>
          <t>남이면</t>
        </is>
      </c>
      <c r="G2877" s="3" t="inlineStr">
        <is>
          <t>구미리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남이면</t>
        </is>
      </c>
    </row>
    <row r="2878">
      <c r="A2878" s="3" t="n">
        <v>2024</v>
      </c>
      <c r="B2878" s="4" t="n">
        <v>102000</v>
      </c>
      <c r="C2878" s="4" t="n">
        <v>1172</v>
      </c>
      <c r="D2878" s="4" t="n">
        <v>354.53</v>
      </c>
      <c r="E2878" s="5" t="n">
        <v>287.7</v>
      </c>
      <c r="F2878" s="3" t="inlineStr">
        <is>
          <t>남이면</t>
        </is>
      </c>
      <c r="G2878" s="3" t="inlineStr">
        <is>
          <t>부용외천리</t>
        </is>
      </c>
      <c r="H2878" s="3" t="inlineStr">
        <is>
          <t>계획관리지역</t>
        </is>
      </c>
      <c r="I2878" s="3" t="inlineStr">
        <is>
          <t>대</t>
        </is>
      </c>
      <c r="J2878" s="3" t="inlineStr">
        <is>
          <t>남이면</t>
        </is>
      </c>
    </row>
    <row r="2879">
      <c r="A2879" s="3" t="n">
        <v>2024</v>
      </c>
      <c r="B2879" s="4" t="n">
        <v>84500</v>
      </c>
      <c r="C2879" s="4" t="n">
        <v>2653</v>
      </c>
      <c r="D2879" s="4" t="n">
        <v>802.5325</v>
      </c>
      <c r="E2879" s="5" t="n">
        <v>105.3</v>
      </c>
      <c r="F2879" s="3" t="inlineStr">
        <is>
          <t>남이면</t>
        </is>
      </c>
      <c r="G2879" s="3" t="inlineStr">
        <is>
          <t>가좌리</t>
        </is>
      </c>
      <c r="H2879" s="3" t="inlineStr">
        <is>
          <t>자연녹지지역</t>
        </is>
      </c>
      <c r="I2879" s="3" t="inlineStr">
        <is>
          <t>답</t>
        </is>
      </c>
      <c r="J2879" s="3" t="inlineStr">
        <is>
          <t>남이면</t>
        </is>
      </c>
    </row>
    <row r="2880">
      <c r="A2880" s="3" t="n">
        <v>2024</v>
      </c>
      <c r="B2880" s="4" t="n">
        <v>3500</v>
      </c>
      <c r="C2880" s="4" t="n">
        <v>100</v>
      </c>
      <c r="D2880" s="4" t="n">
        <v>30.25</v>
      </c>
      <c r="E2880" s="5" t="n">
        <v>115.7</v>
      </c>
      <c r="F2880" s="3" t="inlineStr">
        <is>
          <t>남이면</t>
        </is>
      </c>
      <c r="G2880" s="3" t="inlineStr">
        <is>
          <t>가좌리</t>
        </is>
      </c>
      <c r="H2880" s="3" t="inlineStr">
        <is>
          <t>자연녹지지역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2024</v>
      </c>
      <c r="B2881" s="4" t="n">
        <v>6100</v>
      </c>
      <c r="C2881" s="4" t="n">
        <v>807</v>
      </c>
      <c r="D2881" s="4" t="n">
        <v>244.1175</v>
      </c>
      <c r="E2881" s="5" t="n">
        <v>25</v>
      </c>
      <c r="F2881" s="3" t="inlineStr">
        <is>
          <t>현도면</t>
        </is>
      </c>
      <c r="G2881" s="3" t="inlineStr">
        <is>
          <t>선동리</t>
        </is>
      </c>
      <c r="H2881" s="3" t="inlineStr">
        <is>
          <t>자연녹지지역</t>
        </is>
      </c>
      <c r="I2881" s="3" t="inlineStr">
        <is>
          <t>답</t>
        </is>
      </c>
      <c r="J2881" s="3" t="inlineStr">
        <is>
          <t>현도면</t>
        </is>
      </c>
    </row>
    <row r="2882">
      <c r="A2882" s="3" t="n">
        <v>2024</v>
      </c>
      <c r="B2882" s="4" t="n">
        <v>21400</v>
      </c>
      <c r="C2882" s="4" t="n">
        <v>1740</v>
      </c>
      <c r="D2882" s="4" t="n">
        <v>526.35</v>
      </c>
      <c r="E2882" s="5" t="n">
        <v>40.7</v>
      </c>
      <c r="F2882" s="3" t="inlineStr">
        <is>
          <t>현도면</t>
        </is>
      </c>
      <c r="G2882" s="3" t="inlineStr">
        <is>
          <t>선동리</t>
        </is>
      </c>
      <c r="H2882" s="3" t="inlineStr">
        <is>
          <t>계획관리지역</t>
        </is>
      </c>
      <c r="I2882" s="3" t="inlineStr">
        <is>
          <t>묘지</t>
        </is>
      </c>
      <c r="J2882" s="3" t="inlineStr">
        <is>
          <t>현도면</t>
        </is>
      </c>
    </row>
    <row r="2883">
      <c r="A2883" s="3" t="n">
        <v>2024</v>
      </c>
      <c r="B2883" s="4" t="n">
        <v>12600</v>
      </c>
      <c r="C2883" s="4" t="n">
        <v>1040</v>
      </c>
      <c r="D2883" s="4" t="n">
        <v>314.6</v>
      </c>
      <c r="E2883" s="5" t="n">
        <v>40.1</v>
      </c>
      <c r="F2883" s="3" t="inlineStr">
        <is>
          <t>현도면</t>
        </is>
      </c>
      <c r="G2883" s="3" t="inlineStr">
        <is>
          <t>선동리</t>
        </is>
      </c>
      <c r="H2883" s="3" t="inlineStr">
        <is>
          <t>계획관리지역</t>
        </is>
      </c>
      <c r="I2883" s="3" t="inlineStr">
        <is>
          <t>묘지</t>
        </is>
      </c>
      <c r="J2883" s="3" t="inlineStr">
        <is>
          <t>현도면</t>
        </is>
      </c>
    </row>
    <row r="2884">
      <c r="A2884" s="3" t="n">
        <v>2024</v>
      </c>
      <c r="B2884" s="4" t="n">
        <v>1500</v>
      </c>
      <c r="C2884" s="4" t="n">
        <v>73</v>
      </c>
      <c r="D2884" s="4" t="n">
        <v>22.0825</v>
      </c>
      <c r="E2884" s="5" t="n">
        <v>67.90000000000001</v>
      </c>
      <c r="F2884" s="3" t="inlineStr">
        <is>
          <t>현도면</t>
        </is>
      </c>
      <c r="G2884" s="3" t="inlineStr">
        <is>
          <t>죽전리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2024</v>
      </c>
      <c r="B2885" s="4" t="n">
        <v>9000</v>
      </c>
      <c r="C2885" s="4" t="n">
        <v>1471</v>
      </c>
      <c r="D2885" s="4" t="n">
        <v>444.9775</v>
      </c>
      <c r="E2885" s="5" t="n">
        <v>20.2</v>
      </c>
      <c r="F2885" s="3" t="inlineStr">
        <is>
          <t>남이면</t>
        </is>
      </c>
      <c r="G2885" s="3" t="inlineStr">
        <is>
          <t>갈원리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2024</v>
      </c>
      <c r="B2886" s="4" t="n">
        <v>4200</v>
      </c>
      <c r="C2886" s="4" t="n">
        <v>198</v>
      </c>
      <c r="D2886" s="4" t="n">
        <v>59.895</v>
      </c>
      <c r="E2886" s="5" t="n">
        <v>70.09999999999999</v>
      </c>
      <c r="F2886" s="3" t="inlineStr">
        <is>
          <t>현도면</t>
        </is>
      </c>
      <c r="G2886" s="3" t="inlineStr">
        <is>
          <t>노산리</t>
        </is>
      </c>
      <c r="H2886" s="3" t="inlineStr">
        <is>
          <t>자연녹지지역</t>
        </is>
      </c>
      <c r="I2886" s="3" t="inlineStr">
        <is>
          <t>주차장</t>
        </is>
      </c>
      <c r="J2886" s="3" t="inlineStr">
        <is>
          <t>현도면</t>
        </is>
      </c>
    </row>
    <row r="2887">
      <c r="A2887" s="3" t="n">
        <v>2024</v>
      </c>
      <c r="B2887" s="4" t="n">
        <v>1960</v>
      </c>
      <c r="C2887" s="4" t="n">
        <v>93</v>
      </c>
      <c r="D2887" s="4" t="n">
        <v>28.1325</v>
      </c>
      <c r="E2887" s="5" t="n">
        <v>69.7</v>
      </c>
      <c r="F2887" s="3" t="inlineStr">
        <is>
          <t>현도면</t>
        </is>
      </c>
      <c r="G2887" s="3" t="inlineStr">
        <is>
          <t>노산리</t>
        </is>
      </c>
      <c r="H2887" s="3" t="inlineStr">
        <is>
          <t>자연녹지지역</t>
        </is>
      </c>
      <c r="I2887" s="3" t="inlineStr">
        <is>
          <t>전</t>
        </is>
      </c>
      <c r="J2887" s="3" t="inlineStr">
        <is>
          <t>현도면</t>
        </is>
      </c>
    </row>
    <row r="2888">
      <c r="A2888" s="3" t="n">
        <v>2024</v>
      </c>
      <c r="B2888" s="4" t="n">
        <v>4180</v>
      </c>
      <c r="C2888" s="4" t="n">
        <v>102</v>
      </c>
      <c r="D2888" s="4" t="n">
        <v>30.855</v>
      </c>
      <c r="E2888" s="5" t="n">
        <v>135.5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2024</v>
      </c>
      <c r="B2889" s="4" t="n">
        <v>74000</v>
      </c>
      <c r="C2889" s="4" t="n">
        <v>2258</v>
      </c>
      <c r="D2889" s="4" t="n">
        <v>683.045</v>
      </c>
      <c r="E2889" s="5" t="n">
        <v>108.3</v>
      </c>
      <c r="F2889" s="3" t="inlineStr">
        <is>
          <t>남이면</t>
        </is>
      </c>
      <c r="G2889" s="3" t="inlineStr">
        <is>
          <t>석실리</t>
        </is>
      </c>
      <c r="H2889" s="3" t="inlineStr">
        <is>
          <t>자연녹지지역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2024</v>
      </c>
      <c r="B2890" s="4" t="n">
        <v>200</v>
      </c>
      <c r="C2890" s="4" t="n">
        <v>102</v>
      </c>
      <c r="D2890" s="4" t="n">
        <v>30.855</v>
      </c>
      <c r="E2890" s="5" t="n">
        <v>6.5</v>
      </c>
      <c r="F2890" s="3" t="inlineStr">
        <is>
          <t>남이면</t>
        </is>
      </c>
      <c r="G2890" s="3" t="inlineStr">
        <is>
          <t>팔봉리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2025</v>
      </c>
      <c r="B2891" s="4" t="n">
        <v>4879</v>
      </c>
      <c r="C2891" s="4" t="n">
        <v>264</v>
      </c>
      <c r="D2891" s="4" t="n">
        <v>79.86</v>
      </c>
      <c r="E2891" s="5" t="n">
        <v>61.1</v>
      </c>
      <c r="F2891" s="3" t="inlineStr">
        <is>
          <t>남이면</t>
        </is>
      </c>
      <c r="G2891" s="3" t="inlineStr">
        <is>
          <t>문동리</t>
        </is>
      </c>
      <c r="H2891" s="3" t="inlineStr">
        <is>
          <t>보전녹지지역</t>
        </is>
      </c>
      <c r="I2891" s="3" t="inlineStr">
        <is>
          <t>대</t>
        </is>
      </c>
      <c r="J2891" s="3" t="inlineStr">
        <is>
          <t>남이면</t>
        </is>
      </c>
    </row>
    <row r="2892">
      <c r="A2892" s="3" t="n">
        <v>2025</v>
      </c>
      <c r="B2892" s="4" t="n">
        <v>5121</v>
      </c>
      <c r="C2892" s="4" t="n">
        <v>362</v>
      </c>
      <c r="D2892" s="4" t="n">
        <v>109.505</v>
      </c>
      <c r="E2892" s="5" t="n">
        <v>46.8</v>
      </c>
      <c r="F2892" s="3" t="inlineStr">
        <is>
          <t>남이면</t>
        </is>
      </c>
      <c r="G2892" s="3" t="inlineStr">
        <is>
          <t>문동리</t>
        </is>
      </c>
      <c r="H2892" s="3" t="inlineStr">
        <is>
          <t>보전녹지지역</t>
        </is>
      </c>
      <c r="I2892" s="3" t="inlineStr">
        <is>
          <t>임야</t>
        </is>
      </c>
      <c r="J2892" s="3" t="inlineStr">
        <is>
          <t>남이면</t>
        </is>
      </c>
    </row>
    <row r="2893">
      <c r="A2893" s="3" t="n">
        <v>2025</v>
      </c>
      <c r="B2893" s="4" t="n">
        <v>24000</v>
      </c>
      <c r="C2893" s="4" t="n">
        <v>1714</v>
      </c>
      <c r="D2893" s="4" t="n">
        <v>518.485</v>
      </c>
      <c r="E2893" s="5" t="n">
        <v>46.3</v>
      </c>
      <c r="F2893" s="3" t="inlineStr">
        <is>
          <t>현도면</t>
        </is>
      </c>
      <c r="G2893" s="3" t="inlineStr">
        <is>
          <t>죽전리</t>
        </is>
      </c>
      <c r="H2893" s="3" t="inlineStr">
        <is>
          <t>농림지역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2025</v>
      </c>
      <c r="B2894" s="4" t="n">
        <v>10000</v>
      </c>
      <c r="C2894" s="4" t="n">
        <v>1517</v>
      </c>
      <c r="D2894" s="4" t="n">
        <v>458.8925</v>
      </c>
      <c r="E2894" s="5" t="n">
        <v>21.8</v>
      </c>
      <c r="F2894" s="3" t="inlineStr">
        <is>
          <t>남이면</t>
        </is>
      </c>
      <c r="G2894" s="3" t="inlineStr">
        <is>
          <t>외천리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2025</v>
      </c>
      <c r="B2895" s="4" t="n">
        <v>700</v>
      </c>
      <c r="C2895" s="4" t="n">
        <v>174</v>
      </c>
      <c r="D2895" s="4" t="n">
        <v>52.635</v>
      </c>
      <c r="E2895" s="5" t="n">
        <v>13.3</v>
      </c>
      <c r="F2895" s="3" t="inlineStr">
        <is>
          <t>남이면</t>
        </is>
      </c>
      <c r="G2895" s="3" t="inlineStr">
        <is>
          <t>부용외천리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2025</v>
      </c>
      <c r="B2896" s="4" t="n">
        <v>700</v>
      </c>
      <c r="C2896" s="4" t="n">
        <v>87</v>
      </c>
      <c r="D2896" s="4" t="n">
        <v>26.3175</v>
      </c>
      <c r="E2896" s="5" t="n">
        <v>26.6</v>
      </c>
      <c r="F2896" s="3" t="inlineStr">
        <is>
          <t>남이면</t>
        </is>
      </c>
      <c r="G2896" s="3" t="inlineStr">
        <is>
          <t>부용외천리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남이면</t>
        </is>
      </c>
    </row>
    <row r="2897">
      <c r="A2897" s="3" t="n">
        <v>2025</v>
      </c>
      <c r="B2897" s="4" t="n">
        <v>2907</v>
      </c>
      <c r="C2897" s="4" t="n">
        <v>506</v>
      </c>
      <c r="D2897" s="4" t="n">
        <v>153.065</v>
      </c>
      <c r="E2897" s="5" t="n">
        <v>19</v>
      </c>
      <c r="F2897" s="3" t="inlineStr">
        <is>
          <t>현도면</t>
        </is>
      </c>
      <c r="G2897" s="3" t="inlineStr">
        <is>
          <t>시목리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현도면</t>
        </is>
      </c>
    </row>
    <row r="2898">
      <c r="A2898" s="3" t="n">
        <v>2025</v>
      </c>
      <c r="B2898" s="4" t="n">
        <v>22000</v>
      </c>
      <c r="C2898" s="4" t="n">
        <v>1964</v>
      </c>
      <c r="D2898" s="4" t="n">
        <v>594.11</v>
      </c>
      <c r="E2898" s="5" t="n">
        <v>37</v>
      </c>
      <c r="F2898" s="3" t="inlineStr">
        <is>
          <t>현도면</t>
        </is>
      </c>
      <c r="G2898" s="3" t="inlineStr">
        <is>
          <t>매봉리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현도면</t>
        </is>
      </c>
    </row>
    <row r="2899">
      <c r="A2899" s="3" t="n">
        <v>2025</v>
      </c>
      <c r="B2899" s="4" t="n">
        <v>52500</v>
      </c>
      <c r="C2899" s="4" t="n">
        <v>1653</v>
      </c>
      <c r="D2899" s="4" t="n">
        <v>500.0325</v>
      </c>
      <c r="E2899" s="5" t="n">
        <v>105</v>
      </c>
      <c r="F2899" s="3" t="inlineStr">
        <is>
          <t>남이면</t>
        </is>
      </c>
      <c r="G2899" s="3" t="inlineStr">
        <is>
          <t>상발리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2025</v>
      </c>
      <c r="B2900" s="4" t="n">
        <v>300</v>
      </c>
      <c r="C2900" s="4" t="n">
        <v>51</v>
      </c>
      <c r="D2900" s="4" t="n">
        <v>15.4275</v>
      </c>
      <c r="E2900" s="5" t="n">
        <v>19.4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2025</v>
      </c>
      <c r="B2901" s="4" t="n">
        <v>20000</v>
      </c>
      <c r="C2901" s="4" t="n">
        <v>1920</v>
      </c>
      <c r="D2901" s="4" t="n">
        <v>580.8</v>
      </c>
      <c r="E2901" s="5" t="n">
        <v>34.4</v>
      </c>
      <c r="F2901" s="3" t="inlineStr">
        <is>
          <t>남이면</t>
        </is>
      </c>
      <c r="G2901" s="3" t="inlineStr">
        <is>
          <t>수대리</t>
        </is>
      </c>
      <c r="H2901" s="3" t="inlineStr">
        <is>
          <t>자연녹지지역</t>
        </is>
      </c>
      <c r="I2901" s="3" t="inlineStr">
        <is>
          <t>대</t>
        </is>
      </c>
      <c r="J2901" s="3" t="inlineStr">
        <is>
          <t>남이면</t>
        </is>
      </c>
    </row>
    <row r="2902">
      <c r="A2902" s="3" t="n">
        <v>2025</v>
      </c>
      <c r="B2902" s="4" t="n">
        <v>122270</v>
      </c>
      <c r="C2902" s="4" t="n">
        <v>4042</v>
      </c>
      <c r="D2902" s="4" t="n">
        <v>1222.705</v>
      </c>
      <c r="E2902" s="5" t="n">
        <v>100</v>
      </c>
      <c r="F2902" s="3" t="inlineStr">
        <is>
          <t>현도면</t>
        </is>
      </c>
      <c r="G2902" s="3" t="inlineStr">
        <is>
          <t>죽암리</t>
        </is>
      </c>
      <c r="H2902" s="3" t="inlineStr">
        <is>
          <t>계획관리지역</t>
        </is>
      </c>
      <c r="I2902" s="3" t="inlineStr">
        <is>
          <t>창고용지</t>
        </is>
      </c>
      <c r="J2902" s="3" t="inlineStr">
        <is>
          <t>현도면</t>
        </is>
      </c>
    </row>
    <row r="2903">
      <c r="A2903" s="3" t="n">
        <v>2025</v>
      </c>
      <c r="B2903" s="4" t="n">
        <v>146976</v>
      </c>
      <c r="C2903" s="4" t="n">
        <v>4042</v>
      </c>
      <c r="D2903" s="4" t="n">
        <v>1222.705</v>
      </c>
      <c r="E2903" s="5" t="n">
        <v>120.2</v>
      </c>
      <c r="F2903" s="3" t="inlineStr">
        <is>
          <t>현도면</t>
        </is>
      </c>
      <c r="G2903" s="3" t="inlineStr">
        <is>
          <t>죽암리</t>
        </is>
      </c>
      <c r="H2903" s="3" t="inlineStr">
        <is>
          <t>계획관리지역</t>
        </is>
      </c>
      <c r="I2903" s="3" t="inlineStr">
        <is>
          <t>창고용지</t>
        </is>
      </c>
      <c r="J2903" s="3" t="inlineStr">
        <is>
          <t>현도면</t>
        </is>
      </c>
    </row>
    <row r="2904">
      <c r="A2904" s="3" t="n">
        <v>2025</v>
      </c>
      <c r="B2904" s="4" t="n">
        <v>60000</v>
      </c>
      <c r="C2904" s="4" t="n">
        <v>1920</v>
      </c>
      <c r="D2904" s="4" t="n">
        <v>580.8</v>
      </c>
      <c r="E2904" s="5" t="n">
        <v>103.3</v>
      </c>
      <c r="F2904" s="3" t="inlineStr">
        <is>
          <t>남이면</t>
        </is>
      </c>
      <c r="G2904" s="3" t="inlineStr">
        <is>
          <t>수대리</t>
        </is>
      </c>
      <c r="H2904" s="3" t="inlineStr">
        <is>
          <t>자연녹지지역</t>
        </is>
      </c>
      <c r="I2904" s="3" t="inlineStr">
        <is>
          <t>대</t>
        </is>
      </c>
      <c r="J2904" s="3" t="inlineStr">
        <is>
          <t>남이면</t>
        </is>
      </c>
    </row>
    <row r="2905">
      <c r="A2905" s="3" t="n">
        <v>2025</v>
      </c>
      <c r="B2905" s="4" t="n">
        <v>20722</v>
      </c>
      <c r="C2905" s="4" t="n">
        <v>989</v>
      </c>
      <c r="D2905" s="4" t="n">
        <v>299.1725</v>
      </c>
      <c r="E2905" s="5" t="n">
        <v>69.3</v>
      </c>
      <c r="F2905" s="3" t="inlineStr">
        <is>
          <t>현도면</t>
        </is>
      </c>
      <c r="G2905" s="3" t="inlineStr">
        <is>
          <t>우록리</t>
        </is>
      </c>
      <c r="H2905" s="3" t="inlineStr">
        <is>
          <t>생산관리지역</t>
        </is>
      </c>
      <c r="I2905" s="3" t="inlineStr">
        <is>
          <t>답</t>
        </is>
      </c>
      <c r="J2905" s="3" t="inlineStr">
        <is>
          <t>현도면</t>
        </is>
      </c>
    </row>
    <row r="2906">
      <c r="A2906" s="3" t="n">
        <v>2025</v>
      </c>
      <c r="B2906" s="4" t="n">
        <v>3950</v>
      </c>
      <c r="C2906" s="4" t="n">
        <v>982</v>
      </c>
      <c r="D2906" s="4" t="n">
        <v>297.055</v>
      </c>
      <c r="E2906" s="5" t="n">
        <v>13.3</v>
      </c>
      <c r="F2906" s="3" t="inlineStr">
        <is>
          <t>현도면</t>
        </is>
      </c>
      <c r="G2906" s="3" t="inlineStr">
        <is>
          <t>하석리</t>
        </is>
      </c>
      <c r="H2906" s="3" t="inlineStr">
        <is>
          <t>개발제한구역</t>
        </is>
      </c>
      <c r="I2906" s="3" t="inlineStr">
        <is>
          <t>답</t>
        </is>
      </c>
      <c r="J2906" s="3" t="inlineStr">
        <is>
          <t>현도면</t>
        </is>
      </c>
    </row>
    <row r="2907">
      <c r="A2907" s="3" t="n">
        <v>2025</v>
      </c>
      <c r="B2907" s="4" t="n">
        <v>10856</v>
      </c>
      <c r="C2907" s="4" t="n">
        <v>327</v>
      </c>
      <c r="D2907" s="4" t="n">
        <v>98.9175</v>
      </c>
      <c r="E2907" s="5" t="n">
        <v>109.7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2025</v>
      </c>
      <c r="B2908" s="4" t="n">
        <v>94144</v>
      </c>
      <c r="C2908" s="4" t="n">
        <v>2836</v>
      </c>
      <c r="D2908" s="4" t="n">
        <v>857.89</v>
      </c>
      <c r="E2908" s="5" t="n">
        <v>109.7</v>
      </c>
      <c r="F2908" s="3" t="inlineStr">
        <is>
          <t>남이면</t>
        </is>
      </c>
      <c r="G2908" s="3" t="inlineStr">
        <is>
          <t>가마리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2025</v>
      </c>
      <c r="B2909" s="4" t="n">
        <v>22074</v>
      </c>
      <c r="C2909" s="4" t="n">
        <v>768</v>
      </c>
      <c r="D2909" s="4" t="n">
        <v>232.32</v>
      </c>
      <c r="E2909" s="5" t="n">
        <v>95</v>
      </c>
      <c r="F2909" s="3" t="inlineStr">
        <is>
          <t>남이면</t>
        </is>
      </c>
      <c r="G2909" s="3" t="inlineStr">
        <is>
          <t>가좌리</t>
        </is>
      </c>
      <c r="H2909" s="3" t="inlineStr">
        <is>
          <t>자연녹지지역</t>
        </is>
      </c>
      <c r="I2909" s="3" t="inlineStr">
        <is>
          <t>전</t>
        </is>
      </c>
      <c r="J2909" s="3" t="inlineStr">
        <is>
          <t>남이면</t>
        </is>
      </c>
    </row>
    <row r="2910">
      <c r="A2910" s="3" t="n">
        <v>2025</v>
      </c>
      <c r="B2910" s="4" t="n">
        <v>661</v>
      </c>
      <c r="C2910" s="4" t="n">
        <v>23</v>
      </c>
      <c r="D2910" s="4" t="n">
        <v>6.9575</v>
      </c>
      <c r="E2910" s="5" t="n">
        <v>95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도로</t>
        </is>
      </c>
      <c r="J2910" s="3" t="inlineStr">
        <is>
          <t>남이면</t>
        </is>
      </c>
    </row>
    <row r="2911">
      <c r="A2911" s="3" t="n">
        <v>2025</v>
      </c>
      <c r="B2911" s="4" t="n">
        <v>1725</v>
      </c>
      <c r="C2911" s="4" t="n">
        <v>60</v>
      </c>
      <c r="D2911" s="4" t="n">
        <v>18.15</v>
      </c>
      <c r="E2911" s="5" t="n">
        <v>95</v>
      </c>
      <c r="F2911" s="3" t="inlineStr">
        <is>
          <t>남이면</t>
        </is>
      </c>
      <c r="G2911" s="3" t="inlineStr">
        <is>
          <t>가좌리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남이면</t>
        </is>
      </c>
    </row>
    <row r="2912">
      <c r="A2912" s="3" t="n">
        <v>2022</v>
      </c>
      <c r="B2912" s="4" t="n">
        <v>2000</v>
      </c>
      <c r="C2912" s="4" t="n">
        <v>231</v>
      </c>
      <c r="D2912" s="4" t="n">
        <v>69.8775</v>
      </c>
      <c r="E2912" s="5" t="n">
        <v>28.6</v>
      </c>
      <c r="F2912" s="3" t="inlineStr">
        <is>
          <t>남이면</t>
        </is>
      </c>
      <c r="G2912" s="3" t="inlineStr">
        <is>
          <t>외천리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2022</v>
      </c>
      <c r="B2913" s="4" t="n">
        <v>11000</v>
      </c>
      <c r="C2913" s="4" t="n">
        <v>2043</v>
      </c>
      <c r="D2913" s="4" t="n">
        <v>618.0074999999999</v>
      </c>
      <c r="E2913" s="5" t="n">
        <v>17.8</v>
      </c>
      <c r="F2913" s="3" t="inlineStr">
        <is>
          <t>현도면</t>
        </is>
      </c>
      <c r="G2913" s="3" t="inlineStr">
        <is>
          <t>중척리</t>
        </is>
      </c>
      <c r="H2913" s="3" t="inlineStr">
        <is>
          <t>개발제한구역</t>
        </is>
      </c>
      <c r="I2913" s="3" t="inlineStr">
        <is>
          <t>답</t>
        </is>
      </c>
      <c r="J2913" s="3" t="inlineStr">
        <is>
          <t>현도면</t>
        </is>
      </c>
    </row>
    <row r="2914">
      <c r="A2914" s="3" t="n">
        <v>2022</v>
      </c>
      <c r="B2914" s="4" t="n">
        <v>26500</v>
      </c>
      <c r="C2914" s="4" t="n">
        <v>1689</v>
      </c>
      <c r="D2914" s="4" t="n">
        <v>510.9225</v>
      </c>
      <c r="E2914" s="5" t="n">
        <v>51.9</v>
      </c>
      <c r="F2914" s="3" t="inlineStr">
        <is>
          <t>남이면</t>
        </is>
      </c>
      <c r="G2914" s="3" t="inlineStr">
        <is>
          <t>부용외천리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2022</v>
      </c>
      <c r="B2915" s="4" t="n">
        <v>10000</v>
      </c>
      <c r="C2915" s="4" t="n">
        <v>1715</v>
      </c>
      <c r="D2915" s="4" t="n">
        <v>518.7875</v>
      </c>
      <c r="E2915" s="5" t="n">
        <v>19.3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개발제한구역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8814</v>
      </c>
      <c r="C2916" s="4" t="n">
        <v>1121</v>
      </c>
      <c r="D2916" s="4" t="n">
        <v>339.1025</v>
      </c>
      <c r="E2916" s="5" t="n">
        <v>26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답</t>
        </is>
      </c>
      <c r="J2916" s="3" t="inlineStr">
        <is>
          <t>현도면</t>
        </is>
      </c>
    </row>
    <row r="2917">
      <c r="A2917" s="3" t="n">
        <v>2022</v>
      </c>
      <c r="B2917" s="4" t="n">
        <v>14000</v>
      </c>
      <c r="C2917" s="4" t="n">
        <v>429</v>
      </c>
      <c r="D2917" s="4" t="n">
        <v>129.7725</v>
      </c>
      <c r="E2917" s="5" t="n">
        <v>107.9</v>
      </c>
      <c r="F2917" s="3" t="inlineStr">
        <is>
          <t>남이면</t>
        </is>
      </c>
      <c r="G2917" s="3" t="inlineStr">
        <is>
          <t>부용외천리</t>
        </is>
      </c>
      <c r="H2917" s="3" t="inlineStr">
        <is>
          <t>계획관리지역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2022</v>
      </c>
      <c r="B2918" s="4" t="n">
        <v>13618</v>
      </c>
      <c r="C2918" s="4" t="n">
        <v>429</v>
      </c>
      <c r="D2918" s="4" t="n">
        <v>129.7725</v>
      </c>
      <c r="E2918" s="5" t="n">
        <v>104.9</v>
      </c>
      <c r="F2918" s="3" t="inlineStr">
        <is>
          <t>남이면</t>
        </is>
      </c>
      <c r="G2918" s="3" t="inlineStr">
        <is>
          <t>부용외천리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24690</v>
      </c>
      <c r="C2919" s="4" t="n">
        <v>583</v>
      </c>
      <c r="D2919" s="4" t="n">
        <v>176.3575</v>
      </c>
      <c r="E2919" s="5" t="n">
        <v>140</v>
      </c>
      <c r="F2919" s="3" t="inlineStr">
        <is>
          <t>남이면</t>
        </is>
      </c>
      <c r="G2919" s="3" t="inlineStr">
        <is>
          <t>부용외천리</t>
        </is>
      </c>
      <c r="H2919" s="3" t="inlineStr">
        <is>
          <t>계획관리지역</t>
        </is>
      </c>
      <c r="I2919" s="3" t="inlineStr">
        <is>
          <t>대</t>
        </is>
      </c>
      <c r="J2919" s="3" t="inlineStr">
        <is>
          <t>남이면</t>
        </is>
      </c>
    </row>
    <row r="2920">
      <c r="A2920" s="3" t="n">
        <v>2022</v>
      </c>
      <c r="B2920" s="4" t="n">
        <v>28900</v>
      </c>
      <c r="C2920" s="4" t="n">
        <v>1100</v>
      </c>
      <c r="D2920" s="4" t="n">
        <v>332.75</v>
      </c>
      <c r="E2920" s="5" t="n">
        <v>86.90000000000001</v>
      </c>
      <c r="F2920" s="3" t="inlineStr">
        <is>
          <t>남이면</t>
        </is>
      </c>
      <c r="G2920" s="3" t="inlineStr">
        <is>
          <t>팔봉리</t>
        </is>
      </c>
      <c r="H2920" s="3" t="inlineStr">
        <is>
          <t>자연녹지지역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2022</v>
      </c>
      <c r="B2921" s="4" t="n">
        <v>18300</v>
      </c>
      <c r="C2921" s="4" t="n">
        <v>697</v>
      </c>
      <c r="D2921" s="4" t="n">
        <v>210.8425</v>
      </c>
      <c r="E2921" s="5" t="n">
        <v>86.8</v>
      </c>
      <c r="F2921" s="3" t="inlineStr">
        <is>
          <t>남이면</t>
        </is>
      </c>
      <c r="G2921" s="3" t="inlineStr">
        <is>
          <t>팔봉리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2022</v>
      </c>
      <c r="B2922" s="4" t="n">
        <v>30200</v>
      </c>
      <c r="C2922" s="4" t="n">
        <v>1150</v>
      </c>
      <c r="D2922" s="4" t="n">
        <v>347.875</v>
      </c>
      <c r="E2922" s="5" t="n">
        <v>86.8</v>
      </c>
      <c r="F2922" s="3" t="inlineStr">
        <is>
          <t>남이면</t>
        </is>
      </c>
      <c r="G2922" s="3" t="inlineStr">
        <is>
          <t>팔봉리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7100</v>
      </c>
      <c r="C2923" s="4" t="n">
        <v>269</v>
      </c>
      <c r="D2923" s="4" t="n">
        <v>81.3725</v>
      </c>
      <c r="E2923" s="5" t="n">
        <v>87.3</v>
      </c>
      <c r="F2923" s="3" t="inlineStr">
        <is>
          <t>남이면</t>
        </is>
      </c>
      <c r="G2923" s="3" t="inlineStr">
        <is>
          <t>팔봉리</t>
        </is>
      </c>
      <c r="H2923" s="3" t="inlineStr">
        <is>
          <t>자연녹지지역</t>
        </is>
      </c>
      <c r="I2923" s="3" t="inlineStr">
        <is>
          <t>답</t>
        </is>
      </c>
      <c r="J2923" s="3" t="inlineStr">
        <is>
          <t>남이면</t>
        </is>
      </c>
    </row>
    <row r="2924">
      <c r="A2924" s="3" t="n">
        <v>2022</v>
      </c>
      <c r="B2924" s="4" t="n">
        <v>100</v>
      </c>
      <c r="C2924" s="4" t="n">
        <v>9</v>
      </c>
      <c r="D2924" s="4" t="n">
        <v>2.7225</v>
      </c>
      <c r="E2924" s="5" t="n">
        <v>36.7</v>
      </c>
      <c r="F2924" s="3" t="inlineStr">
        <is>
          <t>남이면</t>
        </is>
      </c>
      <c r="G2924" s="3" t="inlineStr">
        <is>
          <t>가마리</t>
        </is>
      </c>
      <c r="H2924" s="3" t="inlineStr">
        <is>
          <t>자연녹지지역</t>
        </is>
      </c>
      <c r="I2924" s="3" t="inlineStr">
        <is>
          <t>도로</t>
        </is>
      </c>
      <c r="J2924" s="3" t="inlineStr">
        <is>
          <t>남이면</t>
        </is>
      </c>
    </row>
    <row r="2925">
      <c r="A2925" s="3" t="n">
        <v>2022</v>
      </c>
      <c r="B2925" s="4" t="n">
        <v>100</v>
      </c>
      <c r="C2925" s="4" t="n">
        <v>6</v>
      </c>
      <c r="D2925" s="4" t="n">
        <v>1.815</v>
      </c>
      <c r="E2925" s="5" t="n">
        <v>55.1</v>
      </c>
      <c r="F2925" s="3" t="inlineStr">
        <is>
          <t>남이면</t>
        </is>
      </c>
      <c r="G2925" s="3" t="inlineStr">
        <is>
          <t>가마리</t>
        </is>
      </c>
      <c r="H2925" s="3" t="inlineStr">
        <is>
          <t>자연녹지지역</t>
        </is>
      </c>
      <c r="I2925" s="3" t="inlineStr">
        <is>
          <t>도로</t>
        </is>
      </c>
      <c r="J2925" s="3" t="inlineStr">
        <is>
          <t>남이면</t>
        </is>
      </c>
    </row>
    <row r="2926">
      <c r="A2926" s="3" t="n">
        <v>2022</v>
      </c>
      <c r="B2926" s="4" t="n">
        <v>5000</v>
      </c>
      <c r="C2926" s="4" t="n">
        <v>119</v>
      </c>
      <c r="D2926" s="4" t="n">
        <v>35.9975</v>
      </c>
      <c r="E2926" s="5" t="n">
        <v>138.9</v>
      </c>
      <c r="F2926" s="3" t="inlineStr">
        <is>
          <t>남이면</t>
        </is>
      </c>
      <c r="G2926" s="3" t="inlineStr">
        <is>
          <t>가마리</t>
        </is>
      </c>
      <c r="H2926" s="3" t="inlineStr">
        <is>
          <t>자연녹지지역</t>
        </is>
      </c>
      <c r="I2926" s="3" t="inlineStr">
        <is>
          <t>대</t>
        </is>
      </c>
      <c r="J2926" s="3" t="inlineStr">
        <is>
          <t>남이면</t>
        </is>
      </c>
    </row>
    <row r="2927">
      <c r="A2927" s="3" t="n">
        <v>2022</v>
      </c>
      <c r="B2927" s="4" t="n">
        <v>2000</v>
      </c>
      <c r="C2927" s="4" t="n">
        <v>50</v>
      </c>
      <c r="D2927" s="4" t="n">
        <v>15.125</v>
      </c>
      <c r="E2927" s="5" t="n">
        <v>132.2</v>
      </c>
      <c r="F2927" s="3" t="inlineStr">
        <is>
          <t>남이면</t>
        </is>
      </c>
      <c r="G2927" s="3" t="inlineStr">
        <is>
          <t>가마리</t>
        </is>
      </c>
      <c r="H2927" s="3" t="inlineStr">
        <is>
          <t>자연녹지지역</t>
        </is>
      </c>
      <c r="I2927" s="3" t="inlineStr">
        <is>
          <t>대</t>
        </is>
      </c>
      <c r="J2927" s="3" t="inlineStr">
        <is>
          <t>남이면</t>
        </is>
      </c>
    </row>
    <row r="2928">
      <c r="A2928" s="3" t="n">
        <v>2022</v>
      </c>
      <c r="B2928" s="4" t="n">
        <v>3500</v>
      </c>
      <c r="C2928" s="4" t="n">
        <v>370</v>
      </c>
      <c r="D2928" s="4" t="n">
        <v>111.925</v>
      </c>
      <c r="E2928" s="5" t="n">
        <v>31.3</v>
      </c>
      <c r="F2928" s="3" t="inlineStr">
        <is>
          <t>남이면</t>
        </is>
      </c>
      <c r="G2928" s="3" t="inlineStr">
        <is>
          <t>척산리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2022</v>
      </c>
      <c r="B2929" s="4" t="n">
        <v>10000</v>
      </c>
      <c r="C2929" s="4" t="n">
        <v>417</v>
      </c>
      <c r="D2929" s="4" t="n">
        <v>126.1425</v>
      </c>
      <c r="E2929" s="5" t="n">
        <v>79.3</v>
      </c>
      <c r="F2929" s="3" t="inlineStr">
        <is>
          <t>남이면</t>
        </is>
      </c>
      <c r="G2929" s="3" t="inlineStr">
        <is>
          <t>가마리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2022</v>
      </c>
      <c r="B2930" s="4" t="n">
        <v>11000</v>
      </c>
      <c r="C2930" s="4" t="n">
        <v>820</v>
      </c>
      <c r="D2930" s="4" t="n">
        <v>248.05</v>
      </c>
      <c r="E2930" s="5" t="n">
        <v>44.3</v>
      </c>
      <c r="F2930" s="3" t="inlineStr">
        <is>
          <t>남이면</t>
        </is>
      </c>
      <c r="G2930" s="3" t="inlineStr">
        <is>
          <t>사동리</t>
        </is>
      </c>
      <c r="H2930" s="3" t="inlineStr">
        <is>
          <t>생산관리지역</t>
        </is>
      </c>
      <c r="I2930" s="3" t="inlineStr">
        <is>
          <t>답</t>
        </is>
      </c>
      <c r="J2930" s="3" t="inlineStr">
        <is>
          <t>남이면</t>
        </is>
      </c>
    </row>
    <row r="2931">
      <c r="A2931" s="3" t="n">
        <v>2022</v>
      </c>
      <c r="B2931" s="4" t="n">
        <v>5200</v>
      </c>
      <c r="C2931" s="4" t="n">
        <v>1887</v>
      </c>
      <c r="D2931" s="4" t="n">
        <v>570.8175</v>
      </c>
      <c r="E2931" s="5" t="n">
        <v>9.1</v>
      </c>
      <c r="F2931" s="3" t="inlineStr">
        <is>
          <t>현도면</t>
        </is>
      </c>
      <c r="G2931" s="3" t="inlineStr">
        <is>
          <t>하석리</t>
        </is>
      </c>
      <c r="H2931" s="3" t="inlineStr">
        <is>
          <t>자연녹지지역</t>
        </is>
      </c>
      <c r="I2931" s="3" t="inlineStr">
        <is>
          <t>묘지</t>
        </is>
      </c>
      <c r="J2931" s="3" t="inlineStr">
        <is>
          <t>현도면</t>
        </is>
      </c>
    </row>
    <row r="2932">
      <c r="A2932" s="3" t="n">
        <v>2022</v>
      </c>
      <c r="B2932" s="4" t="n">
        <v>54620</v>
      </c>
      <c r="C2932" s="4" t="n">
        <v>349</v>
      </c>
      <c r="D2932" s="4" t="n">
        <v>105.5725</v>
      </c>
      <c r="E2932" s="5" t="n">
        <v>517.4</v>
      </c>
      <c r="F2932" s="3" t="inlineStr">
        <is>
          <t>현도면</t>
        </is>
      </c>
      <c r="G2932" s="3" t="inlineStr">
        <is>
          <t>선동리</t>
        </is>
      </c>
      <c r="H2932" s="3" t="inlineStr">
        <is>
          <t>용도미지정</t>
        </is>
      </c>
      <c r="I2932" s="3" t="inlineStr">
        <is>
          <t>대</t>
        </is>
      </c>
      <c r="J2932" s="3" t="inlineStr">
        <is>
          <t>현도면</t>
        </is>
      </c>
    </row>
    <row r="2933">
      <c r="A2933" s="3" t="n">
        <v>2022</v>
      </c>
      <c r="B2933" s="4" t="n">
        <v>24000</v>
      </c>
      <c r="C2933" s="4" t="n">
        <v>1983</v>
      </c>
      <c r="D2933" s="4" t="n">
        <v>599.8575</v>
      </c>
      <c r="E2933" s="5" t="n">
        <v>40</v>
      </c>
      <c r="F2933" s="3" t="inlineStr">
        <is>
          <t>현도면</t>
        </is>
      </c>
      <c r="G2933" s="3" t="inlineStr">
        <is>
          <t>중척리</t>
        </is>
      </c>
      <c r="H2933" s="3" t="inlineStr">
        <is>
          <t>개발제한구역</t>
        </is>
      </c>
      <c r="I2933" s="3" t="inlineStr">
        <is>
          <t>전</t>
        </is>
      </c>
      <c r="J2933" s="3" t="inlineStr">
        <is>
          <t>현도면</t>
        </is>
      </c>
    </row>
    <row r="2934">
      <c r="A2934" s="3" t="n">
        <v>2022</v>
      </c>
      <c r="B2934" s="4" t="n">
        <v>1400</v>
      </c>
      <c r="C2934" s="4" t="n">
        <v>304</v>
      </c>
      <c r="D2934" s="4" t="n">
        <v>91.95999999999999</v>
      </c>
      <c r="E2934" s="5" t="n">
        <v>15.2</v>
      </c>
      <c r="F2934" s="3" t="inlineStr">
        <is>
          <t>남이면</t>
        </is>
      </c>
      <c r="G2934" s="3" t="inlineStr">
        <is>
          <t>부용외천리</t>
        </is>
      </c>
      <c r="H2934" s="3" t="inlineStr">
        <is>
          <t>생산관리지역</t>
        </is>
      </c>
      <c r="I2934" s="3" t="inlineStr">
        <is>
          <t>전</t>
        </is>
      </c>
      <c r="J2934" s="3" t="inlineStr">
        <is>
          <t>남이면</t>
        </is>
      </c>
    </row>
    <row r="2935">
      <c r="A2935" s="3" t="n">
        <v>2026</v>
      </c>
      <c r="B2935" s="4" t="n">
        <v>10500</v>
      </c>
      <c r="C2935" s="4" t="n">
        <v>579</v>
      </c>
      <c r="D2935" s="4" t="n">
        <v>175.1475</v>
      </c>
      <c r="E2935" s="5" t="n">
        <v>59.9</v>
      </c>
      <c r="F2935" s="3" t="inlineStr">
        <is>
          <t>현도면</t>
        </is>
      </c>
      <c r="G2935" s="3" t="inlineStr">
        <is>
          <t>중삼리</t>
        </is>
      </c>
      <c r="H2935" s="3" t="inlineStr">
        <is>
          <t>계획관리지역</t>
        </is>
      </c>
      <c r="I2935" s="3" t="inlineStr">
        <is>
          <t>답</t>
        </is>
      </c>
      <c r="J2935" s="3" t="inlineStr">
        <is>
          <t>현도면</t>
        </is>
      </c>
    </row>
    <row r="2936">
      <c r="A2936" s="3" t="n">
        <v>2026</v>
      </c>
      <c r="B2936" s="4" t="n">
        <v>70000</v>
      </c>
      <c r="C2936" s="4" t="n">
        <v>2288</v>
      </c>
      <c r="D2936" s="4" t="n">
        <v>692.12</v>
      </c>
      <c r="E2936" s="5" t="n">
        <v>101.1</v>
      </c>
      <c r="F2936" s="3" t="inlineStr">
        <is>
          <t>현도면</t>
        </is>
      </c>
      <c r="G2936" s="3" t="inlineStr">
        <is>
          <t>중삼리</t>
        </is>
      </c>
      <c r="H2936" s="3" t="inlineStr">
        <is>
          <t>계획관리지역</t>
        </is>
      </c>
      <c r="I2936" s="3" t="inlineStr">
        <is>
          <t>답</t>
        </is>
      </c>
      <c r="J2936" s="3" t="inlineStr">
        <is>
          <t>현도면</t>
        </is>
      </c>
    </row>
    <row r="2937">
      <c r="A2937" s="3" t="n">
        <v>2026</v>
      </c>
      <c r="B2937" s="4" t="n">
        <v>19000</v>
      </c>
      <c r="C2937" s="4" t="n">
        <v>797</v>
      </c>
      <c r="D2937" s="4" t="n">
        <v>241.0925</v>
      </c>
      <c r="E2937" s="5" t="n">
        <v>78.8</v>
      </c>
      <c r="F2937" s="3" t="inlineStr">
        <is>
          <t>현도면</t>
        </is>
      </c>
      <c r="G2937" s="3" t="inlineStr">
        <is>
          <t>중삼리</t>
        </is>
      </c>
      <c r="H2937" s="3" t="inlineStr">
        <is>
          <t>계획관리지역</t>
        </is>
      </c>
      <c r="I2937" s="3" t="inlineStr">
        <is>
          <t>임야</t>
        </is>
      </c>
      <c r="J2937" s="3" t="inlineStr">
        <is>
          <t>현도면</t>
        </is>
      </c>
    </row>
    <row r="2938">
      <c r="A2938" s="3" t="n">
        <v>2026</v>
      </c>
      <c r="B2938" s="4" t="n">
        <v>1500</v>
      </c>
      <c r="C2938" s="4" t="n">
        <v>79</v>
      </c>
      <c r="D2938" s="4" t="n">
        <v>23.8975</v>
      </c>
      <c r="E2938" s="5" t="n">
        <v>62.8</v>
      </c>
      <c r="F2938" s="3" t="inlineStr">
        <is>
          <t>남이면</t>
        </is>
      </c>
      <c r="G2938" s="3" t="inlineStr">
        <is>
          <t>외천리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2026</v>
      </c>
      <c r="B2939" s="4" t="n">
        <v>4500</v>
      </c>
      <c r="C2939" s="4" t="n">
        <v>333</v>
      </c>
      <c r="D2939" s="4" t="n">
        <v>100.7325</v>
      </c>
      <c r="E2939" s="5" t="n">
        <v>44.7</v>
      </c>
      <c r="F2939" s="3" t="inlineStr">
        <is>
          <t>남이면</t>
        </is>
      </c>
      <c r="G2939" s="3" t="inlineStr">
        <is>
          <t>양촌리</t>
        </is>
      </c>
      <c r="H2939" s="3" t="inlineStr">
        <is>
          <t>자연녹지지역</t>
        </is>
      </c>
      <c r="I2939" s="3" t="inlineStr">
        <is>
          <t>대</t>
        </is>
      </c>
      <c r="J2939" s="3" t="inlineStr">
        <is>
          <t>남이면</t>
        </is>
      </c>
    </row>
    <row r="2940">
      <c r="A2940" s="3" t="n">
        <v>2026</v>
      </c>
      <c r="B2940" s="4" t="n">
        <v>26955</v>
      </c>
      <c r="C2940" s="4" t="n">
        <v>2311.7</v>
      </c>
      <c r="D2940" s="4" t="n">
        <v>699.2892499999999</v>
      </c>
      <c r="E2940" s="5" t="n">
        <v>38.5</v>
      </c>
      <c r="F2940" s="3" t="inlineStr">
        <is>
          <t>남이면</t>
        </is>
      </c>
      <c r="G2940" s="3" t="inlineStr">
        <is>
          <t>대련리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3545</v>
      </c>
      <c r="C2941" s="4" t="n">
        <v>304</v>
      </c>
      <c r="D2941" s="4" t="n">
        <v>91.95999999999999</v>
      </c>
      <c r="E2941" s="5" t="n">
        <v>38.5</v>
      </c>
      <c r="F2941" s="3" t="inlineStr">
        <is>
          <t>남이면</t>
        </is>
      </c>
      <c r="G2941" s="3" t="inlineStr">
        <is>
          <t>대련리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2006</v>
      </c>
      <c r="C2942" s="4" t="n">
        <v>96</v>
      </c>
      <c r="D2942" s="4" t="n">
        <v>29.04</v>
      </c>
      <c r="E2942" s="5" t="n">
        <v>69.09999999999999</v>
      </c>
      <c r="F2942" s="3" t="inlineStr">
        <is>
          <t>전동면</t>
        </is>
      </c>
      <c r="G2942" s="3" t="inlineStr">
        <is>
          <t>송성리</t>
        </is>
      </c>
      <c r="H2942" s="3" t="inlineStr">
        <is>
          <t>계획관리지역</t>
        </is>
      </c>
      <c r="I2942" s="3" t="inlineStr">
        <is>
          <t>답</t>
        </is>
      </c>
      <c r="J2942" s="3" t="inlineStr">
        <is>
          <t>전동면</t>
        </is>
      </c>
    </row>
    <row r="2943">
      <c r="A2943" s="3" t="n">
        <v>2024</v>
      </c>
      <c r="B2943" s="4" t="n">
        <v>16000</v>
      </c>
      <c r="C2943" s="4" t="n">
        <v>554</v>
      </c>
      <c r="D2943" s="4" t="n">
        <v>167.585</v>
      </c>
      <c r="E2943" s="5" t="n">
        <v>95.5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전</t>
        </is>
      </c>
      <c r="J2943" s="3" t="inlineStr">
        <is>
          <t>부강면</t>
        </is>
      </c>
    </row>
    <row r="2944">
      <c r="A2944" s="3" t="n">
        <v>2024</v>
      </c>
      <c r="B2944" s="4" t="n">
        <v>8500</v>
      </c>
      <c r="C2944" s="4" t="n">
        <v>292</v>
      </c>
      <c r="D2944" s="4" t="n">
        <v>88.33</v>
      </c>
      <c r="E2944" s="5" t="n">
        <v>96.2</v>
      </c>
      <c r="F2944" s="3" t="inlineStr">
        <is>
          <t>연서면</t>
        </is>
      </c>
      <c r="G2944" s="3" t="inlineStr">
        <is>
          <t>쌍류리</t>
        </is>
      </c>
      <c r="H2944" s="3" t="inlineStr">
        <is>
          <t>생산관리지역</t>
        </is>
      </c>
      <c r="I2944" s="3" t="inlineStr">
        <is>
          <t>임야</t>
        </is>
      </c>
      <c r="J2944" s="3" t="inlineStr">
        <is>
          <t>연서면</t>
        </is>
      </c>
    </row>
    <row r="2945">
      <c r="A2945" s="3" t="n">
        <v>2025</v>
      </c>
      <c r="B2945" s="4" t="n">
        <v>31700</v>
      </c>
      <c r="C2945" s="4" t="n">
        <v>440</v>
      </c>
      <c r="D2945" s="4" t="n">
        <v>133.1</v>
      </c>
      <c r="E2945" s="5" t="n">
        <v>238.2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조치원읍</t>
        </is>
      </c>
    </row>
    <row r="2946">
      <c r="A2946" s="3" t="n">
        <v>2025</v>
      </c>
      <c r="B2946" s="4" t="n">
        <v>56780</v>
      </c>
      <c r="C2946" s="4" t="n">
        <v>1105</v>
      </c>
      <c r="D2946" s="4" t="n">
        <v>334.2625</v>
      </c>
      <c r="E2946" s="5" t="n">
        <v>169.9</v>
      </c>
      <c r="F2946" s="3" t="inlineStr">
        <is>
          <t>부강면</t>
        </is>
      </c>
      <c r="G2946" s="3" t="inlineStr">
        <is>
          <t>행산리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부강면</t>
        </is>
      </c>
    </row>
    <row r="2947">
      <c r="A2947" s="3" t="n">
        <v>2025</v>
      </c>
      <c r="B2947" s="4" t="n">
        <v>1902</v>
      </c>
      <c r="C2947" s="4" t="n">
        <v>58</v>
      </c>
      <c r="D2947" s="4" t="n">
        <v>17.545</v>
      </c>
      <c r="E2947" s="5" t="n">
        <v>108.4</v>
      </c>
      <c r="F2947" s="3" t="inlineStr">
        <is>
          <t>부강면</t>
        </is>
      </c>
      <c r="G2947" s="3" t="inlineStr">
        <is>
          <t>부강리</t>
        </is>
      </c>
      <c r="H2947" s="3" t="inlineStr">
        <is>
          <t>제2종일반주거지역</t>
        </is>
      </c>
      <c r="I2947" s="3" t="inlineStr">
        <is>
          <t>대</t>
        </is>
      </c>
      <c r="J2947" s="3" t="inlineStr">
        <is>
          <t>부강면</t>
        </is>
      </c>
    </row>
    <row r="2948">
      <c r="A2948" s="3" t="n">
        <v>2025</v>
      </c>
      <c r="B2948" s="4" t="n">
        <v>33</v>
      </c>
      <c r="C2948" s="4" t="n">
        <v>1</v>
      </c>
      <c r="D2948" s="4" t="n">
        <v>0.3025</v>
      </c>
      <c r="E2948" s="5" t="n">
        <v>109.1</v>
      </c>
      <c r="F2948" s="3" t="inlineStr">
        <is>
          <t>부강면</t>
        </is>
      </c>
      <c r="G2948" s="3" t="inlineStr">
        <is>
          <t>부강리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부강면</t>
        </is>
      </c>
    </row>
    <row r="2949">
      <c r="A2949" s="3" t="n">
        <v>2025</v>
      </c>
      <c r="B2949" s="4" t="n">
        <v>33</v>
      </c>
      <c r="C2949" s="4" t="n">
        <v>1</v>
      </c>
      <c r="D2949" s="4" t="n">
        <v>0.3025</v>
      </c>
      <c r="E2949" s="5" t="n">
        <v>109.1</v>
      </c>
      <c r="F2949" s="3" t="inlineStr">
        <is>
          <t>부강면</t>
        </is>
      </c>
      <c r="G2949" s="3" t="inlineStr">
        <is>
          <t>부강리</t>
        </is>
      </c>
      <c r="H2949" s="3" t="inlineStr">
        <is>
          <t>제2종일반주거지역</t>
        </is>
      </c>
      <c r="I2949" s="3" t="inlineStr">
        <is>
          <t>대</t>
        </is>
      </c>
      <c r="J2949" s="3" t="inlineStr">
        <is>
          <t>부강면</t>
        </is>
      </c>
    </row>
    <row r="2950">
      <c r="A2950" s="3" t="n">
        <v>2025</v>
      </c>
      <c r="B2950" s="4" t="n">
        <v>33</v>
      </c>
      <c r="C2950" s="4" t="n">
        <v>1</v>
      </c>
      <c r="D2950" s="4" t="n">
        <v>0.3025</v>
      </c>
      <c r="E2950" s="5" t="n">
        <v>109.1</v>
      </c>
      <c r="F2950" s="3" t="inlineStr">
        <is>
          <t>부강면</t>
        </is>
      </c>
      <c r="G2950" s="3" t="inlineStr">
        <is>
          <t>부강리</t>
        </is>
      </c>
      <c r="H2950" s="3" t="inlineStr">
        <is>
          <t>제2종일반주거지역</t>
        </is>
      </c>
      <c r="I2950" s="3" t="inlineStr">
        <is>
          <t>대</t>
        </is>
      </c>
      <c r="J2950" s="3" t="inlineStr">
        <is>
          <t>부강면</t>
        </is>
      </c>
    </row>
    <row r="2951">
      <c r="A2951" s="3" t="n">
        <v>2025</v>
      </c>
      <c r="B2951" s="4" t="n">
        <v>2230</v>
      </c>
      <c r="C2951" s="4" t="n">
        <v>68</v>
      </c>
      <c r="D2951" s="4" t="n">
        <v>20.57</v>
      </c>
      <c r="E2951" s="5" t="n">
        <v>108.4</v>
      </c>
      <c r="F2951" s="3" t="inlineStr">
        <is>
          <t>부강면</t>
        </is>
      </c>
      <c r="G2951" s="3" t="inlineStr">
        <is>
          <t>부강리</t>
        </is>
      </c>
      <c r="H2951" s="3" t="inlineStr">
        <is>
          <t>제2종일반주거지역</t>
        </is>
      </c>
      <c r="I2951" s="3" t="inlineStr">
        <is>
          <t>대</t>
        </is>
      </c>
      <c r="J2951" s="3" t="inlineStr">
        <is>
          <t>부강면</t>
        </is>
      </c>
    </row>
    <row r="2952">
      <c r="A2952" s="3" t="n">
        <v>2025</v>
      </c>
      <c r="B2952" s="4" t="n">
        <v>33</v>
      </c>
      <c r="C2952" s="4" t="n">
        <v>1</v>
      </c>
      <c r="D2952" s="4" t="n">
        <v>0.3025</v>
      </c>
      <c r="E2952" s="5" t="n">
        <v>109.1</v>
      </c>
      <c r="F2952" s="3" t="inlineStr">
        <is>
          <t>부강면</t>
        </is>
      </c>
      <c r="G2952" s="3" t="inlineStr">
        <is>
          <t>부강리</t>
        </is>
      </c>
      <c r="H2952" s="3" t="inlineStr">
        <is>
          <t>제2종일반주거지역</t>
        </is>
      </c>
      <c r="I2952" s="3" t="inlineStr">
        <is>
          <t>대</t>
        </is>
      </c>
      <c r="J2952" s="3" t="inlineStr">
        <is>
          <t>부강면</t>
        </is>
      </c>
    </row>
    <row r="2953">
      <c r="A2953" s="3" t="n">
        <v>2025</v>
      </c>
      <c r="B2953" s="4" t="n">
        <v>33</v>
      </c>
      <c r="C2953" s="4" t="n">
        <v>1</v>
      </c>
      <c r="D2953" s="4" t="n">
        <v>0.3025</v>
      </c>
      <c r="E2953" s="5" t="n">
        <v>109.1</v>
      </c>
      <c r="F2953" s="3" t="inlineStr">
        <is>
          <t>부강면</t>
        </is>
      </c>
      <c r="G2953" s="3" t="inlineStr">
        <is>
          <t>부강리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부강면</t>
        </is>
      </c>
    </row>
    <row r="2954">
      <c r="A2954" s="3" t="n">
        <v>2025</v>
      </c>
      <c r="B2954" s="4" t="n">
        <v>820</v>
      </c>
      <c r="C2954" s="4" t="n">
        <v>25</v>
      </c>
      <c r="D2954" s="4" t="n">
        <v>7.5625</v>
      </c>
      <c r="E2954" s="5" t="n">
        <v>108.4</v>
      </c>
      <c r="F2954" s="3" t="inlineStr">
        <is>
          <t>부강면</t>
        </is>
      </c>
      <c r="G2954" s="3" t="inlineStr">
        <is>
          <t>부강리</t>
        </is>
      </c>
      <c r="H2954" s="3" t="inlineStr">
        <is>
          <t>제2종일반주거지역</t>
        </is>
      </c>
      <c r="I2954" s="3" t="inlineStr">
        <is>
          <t>대</t>
        </is>
      </c>
      <c r="J2954" s="3" t="inlineStr">
        <is>
          <t>부강면</t>
        </is>
      </c>
    </row>
    <row r="2955">
      <c r="A2955" s="3" t="n">
        <v>2025</v>
      </c>
      <c r="B2955" s="4" t="n">
        <v>33</v>
      </c>
      <c r="C2955" s="4" t="n">
        <v>1</v>
      </c>
      <c r="D2955" s="4" t="n">
        <v>0.3025</v>
      </c>
      <c r="E2955" s="5" t="n">
        <v>109.1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대</t>
        </is>
      </c>
      <c r="J2955" s="3" t="inlineStr">
        <is>
          <t>부강면</t>
        </is>
      </c>
    </row>
    <row r="2956">
      <c r="A2956" s="3" t="n">
        <v>2025</v>
      </c>
      <c r="B2956" s="4" t="n">
        <v>33</v>
      </c>
      <c r="C2956" s="4" t="n">
        <v>1</v>
      </c>
      <c r="D2956" s="4" t="n">
        <v>0.3025</v>
      </c>
      <c r="E2956" s="5" t="n">
        <v>109.1</v>
      </c>
      <c r="F2956" s="3" t="inlineStr">
        <is>
          <t>부강면</t>
        </is>
      </c>
      <c r="G2956" s="3" t="inlineStr">
        <is>
          <t>부강리</t>
        </is>
      </c>
      <c r="H2956" s="3" t="inlineStr">
        <is>
          <t>제2종일반주거지역</t>
        </is>
      </c>
      <c r="I2956" s="3" t="inlineStr">
        <is>
          <t>대</t>
        </is>
      </c>
      <c r="J2956" s="3" t="inlineStr">
        <is>
          <t>부강면</t>
        </is>
      </c>
    </row>
    <row r="2957">
      <c r="A2957" s="3" t="n">
        <v>2025</v>
      </c>
      <c r="B2957" s="4" t="n">
        <v>33</v>
      </c>
      <c r="C2957" s="4" t="n">
        <v>1</v>
      </c>
      <c r="D2957" s="4" t="n">
        <v>0.3025</v>
      </c>
      <c r="E2957" s="5" t="n">
        <v>109.1</v>
      </c>
      <c r="F2957" s="3" t="inlineStr">
        <is>
          <t>부강면</t>
        </is>
      </c>
      <c r="G2957" s="3" t="inlineStr">
        <is>
          <t>부강리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부강면</t>
        </is>
      </c>
    </row>
    <row r="2958">
      <c r="A2958" s="3" t="n">
        <v>2024</v>
      </c>
      <c r="B2958" s="4" t="n">
        <v>1599</v>
      </c>
      <c r="C2958" s="4" t="n">
        <v>211</v>
      </c>
      <c r="D2958" s="4" t="n">
        <v>63.8275</v>
      </c>
      <c r="E2958" s="5" t="n">
        <v>25.1</v>
      </c>
      <c r="F2958" s="3" t="inlineStr">
        <is>
          <t>현도면</t>
        </is>
      </c>
      <c r="G2958" s="3" t="inlineStr">
        <is>
          <t>시목리</t>
        </is>
      </c>
      <c r="H2958" s="3" t="inlineStr">
        <is>
          <t>개발제한구역</t>
        </is>
      </c>
      <c r="I2958" s="3" t="inlineStr">
        <is>
          <t>묘지</t>
        </is>
      </c>
      <c r="J2958" s="3" t="inlineStr">
        <is>
          <t>현도면</t>
        </is>
      </c>
    </row>
    <row r="2959">
      <c r="A2959" s="3" t="n">
        <v>2024</v>
      </c>
      <c r="B2959" s="4" t="n">
        <v>21400</v>
      </c>
      <c r="C2959" s="4" t="n">
        <v>1772</v>
      </c>
      <c r="D2959" s="4" t="n">
        <v>536.03</v>
      </c>
      <c r="E2959" s="5" t="n">
        <v>39.9</v>
      </c>
      <c r="F2959" s="3" t="inlineStr">
        <is>
          <t>현도면</t>
        </is>
      </c>
      <c r="G2959" s="3" t="inlineStr">
        <is>
          <t>죽전리</t>
        </is>
      </c>
      <c r="H2959" s="3" t="inlineStr">
        <is>
          <t>농림지역</t>
        </is>
      </c>
      <c r="I2959" s="3" t="inlineStr">
        <is>
          <t>답</t>
        </is>
      </c>
      <c r="J2959" s="3" t="inlineStr">
        <is>
          <t>현도면</t>
        </is>
      </c>
    </row>
    <row r="2960">
      <c r="A2960" s="3" t="n">
        <v>2024</v>
      </c>
      <c r="B2960" s="4" t="n">
        <v>9500</v>
      </c>
      <c r="C2960" s="4" t="n">
        <v>2179</v>
      </c>
      <c r="D2960" s="4" t="n">
        <v>659.1475</v>
      </c>
      <c r="E2960" s="5" t="n">
        <v>14.4</v>
      </c>
      <c r="F2960" s="3" t="inlineStr">
        <is>
          <t>현도면</t>
        </is>
      </c>
      <c r="G2960" s="3" t="inlineStr">
        <is>
          <t>중척리</t>
        </is>
      </c>
      <c r="H2960" s="3" t="inlineStr">
        <is>
          <t>개발제한구역</t>
        </is>
      </c>
      <c r="I2960" s="3" t="inlineStr">
        <is>
          <t>전</t>
        </is>
      </c>
      <c r="J2960" s="3" t="inlineStr">
        <is>
          <t>현도면</t>
        </is>
      </c>
    </row>
    <row r="2961">
      <c r="A2961" s="3" t="n">
        <v>2024</v>
      </c>
      <c r="B2961" s="4" t="n">
        <v>2800</v>
      </c>
      <c r="C2961" s="4" t="n">
        <v>192</v>
      </c>
      <c r="D2961" s="4" t="n">
        <v>58.08</v>
      </c>
      <c r="E2961" s="5" t="n">
        <v>48.2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대</t>
        </is>
      </c>
      <c r="J2961" s="3" t="inlineStr">
        <is>
          <t>남이면</t>
        </is>
      </c>
    </row>
    <row r="2962">
      <c r="A2962" s="3" t="n">
        <v>2024</v>
      </c>
      <c r="B2962" s="4" t="n">
        <v>2200</v>
      </c>
      <c r="C2962" s="4" t="n">
        <v>148</v>
      </c>
      <c r="D2962" s="4" t="n">
        <v>44.77</v>
      </c>
      <c r="E2962" s="5" t="n">
        <v>49.1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2800</v>
      </c>
      <c r="C2963" s="4" t="n">
        <v>154</v>
      </c>
      <c r="D2963" s="4" t="n">
        <v>46.585</v>
      </c>
      <c r="E2963" s="5" t="n">
        <v>60.1</v>
      </c>
      <c r="F2963" s="3" t="inlineStr">
        <is>
          <t>현도면</t>
        </is>
      </c>
      <c r="G2963" s="3" t="inlineStr">
        <is>
          <t>시동리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현도면</t>
        </is>
      </c>
    </row>
    <row r="2964">
      <c r="A2964" s="3" t="n">
        <v>2024</v>
      </c>
      <c r="B2964" s="4" t="n">
        <v>67120</v>
      </c>
      <c r="C2964" s="4" t="n">
        <v>2775</v>
      </c>
      <c r="D2964" s="4" t="n">
        <v>839.4375</v>
      </c>
      <c r="E2964" s="5" t="n">
        <v>80</v>
      </c>
      <c r="F2964" s="3" t="inlineStr">
        <is>
          <t>현도면</t>
        </is>
      </c>
      <c r="G2964" s="3" t="inlineStr">
        <is>
          <t>상삼리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현도면</t>
        </is>
      </c>
    </row>
    <row r="2965">
      <c r="A2965" s="3" t="n">
        <v>2024</v>
      </c>
      <c r="B2965" s="4" t="n">
        <v>44640</v>
      </c>
      <c r="C2965" s="4" t="n">
        <v>1845</v>
      </c>
      <c r="D2965" s="4" t="n">
        <v>558.1125</v>
      </c>
      <c r="E2965" s="5" t="n">
        <v>80</v>
      </c>
      <c r="F2965" s="3" t="inlineStr">
        <is>
          <t>현도면</t>
        </is>
      </c>
      <c r="G2965" s="3" t="inlineStr">
        <is>
          <t>상삼리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현도면</t>
        </is>
      </c>
    </row>
    <row r="2966">
      <c r="A2966" s="3" t="n">
        <v>2024</v>
      </c>
      <c r="B2966" s="4" t="n">
        <v>4500</v>
      </c>
      <c r="C2966" s="4" t="n">
        <v>1909.5</v>
      </c>
      <c r="D2966" s="4" t="n">
        <v>577.62375</v>
      </c>
      <c r="E2966" s="5" t="n">
        <v>7.8</v>
      </c>
      <c r="F2966" s="3" t="inlineStr">
        <is>
          <t>남이면</t>
        </is>
      </c>
      <c r="G2966" s="3" t="inlineStr">
        <is>
          <t>구미리</t>
        </is>
      </c>
      <c r="H2966" s="3" t="inlineStr">
        <is>
          <t>계획관리지역</t>
        </is>
      </c>
      <c r="I2966" s="3" t="inlineStr">
        <is>
          <t>임야</t>
        </is>
      </c>
      <c r="J2966" s="3" t="inlineStr">
        <is>
          <t>남이면</t>
        </is>
      </c>
    </row>
    <row r="2967">
      <c r="A2967" s="3" t="n">
        <v>2024</v>
      </c>
      <c r="B2967" s="4" t="n">
        <v>850</v>
      </c>
      <c r="C2967" s="4" t="n">
        <v>103</v>
      </c>
      <c r="D2967" s="4" t="n">
        <v>31.1575</v>
      </c>
      <c r="E2967" s="5" t="n">
        <v>27.3</v>
      </c>
      <c r="F2967" s="3" t="inlineStr">
        <is>
          <t>현도면</t>
        </is>
      </c>
      <c r="G2967" s="3" t="inlineStr">
        <is>
          <t>죽암리</t>
        </is>
      </c>
      <c r="H2967" s="3" t="inlineStr">
        <is>
          <t>계획관리지역</t>
        </is>
      </c>
      <c r="I2967" s="3" t="inlineStr">
        <is>
          <t>임야</t>
        </is>
      </c>
      <c r="J2967" s="3" t="inlineStr">
        <is>
          <t>현도면</t>
        </is>
      </c>
    </row>
    <row r="2968">
      <c r="A2968" s="3" t="n">
        <v>2024</v>
      </c>
      <c r="B2968" s="4" t="n">
        <v>4250</v>
      </c>
      <c r="C2968" s="4" t="n">
        <v>285</v>
      </c>
      <c r="D2968" s="4" t="n">
        <v>86.21249999999999</v>
      </c>
      <c r="E2968" s="5" t="n">
        <v>49.3</v>
      </c>
      <c r="F2968" s="3" t="inlineStr">
        <is>
          <t>현도면</t>
        </is>
      </c>
      <c r="G2968" s="3" t="inlineStr">
        <is>
          <t>죽암리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현도면</t>
        </is>
      </c>
    </row>
    <row r="2969">
      <c r="A2969" s="3" t="n">
        <v>2024</v>
      </c>
      <c r="B2969" s="4" t="n">
        <v>7900</v>
      </c>
      <c r="C2969" s="4" t="n">
        <v>513</v>
      </c>
      <c r="D2969" s="4" t="n">
        <v>155.1825</v>
      </c>
      <c r="E2969" s="5" t="n">
        <v>50.9</v>
      </c>
      <c r="F2969" s="3" t="inlineStr">
        <is>
          <t>현도면</t>
        </is>
      </c>
      <c r="G2969" s="3" t="inlineStr">
        <is>
          <t>죽암리</t>
        </is>
      </c>
      <c r="H2969" s="3" t="inlineStr">
        <is>
          <t>계획관리지역</t>
        </is>
      </c>
      <c r="I2969" s="3" t="inlineStr">
        <is>
          <t>전</t>
        </is>
      </c>
      <c r="J2969" s="3" t="inlineStr">
        <is>
          <t>현도면</t>
        </is>
      </c>
    </row>
    <row r="2970">
      <c r="A2970" s="3" t="n">
        <v>2024</v>
      </c>
      <c r="B2970" s="4" t="n">
        <v>950</v>
      </c>
      <c r="C2970" s="4" t="n">
        <v>38</v>
      </c>
      <c r="D2970" s="4" t="n">
        <v>11.495</v>
      </c>
      <c r="E2970" s="5" t="n">
        <v>82.59999999999999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2024</v>
      </c>
      <c r="B2971" s="4" t="n">
        <v>50</v>
      </c>
      <c r="C2971" s="4" t="n">
        <v>2</v>
      </c>
      <c r="D2971" s="4" t="n">
        <v>0.605</v>
      </c>
      <c r="E2971" s="5" t="n">
        <v>82.59999999999999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자연녹지지역</t>
        </is>
      </c>
      <c r="I2971" s="3" t="inlineStr">
        <is>
          <t>전</t>
        </is>
      </c>
      <c r="J2971" s="3" t="inlineStr">
        <is>
          <t>남이면</t>
        </is>
      </c>
    </row>
    <row r="2972">
      <c r="A2972" s="3" t="n">
        <v>2024</v>
      </c>
      <c r="B2972" s="4" t="n">
        <v>45010</v>
      </c>
      <c r="C2972" s="4" t="n">
        <v>2262</v>
      </c>
      <c r="D2972" s="4" t="n">
        <v>684.255</v>
      </c>
      <c r="E2972" s="5" t="n">
        <v>65.8</v>
      </c>
      <c r="F2972" s="3" t="inlineStr">
        <is>
          <t>남이면</t>
        </is>
      </c>
      <c r="G2972" s="3" t="inlineStr">
        <is>
          <t>구미리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2024</v>
      </c>
      <c r="B2973" s="4" t="n">
        <v>4600</v>
      </c>
      <c r="C2973" s="4" t="n">
        <v>140</v>
      </c>
      <c r="D2973" s="4" t="n">
        <v>42.35</v>
      </c>
      <c r="E2973" s="5" t="n">
        <v>108.6</v>
      </c>
      <c r="F2973" s="3" t="inlineStr">
        <is>
          <t>남이면</t>
        </is>
      </c>
      <c r="G2973" s="3" t="inlineStr">
        <is>
          <t>구미리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남이면</t>
        </is>
      </c>
    </row>
    <row r="2974">
      <c r="A2974" s="3" t="n">
        <v>2024</v>
      </c>
      <c r="B2974" s="4" t="n">
        <v>40</v>
      </c>
      <c r="C2974" s="4" t="n">
        <v>2</v>
      </c>
      <c r="D2974" s="4" t="n">
        <v>0.605</v>
      </c>
      <c r="E2974" s="5" t="n">
        <v>66.09999999999999</v>
      </c>
      <c r="F2974" s="3" t="inlineStr">
        <is>
          <t>남이면</t>
        </is>
      </c>
      <c r="G2974" s="3" t="inlineStr">
        <is>
          <t>양촌리</t>
        </is>
      </c>
      <c r="H2974" s="3" t="inlineStr">
        <is>
          <t>보전녹지지역</t>
        </is>
      </c>
      <c r="I2974" s="3" t="inlineStr">
        <is>
          <t>도로</t>
        </is>
      </c>
      <c r="J2974" s="3" t="inlineStr">
        <is>
          <t>남이면</t>
        </is>
      </c>
    </row>
    <row r="2975">
      <c r="A2975" s="3" t="n">
        <v>2024</v>
      </c>
      <c r="B2975" s="4" t="n">
        <v>3600</v>
      </c>
      <c r="C2975" s="4" t="n">
        <v>2479</v>
      </c>
      <c r="D2975" s="4" t="n">
        <v>749.8974999999999</v>
      </c>
      <c r="E2975" s="5" t="n">
        <v>4.8</v>
      </c>
      <c r="F2975" s="3" t="inlineStr">
        <is>
          <t>남이면</t>
        </is>
      </c>
      <c r="G2975" s="3" t="inlineStr">
        <is>
          <t>양촌리</t>
        </is>
      </c>
      <c r="H2975" s="3" t="inlineStr">
        <is>
          <t>보전녹지지역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2024</v>
      </c>
      <c r="B2976" s="4" t="n">
        <v>12500</v>
      </c>
      <c r="C2976" s="4" t="n">
        <v>2083.2</v>
      </c>
      <c r="D2976" s="4" t="n">
        <v>630.1679999999999</v>
      </c>
      <c r="E2976" s="5" t="n">
        <v>19.8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답</t>
        </is>
      </c>
      <c r="J2976" s="3" t="inlineStr">
        <is>
          <t>현도면</t>
        </is>
      </c>
    </row>
    <row r="2977">
      <c r="A2977" s="3" t="n">
        <v>2024</v>
      </c>
      <c r="B2977" s="4" t="n">
        <v>24850</v>
      </c>
      <c r="C2977" s="4" t="n">
        <v>1623</v>
      </c>
      <c r="D2977" s="4" t="n">
        <v>490.9575</v>
      </c>
      <c r="E2977" s="5" t="n">
        <v>50.6</v>
      </c>
      <c r="F2977" s="3" t="inlineStr">
        <is>
          <t>남이면</t>
        </is>
      </c>
      <c r="G2977" s="3" t="inlineStr">
        <is>
          <t>구미리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남이면</t>
        </is>
      </c>
    </row>
    <row r="2978">
      <c r="A2978" s="3" t="n">
        <v>2025</v>
      </c>
      <c r="B2978" s="4" t="n">
        <v>500</v>
      </c>
      <c r="C2978" s="4" t="n">
        <v>10</v>
      </c>
      <c r="D2978" s="4" t="n">
        <v>3.025</v>
      </c>
      <c r="E2978" s="5" t="n">
        <v>165.3</v>
      </c>
      <c r="F2978" s="3" t="inlineStr">
        <is>
          <t>오송읍</t>
        </is>
      </c>
      <c r="G2978" s="3" t="inlineStr">
        <is>
          <t>봉산리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오송읍</t>
        </is>
      </c>
    </row>
    <row r="2979">
      <c r="A2979" s="3" t="n">
        <v>2024</v>
      </c>
      <c r="B2979" s="4" t="n">
        <v>16730</v>
      </c>
      <c r="C2979" s="4" t="n">
        <v>641</v>
      </c>
      <c r="D2979" s="4" t="n">
        <v>193.9025</v>
      </c>
      <c r="E2979" s="5" t="n">
        <v>86.3</v>
      </c>
      <c r="F2979" s="3" t="inlineStr">
        <is>
          <t>금남면</t>
        </is>
      </c>
      <c r="G2979" s="3" t="inlineStr">
        <is>
          <t>두만리</t>
        </is>
      </c>
      <c r="H2979" s="3" t="inlineStr">
        <is>
          <t>농림지역</t>
        </is>
      </c>
      <c r="I2979" s="3" t="inlineStr">
        <is>
          <t>전</t>
        </is>
      </c>
      <c r="J2979" s="3" t="inlineStr">
        <is>
          <t>금남면</t>
        </is>
      </c>
    </row>
    <row r="2980">
      <c r="A2980" s="3" t="n">
        <v>2024</v>
      </c>
      <c r="B2980" s="4" t="n">
        <v>2923</v>
      </c>
      <c r="C2980" s="4" t="n">
        <v>112</v>
      </c>
      <c r="D2980" s="4" t="n">
        <v>33.88</v>
      </c>
      <c r="E2980" s="5" t="n">
        <v>86.3</v>
      </c>
      <c r="F2980" s="3" t="inlineStr">
        <is>
          <t>금남면</t>
        </is>
      </c>
      <c r="G2980" s="3" t="inlineStr">
        <is>
          <t>두만리</t>
        </is>
      </c>
      <c r="H2980" s="3" t="inlineStr">
        <is>
          <t>농림지역</t>
        </is>
      </c>
      <c r="I2980" s="3" t="inlineStr">
        <is>
          <t>전</t>
        </is>
      </c>
      <c r="J2980" s="3" t="inlineStr">
        <is>
          <t>금남면</t>
        </is>
      </c>
    </row>
    <row r="2981">
      <c r="A2981" s="3" t="n">
        <v>2024</v>
      </c>
      <c r="B2981" s="4" t="n">
        <v>1305</v>
      </c>
      <c r="C2981" s="4" t="n">
        <v>50</v>
      </c>
      <c r="D2981" s="4" t="n">
        <v>15.125</v>
      </c>
      <c r="E2981" s="5" t="n">
        <v>86.3</v>
      </c>
      <c r="F2981" s="3" t="inlineStr">
        <is>
          <t>금남면</t>
        </is>
      </c>
      <c r="G2981" s="3" t="inlineStr">
        <is>
          <t>두만리</t>
        </is>
      </c>
      <c r="H2981" s="3" t="inlineStr">
        <is>
          <t>농림지역</t>
        </is>
      </c>
      <c r="I2981" s="3" t="inlineStr">
        <is>
          <t>전</t>
        </is>
      </c>
      <c r="J2981" s="3" t="inlineStr">
        <is>
          <t>금남면</t>
        </is>
      </c>
    </row>
    <row r="2982">
      <c r="A2982" s="3" t="n">
        <v>2024</v>
      </c>
      <c r="B2982" s="4" t="n">
        <v>2897</v>
      </c>
      <c r="C2982" s="4" t="n">
        <v>111</v>
      </c>
      <c r="D2982" s="4" t="n">
        <v>33.5775</v>
      </c>
      <c r="E2982" s="5" t="n">
        <v>86.3</v>
      </c>
      <c r="F2982" s="3" t="inlineStr">
        <is>
          <t>금남면</t>
        </is>
      </c>
      <c r="G2982" s="3" t="inlineStr">
        <is>
          <t>두만리</t>
        </is>
      </c>
      <c r="H2982" s="3" t="inlineStr">
        <is>
          <t>농림지역</t>
        </is>
      </c>
      <c r="I2982" s="3" t="inlineStr">
        <is>
          <t>하천</t>
        </is>
      </c>
      <c r="J2982" s="3" t="inlineStr">
        <is>
          <t>금남면</t>
        </is>
      </c>
    </row>
    <row r="2983">
      <c r="A2983" s="3" t="n">
        <v>2024</v>
      </c>
      <c r="B2983" s="4" t="n">
        <v>7726</v>
      </c>
      <c r="C2983" s="4" t="n">
        <v>296</v>
      </c>
      <c r="D2983" s="4" t="n">
        <v>89.53999999999999</v>
      </c>
      <c r="E2983" s="5" t="n">
        <v>86.3</v>
      </c>
      <c r="F2983" s="3" t="inlineStr">
        <is>
          <t>금남면</t>
        </is>
      </c>
      <c r="G2983" s="3" t="inlineStr">
        <is>
          <t>두만리</t>
        </is>
      </c>
      <c r="H2983" s="3" t="inlineStr">
        <is>
          <t>농림지역</t>
        </is>
      </c>
      <c r="I2983" s="3" t="inlineStr">
        <is>
          <t>하천</t>
        </is>
      </c>
      <c r="J2983" s="3" t="inlineStr">
        <is>
          <t>금남면</t>
        </is>
      </c>
    </row>
    <row r="2984">
      <c r="A2984" s="3" t="n">
        <v>2024</v>
      </c>
      <c r="B2984" s="4" t="n">
        <v>12243</v>
      </c>
      <c r="C2984" s="4" t="n">
        <v>940</v>
      </c>
      <c r="D2984" s="4" t="n">
        <v>284.35</v>
      </c>
      <c r="E2984" s="5" t="n">
        <v>43.1</v>
      </c>
      <c r="F2984" s="3" t="inlineStr">
        <is>
          <t>전동면</t>
        </is>
      </c>
      <c r="G2984" s="3" t="inlineStr">
        <is>
          <t>미곡리</t>
        </is>
      </c>
      <c r="H2984" s="3" t="inlineStr">
        <is>
          <t>생산관리지역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2024</v>
      </c>
      <c r="B2985" s="4" t="n">
        <v>3350</v>
      </c>
      <c r="C2985" s="4" t="n">
        <v>356</v>
      </c>
      <c r="D2985" s="4" t="n">
        <v>107.69</v>
      </c>
      <c r="E2985" s="5" t="n">
        <v>31.1</v>
      </c>
      <c r="F2985" s="3" t="inlineStr">
        <is>
          <t>전의면</t>
        </is>
      </c>
      <c r="G2985" s="3" t="inlineStr">
        <is>
          <t>양곡리</t>
        </is>
      </c>
      <c r="H2985" s="3" t="inlineStr">
        <is>
          <t>계획관리지역</t>
        </is>
      </c>
      <c r="I2985" s="3" t="inlineStr">
        <is>
          <t>대</t>
        </is>
      </c>
      <c r="J2985" s="3" t="inlineStr">
        <is>
          <t>전의면</t>
        </is>
      </c>
    </row>
    <row r="2986">
      <c r="A2986" s="3" t="n">
        <v>2024</v>
      </c>
      <c r="B2986" s="4" t="n">
        <v>14000</v>
      </c>
      <c r="C2986" s="4" t="n">
        <v>155</v>
      </c>
      <c r="D2986" s="4" t="n">
        <v>46.8875</v>
      </c>
      <c r="E2986" s="5" t="n">
        <v>298.6</v>
      </c>
      <c r="F2986" s="3" t="inlineStr">
        <is>
          <t>조치원읍</t>
        </is>
      </c>
      <c r="G2986" s="3" t="inlineStr">
        <is>
          <t>남리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2024</v>
      </c>
      <c r="B2987" s="4" t="n">
        <v>18000</v>
      </c>
      <c r="C2987" s="4" t="n">
        <v>841</v>
      </c>
      <c r="D2987" s="4" t="n">
        <v>254.4025</v>
      </c>
      <c r="E2987" s="5" t="n">
        <v>70.8</v>
      </c>
      <c r="F2987" s="3" t="inlineStr">
        <is>
          <t>연서면</t>
        </is>
      </c>
      <c r="G2987" s="3" t="inlineStr">
        <is>
          <t>기룡리</t>
        </is>
      </c>
      <c r="H2987" s="3" t="inlineStr">
        <is>
          <t>계획관리지역</t>
        </is>
      </c>
      <c r="I2987" s="3" t="inlineStr">
        <is>
          <t>답</t>
        </is>
      </c>
      <c r="J2987" s="3" t="inlineStr">
        <is>
          <t>연서면</t>
        </is>
      </c>
    </row>
    <row r="2988">
      <c r="A2988" s="3" t="n">
        <v>2024</v>
      </c>
      <c r="B2988" s="4" t="n">
        <v>5000</v>
      </c>
      <c r="C2988" s="4" t="n">
        <v>200</v>
      </c>
      <c r="D2988" s="4" t="n">
        <v>60.5</v>
      </c>
      <c r="E2988" s="5" t="n">
        <v>82.59999999999999</v>
      </c>
      <c r="F2988" s="3" t="inlineStr">
        <is>
          <t>금남면</t>
        </is>
      </c>
      <c r="G2988" s="3" t="inlineStr">
        <is>
          <t>용포리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금남면</t>
        </is>
      </c>
    </row>
    <row r="2989">
      <c r="A2989" s="3" t="n">
        <v>2024</v>
      </c>
      <c r="B2989" s="4" t="n">
        <v>1500</v>
      </c>
      <c r="C2989" s="4" t="n">
        <v>100</v>
      </c>
      <c r="D2989" s="4" t="n">
        <v>30.25</v>
      </c>
      <c r="E2989" s="5" t="n">
        <v>49.6</v>
      </c>
      <c r="F2989" s="3" t="inlineStr">
        <is>
          <t>금남면</t>
        </is>
      </c>
      <c r="G2989" s="3" t="inlineStr">
        <is>
          <t>용포리</t>
        </is>
      </c>
      <c r="H2989" s="3" t="inlineStr">
        <is>
          <t>제1종일반주거지역</t>
        </is>
      </c>
      <c r="I2989" s="3" t="inlineStr">
        <is>
          <t>임야</t>
        </is>
      </c>
      <c r="J2989" s="3" t="inlineStr">
        <is>
          <t>금남면</t>
        </is>
      </c>
    </row>
    <row r="2990">
      <c r="A2990" s="3" t="n">
        <v>2024</v>
      </c>
      <c r="B2990" s="4" t="n">
        <v>59000</v>
      </c>
      <c r="C2990" s="4" t="n">
        <v>707</v>
      </c>
      <c r="D2990" s="4" t="n">
        <v>213.8675</v>
      </c>
      <c r="E2990" s="5" t="n">
        <v>275.9</v>
      </c>
      <c r="F2990" s="3" t="inlineStr">
        <is>
          <t>연동면</t>
        </is>
      </c>
      <c r="G2990" s="3" t="inlineStr">
        <is>
          <t>내판리</t>
        </is>
      </c>
      <c r="H2990" s="3" t="inlineStr">
        <is>
          <t>계획관리지역</t>
        </is>
      </c>
      <c r="I2990" s="3" t="inlineStr">
        <is>
          <t>대</t>
        </is>
      </c>
      <c r="J2990" s="3" t="inlineStr">
        <is>
          <t>연동면</t>
        </is>
      </c>
    </row>
    <row r="2991">
      <c r="A2991" s="3" t="n">
        <v>2024</v>
      </c>
      <c r="B2991" s="4" t="n">
        <v>7500</v>
      </c>
      <c r="C2991" s="4" t="n">
        <v>595</v>
      </c>
      <c r="D2991" s="4" t="n">
        <v>179.9875</v>
      </c>
      <c r="E2991" s="5" t="n">
        <v>41.7</v>
      </c>
      <c r="F2991" s="3" t="inlineStr">
        <is>
          <t>조치원읍</t>
        </is>
      </c>
      <c r="G2991" s="3" t="inlineStr">
        <is>
          <t>서창리</t>
        </is>
      </c>
      <c r="H2991" s="3" t="inlineStr">
        <is>
          <t>자연녹지지역</t>
        </is>
      </c>
      <c r="I2991" s="3" t="inlineStr">
        <is>
          <t>도로</t>
        </is>
      </c>
      <c r="J2991" s="3" t="inlineStr">
        <is>
          <t>조치원읍</t>
        </is>
      </c>
    </row>
    <row r="2992">
      <c r="A2992" s="3" t="n">
        <v>2024</v>
      </c>
      <c r="B2992" s="4" t="n">
        <v>2380</v>
      </c>
      <c r="C2992" s="4" t="n">
        <v>231</v>
      </c>
      <c r="D2992" s="4" t="n">
        <v>69.8775</v>
      </c>
      <c r="E2992" s="5" t="n">
        <v>34.1</v>
      </c>
      <c r="F2992" s="3" t="inlineStr">
        <is>
          <t>전의면</t>
        </is>
      </c>
      <c r="G2992" s="3" t="inlineStr">
        <is>
          <t>유천리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전의면</t>
        </is>
      </c>
    </row>
    <row r="2993">
      <c r="A2993" s="3" t="n">
        <v>2024</v>
      </c>
      <c r="B2993" s="4" t="n">
        <v>4000</v>
      </c>
      <c r="C2993" s="4" t="n">
        <v>1323</v>
      </c>
      <c r="D2993" s="4" t="n">
        <v>400.2075</v>
      </c>
      <c r="E2993" s="5" t="n">
        <v>10</v>
      </c>
      <c r="F2993" s="3" t="inlineStr">
        <is>
          <t>장군면</t>
        </is>
      </c>
      <c r="G2993" s="3" t="inlineStr">
        <is>
          <t>금암리</t>
        </is>
      </c>
      <c r="H2993" s="3" t="inlineStr">
        <is>
          <t>농림지역</t>
        </is>
      </c>
      <c r="I2993" s="3" t="inlineStr">
        <is>
          <t>임야</t>
        </is>
      </c>
      <c r="J2993" s="3" t="inlineStr">
        <is>
          <t>장군면</t>
        </is>
      </c>
    </row>
    <row r="2994">
      <c r="A2994" s="3" t="n">
        <v>2024</v>
      </c>
      <c r="B2994" s="4" t="n">
        <v>8590</v>
      </c>
      <c r="C2994" s="4" t="n">
        <v>2840</v>
      </c>
      <c r="D2994" s="4" t="n">
        <v>859.1</v>
      </c>
      <c r="E2994" s="5" t="n">
        <v>10</v>
      </c>
      <c r="F2994" s="3" t="inlineStr">
        <is>
          <t>장군면</t>
        </is>
      </c>
      <c r="G2994" s="3" t="inlineStr">
        <is>
          <t>금암리</t>
        </is>
      </c>
      <c r="H2994" s="3" t="inlineStr">
        <is>
          <t>농림지역</t>
        </is>
      </c>
      <c r="I2994" s="3" t="inlineStr">
        <is>
          <t>임야</t>
        </is>
      </c>
      <c r="J2994" s="3" t="inlineStr">
        <is>
          <t>장군면</t>
        </is>
      </c>
    </row>
    <row r="2995">
      <c r="A2995" s="3" t="n">
        <v>2024</v>
      </c>
      <c r="B2995" s="4" t="n">
        <v>50094</v>
      </c>
      <c r="C2995" s="4" t="n">
        <v>552</v>
      </c>
      <c r="D2995" s="4" t="n">
        <v>166.98</v>
      </c>
      <c r="E2995" s="5" t="n">
        <v>300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2024</v>
      </c>
      <c r="B2996" s="4" t="n">
        <v>400</v>
      </c>
      <c r="C2996" s="4" t="n">
        <v>3</v>
      </c>
      <c r="D2996" s="4" t="n">
        <v>0.9075</v>
      </c>
      <c r="E2996" s="5" t="n">
        <v>440.8</v>
      </c>
      <c r="F2996" s="3" t="inlineStr">
        <is>
          <t>금남면</t>
        </is>
      </c>
      <c r="G2996" s="3" t="inlineStr">
        <is>
          <t>용포리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금남면</t>
        </is>
      </c>
    </row>
    <row r="2997">
      <c r="A2997" s="3" t="n">
        <v>2024</v>
      </c>
      <c r="B2997" s="4" t="n">
        <v>18582</v>
      </c>
      <c r="C2997" s="4" t="n">
        <v>1617</v>
      </c>
      <c r="D2997" s="4" t="n">
        <v>489.1425</v>
      </c>
      <c r="E2997" s="5" t="n">
        <v>38</v>
      </c>
      <c r="F2997" s="3" t="inlineStr">
        <is>
          <t>소정면</t>
        </is>
      </c>
      <c r="G2997" s="3" t="inlineStr">
        <is>
          <t>소정리</t>
        </is>
      </c>
      <c r="H2997" s="3" t="inlineStr">
        <is>
          <t>농림지역</t>
        </is>
      </c>
      <c r="I2997" s="3" t="inlineStr">
        <is>
          <t>답</t>
        </is>
      </c>
      <c r="J2997" s="3" t="inlineStr">
        <is>
          <t>소정면</t>
        </is>
      </c>
    </row>
    <row r="2998">
      <c r="A2998" s="3" t="n">
        <v>2024</v>
      </c>
      <c r="B2998" s="4" t="n">
        <v>29900</v>
      </c>
      <c r="C2998" s="4" t="n">
        <v>161</v>
      </c>
      <c r="D2998" s="4" t="n">
        <v>48.7025</v>
      </c>
      <c r="E2998" s="5" t="n">
        <v>613.9</v>
      </c>
      <c r="F2998" s="3" t="inlineStr">
        <is>
          <t>조치원읍</t>
        </is>
      </c>
      <c r="G2998" s="3" t="inlineStr">
        <is>
          <t>침산리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2024</v>
      </c>
      <c r="B2999" s="4" t="n">
        <v>27000</v>
      </c>
      <c r="C2999" s="4" t="n">
        <v>2552</v>
      </c>
      <c r="D2999" s="4" t="n">
        <v>771.98</v>
      </c>
      <c r="E2999" s="5" t="n">
        <v>35</v>
      </c>
      <c r="F2999" s="3" t="inlineStr">
        <is>
          <t>전동면</t>
        </is>
      </c>
      <c r="G2999" s="3" t="inlineStr">
        <is>
          <t>보덕리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전동면</t>
        </is>
      </c>
    </row>
    <row r="3000">
      <c r="A3000" s="3" t="n">
        <v>2024</v>
      </c>
      <c r="B3000" s="4" t="n">
        <v>34000</v>
      </c>
      <c r="C3000" s="4" t="n">
        <v>283.7</v>
      </c>
      <c r="D3000" s="4" t="n">
        <v>85.81925</v>
      </c>
      <c r="E3000" s="5" t="n">
        <v>396.2</v>
      </c>
      <c r="F3000" s="3" t="inlineStr">
        <is>
          <t>다정동</t>
        </is>
      </c>
      <c r="G3000" s="3" t="inlineStr"/>
      <c r="H3000" s="3" t="inlineStr">
        <is>
          <t>제2종전용주거지역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12538</v>
      </c>
      <c r="C3001" s="4" t="n">
        <v>1036</v>
      </c>
      <c r="D3001" s="4" t="n">
        <v>313.39</v>
      </c>
      <c r="E3001" s="5" t="n">
        <v>40</v>
      </c>
      <c r="F3001" s="3" t="inlineStr">
        <is>
          <t>전의면</t>
        </is>
      </c>
      <c r="G3001" s="3" t="inlineStr">
        <is>
          <t>금사리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전의면</t>
        </is>
      </c>
    </row>
    <row r="3002">
      <c r="A3002" s="3" t="n">
        <v>2023</v>
      </c>
      <c r="B3002" s="4" t="n">
        <v>11200</v>
      </c>
      <c r="C3002" s="4" t="n">
        <v>926</v>
      </c>
      <c r="D3002" s="4" t="n">
        <v>280.115</v>
      </c>
      <c r="E3002" s="5" t="n">
        <v>40</v>
      </c>
      <c r="F3002" s="3" t="inlineStr">
        <is>
          <t>전의면</t>
        </is>
      </c>
      <c r="G3002" s="3" t="inlineStr">
        <is>
          <t>금사리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전의면</t>
        </is>
      </c>
    </row>
    <row r="3003">
      <c r="A3003" s="3" t="n">
        <v>2023</v>
      </c>
      <c r="B3003" s="4" t="n">
        <v>45500</v>
      </c>
      <c r="C3003" s="4" t="n">
        <v>2691.2</v>
      </c>
      <c r="D3003" s="4" t="n">
        <v>814.088</v>
      </c>
      <c r="E3003" s="5" t="n">
        <v>55.9</v>
      </c>
      <c r="F3003" s="3" t="inlineStr">
        <is>
          <t>장군면</t>
        </is>
      </c>
      <c r="G3003" s="3" t="inlineStr">
        <is>
          <t>송정리</t>
        </is>
      </c>
      <c r="H3003" s="3" t="inlineStr">
        <is>
          <t>생산관리지역</t>
        </is>
      </c>
      <c r="I3003" s="3" t="inlineStr">
        <is>
          <t>답</t>
        </is>
      </c>
      <c r="J3003" s="3" t="inlineStr">
        <is>
          <t>장군면</t>
        </is>
      </c>
    </row>
    <row r="3004">
      <c r="A3004" s="3" t="n">
        <v>2023</v>
      </c>
      <c r="B3004" s="4" t="n">
        <v>1300</v>
      </c>
      <c r="C3004" s="4" t="n">
        <v>33</v>
      </c>
      <c r="D3004" s="4" t="n">
        <v>9.9825</v>
      </c>
      <c r="E3004" s="5" t="n">
        <v>130.2</v>
      </c>
      <c r="F3004" s="3" t="inlineStr">
        <is>
          <t>연동면</t>
        </is>
      </c>
      <c r="G3004" s="3" t="inlineStr">
        <is>
          <t>송용리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연동면</t>
        </is>
      </c>
    </row>
    <row r="3005">
      <c r="A3005" s="3" t="n">
        <v>2023</v>
      </c>
      <c r="B3005" s="4" t="n">
        <v>3770</v>
      </c>
      <c r="C3005" s="4" t="n">
        <v>96</v>
      </c>
      <c r="D3005" s="4" t="n">
        <v>29.04</v>
      </c>
      <c r="E3005" s="5" t="n">
        <v>129.8</v>
      </c>
      <c r="F3005" s="3" t="inlineStr">
        <is>
          <t>연동면</t>
        </is>
      </c>
      <c r="G3005" s="3" t="inlineStr">
        <is>
          <t>송용리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연동면</t>
        </is>
      </c>
    </row>
    <row r="3006">
      <c r="A3006" s="3" t="n">
        <v>2023</v>
      </c>
      <c r="B3006" s="4" t="n">
        <v>6156</v>
      </c>
      <c r="C3006" s="4" t="n">
        <v>407</v>
      </c>
      <c r="D3006" s="4" t="n">
        <v>123.1175</v>
      </c>
      <c r="E3006" s="5" t="n">
        <v>50</v>
      </c>
      <c r="F3006" s="3" t="inlineStr">
        <is>
          <t>장군면</t>
        </is>
      </c>
      <c r="G3006" s="3" t="inlineStr">
        <is>
          <t>용암리</t>
        </is>
      </c>
      <c r="H3006" s="3" t="inlineStr">
        <is>
          <t>농림지역</t>
        </is>
      </c>
      <c r="I3006" s="3" t="inlineStr">
        <is>
          <t>유지</t>
        </is>
      </c>
      <c r="J3006" s="3" t="inlineStr">
        <is>
          <t>장군면</t>
        </is>
      </c>
    </row>
    <row r="3007">
      <c r="A3007" s="3" t="n">
        <v>2023</v>
      </c>
      <c r="B3007" s="4" t="n">
        <v>20016</v>
      </c>
      <c r="C3007" s="4" t="n">
        <v>841</v>
      </c>
      <c r="D3007" s="4" t="n">
        <v>254.4025</v>
      </c>
      <c r="E3007" s="5" t="n">
        <v>78.7</v>
      </c>
      <c r="F3007" s="3" t="inlineStr">
        <is>
          <t>금남면</t>
        </is>
      </c>
      <c r="G3007" s="3" t="inlineStr">
        <is>
          <t>축산리</t>
        </is>
      </c>
      <c r="H3007" s="3" t="inlineStr">
        <is>
          <t>개발제한구역</t>
        </is>
      </c>
      <c r="I3007" s="3" t="inlineStr">
        <is>
          <t>답</t>
        </is>
      </c>
      <c r="J3007" s="3" t="inlineStr">
        <is>
          <t>금남면</t>
        </is>
      </c>
    </row>
    <row r="3008">
      <c r="A3008" s="3" t="n">
        <v>2023</v>
      </c>
      <c r="B3008" s="4" t="n">
        <v>29384</v>
      </c>
      <c r="C3008" s="4" t="n">
        <v>1234</v>
      </c>
      <c r="D3008" s="4" t="n">
        <v>373.285</v>
      </c>
      <c r="E3008" s="5" t="n">
        <v>78.7</v>
      </c>
      <c r="F3008" s="3" t="inlineStr">
        <is>
          <t>금남면</t>
        </is>
      </c>
      <c r="G3008" s="3" t="inlineStr">
        <is>
          <t>축산리</t>
        </is>
      </c>
      <c r="H3008" s="3" t="inlineStr">
        <is>
          <t>개발제한구역</t>
        </is>
      </c>
      <c r="I3008" s="3" t="inlineStr">
        <is>
          <t>전</t>
        </is>
      </c>
      <c r="J3008" s="3" t="inlineStr">
        <is>
          <t>금남면</t>
        </is>
      </c>
    </row>
    <row r="3009">
      <c r="A3009" s="3" t="n">
        <v>2023</v>
      </c>
      <c r="B3009" s="4" t="n">
        <v>17200</v>
      </c>
      <c r="C3009" s="4" t="n">
        <v>701</v>
      </c>
      <c r="D3009" s="4" t="n">
        <v>212.0525</v>
      </c>
      <c r="E3009" s="5" t="n">
        <v>81.09999999999999</v>
      </c>
      <c r="F3009" s="3" t="inlineStr">
        <is>
          <t>연서면</t>
        </is>
      </c>
      <c r="G3009" s="3" t="inlineStr">
        <is>
          <t>고복리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2023</v>
      </c>
      <c r="B3010" s="4" t="n">
        <v>1700</v>
      </c>
      <c r="C3010" s="4" t="n">
        <v>70</v>
      </c>
      <c r="D3010" s="4" t="n">
        <v>21.175</v>
      </c>
      <c r="E3010" s="5" t="n">
        <v>80.3</v>
      </c>
      <c r="F3010" s="3" t="inlineStr">
        <is>
          <t>연서면</t>
        </is>
      </c>
      <c r="G3010" s="3" t="inlineStr">
        <is>
          <t>고복리</t>
        </is>
      </c>
      <c r="H3010" s="3" t="inlineStr">
        <is>
          <t>보전관리지역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2023</v>
      </c>
      <c r="B3011" s="4" t="n">
        <v>7000</v>
      </c>
      <c r="C3011" s="4" t="n">
        <v>1088</v>
      </c>
      <c r="D3011" s="4" t="n">
        <v>329.12</v>
      </c>
      <c r="E3011" s="5" t="n">
        <v>21.3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부강면</t>
        </is>
      </c>
    </row>
    <row r="3012">
      <c r="A3012" s="3" t="n">
        <v>2023</v>
      </c>
      <c r="B3012" s="4" t="n">
        <v>89230</v>
      </c>
      <c r="C3012" s="4" t="n">
        <v>1965.3</v>
      </c>
      <c r="D3012" s="4" t="n">
        <v>594.50325</v>
      </c>
      <c r="E3012" s="5" t="n">
        <v>150.1</v>
      </c>
      <c r="F3012" s="3" t="inlineStr">
        <is>
          <t>오송읍</t>
        </is>
      </c>
      <c r="G3012" s="3" t="inlineStr">
        <is>
          <t>공북리</t>
        </is>
      </c>
      <c r="H3012" s="3" t="inlineStr">
        <is>
          <t>계획관리지역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2023</v>
      </c>
      <c r="B3013" s="4" t="n">
        <v>45400</v>
      </c>
      <c r="C3013" s="4" t="n">
        <v>1000</v>
      </c>
      <c r="D3013" s="4" t="n">
        <v>302.5</v>
      </c>
      <c r="E3013" s="5" t="n">
        <v>150.1</v>
      </c>
      <c r="F3013" s="3" t="inlineStr">
        <is>
          <t>오송읍</t>
        </is>
      </c>
      <c r="G3013" s="3" t="inlineStr">
        <is>
          <t>공북리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2023</v>
      </c>
      <c r="B3014" s="4" t="n">
        <v>42050</v>
      </c>
      <c r="C3014" s="4" t="n">
        <v>926.4</v>
      </c>
      <c r="D3014" s="4" t="n">
        <v>280.236</v>
      </c>
      <c r="E3014" s="5" t="n">
        <v>150.1</v>
      </c>
      <c r="F3014" s="3" t="inlineStr">
        <is>
          <t>오송읍</t>
        </is>
      </c>
      <c r="G3014" s="3" t="inlineStr">
        <is>
          <t>공북리</t>
        </is>
      </c>
      <c r="H3014" s="3" t="inlineStr">
        <is>
          <t>계획관리지역</t>
        </is>
      </c>
      <c r="I3014" s="3" t="inlineStr">
        <is>
          <t>답</t>
        </is>
      </c>
      <c r="J3014" s="3" t="inlineStr">
        <is>
          <t>오송읍</t>
        </is>
      </c>
    </row>
    <row r="3015">
      <c r="A3015" s="3" t="n">
        <v>2023</v>
      </c>
      <c r="B3015" s="4" t="n">
        <v>1997</v>
      </c>
      <c r="C3015" s="4" t="n">
        <v>44.9</v>
      </c>
      <c r="D3015" s="4" t="n">
        <v>13.58225</v>
      </c>
      <c r="E3015" s="5" t="n">
        <v>147</v>
      </c>
      <c r="F3015" s="3" t="inlineStr">
        <is>
          <t>오송읍</t>
        </is>
      </c>
      <c r="G3015" s="3" t="inlineStr">
        <is>
          <t>공북리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오송읍</t>
        </is>
      </c>
    </row>
    <row r="3016">
      <c r="A3016" s="3" t="n">
        <v>2023</v>
      </c>
      <c r="B3016" s="4" t="n">
        <v>47400</v>
      </c>
      <c r="C3016" s="4" t="n">
        <v>3577</v>
      </c>
      <c r="D3016" s="4" t="n">
        <v>1082.0425</v>
      </c>
      <c r="E3016" s="5" t="n">
        <v>43.8</v>
      </c>
      <c r="F3016" s="3" t="inlineStr">
        <is>
          <t>강내면</t>
        </is>
      </c>
      <c r="G3016" s="3" t="inlineStr">
        <is>
          <t>월곡리</t>
        </is>
      </c>
      <c r="H3016" s="3" t="inlineStr">
        <is>
          <t>자연녹지지역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2023</v>
      </c>
      <c r="B3017" s="4" t="n">
        <v>10600</v>
      </c>
      <c r="C3017" s="4" t="n">
        <v>800</v>
      </c>
      <c r="D3017" s="4" t="n">
        <v>242</v>
      </c>
      <c r="E3017" s="5" t="n">
        <v>43.8</v>
      </c>
      <c r="F3017" s="3" t="inlineStr">
        <is>
          <t>강내면</t>
        </is>
      </c>
      <c r="G3017" s="3" t="inlineStr">
        <is>
          <t>월곡리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강내면</t>
        </is>
      </c>
    </row>
    <row r="3018">
      <c r="A3018" s="3" t="n">
        <v>2023</v>
      </c>
      <c r="B3018" s="4" t="n">
        <v>812</v>
      </c>
      <c r="C3018" s="4" t="n">
        <v>27</v>
      </c>
      <c r="D3018" s="4" t="n">
        <v>8.1675</v>
      </c>
      <c r="E3018" s="5" t="n">
        <v>99.40000000000001</v>
      </c>
      <c r="F3018" s="3" t="inlineStr">
        <is>
          <t>강내면</t>
        </is>
      </c>
      <c r="G3018" s="3" t="inlineStr">
        <is>
          <t>태성리</t>
        </is>
      </c>
      <c r="H3018" s="3" t="inlineStr">
        <is>
          <t>계획관리지역</t>
        </is>
      </c>
      <c r="I3018" s="3" t="inlineStr">
        <is>
          <t>공장용지</t>
        </is>
      </c>
      <c r="J3018" s="3" t="inlineStr">
        <is>
          <t>강내면</t>
        </is>
      </c>
    </row>
    <row r="3019">
      <c r="A3019" s="3" t="n">
        <v>2023</v>
      </c>
      <c r="B3019" s="4" t="n">
        <v>23900</v>
      </c>
      <c r="C3019" s="4" t="n">
        <v>495</v>
      </c>
      <c r="D3019" s="4" t="n">
        <v>149.7375</v>
      </c>
      <c r="E3019" s="5" t="n">
        <v>159.6</v>
      </c>
      <c r="F3019" s="3" t="inlineStr">
        <is>
          <t>오송읍</t>
        </is>
      </c>
      <c r="G3019" s="3" t="inlineStr">
        <is>
          <t>정중리</t>
        </is>
      </c>
      <c r="H3019" s="3" t="inlineStr">
        <is>
          <t>생산관리지역</t>
        </is>
      </c>
      <c r="I3019" s="3" t="inlineStr">
        <is>
          <t>답</t>
        </is>
      </c>
      <c r="J3019" s="3" t="inlineStr">
        <is>
          <t>오송읍</t>
        </is>
      </c>
    </row>
    <row r="3020">
      <c r="A3020" s="3" t="n">
        <v>2023</v>
      </c>
      <c r="B3020" s="4" t="n">
        <v>142000</v>
      </c>
      <c r="C3020" s="4" t="n">
        <v>548.8</v>
      </c>
      <c r="D3020" s="4" t="n">
        <v>166.012</v>
      </c>
      <c r="E3020" s="5" t="n">
        <v>855.4</v>
      </c>
      <c r="F3020" s="3" t="inlineStr">
        <is>
          <t>오송읍</t>
        </is>
      </c>
      <c r="G3020" s="3" t="inlineStr">
        <is>
          <t>정중리</t>
        </is>
      </c>
      <c r="H3020" s="3" t="inlineStr">
        <is>
          <t>준공업지역</t>
        </is>
      </c>
      <c r="I3020" s="3" t="inlineStr">
        <is>
          <t>대</t>
        </is>
      </c>
      <c r="J3020" s="3" t="inlineStr">
        <is>
          <t>오송읍</t>
        </is>
      </c>
    </row>
    <row r="3021">
      <c r="A3021" s="3" t="n">
        <v>2023</v>
      </c>
      <c r="B3021" s="4" t="n">
        <v>190000</v>
      </c>
      <c r="C3021" s="4" t="n">
        <v>17005</v>
      </c>
      <c r="D3021" s="4" t="n">
        <v>5144.0125</v>
      </c>
      <c r="E3021" s="5" t="n">
        <v>36.9</v>
      </c>
      <c r="F3021" s="3" t="inlineStr">
        <is>
          <t>강내면</t>
        </is>
      </c>
      <c r="G3021" s="3" t="inlineStr">
        <is>
          <t>황탄리</t>
        </is>
      </c>
      <c r="H3021" s="3" t="inlineStr">
        <is>
          <t>보전관리지역</t>
        </is>
      </c>
      <c r="I3021" s="3" t="inlineStr">
        <is>
          <t>임야</t>
        </is>
      </c>
      <c r="J3021" s="3" t="inlineStr">
        <is>
          <t>강내면</t>
        </is>
      </c>
    </row>
    <row r="3022">
      <c r="A3022" s="3" t="n">
        <v>2023</v>
      </c>
      <c r="B3022" s="4" t="n">
        <v>154684</v>
      </c>
      <c r="C3022" s="4" t="n">
        <v>6648.4</v>
      </c>
      <c r="D3022" s="4" t="n">
        <v>2011.141</v>
      </c>
      <c r="E3022" s="5" t="n">
        <v>76.90000000000001</v>
      </c>
      <c r="F3022" s="3" t="inlineStr">
        <is>
          <t>오송읍</t>
        </is>
      </c>
      <c r="G3022" s="3" t="inlineStr">
        <is>
          <t>연제리</t>
        </is>
      </c>
      <c r="H3022" s="3" t="inlineStr">
        <is>
          <t>준공업지역</t>
        </is>
      </c>
      <c r="I3022" s="3" t="inlineStr">
        <is>
          <t>대</t>
        </is>
      </c>
      <c r="J3022" s="3" t="inlineStr">
        <is>
          <t>오송읍</t>
        </is>
      </c>
    </row>
    <row r="3023">
      <c r="A3023" s="3" t="n">
        <v>2022</v>
      </c>
      <c r="B3023" s="4" t="n">
        <v>7480</v>
      </c>
      <c r="C3023" s="4" t="n">
        <v>1597</v>
      </c>
      <c r="D3023" s="4" t="n">
        <v>483.0925</v>
      </c>
      <c r="E3023" s="5" t="n">
        <v>15.5</v>
      </c>
      <c r="F3023" s="3" t="inlineStr">
        <is>
          <t>금남면</t>
        </is>
      </c>
      <c r="G3023" s="3" t="inlineStr">
        <is>
          <t>영대리</t>
        </is>
      </c>
      <c r="H3023" s="3" t="inlineStr">
        <is>
          <t>개발제한구역</t>
        </is>
      </c>
      <c r="I3023" s="3" t="inlineStr">
        <is>
          <t>답</t>
        </is>
      </c>
      <c r="J3023" s="3" t="inlineStr">
        <is>
          <t>금남면</t>
        </is>
      </c>
    </row>
    <row r="3024">
      <c r="A3024" s="3" t="n">
        <v>2022</v>
      </c>
      <c r="B3024" s="4" t="n">
        <v>3020</v>
      </c>
      <c r="C3024" s="4" t="n">
        <v>645</v>
      </c>
      <c r="D3024" s="4" t="n">
        <v>195.1125</v>
      </c>
      <c r="E3024" s="5" t="n">
        <v>15.5</v>
      </c>
      <c r="F3024" s="3" t="inlineStr">
        <is>
          <t>금남면</t>
        </is>
      </c>
      <c r="G3024" s="3" t="inlineStr">
        <is>
          <t>영대리</t>
        </is>
      </c>
      <c r="H3024" s="3" t="inlineStr">
        <is>
          <t>개발제한구역</t>
        </is>
      </c>
      <c r="I3024" s="3" t="inlineStr">
        <is>
          <t>전</t>
        </is>
      </c>
      <c r="J3024" s="3" t="inlineStr">
        <is>
          <t>금남면</t>
        </is>
      </c>
    </row>
    <row r="3025">
      <c r="A3025" s="3" t="n">
        <v>2022</v>
      </c>
      <c r="B3025" s="4" t="n">
        <v>60000</v>
      </c>
      <c r="C3025" s="4" t="n">
        <v>711</v>
      </c>
      <c r="D3025" s="4" t="n">
        <v>215.0775</v>
      </c>
      <c r="E3025" s="5" t="n">
        <v>279</v>
      </c>
      <c r="F3025" s="3" t="inlineStr">
        <is>
          <t>장군면</t>
        </is>
      </c>
      <c r="G3025" s="3" t="inlineStr">
        <is>
          <t>봉안리</t>
        </is>
      </c>
      <c r="H3025" s="3" t="inlineStr">
        <is>
          <t>계획관리지역</t>
        </is>
      </c>
      <c r="I3025" s="3" t="inlineStr">
        <is>
          <t>대</t>
        </is>
      </c>
      <c r="J3025" s="3" t="inlineStr">
        <is>
          <t>장군면</t>
        </is>
      </c>
    </row>
    <row r="3026">
      <c r="A3026" s="3" t="n">
        <v>2022</v>
      </c>
      <c r="B3026" s="4" t="n">
        <v>11000</v>
      </c>
      <c r="C3026" s="4" t="n">
        <v>4958</v>
      </c>
      <c r="D3026" s="4" t="n">
        <v>1499.795</v>
      </c>
      <c r="E3026" s="5" t="n">
        <v>7.3</v>
      </c>
      <c r="F3026" s="3" t="inlineStr">
        <is>
          <t>전동면</t>
        </is>
      </c>
      <c r="G3026" s="3" t="inlineStr">
        <is>
          <t>청람리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전동면</t>
        </is>
      </c>
    </row>
    <row r="3027">
      <c r="A3027" s="3" t="n">
        <v>2022</v>
      </c>
      <c r="B3027" s="4" t="n">
        <v>196000</v>
      </c>
      <c r="C3027" s="4" t="n">
        <v>1674</v>
      </c>
      <c r="D3027" s="4" t="n">
        <v>506.385</v>
      </c>
      <c r="E3027" s="5" t="n">
        <v>387.1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생산녹지지역</t>
        </is>
      </c>
      <c r="I3027" s="3" t="inlineStr">
        <is>
          <t>대</t>
        </is>
      </c>
      <c r="J3027" s="3" t="inlineStr">
        <is>
          <t>부강면</t>
        </is>
      </c>
    </row>
    <row r="3028">
      <c r="A3028" s="3" t="n">
        <v>2022</v>
      </c>
      <c r="B3028" s="4" t="n">
        <v>103700</v>
      </c>
      <c r="C3028" s="4" t="n">
        <v>1550</v>
      </c>
      <c r="D3028" s="4" t="n">
        <v>468.875</v>
      </c>
      <c r="E3028" s="5" t="n">
        <v>221.2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생산녹지지역</t>
        </is>
      </c>
      <c r="I3028" s="3" t="inlineStr">
        <is>
          <t>대</t>
        </is>
      </c>
      <c r="J3028" s="3" t="inlineStr">
        <is>
          <t>부강면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2022</v>
      </c>
      <c r="B3030" s="4" t="n">
        <v>12190</v>
      </c>
      <c r="C3030" s="4" t="n">
        <v>1174</v>
      </c>
      <c r="D3030" s="4" t="n">
        <v>355.135</v>
      </c>
      <c r="E3030" s="5" t="n">
        <v>34.3</v>
      </c>
      <c r="F3030" s="3" t="inlineStr">
        <is>
          <t>전동면</t>
        </is>
      </c>
      <c r="G3030" s="3" t="inlineStr">
        <is>
          <t>청송리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전동면</t>
        </is>
      </c>
    </row>
    <row r="3031">
      <c r="A3031" s="3" t="n">
        <v>2022</v>
      </c>
      <c r="B3031" s="4" t="n">
        <v>3427</v>
      </c>
      <c r="C3031" s="4" t="n">
        <v>330</v>
      </c>
      <c r="D3031" s="4" t="n">
        <v>99.825</v>
      </c>
      <c r="E3031" s="5" t="n">
        <v>34.3</v>
      </c>
      <c r="F3031" s="3" t="inlineStr">
        <is>
          <t>전동면</t>
        </is>
      </c>
      <c r="G3031" s="3" t="inlineStr">
        <is>
          <t>청송리</t>
        </is>
      </c>
      <c r="H3031" s="3" t="inlineStr">
        <is>
          <t>농림지역</t>
        </is>
      </c>
      <c r="I3031" s="3" t="inlineStr">
        <is>
          <t>답</t>
        </is>
      </c>
      <c r="J3031" s="3" t="inlineStr">
        <is>
          <t>전동면</t>
        </is>
      </c>
    </row>
    <row r="3032">
      <c r="A3032" s="3" t="n">
        <v>2022</v>
      </c>
      <c r="B3032" s="4" t="n">
        <v>8733</v>
      </c>
      <c r="C3032" s="4" t="n">
        <v>841</v>
      </c>
      <c r="D3032" s="4" t="n">
        <v>254.4025</v>
      </c>
      <c r="E3032" s="5" t="n">
        <v>34.3</v>
      </c>
      <c r="F3032" s="3" t="inlineStr">
        <is>
          <t>전동면</t>
        </is>
      </c>
      <c r="G3032" s="3" t="inlineStr">
        <is>
          <t>청송리</t>
        </is>
      </c>
      <c r="H3032" s="3" t="inlineStr">
        <is>
          <t>농림지역</t>
        </is>
      </c>
      <c r="I3032" s="3" t="inlineStr">
        <is>
          <t>답</t>
        </is>
      </c>
      <c r="J3032" s="3" t="inlineStr">
        <is>
          <t>전동면</t>
        </is>
      </c>
    </row>
    <row r="3033">
      <c r="A3033" s="3" t="n">
        <v>2022</v>
      </c>
      <c r="B3033" s="4" t="n">
        <v>8805</v>
      </c>
      <c r="C3033" s="4" t="n">
        <v>848</v>
      </c>
      <c r="D3033" s="4" t="n">
        <v>256.52</v>
      </c>
      <c r="E3033" s="5" t="n">
        <v>34.3</v>
      </c>
      <c r="F3033" s="3" t="inlineStr">
        <is>
          <t>전동면</t>
        </is>
      </c>
      <c r="G3033" s="3" t="inlineStr">
        <is>
          <t>청송리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전동면</t>
        </is>
      </c>
    </row>
    <row r="3034">
      <c r="A3034" s="3" t="n">
        <v>2022</v>
      </c>
      <c r="B3034" s="4" t="n">
        <v>2845</v>
      </c>
      <c r="C3034" s="4" t="n">
        <v>274</v>
      </c>
      <c r="D3034" s="4" t="n">
        <v>82.88499999999999</v>
      </c>
      <c r="E3034" s="5" t="n">
        <v>34.3</v>
      </c>
      <c r="F3034" s="3" t="inlineStr">
        <is>
          <t>전동면</t>
        </is>
      </c>
      <c r="G3034" s="3" t="inlineStr">
        <is>
          <t>청송리</t>
        </is>
      </c>
      <c r="H3034" s="3" t="inlineStr">
        <is>
          <t>농림지역</t>
        </is>
      </c>
      <c r="I3034" s="3" t="inlineStr">
        <is>
          <t>전</t>
        </is>
      </c>
      <c r="J3034" s="3" t="inlineStr">
        <is>
          <t>전동면</t>
        </is>
      </c>
    </row>
    <row r="3035">
      <c r="A3035" s="3" t="n">
        <v>2022</v>
      </c>
      <c r="B3035" s="4" t="n">
        <v>101500</v>
      </c>
      <c r="C3035" s="4" t="n">
        <v>3030</v>
      </c>
      <c r="D3035" s="4" t="n">
        <v>916.5749999999999</v>
      </c>
      <c r="E3035" s="5" t="n">
        <v>110.7</v>
      </c>
      <c r="F3035" s="3" t="inlineStr">
        <is>
          <t>연기면</t>
        </is>
      </c>
      <c r="G3035" s="3" t="inlineStr">
        <is>
          <t>눌왕리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연기면</t>
        </is>
      </c>
    </row>
    <row r="3036">
      <c r="A3036" s="3" t="n">
        <v>2022</v>
      </c>
      <c r="B3036" s="4" t="n">
        <v>25000</v>
      </c>
      <c r="C3036" s="4" t="n">
        <v>631</v>
      </c>
      <c r="D3036" s="4" t="n">
        <v>190.8775</v>
      </c>
      <c r="E3036" s="5" t="n">
        <v>131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계획관리지역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2022</v>
      </c>
      <c r="B3037" s="4" t="n">
        <v>100000</v>
      </c>
      <c r="C3037" s="4" t="n">
        <v>1653</v>
      </c>
      <c r="D3037" s="4" t="n">
        <v>500.0325</v>
      </c>
      <c r="E3037" s="5" t="n">
        <v>200</v>
      </c>
      <c r="F3037" s="3" t="inlineStr">
        <is>
          <t>장군면</t>
        </is>
      </c>
      <c r="G3037" s="3" t="inlineStr">
        <is>
          <t>송문리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장군면</t>
        </is>
      </c>
    </row>
    <row r="3038">
      <c r="A3038" s="3" t="n">
        <v>2022</v>
      </c>
      <c r="B3038" s="4" t="n">
        <v>90500</v>
      </c>
      <c r="C3038" s="4" t="n">
        <v>2307</v>
      </c>
      <c r="D3038" s="4" t="n">
        <v>697.8674999999999</v>
      </c>
      <c r="E3038" s="5" t="n">
        <v>129.7</v>
      </c>
      <c r="F3038" s="3" t="inlineStr">
        <is>
          <t>연기면</t>
        </is>
      </c>
      <c r="G3038" s="3" t="inlineStr">
        <is>
          <t>눌왕리</t>
        </is>
      </c>
      <c r="H3038" s="3" t="inlineStr">
        <is>
          <t>농림지역</t>
        </is>
      </c>
      <c r="I3038" s="3" t="inlineStr">
        <is>
          <t>전</t>
        </is>
      </c>
      <c r="J3038" s="3" t="inlineStr">
        <is>
          <t>연기면</t>
        </is>
      </c>
    </row>
    <row r="3039">
      <c r="A3039" s="3" t="n">
        <v>2022</v>
      </c>
      <c r="B3039" s="4" t="n">
        <v>6500</v>
      </c>
      <c r="C3039" s="4" t="n">
        <v>1653</v>
      </c>
      <c r="D3039" s="4" t="n">
        <v>500.0325</v>
      </c>
      <c r="E3039" s="5" t="n">
        <v>13</v>
      </c>
      <c r="F3039" s="3" t="inlineStr">
        <is>
          <t>전동면</t>
        </is>
      </c>
      <c r="G3039" s="3" t="inlineStr">
        <is>
          <t>노장리</t>
        </is>
      </c>
      <c r="H3039" s="3" t="inlineStr">
        <is>
          <t>농림지역</t>
        </is>
      </c>
      <c r="I3039" s="3" t="inlineStr">
        <is>
          <t>임야</t>
        </is>
      </c>
      <c r="J3039" s="3" t="inlineStr">
        <is>
          <t>전동면</t>
        </is>
      </c>
    </row>
    <row r="3040">
      <c r="A3040" s="3" t="n">
        <v>2022</v>
      </c>
      <c r="B3040" s="4" t="n">
        <v>6500</v>
      </c>
      <c r="C3040" s="4" t="n">
        <v>1653</v>
      </c>
      <c r="D3040" s="4" t="n">
        <v>500.0325</v>
      </c>
      <c r="E3040" s="5" t="n">
        <v>13</v>
      </c>
      <c r="F3040" s="3" t="inlineStr">
        <is>
          <t>전동면</t>
        </is>
      </c>
      <c r="G3040" s="3" t="inlineStr">
        <is>
          <t>노장리</t>
        </is>
      </c>
      <c r="H3040" s="3" t="inlineStr">
        <is>
          <t>농림지역</t>
        </is>
      </c>
      <c r="I3040" s="3" t="inlineStr">
        <is>
          <t>임야</t>
        </is>
      </c>
      <c r="J3040" s="3" t="inlineStr">
        <is>
          <t>전동면</t>
        </is>
      </c>
    </row>
    <row r="3041">
      <c r="A3041" s="3" t="n">
        <v>2022</v>
      </c>
      <c r="B3041" s="4" t="n">
        <v>13000</v>
      </c>
      <c r="C3041" s="4" t="n">
        <v>3359</v>
      </c>
      <c r="D3041" s="4" t="n">
        <v>1016.0975</v>
      </c>
      <c r="E3041" s="5" t="n">
        <v>12.8</v>
      </c>
      <c r="F3041" s="3" t="inlineStr">
        <is>
          <t>전동면</t>
        </is>
      </c>
      <c r="G3041" s="3" t="inlineStr">
        <is>
          <t>노장리</t>
        </is>
      </c>
      <c r="H3041" s="3" t="inlineStr">
        <is>
          <t>농림지역</t>
        </is>
      </c>
      <c r="I3041" s="3" t="inlineStr">
        <is>
          <t>임야</t>
        </is>
      </c>
      <c r="J3041" s="3" t="inlineStr">
        <is>
          <t>전동면</t>
        </is>
      </c>
    </row>
    <row r="3042">
      <c r="A3042" s="3" t="n">
        <v>2022</v>
      </c>
      <c r="B3042" s="4" t="n">
        <v>26000</v>
      </c>
      <c r="C3042" s="4" t="n">
        <v>6611</v>
      </c>
      <c r="D3042" s="4" t="n">
        <v>1999.8275</v>
      </c>
      <c r="E3042" s="5" t="n">
        <v>13</v>
      </c>
      <c r="F3042" s="3" t="inlineStr">
        <is>
          <t>전동면</t>
        </is>
      </c>
      <c r="G3042" s="3" t="inlineStr">
        <is>
          <t>노장리</t>
        </is>
      </c>
      <c r="H3042" s="3" t="inlineStr">
        <is>
          <t>농림지역</t>
        </is>
      </c>
      <c r="I3042" s="3" t="inlineStr">
        <is>
          <t>임야</t>
        </is>
      </c>
      <c r="J3042" s="3" t="inlineStr">
        <is>
          <t>전동면</t>
        </is>
      </c>
    </row>
    <row r="3043">
      <c r="A3043" s="3" t="n">
        <v>2022</v>
      </c>
      <c r="B3043" s="4" t="n">
        <v>13764</v>
      </c>
      <c r="C3043" s="4" t="n">
        <v>182</v>
      </c>
      <c r="D3043" s="4" t="n">
        <v>55.055</v>
      </c>
      <c r="E3043" s="5" t="n">
        <v>250</v>
      </c>
      <c r="F3043" s="3" t="inlineStr">
        <is>
          <t>전동면</t>
        </is>
      </c>
      <c r="G3043" s="3" t="inlineStr">
        <is>
          <t>노장리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전동면</t>
        </is>
      </c>
    </row>
    <row r="3044">
      <c r="A3044" s="3" t="n">
        <v>2022</v>
      </c>
      <c r="B3044" s="4" t="n">
        <v>94531</v>
      </c>
      <c r="C3044" s="4" t="n">
        <v>1250</v>
      </c>
      <c r="D3044" s="4" t="n">
        <v>378.125</v>
      </c>
      <c r="E3044" s="5" t="n">
        <v>250</v>
      </c>
      <c r="F3044" s="3" t="inlineStr">
        <is>
          <t>전동면</t>
        </is>
      </c>
      <c r="G3044" s="3" t="inlineStr">
        <is>
          <t>노장리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2022</v>
      </c>
      <c r="B3045" s="4" t="n">
        <v>211400</v>
      </c>
      <c r="C3045" s="4" t="n">
        <v>2410</v>
      </c>
      <c r="D3045" s="4" t="n">
        <v>729.025</v>
      </c>
      <c r="E3045" s="5" t="n">
        <v>290</v>
      </c>
      <c r="F3045" s="3" t="inlineStr">
        <is>
          <t>연동면</t>
        </is>
      </c>
      <c r="G3045" s="3" t="inlineStr">
        <is>
          <t>문주리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2022</v>
      </c>
      <c r="B3046" s="4" t="n">
        <v>3440</v>
      </c>
      <c r="C3046" s="4" t="n">
        <v>76</v>
      </c>
      <c r="D3046" s="4" t="n">
        <v>22.99</v>
      </c>
      <c r="E3046" s="5" t="n">
        <v>149.6</v>
      </c>
      <c r="F3046" s="3" t="inlineStr">
        <is>
          <t>전동면</t>
        </is>
      </c>
      <c r="G3046" s="3" t="inlineStr">
        <is>
          <t>노장리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전동면</t>
        </is>
      </c>
    </row>
    <row r="3047">
      <c r="A3047" s="3" t="n">
        <v>2022</v>
      </c>
      <c r="B3047" s="4" t="n">
        <v>39000</v>
      </c>
      <c r="C3047" s="4" t="n">
        <v>1078</v>
      </c>
      <c r="D3047" s="4" t="n">
        <v>326.095</v>
      </c>
      <c r="E3047" s="5" t="n">
        <v>119.6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부강면</t>
        </is>
      </c>
    </row>
    <row r="3048">
      <c r="A3048" s="3" t="n">
        <v>2022</v>
      </c>
      <c r="B3048" s="4" t="n">
        <v>35000</v>
      </c>
      <c r="C3048" s="4" t="n">
        <v>973</v>
      </c>
      <c r="D3048" s="4" t="n">
        <v>294.3325</v>
      </c>
      <c r="E3048" s="5" t="n">
        <v>118.9</v>
      </c>
      <c r="F3048" s="3" t="inlineStr">
        <is>
          <t>부강면</t>
        </is>
      </c>
      <c r="G3048" s="3" t="inlineStr">
        <is>
          <t>문곡리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부강면</t>
        </is>
      </c>
    </row>
    <row r="3049">
      <c r="A3049" s="3" t="n">
        <v>2022</v>
      </c>
      <c r="B3049" s="4" t="n">
        <v>6000</v>
      </c>
      <c r="C3049" s="4" t="n">
        <v>171</v>
      </c>
      <c r="D3049" s="4" t="n">
        <v>51.7275</v>
      </c>
      <c r="E3049" s="5" t="n">
        <v>116</v>
      </c>
      <c r="F3049" s="3" t="inlineStr">
        <is>
          <t>부강면</t>
        </is>
      </c>
      <c r="G3049" s="3" t="inlineStr">
        <is>
          <t>문곡리</t>
        </is>
      </c>
      <c r="H3049" s="3" t="inlineStr">
        <is>
          <t>계획관리지역</t>
        </is>
      </c>
      <c r="I3049" s="3" t="inlineStr">
        <is>
          <t>도로</t>
        </is>
      </c>
      <c r="J3049" s="3" t="inlineStr">
        <is>
          <t>부강면</t>
        </is>
      </c>
    </row>
    <row r="3050">
      <c r="A3050" s="3" t="n">
        <v>2022</v>
      </c>
      <c r="B3050" s="4" t="n">
        <v>96500</v>
      </c>
      <c r="C3050" s="4" t="n">
        <v>427</v>
      </c>
      <c r="D3050" s="4" t="n">
        <v>129.1675</v>
      </c>
      <c r="E3050" s="5" t="n">
        <v>747.1</v>
      </c>
      <c r="F3050" s="3" t="inlineStr">
        <is>
          <t>조치원읍</t>
        </is>
      </c>
      <c r="G3050" s="3" t="inlineStr">
        <is>
          <t>상리</t>
        </is>
      </c>
      <c r="H3050" s="3" t="inlineStr">
        <is>
          <t>일반상업지역</t>
        </is>
      </c>
      <c r="I3050" s="3" t="inlineStr">
        <is>
          <t>대</t>
        </is>
      </c>
      <c r="J3050" s="3" t="inlineStr">
        <is>
          <t>조치원읍</t>
        </is>
      </c>
    </row>
    <row r="3051">
      <c r="A3051" s="3" t="n">
        <v>2022</v>
      </c>
      <c r="B3051" s="4" t="n">
        <v>142000</v>
      </c>
      <c r="C3051" s="4" t="n">
        <v>1423</v>
      </c>
      <c r="D3051" s="4" t="n">
        <v>430.4575</v>
      </c>
      <c r="E3051" s="5" t="n">
        <v>329.9</v>
      </c>
      <c r="F3051" s="3" t="inlineStr">
        <is>
          <t>부강면</t>
        </is>
      </c>
      <c r="G3051" s="3" t="inlineStr">
        <is>
          <t>부강리</t>
        </is>
      </c>
      <c r="H3051" s="3" t="inlineStr">
        <is>
          <t>계획관리지역</t>
        </is>
      </c>
      <c r="I3051" s="3" t="inlineStr">
        <is>
          <t>공장용지</t>
        </is>
      </c>
      <c r="J3051" s="3" t="inlineStr">
        <is>
          <t>부강면</t>
        </is>
      </c>
    </row>
    <row r="3052">
      <c r="A3052" s="3" t="n">
        <v>2022</v>
      </c>
      <c r="B3052" s="4" t="n">
        <v>56000</v>
      </c>
      <c r="C3052" s="4" t="n">
        <v>2106</v>
      </c>
      <c r="D3052" s="4" t="n">
        <v>637.0649999999999</v>
      </c>
      <c r="E3052" s="5" t="n">
        <v>87.90000000000001</v>
      </c>
      <c r="F3052" s="3" t="inlineStr">
        <is>
          <t>연서면</t>
        </is>
      </c>
      <c r="G3052" s="3" t="inlineStr">
        <is>
          <t>용암리</t>
        </is>
      </c>
      <c r="H3052" s="3" t="inlineStr">
        <is>
          <t>농림지역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35640</v>
      </c>
      <c r="C3053" s="4" t="n">
        <v>537</v>
      </c>
      <c r="D3053" s="4" t="n">
        <v>162.4425</v>
      </c>
      <c r="E3053" s="5" t="n">
        <v>219.4</v>
      </c>
      <c r="F3053" s="3" t="inlineStr">
        <is>
          <t>금남면</t>
        </is>
      </c>
      <c r="G3053" s="3" t="inlineStr">
        <is>
          <t>용담리</t>
        </is>
      </c>
      <c r="H3053" s="3" t="inlineStr">
        <is>
          <t>제1종일반주거지역</t>
        </is>
      </c>
      <c r="I3053" s="3" t="inlineStr">
        <is>
          <t>답</t>
        </is>
      </c>
      <c r="J3053" s="3" t="inlineStr">
        <is>
          <t>금남면</t>
        </is>
      </c>
    </row>
    <row r="3054">
      <c r="A3054" s="3" t="n">
        <v>2026</v>
      </c>
      <c r="B3054" s="4" t="n">
        <v>11250</v>
      </c>
      <c r="C3054" s="4" t="n">
        <v>126</v>
      </c>
      <c r="D3054" s="4" t="n">
        <v>38.115</v>
      </c>
      <c r="E3054" s="5" t="n">
        <v>295.2</v>
      </c>
      <c r="F3054" s="3" t="inlineStr">
        <is>
          <t>오송읍</t>
        </is>
      </c>
      <c r="G3054" s="3" t="inlineStr">
        <is>
          <t>동평리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25000</v>
      </c>
      <c r="C3055" s="4" t="n">
        <v>4241</v>
      </c>
      <c r="D3055" s="4" t="n">
        <v>1282.9025</v>
      </c>
      <c r="E3055" s="5" t="n">
        <v>19.5</v>
      </c>
      <c r="F3055" s="3" t="inlineStr">
        <is>
          <t>강내면</t>
        </is>
      </c>
      <c r="G3055" s="3" t="inlineStr">
        <is>
          <t>사인리</t>
        </is>
      </c>
      <c r="H3055" s="3" t="inlineStr">
        <is>
          <t>생산녹지지역</t>
        </is>
      </c>
      <c r="I3055" s="3" t="inlineStr">
        <is>
          <t>답</t>
        </is>
      </c>
      <c r="J3055" s="3" t="inlineStr">
        <is>
          <t>강내면</t>
        </is>
      </c>
    </row>
    <row r="3056">
      <c r="A3056" s="3" t="n">
        <v>2026</v>
      </c>
      <c r="B3056" s="4" t="n">
        <v>10600</v>
      </c>
      <c r="C3056" s="4" t="n">
        <v>701</v>
      </c>
      <c r="D3056" s="4" t="n">
        <v>212.0525</v>
      </c>
      <c r="E3056" s="5" t="n">
        <v>50</v>
      </c>
      <c r="F3056" s="3" t="inlineStr">
        <is>
          <t>오송읍</t>
        </is>
      </c>
      <c r="G3056" s="3" t="inlineStr">
        <is>
          <t>정중리</t>
        </is>
      </c>
      <c r="H3056" s="3" t="inlineStr">
        <is>
          <t>생산관리지역</t>
        </is>
      </c>
      <c r="I3056" s="3" t="inlineStr">
        <is>
          <t>과수원</t>
        </is>
      </c>
      <c r="J3056" s="3" t="inlineStr">
        <is>
          <t>오송읍</t>
        </is>
      </c>
    </row>
    <row r="3057">
      <c r="A3057" s="3" t="n">
        <v>2026</v>
      </c>
      <c r="B3057" s="4" t="n">
        <v>450</v>
      </c>
      <c r="C3057" s="4" t="n">
        <v>1028</v>
      </c>
      <c r="D3057" s="4" t="n">
        <v>310.97</v>
      </c>
      <c r="E3057" s="5" t="n">
        <v>1.4</v>
      </c>
      <c r="F3057" s="3" t="inlineStr">
        <is>
          <t>오송읍</t>
        </is>
      </c>
      <c r="G3057" s="3" t="inlineStr">
        <is>
          <t>공북리</t>
        </is>
      </c>
      <c r="H3057" s="3" t="inlineStr">
        <is>
          <t>보전관리지역</t>
        </is>
      </c>
      <c r="I3057" s="3" t="inlineStr">
        <is>
          <t>전</t>
        </is>
      </c>
      <c r="J3057" s="3" t="inlineStr">
        <is>
          <t>오송읍</t>
        </is>
      </c>
    </row>
    <row r="3058">
      <c r="A3058" s="3" t="n">
        <v>2022</v>
      </c>
      <c r="B3058" s="4" t="n">
        <v>71000</v>
      </c>
      <c r="C3058" s="4" t="n">
        <v>285.9</v>
      </c>
      <c r="D3058" s="4" t="n">
        <v>86.48474999999999</v>
      </c>
      <c r="E3058" s="5" t="n">
        <v>821</v>
      </c>
      <c r="F3058" s="3" t="inlineStr">
        <is>
          <t>아름동</t>
        </is>
      </c>
      <c r="G3058" s="3" t="inlineStr"/>
      <c r="H3058" s="3" t="inlineStr">
        <is>
          <t>제1종전용주거지역</t>
        </is>
      </c>
      <c r="I3058" s="3" t="inlineStr">
        <is>
          <t>대</t>
        </is>
      </c>
      <c r="J3058" s="3" t="inlineStr">
        <is>
          <t>아름동</t>
        </is>
      </c>
    </row>
    <row r="3059">
      <c r="A3059" s="3" t="n">
        <v>2023</v>
      </c>
      <c r="B3059" s="4" t="n">
        <v>6500</v>
      </c>
      <c r="C3059" s="4" t="n">
        <v>1021</v>
      </c>
      <c r="D3059" s="4" t="n">
        <v>308.8525</v>
      </c>
      <c r="E3059" s="5" t="n">
        <v>21</v>
      </c>
      <c r="F3059" s="3" t="inlineStr">
        <is>
          <t>부강면</t>
        </is>
      </c>
      <c r="G3059" s="3" t="inlineStr">
        <is>
          <t>문곡리</t>
        </is>
      </c>
      <c r="H3059" s="3" t="inlineStr">
        <is>
          <t>생산관리지역</t>
        </is>
      </c>
      <c r="I3059" s="3" t="inlineStr">
        <is>
          <t>전</t>
        </is>
      </c>
      <c r="J3059" s="3" t="inlineStr">
        <is>
          <t>부강면</t>
        </is>
      </c>
    </row>
    <row r="3060">
      <c r="A3060" s="3" t="n">
        <v>2025</v>
      </c>
      <c r="B3060" s="4" t="n">
        <v>33</v>
      </c>
      <c r="C3060" s="4" t="n">
        <v>1</v>
      </c>
      <c r="D3060" s="4" t="n">
        <v>0.3025</v>
      </c>
      <c r="E3060" s="5" t="n">
        <v>109.1</v>
      </c>
      <c r="F3060" s="3" t="inlineStr">
        <is>
          <t>부강면</t>
        </is>
      </c>
      <c r="G3060" s="3" t="inlineStr">
        <is>
          <t>부강리</t>
        </is>
      </c>
      <c r="H3060" s="3" t="inlineStr">
        <is>
          <t>제2종일반주거지역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2025</v>
      </c>
      <c r="B3061" s="4" t="n">
        <v>7527</v>
      </c>
      <c r="C3061" s="4" t="n">
        <v>1653</v>
      </c>
      <c r="D3061" s="4" t="n">
        <v>500.0325</v>
      </c>
      <c r="E3061" s="5" t="n">
        <v>15.1</v>
      </c>
      <c r="F3061" s="3" t="inlineStr">
        <is>
          <t>부강면</t>
        </is>
      </c>
      <c r="G3061" s="3" t="inlineStr">
        <is>
          <t>노호리</t>
        </is>
      </c>
      <c r="H3061" s="3" t="inlineStr">
        <is>
          <t>보전관리지역</t>
        </is>
      </c>
      <c r="I3061" s="3" t="inlineStr">
        <is>
          <t>임야</t>
        </is>
      </c>
      <c r="J3061" s="3" t="inlineStr">
        <is>
          <t>부강면</t>
        </is>
      </c>
    </row>
    <row r="3062">
      <c r="A3062" s="3" t="n">
        <v>2022</v>
      </c>
      <c r="B3062" s="4" t="n">
        <v>20300</v>
      </c>
      <c r="C3062" s="4" t="n">
        <v>893</v>
      </c>
      <c r="D3062" s="4" t="n">
        <v>270.1325</v>
      </c>
      <c r="E3062" s="5" t="n">
        <v>75.09999999999999</v>
      </c>
      <c r="F3062" s="3" t="inlineStr">
        <is>
          <t>남이면</t>
        </is>
      </c>
      <c r="G3062" s="3" t="inlineStr">
        <is>
          <t>비룡리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11643</v>
      </c>
      <c r="C3063" s="4" t="n">
        <v>456</v>
      </c>
      <c r="D3063" s="4" t="n">
        <v>137.94</v>
      </c>
      <c r="E3063" s="5" t="n">
        <v>84.40000000000001</v>
      </c>
      <c r="F3063" s="3" t="inlineStr">
        <is>
          <t>남이면</t>
        </is>
      </c>
      <c r="G3063" s="3" t="inlineStr">
        <is>
          <t>비룡리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남이면</t>
        </is>
      </c>
    </row>
    <row r="3064">
      <c r="A3064" s="3" t="n">
        <v>2022</v>
      </c>
      <c r="B3064" s="4" t="n">
        <v>93357</v>
      </c>
      <c r="C3064" s="4" t="n">
        <v>2630</v>
      </c>
      <c r="D3064" s="4" t="n">
        <v>795.5749999999999</v>
      </c>
      <c r="E3064" s="5" t="n">
        <v>117.3</v>
      </c>
      <c r="F3064" s="3" t="inlineStr">
        <is>
          <t>남이면</t>
        </is>
      </c>
      <c r="G3064" s="3" t="inlineStr">
        <is>
          <t>비룡리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2700</v>
      </c>
      <c r="C3065" s="4" t="n">
        <v>87</v>
      </c>
      <c r="D3065" s="4" t="n">
        <v>26.3175</v>
      </c>
      <c r="E3065" s="5" t="n">
        <v>102.6</v>
      </c>
      <c r="F3065" s="3" t="inlineStr">
        <is>
          <t>남이면</t>
        </is>
      </c>
      <c r="G3065" s="3" t="inlineStr">
        <is>
          <t>비룡리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5800</v>
      </c>
      <c r="C3066" s="4" t="n">
        <v>435</v>
      </c>
      <c r="D3066" s="4" t="n">
        <v>131.5875</v>
      </c>
      <c r="E3066" s="5" t="n">
        <v>44.1</v>
      </c>
      <c r="F3066" s="3" t="inlineStr">
        <is>
          <t>남이면</t>
        </is>
      </c>
      <c r="G3066" s="3" t="inlineStr">
        <is>
          <t>갈원리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25139</v>
      </c>
      <c r="C3067" s="4" t="n">
        <v>3612</v>
      </c>
      <c r="D3067" s="4" t="n">
        <v>1092.63</v>
      </c>
      <c r="E3067" s="5" t="n">
        <v>23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남이면</t>
        </is>
      </c>
    </row>
    <row r="3068">
      <c r="A3068" s="3" t="n">
        <v>2022</v>
      </c>
      <c r="B3068" s="4" t="n">
        <v>3473</v>
      </c>
      <c r="C3068" s="4" t="n">
        <v>500</v>
      </c>
      <c r="D3068" s="4" t="n">
        <v>151.25</v>
      </c>
      <c r="E3068" s="5" t="n">
        <v>23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묘지</t>
        </is>
      </c>
      <c r="J3068" s="3" t="inlineStr">
        <is>
          <t>남이면</t>
        </is>
      </c>
    </row>
    <row r="3069">
      <c r="A3069" s="3" t="n">
        <v>2022</v>
      </c>
      <c r="B3069" s="4" t="n">
        <v>16864</v>
      </c>
      <c r="C3069" s="4" t="n">
        <v>620</v>
      </c>
      <c r="D3069" s="4" t="n">
        <v>187.55</v>
      </c>
      <c r="E3069" s="5" t="n">
        <v>89.90000000000001</v>
      </c>
      <c r="F3069" s="3" t="inlineStr">
        <is>
          <t>남이면</t>
        </is>
      </c>
      <c r="G3069" s="3" t="inlineStr">
        <is>
          <t>가좌리</t>
        </is>
      </c>
      <c r="H3069" s="3" t="inlineStr">
        <is>
          <t>자연녹지지역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6810</v>
      </c>
      <c r="C3070" s="4" t="n">
        <v>250</v>
      </c>
      <c r="D3070" s="4" t="n">
        <v>75.625</v>
      </c>
      <c r="E3070" s="5" t="n">
        <v>90</v>
      </c>
      <c r="F3070" s="3" t="inlineStr">
        <is>
          <t>남이면</t>
        </is>
      </c>
      <c r="G3070" s="3" t="inlineStr">
        <is>
          <t>가좌리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2022</v>
      </c>
      <c r="B3071" s="4" t="n">
        <v>10621</v>
      </c>
      <c r="C3071" s="4" t="n">
        <v>130</v>
      </c>
      <c r="D3071" s="4" t="n">
        <v>39.325</v>
      </c>
      <c r="E3071" s="5" t="n">
        <v>270.1</v>
      </c>
      <c r="F3071" s="3" t="inlineStr">
        <is>
          <t>현도면</t>
        </is>
      </c>
      <c r="G3071" s="3" t="inlineStr">
        <is>
          <t>선동리</t>
        </is>
      </c>
      <c r="H3071" s="3" t="inlineStr">
        <is>
          <t>제1종일반주거지역</t>
        </is>
      </c>
      <c r="I3071" s="3" t="inlineStr">
        <is>
          <t>대</t>
        </is>
      </c>
      <c r="J3071" s="3" t="inlineStr">
        <is>
          <t>현도면</t>
        </is>
      </c>
    </row>
    <row r="3072">
      <c r="A3072" s="3" t="n">
        <v>2022</v>
      </c>
      <c r="B3072" s="4" t="n">
        <v>1110</v>
      </c>
      <c r="C3072" s="4" t="n">
        <v>57</v>
      </c>
      <c r="D3072" s="4" t="n">
        <v>17.2425</v>
      </c>
      <c r="E3072" s="5" t="n">
        <v>64.40000000000001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남이면</t>
        </is>
      </c>
    </row>
    <row r="3073">
      <c r="A3073" s="3" t="n">
        <v>2022</v>
      </c>
      <c r="B3073" s="4" t="n">
        <v>5390</v>
      </c>
      <c r="C3073" s="4" t="n">
        <v>290</v>
      </c>
      <c r="D3073" s="4" t="n">
        <v>87.72499999999999</v>
      </c>
      <c r="E3073" s="5" t="n">
        <v>61.4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3700</v>
      </c>
      <c r="C3074" s="4" t="n">
        <v>271</v>
      </c>
      <c r="D3074" s="4" t="n">
        <v>81.97749999999999</v>
      </c>
      <c r="E3074" s="5" t="n">
        <v>45.1</v>
      </c>
      <c r="F3074" s="3" t="inlineStr">
        <is>
          <t>현도면</t>
        </is>
      </c>
      <c r="G3074" s="3" t="inlineStr">
        <is>
          <t>중삼리</t>
        </is>
      </c>
      <c r="H3074" s="3" t="inlineStr">
        <is>
          <t>계획관리지역</t>
        </is>
      </c>
      <c r="I3074" s="3" t="inlineStr">
        <is>
          <t>도로</t>
        </is>
      </c>
      <c r="J3074" s="3" t="inlineStr">
        <is>
          <t>현도면</t>
        </is>
      </c>
    </row>
    <row r="3075">
      <c r="A3075" s="3" t="n">
        <v>2022</v>
      </c>
      <c r="B3075" s="4" t="n">
        <v>230</v>
      </c>
      <c r="C3075" s="4" t="n">
        <v>17</v>
      </c>
      <c r="D3075" s="4" t="n">
        <v>5.1425</v>
      </c>
      <c r="E3075" s="5" t="n">
        <v>44.7</v>
      </c>
      <c r="F3075" s="3" t="inlineStr">
        <is>
          <t>현도면</t>
        </is>
      </c>
      <c r="G3075" s="3" t="inlineStr">
        <is>
          <t>중삼리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현도면</t>
        </is>
      </c>
    </row>
    <row r="3076">
      <c r="A3076" s="3" t="n">
        <v>2022</v>
      </c>
      <c r="B3076" s="4" t="n">
        <v>31390</v>
      </c>
      <c r="C3076" s="4" t="n">
        <v>2414</v>
      </c>
      <c r="D3076" s="4" t="n">
        <v>730.235</v>
      </c>
      <c r="E3076" s="5" t="n">
        <v>43</v>
      </c>
      <c r="F3076" s="3" t="inlineStr">
        <is>
          <t>현도면</t>
        </is>
      </c>
      <c r="G3076" s="3" t="inlineStr">
        <is>
          <t>달계리</t>
        </is>
      </c>
      <c r="H3076" s="3" t="inlineStr">
        <is>
          <t>개발제한구역</t>
        </is>
      </c>
      <c r="I3076" s="3" t="inlineStr">
        <is>
          <t>전</t>
        </is>
      </c>
      <c r="J3076" s="3" t="inlineStr">
        <is>
          <t>현도면</t>
        </is>
      </c>
    </row>
    <row r="3077">
      <c r="A3077" s="3" t="n">
        <v>2025</v>
      </c>
      <c r="B3077" s="4" t="n">
        <v>9000</v>
      </c>
      <c r="C3077" s="4" t="n">
        <v>744</v>
      </c>
      <c r="D3077" s="4" t="n">
        <v>225.06</v>
      </c>
      <c r="E3077" s="5" t="n">
        <v>40</v>
      </c>
      <c r="F3077" s="3" t="inlineStr">
        <is>
          <t>오송읍</t>
        </is>
      </c>
      <c r="G3077" s="3" t="inlineStr">
        <is>
          <t>서평리</t>
        </is>
      </c>
      <c r="H3077" s="3" t="inlineStr">
        <is>
          <t>농림지역</t>
        </is>
      </c>
      <c r="I3077" s="3" t="inlineStr">
        <is>
          <t>전</t>
        </is>
      </c>
      <c r="J3077" s="3" t="inlineStr">
        <is>
          <t>오송읍</t>
        </is>
      </c>
    </row>
    <row r="3078">
      <c r="A3078" s="3" t="n">
        <v>2023</v>
      </c>
      <c r="B3078" s="4" t="n">
        <v>145000</v>
      </c>
      <c r="C3078" s="4" t="n">
        <v>3577</v>
      </c>
      <c r="D3078" s="4" t="n">
        <v>1082.0425</v>
      </c>
      <c r="E3078" s="5" t="n">
        <v>134</v>
      </c>
      <c r="F3078" s="3" t="inlineStr">
        <is>
          <t>강내면</t>
        </is>
      </c>
      <c r="G3078" s="3" t="inlineStr">
        <is>
          <t>태성리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강내면</t>
        </is>
      </c>
    </row>
    <row r="3079">
      <c r="A3079" s="3" t="n">
        <v>2023</v>
      </c>
      <c r="B3079" s="4" t="n">
        <v>190</v>
      </c>
      <c r="C3079" s="4" t="n">
        <v>6</v>
      </c>
      <c r="D3079" s="4" t="n">
        <v>1.815</v>
      </c>
      <c r="E3079" s="5" t="n">
        <v>104.7</v>
      </c>
      <c r="F3079" s="3" t="inlineStr">
        <is>
          <t>강내면</t>
        </is>
      </c>
      <c r="G3079" s="3" t="inlineStr">
        <is>
          <t>저산리</t>
        </is>
      </c>
      <c r="H3079" s="3" t="inlineStr">
        <is>
          <t>계획관리지역</t>
        </is>
      </c>
      <c r="I3079" s="3" t="inlineStr">
        <is>
          <t>대</t>
        </is>
      </c>
      <c r="J3079" s="3" t="inlineStr">
        <is>
          <t>강내면</t>
        </is>
      </c>
    </row>
    <row r="3080">
      <c r="A3080" s="3" t="n">
        <v>2023</v>
      </c>
      <c r="B3080" s="4" t="n">
        <v>23702</v>
      </c>
      <c r="C3080" s="4" t="n">
        <v>241</v>
      </c>
      <c r="D3080" s="4" t="n">
        <v>72.9025</v>
      </c>
      <c r="E3080" s="5" t="n">
        <v>325.1</v>
      </c>
      <c r="F3080" s="3" t="inlineStr">
        <is>
          <t>오송읍</t>
        </is>
      </c>
      <c r="G3080" s="3" t="inlineStr">
        <is>
          <t>정중리</t>
        </is>
      </c>
      <c r="H3080" s="3" t="inlineStr">
        <is>
          <t>계획관리지역</t>
        </is>
      </c>
      <c r="I3080" s="3" t="inlineStr">
        <is>
          <t>전</t>
        </is>
      </c>
      <c r="J3080" s="3" t="inlineStr">
        <is>
          <t>오송읍</t>
        </is>
      </c>
    </row>
    <row r="3081">
      <c r="A3081" s="3" t="n">
        <v>2023</v>
      </c>
      <c r="B3081" s="4" t="n">
        <v>9535</v>
      </c>
      <c r="C3081" s="4" t="n">
        <v>97</v>
      </c>
      <c r="D3081" s="4" t="n">
        <v>29.3425</v>
      </c>
      <c r="E3081" s="5" t="n">
        <v>325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계획관리지역</t>
        </is>
      </c>
      <c r="I3081" s="3" t="inlineStr">
        <is>
          <t>대</t>
        </is>
      </c>
      <c r="J3081" s="3" t="inlineStr">
        <is>
          <t>오송읍</t>
        </is>
      </c>
    </row>
    <row r="3082">
      <c r="A3082" s="3" t="n">
        <v>2023</v>
      </c>
      <c r="B3082" s="4" t="n">
        <v>27500</v>
      </c>
      <c r="C3082" s="4" t="n">
        <v>1819</v>
      </c>
      <c r="D3082" s="4" t="n">
        <v>550.2474999999999</v>
      </c>
      <c r="E3082" s="5" t="n">
        <v>50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강내면</t>
        </is>
      </c>
    </row>
    <row r="3083">
      <c r="A3083" s="3" t="n">
        <v>2023</v>
      </c>
      <c r="B3083" s="4" t="n">
        <v>12500</v>
      </c>
      <c r="C3083" s="4" t="n">
        <v>1357.2</v>
      </c>
      <c r="D3083" s="4" t="n">
        <v>410.553</v>
      </c>
      <c r="E3083" s="5" t="n">
        <v>30.4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강내면</t>
        </is>
      </c>
    </row>
    <row r="3084">
      <c r="A3084" s="3" t="n">
        <v>2023</v>
      </c>
      <c r="B3084" s="4" t="n">
        <v>30000</v>
      </c>
      <c r="C3084" s="4" t="n">
        <v>1928</v>
      </c>
      <c r="D3084" s="4" t="n">
        <v>583.22</v>
      </c>
      <c r="E3084" s="5" t="n">
        <v>51.4</v>
      </c>
      <c r="F3084" s="3" t="inlineStr">
        <is>
          <t>강내면</t>
        </is>
      </c>
      <c r="G3084" s="3" t="inlineStr">
        <is>
          <t>다락리</t>
        </is>
      </c>
      <c r="H3084" s="3" t="inlineStr">
        <is>
          <t>농림지역</t>
        </is>
      </c>
      <c r="I3084" s="3" t="inlineStr">
        <is>
          <t>전</t>
        </is>
      </c>
      <c r="J3084" s="3" t="inlineStr">
        <is>
          <t>강내면</t>
        </is>
      </c>
    </row>
    <row r="3085">
      <c r="A3085" s="3" t="n">
        <v>2023</v>
      </c>
      <c r="B3085" s="4" t="n">
        <v>1900</v>
      </c>
      <c r="C3085" s="4" t="n">
        <v>66</v>
      </c>
      <c r="D3085" s="4" t="n">
        <v>19.965</v>
      </c>
      <c r="E3085" s="5" t="n">
        <v>95.2</v>
      </c>
      <c r="F3085" s="3" t="inlineStr">
        <is>
          <t>강내면</t>
        </is>
      </c>
      <c r="G3085" s="3" t="inlineStr">
        <is>
          <t>사인리</t>
        </is>
      </c>
      <c r="H3085" s="3" t="inlineStr">
        <is>
          <t>자연녹지지역</t>
        </is>
      </c>
      <c r="I3085" s="3" t="inlineStr">
        <is>
          <t>도로</t>
        </is>
      </c>
      <c r="J3085" s="3" t="inlineStr">
        <is>
          <t>강내면</t>
        </is>
      </c>
    </row>
    <row r="3086">
      <c r="A3086" s="3" t="n">
        <v>2023</v>
      </c>
      <c r="B3086" s="4" t="n">
        <v>25762</v>
      </c>
      <c r="C3086" s="4" t="n">
        <v>501</v>
      </c>
      <c r="D3086" s="4" t="n">
        <v>151.5525</v>
      </c>
      <c r="E3086" s="5" t="n">
        <v>170</v>
      </c>
      <c r="F3086" s="3" t="inlineStr">
        <is>
          <t>오송읍</t>
        </is>
      </c>
      <c r="G3086" s="3" t="inlineStr">
        <is>
          <t>궁평리</t>
        </is>
      </c>
      <c r="H3086" s="3" t="inlineStr">
        <is>
          <t>농림지역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2023</v>
      </c>
      <c r="B3087" s="4" t="n">
        <v>10497</v>
      </c>
      <c r="C3087" s="4" t="n">
        <v>285</v>
      </c>
      <c r="D3087" s="4" t="n">
        <v>86.21249999999999</v>
      </c>
      <c r="E3087" s="5" t="n">
        <v>121.8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강내면</t>
        </is>
      </c>
    </row>
    <row r="3088">
      <c r="A3088" s="3" t="n">
        <v>2023</v>
      </c>
      <c r="B3088" s="4" t="n">
        <v>5303</v>
      </c>
      <c r="C3088" s="4" t="n">
        <v>144</v>
      </c>
      <c r="D3088" s="4" t="n">
        <v>43.56</v>
      </c>
      <c r="E3088" s="5" t="n">
        <v>121.7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전</t>
        </is>
      </c>
      <c r="J3088" s="3" t="inlineStr">
        <is>
          <t>강내면</t>
        </is>
      </c>
    </row>
    <row r="3089">
      <c r="A3089" s="3" t="n">
        <v>2023</v>
      </c>
      <c r="B3089" s="4" t="n">
        <v>37273</v>
      </c>
      <c r="C3089" s="4" t="n">
        <v>615</v>
      </c>
      <c r="D3089" s="4" t="n">
        <v>186.0375</v>
      </c>
      <c r="E3089" s="5" t="n">
        <v>200.4</v>
      </c>
      <c r="F3089" s="3" t="inlineStr">
        <is>
          <t>오송읍</t>
        </is>
      </c>
      <c r="G3089" s="3" t="inlineStr">
        <is>
          <t>궁평리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2023</v>
      </c>
      <c r="B3090" s="4" t="n">
        <v>2727</v>
      </c>
      <c r="C3090" s="4" t="n">
        <v>45</v>
      </c>
      <c r="D3090" s="4" t="n">
        <v>13.6125</v>
      </c>
      <c r="E3090" s="5" t="n">
        <v>200.3</v>
      </c>
      <c r="F3090" s="3" t="inlineStr">
        <is>
          <t>오송읍</t>
        </is>
      </c>
      <c r="G3090" s="3" t="inlineStr">
        <is>
          <t>궁평리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2026</v>
      </c>
      <c r="B3091" s="4" t="n">
        <v>155</v>
      </c>
      <c r="C3091" s="4" t="n">
        <v>23</v>
      </c>
      <c r="D3091" s="4" t="n">
        <v>6.9575</v>
      </c>
      <c r="E3091" s="5" t="n">
        <v>22.3</v>
      </c>
      <c r="F3091" s="3" t="inlineStr">
        <is>
          <t>강내면</t>
        </is>
      </c>
      <c r="G3091" s="3" t="inlineStr">
        <is>
          <t>학천리</t>
        </is>
      </c>
      <c r="H3091" s="3" t="inlineStr">
        <is>
          <t>생산녹지지역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2026</v>
      </c>
      <c r="B3092" s="4" t="n">
        <v>495</v>
      </c>
      <c r="C3092" s="4" t="n">
        <v>71</v>
      </c>
      <c r="D3092" s="4" t="n">
        <v>21.4775</v>
      </c>
      <c r="E3092" s="5" t="n">
        <v>23</v>
      </c>
      <c r="F3092" s="3" t="inlineStr">
        <is>
          <t>강내면</t>
        </is>
      </c>
      <c r="G3092" s="3" t="inlineStr">
        <is>
          <t>학천리</t>
        </is>
      </c>
      <c r="H3092" s="3" t="inlineStr">
        <is>
          <t>생산녹지지역</t>
        </is>
      </c>
      <c r="I3092" s="3" t="inlineStr">
        <is>
          <t>답</t>
        </is>
      </c>
      <c r="J3092" s="3" t="inlineStr">
        <is>
          <t>강내면</t>
        </is>
      </c>
    </row>
    <row r="3093">
      <c r="A3093" s="3" t="n">
        <v>2026</v>
      </c>
      <c r="B3093" s="4" t="n">
        <v>10000</v>
      </c>
      <c r="C3093" s="4" t="n">
        <v>506</v>
      </c>
      <c r="D3093" s="4" t="n">
        <v>153.065</v>
      </c>
      <c r="E3093" s="5" t="n">
        <v>65.3</v>
      </c>
      <c r="F3093" s="3" t="inlineStr">
        <is>
          <t>강내면</t>
        </is>
      </c>
      <c r="G3093" s="3" t="inlineStr">
        <is>
          <t>탑연리</t>
        </is>
      </c>
      <c r="H3093" s="3" t="inlineStr">
        <is>
          <t>자연녹지지역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2025</v>
      </c>
      <c r="B3094" s="4" t="n">
        <v>21587</v>
      </c>
      <c r="C3094" s="4" t="n">
        <v>2198</v>
      </c>
      <c r="D3094" s="4" t="n">
        <v>664.895</v>
      </c>
      <c r="E3094" s="5" t="n">
        <v>32.5</v>
      </c>
      <c r="F3094" s="3" t="inlineStr">
        <is>
          <t>오송읍</t>
        </is>
      </c>
      <c r="G3094" s="3" t="inlineStr">
        <is>
          <t>동평리</t>
        </is>
      </c>
      <c r="H3094" s="3" t="inlineStr">
        <is>
          <t>농림지역</t>
        </is>
      </c>
      <c r="I3094" s="3" t="inlineStr">
        <is>
          <t>답</t>
        </is>
      </c>
      <c r="J3094" s="3" t="inlineStr">
        <is>
          <t>오송읍</t>
        </is>
      </c>
    </row>
    <row r="3095">
      <c r="A3095" s="3" t="n">
        <v>2025</v>
      </c>
      <c r="B3095" s="4" t="n">
        <v>3413</v>
      </c>
      <c r="C3095" s="4" t="n">
        <v>347</v>
      </c>
      <c r="D3095" s="4" t="n">
        <v>104.9675</v>
      </c>
      <c r="E3095" s="5" t="n">
        <v>32.5</v>
      </c>
      <c r="F3095" s="3" t="inlineStr">
        <is>
          <t>오송읍</t>
        </is>
      </c>
      <c r="G3095" s="3" t="inlineStr">
        <is>
          <t>동평리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오송읍</t>
        </is>
      </c>
    </row>
    <row r="3096">
      <c r="A3096" s="3" t="n">
        <v>2025</v>
      </c>
      <c r="B3096" s="4" t="n">
        <v>460</v>
      </c>
      <c r="C3096" s="4" t="n">
        <v>75</v>
      </c>
      <c r="D3096" s="4" t="n">
        <v>22.6875</v>
      </c>
      <c r="E3096" s="5" t="n">
        <v>20.3</v>
      </c>
      <c r="F3096" s="3" t="inlineStr">
        <is>
          <t>강내면</t>
        </is>
      </c>
      <c r="G3096" s="3" t="inlineStr">
        <is>
          <t>다락리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2025</v>
      </c>
      <c r="B3097" s="4" t="n">
        <v>1600</v>
      </c>
      <c r="C3097" s="4" t="n">
        <v>265</v>
      </c>
      <c r="D3097" s="4" t="n">
        <v>80.16249999999999</v>
      </c>
      <c r="E3097" s="5" t="n">
        <v>20</v>
      </c>
      <c r="F3097" s="3" t="inlineStr">
        <is>
          <t>강내면</t>
        </is>
      </c>
      <c r="G3097" s="3" t="inlineStr">
        <is>
          <t>다락리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강내면</t>
        </is>
      </c>
    </row>
    <row r="3098">
      <c r="A3098" s="3" t="n">
        <v>2025</v>
      </c>
      <c r="B3098" s="4" t="n">
        <v>28500</v>
      </c>
      <c r="C3098" s="4" t="n">
        <v>2658</v>
      </c>
      <c r="D3098" s="4" t="n">
        <v>804.045</v>
      </c>
      <c r="E3098" s="5" t="n">
        <v>35.4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2025</v>
      </c>
      <c r="B3099" s="4" t="n">
        <v>2000</v>
      </c>
      <c r="C3099" s="4" t="n">
        <v>51</v>
      </c>
      <c r="D3099" s="4" t="n">
        <v>15.4275</v>
      </c>
      <c r="E3099" s="5" t="n">
        <v>129.6</v>
      </c>
      <c r="F3099" s="3" t="inlineStr">
        <is>
          <t>오송읍</t>
        </is>
      </c>
      <c r="G3099" s="3" t="inlineStr">
        <is>
          <t>연제리</t>
        </is>
      </c>
      <c r="H3099" s="3" t="inlineStr">
        <is>
          <t>계획관리지역</t>
        </is>
      </c>
      <c r="I3099" s="3" t="inlineStr">
        <is>
          <t>대</t>
        </is>
      </c>
      <c r="J3099" s="3" t="inlineStr">
        <is>
          <t>오송읍</t>
        </is>
      </c>
    </row>
    <row r="3100">
      <c r="A3100" s="3" t="n">
        <v>2025</v>
      </c>
      <c r="B3100" s="4" t="n">
        <v>24000</v>
      </c>
      <c r="C3100" s="4" t="n">
        <v>1279</v>
      </c>
      <c r="D3100" s="4" t="n">
        <v>386.8975</v>
      </c>
      <c r="E3100" s="5" t="n">
        <v>62</v>
      </c>
      <c r="F3100" s="3" t="inlineStr">
        <is>
          <t>오송읍</t>
        </is>
      </c>
      <c r="G3100" s="3" t="inlineStr">
        <is>
          <t>서평리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2025</v>
      </c>
      <c r="B3101" s="4" t="n">
        <v>47000</v>
      </c>
      <c r="C3101" s="4" t="n">
        <v>3411</v>
      </c>
      <c r="D3101" s="4" t="n">
        <v>1031.8275</v>
      </c>
      <c r="E3101" s="5" t="n">
        <v>45.6</v>
      </c>
      <c r="F3101" s="3" t="inlineStr">
        <is>
          <t>강내면</t>
        </is>
      </c>
      <c r="G3101" s="3" t="inlineStr">
        <is>
          <t>궁현리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2025</v>
      </c>
      <c r="B3102" s="4" t="n">
        <v>1500</v>
      </c>
      <c r="C3102" s="4" t="n">
        <v>2075</v>
      </c>
      <c r="D3102" s="4" t="n">
        <v>627.6875</v>
      </c>
      <c r="E3102" s="5" t="n">
        <v>2.4</v>
      </c>
      <c r="F3102" s="3" t="inlineStr">
        <is>
          <t>강내면</t>
        </is>
      </c>
      <c r="G3102" s="3" t="inlineStr">
        <is>
          <t>산단리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강내면</t>
        </is>
      </c>
    </row>
    <row r="3103">
      <c r="A3103" s="3" t="n">
        <v>2025</v>
      </c>
      <c r="B3103" s="4" t="n">
        <v>4364</v>
      </c>
      <c r="C3103" s="4" t="n">
        <v>608</v>
      </c>
      <c r="D3103" s="4" t="n">
        <v>183.92</v>
      </c>
      <c r="E3103" s="5" t="n">
        <v>23.7</v>
      </c>
      <c r="F3103" s="3" t="inlineStr">
        <is>
          <t>강내면</t>
        </is>
      </c>
      <c r="G3103" s="3" t="inlineStr">
        <is>
          <t>산단리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강내면</t>
        </is>
      </c>
    </row>
    <row r="3104">
      <c r="A3104" s="3" t="n">
        <v>2025</v>
      </c>
      <c r="B3104" s="4" t="n">
        <v>11447</v>
      </c>
      <c r="C3104" s="4" t="n">
        <v>1595</v>
      </c>
      <c r="D3104" s="4" t="n">
        <v>482.4875</v>
      </c>
      <c r="E3104" s="5" t="n">
        <v>23.7</v>
      </c>
      <c r="F3104" s="3" t="inlineStr">
        <is>
          <t>강내면</t>
        </is>
      </c>
      <c r="G3104" s="3" t="inlineStr">
        <is>
          <t>산단리</t>
        </is>
      </c>
      <c r="H3104" s="3" t="inlineStr">
        <is>
          <t>계획관리지역</t>
        </is>
      </c>
      <c r="I3104" s="3" t="inlineStr">
        <is>
          <t>답</t>
        </is>
      </c>
      <c r="J3104" s="3" t="inlineStr">
        <is>
          <t>강내면</t>
        </is>
      </c>
    </row>
    <row r="3105">
      <c r="A3105" s="3" t="n">
        <v>2025</v>
      </c>
      <c r="B3105" s="4" t="n">
        <v>14189</v>
      </c>
      <c r="C3105" s="4" t="n">
        <v>1977</v>
      </c>
      <c r="D3105" s="4" t="n">
        <v>598.0425</v>
      </c>
      <c r="E3105" s="5" t="n">
        <v>23.7</v>
      </c>
      <c r="F3105" s="3" t="inlineStr">
        <is>
          <t>강내면</t>
        </is>
      </c>
      <c r="G3105" s="3" t="inlineStr">
        <is>
          <t>산단리</t>
        </is>
      </c>
      <c r="H3105" s="3" t="inlineStr">
        <is>
          <t>계획관리지역</t>
        </is>
      </c>
      <c r="I3105" s="3" t="inlineStr">
        <is>
          <t>답</t>
        </is>
      </c>
      <c r="J3105" s="3" t="inlineStr">
        <is>
          <t>강내면</t>
        </is>
      </c>
    </row>
    <row r="3106">
      <c r="A3106" s="3" t="n">
        <v>2025</v>
      </c>
      <c r="B3106" s="4" t="n">
        <v>18000</v>
      </c>
      <c r="C3106" s="4" t="n">
        <v>3319</v>
      </c>
      <c r="D3106" s="4" t="n">
        <v>1003.9975</v>
      </c>
      <c r="E3106" s="5" t="n">
        <v>17.9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농림지역</t>
        </is>
      </c>
      <c r="I3106" s="3" t="inlineStr">
        <is>
          <t>전</t>
        </is>
      </c>
      <c r="J3106" s="3" t="inlineStr">
        <is>
          <t>강내면</t>
        </is>
      </c>
    </row>
    <row r="3107">
      <c r="A3107" s="3" t="n">
        <v>2025</v>
      </c>
      <c r="B3107" s="4" t="n">
        <v>20308</v>
      </c>
      <c r="C3107" s="4" t="n">
        <v>223.6</v>
      </c>
      <c r="D3107" s="4" t="n">
        <v>67.639</v>
      </c>
      <c r="E3107" s="5" t="n">
        <v>300.2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용도미지정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35000</v>
      </c>
      <c r="C3108" s="4" t="n">
        <v>1105</v>
      </c>
      <c r="D3108" s="4" t="n">
        <v>334.2625</v>
      </c>
      <c r="E3108" s="5" t="n">
        <v>104.7</v>
      </c>
      <c r="F3108" s="3" t="inlineStr">
        <is>
          <t>오송읍</t>
        </is>
      </c>
      <c r="G3108" s="3" t="inlineStr">
        <is>
          <t>정중리</t>
        </is>
      </c>
      <c r="H3108" s="3" t="inlineStr">
        <is>
          <t>계획관리지역</t>
        </is>
      </c>
      <c r="I3108" s="3" t="inlineStr">
        <is>
          <t>전</t>
        </is>
      </c>
      <c r="J3108" s="3" t="inlineStr">
        <is>
          <t>오송읍</t>
        </is>
      </c>
    </row>
    <row r="3109">
      <c r="A3109" s="3" t="n">
        <v>2025</v>
      </c>
      <c r="B3109" s="4" t="n">
        <v>39800</v>
      </c>
      <c r="C3109" s="4" t="n">
        <v>1269</v>
      </c>
      <c r="D3109" s="4" t="n">
        <v>383.8725</v>
      </c>
      <c r="E3109" s="5" t="n">
        <v>103.7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자연녹지지역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2025</v>
      </c>
      <c r="B3110" s="4" t="n">
        <v>4600</v>
      </c>
      <c r="C3110" s="4" t="n">
        <v>387</v>
      </c>
      <c r="D3110" s="4" t="n">
        <v>117.0675</v>
      </c>
      <c r="E3110" s="5" t="n">
        <v>39.3</v>
      </c>
      <c r="F3110" s="3" t="inlineStr">
        <is>
          <t>오송읍</t>
        </is>
      </c>
      <c r="G3110" s="3" t="inlineStr">
        <is>
          <t>서평리</t>
        </is>
      </c>
      <c r="H3110" s="3" t="inlineStr">
        <is>
          <t>생산관리지역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11200</v>
      </c>
      <c r="C3111" s="4" t="n">
        <v>566</v>
      </c>
      <c r="D3111" s="4" t="n">
        <v>171.215</v>
      </c>
      <c r="E3111" s="5" t="n">
        <v>65.40000000000001</v>
      </c>
      <c r="F3111" s="3" t="inlineStr">
        <is>
          <t>강내면</t>
        </is>
      </c>
      <c r="G3111" s="3" t="inlineStr">
        <is>
          <t>당곡리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2025</v>
      </c>
      <c r="B3112" s="4" t="n">
        <v>13473</v>
      </c>
      <c r="C3112" s="4" t="n">
        <v>2959</v>
      </c>
      <c r="D3112" s="4" t="n">
        <v>895.0975</v>
      </c>
      <c r="E3112" s="5" t="n">
        <v>15.1</v>
      </c>
      <c r="F3112" s="3" t="inlineStr">
        <is>
          <t>부강면</t>
        </is>
      </c>
      <c r="G3112" s="3" t="inlineStr">
        <is>
          <t>노호리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부강면</t>
        </is>
      </c>
    </row>
    <row r="3113">
      <c r="A3113" s="3" t="n">
        <v>2025</v>
      </c>
      <c r="B3113" s="4" t="n">
        <v>21000</v>
      </c>
      <c r="C3113" s="4" t="n">
        <v>4612</v>
      </c>
      <c r="D3113" s="4" t="n">
        <v>1395.13</v>
      </c>
      <c r="E3113" s="5" t="n">
        <v>15.1</v>
      </c>
      <c r="F3113" s="3" t="inlineStr">
        <is>
          <t>부강면</t>
        </is>
      </c>
      <c r="G3113" s="3" t="inlineStr">
        <is>
          <t>노호리</t>
        </is>
      </c>
      <c r="H3113" s="3" t="inlineStr">
        <is>
          <t>보전관리지역</t>
        </is>
      </c>
      <c r="I3113" s="3" t="inlineStr">
        <is>
          <t>임야</t>
        </is>
      </c>
      <c r="J3113" s="3" t="inlineStr">
        <is>
          <t>부강면</t>
        </is>
      </c>
    </row>
    <row r="3114">
      <c r="A3114" s="3" t="n">
        <v>2025</v>
      </c>
      <c r="B3114" s="4" t="n">
        <v>45000</v>
      </c>
      <c r="C3114" s="4" t="n">
        <v>3306</v>
      </c>
      <c r="D3114" s="4" t="n">
        <v>1000.065</v>
      </c>
      <c r="E3114" s="5" t="n">
        <v>45</v>
      </c>
      <c r="F3114" s="3" t="inlineStr">
        <is>
          <t>금남면</t>
        </is>
      </c>
      <c r="G3114" s="3" t="inlineStr">
        <is>
          <t>원봉리</t>
        </is>
      </c>
      <c r="H3114" s="3" t="inlineStr">
        <is>
          <t>보전관리지역</t>
        </is>
      </c>
      <c r="I3114" s="3" t="inlineStr">
        <is>
          <t>답</t>
        </is>
      </c>
      <c r="J3114" s="3" t="inlineStr">
        <is>
          <t>금남면</t>
        </is>
      </c>
    </row>
    <row r="3115">
      <c r="A3115" s="3" t="n">
        <v>2025</v>
      </c>
      <c r="B3115" s="4" t="n">
        <v>13500</v>
      </c>
      <c r="C3115" s="4" t="n">
        <v>1488</v>
      </c>
      <c r="D3115" s="4" t="n">
        <v>450.12</v>
      </c>
      <c r="E3115" s="5" t="n">
        <v>30</v>
      </c>
      <c r="F3115" s="3" t="inlineStr">
        <is>
          <t>전동면</t>
        </is>
      </c>
      <c r="G3115" s="3" t="inlineStr">
        <is>
          <t>봉대리</t>
        </is>
      </c>
      <c r="H3115" s="3" t="inlineStr">
        <is>
          <t>생산관리지역</t>
        </is>
      </c>
      <c r="I3115" s="3" t="inlineStr">
        <is>
          <t>전</t>
        </is>
      </c>
      <c r="J3115" s="3" t="inlineStr">
        <is>
          <t>전동면</t>
        </is>
      </c>
    </row>
    <row r="3116">
      <c r="A3116" s="3" t="n">
        <v>2025</v>
      </c>
      <c r="B3116" s="4" t="n">
        <v>19600</v>
      </c>
      <c r="C3116" s="4" t="n">
        <v>1851</v>
      </c>
      <c r="D3116" s="4" t="n">
        <v>559.9275</v>
      </c>
      <c r="E3116" s="5" t="n">
        <v>35</v>
      </c>
      <c r="F3116" s="3" t="inlineStr">
        <is>
          <t>전동면</t>
        </is>
      </c>
      <c r="G3116" s="3" t="inlineStr">
        <is>
          <t>봉대리</t>
        </is>
      </c>
      <c r="H3116" s="3" t="inlineStr">
        <is>
          <t>생산관리지역</t>
        </is>
      </c>
      <c r="I3116" s="3" t="inlineStr">
        <is>
          <t>과수원</t>
        </is>
      </c>
      <c r="J3116" s="3" t="inlineStr">
        <is>
          <t>전동면</t>
        </is>
      </c>
    </row>
    <row r="3117">
      <c r="A3117" s="3" t="n">
        <v>2025</v>
      </c>
      <c r="B3117" s="4" t="n">
        <v>10752</v>
      </c>
      <c r="C3117" s="4" t="n">
        <v>1111</v>
      </c>
      <c r="D3117" s="4" t="n">
        <v>336.0775</v>
      </c>
      <c r="E3117" s="5" t="n">
        <v>32</v>
      </c>
      <c r="F3117" s="3" t="inlineStr">
        <is>
          <t>전동면</t>
        </is>
      </c>
      <c r="G3117" s="3" t="inlineStr">
        <is>
          <t>봉대리</t>
        </is>
      </c>
      <c r="H3117" s="3" t="inlineStr">
        <is>
          <t>생산관리지역</t>
        </is>
      </c>
      <c r="I3117" s="3" t="inlineStr">
        <is>
          <t>답</t>
        </is>
      </c>
      <c r="J3117" s="3" t="inlineStr">
        <is>
          <t>전동면</t>
        </is>
      </c>
    </row>
    <row r="3118">
      <c r="A3118" s="3" t="n">
        <v>2023</v>
      </c>
      <c r="B3118" s="4" t="n">
        <v>3000</v>
      </c>
      <c r="C3118" s="4" t="n">
        <v>17</v>
      </c>
      <c r="D3118" s="4" t="n">
        <v>5.1425</v>
      </c>
      <c r="E3118" s="5" t="n">
        <v>583.4</v>
      </c>
      <c r="F3118" s="3" t="inlineStr">
        <is>
          <t>오송읍</t>
        </is>
      </c>
      <c r="G3118" s="3" t="inlineStr">
        <is>
          <t>오송리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2023</v>
      </c>
      <c r="B3119" s="4" t="n">
        <v>22000</v>
      </c>
      <c r="C3119" s="4" t="n">
        <v>588</v>
      </c>
      <c r="D3119" s="4" t="n">
        <v>177.87</v>
      </c>
      <c r="E3119" s="5" t="n">
        <v>123.7</v>
      </c>
      <c r="F3119" s="3" t="inlineStr">
        <is>
          <t>강내면</t>
        </is>
      </c>
      <c r="G3119" s="3" t="inlineStr">
        <is>
          <t>저산리</t>
        </is>
      </c>
      <c r="H3119" s="3" t="inlineStr">
        <is>
          <t>보전관리지역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26000</v>
      </c>
      <c r="C3120" s="4" t="n">
        <v>307</v>
      </c>
      <c r="D3120" s="4" t="n">
        <v>92.86749999999999</v>
      </c>
      <c r="E3120" s="5" t="n">
        <v>280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일반상업지역</t>
        </is>
      </c>
      <c r="I3120" s="3" t="inlineStr">
        <is>
          <t>대</t>
        </is>
      </c>
      <c r="J3120" s="3" t="inlineStr">
        <is>
          <t>오송읍</t>
        </is>
      </c>
    </row>
    <row r="3121">
      <c r="A3121" s="3" t="n">
        <v>2023</v>
      </c>
      <c r="B3121" s="4" t="n">
        <v>2044</v>
      </c>
      <c r="C3121" s="4" t="n">
        <v>56</v>
      </c>
      <c r="D3121" s="4" t="n">
        <v>16.94</v>
      </c>
      <c r="E3121" s="5" t="n">
        <v>120.7</v>
      </c>
      <c r="F3121" s="3" t="inlineStr">
        <is>
          <t>오송읍</t>
        </is>
      </c>
      <c r="G3121" s="3" t="inlineStr">
        <is>
          <t>상봉리</t>
        </is>
      </c>
      <c r="H3121" s="3" t="inlineStr">
        <is>
          <t>계획관리지역</t>
        </is>
      </c>
      <c r="I3121" s="3" t="inlineStr">
        <is>
          <t>구거</t>
        </is>
      </c>
      <c r="J3121" s="3" t="inlineStr">
        <is>
          <t>오송읍</t>
        </is>
      </c>
    </row>
    <row r="3122">
      <c r="A3122" s="3" t="n">
        <v>2023</v>
      </c>
      <c r="B3122" s="4" t="n">
        <v>23641</v>
      </c>
      <c r="C3122" s="4" t="n">
        <v>415.3</v>
      </c>
      <c r="D3122" s="4" t="n">
        <v>125.62825</v>
      </c>
      <c r="E3122" s="5" t="n">
        <v>188.2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강내면</t>
        </is>
      </c>
    </row>
    <row r="3123">
      <c r="A3123" s="3" t="n">
        <v>2023</v>
      </c>
      <c r="B3123" s="4" t="n">
        <v>3632</v>
      </c>
      <c r="C3123" s="4" t="n">
        <v>63.8</v>
      </c>
      <c r="D3123" s="4" t="n">
        <v>19.2995</v>
      </c>
      <c r="E3123" s="5" t="n">
        <v>188.2</v>
      </c>
      <c r="F3123" s="3" t="inlineStr">
        <is>
          <t>강내면</t>
        </is>
      </c>
      <c r="G3123" s="3" t="inlineStr">
        <is>
          <t>사곡리</t>
        </is>
      </c>
      <c r="H3123" s="3" t="inlineStr">
        <is>
          <t>보전관리지역</t>
        </is>
      </c>
      <c r="I3123" s="3" t="inlineStr">
        <is>
          <t>대</t>
        </is>
      </c>
      <c r="J3123" s="3" t="inlineStr">
        <is>
          <t>강내면</t>
        </is>
      </c>
    </row>
    <row r="3124">
      <c r="A3124" s="3" t="n">
        <v>2023</v>
      </c>
      <c r="B3124" s="4" t="n">
        <v>288627</v>
      </c>
      <c r="C3124" s="4" t="n">
        <v>1034.5</v>
      </c>
      <c r="D3124" s="4" t="n">
        <v>312.93625</v>
      </c>
      <c r="E3124" s="5" t="n">
        <v>922.3</v>
      </c>
      <c r="F3124" s="3" t="inlineStr">
        <is>
          <t>오송읍</t>
        </is>
      </c>
      <c r="G3124" s="3" t="inlineStr">
        <is>
          <t>봉산리</t>
        </is>
      </c>
      <c r="H3124" s="3" t="inlineStr">
        <is>
          <t>일반상업지역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2023</v>
      </c>
      <c r="B3125" s="4" t="n">
        <v>30000</v>
      </c>
      <c r="C3125" s="4" t="n">
        <v>356</v>
      </c>
      <c r="D3125" s="4" t="n">
        <v>107.69</v>
      </c>
      <c r="E3125" s="5" t="n">
        <v>278.6</v>
      </c>
      <c r="F3125" s="3" t="inlineStr">
        <is>
          <t>오송읍</t>
        </is>
      </c>
      <c r="G3125" s="3" t="inlineStr">
        <is>
          <t>오송리</t>
        </is>
      </c>
      <c r="H3125" s="3" t="inlineStr">
        <is>
          <t>계획관리지역</t>
        </is>
      </c>
      <c r="I3125" s="3" t="inlineStr">
        <is>
          <t>전</t>
        </is>
      </c>
      <c r="J3125" s="3" t="inlineStr">
        <is>
          <t>오송읍</t>
        </is>
      </c>
    </row>
    <row r="3126">
      <c r="A3126" s="3" t="n">
        <v>2023</v>
      </c>
      <c r="B3126" s="4" t="n">
        <v>21000</v>
      </c>
      <c r="C3126" s="4" t="n">
        <v>182</v>
      </c>
      <c r="D3126" s="4" t="n">
        <v>55.055</v>
      </c>
      <c r="E3126" s="5" t="n">
        <v>381.4</v>
      </c>
      <c r="F3126" s="3" t="inlineStr">
        <is>
          <t>오송읍</t>
        </is>
      </c>
      <c r="G3126" s="3" t="inlineStr">
        <is>
          <t>오송리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오송읍</t>
        </is>
      </c>
    </row>
    <row r="3127">
      <c r="A3127" s="3" t="n">
        <v>2023</v>
      </c>
      <c r="B3127" s="4" t="n">
        <v>278315</v>
      </c>
      <c r="C3127" s="4" t="n">
        <v>1017.6</v>
      </c>
      <c r="D3127" s="4" t="n">
        <v>307.824</v>
      </c>
      <c r="E3127" s="5" t="n">
        <v>904.1</v>
      </c>
      <c r="F3127" s="3" t="inlineStr">
        <is>
          <t>오송읍</t>
        </is>
      </c>
      <c r="G3127" s="3" t="inlineStr">
        <is>
          <t>봉산리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2023</v>
      </c>
      <c r="B3128" s="4" t="n">
        <v>21500</v>
      </c>
      <c r="C3128" s="4" t="n">
        <v>1871</v>
      </c>
      <c r="D3128" s="4" t="n">
        <v>565.9775</v>
      </c>
      <c r="E3128" s="5" t="n">
        <v>38</v>
      </c>
      <c r="F3128" s="3" t="inlineStr">
        <is>
          <t>강내면</t>
        </is>
      </c>
      <c r="G3128" s="3" t="inlineStr">
        <is>
          <t>학천리</t>
        </is>
      </c>
      <c r="H3128" s="3" t="inlineStr">
        <is>
          <t>자연녹지지역</t>
        </is>
      </c>
      <c r="I3128" s="3" t="inlineStr">
        <is>
          <t>답</t>
        </is>
      </c>
      <c r="J3128" s="3" t="inlineStr">
        <is>
          <t>강내면</t>
        </is>
      </c>
    </row>
    <row r="3129">
      <c r="A3129" s="3" t="n">
        <v>2023</v>
      </c>
      <c r="B3129" s="4" t="n">
        <v>20092</v>
      </c>
      <c r="C3129" s="4" t="n">
        <v>999</v>
      </c>
      <c r="D3129" s="4" t="n">
        <v>302.1975</v>
      </c>
      <c r="E3129" s="5" t="n">
        <v>66.5</v>
      </c>
      <c r="F3129" s="3" t="inlineStr">
        <is>
          <t>강내면</t>
        </is>
      </c>
      <c r="G3129" s="3" t="inlineStr">
        <is>
          <t>학천리</t>
        </is>
      </c>
      <c r="H3129" s="3" t="inlineStr">
        <is>
          <t>자연녹지지역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2023</v>
      </c>
      <c r="B3130" s="4" t="n">
        <v>22750</v>
      </c>
      <c r="C3130" s="4" t="n">
        <v>1131</v>
      </c>
      <c r="D3130" s="4" t="n">
        <v>342.1275</v>
      </c>
      <c r="E3130" s="5" t="n">
        <v>66.5</v>
      </c>
      <c r="F3130" s="3" t="inlineStr">
        <is>
          <t>강내면</t>
        </is>
      </c>
      <c r="G3130" s="3" t="inlineStr">
        <is>
          <t>학천리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2023</v>
      </c>
      <c r="B3131" s="4" t="n">
        <v>6758</v>
      </c>
      <c r="C3131" s="4" t="n">
        <v>336</v>
      </c>
      <c r="D3131" s="4" t="n">
        <v>101.64</v>
      </c>
      <c r="E3131" s="5" t="n">
        <v>66.5</v>
      </c>
      <c r="F3131" s="3" t="inlineStr">
        <is>
          <t>강내면</t>
        </is>
      </c>
      <c r="G3131" s="3" t="inlineStr">
        <is>
          <t>학천리</t>
        </is>
      </c>
      <c r="H3131" s="3" t="inlineStr">
        <is>
          <t>자연녹지지역</t>
        </is>
      </c>
      <c r="I3131" s="3" t="inlineStr">
        <is>
          <t>전</t>
        </is>
      </c>
      <c r="J3131" s="3" t="inlineStr">
        <is>
          <t>강내면</t>
        </is>
      </c>
    </row>
    <row r="3132">
      <c r="A3132" s="3" t="n">
        <v>2024</v>
      </c>
      <c r="B3132" s="4" t="n">
        <v>72</v>
      </c>
      <c r="C3132" s="4" t="n">
        <v>14</v>
      </c>
      <c r="D3132" s="4" t="n">
        <v>4.234999999999999</v>
      </c>
      <c r="E3132" s="5" t="n">
        <v>17</v>
      </c>
      <c r="F3132" s="3" t="inlineStr">
        <is>
          <t>남이면</t>
        </is>
      </c>
      <c r="G3132" s="3" t="inlineStr">
        <is>
          <t>외천리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2024</v>
      </c>
      <c r="B3133" s="4" t="n">
        <v>1153</v>
      </c>
      <c r="C3133" s="4" t="n">
        <v>44</v>
      </c>
      <c r="D3133" s="4" t="n">
        <v>13.31</v>
      </c>
      <c r="E3133" s="5" t="n">
        <v>86.59999999999999</v>
      </c>
      <c r="F3133" s="3" t="inlineStr">
        <is>
          <t>남이면</t>
        </is>
      </c>
      <c r="G3133" s="3" t="inlineStr">
        <is>
          <t>척산리</t>
        </is>
      </c>
      <c r="H3133" s="3" t="inlineStr">
        <is>
          <t>계획관리지역</t>
        </is>
      </c>
      <c r="I3133" s="3" t="inlineStr">
        <is>
          <t>도로</t>
        </is>
      </c>
      <c r="J3133" s="3" t="inlineStr">
        <is>
          <t>남이면</t>
        </is>
      </c>
    </row>
    <row r="3134">
      <c r="A3134" s="3" t="n">
        <v>2026</v>
      </c>
      <c r="B3134" s="4" t="n">
        <v>65000</v>
      </c>
      <c r="C3134" s="4" t="n">
        <v>2416</v>
      </c>
      <c r="D3134" s="4" t="n">
        <v>730.84</v>
      </c>
      <c r="E3134" s="5" t="n">
        <v>88.90000000000001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2026</v>
      </c>
      <c r="B3135" s="4" t="n">
        <v>19055</v>
      </c>
      <c r="C3135" s="4" t="n">
        <v>484</v>
      </c>
      <c r="D3135" s="4" t="n">
        <v>146.41</v>
      </c>
      <c r="E3135" s="5" t="n">
        <v>130.1</v>
      </c>
      <c r="F3135" s="3" t="inlineStr">
        <is>
          <t>남이면</t>
        </is>
      </c>
      <c r="G3135" s="3" t="inlineStr">
        <is>
          <t>석판리</t>
        </is>
      </c>
      <c r="H3135" s="3" t="inlineStr">
        <is>
          <t>자연녹지지역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2026</v>
      </c>
      <c r="B3136" s="4" t="n">
        <v>810</v>
      </c>
      <c r="C3136" s="4" t="n">
        <v>37</v>
      </c>
      <c r="D3136" s="4" t="n">
        <v>11.1925</v>
      </c>
      <c r="E3136" s="5" t="n">
        <v>72.40000000000001</v>
      </c>
      <c r="F3136" s="3" t="inlineStr">
        <is>
          <t>남이면</t>
        </is>
      </c>
      <c r="G3136" s="3" t="inlineStr">
        <is>
          <t>상발리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15500</v>
      </c>
      <c r="C3137" s="4" t="n">
        <v>1421</v>
      </c>
      <c r="D3137" s="4" t="n">
        <v>429.8525</v>
      </c>
      <c r="E3137" s="5" t="n">
        <v>36.1</v>
      </c>
      <c r="F3137" s="3" t="inlineStr">
        <is>
          <t>남이면</t>
        </is>
      </c>
      <c r="G3137" s="3" t="inlineStr">
        <is>
          <t>팔봉리</t>
        </is>
      </c>
      <c r="H3137" s="3" t="inlineStr">
        <is>
          <t>자연녹지지역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2026</v>
      </c>
      <c r="B3138" s="4" t="n">
        <v>11433</v>
      </c>
      <c r="C3138" s="4" t="n">
        <v>1131</v>
      </c>
      <c r="D3138" s="4" t="n">
        <v>342.1275</v>
      </c>
      <c r="E3138" s="5" t="n">
        <v>33.4</v>
      </c>
      <c r="F3138" s="3" t="inlineStr">
        <is>
          <t>남이면</t>
        </is>
      </c>
      <c r="G3138" s="3" t="inlineStr">
        <is>
          <t>척산리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28567</v>
      </c>
      <c r="C3139" s="4" t="n">
        <v>2826</v>
      </c>
      <c r="D3139" s="4" t="n">
        <v>854.865</v>
      </c>
      <c r="E3139" s="5" t="n">
        <v>33.4</v>
      </c>
      <c r="F3139" s="3" t="inlineStr">
        <is>
          <t>남이면</t>
        </is>
      </c>
      <c r="G3139" s="3" t="inlineStr">
        <is>
          <t>척산리</t>
        </is>
      </c>
      <c r="H3139" s="3" t="inlineStr">
        <is>
          <t>자연녹지지역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2026</v>
      </c>
      <c r="B3140" s="4" t="n">
        <v>228750</v>
      </c>
      <c r="C3140" s="4" t="n">
        <v>4147</v>
      </c>
      <c r="D3140" s="4" t="n">
        <v>1254.4675</v>
      </c>
      <c r="E3140" s="5" t="n">
        <v>182.3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공장용지</t>
        </is>
      </c>
      <c r="J3140" s="3" t="inlineStr">
        <is>
          <t>현도면</t>
        </is>
      </c>
    </row>
    <row r="3141">
      <c r="A3141" s="3" t="n">
        <v>2026</v>
      </c>
      <c r="B3141" s="4" t="n">
        <v>255720</v>
      </c>
      <c r="C3141" s="4" t="n">
        <v>4636</v>
      </c>
      <c r="D3141" s="4" t="n">
        <v>1402.39</v>
      </c>
      <c r="E3141" s="5" t="n">
        <v>182.3</v>
      </c>
      <c r="F3141" s="3" t="inlineStr">
        <is>
          <t>현도면</t>
        </is>
      </c>
      <c r="G3141" s="3" t="inlineStr">
        <is>
          <t>선동리</t>
        </is>
      </c>
      <c r="H3141" s="3" t="inlineStr">
        <is>
          <t>일반상업지역</t>
        </is>
      </c>
      <c r="I3141" s="3" t="inlineStr">
        <is>
          <t>공장용지</t>
        </is>
      </c>
      <c r="J3141" s="3" t="inlineStr">
        <is>
          <t>현도면</t>
        </is>
      </c>
    </row>
    <row r="3142">
      <c r="A3142" s="3" t="n">
        <v>2026</v>
      </c>
      <c r="B3142" s="4" t="n">
        <v>228360</v>
      </c>
      <c r="C3142" s="4" t="n">
        <v>4140</v>
      </c>
      <c r="D3142" s="4" t="n">
        <v>1252.35</v>
      </c>
      <c r="E3142" s="5" t="n">
        <v>182.3</v>
      </c>
      <c r="F3142" s="3" t="inlineStr">
        <is>
          <t>현도면</t>
        </is>
      </c>
      <c r="G3142" s="3" t="inlineStr">
        <is>
          <t>선동리</t>
        </is>
      </c>
      <c r="H3142" s="3" t="inlineStr">
        <is>
          <t>일반상업지역</t>
        </is>
      </c>
      <c r="I3142" s="3" t="inlineStr">
        <is>
          <t>공장용지</t>
        </is>
      </c>
      <c r="J3142" s="3" t="inlineStr">
        <is>
          <t>현도면</t>
        </is>
      </c>
    </row>
    <row r="3143">
      <c r="A3143" s="3" t="n">
        <v>2026</v>
      </c>
      <c r="B3143" s="4" t="n">
        <v>229790</v>
      </c>
      <c r="C3143" s="4" t="n">
        <v>4166</v>
      </c>
      <c r="D3143" s="4" t="n">
        <v>1260.215</v>
      </c>
      <c r="E3143" s="5" t="n">
        <v>182.3</v>
      </c>
      <c r="F3143" s="3" t="inlineStr">
        <is>
          <t>현도면</t>
        </is>
      </c>
      <c r="G3143" s="3" t="inlineStr">
        <is>
          <t>선동리</t>
        </is>
      </c>
      <c r="H3143" s="3" t="inlineStr">
        <is>
          <t>일반상업지역</t>
        </is>
      </c>
      <c r="I3143" s="3" t="inlineStr">
        <is>
          <t>공장용지</t>
        </is>
      </c>
      <c r="J3143" s="3" t="inlineStr">
        <is>
          <t>현도면</t>
        </is>
      </c>
    </row>
    <row r="3144">
      <c r="A3144" s="3" t="n">
        <v>2026</v>
      </c>
      <c r="B3144" s="4" t="n">
        <v>2000</v>
      </c>
      <c r="C3144" s="4" t="n">
        <v>2370</v>
      </c>
      <c r="D3144" s="4" t="n">
        <v>716.925</v>
      </c>
      <c r="E3144" s="5" t="n">
        <v>2.8</v>
      </c>
      <c r="F3144" s="3" t="inlineStr">
        <is>
          <t>현도면</t>
        </is>
      </c>
      <c r="G3144" s="3" t="inlineStr">
        <is>
          <t>죽암리</t>
        </is>
      </c>
      <c r="H3144" s="3" t="inlineStr">
        <is>
          <t>보전관리지역</t>
        </is>
      </c>
      <c r="I3144" s="3" t="inlineStr">
        <is>
          <t>임야</t>
        </is>
      </c>
      <c r="J3144" s="3" t="inlineStr">
        <is>
          <t>현도면</t>
        </is>
      </c>
    </row>
    <row r="3145">
      <c r="A3145" s="3" t="n">
        <v>2022</v>
      </c>
      <c r="B3145" s="4" t="n">
        <v>23100</v>
      </c>
      <c r="C3145" s="4" t="n">
        <v>2015</v>
      </c>
      <c r="D3145" s="4" t="n">
        <v>609.5375</v>
      </c>
      <c r="E3145" s="5" t="n">
        <v>37.9</v>
      </c>
      <c r="F3145" s="3" t="inlineStr">
        <is>
          <t>남이면</t>
        </is>
      </c>
      <c r="G3145" s="3" t="inlineStr">
        <is>
          <t>외천리</t>
        </is>
      </c>
      <c r="H3145" s="3" t="inlineStr">
        <is>
          <t>계획관리지역</t>
        </is>
      </c>
      <c r="I3145" s="3" t="inlineStr">
        <is>
          <t>전</t>
        </is>
      </c>
      <c r="J3145" s="3" t="inlineStr">
        <is>
          <t>남이면</t>
        </is>
      </c>
    </row>
    <row r="3146">
      <c r="A3146" s="3" t="n">
        <v>2022</v>
      </c>
      <c r="B3146" s="4" t="n">
        <v>900</v>
      </c>
      <c r="C3146" s="4" t="n">
        <v>190</v>
      </c>
      <c r="D3146" s="4" t="n">
        <v>57.475</v>
      </c>
      <c r="E3146" s="5" t="n">
        <v>15.7</v>
      </c>
      <c r="F3146" s="3" t="inlineStr">
        <is>
          <t>남이면</t>
        </is>
      </c>
      <c r="G3146" s="3" t="inlineStr">
        <is>
          <t>외천리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남이면</t>
        </is>
      </c>
    </row>
    <row r="3147">
      <c r="A3147" s="3" t="n">
        <v>2022</v>
      </c>
      <c r="B3147" s="4" t="n">
        <v>2000</v>
      </c>
      <c r="C3147" s="4" t="n">
        <v>231</v>
      </c>
      <c r="D3147" s="4" t="n">
        <v>69.8775</v>
      </c>
      <c r="E3147" s="5" t="n">
        <v>28.6</v>
      </c>
      <c r="F3147" s="3" t="inlineStr">
        <is>
          <t>남이면</t>
        </is>
      </c>
      <c r="G3147" s="3" t="inlineStr">
        <is>
          <t>외천리</t>
        </is>
      </c>
      <c r="H3147" s="3" t="inlineStr">
        <is>
          <t>계획관리지역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10000</v>
      </c>
      <c r="C3148" s="4" t="n">
        <v>403</v>
      </c>
      <c r="D3148" s="4" t="n">
        <v>121.9075</v>
      </c>
      <c r="E3148" s="5" t="n">
        <v>82</v>
      </c>
      <c r="F3148" s="3" t="inlineStr">
        <is>
          <t>남이면</t>
        </is>
      </c>
      <c r="G3148" s="3" t="inlineStr">
        <is>
          <t>석판리</t>
        </is>
      </c>
      <c r="H3148" s="3" t="inlineStr">
        <is>
          <t>자연녹지지역</t>
        </is>
      </c>
      <c r="I3148" s="3" t="inlineStr">
        <is>
          <t>대</t>
        </is>
      </c>
      <c r="J3148" s="3" t="inlineStr">
        <is>
          <t>남이면</t>
        </is>
      </c>
    </row>
    <row r="3149">
      <c r="A3149" s="3" t="n">
        <v>2022</v>
      </c>
      <c r="B3149" s="4" t="n">
        <v>4300</v>
      </c>
      <c r="C3149" s="4" t="n">
        <v>415</v>
      </c>
      <c r="D3149" s="4" t="n">
        <v>125.5375</v>
      </c>
      <c r="E3149" s="5" t="n">
        <v>34.3</v>
      </c>
      <c r="F3149" s="3" t="inlineStr">
        <is>
          <t>남이면</t>
        </is>
      </c>
      <c r="G3149" s="3" t="inlineStr">
        <is>
          <t>산막리</t>
        </is>
      </c>
      <c r="H3149" s="3" t="inlineStr">
        <is>
          <t>생산관리지역</t>
        </is>
      </c>
      <c r="I3149" s="3" t="inlineStr">
        <is>
          <t>구거</t>
        </is>
      </c>
      <c r="J3149" s="3" t="inlineStr">
        <is>
          <t>남이면</t>
        </is>
      </c>
    </row>
    <row r="3150">
      <c r="A3150" s="3" t="n">
        <v>2022</v>
      </c>
      <c r="B3150" s="4" t="n">
        <v>18800</v>
      </c>
      <c r="C3150" s="4" t="n">
        <v>1556</v>
      </c>
      <c r="D3150" s="4" t="n">
        <v>470.69</v>
      </c>
      <c r="E3150" s="5" t="n">
        <v>39.9</v>
      </c>
      <c r="F3150" s="3" t="inlineStr">
        <is>
          <t>남이면</t>
        </is>
      </c>
      <c r="G3150" s="3" t="inlineStr">
        <is>
          <t>산막리</t>
        </is>
      </c>
      <c r="H3150" s="3" t="inlineStr">
        <is>
          <t>생산관리지역</t>
        </is>
      </c>
      <c r="I3150" s="3" t="inlineStr">
        <is>
          <t>잡종지</t>
        </is>
      </c>
      <c r="J3150" s="3" t="inlineStr">
        <is>
          <t>남이면</t>
        </is>
      </c>
    </row>
    <row r="3151">
      <c r="A3151" s="3" t="n">
        <v>2022</v>
      </c>
      <c r="B3151" s="4" t="n">
        <v>1500</v>
      </c>
      <c r="C3151" s="4" t="n">
        <v>149</v>
      </c>
      <c r="D3151" s="4" t="n">
        <v>45.0725</v>
      </c>
      <c r="E3151" s="5" t="n">
        <v>33.3</v>
      </c>
      <c r="F3151" s="3" t="inlineStr">
        <is>
          <t>남이면</t>
        </is>
      </c>
      <c r="G3151" s="3" t="inlineStr">
        <is>
          <t>산막리</t>
        </is>
      </c>
      <c r="H3151" s="3" t="inlineStr">
        <is>
          <t>생산관리지역</t>
        </is>
      </c>
      <c r="I3151" s="3" t="inlineStr">
        <is>
          <t>구거</t>
        </is>
      </c>
      <c r="J3151" s="3" t="inlineStr">
        <is>
          <t>남이면</t>
        </is>
      </c>
    </row>
    <row r="3152">
      <c r="A3152" s="3" t="n">
        <v>2022</v>
      </c>
      <c r="B3152" s="4" t="n">
        <v>26000</v>
      </c>
      <c r="C3152" s="4" t="n">
        <v>1615</v>
      </c>
      <c r="D3152" s="4" t="n">
        <v>488.5375</v>
      </c>
      <c r="E3152" s="5" t="n">
        <v>53.2</v>
      </c>
      <c r="F3152" s="3" t="inlineStr">
        <is>
          <t>남이면</t>
        </is>
      </c>
      <c r="G3152" s="3" t="inlineStr">
        <is>
          <t>석실리</t>
        </is>
      </c>
      <c r="H3152" s="3" t="inlineStr">
        <is>
          <t>자연녹지지역</t>
        </is>
      </c>
      <c r="I3152" s="3" t="inlineStr">
        <is>
          <t>답</t>
        </is>
      </c>
      <c r="J3152" s="3" t="inlineStr">
        <is>
          <t>남이면</t>
        </is>
      </c>
    </row>
    <row r="3153">
      <c r="A3153" s="3" t="n">
        <v>2022</v>
      </c>
      <c r="B3153" s="4" t="n">
        <v>14000</v>
      </c>
      <c r="C3153" s="4" t="n">
        <v>429</v>
      </c>
      <c r="D3153" s="4" t="n">
        <v>129.7725</v>
      </c>
      <c r="E3153" s="5" t="n">
        <v>107.9</v>
      </c>
      <c r="F3153" s="3" t="inlineStr">
        <is>
          <t>남이면</t>
        </is>
      </c>
      <c r="G3153" s="3" t="inlineStr">
        <is>
          <t>부용외천리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2022</v>
      </c>
      <c r="B3154" s="4" t="n">
        <v>13618</v>
      </c>
      <c r="C3154" s="4" t="n">
        <v>429</v>
      </c>
      <c r="D3154" s="4" t="n">
        <v>129.7725</v>
      </c>
      <c r="E3154" s="5" t="n">
        <v>104.9</v>
      </c>
      <c r="F3154" s="3" t="inlineStr">
        <is>
          <t>남이면</t>
        </is>
      </c>
      <c r="G3154" s="3" t="inlineStr">
        <is>
          <t>부용외천리</t>
        </is>
      </c>
      <c r="H3154" s="3" t="inlineStr">
        <is>
          <t>계획관리지역</t>
        </is>
      </c>
      <c r="I3154" s="3" t="inlineStr">
        <is>
          <t>답</t>
        </is>
      </c>
      <c r="J3154" s="3" t="inlineStr">
        <is>
          <t>남이면</t>
        </is>
      </c>
    </row>
    <row r="3155">
      <c r="A3155" s="3" t="n">
        <v>2022</v>
      </c>
      <c r="B3155" s="4" t="n">
        <v>24690</v>
      </c>
      <c r="C3155" s="4" t="n">
        <v>583</v>
      </c>
      <c r="D3155" s="4" t="n">
        <v>176.3575</v>
      </c>
      <c r="E3155" s="5" t="n">
        <v>140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대</t>
        </is>
      </c>
      <c r="J3155" s="3" t="inlineStr">
        <is>
          <t>남이면</t>
        </is>
      </c>
    </row>
    <row r="3156">
      <c r="A3156" s="3" t="n">
        <v>2022</v>
      </c>
      <c r="B3156" s="4" t="n">
        <v>14200</v>
      </c>
      <c r="C3156" s="4" t="n">
        <v>1204</v>
      </c>
      <c r="D3156" s="4" t="n">
        <v>364.21</v>
      </c>
      <c r="E3156" s="5" t="n">
        <v>39</v>
      </c>
      <c r="F3156" s="3" t="inlineStr">
        <is>
          <t>남이면</t>
        </is>
      </c>
      <c r="G3156" s="3" t="inlineStr">
        <is>
          <t>척산리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400</v>
      </c>
      <c r="C3157" s="4" t="n">
        <v>32</v>
      </c>
      <c r="D3157" s="4" t="n">
        <v>9.68</v>
      </c>
      <c r="E3157" s="5" t="n">
        <v>41.3</v>
      </c>
      <c r="F3157" s="3" t="inlineStr">
        <is>
          <t>남이면</t>
        </is>
      </c>
      <c r="G3157" s="3" t="inlineStr">
        <is>
          <t>척산리</t>
        </is>
      </c>
      <c r="H3157" s="3" t="inlineStr">
        <is>
          <t>생산관리지역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150</v>
      </c>
      <c r="C3158" s="4" t="n">
        <v>16</v>
      </c>
      <c r="D3158" s="4" t="n">
        <v>4.84</v>
      </c>
      <c r="E3158" s="5" t="n">
        <v>31</v>
      </c>
      <c r="F3158" s="3" t="inlineStr">
        <is>
          <t>남이면</t>
        </is>
      </c>
      <c r="G3158" s="3" t="inlineStr">
        <is>
          <t>척산리</t>
        </is>
      </c>
      <c r="H3158" s="3" t="inlineStr">
        <is>
          <t>생산관리지역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250</v>
      </c>
      <c r="C3159" s="4" t="n">
        <v>18</v>
      </c>
      <c r="D3159" s="4" t="n">
        <v>5.445</v>
      </c>
      <c r="E3159" s="5" t="n">
        <v>45.9</v>
      </c>
      <c r="F3159" s="3" t="inlineStr">
        <is>
          <t>남이면</t>
        </is>
      </c>
      <c r="G3159" s="3" t="inlineStr">
        <is>
          <t>척산리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2022</v>
      </c>
      <c r="B3160" s="4" t="n">
        <v>14500</v>
      </c>
      <c r="C3160" s="4" t="n">
        <v>1425</v>
      </c>
      <c r="D3160" s="4" t="n">
        <v>431.0625</v>
      </c>
      <c r="E3160" s="5" t="n">
        <v>33.6</v>
      </c>
      <c r="F3160" s="3" t="inlineStr">
        <is>
          <t>남이면</t>
        </is>
      </c>
      <c r="G3160" s="3" t="inlineStr">
        <is>
          <t>산막리</t>
        </is>
      </c>
      <c r="H3160" s="3" t="inlineStr">
        <is>
          <t>보전관리지역</t>
        </is>
      </c>
      <c r="I3160" s="3" t="inlineStr">
        <is>
          <t>전</t>
        </is>
      </c>
      <c r="J3160" s="3" t="inlineStr">
        <is>
          <t>남이면</t>
        </is>
      </c>
    </row>
    <row r="3161">
      <c r="A3161" s="3" t="n">
        <v>2022</v>
      </c>
      <c r="B3161" s="4" t="n">
        <v>5000</v>
      </c>
      <c r="C3161" s="4" t="n">
        <v>447</v>
      </c>
      <c r="D3161" s="4" t="n">
        <v>135.2175</v>
      </c>
      <c r="E3161" s="5" t="n">
        <v>37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5000</v>
      </c>
      <c r="C3162" s="4" t="n">
        <v>277</v>
      </c>
      <c r="D3162" s="4" t="n">
        <v>83.7925</v>
      </c>
      <c r="E3162" s="5" t="n">
        <v>59.7</v>
      </c>
      <c r="F3162" s="3" t="inlineStr">
        <is>
          <t>남이면</t>
        </is>
      </c>
      <c r="G3162" s="3" t="inlineStr">
        <is>
          <t>척산리</t>
        </is>
      </c>
      <c r="H3162" s="3" t="inlineStr">
        <is>
          <t>계획관리지역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5000</v>
      </c>
      <c r="C3163" s="4" t="n">
        <v>285</v>
      </c>
      <c r="D3163" s="4" t="n">
        <v>86.21249999999999</v>
      </c>
      <c r="E3163" s="5" t="n">
        <v>58</v>
      </c>
      <c r="F3163" s="3" t="inlineStr">
        <is>
          <t>남이면</t>
        </is>
      </c>
      <c r="G3163" s="3" t="inlineStr">
        <is>
          <t>척산리</t>
        </is>
      </c>
      <c r="H3163" s="3" t="inlineStr">
        <is>
          <t>계획관리지역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2022</v>
      </c>
      <c r="B3164" s="4" t="n">
        <v>1000</v>
      </c>
      <c r="C3164" s="4" t="n">
        <v>53</v>
      </c>
      <c r="D3164" s="4" t="n">
        <v>16.0325</v>
      </c>
      <c r="E3164" s="5" t="n">
        <v>62.4</v>
      </c>
      <c r="F3164" s="3" t="inlineStr">
        <is>
          <t>남이면</t>
        </is>
      </c>
      <c r="G3164" s="3" t="inlineStr">
        <is>
          <t>척산리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남이면</t>
        </is>
      </c>
    </row>
    <row r="3165">
      <c r="A3165" s="3" t="n">
        <v>2022</v>
      </c>
      <c r="B3165" s="4" t="n">
        <v>1425</v>
      </c>
      <c r="C3165" s="4" t="n">
        <v>75</v>
      </c>
      <c r="D3165" s="4" t="n">
        <v>22.6875</v>
      </c>
      <c r="E3165" s="5" t="n">
        <v>62.8</v>
      </c>
      <c r="F3165" s="3" t="inlineStr">
        <is>
          <t>남이면</t>
        </is>
      </c>
      <c r="G3165" s="3" t="inlineStr">
        <is>
          <t>팔봉리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남이면</t>
        </is>
      </c>
    </row>
    <row r="3166">
      <c r="A3166" s="3" t="n">
        <v>2026</v>
      </c>
      <c r="B3166" s="4" t="n">
        <v>16200</v>
      </c>
      <c r="C3166" s="4" t="n">
        <v>1452</v>
      </c>
      <c r="D3166" s="4" t="n">
        <v>439.23</v>
      </c>
      <c r="E3166" s="5" t="n">
        <v>36.9</v>
      </c>
      <c r="F3166" s="3" t="inlineStr">
        <is>
          <t>현도면</t>
        </is>
      </c>
      <c r="G3166" s="3" t="inlineStr">
        <is>
          <t>노산리</t>
        </is>
      </c>
      <c r="H3166" s="3" t="inlineStr">
        <is>
          <t>자연녹지지역</t>
        </is>
      </c>
      <c r="I3166" s="3" t="inlineStr">
        <is>
          <t>답</t>
        </is>
      </c>
      <c r="J3166" s="3" t="inlineStr">
        <is>
          <t>현도면</t>
        </is>
      </c>
    </row>
    <row r="3167">
      <c r="A3167" s="3" t="n">
        <v>2026</v>
      </c>
      <c r="B3167" s="4" t="n">
        <v>3100</v>
      </c>
      <c r="C3167" s="4" t="n">
        <v>289</v>
      </c>
      <c r="D3167" s="4" t="n">
        <v>87.4225</v>
      </c>
      <c r="E3167" s="5" t="n">
        <v>35.5</v>
      </c>
      <c r="F3167" s="3" t="inlineStr">
        <is>
          <t>현도면</t>
        </is>
      </c>
      <c r="G3167" s="3" t="inlineStr">
        <is>
          <t>노산리</t>
        </is>
      </c>
      <c r="H3167" s="3" t="inlineStr">
        <is>
          <t>자연녹지지역</t>
        </is>
      </c>
      <c r="I3167" s="3" t="inlineStr">
        <is>
          <t>답</t>
        </is>
      </c>
      <c r="J3167" s="3" t="inlineStr">
        <is>
          <t>현도면</t>
        </is>
      </c>
    </row>
    <row r="3168">
      <c r="A3168" s="3" t="n">
        <v>2025</v>
      </c>
      <c r="B3168" s="4" t="n">
        <v>36000</v>
      </c>
      <c r="C3168" s="4" t="n">
        <v>287.2</v>
      </c>
      <c r="D3168" s="4" t="n">
        <v>86.878</v>
      </c>
      <c r="E3168" s="5" t="n">
        <v>414.4</v>
      </c>
      <c r="F3168" s="3" t="inlineStr">
        <is>
          <t>오송읍</t>
        </is>
      </c>
      <c r="G3168" s="3" t="inlineStr">
        <is>
          <t>봉산리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오송읍</t>
        </is>
      </c>
    </row>
    <row r="3169">
      <c r="A3169" s="3" t="n">
        <v>2026</v>
      </c>
      <c r="B3169" s="4" t="n">
        <v>14500</v>
      </c>
      <c r="C3169" s="4" t="n">
        <v>2371</v>
      </c>
      <c r="D3169" s="4" t="n">
        <v>717.2275</v>
      </c>
      <c r="E3169" s="5" t="n">
        <v>20.2</v>
      </c>
      <c r="F3169" s="3" t="inlineStr">
        <is>
          <t>남이면</t>
        </is>
      </c>
      <c r="G3169" s="3" t="inlineStr">
        <is>
          <t>척산리</t>
        </is>
      </c>
      <c r="H3169" s="3" t="inlineStr">
        <is>
          <t>자연녹지지역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2026</v>
      </c>
      <c r="B3170" s="4" t="n">
        <v>5500</v>
      </c>
      <c r="C3170" s="4" t="n">
        <v>694</v>
      </c>
      <c r="D3170" s="4" t="n">
        <v>209.935</v>
      </c>
      <c r="E3170" s="5" t="n">
        <v>26.2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2026</v>
      </c>
      <c r="B3171" s="4" t="n">
        <v>53417</v>
      </c>
      <c r="C3171" s="4" t="n">
        <v>3493</v>
      </c>
      <c r="D3171" s="4" t="n">
        <v>1056.6325</v>
      </c>
      <c r="E3171" s="5" t="n">
        <v>50.6</v>
      </c>
      <c r="F3171" s="3" t="inlineStr">
        <is>
          <t>남이면</t>
        </is>
      </c>
      <c r="G3171" s="3" t="inlineStr">
        <is>
          <t>가좌리</t>
        </is>
      </c>
      <c r="H3171" s="3" t="inlineStr">
        <is>
          <t>보전녹지지역</t>
        </is>
      </c>
      <c r="I3171" s="3" t="inlineStr">
        <is>
          <t>공장용지</t>
        </is>
      </c>
      <c r="J3171" s="3" t="inlineStr">
        <is>
          <t>남이면</t>
        </is>
      </c>
    </row>
    <row r="3172">
      <c r="A3172" s="3" t="n">
        <v>2022</v>
      </c>
      <c r="B3172" s="4" t="n">
        <v>65759</v>
      </c>
      <c r="C3172" s="4" t="n">
        <v>1477</v>
      </c>
      <c r="D3172" s="4" t="n">
        <v>446.7925</v>
      </c>
      <c r="E3172" s="5" t="n">
        <v>147.2</v>
      </c>
      <c r="F3172" s="3" t="inlineStr">
        <is>
          <t>소정면</t>
        </is>
      </c>
      <c r="G3172" s="3" t="inlineStr">
        <is>
          <t>대곡리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소정면</t>
        </is>
      </c>
    </row>
    <row r="3173">
      <c r="A3173" s="3" t="n">
        <v>2022</v>
      </c>
      <c r="B3173" s="4" t="n">
        <v>1924</v>
      </c>
      <c r="C3173" s="4" t="n">
        <v>31</v>
      </c>
      <c r="D3173" s="4" t="n">
        <v>9.3775</v>
      </c>
      <c r="E3173" s="5" t="n">
        <v>205.2</v>
      </c>
      <c r="F3173" s="3" t="inlineStr">
        <is>
          <t>소정면</t>
        </is>
      </c>
      <c r="G3173" s="3" t="inlineStr">
        <is>
          <t>대곡리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소정면</t>
        </is>
      </c>
    </row>
    <row r="3174">
      <c r="A3174" s="3" t="n">
        <v>2022</v>
      </c>
      <c r="B3174" s="4" t="n">
        <v>1317</v>
      </c>
      <c r="C3174" s="4" t="n">
        <v>15</v>
      </c>
      <c r="D3174" s="4" t="n">
        <v>4.5375</v>
      </c>
      <c r="E3174" s="5" t="n">
        <v>290.2</v>
      </c>
      <c r="F3174" s="3" t="inlineStr">
        <is>
          <t>소정면</t>
        </is>
      </c>
      <c r="G3174" s="3" t="inlineStr">
        <is>
          <t>대곡리</t>
        </is>
      </c>
      <c r="H3174" s="3" t="inlineStr">
        <is>
          <t>계획관리지역</t>
        </is>
      </c>
      <c r="I3174" s="3" t="inlineStr">
        <is>
          <t>대</t>
        </is>
      </c>
      <c r="J3174" s="3" t="inlineStr">
        <is>
          <t>소정면</t>
        </is>
      </c>
    </row>
    <row r="3175">
      <c r="A3175" s="3" t="n">
        <v>2022</v>
      </c>
      <c r="B3175" s="4" t="n">
        <v>16000</v>
      </c>
      <c r="C3175" s="4" t="n">
        <v>1157</v>
      </c>
      <c r="D3175" s="4" t="n">
        <v>349.9925</v>
      </c>
      <c r="E3175" s="5" t="n">
        <v>45.7</v>
      </c>
      <c r="F3175" s="3" t="inlineStr">
        <is>
          <t>전동면</t>
        </is>
      </c>
      <c r="G3175" s="3" t="inlineStr">
        <is>
          <t>노장리</t>
        </is>
      </c>
      <c r="H3175" s="3" t="inlineStr">
        <is>
          <t>계획관리지역</t>
        </is>
      </c>
      <c r="I3175" s="3" t="inlineStr">
        <is>
          <t>전</t>
        </is>
      </c>
      <c r="J3175" s="3" t="inlineStr">
        <is>
          <t>전동면</t>
        </is>
      </c>
    </row>
    <row r="3176">
      <c r="A3176" s="3" t="n">
        <v>2022</v>
      </c>
      <c r="B3176" s="4" t="n">
        <v>94531</v>
      </c>
      <c r="C3176" s="4" t="n">
        <v>1250</v>
      </c>
      <c r="D3176" s="4" t="n">
        <v>378.125</v>
      </c>
      <c r="E3176" s="5" t="n">
        <v>250</v>
      </c>
      <c r="F3176" s="3" t="inlineStr">
        <is>
          <t>전동면</t>
        </is>
      </c>
      <c r="G3176" s="3" t="inlineStr">
        <is>
          <t>노장리</t>
        </is>
      </c>
      <c r="H3176" s="3" t="inlineStr">
        <is>
          <t>계획관리지역</t>
        </is>
      </c>
      <c r="I3176" s="3" t="inlineStr">
        <is>
          <t>답</t>
        </is>
      </c>
      <c r="J3176" s="3" t="inlineStr">
        <is>
          <t>전동면</t>
        </is>
      </c>
    </row>
    <row r="3177">
      <c r="A3177" s="3" t="n">
        <v>2022</v>
      </c>
      <c r="B3177" s="4" t="n">
        <v>13764</v>
      </c>
      <c r="C3177" s="4" t="n">
        <v>182</v>
      </c>
      <c r="D3177" s="4" t="n">
        <v>55.055</v>
      </c>
      <c r="E3177" s="5" t="n">
        <v>250</v>
      </c>
      <c r="F3177" s="3" t="inlineStr">
        <is>
          <t>전동면</t>
        </is>
      </c>
      <c r="G3177" s="3" t="inlineStr">
        <is>
          <t>노장리</t>
        </is>
      </c>
      <c r="H3177" s="3" t="inlineStr">
        <is>
          <t>계획관리지역</t>
        </is>
      </c>
      <c r="I3177" s="3" t="inlineStr">
        <is>
          <t>답</t>
        </is>
      </c>
      <c r="J3177" s="3" t="inlineStr">
        <is>
          <t>전동면</t>
        </is>
      </c>
    </row>
    <row r="3178">
      <c r="A3178" s="3" t="n">
        <v>2022</v>
      </c>
      <c r="B3178" s="4" t="n">
        <v>3440</v>
      </c>
      <c r="C3178" s="4" t="n">
        <v>76</v>
      </c>
      <c r="D3178" s="4" t="n">
        <v>22.99</v>
      </c>
      <c r="E3178" s="5" t="n">
        <v>149.6</v>
      </c>
      <c r="F3178" s="3" t="inlineStr">
        <is>
          <t>전동면</t>
        </is>
      </c>
      <c r="G3178" s="3" t="inlineStr">
        <is>
          <t>노장리</t>
        </is>
      </c>
      <c r="H3178" s="3" t="inlineStr">
        <is>
          <t>계획관리지역</t>
        </is>
      </c>
      <c r="I3178" s="3" t="inlineStr">
        <is>
          <t>전</t>
        </is>
      </c>
      <c r="J3178" s="3" t="inlineStr">
        <is>
          <t>전동면</t>
        </is>
      </c>
    </row>
    <row r="3179">
      <c r="A3179" s="3" t="n">
        <v>2022</v>
      </c>
      <c r="B3179" s="4" t="n">
        <v>30000</v>
      </c>
      <c r="C3179" s="4" t="n">
        <v>420</v>
      </c>
      <c r="D3179" s="4" t="n">
        <v>127.05</v>
      </c>
      <c r="E3179" s="5" t="n">
        <v>236.1</v>
      </c>
      <c r="F3179" s="3" t="inlineStr">
        <is>
          <t>장군면</t>
        </is>
      </c>
      <c r="G3179" s="3" t="inlineStr">
        <is>
          <t>봉안리</t>
        </is>
      </c>
      <c r="H3179" s="3" t="inlineStr">
        <is>
          <t>보전관리지역</t>
        </is>
      </c>
      <c r="I3179" s="3" t="inlineStr">
        <is>
          <t>임야</t>
        </is>
      </c>
      <c r="J3179" s="3" t="inlineStr">
        <is>
          <t>장군면</t>
        </is>
      </c>
    </row>
    <row r="3180">
      <c r="A3180" s="3" t="n">
        <v>2022</v>
      </c>
      <c r="B3180" s="4" t="n">
        <v>2000</v>
      </c>
      <c r="C3180" s="4" t="n">
        <v>10</v>
      </c>
      <c r="D3180" s="4" t="n">
        <v>3.025</v>
      </c>
      <c r="E3180" s="5" t="n">
        <v>661.2</v>
      </c>
      <c r="F3180" s="3" t="inlineStr">
        <is>
          <t>장군면</t>
        </is>
      </c>
      <c r="G3180" s="3" t="inlineStr">
        <is>
          <t>봉안리</t>
        </is>
      </c>
      <c r="H3180" s="3" t="inlineStr">
        <is>
          <t>보전관리지역</t>
        </is>
      </c>
      <c r="I3180" s="3" t="inlineStr">
        <is>
          <t>임야</t>
        </is>
      </c>
      <c r="J3180" s="3" t="inlineStr">
        <is>
          <t>장군면</t>
        </is>
      </c>
    </row>
    <row r="3181">
      <c r="A3181" s="3" t="n">
        <v>2022</v>
      </c>
      <c r="B3181" s="4" t="n">
        <v>75500</v>
      </c>
      <c r="C3181" s="4" t="n">
        <v>303.1</v>
      </c>
      <c r="D3181" s="4" t="n">
        <v>91.68775000000001</v>
      </c>
      <c r="E3181" s="5" t="n">
        <v>823.4</v>
      </c>
      <c r="F3181" s="3" t="inlineStr">
        <is>
          <t>한솔동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한솔동</t>
        </is>
      </c>
    </row>
    <row r="3182">
      <c r="A3182" s="3" t="n">
        <v>2022</v>
      </c>
      <c r="B3182" s="4" t="n">
        <v>10000</v>
      </c>
      <c r="C3182" s="4" t="n">
        <v>825</v>
      </c>
      <c r="D3182" s="4" t="n">
        <v>249.5625</v>
      </c>
      <c r="E3182" s="5" t="n">
        <v>40.1</v>
      </c>
      <c r="F3182" s="3" t="inlineStr">
        <is>
          <t>남이면</t>
        </is>
      </c>
      <c r="G3182" s="3" t="inlineStr">
        <is>
          <t>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65000</v>
      </c>
      <c r="C3183" s="4" t="n">
        <v>17008</v>
      </c>
      <c r="D3183" s="4" t="n">
        <v>5144.92</v>
      </c>
      <c r="E3183" s="5" t="n">
        <v>12.6</v>
      </c>
      <c r="F3183" s="3" t="inlineStr">
        <is>
          <t>남이면</t>
        </is>
      </c>
      <c r="G3183" s="3" t="inlineStr">
        <is>
          <t>석실리</t>
        </is>
      </c>
      <c r="H3183" s="3" t="inlineStr">
        <is>
          <t>보전녹지지역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2022</v>
      </c>
      <c r="B3184" s="4" t="n">
        <v>1700</v>
      </c>
      <c r="C3184" s="4" t="n">
        <v>446</v>
      </c>
      <c r="D3184" s="4" t="n">
        <v>134.915</v>
      </c>
      <c r="E3184" s="5" t="n">
        <v>12.6</v>
      </c>
      <c r="F3184" s="3" t="inlineStr">
        <is>
          <t>현도면</t>
        </is>
      </c>
      <c r="G3184" s="3" t="inlineStr">
        <is>
          <t>노산리</t>
        </is>
      </c>
      <c r="H3184" s="3" t="inlineStr">
        <is>
          <t>개발제한구역</t>
        </is>
      </c>
      <c r="I3184" s="3" t="inlineStr">
        <is>
          <t>답</t>
        </is>
      </c>
      <c r="J3184" s="3" t="inlineStr">
        <is>
          <t>현도면</t>
        </is>
      </c>
    </row>
    <row r="3185">
      <c r="A3185" s="3" t="n">
        <v>2022</v>
      </c>
      <c r="B3185" s="4" t="n">
        <v>10000</v>
      </c>
      <c r="C3185" s="4" t="n">
        <v>1943</v>
      </c>
      <c r="D3185" s="4" t="n">
        <v>587.7574999999999</v>
      </c>
      <c r="E3185" s="5" t="n">
        <v>17</v>
      </c>
      <c r="F3185" s="3" t="inlineStr">
        <is>
          <t>남이면</t>
        </is>
      </c>
      <c r="G3185" s="3" t="inlineStr">
        <is>
          <t>구암리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1000</v>
      </c>
      <c r="C3186" s="4" t="n">
        <v>29</v>
      </c>
      <c r="D3186" s="4" t="n">
        <v>8.772499999999999</v>
      </c>
      <c r="E3186" s="5" t="n">
        <v>114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도로</t>
        </is>
      </c>
      <c r="J3186" s="3" t="inlineStr">
        <is>
          <t>남이면</t>
        </is>
      </c>
    </row>
    <row r="3187">
      <c r="A3187" s="3" t="n">
        <v>2022</v>
      </c>
      <c r="B3187" s="4" t="n">
        <v>37440</v>
      </c>
      <c r="C3187" s="4" t="n">
        <v>1904</v>
      </c>
      <c r="D3187" s="4" t="n">
        <v>575.96</v>
      </c>
      <c r="E3187" s="5" t="n">
        <v>65</v>
      </c>
      <c r="F3187" s="3" t="inlineStr">
        <is>
          <t>남이면</t>
        </is>
      </c>
      <c r="G3187" s="3" t="inlineStr">
        <is>
          <t>대련리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2700</v>
      </c>
      <c r="C3188" s="4" t="n">
        <v>1144</v>
      </c>
      <c r="D3188" s="4" t="n">
        <v>346.06</v>
      </c>
      <c r="E3188" s="5" t="n">
        <v>7.8</v>
      </c>
      <c r="F3188" s="3" t="inlineStr">
        <is>
          <t>남이면</t>
        </is>
      </c>
      <c r="G3188" s="3" t="inlineStr">
        <is>
          <t>갈원리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46440</v>
      </c>
      <c r="C3189" s="4" t="n">
        <v>3838</v>
      </c>
      <c r="D3189" s="4" t="n">
        <v>1160.995</v>
      </c>
      <c r="E3189" s="5" t="n">
        <v>40</v>
      </c>
      <c r="F3189" s="3" t="inlineStr">
        <is>
          <t>현도면</t>
        </is>
      </c>
      <c r="G3189" s="3" t="inlineStr">
        <is>
          <t>중척리</t>
        </is>
      </c>
      <c r="H3189" s="3" t="inlineStr">
        <is>
          <t>개발제한구역</t>
        </is>
      </c>
      <c r="I3189" s="3" t="inlineStr">
        <is>
          <t>전</t>
        </is>
      </c>
      <c r="J3189" s="3" t="inlineStr">
        <is>
          <t>현도면</t>
        </is>
      </c>
    </row>
    <row r="3190">
      <c r="A3190" s="3" t="n">
        <v>2022</v>
      </c>
      <c r="B3190" s="4" t="n">
        <v>1300</v>
      </c>
      <c r="C3190" s="4" t="n">
        <v>145</v>
      </c>
      <c r="D3190" s="4" t="n">
        <v>43.8625</v>
      </c>
      <c r="E3190" s="5" t="n">
        <v>29.6</v>
      </c>
      <c r="F3190" s="3" t="inlineStr">
        <is>
          <t>현도면</t>
        </is>
      </c>
      <c r="G3190" s="3" t="inlineStr">
        <is>
          <t>달계리</t>
        </is>
      </c>
      <c r="H3190" s="3" t="inlineStr">
        <is>
          <t>개발제한구역</t>
        </is>
      </c>
      <c r="I3190" s="3" t="inlineStr">
        <is>
          <t>전</t>
        </is>
      </c>
      <c r="J3190" s="3" t="inlineStr">
        <is>
          <t>현도면</t>
        </is>
      </c>
    </row>
    <row r="3191">
      <c r="A3191" s="3" t="n">
        <v>2022</v>
      </c>
      <c r="B3191" s="4" t="n">
        <v>14470</v>
      </c>
      <c r="C3191" s="4" t="n">
        <v>760</v>
      </c>
      <c r="D3191" s="4" t="n">
        <v>229.9</v>
      </c>
      <c r="E3191" s="5" t="n">
        <v>62.9</v>
      </c>
      <c r="F3191" s="3" t="inlineStr">
        <is>
          <t>현도면</t>
        </is>
      </c>
      <c r="G3191" s="3" t="inlineStr">
        <is>
          <t>노산리</t>
        </is>
      </c>
      <c r="H3191" s="3" t="inlineStr">
        <is>
          <t>개발제한구역</t>
        </is>
      </c>
      <c r="I3191" s="3" t="inlineStr">
        <is>
          <t>답</t>
        </is>
      </c>
      <c r="J3191" s="3" t="inlineStr">
        <is>
          <t>현도면</t>
        </is>
      </c>
    </row>
    <row r="3192">
      <c r="A3192" s="3" t="n">
        <v>2022</v>
      </c>
      <c r="B3192" s="4" t="n">
        <v>26630</v>
      </c>
      <c r="C3192" s="4" t="n">
        <v>1398</v>
      </c>
      <c r="D3192" s="4" t="n">
        <v>422.895</v>
      </c>
      <c r="E3192" s="5" t="n">
        <v>63</v>
      </c>
      <c r="F3192" s="3" t="inlineStr">
        <is>
          <t>현도면</t>
        </is>
      </c>
      <c r="G3192" s="3" t="inlineStr">
        <is>
          <t>노산리</t>
        </is>
      </c>
      <c r="H3192" s="3" t="inlineStr">
        <is>
          <t>개발제한구역</t>
        </is>
      </c>
      <c r="I3192" s="3" t="inlineStr">
        <is>
          <t>답</t>
        </is>
      </c>
      <c r="J3192" s="3" t="inlineStr">
        <is>
          <t>현도면</t>
        </is>
      </c>
    </row>
    <row r="3193">
      <c r="A3193" s="3" t="n">
        <v>2022</v>
      </c>
      <c r="B3193" s="4" t="n">
        <v>179500</v>
      </c>
      <c r="C3193" s="4" t="n">
        <v>2374</v>
      </c>
      <c r="D3193" s="4" t="n">
        <v>718.135</v>
      </c>
      <c r="E3193" s="5" t="n">
        <v>250</v>
      </c>
      <c r="F3193" s="3" t="inlineStr">
        <is>
          <t>남이면</t>
        </is>
      </c>
      <c r="G3193" s="3" t="inlineStr">
        <is>
          <t>양촌리</t>
        </is>
      </c>
      <c r="H3193" s="3" t="inlineStr">
        <is>
          <t>자연녹지지역</t>
        </is>
      </c>
      <c r="I3193" s="3" t="inlineStr">
        <is>
          <t>답</t>
        </is>
      </c>
      <c r="J3193" s="3" t="inlineStr">
        <is>
          <t>남이면</t>
        </is>
      </c>
    </row>
    <row r="3194">
      <c r="A3194" s="3" t="n">
        <v>2022</v>
      </c>
      <c r="B3194" s="4" t="n">
        <v>6300</v>
      </c>
      <c r="C3194" s="4" t="n">
        <v>83</v>
      </c>
      <c r="D3194" s="4" t="n">
        <v>25.1075</v>
      </c>
      <c r="E3194" s="5" t="n">
        <v>250.9</v>
      </c>
      <c r="F3194" s="3" t="inlineStr">
        <is>
          <t>남이면</t>
        </is>
      </c>
      <c r="G3194" s="3" t="inlineStr">
        <is>
          <t>양촌리</t>
        </is>
      </c>
      <c r="H3194" s="3" t="inlineStr">
        <is>
          <t>자연녹지지역</t>
        </is>
      </c>
      <c r="I3194" s="3" t="inlineStr">
        <is>
          <t>답</t>
        </is>
      </c>
      <c r="J3194" s="3" t="inlineStr">
        <is>
          <t>남이면</t>
        </is>
      </c>
    </row>
    <row r="3195">
      <c r="A3195" s="3" t="n">
        <v>2022</v>
      </c>
      <c r="B3195" s="4" t="n">
        <v>79200</v>
      </c>
      <c r="C3195" s="4" t="n">
        <v>1587</v>
      </c>
      <c r="D3195" s="4" t="n">
        <v>480.0675</v>
      </c>
      <c r="E3195" s="5" t="n">
        <v>165</v>
      </c>
      <c r="F3195" s="3" t="inlineStr">
        <is>
          <t>남이면</t>
        </is>
      </c>
      <c r="G3195" s="3" t="inlineStr">
        <is>
          <t>양촌리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26000</v>
      </c>
      <c r="C3196" s="4" t="n">
        <v>1615</v>
      </c>
      <c r="D3196" s="4" t="n">
        <v>488.5375</v>
      </c>
      <c r="E3196" s="5" t="n">
        <v>53.2</v>
      </c>
      <c r="F3196" s="3" t="inlineStr">
        <is>
          <t>남이면</t>
        </is>
      </c>
      <c r="G3196" s="3" t="inlineStr">
        <is>
          <t>석실리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13360</v>
      </c>
      <c r="C3197" s="4" t="n">
        <v>3393.7</v>
      </c>
      <c r="D3197" s="4" t="n">
        <v>1026.59425</v>
      </c>
      <c r="E3197" s="5" t="n">
        <v>13</v>
      </c>
      <c r="F3197" s="3" t="inlineStr">
        <is>
          <t>현도면</t>
        </is>
      </c>
      <c r="G3197" s="3" t="inlineStr">
        <is>
          <t>우록리</t>
        </is>
      </c>
      <c r="H3197" s="3" t="inlineStr">
        <is>
          <t>보전관리지역</t>
        </is>
      </c>
      <c r="I3197" s="3" t="inlineStr">
        <is>
          <t>전</t>
        </is>
      </c>
      <c r="J3197" s="3" t="inlineStr">
        <is>
          <t>현도면</t>
        </is>
      </c>
    </row>
    <row r="3198">
      <c r="A3198" s="3" t="n">
        <v>2022</v>
      </c>
      <c r="B3198" s="4" t="n">
        <v>1970</v>
      </c>
      <c r="C3198" s="4" t="n">
        <v>889</v>
      </c>
      <c r="D3198" s="4" t="n">
        <v>268.9225</v>
      </c>
      <c r="E3198" s="5" t="n">
        <v>7.3</v>
      </c>
      <c r="F3198" s="3" t="inlineStr">
        <is>
          <t>남이면</t>
        </is>
      </c>
      <c r="G3198" s="3" t="inlineStr">
        <is>
          <t>부용외천리</t>
        </is>
      </c>
      <c r="H3198" s="3" t="inlineStr">
        <is>
          <t>보전관리지역</t>
        </is>
      </c>
      <c r="I3198" s="3" t="inlineStr">
        <is>
          <t>답</t>
        </is>
      </c>
      <c r="J3198" s="3" t="inlineStr">
        <is>
          <t>남이면</t>
        </is>
      </c>
    </row>
    <row r="3199">
      <c r="A3199" s="3" t="n">
        <v>2022</v>
      </c>
      <c r="B3199" s="4" t="n">
        <v>4030</v>
      </c>
      <c r="C3199" s="4" t="n">
        <v>1815</v>
      </c>
      <c r="D3199" s="4" t="n">
        <v>549.0375</v>
      </c>
      <c r="E3199" s="5" t="n">
        <v>7.3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보전관리지역</t>
        </is>
      </c>
      <c r="I3199" s="3" t="inlineStr">
        <is>
          <t>답</t>
        </is>
      </c>
      <c r="J3199" s="3" t="inlineStr">
        <is>
          <t>남이면</t>
        </is>
      </c>
    </row>
    <row r="3200">
      <c r="A3200" s="3" t="n">
        <v>2022</v>
      </c>
      <c r="B3200" s="4" t="n">
        <v>18400</v>
      </c>
      <c r="C3200" s="4" t="n">
        <v>926</v>
      </c>
      <c r="D3200" s="4" t="n">
        <v>280.115</v>
      </c>
      <c r="E3200" s="5" t="n">
        <v>65.7</v>
      </c>
      <c r="F3200" s="3" t="inlineStr">
        <is>
          <t>현도면</t>
        </is>
      </c>
      <c r="G3200" s="3" t="inlineStr">
        <is>
          <t>중삼리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현도면</t>
        </is>
      </c>
    </row>
    <row r="3201">
      <c r="A3201" s="3" t="n">
        <v>2022</v>
      </c>
      <c r="B3201" s="4" t="n">
        <v>7134</v>
      </c>
      <c r="C3201" s="4" t="n">
        <v>407</v>
      </c>
      <c r="D3201" s="4" t="n">
        <v>123.1175</v>
      </c>
      <c r="E3201" s="5" t="n">
        <v>57.9</v>
      </c>
      <c r="F3201" s="3" t="inlineStr">
        <is>
          <t>현도면</t>
        </is>
      </c>
      <c r="G3201" s="3" t="inlineStr">
        <is>
          <t>중삼리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현도면</t>
        </is>
      </c>
    </row>
    <row r="3202">
      <c r="A3202" s="3" t="n">
        <v>2022</v>
      </c>
      <c r="B3202" s="4" t="n">
        <v>7946</v>
      </c>
      <c r="C3202" s="4" t="n">
        <v>453</v>
      </c>
      <c r="D3202" s="4" t="n">
        <v>137.0325</v>
      </c>
      <c r="E3202" s="5" t="n">
        <v>58</v>
      </c>
      <c r="F3202" s="3" t="inlineStr">
        <is>
          <t>현도면</t>
        </is>
      </c>
      <c r="G3202" s="3" t="inlineStr">
        <is>
          <t>중삼리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현도면</t>
        </is>
      </c>
    </row>
    <row r="3203">
      <c r="A3203" s="3" t="n">
        <v>2022</v>
      </c>
      <c r="B3203" s="4" t="n">
        <v>12412</v>
      </c>
      <c r="C3203" s="4" t="n">
        <v>707</v>
      </c>
      <c r="D3203" s="4" t="n">
        <v>213.8675</v>
      </c>
      <c r="E3203" s="5" t="n">
        <v>58</v>
      </c>
      <c r="F3203" s="3" t="inlineStr">
        <is>
          <t>현도면</t>
        </is>
      </c>
      <c r="G3203" s="3" t="inlineStr">
        <is>
          <t>중삼리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현도면</t>
        </is>
      </c>
    </row>
    <row r="3204">
      <c r="A3204" s="3" t="n">
        <v>2022</v>
      </c>
      <c r="B3204" s="4" t="n">
        <v>13920</v>
      </c>
      <c r="C3204" s="4" t="n">
        <v>793</v>
      </c>
      <c r="D3204" s="4" t="n">
        <v>239.8825</v>
      </c>
      <c r="E3204" s="5" t="n">
        <v>58</v>
      </c>
      <c r="F3204" s="3" t="inlineStr">
        <is>
          <t>현도면</t>
        </is>
      </c>
      <c r="G3204" s="3" t="inlineStr">
        <is>
          <t>중삼리</t>
        </is>
      </c>
      <c r="H3204" s="3" t="inlineStr">
        <is>
          <t>계획관리지역</t>
        </is>
      </c>
      <c r="I3204" s="3" t="inlineStr">
        <is>
          <t>전</t>
        </is>
      </c>
      <c r="J3204" s="3" t="inlineStr">
        <is>
          <t>현도면</t>
        </is>
      </c>
    </row>
    <row r="3205">
      <c r="A3205" s="3" t="n">
        <v>2022</v>
      </c>
      <c r="B3205" s="4" t="n">
        <v>20380</v>
      </c>
      <c r="C3205" s="4" t="n">
        <v>1045</v>
      </c>
      <c r="D3205" s="4" t="n">
        <v>316.1125</v>
      </c>
      <c r="E3205" s="5" t="n">
        <v>64.5</v>
      </c>
      <c r="F3205" s="3" t="inlineStr">
        <is>
          <t>현도면</t>
        </is>
      </c>
      <c r="G3205" s="3" t="inlineStr">
        <is>
          <t>중삼리</t>
        </is>
      </c>
      <c r="H3205" s="3" t="inlineStr">
        <is>
          <t>계획관리지역</t>
        </is>
      </c>
      <c r="I3205" s="3" t="inlineStr">
        <is>
          <t>전</t>
        </is>
      </c>
      <c r="J3205" s="3" t="inlineStr">
        <is>
          <t>현도면</t>
        </is>
      </c>
    </row>
    <row r="3206">
      <c r="A3206" s="3" t="n">
        <v>2022</v>
      </c>
      <c r="B3206" s="4" t="n">
        <v>43795</v>
      </c>
      <c r="C3206" s="4" t="n">
        <v>2212</v>
      </c>
      <c r="D3206" s="4" t="n">
        <v>669.13</v>
      </c>
      <c r="E3206" s="5" t="n">
        <v>65.5</v>
      </c>
      <c r="F3206" s="3" t="inlineStr">
        <is>
          <t>현도면</t>
        </is>
      </c>
      <c r="G3206" s="3" t="inlineStr">
        <is>
          <t>중삼리</t>
        </is>
      </c>
      <c r="H3206" s="3" t="inlineStr">
        <is>
          <t>계획관리지역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2022</v>
      </c>
      <c r="B3207" s="4" t="n">
        <v>6776</v>
      </c>
      <c r="C3207" s="4" t="n">
        <v>615</v>
      </c>
      <c r="D3207" s="4" t="n">
        <v>186.0375</v>
      </c>
      <c r="E3207" s="5" t="n">
        <v>36.4</v>
      </c>
      <c r="F3207" s="3" t="inlineStr">
        <is>
          <t>현도면</t>
        </is>
      </c>
      <c r="G3207" s="3" t="inlineStr">
        <is>
          <t>중삼리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현도면</t>
        </is>
      </c>
    </row>
    <row r="3208">
      <c r="A3208" s="3" t="n">
        <v>2022</v>
      </c>
      <c r="B3208" s="4" t="n">
        <v>3129</v>
      </c>
      <c r="C3208" s="4" t="n">
        <v>284</v>
      </c>
      <c r="D3208" s="4" t="n">
        <v>85.91</v>
      </c>
      <c r="E3208" s="5" t="n">
        <v>36.4</v>
      </c>
      <c r="F3208" s="3" t="inlineStr">
        <is>
          <t>현도면</t>
        </is>
      </c>
      <c r="G3208" s="3" t="inlineStr">
        <is>
          <t>중삼리</t>
        </is>
      </c>
      <c r="H3208" s="3" t="inlineStr">
        <is>
          <t>계획관리지역</t>
        </is>
      </c>
      <c r="I3208" s="3" t="inlineStr">
        <is>
          <t>전</t>
        </is>
      </c>
      <c r="J3208" s="3" t="inlineStr">
        <is>
          <t>현도면</t>
        </is>
      </c>
    </row>
    <row r="3209">
      <c r="A3209" s="3" t="n">
        <v>2022</v>
      </c>
      <c r="B3209" s="4" t="n">
        <v>4363</v>
      </c>
      <c r="C3209" s="4" t="n">
        <v>396</v>
      </c>
      <c r="D3209" s="4" t="n">
        <v>119.79</v>
      </c>
      <c r="E3209" s="5" t="n">
        <v>36.4</v>
      </c>
      <c r="F3209" s="3" t="inlineStr">
        <is>
          <t>현도면</t>
        </is>
      </c>
      <c r="G3209" s="3" t="inlineStr">
        <is>
          <t>중삼리</t>
        </is>
      </c>
      <c r="H3209" s="3" t="inlineStr">
        <is>
          <t>계획관리지역</t>
        </is>
      </c>
      <c r="I3209" s="3" t="inlineStr">
        <is>
          <t>전</t>
        </is>
      </c>
      <c r="J3209" s="3" t="inlineStr">
        <is>
          <t>현도면</t>
        </is>
      </c>
    </row>
    <row r="3210">
      <c r="A3210" s="3" t="n">
        <v>2022</v>
      </c>
      <c r="B3210" s="4" t="n">
        <v>41310</v>
      </c>
      <c r="C3210" s="4" t="n">
        <v>942</v>
      </c>
      <c r="D3210" s="4" t="n">
        <v>284.955</v>
      </c>
      <c r="E3210" s="5" t="n">
        <v>145</v>
      </c>
      <c r="F3210" s="3" t="inlineStr">
        <is>
          <t>남이면</t>
        </is>
      </c>
      <c r="G3210" s="3" t="inlineStr">
        <is>
          <t>척산리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남이면</t>
        </is>
      </c>
    </row>
    <row r="3211">
      <c r="A3211" s="3" t="n">
        <v>2026</v>
      </c>
      <c r="B3211" s="4" t="n">
        <v>43000</v>
      </c>
      <c r="C3211" s="4" t="n">
        <v>505</v>
      </c>
      <c r="D3211" s="4" t="n">
        <v>152.7625</v>
      </c>
      <c r="E3211" s="5" t="n">
        <v>281.5</v>
      </c>
      <c r="F3211" s="3" t="inlineStr">
        <is>
          <t>강내면</t>
        </is>
      </c>
      <c r="G3211" s="3" t="inlineStr">
        <is>
          <t>탑연리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강내면</t>
        </is>
      </c>
    </row>
    <row r="3212">
      <c r="A3212" s="3" t="n">
        <v>2026</v>
      </c>
      <c r="B3212" s="4" t="n">
        <v>13000</v>
      </c>
      <c r="C3212" s="4" t="n">
        <v>1400</v>
      </c>
      <c r="D3212" s="4" t="n">
        <v>423.5</v>
      </c>
      <c r="E3212" s="5" t="n">
        <v>30.7</v>
      </c>
      <c r="F3212" s="3" t="inlineStr">
        <is>
          <t>남이면</t>
        </is>
      </c>
      <c r="G3212" s="3" t="inlineStr">
        <is>
          <t>사동리</t>
        </is>
      </c>
      <c r="H3212" s="3" t="inlineStr">
        <is>
          <t>생산관리지역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2026</v>
      </c>
      <c r="B3213" s="4" t="n">
        <v>7000</v>
      </c>
      <c r="C3213" s="4" t="n">
        <v>579</v>
      </c>
      <c r="D3213" s="4" t="n">
        <v>175.1475</v>
      </c>
      <c r="E3213" s="5" t="n">
        <v>40</v>
      </c>
      <c r="F3213" s="3" t="inlineStr">
        <is>
          <t>현도면</t>
        </is>
      </c>
      <c r="G3213" s="3" t="inlineStr">
        <is>
          <t>선동리</t>
        </is>
      </c>
      <c r="H3213" s="3" t="inlineStr">
        <is>
          <t>자연녹지지역</t>
        </is>
      </c>
      <c r="I3213" s="3" t="inlineStr">
        <is>
          <t>답</t>
        </is>
      </c>
      <c r="J3213" s="3" t="inlineStr">
        <is>
          <t>현도면</t>
        </is>
      </c>
    </row>
    <row r="3214">
      <c r="A3214" s="3" t="n">
        <v>2025</v>
      </c>
      <c r="B3214" s="4" t="n">
        <v>4600</v>
      </c>
      <c r="C3214" s="4" t="n">
        <v>76</v>
      </c>
      <c r="D3214" s="4" t="n">
        <v>22.99</v>
      </c>
      <c r="E3214" s="5" t="n">
        <v>200.1</v>
      </c>
      <c r="F3214" s="3" t="inlineStr">
        <is>
          <t>오송읍</t>
        </is>
      </c>
      <c r="G3214" s="3" t="inlineStr">
        <is>
          <t>상정리</t>
        </is>
      </c>
      <c r="H3214" s="3" t="inlineStr">
        <is>
          <t>계획관리지역</t>
        </is>
      </c>
      <c r="I3214" s="3" t="inlineStr">
        <is>
          <t>창고용지</t>
        </is>
      </c>
      <c r="J3214" s="3" t="inlineStr">
        <is>
          <t>오송읍</t>
        </is>
      </c>
    </row>
    <row r="3215">
      <c r="A3215" s="3" t="n">
        <v>2025</v>
      </c>
      <c r="B3215" s="4" t="n">
        <v>2640</v>
      </c>
      <c r="C3215" s="4" t="n">
        <v>47</v>
      </c>
      <c r="D3215" s="4" t="n">
        <v>14.2175</v>
      </c>
      <c r="E3215" s="5" t="n">
        <v>185.7</v>
      </c>
      <c r="F3215" s="3" t="inlineStr">
        <is>
          <t>강내면</t>
        </is>
      </c>
      <c r="G3215" s="3" t="inlineStr">
        <is>
          <t>월탄리</t>
        </is>
      </c>
      <c r="H3215" s="3" t="inlineStr">
        <is>
          <t>계획관리지역</t>
        </is>
      </c>
      <c r="I3215" s="3" t="inlineStr">
        <is>
          <t>전</t>
        </is>
      </c>
      <c r="J3215" s="3" t="inlineStr">
        <is>
          <t>강내면</t>
        </is>
      </c>
    </row>
    <row r="3216">
      <c r="A3216" s="3" t="n">
        <v>2025</v>
      </c>
      <c r="B3216" s="4" t="n">
        <v>3641</v>
      </c>
      <c r="C3216" s="4" t="n">
        <v>63</v>
      </c>
      <c r="D3216" s="4" t="n">
        <v>19.0575</v>
      </c>
      <c r="E3216" s="5" t="n">
        <v>191.1</v>
      </c>
      <c r="F3216" s="3" t="inlineStr">
        <is>
          <t>강내면</t>
        </is>
      </c>
      <c r="G3216" s="3" t="inlineStr">
        <is>
          <t>월탄리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강내면</t>
        </is>
      </c>
    </row>
    <row r="3217">
      <c r="A3217" s="3" t="n">
        <v>2025</v>
      </c>
      <c r="B3217" s="4" t="n">
        <v>7686</v>
      </c>
      <c r="C3217" s="4" t="n">
        <v>133</v>
      </c>
      <c r="D3217" s="4" t="n">
        <v>40.2325</v>
      </c>
      <c r="E3217" s="5" t="n">
        <v>191</v>
      </c>
      <c r="F3217" s="3" t="inlineStr">
        <is>
          <t>강내면</t>
        </is>
      </c>
      <c r="G3217" s="3" t="inlineStr">
        <is>
          <t>월탄리</t>
        </is>
      </c>
      <c r="H3217" s="3" t="inlineStr">
        <is>
          <t>계획관리지역</t>
        </is>
      </c>
      <c r="I3217" s="3" t="inlineStr">
        <is>
          <t>전</t>
        </is>
      </c>
      <c r="J3217" s="3" t="inlineStr">
        <is>
          <t>강내면</t>
        </is>
      </c>
    </row>
    <row r="3218">
      <c r="A3218" s="3" t="n">
        <v>2025</v>
      </c>
      <c r="B3218" s="4" t="n">
        <v>5200</v>
      </c>
      <c r="C3218" s="4" t="n">
        <v>259</v>
      </c>
      <c r="D3218" s="4" t="n">
        <v>78.3475</v>
      </c>
      <c r="E3218" s="5" t="n">
        <v>66.40000000000001</v>
      </c>
      <c r="F3218" s="3" t="inlineStr">
        <is>
          <t>강내면</t>
        </is>
      </c>
      <c r="G3218" s="3" t="inlineStr">
        <is>
          <t>월탄리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강내면</t>
        </is>
      </c>
    </row>
    <row r="3219">
      <c r="A3219" s="3" t="n">
        <v>2025</v>
      </c>
      <c r="B3219" s="4" t="n">
        <v>33000</v>
      </c>
      <c r="C3219" s="4" t="n">
        <v>267.5</v>
      </c>
      <c r="D3219" s="4" t="n">
        <v>80.91875</v>
      </c>
      <c r="E3219" s="5" t="n">
        <v>407.8</v>
      </c>
      <c r="F3219" s="3" t="inlineStr">
        <is>
          <t>오송읍</t>
        </is>
      </c>
      <c r="G3219" s="3" t="inlineStr">
        <is>
          <t>봉산리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오송읍</t>
        </is>
      </c>
    </row>
    <row r="3220">
      <c r="A3220" s="3" t="n">
        <v>2024</v>
      </c>
      <c r="B3220" s="4" t="n">
        <v>94000</v>
      </c>
      <c r="C3220" s="4" t="n">
        <v>2476</v>
      </c>
      <c r="D3220" s="4" t="n">
        <v>748.99</v>
      </c>
      <c r="E3220" s="5" t="n">
        <v>125.5</v>
      </c>
      <c r="F3220" s="3" t="inlineStr">
        <is>
          <t>남이면</t>
        </is>
      </c>
      <c r="G3220" s="3" t="inlineStr">
        <is>
          <t>가마리</t>
        </is>
      </c>
      <c r="H3220" s="3" t="inlineStr">
        <is>
          <t>자연녹지지역</t>
        </is>
      </c>
      <c r="I3220" s="3" t="inlineStr">
        <is>
          <t>답</t>
        </is>
      </c>
      <c r="J3220" s="3" t="inlineStr">
        <is>
          <t>남이면</t>
        </is>
      </c>
    </row>
    <row r="3221">
      <c r="A3221" s="3" t="n">
        <v>2024</v>
      </c>
      <c r="B3221" s="4" t="n">
        <v>27275</v>
      </c>
      <c r="C3221" s="4" t="n">
        <v>533</v>
      </c>
      <c r="D3221" s="4" t="n">
        <v>161.2325</v>
      </c>
      <c r="E3221" s="5" t="n">
        <v>169.2</v>
      </c>
      <c r="F3221" s="3" t="inlineStr">
        <is>
          <t>남이면</t>
        </is>
      </c>
      <c r="G3221" s="3" t="inlineStr">
        <is>
          <t>가마리</t>
        </is>
      </c>
      <c r="H3221" s="3" t="inlineStr">
        <is>
          <t>보전녹지지역</t>
        </is>
      </c>
      <c r="I3221" s="3" t="inlineStr">
        <is>
          <t>임야</t>
        </is>
      </c>
      <c r="J3221" s="3" t="inlineStr">
        <is>
          <t>남이면</t>
        </is>
      </c>
    </row>
    <row r="3222">
      <c r="A3222" s="3" t="n">
        <v>2024</v>
      </c>
      <c r="B3222" s="4" t="n">
        <v>3376</v>
      </c>
      <c r="C3222" s="4" t="n">
        <v>97</v>
      </c>
      <c r="D3222" s="4" t="n">
        <v>29.3425</v>
      </c>
      <c r="E3222" s="5" t="n">
        <v>115.1</v>
      </c>
      <c r="F3222" s="3" t="inlineStr">
        <is>
          <t>남이면</t>
        </is>
      </c>
      <c r="G3222" s="3" t="inlineStr">
        <is>
          <t>가좌리</t>
        </is>
      </c>
      <c r="H3222" s="3" t="inlineStr">
        <is>
          <t>자연녹지지역</t>
        </is>
      </c>
      <c r="I3222" s="3" t="inlineStr">
        <is>
          <t>하천</t>
        </is>
      </c>
      <c r="J3222" s="3" t="inlineStr">
        <is>
          <t>남이면</t>
        </is>
      </c>
    </row>
    <row r="3223">
      <c r="A3223" s="3" t="n">
        <v>2024</v>
      </c>
      <c r="B3223" s="4" t="n">
        <v>7300</v>
      </c>
      <c r="C3223" s="4" t="n">
        <v>863</v>
      </c>
      <c r="D3223" s="4" t="n">
        <v>261.0575</v>
      </c>
      <c r="E3223" s="5" t="n">
        <v>28</v>
      </c>
      <c r="F3223" s="3" t="inlineStr">
        <is>
          <t>현도면</t>
        </is>
      </c>
      <c r="G3223" s="3" t="inlineStr">
        <is>
          <t>죽전리</t>
        </is>
      </c>
      <c r="H3223" s="3" t="inlineStr">
        <is>
          <t>개발제한구역</t>
        </is>
      </c>
      <c r="I3223" s="3" t="inlineStr">
        <is>
          <t>답</t>
        </is>
      </c>
      <c r="J3223" s="3" t="inlineStr">
        <is>
          <t>현도면</t>
        </is>
      </c>
    </row>
    <row r="3224">
      <c r="A3224" s="3" t="n">
        <v>2024</v>
      </c>
      <c r="B3224" s="4" t="n">
        <v>8280</v>
      </c>
      <c r="C3224" s="4" t="n">
        <v>1822.5</v>
      </c>
      <c r="D3224" s="4" t="n">
        <v>551.30625</v>
      </c>
      <c r="E3224" s="5" t="n">
        <v>15</v>
      </c>
      <c r="F3224" s="3" t="inlineStr">
        <is>
          <t>현도면</t>
        </is>
      </c>
      <c r="G3224" s="3" t="inlineStr">
        <is>
          <t>하석리</t>
        </is>
      </c>
      <c r="H3224" s="3" t="inlineStr">
        <is>
          <t>개발제한구역</t>
        </is>
      </c>
      <c r="I3224" s="3" t="inlineStr">
        <is>
          <t>답</t>
        </is>
      </c>
      <c r="J3224" s="3" t="inlineStr">
        <is>
          <t>현도면</t>
        </is>
      </c>
    </row>
    <row r="3225">
      <c r="A3225" s="3" t="n">
        <v>2024</v>
      </c>
      <c r="B3225" s="4" t="n">
        <v>8368</v>
      </c>
      <c r="C3225" s="4" t="n">
        <v>3460</v>
      </c>
      <c r="D3225" s="4" t="n">
        <v>1046.65</v>
      </c>
      <c r="E3225" s="5" t="n">
        <v>8</v>
      </c>
      <c r="F3225" s="3" t="inlineStr">
        <is>
          <t>현도면</t>
        </is>
      </c>
      <c r="G3225" s="3" t="inlineStr">
        <is>
          <t>상삼리</t>
        </is>
      </c>
      <c r="H3225" s="3" t="inlineStr">
        <is>
          <t>보전관리지역</t>
        </is>
      </c>
      <c r="I3225" s="3" t="inlineStr">
        <is>
          <t>임야</t>
        </is>
      </c>
      <c r="J3225" s="3" t="inlineStr">
        <is>
          <t>현도면</t>
        </is>
      </c>
    </row>
    <row r="3226">
      <c r="A3226" s="3" t="n">
        <v>2024</v>
      </c>
      <c r="B3226" s="4" t="n">
        <v>2500</v>
      </c>
      <c r="C3226" s="4" t="n">
        <v>536</v>
      </c>
      <c r="D3226" s="4" t="n">
        <v>162.14</v>
      </c>
      <c r="E3226" s="5" t="n">
        <v>15.4</v>
      </c>
      <c r="F3226" s="3" t="inlineStr">
        <is>
          <t>현도면</t>
        </is>
      </c>
      <c r="G3226" s="3" t="inlineStr">
        <is>
          <t>하석리</t>
        </is>
      </c>
      <c r="H3226" s="3" t="inlineStr">
        <is>
          <t>개발제한구역</t>
        </is>
      </c>
      <c r="I3226" s="3" t="inlineStr">
        <is>
          <t>전</t>
        </is>
      </c>
      <c r="J3226" s="3" t="inlineStr">
        <is>
          <t>현도면</t>
        </is>
      </c>
    </row>
    <row r="3227">
      <c r="A3227" s="3" t="n">
        <v>2024</v>
      </c>
      <c r="B3227" s="4" t="n">
        <v>2927</v>
      </c>
      <c r="C3227" s="4" t="n">
        <v>84.09999999999999</v>
      </c>
      <c r="D3227" s="4" t="n">
        <v>25.44025</v>
      </c>
      <c r="E3227" s="5" t="n">
        <v>115.1</v>
      </c>
      <c r="F3227" s="3" t="inlineStr">
        <is>
          <t>남이면</t>
        </is>
      </c>
      <c r="G3227" s="3" t="inlineStr">
        <is>
          <t>가좌리</t>
        </is>
      </c>
      <c r="H3227" s="3" t="inlineStr">
        <is>
          <t>자연녹지지역</t>
        </is>
      </c>
      <c r="I3227" s="3" t="inlineStr">
        <is>
          <t>하천</t>
        </is>
      </c>
      <c r="J3227" s="3" t="inlineStr">
        <is>
          <t>남이면</t>
        </is>
      </c>
    </row>
    <row r="3228">
      <c r="A3228" s="3" t="n">
        <v>2024</v>
      </c>
      <c r="B3228" s="4" t="n">
        <v>2000</v>
      </c>
      <c r="C3228" s="4" t="n">
        <v>69</v>
      </c>
      <c r="D3228" s="4" t="n">
        <v>20.8725</v>
      </c>
      <c r="E3228" s="5" t="n">
        <v>95.8</v>
      </c>
      <c r="F3228" s="3" t="inlineStr">
        <is>
          <t>남이면</t>
        </is>
      </c>
      <c r="G3228" s="3" t="inlineStr">
        <is>
          <t>수대리</t>
        </is>
      </c>
      <c r="H3228" s="3" t="inlineStr">
        <is>
          <t>자연녹지지역</t>
        </is>
      </c>
      <c r="I3228" s="3" t="inlineStr">
        <is>
          <t>답</t>
        </is>
      </c>
      <c r="J3228" s="3" t="inlineStr">
        <is>
          <t>남이면</t>
        </is>
      </c>
    </row>
    <row r="3229">
      <c r="A3229" s="3" t="n">
        <v>2024</v>
      </c>
      <c r="B3229" s="4" t="n">
        <v>35000</v>
      </c>
      <c r="C3229" s="4" t="n">
        <v>612</v>
      </c>
      <c r="D3229" s="4" t="n">
        <v>185.13</v>
      </c>
      <c r="E3229" s="5" t="n">
        <v>189.1</v>
      </c>
      <c r="F3229" s="3" t="inlineStr">
        <is>
          <t>남이면</t>
        </is>
      </c>
      <c r="G3229" s="3" t="inlineStr">
        <is>
          <t>석판리</t>
        </is>
      </c>
      <c r="H3229" s="3" t="inlineStr">
        <is>
          <t>자연녹지지역</t>
        </is>
      </c>
      <c r="I3229" s="3" t="inlineStr">
        <is>
          <t>묘지</t>
        </is>
      </c>
      <c r="J3229" s="3" t="inlineStr">
        <is>
          <t>남이면</t>
        </is>
      </c>
    </row>
    <row r="3230">
      <c r="A3230" s="3" t="n">
        <v>2024</v>
      </c>
      <c r="B3230" s="4" t="n">
        <v>38700</v>
      </c>
      <c r="C3230" s="4" t="n">
        <v>826</v>
      </c>
      <c r="D3230" s="4" t="n">
        <v>249.865</v>
      </c>
      <c r="E3230" s="5" t="n">
        <v>154.9</v>
      </c>
      <c r="F3230" s="3" t="inlineStr">
        <is>
          <t>남이면</t>
        </is>
      </c>
      <c r="G3230" s="3" t="inlineStr">
        <is>
          <t>상발리</t>
        </is>
      </c>
      <c r="H3230" s="3" t="inlineStr">
        <is>
          <t>기타</t>
        </is>
      </c>
      <c r="I3230" s="3" t="inlineStr">
        <is>
          <t>전</t>
        </is>
      </c>
      <c r="J3230" s="3" t="inlineStr">
        <is>
          <t>남이면</t>
        </is>
      </c>
    </row>
    <row r="3231">
      <c r="A3231" s="3" t="n">
        <v>2024</v>
      </c>
      <c r="B3231" s="4" t="n">
        <v>637</v>
      </c>
      <c r="C3231" s="4" t="n">
        <v>36</v>
      </c>
      <c r="D3231" s="4" t="n">
        <v>10.89</v>
      </c>
      <c r="E3231" s="5" t="n">
        <v>58.5</v>
      </c>
      <c r="F3231" s="3" t="inlineStr">
        <is>
          <t>남이면</t>
        </is>
      </c>
      <c r="G3231" s="3" t="inlineStr">
        <is>
          <t>외천리</t>
        </is>
      </c>
      <c r="H3231" s="3" t="inlineStr">
        <is>
          <t>보전관리지역</t>
        </is>
      </c>
      <c r="I3231" s="3" t="inlineStr">
        <is>
          <t>제방</t>
        </is>
      </c>
      <c r="J3231" s="3" t="inlineStr">
        <is>
          <t>남이면</t>
        </is>
      </c>
    </row>
    <row r="3232">
      <c r="A3232" s="3" t="n">
        <v>2024</v>
      </c>
      <c r="B3232" s="4" t="n">
        <v>387</v>
      </c>
      <c r="C3232" s="4" t="n">
        <v>28</v>
      </c>
      <c r="D3232" s="4" t="n">
        <v>8.469999999999999</v>
      </c>
      <c r="E3232" s="5" t="n">
        <v>45.7</v>
      </c>
      <c r="F3232" s="3" t="inlineStr">
        <is>
          <t>남이면</t>
        </is>
      </c>
      <c r="G3232" s="3" t="inlineStr">
        <is>
          <t>외천리</t>
        </is>
      </c>
      <c r="H3232" s="3" t="inlineStr">
        <is>
          <t>보전관리지역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9200</v>
      </c>
      <c r="C3233" s="4" t="n">
        <v>380</v>
      </c>
      <c r="D3233" s="4" t="n">
        <v>114.95</v>
      </c>
      <c r="E3233" s="5" t="n">
        <v>80</v>
      </c>
      <c r="F3233" s="3" t="inlineStr">
        <is>
          <t>남이면</t>
        </is>
      </c>
      <c r="G3233" s="3" t="inlineStr">
        <is>
          <t>척북리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2024</v>
      </c>
      <c r="B3234" s="4" t="n">
        <v>24079</v>
      </c>
      <c r="C3234" s="4" t="n">
        <v>521</v>
      </c>
      <c r="D3234" s="4" t="n">
        <v>157.6025</v>
      </c>
      <c r="E3234" s="5" t="n">
        <v>152.8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보전녹지지역</t>
        </is>
      </c>
      <c r="I3234" s="3" t="inlineStr">
        <is>
          <t>임야</t>
        </is>
      </c>
      <c r="J3234" s="3" t="inlineStr">
        <is>
          <t>남이면</t>
        </is>
      </c>
    </row>
    <row r="3235">
      <c r="A3235" s="3" t="n">
        <v>2024</v>
      </c>
      <c r="B3235" s="4" t="n">
        <v>35606</v>
      </c>
      <c r="C3235" s="4" t="n">
        <v>1521</v>
      </c>
      <c r="D3235" s="4" t="n">
        <v>460.1025</v>
      </c>
      <c r="E3235" s="5" t="n">
        <v>77.40000000000001</v>
      </c>
      <c r="F3235" s="3" t="inlineStr">
        <is>
          <t>남이면</t>
        </is>
      </c>
      <c r="G3235" s="3" t="inlineStr">
        <is>
          <t>가좌리</t>
        </is>
      </c>
      <c r="H3235" s="3" t="inlineStr">
        <is>
          <t>자연녹지지역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66952</v>
      </c>
      <c r="C3236" s="4" t="n">
        <v>2860</v>
      </c>
      <c r="D3236" s="4" t="n">
        <v>865.15</v>
      </c>
      <c r="E3236" s="5" t="n">
        <v>77.40000000000001</v>
      </c>
      <c r="F3236" s="3" t="inlineStr">
        <is>
          <t>남이면</t>
        </is>
      </c>
      <c r="G3236" s="3" t="inlineStr">
        <is>
          <t>가좌리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42442</v>
      </c>
      <c r="C3237" s="4" t="n">
        <v>1813</v>
      </c>
      <c r="D3237" s="4" t="n">
        <v>548.4325</v>
      </c>
      <c r="E3237" s="5" t="n">
        <v>77.40000000000001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7600</v>
      </c>
      <c r="C3238" s="4" t="n">
        <v>968</v>
      </c>
      <c r="D3238" s="4" t="n">
        <v>292.82</v>
      </c>
      <c r="E3238" s="5" t="n">
        <v>26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644</v>
      </c>
      <c r="C3239" s="4" t="n">
        <v>36</v>
      </c>
      <c r="D3239" s="4" t="n">
        <v>10.89</v>
      </c>
      <c r="E3239" s="5" t="n">
        <v>59.1</v>
      </c>
      <c r="F3239" s="3" t="inlineStr">
        <is>
          <t>남이면</t>
        </is>
      </c>
      <c r="G3239" s="3" t="inlineStr">
        <is>
          <t>외천리</t>
        </is>
      </c>
      <c r="H3239" s="3" t="inlineStr">
        <is>
          <t>보전관리지역</t>
        </is>
      </c>
      <c r="I3239" s="3" t="inlineStr">
        <is>
          <t>제방</t>
        </is>
      </c>
      <c r="J3239" s="3" t="inlineStr">
        <is>
          <t>남이면</t>
        </is>
      </c>
    </row>
    <row r="3240">
      <c r="A3240" s="3" t="n">
        <v>2024</v>
      </c>
      <c r="B3240" s="4" t="n">
        <v>15000</v>
      </c>
      <c r="C3240" s="4" t="n">
        <v>3013</v>
      </c>
      <c r="D3240" s="4" t="n">
        <v>911.4325</v>
      </c>
      <c r="E3240" s="5" t="n">
        <v>16.5</v>
      </c>
      <c r="F3240" s="3" t="inlineStr">
        <is>
          <t>남이면</t>
        </is>
      </c>
      <c r="G3240" s="3" t="inlineStr">
        <is>
          <t>사동리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2024</v>
      </c>
      <c r="B3241" s="4" t="n">
        <v>2860</v>
      </c>
      <c r="C3241" s="4" t="n">
        <v>631</v>
      </c>
      <c r="D3241" s="4" t="n">
        <v>190.8775</v>
      </c>
      <c r="E3241" s="5" t="n">
        <v>15</v>
      </c>
      <c r="F3241" s="3" t="inlineStr">
        <is>
          <t>현도면</t>
        </is>
      </c>
      <c r="G3241" s="3" t="inlineStr">
        <is>
          <t>달계리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현도면</t>
        </is>
      </c>
    </row>
    <row r="3242">
      <c r="A3242" s="3" t="n">
        <v>2024</v>
      </c>
      <c r="B3242" s="4" t="n">
        <v>1230</v>
      </c>
      <c r="C3242" s="4" t="n">
        <v>271</v>
      </c>
      <c r="D3242" s="4" t="n">
        <v>81.97749999999999</v>
      </c>
      <c r="E3242" s="5" t="n">
        <v>15</v>
      </c>
      <c r="F3242" s="3" t="inlineStr">
        <is>
          <t>현도면</t>
        </is>
      </c>
      <c r="G3242" s="3" t="inlineStr">
        <is>
          <t>달계리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현도면</t>
        </is>
      </c>
    </row>
    <row r="3243">
      <c r="A3243" s="3" t="n">
        <v>2024</v>
      </c>
      <c r="B3243" s="4" t="n">
        <v>3010</v>
      </c>
      <c r="C3243" s="4" t="n">
        <v>1253</v>
      </c>
      <c r="D3243" s="4" t="n">
        <v>379.0325</v>
      </c>
      <c r="E3243" s="5" t="n">
        <v>7.9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보전관리지역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1650</v>
      </c>
      <c r="C3244" s="4" t="n">
        <v>863</v>
      </c>
      <c r="D3244" s="4" t="n">
        <v>261.0575</v>
      </c>
      <c r="E3244" s="5" t="n">
        <v>6.3</v>
      </c>
      <c r="F3244" s="3" t="inlineStr">
        <is>
          <t>남이면</t>
        </is>
      </c>
      <c r="G3244" s="3" t="inlineStr">
        <is>
          <t>산막리</t>
        </is>
      </c>
      <c r="H3244" s="3" t="inlineStr">
        <is>
          <t>보전관리지역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40000</v>
      </c>
      <c r="C3245" s="4" t="n">
        <v>1593</v>
      </c>
      <c r="D3245" s="4" t="n">
        <v>481.8825</v>
      </c>
      <c r="E3245" s="5" t="n">
        <v>83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계획관리지역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2024</v>
      </c>
      <c r="B3246" s="4" t="n">
        <v>37937</v>
      </c>
      <c r="C3246" s="4" t="n">
        <v>1511</v>
      </c>
      <c r="D3246" s="4" t="n">
        <v>457.0775</v>
      </c>
      <c r="E3246" s="5" t="n">
        <v>83</v>
      </c>
      <c r="F3246" s="3" t="inlineStr">
        <is>
          <t>남이면</t>
        </is>
      </c>
      <c r="G3246" s="3" t="inlineStr">
        <is>
          <t>척산리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남이면</t>
        </is>
      </c>
    </row>
    <row r="3247">
      <c r="A3247" s="3" t="n">
        <v>2024</v>
      </c>
      <c r="B3247" s="4" t="n">
        <v>99000</v>
      </c>
      <c r="C3247" s="4" t="n">
        <v>2638</v>
      </c>
      <c r="D3247" s="4" t="n">
        <v>797.995</v>
      </c>
      <c r="E3247" s="5" t="n">
        <v>124.1</v>
      </c>
      <c r="F3247" s="3" t="inlineStr">
        <is>
          <t>남이면</t>
        </is>
      </c>
      <c r="G3247" s="3" t="inlineStr">
        <is>
          <t>가좌리</t>
        </is>
      </c>
      <c r="H3247" s="3" t="inlineStr">
        <is>
          <t>자연녹지지역</t>
        </is>
      </c>
      <c r="I3247" s="3" t="inlineStr">
        <is>
          <t>임야</t>
        </is>
      </c>
      <c r="J3247" s="3" t="inlineStr">
        <is>
          <t>남이면</t>
        </is>
      </c>
    </row>
    <row r="3248">
      <c r="A3248" s="3" t="n">
        <v>2024</v>
      </c>
      <c r="B3248" s="4" t="n">
        <v>1000</v>
      </c>
      <c r="C3248" s="4" t="n">
        <v>24</v>
      </c>
      <c r="D3248" s="4" t="n">
        <v>7.26</v>
      </c>
      <c r="E3248" s="5" t="n">
        <v>137.7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대</t>
        </is>
      </c>
      <c r="J3248" s="3" t="inlineStr">
        <is>
          <t>남이면</t>
        </is>
      </c>
    </row>
    <row r="3249">
      <c r="A3249" s="3" t="n">
        <v>2024</v>
      </c>
      <c r="B3249" s="4" t="n">
        <v>3331</v>
      </c>
      <c r="C3249" s="4" t="n">
        <v>110</v>
      </c>
      <c r="D3249" s="4" t="n">
        <v>33.275</v>
      </c>
      <c r="E3249" s="5" t="n">
        <v>100.1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남이면</t>
        </is>
      </c>
    </row>
    <row r="3250">
      <c r="A3250" s="3" t="n">
        <v>2024</v>
      </c>
      <c r="B3250" s="4" t="n">
        <v>20006</v>
      </c>
      <c r="C3250" s="4" t="n">
        <v>696</v>
      </c>
      <c r="D3250" s="4" t="n">
        <v>210.54</v>
      </c>
      <c r="E3250" s="5" t="n">
        <v>95</v>
      </c>
      <c r="F3250" s="3" t="inlineStr">
        <is>
          <t>남이면</t>
        </is>
      </c>
      <c r="G3250" s="3" t="inlineStr">
        <is>
          <t>척산리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2024</v>
      </c>
      <c r="B3251" s="4" t="n">
        <v>2604</v>
      </c>
      <c r="C3251" s="4" t="n">
        <v>155</v>
      </c>
      <c r="D3251" s="4" t="n">
        <v>46.8875</v>
      </c>
      <c r="E3251" s="5" t="n">
        <v>55.5</v>
      </c>
      <c r="F3251" s="3" t="inlineStr">
        <is>
          <t>남이면</t>
        </is>
      </c>
      <c r="G3251" s="3" t="inlineStr">
        <is>
          <t>양촌리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33</v>
      </c>
      <c r="C3252" s="4" t="n">
        <v>1</v>
      </c>
      <c r="D3252" s="4" t="n">
        <v>0.3025</v>
      </c>
      <c r="E3252" s="5" t="n">
        <v>109.1</v>
      </c>
      <c r="F3252" s="3" t="inlineStr">
        <is>
          <t>부강면</t>
        </is>
      </c>
      <c r="G3252" s="3" t="inlineStr">
        <is>
          <t>부강리</t>
        </is>
      </c>
      <c r="H3252" s="3" t="inlineStr">
        <is>
          <t>제2종일반주거지역</t>
        </is>
      </c>
      <c r="I3252" s="3" t="inlineStr">
        <is>
          <t>대</t>
        </is>
      </c>
      <c r="J3252" s="3" t="inlineStr">
        <is>
          <t>부강면</t>
        </is>
      </c>
    </row>
    <row r="3253">
      <c r="A3253" s="3" t="n">
        <v>2025</v>
      </c>
      <c r="B3253" s="4" t="n">
        <v>1902</v>
      </c>
      <c r="C3253" s="4" t="n">
        <v>58</v>
      </c>
      <c r="D3253" s="4" t="n">
        <v>17.545</v>
      </c>
      <c r="E3253" s="5" t="n">
        <v>108.4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2025</v>
      </c>
      <c r="B3254" s="4" t="n">
        <v>33</v>
      </c>
      <c r="C3254" s="4" t="n">
        <v>1</v>
      </c>
      <c r="D3254" s="4" t="n">
        <v>0.3025</v>
      </c>
      <c r="E3254" s="5" t="n">
        <v>109.1</v>
      </c>
      <c r="F3254" s="3" t="inlineStr">
        <is>
          <t>부강면</t>
        </is>
      </c>
      <c r="G3254" s="3" t="inlineStr">
        <is>
          <t>부강리</t>
        </is>
      </c>
      <c r="H3254" s="3" t="inlineStr">
        <is>
          <t>제2종일반주거지역</t>
        </is>
      </c>
      <c r="I3254" s="3" t="inlineStr">
        <is>
          <t>대</t>
        </is>
      </c>
      <c r="J3254" s="3" t="inlineStr">
        <is>
          <t>부강면</t>
        </is>
      </c>
    </row>
    <row r="3255">
      <c r="A3255" s="3" t="n">
        <v>2025</v>
      </c>
      <c r="B3255" s="4" t="n">
        <v>820</v>
      </c>
      <c r="C3255" s="4" t="n">
        <v>25</v>
      </c>
      <c r="D3255" s="4" t="n">
        <v>7.5625</v>
      </c>
      <c r="E3255" s="5" t="n">
        <v>108.4</v>
      </c>
      <c r="F3255" s="3" t="inlineStr">
        <is>
          <t>부강면</t>
        </is>
      </c>
      <c r="G3255" s="3" t="inlineStr">
        <is>
          <t>부강리</t>
        </is>
      </c>
      <c r="H3255" s="3" t="inlineStr">
        <is>
          <t>제2종일반주거지역</t>
        </is>
      </c>
      <c r="I3255" s="3" t="inlineStr">
        <is>
          <t>대</t>
        </is>
      </c>
      <c r="J3255" s="3" t="inlineStr">
        <is>
          <t>부강면</t>
        </is>
      </c>
    </row>
    <row r="3256">
      <c r="A3256" s="3" t="n">
        <v>2025</v>
      </c>
      <c r="B3256" s="4" t="n">
        <v>32000</v>
      </c>
      <c r="C3256" s="4" t="n">
        <v>1511</v>
      </c>
      <c r="D3256" s="4" t="n">
        <v>457.0775</v>
      </c>
      <c r="E3256" s="5" t="n">
        <v>70</v>
      </c>
      <c r="F3256" s="3" t="inlineStr">
        <is>
          <t>금남면</t>
        </is>
      </c>
      <c r="G3256" s="3" t="inlineStr">
        <is>
          <t>장재리</t>
        </is>
      </c>
      <c r="H3256" s="3" t="inlineStr">
        <is>
          <t>개발제한구역</t>
        </is>
      </c>
      <c r="I3256" s="3" t="inlineStr">
        <is>
          <t>전</t>
        </is>
      </c>
      <c r="J3256" s="3" t="inlineStr">
        <is>
          <t>금남면</t>
        </is>
      </c>
    </row>
    <row r="3257">
      <c r="A3257" s="3" t="n">
        <v>2025</v>
      </c>
      <c r="B3257" s="4" t="n">
        <v>25000</v>
      </c>
      <c r="C3257" s="4" t="n">
        <v>1750</v>
      </c>
      <c r="D3257" s="4" t="n">
        <v>529.375</v>
      </c>
      <c r="E3257" s="5" t="n">
        <v>47.2</v>
      </c>
      <c r="F3257" s="3" t="inlineStr">
        <is>
          <t>부강면</t>
        </is>
      </c>
      <c r="G3257" s="3" t="inlineStr">
        <is>
          <t>문곡리</t>
        </is>
      </c>
      <c r="H3257" s="3" t="inlineStr">
        <is>
          <t>계획관리지역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2025</v>
      </c>
      <c r="B3258" s="4" t="n">
        <v>76000</v>
      </c>
      <c r="C3258" s="4" t="n">
        <v>1542</v>
      </c>
      <c r="D3258" s="4" t="n">
        <v>466.455</v>
      </c>
      <c r="E3258" s="5" t="n">
        <v>162.9</v>
      </c>
      <c r="F3258" s="3" t="inlineStr">
        <is>
          <t>전동면</t>
        </is>
      </c>
      <c r="G3258" s="3" t="inlineStr">
        <is>
          <t>청송리</t>
        </is>
      </c>
      <c r="H3258" s="3" t="inlineStr">
        <is>
          <t>계획관리지역</t>
        </is>
      </c>
      <c r="I3258" s="3" t="inlineStr">
        <is>
          <t>답</t>
        </is>
      </c>
      <c r="J3258" s="3" t="inlineStr">
        <is>
          <t>전동면</t>
        </is>
      </c>
    </row>
    <row r="3259">
      <c r="A3259" s="3" t="n">
        <v>2022</v>
      </c>
      <c r="B3259" s="4" t="n">
        <v>5400</v>
      </c>
      <c r="C3259" s="4" t="n">
        <v>597</v>
      </c>
      <c r="D3259" s="4" t="n">
        <v>180.5925</v>
      </c>
      <c r="E3259" s="5" t="n">
        <v>29.9</v>
      </c>
      <c r="F3259" s="3" t="inlineStr">
        <is>
          <t>현도면</t>
        </is>
      </c>
      <c r="G3259" s="3" t="inlineStr">
        <is>
          <t>노산리</t>
        </is>
      </c>
      <c r="H3259" s="3" t="inlineStr">
        <is>
          <t>개발제한구역</t>
        </is>
      </c>
      <c r="I3259" s="3" t="inlineStr">
        <is>
          <t>답</t>
        </is>
      </c>
      <c r="J3259" s="3" t="inlineStr">
        <is>
          <t>현도면</t>
        </is>
      </c>
    </row>
    <row r="3260">
      <c r="A3260" s="3" t="n">
        <v>2022</v>
      </c>
      <c r="B3260" s="4" t="n">
        <v>17000</v>
      </c>
      <c r="C3260" s="4" t="n">
        <v>3755</v>
      </c>
      <c r="D3260" s="4" t="n">
        <v>1135.8875</v>
      </c>
      <c r="E3260" s="5" t="n">
        <v>15</v>
      </c>
      <c r="F3260" s="3" t="inlineStr">
        <is>
          <t>현도면</t>
        </is>
      </c>
      <c r="G3260" s="3" t="inlineStr">
        <is>
          <t>시목리</t>
        </is>
      </c>
      <c r="H3260" s="3" t="inlineStr">
        <is>
          <t>개발제한구역</t>
        </is>
      </c>
      <c r="I3260" s="3" t="inlineStr">
        <is>
          <t>전</t>
        </is>
      </c>
      <c r="J3260" s="3" t="inlineStr">
        <is>
          <t>현도면</t>
        </is>
      </c>
    </row>
    <row r="3261">
      <c r="A3261" s="3" t="n">
        <v>2022</v>
      </c>
      <c r="B3261" s="4" t="n">
        <v>10350</v>
      </c>
      <c r="C3261" s="4" t="n">
        <v>997</v>
      </c>
      <c r="D3261" s="4" t="n">
        <v>301.5925</v>
      </c>
      <c r="E3261" s="5" t="n">
        <v>34.3</v>
      </c>
      <c r="F3261" s="3" t="inlineStr">
        <is>
          <t>현도면</t>
        </is>
      </c>
      <c r="G3261" s="3" t="inlineStr">
        <is>
          <t>우록리</t>
        </is>
      </c>
      <c r="H3261" s="3" t="inlineStr">
        <is>
          <t>보전관리지역</t>
        </is>
      </c>
      <c r="I3261" s="3" t="inlineStr">
        <is>
          <t>임야</t>
        </is>
      </c>
      <c r="J3261" s="3" t="inlineStr">
        <is>
          <t>현도면</t>
        </is>
      </c>
    </row>
    <row r="3262">
      <c r="A3262" s="3" t="n">
        <v>2022</v>
      </c>
      <c r="B3262" s="4" t="n">
        <v>2890</v>
      </c>
      <c r="C3262" s="4" t="n">
        <v>276.9</v>
      </c>
      <c r="D3262" s="4" t="n">
        <v>83.76224999999999</v>
      </c>
      <c r="E3262" s="5" t="n">
        <v>34.5</v>
      </c>
      <c r="F3262" s="3" t="inlineStr">
        <is>
          <t>현도면</t>
        </is>
      </c>
      <c r="G3262" s="3" t="inlineStr">
        <is>
          <t>우록리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현도면</t>
        </is>
      </c>
    </row>
    <row r="3263">
      <c r="A3263" s="3" t="n">
        <v>2022</v>
      </c>
      <c r="B3263" s="4" t="n">
        <v>12412</v>
      </c>
      <c r="C3263" s="4" t="n">
        <v>707</v>
      </c>
      <c r="D3263" s="4" t="n">
        <v>213.8675</v>
      </c>
      <c r="E3263" s="5" t="n">
        <v>58</v>
      </c>
      <c r="F3263" s="3" t="inlineStr">
        <is>
          <t>현도면</t>
        </is>
      </c>
      <c r="G3263" s="3" t="inlineStr">
        <is>
          <t>중삼리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현도면</t>
        </is>
      </c>
    </row>
    <row r="3264">
      <c r="A3264" s="3" t="n">
        <v>2022</v>
      </c>
      <c r="B3264" s="4" t="n">
        <v>13920</v>
      </c>
      <c r="C3264" s="4" t="n">
        <v>793</v>
      </c>
      <c r="D3264" s="4" t="n">
        <v>239.8825</v>
      </c>
      <c r="E3264" s="5" t="n">
        <v>58</v>
      </c>
      <c r="F3264" s="3" t="inlineStr">
        <is>
          <t>현도면</t>
        </is>
      </c>
      <c r="G3264" s="3" t="inlineStr">
        <is>
          <t>중삼리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현도면</t>
        </is>
      </c>
    </row>
    <row r="3265">
      <c r="A3265" s="3" t="n">
        <v>2022</v>
      </c>
      <c r="B3265" s="4" t="n">
        <v>21000</v>
      </c>
      <c r="C3265" s="4" t="n">
        <v>670</v>
      </c>
      <c r="D3265" s="4" t="n">
        <v>202.675</v>
      </c>
      <c r="E3265" s="5" t="n">
        <v>103.6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59000</v>
      </c>
      <c r="C3266" s="4" t="n">
        <v>2453</v>
      </c>
      <c r="D3266" s="4" t="n">
        <v>742.0325</v>
      </c>
      <c r="E3266" s="5" t="n">
        <v>79.5</v>
      </c>
      <c r="F3266" s="3" t="inlineStr">
        <is>
          <t>남이면</t>
        </is>
      </c>
      <c r="G3266" s="3" t="inlineStr">
        <is>
          <t>수대리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7134</v>
      </c>
      <c r="C3267" s="4" t="n">
        <v>407</v>
      </c>
      <c r="D3267" s="4" t="n">
        <v>123.1175</v>
      </c>
      <c r="E3267" s="5" t="n">
        <v>57.9</v>
      </c>
      <c r="F3267" s="3" t="inlineStr">
        <is>
          <t>현도면</t>
        </is>
      </c>
      <c r="G3267" s="3" t="inlineStr">
        <is>
          <t>중삼리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현도면</t>
        </is>
      </c>
    </row>
    <row r="3268">
      <c r="A3268" s="3" t="n">
        <v>2022</v>
      </c>
      <c r="B3268" s="4" t="n">
        <v>6776</v>
      </c>
      <c r="C3268" s="4" t="n">
        <v>615</v>
      </c>
      <c r="D3268" s="4" t="n">
        <v>186.0375</v>
      </c>
      <c r="E3268" s="5" t="n">
        <v>36.4</v>
      </c>
      <c r="F3268" s="3" t="inlineStr">
        <is>
          <t>현도면</t>
        </is>
      </c>
      <c r="G3268" s="3" t="inlineStr">
        <is>
          <t>중삼리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현도면</t>
        </is>
      </c>
    </row>
    <row r="3269">
      <c r="A3269" s="3" t="n">
        <v>2022</v>
      </c>
      <c r="B3269" s="4" t="n">
        <v>3129</v>
      </c>
      <c r="C3269" s="4" t="n">
        <v>284</v>
      </c>
      <c r="D3269" s="4" t="n">
        <v>85.91</v>
      </c>
      <c r="E3269" s="5" t="n">
        <v>36.4</v>
      </c>
      <c r="F3269" s="3" t="inlineStr">
        <is>
          <t>현도면</t>
        </is>
      </c>
      <c r="G3269" s="3" t="inlineStr">
        <is>
          <t>중삼리</t>
        </is>
      </c>
      <c r="H3269" s="3" t="inlineStr">
        <is>
          <t>계획관리지역</t>
        </is>
      </c>
      <c r="I3269" s="3" t="inlineStr">
        <is>
          <t>전</t>
        </is>
      </c>
      <c r="J3269" s="3" t="inlineStr">
        <is>
          <t>현도면</t>
        </is>
      </c>
    </row>
    <row r="3270">
      <c r="A3270" s="3" t="n">
        <v>2022</v>
      </c>
      <c r="B3270" s="4" t="n">
        <v>4363</v>
      </c>
      <c r="C3270" s="4" t="n">
        <v>396</v>
      </c>
      <c r="D3270" s="4" t="n">
        <v>119.79</v>
      </c>
      <c r="E3270" s="5" t="n">
        <v>36.4</v>
      </c>
      <c r="F3270" s="3" t="inlineStr">
        <is>
          <t>현도면</t>
        </is>
      </c>
      <c r="G3270" s="3" t="inlineStr">
        <is>
          <t>중삼리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현도면</t>
        </is>
      </c>
    </row>
    <row r="3271">
      <c r="A3271" s="3" t="n">
        <v>2022</v>
      </c>
      <c r="B3271" s="4" t="n">
        <v>42588</v>
      </c>
      <c r="C3271" s="4" t="n">
        <v>3868</v>
      </c>
      <c r="D3271" s="4" t="n">
        <v>1170.07</v>
      </c>
      <c r="E3271" s="5" t="n">
        <v>36.4</v>
      </c>
      <c r="F3271" s="3" t="inlineStr">
        <is>
          <t>현도면</t>
        </is>
      </c>
      <c r="G3271" s="3" t="inlineStr">
        <is>
          <t>중삼리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현도면</t>
        </is>
      </c>
    </row>
    <row r="3272">
      <c r="A3272" s="3" t="n">
        <v>2022</v>
      </c>
      <c r="B3272" s="4" t="n">
        <v>18400</v>
      </c>
      <c r="C3272" s="4" t="n">
        <v>926</v>
      </c>
      <c r="D3272" s="4" t="n">
        <v>280.115</v>
      </c>
      <c r="E3272" s="5" t="n">
        <v>65.7</v>
      </c>
      <c r="F3272" s="3" t="inlineStr">
        <is>
          <t>현도면</t>
        </is>
      </c>
      <c r="G3272" s="3" t="inlineStr">
        <is>
          <t>중삼리</t>
        </is>
      </c>
      <c r="H3272" s="3" t="inlineStr">
        <is>
          <t>계획관리지역</t>
        </is>
      </c>
      <c r="I3272" s="3" t="inlineStr">
        <is>
          <t>답</t>
        </is>
      </c>
      <c r="J3272" s="3" t="inlineStr">
        <is>
          <t>현도면</t>
        </is>
      </c>
    </row>
    <row r="3273">
      <c r="A3273" s="3" t="n">
        <v>2022</v>
      </c>
      <c r="B3273" s="4" t="n">
        <v>2835</v>
      </c>
      <c r="C3273" s="4" t="n">
        <v>209</v>
      </c>
      <c r="D3273" s="4" t="n">
        <v>63.2225</v>
      </c>
      <c r="E3273" s="5" t="n">
        <v>44.8</v>
      </c>
      <c r="F3273" s="3" t="inlineStr">
        <is>
          <t>현도면</t>
        </is>
      </c>
      <c r="G3273" s="3" t="inlineStr">
        <is>
          <t>중삼리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현도면</t>
        </is>
      </c>
    </row>
    <row r="3274">
      <c r="A3274" s="3" t="n">
        <v>2022</v>
      </c>
      <c r="B3274" s="4" t="n">
        <v>20380</v>
      </c>
      <c r="C3274" s="4" t="n">
        <v>1045</v>
      </c>
      <c r="D3274" s="4" t="n">
        <v>316.1125</v>
      </c>
      <c r="E3274" s="5" t="n">
        <v>64.5</v>
      </c>
      <c r="F3274" s="3" t="inlineStr">
        <is>
          <t>현도면</t>
        </is>
      </c>
      <c r="G3274" s="3" t="inlineStr">
        <is>
          <t>중삼리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현도면</t>
        </is>
      </c>
    </row>
    <row r="3275">
      <c r="A3275" s="3" t="n">
        <v>2022</v>
      </c>
      <c r="B3275" s="4" t="n">
        <v>7946</v>
      </c>
      <c r="C3275" s="4" t="n">
        <v>453</v>
      </c>
      <c r="D3275" s="4" t="n">
        <v>137.0325</v>
      </c>
      <c r="E3275" s="5" t="n">
        <v>58</v>
      </c>
      <c r="F3275" s="3" t="inlineStr">
        <is>
          <t>현도면</t>
        </is>
      </c>
      <c r="G3275" s="3" t="inlineStr">
        <is>
          <t>중삼리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현도면</t>
        </is>
      </c>
    </row>
    <row r="3276">
      <c r="A3276" s="3" t="n">
        <v>2022</v>
      </c>
      <c r="B3276" s="4" t="n">
        <v>43795</v>
      </c>
      <c r="C3276" s="4" t="n">
        <v>2212</v>
      </c>
      <c r="D3276" s="4" t="n">
        <v>669.13</v>
      </c>
      <c r="E3276" s="5" t="n">
        <v>65.5</v>
      </c>
      <c r="F3276" s="3" t="inlineStr">
        <is>
          <t>현도면</t>
        </is>
      </c>
      <c r="G3276" s="3" t="inlineStr">
        <is>
          <t>중삼리</t>
        </is>
      </c>
      <c r="H3276" s="3" t="inlineStr">
        <is>
          <t>계획관리지역</t>
        </is>
      </c>
      <c r="I3276" s="3" t="inlineStr">
        <is>
          <t>답</t>
        </is>
      </c>
      <c r="J3276" s="3" t="inlineStr">
        <is>
          <t>현도면</t>
        </is>
      </c>
    </row>
    <row r="3277">
      <c r="A3277" s="3" t="n">
        <v>2022</v>
      </c>
      <c r="B3277" s="4" t="n">
        <v>80070</v>
      </c>
      <c r="C3277" s="4" t="n">
        <v>1557</v>
      </c>
      <c r="D3277" s="4" t="n">
        <v>470.9925</v>
      </c>
      <c r="E3277" s="5" t="n">
        <v>170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2022</v>
      </c>
      <c r="B3278" s="4" t="n">
        <v>4930</v>
      </c>
      <c r="C3278" s="4" t="n">
        <v>97</v>
      </c>
      <c r="D3278" s="4" t="n">
        <v>29.3425</v>
      </c>
      <c r="E3278" s="5" t="n">
        <v>168</v>
      </c>
      <c r="F3278" s="3" t="inlineStr">
        <is>
          <t>남이면</t>
        </is>
      </c>
      <c r="G3278" s="3" t="inlineStr">
        <is>
          <t>부용외천리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3512</v>
      </c>
      <c r="C3279" s="4" t="n">
        <v>387</v>
      </c>
      <c r="D3279" s="4" t="n">
        <v>117.0675</v>
      </c>
      <c r="E3279" s="5" t="n">
        <v>30</v>
      </c>
      <c r="F3279" s="3" t="inlineStr">
        <is>
          <t>현도면</t>
        </is>
      </c>
      <c r="G3279" s="3" t="inlineStr">
        <is>
          <t>중삼리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현도면</t>
        </is>
      </c>
    </row>
    <row r="3280">
      <c r="A3280" s="3" t="n">
        <v>2022</v>
      </c>
      <c r="B3280" s="4" t="n">
        <v>3512</v>
      </c>
      <c r="C3280" s="4" t="n">
        <v>387</v>
      </c>
      <c r="D3280" s="4" t="n">
        <v>117.0675</v>
      </c>
      <c r="E3280" s="5" t="n">
        <v>30</v>
      </c>
      <c r="F3280" s="3" t="inlineStr">
        <is>
          <t>현도면</t>
        </is>
      </c>
      <c r="G3280" s="3" t="inlineStr">
        <is>
          <t>중삼리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현도면</t>
        </is>
      </c>
    </row>
    <row r="3281">
      <c r="A3281" s="3" t="n">
        <v>2022</v>
      </c>
      <c r="B3281" s="4" t="n">
        <v>3866</v>
      </c>
      <c r="C3281" s="4" t="n">
        <v>426</v>
      </c>
      <c r="D3281" s="4" t="n">
        <v>128.865</v>
      </c>
      <c r="E3281" s="5" t="n">
        <v>30</v>
      </c>
      <c r="F3281" s="3" t="inlineStr">
        <is>
          <t>현도면</t>
        </is>
      </c>
      <c r="G3281" s="3" t="inlineStr">
        <is>
          <t>중삼리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현도면</t>
        </is>
      </c>
    </row>
    <row r="3282">
      <c r="A3282" s="3" t="n">
        <v>2022</v>
      </c>
      <c r="B3282" s="4" t="n">
        <v>1700</v>
      </c>
      <c r="C3282" s="4" t="n">
        <v>578</v>
      </c>
      <c r="D3282" s="4" t="n">
        <v>174.845</v>
      </c>
      <c r="E3282" s="5" t="n">
        <v>9.699999999999999</v>
      </c>
      <c r="F3282" s="3" t="inlineStr">
        <is>
          <t>남이면</t>
        </is>
      </c>
      <c r="G3282" s="3" t="inlineStr">
        <is>
          <t>비룡리</t>
        </is>
      </c>
      <c r="H3282" s="3" t="inlineStr">
        <is>
          <t>계획관리지역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2022</v>
      </c>
      <c r="B3283" s="4" t="n">
        <v>7330</v>
      </c>
      <c r="C3283" s="4" t="n">
        <v>805</v>
      </c>
      <c r="D3283" s="4" t="n">
        <v>243.5125</v>
      </c>
      <c r="E3283" s="5" t="n">
        <v>30.1</v>
      </c>
      <c r="F3283" s="3" t="inlineStr">
        <is>
          <t>현도면</t>
        </is>
      </c>
      <c r="G3283" s="3" t="inlineStr">
        <is>
          <t>노산리</t>
        </is>
      </c>
      <c r="H3283" s="3" t="inlineStr">
        <is>
          <t>개발제한구역</t>
        </is>
      </c>
      <c r="I3283" s="3" t="inlineStr">
        <is>
          <t>답</t>
        </is>
      </c>
      <c r="J3283" s="3" t="inlineStr">
        <is>
          <t>현도면</t>
        </is>
      </c>
    </row>
    <row r="3284">
      <c r="A3284" s="3" t="n">
        <v>2022</v>
      </c>
      <c r="B3284" s="4" t="n">
        <v>4715</v>
      </c>
      <c r="C3284" s="4" t="n">
        <v>520</v>
      </c>
      <c r="D3284" s="4" t="n">
        <v>157.3</v>
      </c>
      <c r="E3284" s="5" t="n">
        <v>30</v>
      </c>
      <c r="F3284" s="3" t="inlineStr">
        <is>
          <t>현도면</t>
        </is>
      </c>
      <c r="G3284" s="3" t="inlineStr">
        <is>
          <t>노산리</t>
        </is>
      </c>
      <c r="H3284" s="3" t="inlineStr">
        <is>
          <t>개발제한구역</t>
        </is>
      </c>
      <c r="I3284" s="3" t="inlineStr">
        <is>
          <t>답</t>
        </is>
      </c>
      <c r="J3284" s="3" t="inlineStr">
        <is>
          <t>현도면</t>
        </is>
      </c>
    </row>
    <row r="3285">
      <c r="A3285" s="3" t="n">
        <v>2022</v>
      </c>
      <c r="B3285" s="4" t="n">
        <v>75200</v>
      </c>
      <c r="C3285" s="4" t="n">
        <v>1553</v>
      </c>
      <c r="D3285" s="4" t="n">
        <v>469.7825</v>
      </c>
      <c r="E3285" s="5" t="n">
        <v>160.1</v>
      </c>
      <c r="F3285" s="3" t="inlineStr">
        <is>
          <t>남이면</t>
        </is>
      </c>
      <c r="G3285" s="3" t="inlineStr">
        <is>
          <t>가마리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2022</v>
      </c>
      <c r="B3286" s="4" t="n">
        <v>27360</v>
      </c>
      <c r="C3286" s="4" t="n">
        <v>1131</v>
      </c>
      <c r="D3286" s="4" t="n">
        <v>342.1275</v>
      </c>
      <c r="E3286" s="5" t="n">
        <v>80</v>
      </c>
      <c r="F3286" s="3" t="inlineStr">
        <is>
          <t>현도면</t>
        </is>
      </c>
      <c r="G3286" s="3" t="inlineStr">
        <is>
          <t>죽전리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현도면</t>
        </is>
      </c>
    </row>
    <row r="3287">
      <c r="A3287" s="3" t="n">
        <v>2025</v>
      </c>
      <c r="B3287" s="4" t="n">
        <v>90600</v>
      </c>
      <c r="C3287" s="4" t="n">
        <v>2995</v>
      </c>
      <c r="D3287" s="4" t="n">
        <v>905.9875</v>
      </c>
      <c r="E3287" s="5" t="n">
        <v>100</v>
      </c>
      <c r="F3287" s="3" t="inlineStr">
        <is>
          <t>강내면</t>
        </is>
      </c>
      <c r="G3287" s="3" t="inlineStr">
        <is>
          <t>월곡리</t>
        </is>
      </c>
      <c r="H3287" s="3" t="inlineStr">
        <is>
          <t>자연녹지지역</t>
        </is>
      </c>
      <c r="I3287" s="3" t="inlineStr">
        <is>
          <t>답</t>
        </is>
      </c>
      <c r="J3287" s="3" t="inlineStr">
        <is>
          <t>강내면</t>
        </is>
      </c>
    </row>
    <row r="3288">
      <c r="A3288" s="3" t="n">
        <v>2025</v>
      </c>
      <c r="B3288" s="4" t="n">
        <v>34320</v>
      </c>
      <c r="C3288" s="4" t="n">
        <v>291.1</v>
      </c>
      <c r="D3288" s="4" t="n">
        <v>88.05775</v>
      </c>
      <c r="E3288" s="5" t="n">
        <v>389.7</v>
      </c>
      <c r="F3288" s="3" t="inlineStr">
        <is>
          <t>오송읍</t>
        </is>
      </c>
      <c r="G3288" s="3" t="inlineStr">
        <is>
          <t>봉산리</t>
        </is>
      </c>
      <c r="H3288" s="3" t="inlineStr">
        <is>
          <t>제1종일반주거지역</t>
        </is>
      </c>
      <c r="I3288" s="3" t="inlineStr">
        <is>
          <t>대</t>
        </is>
      </c>
      <c r="J3288" s="3" t="inlineStr">
        <is>
          <t>오송읍</t>
        </is>
      </c>
    </row>
    <row r="3289">
      <c r="A3289" s="3" t="n">
        <v>2025</v>
      </c>
      <c r="B3289" s="4" t="n">
        <v>60000</v>
      </c>
      <c r="C3289" s="4" t="n">
        <v>3465</v>
      </c>
      <c r="D3289" s="4" t="n">
        <v>1048.1625</v>
      </c>
      <c r="E3289" s="5" t="n">
        <v>57.2</v>
      </c>
      <c r="F3289" s="3" t="inlineStr">
        <is>
          <t>오송읍</t>
        </is>
      </c>
      <c r="G3289" s="3" t="inlineStr">
        <is>
          <t>서평리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2025</v>
      </c>
      <c r="B3290" s="4" t="n">
        <v>18000</v>
      </c>
      <c r="C3290" s="4" t="n">
        <v>595</v>
      </c>
      <c r="D3290" s="4" t="n">
        <v>179.9875</v>
      </c>
      <c r="E3290" s="5" t="n">
        <v>100</v>
      </c>
      <c r="F3290" s="3" t="inlineStr">
        <is>
          <t>강내면</t>
        </is>
      </c>
      <c r="G3290" s="3" t="inlineStr">
        <is>
          <t>월곡리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강내면</t>
        </is>
      </c>
    </row>
    <row r="3291">
      <c r="A3291" s="3" t="n">
        <v>2025</v>
      </c>
      <c r="B3291" s="4" t="n">
        <v>64200</v>
      </c>
      <c r="C3291" s="4" t="n">
        <v>2122</v>
      </c>
      <c r="D3291" s="4" t="n">
        <v>641.905</v>
      </c>
      <c r="E3291" s="5" t="n">
        <v>100</v>
      </c>
      <c r="F3291" s="3" t="inlineStr">
        <is>
          <t>강내면</t>
        </is>
      </c>
      <c r="G3291" s="3" t="inlineStr">
        <is>
          <t>월곡리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강내면</t>
        </is>
      </c>
    </row>
    <row r="3292">
      <c r="A3292" s="3" t="n">
        <v>2025</v>
      </c>
      <c r="B3292" s="4" t="n">
        <v>2500</v>
      </c>
      <c r="C3292" s="4" t="n">
        <v>83</v>
      </c>
      <c r="D3292" s="4" t="n">
        <v>25.1075</v>
      </c>
      <c r="E3292" s="5" t="n">
        <v>99.59999999999999</v>
      </c>
      <c r="F3292" s="3" t="inlineStr">
        <is>
          <t>강내면</t>
        </is>
      </c>
      <c r="G3292" s="3" t="inlineStr">
        <is>
          <t>월곡리</t>
        </is>
      </c>
      <c r="H3292" s="3" t="inlineStr">
        <is>
          <t>자연녹지지역</t>
        </is>
      </c>
      <c r="I3292" s="3" t="inlineStr">
        <is>
          <t>구거</t>
        </is>
      </c>
      <c r="J3292" s="3" t="inlineStr">
        <is>
          <t>강내면</t>
        </is>
      </c>
    </row>
    <row r="3293">
      <c r="A3293" s="3" t="n">
        <v>2025</v>
      </c>
      <c r="B3293" s="4" t="n">
        <v>600</v>
      </c>
      <c r="C3293" s="4" t="n">
        <v>20</v>
      </c>
      <c r="D3293" s="4" t="n">
        <v>6.05</v>
      </c>
      <c r="E3293" s="5" t="n">
        <v>99.2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자연녹지지역</t>
        </is>
      </c>
      <c r="I3293" s="3" t="inlineStr">
        <is>
          <t>구거</t>
        </is>
      </c>
      <c r="J3293" s="3" t="inlineStr">
        <is>
          <t>강내면</t>
        </is>
      </c>
    </row>
    <row r="3294">
      <c r="A3294" s="3" t="n">
        <v>2025</v>
      </c>
      <c r="B3294" s="4" t="n">
        <v>6600</v>
      </c>
      <c r="C3294" s="4" t="n">
        <v>139</v>
      </c>
      <c r="D3294" s="4" t="n">
        <v>42.0475</v>
      </c>
      <c r="E3294" s="5" t="n">
        <v>157</v>
      </c>
      <c r="F3294" s="3" t="inlineStr">
        <is>
          <t>오송읍</t>
        </is>
      </c>
      <c r="G3294" s="3" t="inlineStr">
        <is>
          <t>궁평리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2025</v>
      </c>
      <c r="B3295" s="4" t="n">
        <v>4600</v>
      </c>
      <c r="C3295" s="4" t="n">
        <v>109</v>
      </c>
      <c r="D3295" s="4" t="n">
        <v>32.9725</v>
      </c>
      <c r="E3295" s="5" t="n">
        <v>139.5</v>
      </c>
      <c r="F3295" s="3" t="inlineStr">
        <is>
          <t>오송읍</t>
        </is>
      </c>
      <c r="G3295" s="3" t="inlineStr">
        <is>
          <t>궁평리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오송읍</t>
        </is>
      </c>
    </row>
    <row r="3296">
      <c r="A3296" s="3" t="n">
        <v>2025</v>
      </c>
      <c r="B3296" s="4" t="n">
        <v>70</v>
      </c>
      <c r="C3296" s="4" t="n">
        <v>7</v>
      </c>
      <c r="D3296" s="4" t="n">
        <v>2.1175</v>
      </c>
      <c r="E3296" s="5" t="n">
        <v>33.1</v>
      </c>
      <c r="F3296" s="3" t="inlineStr">
        <is>
          <t>오송읍</t>
        </is>
      </c>
      <c r="G3296" s="3" t="inlineStr">
        <is>
          <t>궁평리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오송읍</t>
        </is>
      </c>
    </row>
    <row r="3297">
      <c r="A3297" s="3" t="n">
        <v>2025</v>
      </c>
      <c r="B3297" s="4" t="n">
        <v>30</v>
      </c>
      <c r="C3297" s="4" t="n">
        <v>4</v>
      </c>
      <c r="D3297" s="4" t="n">
        <v>1.21</v>
      </c>
      <c r="E3297" s="5" t="n">
        <v>24.8</v>
      </c>
      <c r="F3297" s="3" t="inlineStr">
        <is>
          <t>오송읍</t>
        </is>
      </c>
      <c r="G3297" s="3" t="inlineStr">
        <is>
          <t>궁평리</t>
        </is>
      </c>
      <c r="H3297" s="3" t="inlineStr">
        <is>
          <t>계획관리지역</t>
        </is>
      </c>
      <c r="I3297" s="3" t="inlineStr">
        <is>
          <t>도로</t>
        </is>
      </c>
      <c r="J3297" s="3" t="inlineStr">
        <is>
          <t>오송읍</t>
        </is>
      </c>
    </row>
    <row r="3298">
      <c r="A3298" s="3" t="n">
        <v>2025</v>
      </c>
      <c r="B3298" s="4" t="n">
        <v>21714</v>
      </c>
      <c r="C3298" s="4" t="n">
        <v>465</v>
      </c>
      <c r="D3298" s="4" t="n">
        <v>140.6625</v>
      </c>
      <c r="E3298" s="5" t="n">
        <v>154.4</v>
      </c>
      <c r="F3298" s="3" t="inlineStr">
        <is>
          <t>강내면</t>
        </is>
      </c>
      <c r="G3298" s="3" t="inlineStr">
        <is>
          <t>사곡리</t>
        </is>
      </c>
      <c r="H3298" s="3" t="inlineStr">
        <is>
          <t>보전관리지역</t>
        </is>
      </c>
      <c r="I3298" s="3" t="inlineStr">
        <is>
          <t>대</t>
        </is>
      </c>
      <c r="J3298" s="3" t="inlineStr">
        <is>
          <t>강내면</t>
        </is>
      </c>
    </row>
    <row r="3299">
      <c r="A3299" s="3" t="n">
        <v>2023</v>
      </c>
      <c r="B3299" s="4" t="n">
        <v>6540</v>
      </c>
      <c r="C3299" s="4" t="n">
        <v>721</v>
      </c>
      <c r="D3299" s="4" t="n">
        <v>218.1025</v>
      </c>
      <c r="E3299" s="5" t="n">
        <v>30</v>
      </c>
      <c r="F3299" s="3" t="inlineStr">
        <is>
          <t>강내면</t>
        </is>
      </c>
      <c r="G3299" s="3" t="inlineStr">
        <is>
          <t>저산리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2023</v>
      </c>
      <c r="B3300" s="4" t="n">
        <v>21000</v>
      </c>
      <c r="C3300" s="4" t="n">
        <v>356</v>
      </c>
      <c r="D3300" s="4" t="n">
        <v>107.69</v>
      </c>
      <c r="E3300" s="5" t="n">
        <v>195</v>
      </c>
      <c r="F3300" s="3" t="inlineStr">
        <is>
          <t>오송읍</t>
        </is>
      </c>
      <c r="G3300" s="3" t="inlineStr">
        <is>
          <t>오송리</t>
        </is>
      </c>
      <c r="H3300" s="3" t="inlineStr">
        <is>
          <t>계획관리지역</t>
        </is>
      </c>
      <c r="I3300" s="3" t="inlineStr">
        <is>
          <t>전</t>
        </is>
      </c>
      <c r="J3300" s="3" t="inlineStr">
        <is>
          <t>오송읍</t>
        </is>
      </c>
    </row>
    <row r="3301">
      <c r="A3301" s="3" t="n">
        <v>2023</v>
      </c>
      <c r="B3301" s="4" t="n">
        <v>48080</v>
      </c>
      <c r="C3301" s="4" t="n">
        <v>620</v>
      </c>
      <c r="D3301" s="4" t="n">
        <v>187.55</v>
      </c>
      <c r="E3301" s="5" t="n">
        <v>256.4</v>
      </c>
      <c r="F3301" s="3" t="inlineStr">
        <is>
          <t>오송읍</t>
        </is>
      </c>
      <c r="G3301" s="3" t="inlineStr">
        <is>
          <t>궁평리</t>
        </is>
      </c>
      <c r="H3301" s="3" t="inlineStr">
        <is>
          <t>농림지역</t>
        </is>
      </c>
      <c r="I3301" s="3" t="inlineStr">
        <is>
          <t>대</t>
        </is>
      </c>
      <c r="J3301" s="3" t="inlineStr">
        <is>
          <t>오송읍</t>
        </is>
      </c>
    </row>
    <row r="3302">
      <c r="A3302" s="3" t="n">
        <v>2023</v>
      </c>
      <c r="B3302" s="4" t="n">
        <v>30000</v>
      </c>
      <c r="C3302" s="4" t="n">
        <v>273.8</v>
      </c>
      <c r="D3302" s="4" t="n">
        <v>82.8245</v>
      </c>
      <c r="E3302" s="5" t="n">
        <v>362.2</v>
      </c>
      <c r="F3302" s="3" t="inlineStr">
        <is>
          <t>오송읍</t>
        </is>
      </c>
      <c r="G3302" s="3" t="inlineStr">
        <is>
          <t>봉산리</t>
        </is>
      </c>
      <c r="H3302" s="3" t="inlineStr">
        <is>
          <t>제1종일반주거지역</t>
        </is>
      </c>
      <c r="I3302" s="3" t="inlineStr">
        <is>
          <t>대</t>
        </is>
      </c>
      <c r="J3302" s="3" t="inlineStr">
        <is>
          <t>오송읍</t>
        </is>
      </c>
    </row>
    <row r="3303">
      <c r="A3303" s="3" t="n">
        <v>2023</v>
      </c>
      <c r="B3303" s="4" t="n">
        <v>13892</v>
      </c>
      <c r="C3303" s="4" t="n">
        <v>418</v>
      </c>
      <c r="D3303" s="4" t="n">
        <v>126.445</v>
      </c>
      <c r="E3303" s="5" t="n">
        <v>109.9</v>
      </c>
      <c r="F3303" s="3" t="inlineStr">
        <is>
          <t>강내면</t>
        </is>
      </c>
      <c r="G3303" s="3" t="inlineStr">
        <is>
          <t>저산리</t>
        </is>
      </c>
      <c r="H3303" s="3" t="inlineStr">
        <is>
          <t>보전관리지역</t>
        </is>
      </c>
      <c r="I3303" s="3" t="inlineStr">
        <is>
          <t>대</t>
        </is>
      </c>
      <c r="J3303" s="3" t="inlineStr">
        <is>
          <t>강내면</t>
        </is>
      </c>
    </row>
    <row r="3304">
      <c r="A3304" s="3" t="n">
        <v>2023</v>
      </c>
      <c r="B3304" s="4" t="n">
        <v>36310</v>
      </c>
      <c r="C3304" s="4" t="n">
        <v>532</v>
      </c>
      <c r="D3304" s="4" t="n">
        <v>160.93</v>
      </c>
      <c r="E3304" s="5" t="n">
        <v>225.6</v>
      </c>
      <c r="F3304" s="3" t="inlineStr">
        <is>
          <t>오송읍</t>
        </is>
      </c>
      <c r="G3304" s="3" t="inlineStr">
        <is>
          <t>정중리</t>
        </is>
      </c>
      <c r="H3304" s="3" t="inlineStr">
        <is>
          <t>생산관리지역</t>
        </is>
      </c>
      <c r="I3304" s="3" t="inlineStr">
        <is>
          <t>임야</t>
        </is>
      </c>
      <c r="J3304" s="3" t="inlineStr">
        <is>
          <t>오송읍</t>
        </is>
      </c>
    </row>
    <row r="3305">
      <c r="A3305" s="3" t="n">
        <v>2023</v>
      </c>
      <c r="B3305" s="4" t="n">
        <v>50000</v>
      </c>
      <c r="C3305" s="4" t="n">
        <v>1083</v>
      </c>
      <c r="D3305" s="4" t="n">
        <v>327.6075</v>
      </c>
      <c r="E3305" s="5" t="n">
        <v>152.6</v>
      </c>
      <c r="F3305" s="3" t="inlineStr">
        <is>
          <t>오송읍</t>
        </is>
      </c>
      <c r="G3305" s="3" t="inlineStr">
        <is>
          <t>연제리</t>
        </is>
      </c>
      <c r="H3305" s="3" t="inlineStr">
        <is>
          <t>계획관리지역</t>
        </is>
      </c>
      <c r="I3305" s="3" t="inlineStr">
        <is>
          <t>임야</t>
        </is>
      </c>
      <c r="J3305" s="3" t="inlineStr">
        <is>
          <t>오송읍</t>
        </is>
      </c>
    </row>
    <row r="3306">
      <c r="A3306" s="3" t="n">
        <v>2022</v>
      </c>
      <c r="B3306" s="4" t="n">
        <v>7800</v>
      </c>
      <c r="C3306" s="4" t="n">
        <v>87</v>
      </c>
      <c r="D3306" s="4" t="n">
        <v>26.3175</v>
      </c>
      <c r="E3306" s="5" t="n">
        <v>296.4</v>
      </c>
      <c r="F3306" s="3" t="inlineStr">
        <is>
          <t>강내면</t>
        </is>
      </c>
      <c r="G3306" s="3" t="inlineStr">
        <is>
          <t>월곡리</t>
        </is>
      </c>
      <c r="H3306" s="3" t="inlineStr">
        <is>
          <t>제2종일반주거지역</t>
        </is>
      </c>
      <c r="I3306" s="3" t="inlineStr">
        <is>
          <t>답</t>
        </is>
      </c>
      <c r="J3306" s="3" t="inlineStr">
        <is>
          <t>강내면</t>
        </is>
      </c>
    </row>
    <row r="3307">
      <c r="A3307" s="3" t="n">
        <v>2022</v>
      </c>
      <c r="B3307" s="4" t="n">
        <v>1070000</v>
      </c>
      <c r="C3307" s="4" t="n">
        <v>1265.7</v>
      </c>
      <c r="D3307" s="4" t="n">
        <v>382.87425</v>
      </c>
      <c r="E3307" s="5" t="n">
        <v>2794.7</v>
      </c>
      <c r="F3307" s="3" t="inlineStr">
        <is>
          <t>오송읍</t>
        </is>
      </c>
      <c r="G3307" s="3" t="inlineStr">
        <is>
          <t>봉산리</t>
        </is>
      </c>
      <c r="H3307" s="3" t="inlineStr">
        <is>
          <t>일반상업지역</t>
        </is>
      </c>
      <c r="I3307" s="3" t="inlineStr">
        <is>
          <t>대</t>
        </is>
      </c>
      <c r="J3307" s="3" t="inlineStr">
        <is>
          <t>오송읍</t>
        </is>
      </c>
    </row>
    <row r="3308">
      <c r="A3308" s="3" t="n">
        <v>2023</v>
      </c>
      <c r="B3308" s="4" t="n">
        <v>9535</v>
      </c>
      <c r="C3308" s="4" t="n">
        <v>97</v>
      </c>
      <c r="D3308" s="4" t="n">
        <v>29.3425</v>
      </c>
      <c r="E3308" s="5" t="n">
        <v>325</v>
      </c>
      <c r="F3308" s="3" t="inlineStr">
        <is>
          <t>오송읍</t>
        </is>
      </c>
      <c r="G3308" s="3" t="inlineStr">
        <is>
          <t>정중리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2023</v>
      </c>
      <c r="B3309" s="4" t="n">
        <v>22820</v>
      </c>
      <c r="C3309" s="4" t="n">
        <v>1247</v>
      </c>
      <c r="D3309" s="4" t="n">
        <v>377.2175</v>
      </c>
      <c r="E3309" s="5" t="n">
        <v>60.5</v>
      </c>
      <c r="F3309" s="3" t="inlineStr">
        <is>
          <t>강내면</t>
        </is>
      </c>
      <c r="G3309" s="3" t="inlineStr">
        <is>
          <t>저산리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강내면</t>
        </is>
      </c>
    </row>
    <row r="3310">
      <c r="A3310" s="3" t="n">
        <v>2023</v>
      </c>
      <c r="B3310" s="4" t="n">
        <v>31231</v>
      </c>
      <c r="C3310" s="4" t="n">
        <v>958</v>
      </c>
      <c r="D3310" s="4" t="n">
        <v>289.795</v>
      </c>
      <c r="E3310" s="5" t="n">
        <v>107.8</v>
      </c>
      <c r="F3310" s="3" t="inlineStr">
        <is>
          <t>오송읍</t>
        </is>
      </c>
      <c r="G3310" s="3" t="inlineStr">
        <is>
          <t>연제리</t>
        </is>
      </c>
      <c r="H3310" s="3" t="inlineStr">
        <is>
          <t>계획관리지역</t>
        </is>
      </c>
      <c r="I3310" s="3" t="inlineStr">
        <is>
          <t>구거</t>
        </is>
      </c>
      <c r="J3310" s="3" t="inlineStr">
        <is>
          <t>오송읍</t>
        </is>
      </c>
    </row>
    <row r="3311">
      <c r="A3311" s="3" t="n">
        <v>2023</v>
      </c>
      <c r="B3311" s="4" t="n">
        <v>12714</v>
      </c>
      <c r="C3311" s="4" t="n">
        <v>390</v>
      </c>
      <c r="D3311" s="4" t="n">
        <v>117.975</v>
      </c>
      <c r="E3311" s="5" t="n">
        <v>107.8</v>
      </c>
      <c r="F3311" s="3" t="inlineStr">
        <is>
          <t>오송읍</t>
        </is>
      </c>
      <c r="G3311" s="3" t="inlineStr">
        <is>
          <t>연제리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오송읍</t>
        </is>
      </c>
    </row>
    <row r="3312">
      <c r="A3312" s="3" t="n">
        <v>2023</v>
      </c>
      <c r="B3312" s="4" t="n">
        <v>18700</v>
      </c>
      <c r="C3312" s="4" t="n">
        <v>1031</v>
      </c>
      <c r="D3312" s="4" t="n">
        <v>311.8775</v>
      </c>
      <c r="E3312" s="5" t="n">
        <v>60</v>
      </c>
      <c r="F3312" s="3" t="inlineStr">
        <is>
          <t>강내면</t>
        </is>
      </c>
      <c r="G3312" s="3" t="inlineStr">
        <is>
          <t>월곡리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강내면</t>
        </is>
      </c>
    </row>
    <row r="3313">
      <c r="A3313" s="3" t="n">
        <v>2023</v>
      </c>
      <c r="B3313" s="4" t="n">
        <v>7011</v>
      </c>
      <c r="C3313" s="4" t="n">
        <v>155.8</v>
      </c>
      <c r="D3313" s="4" t="n">
        <v>47.1295</v>
      </c>
      <c r="E3313" s="5" t="n">
        <v>148.8</v>
      </c>
      <c r="F3313" s="3" t="inlineStr">
        <is>
          <t>오송읍</t>
        </is>
      </c>
      <c r="G3313" s="3" t="inlineStr">
        <is>
          <t>공북리</t>
        </is>
      </c>
      <c r="H3313" s="3" t="inlineStr">
        <is>
          <t>계획관리지역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2023</v>
      </c>
      <c r="B3314" s="4" t="n">
        <v>3312</v>
      </c>
      <c r="C3314" s="4" t="n">
        <v>73.59999999999999</v>
      </c>
      <c r="D3314" s="4" t="n">
        <v>22.264</v>
      </c>
      <c r="E3314" s="5" t="n">
        <v>148.8</v>
      </c>
      <c r="F3314" s="3" t="inlineStr">
        <is>
          <t>오송읍</t>
        </is>
      </c>
      <c r="G3314" s="3" t="inlineStr">
        <is>
          <t>공북리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오송읍</t>
        </is>
      </c>
    </row>
    <row r="3315">
      <c r="A3315" s="3" t="n">
        <v>2023</v>
      </c>
      <c r="B3315" s="4" t="n">
        <v>21000</v>
      </c>
      <c r="C3315" s="4" t="n">
        <v>356</v>
      </c>
      <c r="D3315" s="4" t="n">
        <v>107.69</v>
      </c>
      <c r="E3315" s="5" t="n">
        <v>195</v>
      </c>
      <c r="F3315" s="3" t="inlineStr">
        <is>
          <t>오송읍</t>
        </is>
      </c>
      <c r="G3315" s="3" t="inlineStr">
        <is>
          <t>오송리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오송읍</t>
        </is>
      </c>
    </row>
    <row r="3316">
      <c r="A3316" s="3" t="n">
        <v>2023</v>
      </c>
      <c r="B3316" s="4" t="n">
        <v>28282</v>
      </c>
      <c r="C3316" s="4" t="n">
        <v>550</v>
      </c>
      <c r="D3316" s="4" t="n">
        <v>166.375</v>
      </c>
      <c r="E3316" s="5" t="n">
        <v>170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2023</v>
      </c>
      <c r="B3317" s="4" t="n">
        <v>12000</v>
      </c>
      <c r="C3317" s="4" t="n">
        <v>182</v>
      </c>
      <c r="D3317" s="4" t="n">
        <v>55.055</v>
      </c>
      <c r="E3317" s="5" t="n">
        <v>218</v>
      </c>
      <c r="F3317" s="3" t="inlineStr">
        <is>
          <t>오송읍</t>
        </is>
      </c>
      <c r="G3317" s="3" t="inlineStr">
        <is>
          <t>오송리</t>
        </is>
      </c>
      <c r="H3317" s="3" t="inlineStr">
        <is>
          <t>계획관리지역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2026</v>
      </c>
      <c r="B3318" s="4" t="n">
        <v>142000</v>
      </c>
      <c r="C3318" s="4" t="n">
        <v>1113.2</v>
      </c>
      <c r="D3318" s="4" t="n">
        <v>336.743</v>
      </c>
      <c r="E3318" s="5" t="n">
        <v>421.7</v>
      </c>
      <c r="F3318" s="3" t="inlineStr">
        <is>
          <t>오송읍</t>
        </is>
      </c>
      <c r="G3318" s="3" t="inlineStr">
        <is>
          <t>정중리</t>
        </is>
      </c>
      <c r="H3318" s="3" t="inlineStr">
        <is>
          <t>준공업지역</t>
        </is>
      </c>
      <c r="I3318" s="3" t="inlineStr">
        <is>
          <t>주차장</t>
        </is>
      </c>
      <c r="J3318" s="3" t="inlineStr">
        <is>
          <t>오송읍</t>
        </is>
      </c>
    </row>
    <row r="3319">
      <c r="A3319" s="3" t="n">
        <v>2026</v>
      </c>
      <c r="B3319" s="4" t="n">
        <v>52700</v>
      </c>
      <c r="C3319" s="4" t="n">
        <v>699</v>
      </c>
      <c r="D3319" s="4" t="n">
        <v>211.4475</v>
      </c>
      <c r="E3319" s="5" t="n">
        <v>249.2</v>
      </c>
      <c r="F3319" s="3" t="inlineStr">
        <is>
          <t>강내면</t>
        </is>
      </c>
      <c r="G3319" s="3" t="inlineStr">
        <is>
          <t>월곡리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3500</v>
      </c>
      <c r="C3320" s="4" t="n">
        <v>275</v>
      </c>
      <c r="D3320" s="4" t="n">
        <v>83.1875</v>
      </c>
      <c r="E3320" s="5" t="n">
        <v>42.1</v>
      </c>
      <c r="F3320" s="3" t="inlineStr">
        <is>
          <t>남이면</t>
        </is>
      </c>
      <c r="G3320" s="3" t="inlineStr">
        <is>
          <t>갈원리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2024</v>
      </c>
      <c r="B3321" s="4" t="n">
        <v>8000</v>
      </c>
      <c r="C3321" s="4" t="n">
        <v>485</v>
      </c>
      <c r="D3321" s="4" t="n">
        <v>146.7125</v>
      </c>
      <c r="E3321" s="5" t="n">
        <v>54.5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5000</v>
      </c>
      <c r="C3322" s="4" t="n">
        <v>1022</v>
      </c>
      <c r="D3322" s="4" t="n">
        <v>309.155</v>
      </c>
      <c r="E3322" s="5" t="n">
        <v>16.2</v>
      </c>
      <c r="F3322" s="3" t="inlineStr">
        <is>
          <t>현도면</t>
        </is>
      </c>
      <c r="G3322" s="3" t="inlineStr">
        <is>
          <t>우록리</t>
        </is>
      </c>
      <c r="H3322" s="3" t="inlineStr">
        <is>
          <t>계획관리지역</t>
        </is>
      </c>
      <c r="I3322" s="3" t="inlineStr">
        <is>
          <t>답</t>
        </is>
      </c>
      <c r="J3322" s="3" t="inlineStr">
        <is>
          <t>현도면</t>
        </is>
      </c>
    </row>
    <row r="3323">
      <c r="A3323" s="3" t="n">
        <v>2026</v>
      </c>
      <c r="B3323" s="4" t="n">
        <v>3408</v>
      </c>
      <c r="C3323" s="4" t="n">
        <v>145</v>
      </c>
      <c r="D3323" s="4" t="n">
        <v>43.8625</v>
      </c>
      <c r="E3323" s="5" t="n">
        <v>77.7</v>
      </c>
      <c r="F3323" s="3" t="inlineStr">
        <is>
          <t>남이면</t>
        </is>
      </c>
      <c r="G3323" s="3" t="inlineStr">
        <is>
          <t>수대리</t>
        </is>
      </c>
      <c r="H3323" s="3" t="inlineStr">
        <is>
          <t>자연녹지지역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2026</v>
      </c>
      <c r="B3324" s="4" t="n">
        <v>2656</v>
      </c>
      <c r="C3324" s="4" t="n">
        <v>113</v>
      </c>
      <c r="D3324" s="4" t="n">
        <v>34.1825</v>
      </c>
      <c r="E3324" s="5" t="n">
        <v>77.7</v>
      </c>
      <c r="F3324" s="3" t="inlineStr">
        <is>
          <t>남이면</t>
        </is>
      </c>
      <c r="G3324" s="3" t="inlineStr">
        <is>
          <t>수대리</t>
        </is>
      </c>
      <c r="H3324" s="3" t="inlineStr">
        <is>
          <t>자연녹지지역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2024</v>
      </c>
      <c r="B3325" s="4" t="n">
        <v>360</v>
      </c>
      <c r="C3325" s="4" t="n">
        <v>60</v>
      </c>
      <c r="D3325" s="4" t="n">
        <v>18.15</v>
      </c>
      <c r="E3325" s="5" t="n">
        <v>19.8</v>
      </c>
      <c r="F3325" s="3" t="inlineStr">
        <is>
          <t>남이면</t>
        </is>
      </c>
      <c r="G3325" s="3" t="inlineStr">
        <is>
          <t>문동리</t>
        </is>
      </c>
      <c r="H3325" s="3" t="inlineStr">
        <is>
          <t>생산관리지역</t>
        </is>
      </c>
      <c r="I3325" s="3" t="inlineStr">
        <is>
          <t>답</t>
        </is>
      </c>
      <c r="J3325" s="3" t="inlineStr">
        <is>
          <t>남이면</t>
        </is>
      </c>
    </row>
    <row r="3326">
      <c r="A3326" s="3" t="n">
        <v>2024</v>
      </c>
      <c r="B3326" s="4" t="n">
        <v>27150</v>
      </c>
      <c r="C3326" s="4" t="n">
        <v>2995</v>
      </c>
      <c r="D3326" s="4" t="n">
        <v>905.9875</v>
      </c>
      <c r="E3326" s="5" t="n">
        <v>30</v>
      </c>
      <c r="F3326" s="3" t="inlineStr">
        <is>
          <t>현도면</t>
        </is>
      </c>
      <c r="G3326" s="3" t="inlineStr">
        <is>
          <t>선동리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2024</v>
      </c>
      <c r="B3327" s="4" t="n">
        <v>800</v>
      </c>
      <c r="C3327" s="4" t="n">
        <v>152</v>
      </c>
      <c r="D3327" s="4" t="n">
        <v>45.98</v>
      </c>
      <c r="E3327" s="5" t="n">
        <v>17.4</v>
      </c>
      <c r="F3327" s="3" t="inlineStr">
        <is>
          <t>남이면</t>
        </is>
      </c>
      <c r="G3327" s="3" t="inlineStr">
        <is>
          <t>팔봉리</t>
        </is>
      </c>
      <c r="H3327" s="3" t="inlineStr">
        <is>
          <t>자연녹지지역</t>
        </is>
      </c>
      <c r="I3327" s="3" t="inlineStr">
        <is>
          <t>임야</t>
        </is>
      </c>
      <c r="J3327" s="3" t="inlineStr">
        <is>
          <t>남이면</t>
        </is>
      </c>
    </row>
    <row r="3328">
      <c r="A3328" s="3" t="n">
        <v>2024</v>
      </c>
      <c r="B3328" s="4" t="n">
        <v>23200</v>
      </c>
      <c r="C3328" s="4" t="n">
        <v>590</v>
      </c>
      <c r="D3328" s="4" t="n">
        <v>178.475</v>
      </c>
      <c r="E3328" s="5" t="n">
        <v>130</v>
      </c>
      <c r="F3328" s="3" t="inlineStr">
        <is>
          <t>남이면</t>
        </is>
      </c>
      <c r="G3328" s="3" t="inlineStr">
        <is>
          <t>구암리</t>
        </is>
      </c>
      <c r="H3328" s="3" t="inlineStr">
        <is>
          <t>기타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2024</v>
      </c>
      <c r="B3329" s="4" t="n">
        <v>631</v>
      </c>
      <c r="C3329" s="4" t="n">
        <v>36</v>
      </c>
      <c r="D3329" s="4" t="n">
        <v>10.89</v>
      </c>
      <c r="E3329" s="5" t="n">
        <v>57.9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보전관리지역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2024</v>
      </c>
      <c r="B3330" s="4" t="n">
        <v>18240</v>
      </c>
      <c r="C3330" s="4" t="n">
        <v>2010</v>
      </c>
      <c r="D3330" s="4" t="n">
        <v>608.025</v>
      </c>
      <c r="E3330" s="5" t="n">
        <v>30</v>
      </c>
      <c r="F3330" s="3" t="inlineStr">
        <is>
          <t>현도면</t>
        </is>
      </c>
      <c r="G3330" s="3" t="inlineStr">
        <is>
          <t>시목리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현도면</t>
        </is>
      </c>
    </row>
    <row r="3331">
      <c r="A3331" s="3" t="n">
        <v>2024</v>
      </c>
      <c r="B3331" s="4" t="n">
        <v>2000</v>
      </c>
      <c r="C3331" s="4" t="n">
        <v>3769</v>
      </c>
      <c r="D3331" s="4" t="n">
        <v>1140.1225</v>
      </c>
      <c r="E3331" s="5" t="n">
        <v>1.8</v>
      </c>
      <c r="F3331" s="3" t="inlineStr">
        <is>
          <t>남이면</t>
        </is>
      </c>
      <c r="G3331" s="3" t="inlineStr">
        <is>
          <t>척산리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2024</v>
      </c>
      <c r="B3332" s="4" t="n">
        <v>51800</v>
      </c>
      <c r="C3332" s="4" t="n">
        <v>1711</v>
      </c>
      <c r="D3332" s="4" t="n">
        <v>517.5775</v>
      </c>
      <c r="E3332" s="5" t="n">
        <v>100.1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임야</t>
        </is>
      </c>
      <c r="J3332" s="3" t="inlineStr">
        <is>
          <t>남이면</t>
        </is>
      </c>
    </row>
    <row r="3333">
      <c r="A3333" s="3" t="n">
        <v>2024</v>
      </c>
      <c r="B3333" s="4" t="n">
        <v>2000</v>
      </c>
      <c r="C3333" s="4" t="n">
        <v>21</v>
      </c>
      <c r="D3333" s="4" t="n">
        <v>6.3525</v>
      </c>
      <c r="E3333" s="5" t="n">
        <v>314.8</v>
      </c>
      <c r="F3333" s="3" t="inlineStr">
        <is>
          <t>남이면</t>
        </is>
      </c>
      <c r="G3333" s="3" t="inlineStr">
        <is>
          <t>수대리</t>
        </is>
      </c>
      <c r="H3333" s="3" t="inlineStr">
        <is>
          <t>자연녹지지역</t>
        </is>
      </c>
      <c r="I3333" s="3" t="inlineStr">
        <is>
          <t>도로</t>
        </is>
      </c>
      <c r="J3333" s="3" t="inlineStr">
        <is>
          <t>남이면</t>
        </is>
      </c>
    </row>
    <row r="3334">
      <c r="A3334" s="3" t="n">
        <v>2024</v>
      </c>
      <c r="B3334" s="4" t="n">
        <v>11857</v>
      </c>
      <c r="C3334" s="4" t="n">
        <v>631</v>
      </c>
      <c r="D3334" s="4" t="n">
        <v>190.8775</v>
      </c>
      <c r="E3334" s="5" t="n">
        <v>62.1</v>
      </c>
      <c r="F3334" s="3" t="inlineStr">
        <is>
          <t>남이면</t>
        </is>
      </c>
      <c r="G3334" s="3" t="inlineStr">
        <is>
          <t>팔봉리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2024</v>
      </c>
      <c r="B3335" s="4" t="n">
        <v>8000</v>
      </c>
      <c r="C3335" s="4" t="n">
        <v>485</v>
      </c>
      <c r="D3335" s="4" t="n">
        <v>146.7125</v>
      </c>
      <c r="E3335" s="5" t="n">
        <v>54.5</v>
      </c>
      <c r="F3335" s="3" t="inlineStr">
        <is>
          <t>남이면</t>
        </is>
      </c>
      <c r="G3335" s="3" t="inlineStr">
        <is>
          <t>가좌리</t>
        </is>
      </c>
      <c r="H3335" s="3" t="inlineStr">
        <is>
          <t>보전녹지지역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2024</v>
      </c>
      <c r="B3336" s="4" t="n">
        <v>28560</v>
      </c>
      <c r="C3336" s="4" t="n">
        <v>2698</v>
      </c>
      <c r="D3336" s="4" t="n">
        <v>816.145</v>
      </c>
      <c r="E3336" s="5" t="n">
        <v>35</v>
      </c>
      <c r="F3336" s="3" t="inlineStr">
        <is>
          <t>현도면</t>
        </is>
      </c>
      <c r="G3336" s="3" t="inlineStr">
        <is>
          <t>죽암리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현도면</t>
        </is>
      </c>
    </row>
    <row r="3337">
      <c r="A3337" s="3" t="n">
        <v>2024</v>
      </c>
      <c r="B3337" s="4" t="n">
        <v>13960</v>
      </c>
      <c r="C3337" s="4" t="n">
        <v>1319</v>
      </c>
      <c r="D3337" s="4" t="n">
        <v>398.9975</v>
      </c>
      <c r="E3337" s="5" t="n">
        <v>35</v>
      </c>
      <c r="F3337" s="3" t="inlineStr">
        <is>
          <t>현도면</t>
        </is>
      </c>
      <c r="G3337" s="3" t="inlineStr">
        <is>
          <t>죽암리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현도면</t>
        </is>
      </c>
    </row>
    <row r="3338">
      <c r="A3338" s="3" t="n">
        <v>2024</v>
      </c>
      <c r="B3338" s="4" t="n">
        <v>2000</v>
      </c>
      <c r="C3338" s="4" t="n">
        <v>164</v>
      </c>
      <c r="D3338" s="4" t="n">
        <v>49.61</v>
      </c>
      <c r="E3338" s="5" t="n">
        <v>40.3</v>
      </c>
      <c r="F3338" s="3" t="inlineStr">
        <is>
          <t>남이면</t>
        </is>
      </c>
      <c r="G3338" s="3" t="inlineStr">
        <is>
          <t>팔봉리</t>
        </is>
      </c>
      <c r="H3338" s="3" t="inlineStr">
        <is>
          <t>자연녹지지역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2024</v>
      </c>
      <c r="B3339" s="4" t="n">
        <v>23875</v>
      </c>
      <c r="C3339" s="4" t="n">
        <v>563</v>
      </c>
      <c r="D3339" s="4" t="n">
        <v>170.3075</v>
      </c>
      <c r="E3339" s="5" t="n">
        <v>140.2</v>
      </c>
      <c r="F3339" s="3" t="inlineStr">
        <is>
          <t>남이면</t>
        </is>
      </c>
      <c r="G3339" s="3" t="inlineStr">
        <is>
          <t>가마리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2024</v>
      </c>
      <c r="B3340" s="4" t="n">
        <v>25660</v>
      </c>
      <c r="C3340" s="4" t="n">
        <v>487</v>
      </c>
      <c r="D3340" s="4" t="n">
        <v>147.3175</v>
      </c>
      <c r="E3340" s="5" t="n">
        <v>174.2</v>
      </c>
      <c r="F3340" s="3" t="inlineStr">
        <is>
          <t>남이면</t>
        </is>
      </c>
      <c r="G3340" s="3" t="inlineStr">
        <is>
          <t>가마리</t>
        </is>
      </c>
      <c r="H3340" s="3" t="inlineStr">
        <is>
          <t>보전녹지지역</t>
        </is>
      </c>
      <c r="I3340" s="3" t="inlineStr">
        <is>
          <t>임야</t>
        </is>
      </c>
      <c r="J3340" s="3" t="inlineStr">
        <is>
          <t>남이면</t>
        </is>
      </c>
    </row>
    <row r="3341">
      <c r="A3341" s="3" t="n">
        <v>2024</v>
      </c>
      <c r="B3341" s="4" t="n">
        <v>45470</v>
      </c>
      <c r="C3341" s="4" t="n">
        <v>2133</v>
      </c>
      <c r="D3341" s="4" t="n">
        <v>645.2325</v>
      </c>
      <c r="E3341" s="5" t="n">
        <v>70.5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생산관리지역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44440</v>
      </c>
      <c r="C3342" s="4" t="n">
        <v>2083</v>
      </c>
      <c r="D3342" s="4" t="n">
        <v>630.1075</v>
      </c>
      <c r="E3342" s="5" t="n">
        <v>70.5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생산관리지역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10130</v>
      </c>
      <c r="C3343" s="4" t="n">
        <v>475</v>
      </c>
      <c r="D3343" s="4" t="n">
        <v>143.6875</v>
      </c>
      <c r="E3343" s="5" t="n">
        <v>70.5</v>
      </c>
      <c r="F3343" s="3" t="inlineStr">
        <is>
          <t>남이면</t>
        </is>
      </c>
      <c r="G3343" s="3" t="inlineStr">
        <is>
          <t>척산리</t>
        </is>
      </c>
      <c r="H3343" s="3" t="inlineStr">
        <is>
          <t>생산관리지역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2024</v>
      </c>
      <c r="B3344" s="4" t="n">
        <v>8000</v>
      </c>
      <c r="C3344" s="4" t="n">
        <v>46</v>
      </c>
      <c r="D3344" s="4" t="n">
        <v>13.915</v>
      </c>
      <c r="E3344" s="5" t="n">
        <v>574.9</v>
      </c>
      <c r="F3344" s="3" t="inlineStr">
        <is>
          <t>조치원읍</t>
        </is>
      </c>
      <c r="G3344" s="3" t="inlineStr">
        <is>
          <t>원리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2024</v>
      </c>
      <c r="B3345" s="4" t="n">
        <v>20000</v>
      </c>
      <c r="C3345" s="4" t="n">
        <v>274</v>
      </c>
      <c r="D3345" s="4" t="n">
        <v>82.88499999999999</v>
      </c>
      <c r="E3345" s="5" t="n">
        <v>241.3</v>
      </c>
      <c r="F3345" s="3" t="inlineStr">
        <is>
          <t>전의면</t>
        </is>
      </c>
      <c r="G3345" s="3" t="inlineStr">
        <is>
          <t>동교리</t>
        </is>
      </c>
      <c r="H3345" s="3" t="inlineStr">
        <is>
          <t>계획관리지역</t>
        </is>
      </c>
      <c r="I3345" s="3" t="inlineStr">
        <is>
          <t>대</t>
        </is>
      </c>
      <c r="J3345" s="3" t="inlineStr">
        <is>
          <t>전의면</t>
        </is>
      </c>
    </row>
    <row r="3346">
      <c r="A3346" s="3" t="n">
        <v>2024</v>
      </c>
      <c r="B3346" s="4" t="n">
        <v>39700</v>
      </c>
      <c r="C3346" s="4" t="n">
        <v>1041</v>
      </c>
      <c r="D3346" s="4" t="n">
        <v>314.9025</v>
      </c>
      <c r="E3346" s="5" t="n">
        <v>126.1</v>
      </c>
      <c r="F3346" s="3" t="inlineStr">
        <is>
          <t>전의면</t>
        </is>
      </c>
      <c r="G3346" s="3" t="inlineStr">
        <is>
          <t>동교리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전의면</t>
        </is>
      </c>
    </row>
    <row r="3347">
      <c r="A3347" s="3" t="n">
        <v>2024</v>
      </c>
      <c r="B3347" s="4" t="n">
        <v>4052</v>
      </c>
      <c r="C3347" s="4" t="n">
        <v>67</v>
      </c>
      <c r="D3347" s="4" t="n">
        <v>20.2675</v>
      </c>
      <c r="E3347" s="5" t="n">
        <v>199.9</v>
      </c>
      <c r="F3347" s="3" t="inlineStr">
        <is>
          <t>부강면</t>
        </is>
      </c>
      <c r="G3347" s="3" t="inlineStr">
        <is>
          <t>부강리</t>
        </is>
      </c>
      <c r="H3347" s="3" t="inlineStr">
        <is>
          <t>계획관리지역</t>
        </is>
      </c>
      <c r="I3347" s="3" t="inlineStr">
        <is>
          <t>공장용지</t>
        </is>
      </c>
      <c r="J3347" s="3" t="inlineStr">
        <is>
          <t>부강면</t>
        </is>
      </c>
    </row>
    <row r="3348">
      <c r="A3348" s="3" t="n">
        <v>2024</v>
      </c>
      <c r="B3348" s="4" t="n">
        <v>3200</v>
      </c>
      <c r="C3348" s="4" t="n">
        <v>200</v>
      </c>
      <c r="D3348" s="4" t="n">
        <v>60.5</v>
      </c>
      <c r="E3348" s="5" t="n">
        <v>52.9</v>
      </c>
      <c r="F3348" s="3" t="inlineStr">
        <is>
          <t>부강면</t>
        </is>
      </c>
      <c r="G3348" s="3" t="inlineStr">
        <is>
          <t>문곡리</t>
        </is>
      </c>
      <c r="H3348" s="3" t="inlineStr">
        <is>
          <t>계획관리지역</t>
        </is>
      </c>
      <c r="I3348" s="3" t="inlineStr">
        <is>
          <t>답</t>
        </is>
      </c>
      <c r="J3348" s="3" t="inlineStr">
        <is>
          <t>부강면</t>
        </is>
      </c>
    </row>
    <row r="3349">
      <c r="A3349" s="3" t="n">
        <v>2024</v>
      </c>
      <c r="B3349" s="4" t="n">
        <v>45984</v>
      </c>
      <c r="C3349" s="4" t="n">
        <v>4750</v>
      </c>
      <c r="D3349" s="4" t="n">
        <v>1436.875</v>
      </c>
      <c r="E3349" s="5" t="n">
        <v>32</v>
      </c>
      <c r="F3349" s="3" t="inlineStr">
        <is>
          <t>소정면</t>
        </is>
      </c>
      <c r="G3349" s="3" t="inlineStr">
        <is>
          <t>소정리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소정면</t>
        </is>
      </c>
    </row>
    <row r="3350">
      <c r="A3350" s="3" t="n">
        <v>2024</v>
      </c>
      <c r="B3350" s="4" t="n">
        <v>13500</v>
      </c>
      <c r="C3350" s="4" t="n">
        <v>569</v>
      </c>
      <c r="D3350" s="4" t="n">
        <v>172.1225</v>
      </c>
      <c r="E3350" s="5" t="n">
        <v>78.40000000000001</v>
      </c>
      <c r="F3350" s="3" t="inlineStr">
        <is>
          <t>금남면</t>
        </is>
      </c>
      <c r="G3350" s="3" t="inlineStr">
        <is>
          <t>성강리</t>
        </is>
      </c>
      <c r="H3350" s="3" t="inlineStr">
        <is>
          <t>계획관리지역</t>
        </is>
      </c>
      <c r="I3350" s="3" t="inlineStr">
        <is>
          <t>대</t>
        </is>
      </c>
      <c r="J3350" s="3" t="inlineStr">
        <is>
          <t>금남면</t>
        </is>
      </c>
    </row>
    <row r="3351">
      <c r="A3351" s="3" t="n">
        <v>2024</v>
      </c>
      <c r="B3351" s="4" t="n">
        <v>1500</v>
      </c>
      <c r="C3351" s="4" t="n">
        <v>83</v>
      </c>
      <c r="D3351" s="4" t="n">
        <v>25.1075</v>
      </c>
      <c r="E3351" s="5" t="n">
        <v>59.7</v>
      </c>
      <c r="F3351" s="3" t="inlineStr">
        <is>
          <t>금남면</t>
        </is>
      </c>
      <c r="G3351" s="3" t="inlineStr">
        <is>
          <t>성강리</t>
        </is>
      </c>
      <c r="H3351" s="3" t="inlineStr">
        <is>
          <t>계획관리지역</t>
        </is>
      </c>
      <c r="I3351" s="3" t="inlineStr">
        <is>
          <t>전</t>
        </is>
      </c>
      <c r="J3351" s="3" t="inlineStr">
        <is>
          <t>금남면</t>
        </is>
      </c>
    </row>
    <row r="3352">
      <c r="A3352" s="3" t="n">
        <v>2024</v>
      </c>
      <c r="B3352" s="4" t="n">
        <v>6000</v>
      </c>
      <c r="C3352" s="4" t="n">
        <v>100</v>
      </c>
      <c r="D3352" s="4" t="n">
        <v>30.25</v>
      </c>
      <c r="E3352" s="5" t="n">
        <v>198.3</v>
      </c>
      <c r="F3352" s="3" t="inlineStr">
        <is>
          <t>금남면</t>
        </is>
      </c>
      <c r="G3352" s="3" t="inlineStr">
        <is>
          <t>용포리</t>
        </is>
      </c>
      <c r="H3352" s="3" t="inlineStr">
        <is>
          <t>자연녹지지역</t>
        </is>
      </c>
      <c r="I3352" s="3" t="inlineStr">
        <is>
          <t>임야</t>
        </is>
      </c>
      <c r="J3352" s="3" t="inlineStr">
        <is>
          <t>금남면</t>
        </is>
      </c>
    </row>
    <row r="3353">
      <c r="A3353" s="3" t="n">
        <v>2024</v>
      </c>
      <c r="B3353" s="4" t="n">
        <v>69000</v>
      </c>
      <c r="C3353" s="4" t="n">
        <v>330</v>
      </c>
      <c r="D3353" s="4" t="n">
        <v>99.825</v>
      </c>
      <c r="E3353" s="5" t="n">
        <v>691.2</v>
      </c>
      <c r="F3353" s="3" t="inlineStr">
        <is>
          <t>반곡동</t>
        </is>
      </c>
      <c r="G3353" s="3" t="inlineStr"/>
      <c r="H3353" s="3" t="inlineStr">
        <is>
          <t>제2종전용주거지역</t>
        </is>
      </c>
      <c r="I3353" s="3" t="inlineStr">
        <is>
          <t>대</t>
        </is>
      </c>
      <c r="J3353" s="3" t="inlineStr">
        <is>
          <t>반곡동</t>
        </is>
      </c>
    </row>
    <row r="3354">
      <c r="A3354" s="3" t="n">
        <v>2024</v>
      </c>
      <c r="B3354" s="4" t="n">
        <v>21018</v>
      </c>
      <c r="C3354" s="4" t="n">
        <v>386</v>
      </c>
      <c r="D3354" s="4" t="n">
        <v>116.765</v>
      </c>
      <c r="E3354" s="5" t="n">
        <v>180</v>
      </c>
      <c r="F3354" s="3" t="inlineStr">
        <is>
          <t>장군면</t>
        </is>
      </c>
      <c r="G3354" s="3" t="inlineStr">
        <is>
          <t>송문리</t>
        </is>
      </c>
      <c r="H3354" s="3" t="inlineStr">
        <is>
          <t>보전관리지역</t>
        </is>
      </c>
      <c r="I3354" s="3" t="inlineStr">
        <is>
          <t>대</t>
        </is>
      </c>
      <c r="J3354" s="3" t="inlineStr">
        <is>
          <t>장군면</t>
        </is>
      </c>
    </row>
    <row r="3355">
      <c r="A3355" s="3" t="n">
        <v>2024</v>
      </c>
      <c r="B3355" s="4" t="n">
        <v>60098</v>
      </c>
      <c r="C3355" s="4" t="n">
        <v>1954</v>
      </c>
      <c r="D3355" s="4" t="n">
        <v>591.085</v>
      </c>
      <c r="E3355" s="5" t="n">
        <v>101.7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잡종지</t>
        </is>
      </c>
      <c r="J3355" s="3" t="inlineStr">
        <is>
          <t>소정면</t>
        </is>
      </c>
    </row>
    <row r="3356">
      <c r="A3356" s="3" t="n">
        <v>2024</v>
      </c>
      <c r="B3356" s="4" t="n">
        <v>76217</v>
      </c>
      <c r="C3356" s="4" t="n">
        <v>12040</v>
      </c>
      <c r="D3356" s="4" t="n">
        <v>3642.1</v>
      </c>
      <c r="E3356" s="5" t="n">
        <v>20.9</v>
      </c>
      <c r="F3356" s="3" t="inlineStr">
        <is>
          <t>소정면</t>
        </is>
      </c>
      <c r="G3356" s="3" t="inlineStr">
        <is>
          <t>고등리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소정면</t>
        </is>
      </c>
    </row>
    <row r="3357">
      <c r="A3357" s="3" t="n">
        <v>2024</v>
      </c>
      <c r="B3357" s="4" t="n">
        <v>64073</v>
      </c>
      <c r="C3357" s="4" t="n">
        <v>2777</v>
      </c>
      <c r="D3357" s="4" t="n">
        <v>840.0425</v>
      </c>
      <c r="E3357" s="5" t="n">
        <v>76.3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2024</v>
      </c>
      <c r="B3358" s="4" t="n">
        <v>12287</v>
      </c>
      <c r="C3358" s="4" t="n">
        <v>836</v>
      </c>
      <c r="D3358" s="4" t="n">
        <v>252.89</v>
      </c>
      <c r="E3358" s="5" t="n">
        <v>48.6</v>
      </c>
      <c r="F3358" s="3" t="inlineStr">
        <is>
          <t>전동면</t>
        </is>
      </c>
      <c r="G3358" s="3" t="inlineStr">
        <is>
          <t>청람리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전동면</t>
        </is>
      </c>
    </row>
    <row r="3359">
      <c r="A3359" s="3" t="n">
        <v>2024</v>
      </c>
      <c r="B3359" s="4" t="n">
        <v>9713</v>
      </c>
      <c r="C3359" s="4" t="n">
        <v>662</v>
      </c>
      <c r="D3359" s="4" t="n">
        <v>200.255</v>
      </c>
      <c r="E3359" s="5" t="n">
        <v>48.5</v>
      </c>
      <c r="F3359" s="3" t="inlineStr">
        <is>
          <t>전동면</t>
        </is>
      </c>
      <c r="G3359" s="3" t="inlineStr">
        <is>
          <t>청람리</t>
        </is>
      </c>
      <c r="H3359" s="3" t="inlineStr">
        <is>
          <t>생산녹지지역</t>
        </is>
      </c>
      <c r="I3359" s="3" t="inlineStr">
        <is>
          <t>답</t>
        </is>
      </c>
      <c r="J3359" s="3" t="inlineStr">
        <is>
          <t>전동면</t>
        </is>
      </c>
    </row>
    <row r="3360">
      <c r="A3360" s="3" t="n">
        <v>2024</v>
      </c>
      <c r="B3360" s="4" t="n">
        <v>10000</v>
      </c>
      <c r="C3360" s="4" t="n">
        <v>234</v>
      </c>
      <c r="D3360" s="4" t="n">
        <v>70.785</v>
      </c>
      <c r="E3360" s="5" t="n">
        <v>141.3</v>
      </c>
      <c r="F3360" s="3" t="inlineStr">
        <is>
          <t>연서면</t>
        </is>
      </c>
      <c r="G3360" s="3" t="inlineStr">
        <is>
          <t>봉암리</t>
        </is>
      </c>
      <c r="H3360" s="3" t="inlineStr">
        <is>
          <t>계획관리지역</t>
        </is>
      </c>
      <c r="I3360" s="3" t="inlineStr">
        <is>
          <t>대</t>
        </is>
      </c>
      <c r="J3360" s="3" t="inlineStr">
        <is>
          <t>연서면</t>
        </is>
      </c>
    </row>
    <row r="3361">
      <c r="A3361" s="3" t="n">
        <v>2024</v>
      </c>
      <c r="B3361" s="4" t="n">
        <v>230000</v>
      </c>
      <c r="C3361" s="4" t="n">
        <v>5918</v>
      </c>
      <c r="D3361" s="4" t="n">
        <v>1790.195</v>
      </c>
      <c r="E3361" s="5" t="n">
        <v>128.5</v>
      </c>
      <c r="F3361" s="3" t="inlineStr">
        <is>
          <t>장군면</t>
        </is>
      </c>
      <c r="G3361" s="3" t="inlineStr">
        <is>
          <t>도계리</t>
        </is>
      </c>
      <c r="H3361" s="3" t="inlineStr">
        <is>
          <t>보전관리지역</t>
        </is>
      </c>
      <c r="I3361" s="3" t="inlineStr">
        <is>
          <t>임야</t>
        </is>
      </c>
      <c r="J3361" s="3" t="inlineStr">
        <is>
          <t>장군면</t>
        </is>
      </c>
    </row>
    <row r="3362">
      <c r="A3362" s="3" t="n">
        <v>2024</v>
      </c>
      <c r="B3362" s="4" t="n">
        <v>34000</v>
      </c>
      <c r="C3362" s="4" t="n">
        <v>319</v>
      </c>
      <c r="D3362" s="4" t="n">
        <v>96.4975</v>
      </c>
      <c r="E3362" s="5" t="n">
        <v>352.3</v>
      </c>
      <c r="F3362" s="3" t="inlineStr">
        <is>
          <t>연서면</t>
        </is>
      </c>
      <c r="G3362" s="3" t="inlineStr">
        <is>
          <t>월하리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2024</v>
      </c>
      <c r="B3363" s="4" t="n">
        <v>27000</v>
      </c>
      <c r="C3363" s="4" t="n">
        <v>496</v>
      </c>
      <c r="D3363" s="4" t="n">
        <v>150.04</v>
      </c>
      <c r="E3363" s="5" t="n">
        <v>180</v>
      </c>
      <c r="F3363" s="3" t="inlineStr">
        <is>
          <t>금남면</t>
        </is>
      </c>
      <c r="G3363" s="3" t="inlineStr">
        <is>
          <t>원봉리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2024</v>
      </c>
      <c r="B3364" s="4" t="n">
        <v>39806</v>
      </c>
      <c r="C3364" s="4" t="n">
        <v>595</v>
      </c>
      <c r="D3364" s="4" t="n">
        <v>179.9875</v>
      </c>
      <c r="E3364" s="5" t="n">
        <v>221.2</v>
      </c>
      <c r="F3364" s="3" t="inlineStr">
        <is>
          <t>조치원읍</t>
        </is>
      </c>
      <c r="G3364" s="3" t="inlineStr">
        <is>
          <t>신안리</t>
        </is>
      </c>
      <c r="H3364" s="3" t="inlineStr">
        <is>
          <t>자연녹지지역</t>
        </is>
      </c>
      <c r="I3364" s="3" t="inlineStr">
        <is>
          <t>과수원</t>
        </is>
      </c>
      <c r="J3364" s="3" t="inlineStr">
        <is>
          <t>조치원읍</t>
        </is>
      </c>
    </row>
    <row r="3365">
      <c r="A3365" s="3" t="n">
        <v>2024</v>
      </c>
      <c r="B3365" s="4" t="n">
        <v>80318</v>
      </c>
      <c r="C3365" s="4" t="n">
        <v>1993</v>
      </c>
      <c r="D3365" s="4" t="n">
        <v>602.8824999999999</v>
      </c>
      <c r="E3365" s="5" t="n">
        <v>133.2</v>
      </c>
      <c r="F3365" s="3" t="inlineStr">
        <is>
          <t>전동면</t>
        </is>
      </c>
      <c r="G3365" s="3" t="inlineStr">
        <is>
          <t>송성리</t>
        </is>
      </c>
      <c r="H3365" s="3" t="inlineStr">
        <is>
          <t>계획관리지역</t>
        </is>
      </c>
      <c r="I3365" s="3" t="inlineStr">
        <is>
          <t>공장용지</t>
        </is>
      </c>
      <c r="J3365" s="3" t="inlineStr">
        <is>
          <t>전동면</t>
        </is>
      </c>
    </row>
    <row r="3366">
      <c r="A3366" s="3" t="n">
        <v>2024</v>
      </c>
      <c r="B3366" s="4" t="n">
        <v>46667</v>
      </c>
      <c r="C3366" s="4" t="n">
        <v>1158</v>
      </c>
      <c r="D3366" s="4" t="n">
        <v>350.295</v>
      </c>
      <c r="E3366" s="5" t="n">
        <v>133.2</v>
      </c>
      <c r="F3366" s="3" t="inlineStr">
        <is>
          <t>전동면</t>
        </is>
      </c>
      <c r="G3366" s="3" t="inlineStr">
        <is>
          <t>송성리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전동면</t>
        </is>
      </c>
    </row>
    <row r="3367">
      <c r="A3367" s="3" t="n">
        <v>2022</v>
      </c>
      <c r="B3367" s="4" t="n">
        <v>8800</v>
      </c>
      <c r="C3367" s="4" t="n">
        <v>426</v>
      </c>
      <c r="D3367" s="4" t="n">
        <v>128.865</v>
      </c>
      <c r="E3367" s="5" t="n">
        <v>68.3</v>
      </c>
      <c r="F3367" s="3" t="inlineStr">
        <is>
          <t>남이면</t>
        </is>
      </c>
      <c r="G3367" s="3" t="inlineStr">
        <is>
          <t>부용외천리</t>
        </is>
      </c>
      <c r="H3367" s="3" t="inlineStr">
        <is>
          <t>계획관리지역</t>
        </is>
      </c>
      <c r="I3367" s="3" t="inlineStr">
        <is>
          <t>대</t>
        </is>
      </c>
      <c r="J3367" s="3" t="inlineStr">
        <is>
          <t>남이면</t>
        </is>
      </c>
    </row>
    <row r="3368">
      <c r="A3368" s="3" t="n">
        <v>2022</v>
      </c>
      <c r="B3368" s="4" t="n">
        <v>125</v>
      </c>
      <c r="C3368" s="4" t="n">
        <v>71</v>
      </c>
      <c r="D3368" s="4" t="n">
        <v>21.4775</v>
      </c>
      <c r="E3368" s="5" t="n">
        <v>5.8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남이면</t>
        </is>
      </c>
    </row>
    <row r="3369">
      <c r="A3369" s="3" t="n">
        <v>2022</v>
      </c>
      <c r="B3369" s="4" t="n">
        <v>75</v>
      </c>
      <c r="C3369" s="4" t="n">
        <v>41</v>
      </c>
      <c r="D3369" s="4" t="n">
        <v>12.4025</v>
      </c>
      <c r="E3369" s="5" t="n">
        <v>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2022</v>
      </c>
      <c r="B3370" s="4" t="n">
        <v>6000</v>
      </c>
      <c r="C3370" s="4" t="n">
        <v>991</v>
      </c>
      <c r="D3370" s="4" t="n">
        <v>299.7775</v>
      </c>
      <c r="E3370" s="5" t="n">
        <v>20</v>
      </c>
      <c r="F3370" s="3" t="inlineStr">
        <is>
          <t>남이면</t>
        </is>
      </c>
      <c r="G3370" s="3" t="inlineStr">
        <is>
          <t>갈원리</t>
        </is>
      </c>
      <c r="H3370" s="3" t="inlineStr">
        <is>
          <t>계획관리지역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2022</v>
      </c>
      <c r="B3371" s="4" t="n">
        <v>120700</v>
      </c>
      <c r="C3371" s="4" t="n">
        <v>4697</v>
      </c>
      <c r="D3371" s="4" t="n">
        <v>1420.8425</v>
      </c>
      <c r="E3371" s="5" t="n">
        <v>84.90000000000001</v>
      </c>
      <c r="F3371" s="3" t="inlineStr">
        <is>
          <t>남이면</t>
        </is>
      </c>
      <c r="G3371" s="3" t="inlineStr">
        <is>
          <t>수대리</t>
        </is>
      </c>
      <c r="H3371" s="3" t="inlineStr">
        <is>
          <t>자연녹지지역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2022</v>
      </c>
      <c r="B3372" s="4" t="n">
        <v>9400</v>
      </c>
      <c r="C3372" s="4" t="n">
        <v>654</v>
      </c>
      <c r="D3372" s="4" t="n">
        <v>197.835</v>
      </c>
      <c r="E3372" s="5" t="n">
        <v>47.5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2022</v>
      </c>
      <c r="B3373" s="4" t="n">
        <v>27220</v>
      </c>
      <c r="C3373" s="4" t="n">
        <v>857</v>
      </c>
      <c r="D3373" s="4" t="n">
        <v>259.2425</v>
      </c>
      <c r="E3373" s="5" t="n">
        <v>105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2022</v>
      </c>
      <c r="B3374" s="4" t="n">
        <v>3030</v>
      </c>
      <c r="C3374" s="4" t="n">
        <v>106</v>
      </c>
      <c r="D3374" s="4" t="n">
        <v>32.065</v>
      </c>
      <c r="E3374" s="5" t="n">
        <v>94.5</v>
      </c>
      <c r="F3374" s="3" t="inlineStr">
        <is>
          <t>남이면</t>
        </is>
      </c>
      <c r="G3374" s="3" t="inlineStr">
        <is>
          <t>부용외천리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2022</v>
      </c>
      <c r="B3375" s="4" t="n">
        <v>54800</v>
      </c>
      <c r="C3375" s="4" t="n">
        <v>3554</v>
      </c>
      <c r="D3375" s="4" t="n">
        <v>1075.085</v>
      </c>
      <c r="E3375" s="5" t="n">
        <v>51</v>
      </c>
      <c r="F3375" s="3" t="inlineStr">
        <is>
          <t>남이면</t>
        </is>
      </c>
      <c r="G3375" s="3" t="inlineStr">
        <is>
          <t>상발리</t>
        </is>
      </c>
      <c r="H3375" s="3" t="inlineStr">
        <is>
          <t>자연녹지지역</t>
        </is>
      </c>
      <c r="I3375" s="3" t="inlineStr">
        <is>
          <t>답</t>
        </is>
      </c>
      <c r="J3375" s="3" t="inlineStr">
        <is>
          <t>남이면</t>
        </is>
      </c>
    </row>
    <row r="3376">
      <c r="A3376" s="3" t="n">
        <v>2022</v>
      </c>
      <c r="B3376" s="4" t="n">
        <v>17500</v>
      </c>
      <c r="C3376" s="4" t="n">
        <v>1736</v>
      </c>
      <c r="D3376" s="4" t="n">
        <v>525.14</v>
      </c>
      <c r="E3376" s="5" t="n">
        <v>33.3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남이면</t>
        </is>
      </c>
    </row>
    <row r="3377">
      <c r="A3377" s="3" t="n">
        <v>2022</v>
      </c>
      <c r="B3377" s="4" t="n">
        <v>2300</v>
      </c>
      <c r="C3377" s="4" t="n">
        <v>128</v>
      </c>
      <c r="D3377" s="4" t="n">
        <v>38.72</v>
      </c>
      <c r="E3377" s="5" t="n">
        <v>59.4</v>
      </c>
      <c r="F3377" s="3" t="inlineStr">
        <is>
          <t>남이면</t>
        </is>
      </c>
      <c r="G3377" s="3" t="inlineStr">
        <is>
          <t>부용외천리</t>
        </is>
      </c>
      <c r="H3377" s="3" t="inlineStr">
        <is>
          <t>생산관리지역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2022</v>
      </c>
      <c r="B3378" s="4" t="n">
        <v>8000</v>
      </c>
      <c r="C3378" s="4" t="n">
        <v>2281</v>
      </c>
      <c r="D3378" s="4" t="n">
        <v>690.0024999999999</v>
      </c>
      <c r="E3378" s="5" t="n">
        <v>11.6</v>
      </c>
      <c r="F3378" s="3" t="inlineStr">
        <is>
          <t>현도면</t>
        </is>
      </c>
      <c r="G3378" s="3" t="inlineStr">
        <is>
          <t>하석리</t>
        </is>
      </c>
      <c r="H3378" s="3" t="inlineStr">
        <is>
          <t>개발제한구역</t>
        </is>
      </c>
      <c r="I3378" s="3" t="inlineStr">
        <is>
          <t>전</t>
        </is>
      </c>
      <c r="J3378" s="3" t="inlineStr">
        <is>
          <t>현도면</t>
        </is>
      </c>
    </row>
    <row r="3379">
      <c r="A3379" s="3" t="n">
        <v>2022</v>
      </c>
      <c r="B3379" s="4" t="n">
        <v>15200</v>
      </c>
      <c r="C3379" s="4" t="n">
        <v>541</v>
      </c>
      <c r="D3379" s="4" t="n">
        <v>163.6525</v>
      </c>
      <c r="E3379" s="5" t="n">
        <v>92.90000000000001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답</t>
        </is>
      </c>
      <c r="J3379" s="3" t="inlineStr">
        <is>
          <t>남이면</t>
        </is>
      </c>
    </row>
    <row r="3380">
      <c r="A3380" s="3" t="n">
        <v>2022</v>
      </c>
      <c r="B3380" s="4" t="n">
        <v>35825</v>
      </c>
      <c r="C3380" s="4" t="n">
        <v>3552</v>
      </c>
      <c r="D3380" s="4" t="n">
        <v>1074.48</v>
      </c>
      <c r="E3380" s="5" t="n">
        <v>33.3</v>
      </c>
      <c r="F3380" s="3" t="inlineStr">
        <is>
          <t>남이면</t>
        </is>
      </c>
      <c r="G3380" s="3" t="inlineStr">
        <is>
          <t>척산리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2022</v>
      </c>
      <c r="B3381" s="4" t="n">
        <v>8900</v>
      </c>
      <c r="C3381" s="4" t="n">
        <v>368</v>
      </c>
      <c r="D3381" s="4" t="n">
        <v>111.32</v>
      </c>
      <c r="E3381" s="5" t="n">
        <v>79.90000000000001</v>
      </c>
      <c r="F3381" s="3" t="inlineStr">
        <is>
          <t>남이면</t>
        </is>
      </c>
      <c r="G3381" s="3" t="inlineStr">
        <is>
          <t>척산리</t>
        </is>
      </c>
      <c r="H3381" s="3" t="inlineStr">
        <is>
          <t>보전녹지지역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2022</v>
      </c>
      <c r="B3382" s="4" t="n">
        <v>61</v>
      </c>
      <c r="C3382" s="4" t="n">
        <v>1</v>
      </c>
      <c r="D3382" s="4" t="n">
        <v>0.3025</v>
      </c>
      <c r="E3382" s="5" t="n">
        <v>201.7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2022</v>
      </c>
      <c r="B3383" s="4" t="n">
        <v>6460</v>
      </c>
      <c r="C3383" s="4" t="n">
        <v>224</v>
      </c>
      <c r="D3383" s="4" t="n">
        <v>67.75999999999999</v>
      </c>
      <c r="E3383" s="5" t="n">
        <v>95.3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2022</v>
      </c>
      <c r="B3384" s="4" t="n">
        <v>3840</v>
      </c>
      <c r="C3384" s="4" t="n">
        <v>133</v>
      </c>
      <c r="D3384" s="4" t="n">
        <v>40.2325</v>
      </c>
      <c r="E3384" s="5" t="n">
        <v>95.40000000000001</v>
      </c>
      <c r="F3384" s="3" t="inlineStr">
        <is>
          <t>남이면</t>
        </is>
      </c>
      <c r="G3384" s="3" t="inlineStr">
        <is>
          <t>가좌리</t>
        </is>
      </c>
      <c r="H3384" s="3" t="inlineStr">
        <is>
          <t>자연녹지지역</t>
        </is>
      </c>
      <c r="I3384" s="3" t="inlineStr">
        <is>
          <t>답</t>
        </is>
      </c>
      <c r="J3384" s="3" t="inlineStr">
        <is>
          <t>남이면</t>
        </is>
      </c>
    </row>
    <row r="3385">
      <c r="A3385" s="3" t="n">
        <v>2022</v>
      </c>
      <c r="B3385" s="4" t="n">
        <v>1100</v>
      </c>
      <c r="C3385" s="4" t="n">
        <v>41</v>
      </c>
      <c r="D3385" s="4" t="n">
        <v>12.4025</v>
      </c>
      <c r="E3385" s="5" t="n">
        <v>88.7</v>
      </c>
      <c r="F3385" s="3" t="inlineStr">
        <is>
          <t>남이면</t>
        </is>
      </c>
      <c r="G3385" s="3" t="inlineStr">
        <is>
          <t>가좌리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2022</v>
      </c>
      <c r="B3386" s="4" t="n">
        <v>22000</v>
      </c>
      <c r="C3386" s="4" t="n">
        <v>448</v>
      </c>
      <c r="D3386" s="4" t="n">
        <v>135.52</v>
      </c>
      <c r="E3386" s="5" t="n">
        <v>162.3</v>
      </c>
      <c r="F3386" s="3" t="inlineStr">
        <is>
          <t>현도면</t>
        </is>
      </c>
      <c r="G3386" s="3" t="inlineStr">
        <is>
          <t>양지리</t>
        </is>
      </c>
      <c r="H3386" s="3" t="inlineStr">
        <is>
          <t>제1종일반주거지역</t>
        </is>
      </c>
      <c r="I3386" s="3" t="inlineStr">
        <is>
          <t>대</t>
        </is>
      </c>
      <c r="J3386" s="3" t="inlineStr">
        <is>
          <t>현도면</t>
        </is>
      </c>
    </row>
    <row r="3387">
      <c r="A3387" s="3" t="n">
        <v>2023</v>
      </c>
      <c r="B3387" s="4" t="n">
        <v>70954</v>
      </c>
      <c r="C3387" s="4" t="n">
        <v>2932</v>
      </c>
      <c r="D3387" s="4" t="n">
        <v>886.9299999999999</v>
      </c>
      <c r="E3387" s="5" t="n">
        <v>80</v>
      </c>
      <c r="F3387" s="3" t="inlineStr">
        <is>
          <t>금남면</t>
        </is>
      </c>
      <c r="G3387" s="3" t="inlineStr">
        <is>
          <t>성강리</t>
        </is>
      </c>
      <c r="H3387" s="3" t="inlineStr">
        <is>
          <t>농림지역</t>
        </is>
      </c>
      <c r="I3387" s="3" t="inlineStr">
        <is>
          <t>답</t>
        </is>
      </c>
      <c r="J3387" s="3" t="inlineStr">
        <is>
          <t>금남면</t>
        </is>
      </c>
    </row>
    <row r="3388">
      <c r="A3388" s="3" t="n">
        <v>2023</v>
      </c>
      <c r="B3388" s="4" t="n">
        <v>38091</v>
      </c>
      <c r="C3388" s="4" t="n">
        <v>665</v>
      </c>
      <c r="D3388" s="4" t="n">
        <v>201.1625</v>
      </c>
      <c r="E3388" s="5" t="n">
        <v>189.4</v>
      </c>
      <c r="F3388" s="3" t="inlineStr">
        <is>
          <t>장군면</t>
        </is>
      </c>
      <c r="G3388" s="3" t="inlineStr">
        <is>
          <t>대교리</t>
        </is>
      </c>
      <c r="H3388" s="3" t="inlineStr">
        <is>
          <t>보전관리지역</t>
        </is>
      </c>
      <c r="I3388" s="3" t="inlineStr">
        <is>
          <t>대</t>
        </is>
      </c>
      <c r="J3388" s="3" t="inlineStr">
        <is>
          <t>장군면</t>
        </is>
      </c>
    </row>
    <row r="3389">
      <c r="A3389" s="3" t="n">
        <v>2023</v>
      </c>
      <c r="B3389" s="4" t="n">
        <v>38241</v>
      </c>
      <c r="C3389" s="4" t="n">
        <v>654</v>
      </c>
      <c r="D3389" s="4" t="n">
        <v>197.835</v>
      </c>
      <c r="E3389" s="5" t="n">
        <v>193.3</v>
      </c>
      <c r="F3389" s="3" t="inlineStr">
        <is>
          <t>장군면</t>
        </is>
      </c>
      <c r="G3389" s="3" t="inlineStr">
        <is>
          <t>대교리</t>
        </is>
      </c>
      <c r="H3389" s="3" t="inlineStr">
        <is>
          <t>보전관리지역</t>
        </is>
      </c>
      <c r="I3389" s="3" t="inlineStr">
        <is>
          <t>대</t>
        </is>
      </c>
      <c r="J3389" s="3" t="inlineStr">
        <is>
          <t>장군면</t>
        </is>
      </c>
    </row>
    <row r="3390">
      <c r="A3390" s="3" t="n">
        <v>2023</v>
      </c>
      <c r="B3390" s="4" t="n">
        <v>396470</v>
      </c>
      <c r="C3390" s="4" t="n">
        <v>12999</v>
      </c>
      <c r="D3390" s="4" t="n">
        <v>3932.1975</v>
      </c>
      <c r="E3390" s="5" t="n">
        <v>100.8</v>
      </c>
      <c r="F3390" s="3" t="inlineStr">
        <is>
          <t>전의면</t>
        </is>
      </c>
      <c r="G3390" s="3" t="inlineStr">
        <is>
          <t>관정리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전의면</t>
        </is>
      </c>
    </row>
    <row r="3391">
      <c r="A3391" s="3" t="n">
        <v>2023</v>
      </c>
      <c r="B3391" s="4" t="n">
        <v>18164</v>
      </c>
      <c r="C3391" s="4" t="n">
        <v>3734</v>
      </c>
      <c r="D3391" s="4" t="n">
        <v>1129.535</v>
      </c>
      <c r="E3391" s="5" t="n">
        <v>16.1</v>
      </c>
      <c r="F3391" s="3" t="inlineStr">
        <is>
          <t>전의면</t>
        </is>
      </c>
      <c r="G3391" s="3" t="inlineStr">
        <is>
          <t>관정리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2023</v>
      </c>
      <c r="B3392" s="4" t="n">
        <v>8224</v>
      </c>
      <c r="C3392" s="4" t="n">
        <v>2167</v>
      </c>
      <c r="D3392" s="4" t="n">
        <v>655.5174999999999</v>
      </c>
      <c r="E3392" s="5" t="n">
        <v>12.5</v>
      </c>
      <c r="F3392" s="3" t="inlineStr">
        <is>
          <t>전의면</t>
        </is>
      </c>
      <c r="G3392" s="3" t="inlineStr">
        <is>
          <t>관정리</t>
        </is>
      </c>
      <c r="H3392" s="3" t="inlineStr">
        <is>
          <t>농림지역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2023</v>
      </c>
      <c r="B3393" s="4" t="n">
        <v>6208</v>
      </c>
      <c r="C3393" s="4" t="n">
        <v>1621</v>
      </c>
      <c r="D3393" s="4" t="n">
        <v>490.3525</v>
      </c>
      <c r="E3393" s="5" t="n">
        <v>12.7</v>
      </c>
      <c r="F3393" s="3" t="inlineStr">
        <is>
          <t>전의면</t>
        </is>
      </c>
      <c r="G3393" s="3" t="inlineStr">
        <is>
          <t>관정리</t>
        </is>
      </c>
      <c r="H3393" s="3" t="inlineStr">
        <is>
          <t>계획관리지역</t>
        </is>
      </c>
      <c r="I3393" s="3" t="inlineStr">
        <is>
          <t>임야</t>
        </is>
      </c>
      <c r="J3393" s="3" t="inlineStr">
        <is>
          <t>전의면</t>
        </is>
      </c>
    </row>
    <row r="3394">
      <c r="A3394" s="3" t="n">
        <v>2023</v>
      </c>
      <c r="B3394" s="4" t="n">
        <v>43505</v>
      </c>
      <c r="C3394" s="4" t="n">
        <v>753</v>
      </c>
      <c r="D3394" s="4" t="n">
        <v>227.7825</v>
      </c>
      <c r="E3394" s="5" t="n">
        <v>191</v>
      </c>
      <c r="F3394" s="3" t="inlineStr">
        <is>
          <t>장군면</t>
        </is>
      </c>
      <c r="G3394" s="3" t="inlineStr">
        <is>
          <t>대교리</t>
        </is>
      </c>
      <c r="H3394" s="3" t="inlineStr">
        <is>
          <t>보전관리지역</t>
        </is>
      </c>
      <c r="I3394" s="3" t="inlineStr">
        <is>
          <t>대</t>
        </is>
      </c>
      <c r="J3394" s="3" t="inlineStr">
        <is>
          <t>장군면</t>
        </is>
      </c>
    </row>
    <row r="3395">
      <c r="A3395" s="3" t="n">
        <v>2022</v>
      </c>
      <c r="B3395" s="4" t="n">
        <v>20250</v>
      </c>
      <c r="C3395" s="4" t="n">
        <v>535</v>
      </c>
      <c r="D3395" s="4" t="n">
        <v>161.8375</v>
      </c>
      <c r="E3395" s="5" t="n">
        <v>125.1</v>
      </c>
      <c r="F3395" s="3" t="inlineStr">
        <is>
          <t>남이면</t>
        </is>
      </c>
      <c r="G3395" s="3" t="inlineStr">
        <is>
          <t>양촌리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2022</v>
      </c>
      <c r="B3396" s="4" t="n">
        <v>10200</v>
      </c>
      <c r="C3396" s="4" t="n">
        <v>526.8</v>
      </c>
      <c r="D3396" s="4" t="n">
        <v>159.357</v>
      </c>
      <c r="E3396" s="5" t="n">
        <v>64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2000</v>
      </c>
      <c r="C3397" s="4" t="n">
        <v>56</v>
      </c>
      <c r="D3397" s="4" t="n">
        <v>16.94</v>
      </c>
      <c r="E3397" s="5" t="n">
        <v>118.1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2022</v>
      </c>
      <c r="B3398" s="4" t="n">
        <v>3700</v>
      </c>
      <c r="C3398" s="4" t="n">
        <v>271</v>
      </c>
      <c r="D3398" s="4" t="n">
        <v>81.97749999999999</v>
      </c>
      <c r="E3398" s="5" t="n">
        <v>45.1</v>
      </c>
      <c r="F3398" s="3" t="inlineStr">
        <is>
          <t>현도면</t>
        </is>
      </c>
      <c r="G3398" s="3" t="inlineStr">
        <is>
          <t>중삼리</t>
        </is>
      </c>
      <c r="H3398" s="3" t="inlineStr">
        <is>
          <t>계획관리지역</t>
        </is>
      </c>
      <c r="I3398" s="3" t="inlineStr">
        <is>
          <t>도로</t>
        </is>
      </c>
      <c r="J3398" s="3" t="inlineStr">
        <is>
          <t>현도면</t>
        </is>
      </c>
    </row>
    <row r="3399">
      <c r="A3399" s="3" t="n">
        <v>2022</v>
      </c>
      <c r="B3399" s="4" t="n">
        <v>230</v>
      </c>
      <c r="C3399" s="4" t="n">
        <v>17</v>
      </c>
      <c r="D3399" s="4" t="n">
        <v>5.1425</v>
      </c>
      <c r="E3399" s="5" t="n">
        <v>44.7</v>
      </c>
      <c r="F3399" s="3" t="inlineStr">
        <is>
          <t>현도면</t>
        </is>
      </c>
      <c r="G3399" s="3" t="inlineStr">
        <is>
          <t>중삼리</t>
        </is>
      </c>
      <c r="H3399" s="3" t="inlineStr">
        <is>
          <t>계획관리지역</t>
        </is>
      </c>
      <c r="I3399" s="3" t="inlineStr">
        <is>
          <t>도로</t>
        </is>
      </c>
      <c r="J3399" s="3" t="inlineStr">
        <is>
          <t>현도면</t>
        </is>
      </c>
    </row>
    <row r="3400">
      <c r="A3400" s="3" t="n">
        <v>2022</v>
      </c>
      <c r="B3400" s="4" t="n">
        <v>53800</v>
      </c>
      <c r="C3400" s="4" t="n">
        <v>8900</v>
      </c>
      <c r="D3400" s="4" t="n">
        <v>2692.25</v>
      </c>
      <c r="E3400" s="5" t="n">
        <v>20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농림지역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2022</v>
      </c>
      <c r="B3401" s="4" t="n">
        <v>13100</v>
      </c>
      <c r="C3401" s="4" t="n">
        <v>413</v>
      </c>
      <c r="D3401" s="4" t="n">
        <v>124.9325</v>
      </c>
      <c r="E3401" s="5" t="n">
        <v>104.9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공장용지</t>
        </is>
      </c>
      <c r="J3401" s="3" t="inlineStr">
        <is>
          <t>남이면</t>
        </is>
      </c>
    </row>
    <row r="3402">
      <c r="A3402" s="3" t="n">
        <v>2022</v>
      </c>
      <c r="B3402" s="4" t="n">
        <v>300</v>
      </c>
      <c r="C3402" s="4" t="n">
        <v>40</v>
      </c>
      <c r="D3402" s="4" t="n">
        <v>12.1</v>
      </c>
      <c r="E3402" s="5" t="n">
        <v>24.8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도로</t>
        </is>
      </c>
      <c r="J3402" s="3" t="inlineStr">
        <is>
          <t>남이면</t>
        </is>
      </c>
    </row>
    <row r="3403">
      <c r="A3403" s="3" t="n">
        <v>2022</v>
      </c>
      <c r="B3403" s="4" t="n">
        <v>900</v>
      </c>
      <c r="C3403" s="4" t="n">
        <v>94</v>
      </c>
      <c r="D3403" s="4" t="n">
        <v>28.435</v>
      </c>
      <c r="E3403" s="5" t="n">
        <v>31.7</v>
      </c>
      <c r="F3403" s="3" t="inlineStr">
        <is>
          <t>남이면</t>
        </is>
      </c>
      <c r="G3403" s="3" t="inlineStr">
        <is>
          <t>척산리</t>
        </is>
      </c>
      <c r="H3403" s="3" t="inlineStr">
        <is>
          <t>자연녹지지역</t>
        </is>
      </c>
      <c r="I3403" s="3" t="inlineStr">
        <is>
          <t>공장용지</t>
        </is>
      </c>
      <c r="J3403" s="3" t="inlineStr">
        <is>
          <t>남이면</t>
        </is>
      </c>
    </row>
    <row r="3404">
      <c r="A3404" s="3" t="n">
        <v>2022</v>
      </c>
      <c r="B3404" s="4" t="n">
        <v>199559</v>
      </c>
      <c r="C3404" s="4" t="n">
        <v>2199</v>
      </c>
      <c r="D3404" s="4" t="n">
        <v>665.1975</v>
      </c>
      <c r="E3404" s="5" t="n">
        <v>300</v>
      </c>
      <c r="F3404" s="3" t="inlineStr">
        <is>
          <t>남이면</t>
        </is>
      </c>
      <c r="G3404" s="3" t="inlineStr">
        <is>
          <t>양촌리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2022</v>
      </c>
      <c r="B3405" s="4" t="n">
        <v>40000</v>
      </c>
      <c r="C3405" s="4" t="n">
        <v>16552</v>
      </c>
      <c r="D3405" s="4" t="n">
        <v>5006.98</v>
      </c>
      <c r="E3405" s="5" t="n">
        <v>8</v>
      </c>
      <c r="F3405" s="3" t="inlineStr">
        <is>
          <t>현도면</t>
        </is>
      </c>
      <c r="G3405" s="3" t="inlineStr">
        <is>
          <t>중척리</t>
        </is>
      </c>
      <c r="H3405" s="3" t="inlineStr">
        <is>
          <t>개발제한구역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2022</v>
      </c>
      <c r="B3406" s="4" t="n">
        <v>8060</v>
      </c>
      <c r="C3406" s="4" t="n">
        <v>382</v>
      </c>
      <c r="D3406" s="4" t="n">
        <v>115.555</v>
      </c>
      <c r="E3406" s="5" t="n">
        <v>69.8</v>
      </c>
      <c r="F3406" s="3" t="inlineStr">
        <is>
          <t>남이면</t>
        </is>
      </c>
      <c r="G3406" s="3" t="inlineStr">
        <is>
          <t>수대리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38000</v>
      </c>
      <c r="C3407" s="4" t="n">
        <v>1795</v>
      </c>
      <c r="D3407" s="4" t="n">
        <v>542.9875</v>
      </c>
      <c r="E3407" s="5" t="n">
        <v>70</v>
      </c>
      <c r="F3407" s="3" t="inlineStr">
        <is>
          <t>남이면</t>
        </is>
      </c>
      <c r="G3407" s="3" t="inlineStr">
        <is>
          <t>수대리</t>
        </is>
      </c>
      <c r="H3407" s="3" t="inlineStr">
        <is>
          <t>보전녹지지역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20160</v>
      </c>
      <c r="C3408" s="4" t="n">
        <v>954</v>
      </c>
      <c r="D3408" s="4" t="n">
        <v>288.585</v>
      </c>
      <c r="E3408" s="5" t="n">
        <v>69.90000000000001</v>
      </c>
      <c r="F3408" s="3" t="inlineStr">
        <is>
          <t>남이면</t>
        </is>
      </c>
      <c r="G3408" s="3" t="inlineStr">
        <is>
          <t>수대리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2022</v>
      </c>
      <c r="B3409" s="4" t="n">
        <v>4000</v>
      </c>
      <c r="C3409" s="4" t="n">
        <v>1674</v>
      </c>
      <c r="D3409" s="4" t="n">
        <v>506.385</v>
      </c>
      <c r="E3409" s="5" t="n">
        <v>7.9</v>
      </c>
      <c r="F3409" s="3" t="inlineStr">
        <is>
          <t>현도면</t>
        </is>
      </c>
      <c r="G3409" s="3" t="inlineStr">
        <is>
          <t>하석리</t>
        </is>
      </c>
      <c r="H3409" s="3" t="inlineStr">
        <is>
          <t>자연녹지지역</t>
        </is>
      </c>
      <c r="I3409" s="3" t="inlineStr">
        <is>
          <t>묘지</t>
        </is>
      </c>
      <c r="J3409" s="3" t="inlineStr">
        <is>
          <t>현도면</t>
        </is>
      </c>
    </row>
    <row r="3410">
      <c r="A3410" s="3" t="n">
        <v>2022</v>
      </c>
      <c r="B3410" s="4" t="n">
        <v>800</v>
      </c>
      <c r="C3410" s="4" t="n">
        <v>67</v>
      </c>
      <c r="D3410" s="4" t="n">
        <v>20.2675</v>
      </c>
      <c r="E3410" s="5" t="n">
        <v>39.5</v>
      </c>
      <c r="F3410" s="3" t="inlineStr">
        <is>
          <t>남이면</t>
        </is>
      </c>
      <c r="G3410" s="3" t="inlineStr">
        <is>
          <t>구미리</t>
        </is>
      </c>
      <c r="H3410" s="3" t="inlineStr">
        <is>
          <t>계획관리지역</t>
        </is>
      </c>
      <c r="I3410" s="3" t="inlineStr">
        <is>
          <t>공장용지</t>
        </is>
      </c>
      <c r="J3410" s="3" t="inlineStr">
        <is>
          <t>남이면</t>
        </is>
      </c>
    </row>
    <row r="3411">
      <c r="A3411" s="3" t="n">
        <v>2022</v>
      </c>
      <c r="B3411" s="4" t="n">
        <v>72720</v>
      </c>
      <c r="C3411" s="4" t="n">
        <v>4408</v>
      </c>
      <c r="D3411" s="4" t="n">
        <v>1333.42</v>
      </c>
      <c r="E3411" s="5" t="n">
        <v>54.5</v>
      </c>
      <c r="F3411" s="3" t="inlineStr">
        <is>
          <t>현도면</t>
        </is>
      </c>
      <c r="G3411" s="3" t="inlineStr">
        <is>
          <t>죽암리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현도면</t>
        </is>
      </c>
    </row>
    <row r="3412">
      <c r="A3412" s="3" t="n">
        <v>2022</v>
      </c>
      <c r="B3412" s="4" t="n">
        <v>10770</v>
      </c>
      <c r="C3412" s="4" t="n">
        <v>654</v>
      </c>
      <c r="D3412" s="4" t="n">
        <v>197.835</v>
      </c>
      <c r="E3412" s="5" t="n">
        <v>54.4</v>
      </c>
      <c r="F3412" s="3" t="inlineStr">
        <is>
          <t>현도면</t>
        </is>
      </c>
      <c r="G3412" s="3" t="inlineStr">
        <is>
          <t>죽암리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현도면</t>
        </is>
      </c>
    </row>
    <row r="3413">
      <c r="A3413" s="3" t="n">
        <v>2022</v>
      </c>
      <c r="B3413" s="4" t="n">
        <v>11510</v>
      </c>
      <c r="C3413" s="4" t="n">
        <v>699</v>
      </c>
      <c r="D3413" s="4" t="n">
        <v>211.4475</v>
      </c>
      <c r="E3413" s="5" t="n">
        <v>54.4</v>
      </c>
      <c r="F3413" s="3" t="inlineStr">
        <is>
          <t>현도면</t>
        </is>
      </c>
      <c r="G3413" s="3" t="inlineStr">
        <is>
          <t>죽암리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현도면</t>
        </is>
      </c>
    </row>
    <row r="3414">
      <c r="A3414" s="3" t="n">
        <v>2022</v>
      </c>
      <c r="B3414" s="4" t="n">
        <v>900</v>
      </c>
      <c r="C3414" s="4" t="n">
        <v>27</v>
      </c>
      <c r="D3414" s="4" t="n">
        <v>8.1675</v>
      </c>
      <c r="E3414" s="5" t="n">
        <v>110.2</v>
      </c>
      <c r="F3414" s="3" t="inlineStr">
        <is>
          <t>남이면</t>
        </is>
      </c>
      <c r="G3414" s="3" t="inlineStr">
        <is>
          <t>가좌리</t>
        </is>
      </c>
      <c r="H3414" s="3" t="inlineStr">
        <is>
          <t>자연녹지지역</t>
        </is>
      </c>
      <c r="I3414" s="3" t="inlineStr">
        <is>
          <t>임야</t>
        </is>
      </c>
      <c r="J3414" s="3" t="inlineStr">
        <is>
          <t>남이면</t>
        </is>
      </c>
    </row>
    <row r="3415">
      <c r="A3415" s="3" t="n">
        <v>2022</v>
      </c>
      <c r="B3415" s="4" t="n">
        <v>49100</v>
      </c>
      <c r="C3415" s="4" t="n">
        <v>1626</v>
      </c>
      <c r="D3415" s="4" t="n">
        <v>491.865</v>
      </c>
      <c r="E3415" s="5" t="n">
        <v>99.8</v>
      </c>
      <c r="F3415" s="3" t="inlineStr">
        <is>
          <t>남이면</t>
        </is>
      </c>
      <c r="G3415" s="3" t="inlineStr">
        <is>
          <t>가좌리</t>
        </is>
      </c>
      <c r="H3415" s="3" t="inlineStr">
        <is>
          <t>자연녹지지역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19421</v>
      </c>
      <c r="C3416" s="4" t="n">
        <v>1605</v>
      </c>
      <c r="D3416" s="4" t="n">
        <v>485.5125</v>
      </c>
      <c r="E3416" s="5" t="n">
        <v>40</v>
      </c>
      <c r="F3416" s="3" t="inlineStr">
        <is>
          <t>남이면</t>
        </is>
      </c>
      <c r="G3416" s="3" t="inlineStr">
        <is>
          <t>갈원리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2022</v>
      </c>
      <c r="B3417" s="4" t="n">
        <v>29596</v>
      </c>
      <c r="C3417" s="4" t="n">
        <v>1223</v>
      </c>
      <c r="D3417" s="4" t="n">
        <v>369.9575</v>
      </c>
      <c r="E3417" s="5" t="n">
        <v>80</v>
      </c>
      <c r="F3417" s="3" t="inlineStr">
        <is>
          <t>금남면</t>
        </is>
      </c>
      <c r="G3417" s="3" t="inlineStr">
        <is>
          <t>성강리</t>
        </is>
      </c>
      <c r="H3417" s="3" t="inlineStr">
        <is>
          <t>생산관리지역</t>
        </is>
      </c>
      <c r="I3417" s="3" t="inlineStr">
        <is>
          <t>전</t>
        </is>
      </c>
      <c r="J3417" s="3" t="inlineStr">
        <is>
          <t>금남면</t>
        </is>
      </c>
    </row>
    <row r="3418">
      <c r="A3418" s="3" t="n">
        <v>2022</v>
      </c>
      <c r="B3418" s="4" t="n">
        <v>111000</v>
      </c>
      <c r="C3418" s="4" t="n">
        <v>2669</v>
      </c>
      <c r="D3418" s="4" t="n">
        <v>807.3724999999999</v>
      </c>
      <c r="E3418" s="5" t="n">
        <v>137.5</v>
      </c>
      <c r="F3418" s="3" t="inlineStr">
        <is>
          <t>연기면</t>
        </is>
      </c>
      <c r="G3418" s="3" t="inlineStr">
        <is>
          <t>수산리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연기면</t>
        </is>
      </c>
    </row>
    <row r="3419">
      <c r="A3419" s="3" t="n">
        <v>2022</v>
      </c>
      <c r="B3419" s="4" t="n">
        <v>10692</v>
      </c>
      <c r="C3419" s="4" t="n">
        <v>1309</v>
      </c>
      <c r="D3419" s="4" t="n">
        <v>395.9725</v>
      </c>
      <c r="E3419" s="5" t="n">
        <v>27</v>
      </c>
      <c r="F3419" s="3" t="inlineStr">
        <is>
          <t>전동면</t>
        </is>
      </c>
      <c r="G3419" s="3" t="inlineStr">
        <is>
          <t>청람리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전동면</t>
        </is>
      </c>
    </row>
    <row r="3420">
      <c r="A3420" s="3" t="n">
        <v>2022</v>
      </c>
      <c r="B3420" s="4" t="n">
        <v>15948</v>
      </c>
      <c r="C3420" s="4" t="n">
        <v>649</v>
      </c>
      <c r="D3420" s="4" t="n">
        <v>196.3225</v>
      </c>
      <c r="E3420" s="5" t="n">
        <v>81.2</v>
      </c>
      <c r="F3420" s="3" t="inlineStr">
        <is>
          <t>전동면</t>
        </is>
      </c>
      <c r="G3420" s="3" t="inlineStr">
        <is>
          <t>청람리</t>
        </is>
      </c>
      <c r="H3420" s="3" t="inlineStr">
        <is>
          <t>생산관리지역</t>
        </is>
      </c>
      <c r="I3420" s="3" t="inlineStr">
        <is>
          <t>전</t>
        </is>
      </c>
      <c r="J3420" s="3" t="inlineStr">
        <is>
          <t>전동면</t>
        </is>
      </c>
    </row>
    <row r="3421">
      <c r="A3421" s="3" t="n">
        <v>2022</v>
      </c>
      <c r="B3421" s="4" t="n">
        <v>6500</v>
      </c>
      <c r="C3421" s="4" t="n">
        <v>1653</v>
      </c>
      <c r="D3421" s="4" t="n">
        <v>500.0325</v>
      </c>
      <c r="E3421" s="5" t="n">
        <v>13</v>
      </c>
      <c r="F3421" s="3" t="inlineStr">
        <is>
          <t>장군면</t>
        </is>
      </c>
      <c r="G3421" s="3" t="inlineStr">
        <is>
          <t>대교리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2022</v>
      </c>
      <c r="B3422" s="4" t="n">
        <v>10800</v>
      </c>
      <c r="C3422" s="4" t="n">
        <v>2747</v>
      </c>
      <c r="D3422" s="4" t="n">
        <v>830.9675</v>
      </c>
      <c r="E3422" s="5" t="n">
        <v>13</v>
      </c>
      <c r="F3422" s="3" t="inlineStr">
        <is>
          <t>장군면</t>
        </is>
      </c>
      <c r="G3422" s="3" t="inlineStr">
        <is>
          <t>대교리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장군면</t>
        </is>
      </c>
    </row>
    <row r="3423">
      <c r="A3423" s="3" t="n">
        <v>2022</v>
      </c>
      <c r="B3423" s="4" t="n">
        <v>70000</v>
      </c>
      <c r="C3423" s="4" t="n">
        <v>2359.4</v>
      </c>
      <c r="D3423" s="4" t="n">
        <v>713.7185000000001</v>
      </c>
      <c r="E3423" s="5" t="n">
        <v>98.09999999999999</v>
      </c>
      <c r="F3423" s="3" t="inlineStr">
        <is>
          <t>연동면</t>
        </is>
      </c>
      <c r="G3423" s="3" t="inlineStr">
        <is>
          <t>문주리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연동면</t>
        </is>
      </c>
    </row>
    <row r="3424">
      <c r="A3424" s="3" t="n">
        <v>2022</v>
      </c>
      <c r="B3424" s="4" t="n">
        <v>9700</v>
      </c>
      <c r="C3424" s="4" t="n">
        <v>493</v>
      </c>
      <c r="D3424" s="4" t="n">
        <v>149.1325</v>
      </c>
      <c r="E3424" s="5" t="n">
        <v>65</v>
      </c>
      <c r="F3424" s="3" t="inlineStr">
        <is>
          <t>전동면</t>
        </is>
      </c>
      <c r="G3424" s="3" t="inlineStr">
        <is>
          <t>청람리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전동면</t>
        </is>
      </c>
    </row>
    <row r="3425">
      <c r="A3425" s="3" t="n">
        <v>2022</v>
      </c>
      <c r="B3425" s="4" t="n">
        <v>24200</v>
      </c>
      <c r="C3425" s="4" t="n">
        <v>311</v>
      </c>
      <c r="D3425" s="4" t="n">
        <v>94.0775</v>
      </c>
      <c r="E3425" s="5" t="n">
        <v>257.2</v>
      </c>
      <c r="F3425" s="3" t="inlineStr">
        <is>
          <t>장군면</t>
        </is>
      </c>
      <c r="G3425" s="3" t="inlineStr">
        <is>
          <t>대교리</t>
        </is>
      </c>
      <c r="H3425" s="3" t="inlineStr">
        <is>
          <t>계획관리지역</t>
        </is>
      </c>
      <c r="I3425" s="3" t="inlineStr">
        <is>
          <t>전</t>
        </is>
      </c>
      <c r="J3425" s="3" t="inlineStr">
        <is>
          <t>장군면</t>
        </is>
      </c>
    </row>
    <row r="3426">
      <c r="A3426" s="3" t="n">
        <v>2022</v>
      </c>
      <c r="B3426" s="4" t="n">
        <v>5500</v>
      </c>
      <c r="C3426" s="4" t="n">
        <v>179.6</v>
      </c>
      <c r="D3426" s="4" t="n">
        <v>54.32899999999999</v>
      </c>
      <c r="E3426" s="5" t="n">
        <v>101.2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15840</v>
      </c>
      <c r="C3427" s="4" t="n">
        <v>1310</v>
      </c>
      <c r="D3427" s="4" t="n">
        <v>396.275</v>
      </c>
      <c r="E3427" s="5" t="n">
        <v>40</v>
      </c>
      <c r="F3427" s="3" t="inlineStr">
        <is>
          <t>현도면</t>
        </is>
      </c>
      <c r="G3427" s="3" t="inlineStr">
        <is>
          <t>노산리</t>
        </is>
      </c>
      <c r="H3427" s="3" t="inlineStr">
        <is>
          <t>개발제한구역</t>
        </is>
      </c>
      <c r="I3427" s="3" t="inlineStr">
        <is>
          <t>답</t>
        </is>
      </c>
      <c r="J3427" s="3" t="inlineStr">
        <is>
          <t>현도면</t>
        </is>
      </c>
    </row>
    <row r="3428">
      <c r="A3428" s="3" t="n">
        <v>2022</v>
      </c>
      <c r="B3428" s="4" t="n">
        <v>16450</v>
      </c>
      <c r="C3428" s="4" t="n">
        <v>575</v>
      </c>
      <c r="D3428" s="4" t="n">
        <v>173.9375</v>
      </c>
      <c r="E3428" s="5" t="n">
        <v>94.59999999999999</v>
      </c>
      <c r="F3428" s="3" t="inlineStr">
        <is>
          <t>남이면</t>
        </is>
      </c>
      <c r="G3428" s="3" t="inlineStr">
        <is>
          <t>갈원리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6780</v>
      </c>
      <c r="C3429" s="4" t="n">
        <v>237</v>
      </c>
      <c r="D3429" s="4" t="n">
        <v>71.6925</v>
      </c>
      <c r="E3429" s="5" t="n">
        <v>94.59999999999999</v>
      </c>
      <c r="F3429" s="3" t="inlineStr">
        <is>
          <t>남이면</t>
        </is>
      </c>
      <c r="G3429" s="3" t="inlineStr">
        <is>
          <t>갈원리</t>
        </is>
      </c>
      <c r="H3429" s="3" t="inlineStr">
        <is>
          <t>계획관리지역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13818</v>
      </c>
      <c r="C3430" s="4" t="n">
        <v>483</v>
      </c>
      <c r="D3430" s="4" t="n">
        <v>146.1075</v>
      </c>
      <c r="E3430" s="5" t="n">
        <v>94.59999999999999</v>
      </c>
      <c r="F3430" s="3" t="inlineStr">
        <is>
          <t>남이면</t>
        </is>
      </c>
      <c r="G3430" s="3" t="inlineStr">
        <is>
          <t>갈원리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6151</v>
      </c>
      <c r="C3431" s="4" t="n">
        <v>215</v>
      </c>
      <c r="D3431" s="4" t="n">
        <v>65.03749999999999</v>
      </c>
      <c r="E3431" s="5" t="n">
        <v>94.59999999999999</v>
      </c>
      <c r="F3431" s="3" t="inlineStr">
        <is>
          <t>남이면</t>
        </is>
      </c>
      <c r="G3431" s="3" t="inlineStr">
        <is>
          <t>갈원리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2022</v>
      </c>
      <c r="B3432" s="4" t="n">
        <v>12270</v>
      </c>
      <c r="C3432" s="4" t="n">
        <v>473</v>
      </c>
      <c r="D3432" s="4" t="n">
        <v>143.0825</v>
      </c>
      <c r="E3432" s="5" t="n">
        <v>85.8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2022</v>
      </c>
      <c r="B3433" s="4" t="n">
        <v>40000</v>
      </c>
      <c r="C3433" s="4" t="n">
        <v>992</v>
      </c>
      <c r="D3433" s="4" t="n">
        <v>300.08</v>
      </c>
      <c r="E3433" s="5" t="n">
        <v>133.3</v>
      </c>
      <c r="F3433" s="3" t="inlineStr">
        <is>
          <t>현도면</t>
        </is>
      </c>
      <c r="G3433" s="3" t="inlineStr">
        <is>
          <t>중삼리</t>
        </is>
      </c>
      <c r="H3433" s="3" t="inlineStr">
        <is>
          <t>계획관리지역</t>
        </is>
      </c>
      <c r="I3433" s="3" t="inlineStr">
        <is>
          <t>주차장</t>
        </is>
      </c>
      <c r="J3433" s="3" t="inlineStr">
        <is>
          <t>현도면</t>
        </is>
      </c>
    </row>
    <row r="3434">
      <c r="A3434" s="3" t="n">
        <v>2022</v>
      </c>
      <c r="B3434" s="4" t="n">
        <v>6000</v>
      </c>
      <c r="C3434" s="4" t="n">
        <v>1038</v>
      </c>
      <c r="D3434" s="4" t="n">
        <v>313.995</v>
      </c>
      <c r="E3434" s="5" t="n">
        <v>19.1</v>
      </c>
      <c r="F3434" s="3" t="inlineStr">
        <is>
          <t>현도면</t>
        </is>
      </c>
      <c r="G3434" s="3" t="inlineStr">
        <is>
          <t>시동리</t>
        </is>
      </c>
      <c r="H3434" s="3" t="inlineStr">
        <is>
          <t>개발제한구역</t>
        </is>
      </c>
      <c r="I3434" s="3" t="inlineStr">
        <is>
          <t>답</t>
        </is>
      </c>
      <c r="J3434" s="3" t="inlineStr">
        <is>
          <t>현도면</t>
        </is>
      </c>
    </row>
    <row r="3435">
      <c r="A3435" s="3" t="n">
        <v>2022</v>
      </c>
      <c r="B3435" s="4" t="n">
        <v>100</v>
      </c>
      <c r="C3435" s="4" t="n">
        <v>67</v>
      </c>
      <c r="D3435" s="4" t="n">
        <v>20.2675</v>
      </c>
      <c r="E3435" s="5" t="n">
        <v>4.9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용도미지정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2022</v>
      </c>
      <c r="B3436" s="4" t="n">
        <v>3000</v>
      </c>
      <c r="C3436" s="4" t="n">
        <v>275</v>
      </c>
      <c r="D3436" s="4" t="n">
        <v>83.1875</v>
      </c>
      <c r="E3436" s="5" t="n">
        <v>36.1</v>
      </c>
      <c r="F3436" s="3" t="inlineStr">
        <is>
          <t>남이면</t>
        </is>
      </c>
      <c r="G3436" s="3" t="inlineStr">
        <is>
          <t>양촌리</t>
        </is>
      </c>
      <c r="H3436" s="3" t="inlineStr">
        <is>
          <t>자연녹지지역</t>
        </is>
      </c>
      <c r="I3436" s="3" t="inlineStr">
        <is>
          <t>대</t>
        </is>
      </c>
      <c r="J3436" s="3" t="inlineStr">
        <is>
          <t>남이면</t>
        </is>
      </c>
    </row>
    <row r="3437">
      <c r="A3437" s="3" t="n">
        <v>2022</v>
      </c>
      <c r="B3437" s="4" t="n">
        <v>10000</v>
      </c>
      <c r="C3437" s="4" t="n">
        <v>819</v>
      </c>
      <c r="D3437" s="4" t="n">
        <v>247.7475</v>
      </c>
      <c r="E3437" s="5" t="n">
        <v>40.4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10500</v>
      </c>
      <c r="C3438" s="4" t="n">
        <v>1406</v>
      </c>
      <c r="D3438" s="4" t="n">
        <v>425.315</v>
      </c>
      <c r="E3438" s="5" t="n">
        <v>24.7</v>
      </c>
      <c r="F3438" s="3" t="inlineStr">
        <is>
          <t>현도면</t>
        </is>
      </c>
      <c r="G3438" s="3" t="inlineStr">
        <is>
          <t>중척리</t>
        </is>
      </c>
      <c r="H3438" s="3" t="inlineStr">
        <is>
          <t>개발제한구역</t>
        </is>
      </c>
      <c r="I3438" s="3" t="inlineStr">
        <is>
          <t>답</t>
        </is>
      </c>
      <c r="J3438" s="3" t="inlineStr">
        <is>
          <t>현도면</t>
        </is>
      </c>
    </row>
    <row r="3439">
      <c r="A3439" s="3" t="n">
        <v>2022</v>
      </c>
      <c r="B3439" s="4" t="n">
        <v>10500</v>
      </c>
      <c r="C3439" s="4" t="n">
        <v>1407</v>
      </c>
      <c r="D3439" s="4" t="n">
        <v>425.6175</v>
      </c>
      <c r="E3439" s="5" t="n">
        <v>24.7</v>
      </c>
      <c r="F3439" s="3" t="inlineStr">
        <is>
          <t>현도면</t>
        </is>
      </c>
      <c r="G3439" s="3" t="inlineStr">
        <is>
          <t>중척리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현도면</t>
        </is>
      </c>
    </row>
    <row r="3440">
      <c r="A3440" s="3" t="n">
        <v>2022</v>
      </c>
      <c r="B3440" s="4" t="n">
        <v>51400</v>
      </c>
      <c r="C3440" s="4" t="n">
        <v>1716</v>
      </c>
      <c r="D3440" s="4" t="n">
        <v>519.09</v>
      </c>
      <c r="E3440" s="5" t="n">
        <v>99</v>
      </c>
      <c r="F3440" s="3" t="inlineStr">
        <is>
          <t>남이면</t>
        </is>
      </c>
      <c r="G3440" s="3" t="inlineStr">
        <is>
          <t>팔봉리</t>
        </is>
      </c>
      <c r="H3440" s="3" t="inlineStr">
        <is>
          <t>자연녹지지역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2022</v>
      </c>
      <c r="B3441" s="4" t="n">
        <v>2925</v>
      </c>
      <c r="C3441" s="4" t="n">
        <v>1074</v>
      </c>
      <c r="D3441" s="4" t="n">
        <v>324.885</v>
      </c>
      <c r="E3441" s="5" t="n">
        <v>9</v>
      </c>
      <c r="F3441" s="3" t="inlineStr">
        <is>
          <t>현도면</t>
        </is>
      </c>
      <c r="G3441" s="3" t="inlineStr">
        <is>
          <t>하석리</t>
        </is>
      </c>
      <c r="H3441" s="3" t="inlineStr">
        <is>
          <t>개발제한구역</t>
        </is>
      </c>
      <c r="I3441" s="3" t="inlineStr">
        <is>
          <t>전</t>
        </is>
      </c>
      <c r="J3441" s="3" t="inlineStr">
        <is>
          <t>현도면</t>
        </is>
      </c>
    </row>
    <row r="3442">
      <c r="A3442" s="3" t="n">
        <v>2022</v>
      </c>
      <c r="B3442" s="4" t="n">
        <v>4300</v>
      </c>
      <c r="C3442" s="4" t="n">
        <v>44</v>
      </c>
      <c r="D3442" s="4" t="n">
        <v>13.31</v>
      </c>
      <c r="E3442" s="5" t="n">
        <v>323.1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2022</v>
      </c>
      <c r="B3443" s="4" t="n">
        <v>5500</v>
      </c>
      <c r="C3443" s="4" t="n">
        <v>137</v>
      </c>
      <c r="D3443" s="4" t="n">
        <v>41.4425</v>
      </c>
      <c r="E3443" s="5" t="n">
        <v>132.7</v>
      </c>
      <c r="F3443" s="3" t="inlineStr">
        <is>
          <t>남이면</t>
        </is>
      </c>
      <c r="G3443" s="3" t="inlineStr">
        <is>
          <t>양촌리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2600</v>
      </c>
      <c r="C3444" s="4" t="n">
        <v>44</v>
      </c>
      <c r="D3444" s="4" t="n">
        <v>13.31</v>
      </c>
      <c r="E3444" s="5" t="n">
        <v>195.3</v>
      </c>
      <c r="F3444" s="3" t="inlineStr">
        <is>
          <t>남이면</t>
        </is>
      </c>
      <c r="G3444" s="3" t="inlineStr">
        <is>
          <t>양촌리</t>
        </is>
      </c>
      <c r="H3444" s="3" t="inlineStr">
        <is>
          <t>자연녹지지역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2022</v>
      </c>
      <c r="B3445" s="4" t="n">
        <v>10500</v>
      </c>
      <c r="C3445" s="4" t="n">
        <v>21818</v>
      </c>
      <c r="D3445" s="4" t="n">
        <v>6599.945</v>
      </c>
      <c r="E3445" s="5" t="n">
        <v>1.6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자연환경보전</t>
        </is>
      </c>
      <c r="I3445" s="3" t="inlineStr">
        <is>
          <t>임야</t>
        </is>
      </c>
      <c r="J3445" s="3" t="inlineStr">
        <is>
          <t>남이면</t>
        </is>
      </c>
    </row>
    <row r="3446">
      <c r="A3446" s="3" t="n">
        <v>2022</v>
      </c>
      <c r="B3446" s="4" t="n">
        <v>3000</v>
      </c>
      <c r="C3446" s="4" t="n">
        <v>137</v>
      </c>
      <c r="D3446" s="4" t="n">
        <v>41.4425</v>
      </c>
      <c r="E3446" s="5" t="n">
        <v>72.40000000000001</v>
      </c>
      <c r="F3446" s="3" t="inlineStr">
        <is>
          <t>남이면</t>
        </is>
      </c>
      <c r="G3446" s="3" t="inlineStr">
        <is>
          <t>양촌리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4000</v>
      </c>
      <c r="C3447" s="4" t="n">
        <v>367</v>
      </c>
      <c r="D3447" s="4" t="n">
        <v>111.0175</v>
      </c>
      <c r="E3447" s="5" t="n">
        <v>36</v>
      </c>
      <c r="F3447" s="3" t="inlineStr">
        <is>
          <t>현도면</t>
        </is>
      </c>
      <c r="G3447" s="3" t="inlineStr">
        <is>
          <t>양지리</t>
        </is>
      </c>
      <c r="H3447" s="3" t="inlineStr">
        <is>
          <t>개발제한구역</t>
        </is>
      </c>
      <c r="I3447" s="3" t="inlineStr">
        <is>
          <t>답</t>
        </is>
      </c>
      <c r="J3447" s="3" t="inlineStr">
        <is>
          <t>현도면</t>
        </is>
      </c>
    </row>
    <row r="3448">
      <c r="A3448" s="3" t="n">
        <v>2022</v>
      </c>
      <c r="B3448" s="4" t="n">
        <v>450</v>
      </c>
      <c r="C3448" s="4" t="n">
        <v>69</v>
      </c>
      <c r="D3448" s="4" t="n">
        <v>20.8725</v>
      </c>
      <c r="E3448" s="5" t="n">
        <v>21.6</v>
      </c>
      <c r="F3448" s="3" t="inlineStr">
        <is>
          <t>현도면</t>
        </is>
      </c>
      <c r="G3448" s="3" t="inlineStr">
        <is>
          <t>양지리</t>
        </is>
      </c>
      <c r="H3448" s="3" t="inlineStr">
        <is>
          <t>개발제한구역</t>
        </is>
      </c>
      <c r="I3448" s="3" t="inlineStr">
        <is>
          <t>답</t>
        </is>
      </c>
      <c r="J3448" s="3" t="inlineStr">
        <is>
          <t>현도면</t>
        </is>
      </c>
    </row>
    <row r="3449">
      <c r="A3449" s="3" t="n">
        <v>2022</v>
      </c>
      <c r="B3449" s="4" t="n">
        <v>26000</v>
      </c>
      <c r="C3449" s="4" t="n">
        <v>1615</v>
      </c>
      <c r="D3449" s="4" t="n">
        <v>488.5375</v>
      </c>
      <c r="E3449" s="5" t="n">
        <v>53.2</v>
      </c>
      <c r="F3449" s="3" t="inlineStr">
        <is>
          <t>남이면</t>
        </is>
      </c>
      <c r="G3449" s="3" t="inlineStr">
        <is>
          <t>석실리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4530</v>
      </c>
      <c r="C3450" s="4" t="n">
        <v>1000</v>
      </c>
      <c r="D3450" s="4" t="n">
        <v>302.5</v>
      </c>
      <c r="E3450" s="5" t="n">
        <v>15</v>
      </c>
      <c r="F3450" s="3" t="inlineStr">
        <is>
          <t>남이면</t>
        </is>
      </c>
      <c r="G3450" s="3" t="inlineStr">
        <is>
          <t>문동리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2022</v>
      </c>
      <c r="B3451" s="4" t="n">
        <v>95000</v>
      </c>
      <c r="C3451" s="4" t="n">
        <v>9025</v>
      </c>
      <c r="D3451" s="4" t="n">
        <v>2730.0625</v>
      </c>
      <c r="E3451" s="5" t="n">
        <v>34.8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41600</v>
      </c>
      <c r="C3452" s="4" t="n">
        <v>2056</v>
      </c>
      <c r="D3452" s="4" t="n">
        <v>621.9399999999999</v>
      </c>
      <c r="E3452" s="5" t="n">
        <v>66.90000000000001</v>
      </c>
      <c r="F3452" s="3" t="inlineStr">
        <is>
          <t>남이면</t>
        </is>
      </c>
      <c r="G3452" s="3" t="inlineStr">
        <is>
          <t>부용외천리</t>
        </is>
      </c>
      <c r="H3452" s="3" t="inlineStr">
        <is>
          <t>계획관리지역</t>
        </is>
      </c>
      <c r="I3452" s="3" t="inlineStr">
        <is>
          <t>답</t>
        </is>
      </c>
      <c r="J3452" s="3" t="inlineStr">
        <is>
          <t>남이면</t>
        </is>
      </c>
    </row>
    <row r="3453">
      <c r="A3453" s="3" t="n">
        <v>2022</v>
      </c>
      <c r="B3453" s="4" t="n">
        <v>10595</v>
      </c>
      <c r="C3453" s="4" t="n">
        <v>538</v>
      </c>
      <c r="D3453" s="4" t="n">
        <v>162.745</v>
      </c>
      <c r="E3453" s="5" t="n">
        <v>65.09999999999999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2022</v>
      </c>
      <c r="B3454" s="4" t="n">
        <v>19000</v>
      </c>
      <c r="C3454" s="4" t="n">
        <v>3647</v>
      </c>
      <c r="D3454" s="4" t="n">
        <v>1103.2175</v>
      </c>
      <c r="E3454" s="5" t="n">
        <v>17.2</v>
      </c>
      <c r="F3454" s="3" t="inlineStr">
        <is>
          <t>현도면</t>
        </is>
      </c>
      <c r="G3454" s="3" t="inlineStr">
        <is>
          <t>중척리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현도면</t>
        </is>
      </c>
    </row>
    <row r="3455">
      <c r="A3455" s="3" t="n">
        <v>2022</v>
      </c>
      <c r="B3455" s="4" t="n">
        <v>54800</v>
      </c>
      <c r="C3455" s="4" t="n">
        <v>3554</v>
      </c>
      <c r="D3455" s="4" t="n">
        <v>1075.085</v>
      </c>
      <c r="E3455" s="5" t="n">
        <v>51</v>
      </c>
      <c r="F3455" s="3" t="inlineStr">
        <is>
          <t>남이면</t>
        </is>
      </c>
      <c r="G3455" s="3" t="inlineStr">
        <is>
          <t>상발리</t>
        </is>
      </c>
      <c r="H3455" s="3" t="inlineStr">
        <is>
          <t>자연녹지지역</t>
        </is>
      </c>
      <c r="I3455" s="3" t="inlineStr">
        <is>
          <t>답</t>
        </is>
      </c>
      <c r="J3455" s="3" t="inlineStr">
        <is>
          <t>남이면</t>
        </is>
      </c>
    </row>
    <row r="3456">
      <c r="A3456" s="3" t="n">
        <v>2022</v>
      </c>
      <c r="B3456" s="4" t="n">
        <v>3375</v>
      </c>
      <c r="C3456" s="4" t="n">
        <v>132</v>
      </c>
      <c r="D3456" s="4" t="n">
        <v>39.93</v>
      </c>
      <c r="E3456" s="5" t="n">
        <v>84.5</v>
      </c>
      <c r="F3456" s="3" t="inlineStr">
        <is>
          <t>남이면</t>
        </is>
      </c>
      <c r="G3456" s="3" t="inlineStr">
        <is>
          <t>구암리</t>
        </is>
      </c>
      <c r="H3456" s="3" t="inlineStr">
        <is>
          <t>자연녹지지역</t>
        </is>
      </c>
      <c r="I3456" s="3" t="inlineStr">
        <is>
          <t>전</t>
        </is>
      </c>
      <c r="J3456" s="3" t="inlineStr">
        <is>
          <t>남이면</t>
        </is>
      </c>
    </row>
    <row r="3457">
      <c r="A3457" s="3" t="n">
        <v>2022</v>
      </c>
      <c r="B3457" s="4" t="n">
        <v>50625</v>
      </c>
      <c r="C3457" s="4" t="n">
        <v>1980</v>
      </c>
      <c r="D3457" s="4" t="n">
        <v>598.9499999999999</v>
      </c>
      <c r="E3457" s="5" t="n">
        <v>84.5</v>
      </c>
      <c r="F3457" s="3" t="inlineStr">
        <is>
          <t>남이면</t>
        </is>
      </c>
      <c r="G3457" s="3" t="inlineStr">
        <is>
          <t>구암리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2022</v>
      </c>
      <c r="B3458" s="4" t="n">
        <v>45500</v>
      </c>
      <c r="C3458" s="4" t="n">
        <v>1203</v>
      </c>
      <c r="D3458" s="4" t="n">
        <v>363.9075</v>
      </c>
      <c r="E3458" s="5" t="n">
        <v>125</v>
      </c>
      <c r="F3458" s="3" t="inlineStr">
        <is>
          <t>남이면</t>
        </is>
      </c>
      <c r="G3458" s="3" t="inlineStr">
        <is>
          <t>가좌리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2022</v>
      </c>
      <c r="B3459" s="4" t="n">
        <v>70951</v>
      </c>
      <c r="C3459" s="4" t="n">
        <v>770</v>
      </c>
      <c r="D3459" s="4" t="n">
        <v>232.925</v>
      </c>
      <c r="E3459" s="5" t="n">
        <v>304.6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2022</v>
      </c>
      <c r="B3460" s="4" t="n">
        <v>16000</v>
      </c>
      <c r="C3460" s="4" t="n">
        <v>293</v>
      </c>
      <c r="D3460" s="4" t="n">
        <v>88.63249999999999</v>
      </c>
      <c r="E3460" s="5" t="n">
        <v>180.5</v>
      </c>
      <c r="F3460" s="3" t="inlineStr">
        <is>
          <t>남이면</t>
        </is>
      </c>
      <c r="G3460" s="3" t="inlineStr">
        <is>
          <t>척북리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2022</v>
      </c>
      <c r="B3461" s="4" t="n">
        <v>3500</v>
      </c>
      <c r="C3461" s="4" t="n">
        <v>323</v>
      </c>
      <c r="D3461" s="4" t="n">
        <v>97.7075</v>
      </c>
      <c r="E3461" s="5" t="n">
        <v>35.8</v>
      </c>
      <c r="F3461" s="3" t="inlineStr">
        <is>
          <t>남이면</t>
        </is>
      </c>
      <c r="G3461" s="3" t="inlineStr">
        <is>
          <t>척북리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2022</v>
      </c>
      <c r="B3462" s="4" t="n">
        <v>26900</v>
      </c>
      <c r="C3462" s="4" t="n">
        <v>558</v>
      </c>
      <c r="D3462" s="4" t="n">
        <v>168.795</v>
      </c>
      <c r="E3462" s="5" t="n">
        <v>159.4</v>
      </c>
      <c r="F3462" s="3" t="inlineStr">
        <is>
          <t>남이면</t>
        </is>
      </c>
      <c r="G3462" s="3" t="inlineStr">
        <is>
          <t>척북리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2022</v>
      </c>
      <c r="B3463" s="4" t="n">
        <v>2600</v>
      </c>
      <c r="C3463" s="4" t="n">
        <v>365</v>
      </c>
      <c r="D3463" s="4" t="n">
        <v>110.4125</v>
      </c>
      <c r="E3463" s="5" t="n">
        <v>23.5</v>
      </c>
      <c r="F3463" s="3" t="inlineStr">
        <is>
          <t>남이면</t>
        </is>
      </c>
      <c r="G3463" s="3" t="inlineStr">
        <is>
          <t>척북리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남이면</t>
        </is>
      </c>
    </row>
    <row r="3464">
      <c r="A3464" s="3" t="n">
        <v>2022</v>
      </c>
      <c r="B3464" s="4" t="n">
        <v>12250</v>
      </c>
      <c r="C3464" s="4" t="n">
        <v>324</v>
      </c>
      <c r="D3464" s="4" t="n">
        <v>98.00999999999999</v>
      </c>
      <c r="E3464" s="5" t="n">
        <v>125</v>
      </c>
      <c r="F3464" s="3" t="inlineStr">
        <is>
          <t>남이면</t>
        </is>
      </c>
      <c r="G3464" s="3" t="inlineStr">
        <is>
          <t>양촌리</t>
        </is>
      </c>
      <c r="H3464" s="3" t="inlineStr">
        <is>
          <t>보전녹지지역</t>
        </is>
      </c>
      <c r="I3464" s="3" t="inlineStr">
        <is>
          <t>임야</t>
        </is>
      </c>
      <c r="J3464" s="3" t="inlineStr">
        <is>
          <t>남이면</t>
        </is>
      </c>
    </row>
    <row r="3465">
      <c r="A3465" s="3" t="n">
        <v>2022</v>
      </c>
      <c r="B3465" s="4" t="n">
        <v>3375</v>
      </c>
      <c r="C3465" s="4" t="n">
        <v>132</v>
      </c>
      <c r="D3465" s="4" t="n">
        <v>39.93</v>
      </c>
      <c r="E3465" s="5" t="n">
        <v>84.5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남이면</t>
        </is>
      </c>
    </row>
    <row r="3466">
      <c r="A3466" s="3" t="n">
        <v>2022</v>
      </c>
      <c r="B3466" s="4" t="n">
        <v>50625</v>
      </c>
      <c r="C3466" s="4" t="n">
        <v>1980</v>
      </c>
      <c r="D3466" s="4" t="n">
        <v>598.9499999999999</v>
      </c>
      <c r="E3466" s="5" t="n">
        <v>84.5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2022</v>
      </c>
      <c r="B3467" s="4" t="n">
        <v>4000</v>
      </c>
      <c r="C3467" s="4" t="n">
        <v>713</v>
      </c>
      <c r="D3467" s="4" t="n">
        <v>215.6825</v>
      </c>
      <c r="E3467" s="5" t="n">
        <v>18.5</v>
      </c>
      <c r="F3467" s="3" t="inlineStr">
        <is>
          <t>현도면</t>
        </is>
      </c>
      <c r="G3467" s="3" t="inlineStr">
        <is>
          <t>양지리</t>
        </is>
      </c>
      <c r="H3467" s="3" t="inlineStr">
        <is>
          <t>개발제한구역</t>
        </is>
      </c>
      <c r="I3467" s="3" t="inlineStr">
        <is>
          <t>답</t>
        </is>
      </c>
      <c r="J3467" s="3" t="inlineStr">
        <is>
          <t>현도면</t>
        </is>
      </c>
    </row>
    <row r="3468">
      <c r="A3468" s="3" t="n">
        <v>2022</v>
      </c>
      <c r="B3468" s="4" t="n">
        <v>3672</v>
      </c>
      <c r="C3468" s="4" t="n">
        <v>918</v>
      </c>
      <c r="D3468" s="4" t="n">
        <v>277.695</v>
      </c>
      <c r="E3468" s="5" t="n">
        <v>13.2</v>
      </c>
      <c r="F3468" s="3" t="inlineStr">
        <is>
          <t>현도면</t>
        </is>
      </c>
      <c r="G3468" s="3" t="inlineStr">
        <is>
          <t>죽전리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현도면</t>
        </is>
      </c>
    </row>
    <row r="3469">
      <c r="A3469" s="3" t="n">
        <v>2022</v>
      </c>
      <c r="B3469" s="4" t="n">
        <v>40000</v>
      </c>
      <c r="C3469" s="4" t="n">
        <v>16552</v>
      </c>
      <c r="D3469" s="4" t="n">
        <v>5006.98</v>
      </c>
      <c r="E3469" s="5" t="n">
        <v>8</v>
      </c>
      <c r="F3469" s="3" t="inlineStr">
        <is>
          <t>현도면</t>
        </is>
      </c>
      <c r="G3469" s="3" t="inlineStr">
        <is>
          <t>중척리</t>
        </is>
      </c>
      <c r="H3469" s="3" t="inlineStr">
        <is>
          <t>개발제한구역</t>
        </is>
      </c>
      <c r="I3469" s="3" t="inlineStr">
        <is>
          <t>임야</t>
        </is>
      </c>
      <c r="J3469" s="3" t="inlineStr">
        <is>
          <t>현도면</t>
        </is>
      </c>
    </row>
    <row r="3470">
      <c r="A3470" s="3" t="n">
        <v>2022</v>
      </c>
      <c r="B3470" s="4" t="n">
        <v>25</v>
      </c>
      <c r="C3470" s="4" t="n">
        <v>2</v>
      </c>
      <c r="D3470" s="4" t="n">
        <v>0.605</v>
      </c>
      <c r="E3470" s="5" t="n">
        <v>41.3</v>
      </c>
      <c r="F3470" s="3" t="inlineStr">
        <is>
          <t>현도면</t>
        </is>
      </c>
      <c r="G3470" s="3" t="inlineStr">
        <is>
          <t>죽전리</t>
        </is>
      </c>
      <c r="H3470" s="3" t="inlineStr">
        <is>
          <t>계획관리지역</t>
        </is>
      </c>
      <c r="I3470" s="3" t="inlineStr">
        <is>
          <t>도로</t>
        </is>
      </c>
      <c r="J3470" s="3" t="inlineStr">
        <is>
          <t>현도면</t>
        </is>
      </c>
    </row>
    <row r="3471">
      <c r="A3471" s="3" t="n">
        <v>2022</v>
      </c>
      <c r="B3471" s="4" t="n">
        <v>114</v>
      </c>
      <c r="C3471" s="4" t="n">
        <v>83</v>
      </c>
      <c r="D3471" s="4" t="n">
        <v>25.1075</v>
      </c>
      <c r="E3471" s="5" t="n">
        <v>4.5</v>
      </c>
      <c r="F3471" s="3" t="inlineStr">
        <is>
          <t>현도면</t>
        </is>
      </c>
      <c r="G3471" s="3" t="inlineStr">
        <is>
          <t>죽전리</t>
        </is>
      </c>
      <c r="H3471" s="3" t="inlineStr">
        <is>
          <t>계획관리지역</t>
        </is>
      </c>
      <c r="I3471" s="3" t="inlineStr">
        <is>
          <t>도로</t>
        </is>
      </c>
      <c r="J3471" s="3" t="inlineStr">
        <is>
          <t>현도면</t>
        </is>
      </c>
    </row>
    <row r="3472">
      <c r="A3472" s="3" t="n">
        <v>2022</v>
      </c>
      <c r="B3472" s="4" t="n">
        <v>1491</v>
      </c>
      <c r="C3472" s="4" t="n">
        <v>109</v>
      </c>
      <c r="D3472" s="4" t="n">
        <v>32.9725</v>
      </c>
      <c r="E3472" s="5" t="n">
        <v>45.2</v>
      </c>
      <c r="F3472" s="3" t="inlineStr">
        <is>
          <t>현도면</t>
        </is>
      </c>
      <c r="G3472" s="3" t="inlineStr">
        <is>
          <t>죽전리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현도면</t>
        </is>
      </c>
    </row>
    <row r="3473">
      <c r="A3473" s="3" t="n">
        <v>2022</v>
      </c>
      <c r="B3473" s="4" t="n">
        <v>3375</v>
      </c>
      <c r="C3473" s="4" t="n">
        <v>132</v>
      </c>
      <c r="D3473" s="4" t="n">
        <v>39.93</v>
      </c>
      <c r="E3473" s="5" t="n">
        <v>84.5</v>
      </c>
      <c r="F3473" s="3" t="inlineStr">
        <is>
          <t>남이면</t>
        </is>
      </c>
      <c r="G3473" s="3" t="inlineStr">
        <is>
          <t>구암리</t>
        </is>
      </c>
      <c r="H3473" s="3" t="inlineStr">
        <is>
          <t>자연녹지지역</t>
        </is>
      </c>
      <c r="I3473" s="3" t="inlineStr">
        <is>
          <t>전</t>
        </is>
      </c>
      <c r="J3473" s="3" t="inlineStr">
        <is>
          <t>남이면</t>
        </is>
      </c>
    </row>
    <row r="3474">
      <c r="A3474" s="3" t="n">
        <v>2022</v>
      </c>
      <c r="B3474" s="4" t="n">
        <v>50625</v>
      </c>
      <c r="C3474" s="4" t="n">
        <v>1980</v>
      </c>
      <c r="D3474" s="4" t="n">
        <v>598.9499999999999</v>
      </c>
      <c r="E3474" s="5" t="n">
        <v>84.5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전</t>
        </is>
      </c>
      <c r="J3474" s="3" t="inlineStr">
        <is>
          <t>남이면</t>
        </is>
      </c>
    </row>
    <row r="3475">
      <c r="A3475" s="3" t="n">
        <v>2022</v>
      </c>
      <c r="B3475" s="4" t="n">
        <v>3000</v>
      </c>
      <c r="C3475" s="4" t="n">
        <v>209</v>
      </c>
      <c r="D3475" s="4" t="n">
        <v>63.2225</v>
      </c>
      <c r="E3475" s="5" t="n">
        <v>47.5</v>
      </c>
      <c r="F3475" s="3" t="inlineStr">
        <is>
          <t>현도면</t>
        </is>
      </c>
      <c r="G3475" s="3" t="inlineStr">
        <is>
          <t>중삼리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현도면</t>
        </is>
      </c>
    </row>
    <row r="3476">
      <c r="A3476" s="3" t="n">
        <v>2022</v>
      </c>
      <c r="B3476" s="4" t="n">
        <v>3702</v>
      </c>
      <c r="C3476" s="4" t="n">
        <v>387</v>
      </c>
      <c r="D3476" s="4" t="n">
        <v>117.0675</v>
      </c>
      <c r="E3476" s="5" t="n">
        <v>31.6</v>
      </c>
      <c r="F3476" s="3" t="inlineStr">
        <is>
          <t>현도면</t>
        </is>
      </c>
      <c r="G3476" s="3" t="inlineStr">
        <is>
          <t>중삼리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현도면</t>
        </is>
      </c>
    </row>
    <row r="3477">
      <c r="A3477" s="3" t="n">
        <v>2022</v>
      </c>
      <c r="B3477" s="4" t="n">
        <v>3702</v>
      </c>
      <c r="C3477" s="4" t="n">
        <v>387</v>
      </c>
      <c r="D3477" s="4" t="n">
        <v>117.0675</v>
      </c>
      <c r="E3477" s="5" t="n">
        <v>31.6</v>
      </c>
      <c r="F3477" s="3" t="inlineStr">
        <is>
          <t>현도면</t>
        </is>
      </c>
      <c r="G3477" s="3" t="inlineStr">
        <is>
          <t>중삼리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현도면</t>
        </is>
      </c>
    </row>
    <row r="3478">
      <c r="A3478" s="3" t="n">
        <v>2022</v>
      </c>
      <c r="B3478" s="4" t="n">
        <v>4075</v>
      </c>
      <c r="C3478" s="4" t="n">
        <v>426</v>
      </c>
      <c r="D3478" s="4" t="n">
        <v>128.865</v>
      </c>
      <c r="E3478" s="5" t="n">
        <v>31.6</v>
      </c>
      <c r="F3478" s="3" t="inlineStr">
        <is>
          <t>현도면</t>
        </is>
      </c>
      <c r="G3478" s="3" t="inlineStr">
        <is>
          <t>중삼리</t>
        </is>
      </c>
      <c r="H3478" s="3" t="inlineStr">
        <is>
          <t>계획관리지역</t>
        </is>
      </c>
      <c r="I3478" s="3" t="inlineStr">
        <is>
          <t>전</t>
        </is>
      </c>
      <c r="J3478" s="3" t="inlineStr">
        <is>
          <t>현도면</t>
        </is>
      </c>
    </row>
    <row r="3479">
      <c r="A3479" s="3" t="n">
        <v>2026</v>
      </c>
      <c r="B3479" s="4" t="n">
        <v>18000</v>
      </c>
      <c r="C3479" s="4" t="n">
        <v>1076</v>
      </c>
      <c r="D3479" s="4" t="n">
        <v>325.49</v>
      </c>
      <c r="E3479" s="5" t="n">
        <v>55.3</v>
      </c>
      <c r="F3479" s="3" t="inlineStr">
        <is>
          <t>오송읍</t>
        </is>
      </c>
      <c r="G3479" s="3" t="inlineStr">
        <is>
          <t>연제리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오송읍</t>
        </is>
      </c>
    </row>
    <row r="3480">
      <c r="A3480" s="3" t="n">
        <v>2026</v>
      </c>
      <c r="B3480" s="4" t="n">
        <v>43000</v>
      </c>
      <c r="C3480" s="4" t="n">
        <v>505</v>
      </c>
      <c r="D3480" s="4" t="n">
        <v>152.7625</v>
      </c>
      <c r="E3480" s="5" t="n">
        <v>281.5</v>
      </c>
      <c r="F3480" s="3" t="inlineStr">
        <is>
          <t>강내면</t>
        </is>
      </c>
      <c r="G3480" s="3" t="inlineStr">
        <is>
          <t>탑연리</t>
        </is>
      </c>
      <c r="H3480" s="3" t="inlineStr">
        <is>
          <t>제2종일반주거지역</t>
        </is>
      </c>
      <c r="I3480" s="3" t="inlineStr">
        <is>
          <t>전</t>
        </is>
      </c>
      <c r="J3480" s="3" t="inlineStr">
        <is>
          <t>강내면</t>
        </is>
      </c>
    </row>
    <row r="3481">
      <c r="A3481" s="3" t="n">
        <v>2022</v>
      </c>
      <c r="B3481" s="4" t="n">
        <v>72900</v>
      </c>
      <c r="C3481" s="4" t="n">
        <v>2411</v>
      </c>
      <c r="D3481" s="4" t="n">
        <v>729.3275</v>
      </c>
      <c r="E3481" s="5" t="n">
        <v>100</v>
      </c>
      <c r="F3481" s="3" t="inlineStr">
        <is>
          <t>오송읍</t>
        </is>
      </c>
      <c r="G3481" s="3" t="inlineStr">
        <is>
          <t>공북리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오송읍</t>
        </is>
      </c>
    </row>
    <row r="3482">
      <c r="A3482" s="3" t="n">
        <v>2022</v>
      </c>
      <c r="B3482" s="4" t="n">
        <v>30000</v>
      </c>
      <c r="C3482" s="4" t="n">
        <v>235.1</v>
      </c>
      <c r="D3482" s="4" t="n">
        <v>71.11775</v>
      </c>
      <c r="E3482" s="5" t="n">
        <v>421.8</v>
      </c>
      <c r="F3482" s="3" t="inlineStr">
        <is>
          <t>오송읍</t>
        </is>
      </c>
      <c r="G3482" s="3" t="inlineStr">
        <is>
          <t>봉산리</t>
        </is>
      </c>
      <c r="H3482" s="3" t="inlineStr">
        <is>
          <t>제1종일반주거지역</t>
        </is>
      </c>
      <c r="I3482" s="3" t="inlineStr">
        <is>
          <t>대</t>
        </is>
      </c>
      <c r="J3482" s="3" t="inlineStr">
        <is>
          <t>오송읍</t>
        </is>
      </c>
    </row>
    <row r="3483">
      <c r="A3483" s="3" t="n">
        <v>2022</v>
      </c>
      <c r="B3483" s="4" t="n">
        <v>23730</v>
      </c>
      <c r="C3483" s="4" t="n">
        <v>499.4</v>
      </c>
      <c r="D3483" s="4" t="n">
        <v>151.0685</v>
      </c>
      <c r="E3483" s="5" t="n">
        <v>157.1</v>
      </c>
      <c r="F3483" s="3" t="inlineStr">
        <is>
          <t>강내면</t>
        </is>
      </c>
      <c r="G3483" s="3" t="inlineStr">
        <is>
          <t>사곡리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2022</v>
      </c>
      <c r="B3484" s="4" t="n">
        <v>20800</v>
      </c>
      <c r="C3484" s="4" t="n">
        <v>532.5</v>
      </c>
      <c r="D3484" s="4" t="n">
        <v>161.08125</v>
      </c>
      <c r="E3484" s="5" t="n">
        <v>129.1</v>
      </c>
      <c r="F3484" s="3" t="inlineStr">
        <is>
          <t>강내면</t>
        </is>
      </c>
      <c r="G3484" s="3" t="inlineStr">
        <is>
          <t>사곡리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2022</v>
      </c>
      <c r="B3485" s="4" t="n">
        <v>22035</v>
      </c>
      <c r="C3485" s="4" t="n">
        <v>485.5</v>
      </c>
      <c r="D3485" s="4" t="n">
        <v>146.86375</v>
      </c>
      <c r="E3485" s="5" t="n">
        <v>150</v>
      </c>
      <c r="F3485" s="3" t="inlineStr">
        <is>
          <t>강내면</t>
        </is>
      </c>
      <c r="G3485" s="3" t="inlineStr">
        <is>
          <t>사곡리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2022</v>
      </c>
      <c r="B3486" s="4" t="n">
        <v>44600</v>
      </c>
      <c r="C3486" s="4" t="n">
        <v>2948</v>
      </c>
      <c r="D3486" s="4" t="n">
        <v>891.77</v>
      </c>
      <c r="E3486" s="5" t="n">
        <v>50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농림지역</t>
        </is>
      </c>
      <c r="I3486" s="3" t="inlineStr">
        <is>
          <t>답</t>
        </is>
      </c>
      <c r="J3486" s="3" t="inlineStr">
        <is>
          <t>강내면</t>
        </is>
      </c>
    </row>
    <row r="3487">
      <c r="A3487" s="3" t="n">
        <v>2022</v>
      </c>
      <c r="B3487" s="4" t="n">
        <v>3750</v>
      </c>
      <c r="C3487" s="4" t="n">
        <v>826</v>
      </c>
      <c r="D3487" s="4" t="n">
        <v>249.865</v>
      </c>
      <c r="E3487" s="5" t="n">
        <v>15</v>
      </c>
      <c r="F3487" s="3" t="inlineStr">
        <is>
          <t>강내면</t>
        </is>
      </c>
      <c r="G3487" s="3" t="inlineStr">
        <is>
          <t>사인리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74400</v>
      </c>
      <c r="C3488" s="4" t="n">
        <v>3967</v>
      </c>
      <c r="D3488" s="4" t="n">
        <v>1200.0175</v>
      </c>
      <c r="E3488" s="5" t="n">
        <v>62</v>
      </c>
      <c r="F3488" s="3" t="inlineStr">
        <is>
          <t>오송읍</t>
        </is>
      </c>
      <c r="G3488" s="3" t="inlineStr">
        <is>
          <t>궁평리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오송읍</t>
        </is>
      </c>
    </row>
    <row r="3489">
      <c r="A3489" s="3" t="n">
        <v>2022</v>
      </c>
      <c r="B3489" s="4" t="n">
        <v>4582</v>
      </c>
      <c r="C3489" s="4" t="n">
        <v>252</v>
      </c>
      <c r="D3489" s="4" t="n">
        <v>76.23</v>
      </c>
      <c r="E3489" s="5" t="n">
        <v>60.1</v>
      </c>
      <c r="F3489" s="3" t="inlineStr">
        <is>
          <t>강내면</t>
        </is>
      </c>
      <c r="G3489" s="3" t="inlineStr">
        <is>
          <t>사인리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강내면</t>
        </is>
      </c>
    </row>
    <row r="3490">
      <c r="A3490" s="3" t="n">
        <v>2022</v>
      </c>
      <c r="B3490" s="4" t="n">
        <v>1500</v>
      </c>
      <c r="C3490" s="4" t="n">
        <v>257</v>
      </c>
      <c r="D3490" s="4" t="n">
        <v>77.74249999999999</v>
      </c>
      <c r="E3490" s="5" t="n">
        <v>19.3</v>
      </c>
      <c r="F3490" s="3" t="inlineStr">
        <is>
          <t>강내면</t>
        </is>
      </c>
      <c r="G3490" s="3" t="inlineStr">
        <is>
          <t>사인리</t>
        </is>
      </c>
      <c r="H3490" s="3" t="inlineStr">
        <is>
          <t>자연녹지지역</t>
        </is>
      </c>
      <c r="I3490" s="3" t="inlineStr">
        <is>
          <t>임야</t>
        </is>
      </c>
      <c r="J3490" s="3" t="inlineStr">
        <is>
          <t>강내면</t>
        </is>
      </c>
    </row>
    <row r="3491">
      <c r="A3491" s="3" t="n">
        <v>2022</v>
      </c>
      <c r="B3491" s="4" t="n">
        <v>35000</v>
      </c>
      <c r="C3491" s="4" t="n">
        <v>1735</v>
      </c>
      <c r="D3491" s="4" t="n">
        <v>524.8375</v>
      </c>
      <c r="E3491" s="5" t="n">
        <v>66.7</v>
      </c>
      <c r="F3491" s="3" t="inlineStr">
        <is>
          <t>강내면</t>
        </is>
      </c>
      <c r="G3491" s="3" t="inlineStr">
        <is>
          <t>저산리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강내면</t>
        </is>
      </c>
    </row>
    <row r="3492">
      <c r="A3492" s="3" t="n">
        <v>2022</v>
      </c>
      <c r="B3492" s="4" t="n">
        <v>12360</v>
      </c>
      <c r="C3492" s="4" t="n">
        <v>341</v>
      </c>
      <c r="D3492" s="4" t="n">
        <v>103.1525</v>
      </c>
      <c r="E3492" s="5" t="n">
        <v>119.8</v>
      </c>
      <c r="F3492" s="3" t="inlineStr">
        <is>
          <t>강내면</t>
        </is>
      </c>
      <c r="G3492" s="3" t="inlineStr">
        <is>
          <t>황탄리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102000</v>
      </c>
      <c r="C3493" s="4" t="n">
        <v>3967</v>
      </c>
      <c r="D3493" s="4" t="n">
        <v>1200.0175</v>
      </c>
      <c r="E3493" s="5" t="n">
        <v>85</v>
      </c>
      <c r="F3493" s="3" t="inlineStr">
        <is>
          <t>오송읍</t>
        </is>
      </c>
      <c r="G3493" s="3" t="inlineStr">
        <is>
          <t>궁평리</t>
        </is>
      </c>
      <c r="H3493" s="3" t="inlineStr">
        <is>
          <t>농림지역</t>
        </is>
      </c>
      <c r="I3493" s="3" t="inlineStr">
        <is>
          <t>전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241</v>
      </c>
      <c r="D3494" s="4" t="n">
        <v>72.9025</v>
      </c>
      <c r="E3494" s="5" t="n">
        <v>411.5</v>
      </c>
      <c r="F3494" s="3" t="inlineStr">
        <is>
          <t>오송읍</t>
        </is>
      </c>
      <c r="G3494" s="3" t="inlineStr">
        <is>
          <t>봉산리</t>
        </is>
      </c>
      <c r="H3494" s="3" t="inlineStr">
        <is>
          <t>제1종일반주거지역</t>
        </is>
      </c>
      <c r="I3494" s="3" t="inlineStr">
        <is>
          <t>대</t>
        </is>
      </c>
      <c r="J3494" s="3" t="inlineStr">
        <is>
          <t>오송읍</t>
        </is>
      </c>
    </row>
    <row r="3495">
      <c r="A3495" s="3" t="n">
        <v>2022</v>
      </c>
      <c r="B3495" s="4" t="n">
        <v>40200</v>
      </c>
      <c r="C3495" s="4" t="n">
        <v>1745</v>
      </c>
      <c r="D3495" s="4" t="n">
        <v>527.8625</v>
      </c>
      <c r="E3495" s="5" t="n">
        <v>76.2</v>
      </c>
      <c r="F3495" s="3" t="inlineStr">
        <is>
          <t>오송읍</t>
        </is>
      </c>
      <c r="G3495" s="3" t="inlineStr">
        <is>
          <t>정중리</t>
        </is>
      </c>
      <c r="H3495" s="3" t="inlineStr">
        <is>
          <t>생산관리지역</t>
        </is>
      </c>
      <c r="I3495" s="3" t="inlineStr">
        <is>
          <t>과수원</t>
        </is>
      </c>
      <c r="J3495" s="3" t="inlineStr">
        <is>
          <t>오송읍</t>
        </is>
      </c>
    </row>
    <row r="3496">
      <c r="A3496" s="3" t="n">
        <v>2022</v>
      </c>
      <c r="B3496" s="4" t="n">
        <v>12900</v>
      </c>
      <c r="C3496" s="4" t="n">
        <v>600</v>
      </c>
      <c r="D3496" s="4" t="n">
        <v>181.5</v>
      </c>
      <c r="E3496" s="5" t="n">
        <v>71.09999999999999</v>
      </c>
      <c r="F3496" s="3" t="inlineStr">
        <is>
          <t>전동면</t>
        </is>
      </c>
      <c r="G3496" s="3" t="inlineStr">
        <is>
          <t>송곡리</t>
        </is>
      </c>
      <c r="H3496" s="3" t="inlineStr">
        <is>
          <t>보전관리지역</t>
        </is>
      </c>
      <c r="I3496" s="3" t="inlineStr">
        <is>
          <t>임야</t>
        </is>
      </c>
      <c r="J3496" s="3" t="inlineStr">
        <is>
          <t>전동면</t>
        </is>
      </c>
    </row>
    <row r="3497">
      <c r="A3497" s="3" t="n">
        <v>2024</v>
      </c>
      <c r="B3497" s="4" t="n">
        <v>12050</v>
      </c>
      <c r="C3497" s="4" t="n">
        <v>299</v>
      </c>
      <c r="D3497" s="4" t="n">
        <v>90.44749999999999</v>
      </c>
      <c r="E3497" s="5" t="n">
        <v>133.2</v>
      </c>
      <c r="F3497" s="3" t="inlineStr">
        <is>
          <t>전동면</t>
        </is>
      </c>
      <c r="G3497" s="3" t="inlineStr">
        <is>
          <t>송성리</t>
        </is>
      </c>
      <c r="H3497" s="3" t="inlineStr">
        <is>
          <t>계획관리지역</t>
        </is>
      </c>
      <c r="I3497" s="3" t="inlineStr">
        <is>
          <t>공장용지</t>
        </is>
      </c>
      <c r="J3497" s="3" t="inlineStr">
        <is>
          <t>전동면</t>
        </is>
      </c>
    </row>
    <row r="3498">
      <c r="A3498" s="3" t="n">
        <v>2024</v>
      </c>
      <c r="B3498" s="4" t="n">
        <v>64136</v>
      </c>
      <c r="C3498" s="4" t="n">
        <v>1926</v>
      </c>
      <c r="D3498" s="4" t="n">
        <v>582.615</v>
      </c>
      <c r="E3498" s="5" t="n">
        <v>110.1</v>
      </c>
      <c r="F3498" s="3" t="inlineStr">
        <is>
          <t>전동면</t>
        </is>
      </c>
      <c r="G3498" s="3" t="inlineStr">
        <is>
          <t>송성리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전동면</t>
        </is>
      </c>
    </row>
    <row r="3499">
      <c r="A3499" s="3" t="n">
        <v>2024</v>
      </c>
      <c r="B3499" s="4" t="n">
        <v>42230</v>
      </c>
      <c r="C3499" s="4" t="n">
        <v>660</v>
      </c>
      <c r="D3499" s="4" t="n">
        <v>199.65</v>
      </c>
      <c r="E3499" s="5" t="n">
        <v>211.5</v>
      </c>
      <c r="F3499" s="3" t="inlineStr">
        <is>
          <t>연기면</t>
        </is>
      </c>
      <c r="G3499" s="3" t="inlineStr">
        <is>
          <t>눌왕리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연기면</t>
        </is>
      </c>
    </row>
    <row r="3500">
      <c r="A3500" s="3" t="n">
        <v>2024</v>
      </c>
      <c r="B3500" s="4" t="n">
        <v>5670</v>
      </c>
      <c r="C3500" s="4" t="n">
        <v>90</v>
      </c>
      <c r="D3500" s="4" t="n">
        <v>27.225</v>
      </c>
      <c r="E3500" s="5" t="n">
        <v>208.3</v>
      </c>
      <c r="F3500" s="3" t="inlineStr">
        <is>
          <t>연기면</t>
        </is>
      </c>
      <c r="G3500" s="3" t="inlineStr">
        <is>
          <t>눌왕리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연기면</t>
        </is>
      </c>
    </row>
    <row r="3501">
      <c r="A3501" s="3" t="n">
        <v>2024</v>
      </c>
      <c r="B3501" s="4" t="n">
        <v>31000</v>
      </c>
      <c r="C3501" s="4" t="n">
        <v>168</v>
      </c>
      <c r="D3501" s="4" t="n">
        <v>50.82</v>
      </c>
      <c r="E3501" s="5" t="n">
        <v>610</v>
      </c>
      <c r="F3501" s="3" t="inlineStr">
        <is>
          <t>반곡동</t>
        </is>
      </c>
      <c r="G3501" s="3" t="inlineStr"/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반곡동</t>
        </is>
      </c>
    </row>
    <row r="3502">
      <c r="A3502" s="3" t="n">
        <v>2024</v>
      </c>
      <c r="B3502" s="4" t="n">
        <v>3200</v>
      </c>
      <c r="C3502" s="4" t="n">
        <v>509</v>
      </c>
      <c r="D3502" s="4" t="n">
        <v>153.9725</v>
      </c>
      <c r="E3502" s="5" t="n">
        <v>20.8</v>
      </c>
      <c r="F3502" s="3" t="inlineStr">
        <is>
          <t>부강면</t>
        </is>
      </c>
      <c r="G3502" s="3" t="inlineStr">
        <is>
          <t>노호리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부강면</t>
        </is>
      </c>
    </row>
    <row r="3503">
      <c r="A3503" s="3" t="n">
        <v>2024</v>
      </c>
      <c r="B3503" s="4" t="n">
        <v>7300</v>
      </c>
      <c r="C3503" s="4" t="n">
        <v>1193</v>
      </c>
      <c r="D3503" s="4" t="n">
        <v>360.8825</v>
      </c>
      <c r="E3503" s="5" t="n">
        <v>20.2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부강면</t>
        </is>
      </c>
    </row>
    <row r="3504">
      <c r="A3504" s="3" t="n">
        <v>2024</v>
      </c>
      <c r="B3504" s="4" t="n">
        <v>81000</v>
      </c>
      <c r="C3504" s="4" t="n">
        <v>599</v>
      </c>
      <c r="D3504" s="4" t="n">
        <v>181.1975</v>
      </c>
      <c r="E3504" s="5" t="n">
        <v>447</v>
      </c>
      <c r="F3504" s="3" t="inlineStr">
        <is>
          <t>장군면</t>
        </is>
      </c>
      <c r="G3504" s="3" t="inlineStr">
        <is>
          <t>대교리</t>
        </is>
      </c>
      <c r="H3504" s="3" t="inlineStr">
        <is>
          <t>계획관리지역</t>
        </is>
      </c>
      <c r="I3504" s="3" t="inlineStr">
        <is>
          <t>대</t>
        </is>
      </c>
      <c r="J3504" s="3" t="inlineStr">
        <is>
          <t>장군면</t>
        </is>
      </c>
    </row>
    <row r="3505">
      <c r="A3505" s="3" t="n">
        <v>2024</v>
      </c>
      <c r="B3505" s="4" t="n">
        <v>11000</v>
      </c>
      <c r="C3505" s="4" t="n">
        <v>72</v>
      </c>
      <c r="D3505" s="4" t="n">
        <v>21.78</v>
      </c>
      <c r="E3505" s="5" t="n">
        <v>505.1</v>
      </c>
      <c r="F3505" s="3" t="inlineStr">
        <is>
          <t>장군면</t>
        </is>
      </c>
      <c r="G3505" s="3" t="inlineStr">
        <is>
          <t>대교리</t>
        </is>
      </c>
      <c r="H3505" s="3" t="inlineStr">
        <is>
          <t>계획관리지역</t>
        </is>
      </c>
      <c r="I3505" s="3" t="inlineStr">
        <is>
          <t>대</t>
        </is>
      </c>
      <c r="J3505" s="3" t="inlineStr">
        <is>
          <t>장군면</t>
        </is>
      </c>
    </row>
    <row r="3506">
      <c r="A3506" s="3" t="n">
        <v>2024</v>
      </c>
      <c r="B3506" s="4" t="n">
        <v>21500</v>
      </c>
      <c r="C3506" s="4" t="n">
        <v>1279</v>
      </c>
      <c r="D3506" s="4" t="n">
        <v>386.8975</v>
      </c>
      <c r="E3506" s="5" t="n">
        <v>55.6</v>
      </c>
      <c r="F3506" s="3" t="inlineStr">
        <is>
          <t>연서면</t>
        </is>
      </c>
      <c r="G3506" s="3" t="inlineStr">
        <is>
          <t>청라리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2024</v>
      </c>
      <c r="B3507" s="4" t="n">
        <v>66000</v>
      </c>
      <c r="C3507" s="4" t="n">
        <v>2179</v>
      </c>
      <c r="D3507" s="4" t="n">
        <v>659.1475</v>
      </c>
      <c r="E3507" s="5" t="n">
        <v>100.1</v>
      </c>
      <c r="F3507" s="3" t="inlineStr">
        <is>
          <t>장군면</t>
        </is>
      </c>
      <c r="G3507" s="3" t="inlineStr">
        <is>
          <t>대교리</t>
        </is>
      </c>
      <c r="H3507" s="3" t="inlineStr">
        <is>
          <t>생산관리지역</t>
        </is>
      </c>
      <c r="I3507" s="3" t="inlineStr">
        <is>
          <t>답</t>
        </is>
      </c>
      <c r="J3507" s="3" t="inlineStr">
        <is>
          <t>장군면</t>
        </is>
      </c>
    </row>
    <row r="3508">
      <c r="A3508" s="3" t="n">
        <v>2024</v>
      </c>
      <c r="B3508" s="4" t="n">
        <v>201000</v>
      </c>
      <c r="C3508" s="4" t="n">
        <v>1565</v>
      </c>
      <c r="D3508" s="4" t="n">
        <v>473.4125</v>
      </c>
      <c r="E3508" s="5" t="n">
        <v>424.6</v>
      </c>
      <c r="F3508" s="3" t="inlineStr">
        <is>
          <t>장군면</t>
        </is>
      </c>
      <c r="G3508" s="3" t="inlineStr">
        <is>
          <t>대교리</t>
        </is>
      </c>
      <c r="H3508" s="3" t="inlineStr">
        <is>
          <t>계획관리지역</t>
        </is>
      </c>
      <c r="I3508" s="3" t="inlineStr">
        <is>
          <t>전</t>
        </is>
      </c>
      <c r="J3508" s="3" t="inlineStr">
        <is>
          <t>장군면</t>
        </is>
      </c>
    </row>
    <row r="3509">
      <c r="A3509" s="3" t="n">
        <v>2023</v>
      </c>
      <c r="B3509" s="4" t="n">
        <v>7800</v>
      </c>
      <c r="C3509" s="4" t="n">
        <v>116</v>
      </c>
      <c r="D3509" s="4" t="n">
        <v>35.09</v>
      </c>
      <c r="E3509" s="5" t="n">
        <v>222.3</v>
      </c>
      <c r="F3509" s="3" t="inlineStr">
        <is>
          <t>연동면</t>
        </is>
      </c>
      <c r="G3509" s="3" t="inlineStr">
        <is>
          <t>내판리</t>
        </is>
      </c>
      <c r="H3509" s="3" t="inlineStr">
        <is>
          <t>계획관리지역</t>
        </is>
      </c>
      <c r="I3509" s="3" t="inlineStr">
        <is>
          <t>대</t>
        </is>
      </c>
      <c r="J3509" s="3" t="inlineStr">
        <is>
          <t>연동면</t>
        </is>
      </c>
    </row>
    <row r="3510">
      <c r="A3510" s="3" t="n">
        <v>2023</v>
      </c>
      <c r="B3510" s="4" t="n">
        <v>33451</v>
      </c>
      <c r="C3510" s="4" t="n">
        <v>584</v>
      </c>
      <c r="D3510" s="4" t="n">
        <v>176.66</v>
      </c>
      <c r="E3510" s="5" t="n">
        <v>189.4</v>
      </c>
      <c r="F3510" s="3" t="inlineStr">
        <is>
          <t>장군면</t>
        </is>
      </c>
      <c r="G3510" s="3" t="inlineStr">
        <is>
          <t>대교리</t>
        </is>
      </c>
      <c r="H3510" s="3" t="inlineStr">
        <is>
          <t>보전관리지역</t>
        </is>
      </c>
      <c r="I3510" s="3" t="inlineStr">
        <is>
          <t>대</t>
        </is>
      </c>
      <c r="J3510" s="3" t="inlineStr">
        <is>
          <t>장군면</t>
        </is>
      </c>
    </row>
    <row r="3511">
      <c r="A3511" s="3" t="n">
        <v>2023</v>
      </c>
      <c r="B3511" s="4" t="n">
        <v>2703</v>
      </c>
      <c r="C3511" s="4" t="n">
        <v>99</v>
      </c>
      <c r="D3511" s="4" t="n">
        <v>29.9475</v>
      </c>
      <c r="E3511" s="5" t="n">
        <v>90.3</v>
      </c>
      <c r="F3511" s="3" t="inlineStr">
        <is>
          <t>연서면</t>
        </is>
      </c>
      <c r="G3511" s="3" t="inlineStr">
        <is>
          <t>용암리</t>
        </is>
      </c>
      <c r="H3511" s="3" t="inlineStr">
        <is>
          <t>농림지역</t>
        </is>
      </c>
      <c r="I3511" s="3" t="inlineStr">
        <is>
          <t>전</t>
        </is>
      </c>
      <c r="J3511" s="3" t="inlineStr">
        <is>
          <t>연서면</t>
        </is>
      </c>
    </row>
    <row r="3512">
      <c r="A3512" s="3" t="n">
        <v>2023</v>
      </c>
      <c r="B3512" s="4" t="n">
        <v>55000</v>
      </c>
      <c r="C3512" s="4" t="n">
        <v>258.5</v>
      </c>
      <c r="D3512" s="4" t="n">
        <v>78.19624999999999</v>
      </c>
      <c r="E3512" s="5" t="n">
        <v>703.4</v>
      </c>
      <c r="F3512" s="3" t="inlineStr">
        <is>
          <t>한솔동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한솔동</t>
        </is>
      </c>
    </row>
    <row r="3513">
      <c r="A3513" s="3" t="n">
        <v>2023</v>
      </c>
      <c r="B3513" s="4" t="n">
        <v>18797</v>
      </c>
      <c r="C3513" s="4" t="n">
        <v>355</v>
      </c>
      <c r="D3513" s="4" t="n">
        <v>107.3875</v>
      </c>
      <c r="E3513" s="5" t="n">
        <v>175</v>
      </c>
      <c r="F3513" s="3" t="inlineStr">
        <is>
          <t>금남면</t>
        </is>
      </c>
      <c r="G3513" s="3" t="inlineStr">
        <is>
          <t>발산리</t>
        </is>
      </c>
      <c r="H3513" s="3" t="inlineStr">
        <is>
          <t>생산관리지역</t>
        </is>
      </c>
      <c r="I3513" s="3" t="inlineStr">
        <is>
          <t>답</t>
        </is>
      </c>
      <c r="J3513" s="3" t="inlineStr">
        <is>
          <t>금남면</t>
        </is>
      </c>
    </row>
    <row r="3514">
      <c r="A3514" s="3" t="n">
        <v>2023</v>
      </c>
      <c r="B3514" s="4" t="n">
        <v>37804</v>
      </c>
      <c r="C3514" s="4" t="n">
        <v>660</v>
      </c>
      <c r="D3514" s="4" t="n">
        <v>199.65</v>
      </c>
      <c r="E3514" s="5" t="n">
        <v>189.4</v>
      </c>
      <c r="F3514" s="3" t="inlineStr">
        <is>
          <t>장군면</t>
        </is>
      </c>
      <c r="G3514" s="3" t="inlineStr">
        <is>
          <t>대교리</t>
        </is>
      </c>
      <c r="H3514" s="3" t="inlineStr">
        <is>
          <t>보전관리지역</t>
        </is>
      </c>
      <c r="I3514" s="3" t="inlineStr">
        <is>
          <t>대</t>
        </is>
      </c>
      <c r="J3514" s="3" t="inlineStr">
        <is>
          <t>장군면</t>
        </is>
      </c>
    </row>
    <row r="3515">
      <c r="A3515" s="3" t="n">
        <v>2023</v>
      </c>
      <c r="B3515" s="4" t="n">
        <v>14000</v>
      </c>
      <c r="C3515" s="4" t="n">
        <v>48</v>
      </c>
      <c r="D3515" s="4" t="n">
        <v>14.52</v>
      </c>
      <c r="E3515" s="5" t="n">
        <v>964.2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2023</v>
      </c>
      <c r="B3516" s="4" t="n">
        <v>58000</v>
      </c>
      <c r="C3516" s="4" t="n">
        <v>1798</v>
      </c>
      <c r="D3516" s="4" t="n">
        <v>543.895</v>
      </c>
      <c r="E3516" s="5" t="n">
        <v>106.6</v>
      </c>
      <c r="F3516" s="3" t="inlineStr">
        <is>
          <t>전의면</t>
        </is>
      </c>
      <c r="G3516" s="3" t="inlineStr">
        <is>
          <t>관정리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전의면</t>
        </is>
      </c>
    </row>
    <row r="3517">
      <c r="A3517" s="3" t="n">
        <v>2026</v>
      </c>
      <c r="B3517" s="4" t="n">
        <v>1000</v>
      </c>
      <c r="C3517" s="4" t="n">
        <v>67</v>
      </c>
      <c r="D3517" s="4" t="n">
        <v>20.2675</v>
      </c>
      <c r="E3517" s="5" t="n">
        <v>49.3</v>
      </c>
      <c r="F3517" s="3" t="inlineStr">
        <is>
          <t>남이면</t>
        </is>
      </c>
      <c r="G3517" s="3" t="inlineStr">
        <is>
          <t>외천리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2026</v>
      </c>
      <c r="B3518" s="4" t="n">
        <v>1000</v>
      </c>
      <c r="C3518" s="4" t="n">
        <v>67</v>
      </c>
      <c r="D3518" s="4" t="n">
        <v>20.2675</v>
      </c>
      <c r="E3518" s="5" t="n">
        <v>49.3</v>
      </c>
      <c r="F3518" s="3" t="inlineStr">
        <is>
          <t>남이면</t>
        </is>
      </c>
      <c r="G3518" s="3" t="inlineStr">
        <is>
          <t>외천리</t>
        </is>
      </c>
      <c r="H3518" s="3" t="inlineStr">
        <is>
          <t>계획관리지역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2026</v>
      </c>
      <c r="B3519" s="4" t="n">
        <v>2750</v>
      </c>
      <c r="C3519" s="4" t="n">
        <v>164</v>
      </c>
      <c r="D3519" s="4" t="n">
        <v>49.61</v>
      </c>
      <c r="E3519" s="5" t="n">
        <v>55.4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2026</v>
      </c>
      <c r="B3520" s="4" t="n">
        <v>49000</v>
      </c>
      <c r="C3520" s="4" t="n">
        <v>1649</v>
      </c>
      <c r="D3520" s="4" t="n">
        <v>498.8225</v>
      </c>
      <c r="E3520" s="5" t="n">
        <v>98.2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27000</v>
      </c>
      <c r="C3521" s="4" t="n">
        <v>598</v>
      </c>
      <c r="D3521" s="4" t="n">
        <v>180.895</v>
      </c>
      <c r="E3521" s="5" t="n">
        <v>149.3</v>
      </c>
      <c r="F3521" s="3" t="inlineStr">
        <is>
          <t>현도면</t>
        </is>
      </c>
      <c r="G3521" s="3" t="inlineStr">
        <is>
          <t>시목리</t>
        </is>
      </c>
      <c r="H3521" s="3" t="inlineStr">
        <is>
          <t>제1종일반주거지역</t>
        </is>
      </c>
      <c r="I3521" s="3" t="inlineStr">
        <is>
          <t>대</t>
        </is>
      </c>
      <c r="J3521" s="3" t="inlineStr">
        <is>
          <t>현도면</t>
        </is>
      </c>
    </row>
    <row r="3522">
      <c r="A3522" s="3" t="n">
        <v>2026</v>
      </c>
      <c r="B3522" s="4" t="n">
        <v>25000</v>
      </c>
      <c r="C3522" s="4" t="n">
        <v>536</v>
      </c>
      <c r="D3522" s="4" t="n">
        <v>162.14</v>
      </c>
      <c r="E3522" s="5" t="n">
        <v>154.2</v>
      </c>
      <c r="F3522" s="3" t="inlineStr">
        <is>
          <t>현도면</t>
        </is>
      </c>
      <c r="G3522" s="3" t="inlineStr">
        <is>
          <t>시목리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현도면</t>
        </is>
      </c>
    </row>
    <row r="3523">
      <c r="A3523" s="3" t="n">
        <v>2026</v>
      </c>
      <c r="B3523" s="4" t="n">
        <v>14000</v>
      </c>
      <c r="C3523" s="4" t="n">
        <v>1076</v>
      </c>
      <c r="D3523" s="4" t="n">
        <v>325.49</v>
      </c>
      <c r="E3523" s="5" t="n">
        <v>43</v>
      </c>
      <c r="F3523" s="3" t="inlineStr">
        <is>
          <t>남이면</t>
        </is>
      </c>
      <c r="G3523" s="3" t="inlineStr">
        <is>
          <t>팔봉리</t>
        </is>
      </c>
      <c r="H3523" s="3" t="inlineStr">
        <is>
          <t>보전관리지역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2026</v>
      </c>
      <c r="B3524" s="4" t="n">
        <v>2840</v>
      </c>
      <c r="C3524" s="4" t="n">
        <v>330</v>
      </c>
      <c r="D3524" s="4" t="n">
        <v>99.825</v>
      </c>
      <c r="E3524" s="5" t="n">
        <v>28.4</v>
      </c>
      <c r="F3524" s="3" t="inlineStr">
        <is>
          <t>현도면</t>
        </is>
      </c>
      <c r="G3524" s="3" t="inlineStr">
        <is>
          <t>중척리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현도면</t>
        </is>
      </c>
    </row>
    <row r="3525">
      <c r="A3525" s="3" t="n">
        <v>2026</v>
      </c>
      <c r="B3525" s="4" t="n">
        <v>9500</v>
      </c>
      <c r="C3525" s="4" t="n">
        <v>330</v>
      </c>
      <c r="D3525" s="4" t="n">
        <v>99.825</v>
      </c>
      <c r="E3525" s="5" t="n">
        <v>95.2</v>
      </c>
      <c r="F3525" s="3" t="inlineStr">
        <is>
          <t>남이면</t>
        </is>
      </c>
      <c r="G3525" s="3" t="inlineStr">
        <is>
          <t>척산리</t>
        </is>
      </c>
      <c r="H3525" s="3" t="inlineStr">
        <is>
          <t>계획관리지역</t>
        </is>
      </c>
      <c r="I3525" s="3" t="inlineStr">
        <is>
          <t>답</t>
        </is>
      </c>
      <c r="J3525" s="3" t="inlineStr">
        <is>
          <t>남이면</t>
        </is>
      </c>
    </row>
    <row r="3526">
      <c r="A3526" s="3" t="n">
        <v>2026</v>
      </c>
      <c r="B3526" s="4" t="n">
        <v>3000</v>
      </c>
      <c r="C3526" s="4" t="n">
        <v>1200</v>
      </c>
      <c r="D3526" s="4" t="n">
        <v>363</v>
      </c>
      <c r="E3526" s="5" t="n">
        <v>8.300000000000001</v>
      </c>
      <c r="F3526" s="3" t="inlineStr">
        <is>
          <t>남이면</t>
        </is>
      </c>
      <c r="G3526" s="3" t="inlineStr">
        <is>
          <t>비룡리</t>
        </is>
      </c>
      <c r="H3526" s="3" t="inlineStr">
        <is>
          <t>보전관리지역</t>
        </is>
      </c>
      <c r="I3526" s="3" t="inlineStr">
        <is>
          <t>임야</t>
        </is>
      </c>
      <c r="J3526" s="3" t="inlineStr">
        <is>
          <t>남이면</t>
        </is>
      </c>
    </row>
    <row r="3527">
      <c r="A3527" s="3" t="n">
        <v>2022</v>
      </c>
      <c r="B3527" s="4" t="n">
        <v>47100</v>
      </c>
      <c r="C3527" s="4" t="n">
        <v>622</v>
      </c>
      <c r="D3527" s="4" t="n">
        <v>188.155</v>
      </c>
      <c r="E3527" s="5" t="n">
        <v>250.3</v>
      </c>
      <c r="F3527" s="3" t="inlineStr">
        <is>
          <t>오송읍</t>
        </is>
      </c>
      <c r="G3527" s="3" t="inlineStr">
        <is>
          <t>궁평리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오송읍</t>
        </is>
      </c>
    </row>
    <row r="3528">
      <c r="A3528" s="3" t="n">
        <v>2025</v>
      </c>
      <c r="B3528" s="4" t="n">
        <v>43422</v>
      </c>
      <c r="C3528" s="4" t="n">
        <v>4135.4</v>
      </c>
      <c r="D3528" s="4" t="n">
        <v>1250.9585</v>
      </c>
      <c r="E3528" s="5" t="n">
        <v>34.7</v>
      </c>
      <c r="F3528" s="3" t="inlineStr">
        <is>
          <t>강내면</t>
        </is>
      </c>
      <c r="G3528" s="3" t="inlineStr">
        <is>
          <t>저산리</t>
        </is>
      </c>
      <c r="H3528" s="3" t="inlineStr">
        <is>
          <t>계획관리지역</t>
        </is>
      </c>
      <c r="I3528" s="3" t="inlineStr">
        <is>
          <t>답</t>
        </is>
      </c>
      <c r="J3528" s="3" t="inlineStr">
        <is>
          <t>강내면</t>
        </is>
      </c>
    </row>
    <row r="3529">
      <c r="A3529" s="3" t="n">
        <v>2025</v>
      </c>
      <c r="B3529" s="4" t="n">
        <v>228000</v>
      </c>
      <c r="C3529" s="4" t="n">
        <v>558.8</v>
      </c>
      <c r="D3529" s="4" t="n">
        <v>169.037</v>
      </c>
      <c r="E3529" s="5" t="n">
        <v>1348.8</v>
      </c>
      <c r="F3529" s="3" t="inlineStr">
        <is>
          <t>오송읍</t>
        </is>
      </c>
      <c r="G3529" s="3" t="inlineStr">
        <is>
          <t>정중리</t>
        </is>
      </c>
      <c r="H3529" s="3" t="inlineStr">
        <is>
          <t>준공업지역</t>
        </is>
      </c>
      <c r="I3529" s="3" t="inlineStr">
        <is>
          <t>대</t>
        </is>
      </c>
      <c r="J3529" s="3" t="inlineStr">
        <is>
          <t>오송읍</t>
        </is>
      </c>
    </row>
    <row r="3530">
      <c r="A3530" s="3" t="n">
        <v>2025</v>
      </c>
      <c r="B3530" s="4" t="n">
        <v>172000</v>
      </c>
      <c r="C3530" s="4" t="n">
        <v>584.2</v>
      </c>
      <c r="D3530" s="4" t="n">
        <v>176.7205</v>
      </c>
      <c r="E3530" s="5" t="n">
        <v>973.3</v>
      </c>
      <c r="F3530" s="3" t="inlineStr">
        <is>
          <t>오송읍</t>
        </is>
      </c>
      <c r="G3530" s="3" t="inlineStr">
        <is>
          <t>정중리</t>
        </is>
      </c>
      <c r="H3530" s="3" t="inlineStr">
        <is>
          <t>준공업지역</t>
        </is>
      </c>
      <c r="I3530" s="3" t="inlineStr">
        <is>
          <t>대</t>
        </is>
      </c>
      <c r="J3530" s="3" t="inlineStr">
        <is>
          <t>오송읍</t>
        </is>
      </c>
    </row>
    <row r="3531">
      <c r="A3531" s="3" t="n">
        <v>2025</v>
      </c>
      <c r="B3531" s="4" t="n">
        <v>55000</v>
      </c>
      <c r="C3531" s="4" t="n">
        <v>273.4</v>
      </c>
      <c r="D3531" s="4" t="n">
        <v>82.70349999999999</v>
      </c>
      <c r="E3531" s="5" t="n">
        <v>665</v>
      </c>
      <c r="F3531" s="3" t="inlineStr">
        <is>
          <t>오송읍</t>
        </is>
      </c>
      <c r="G3531" s="3" t="inlineStr">
        <is>
          <t>봉산리</t>
        </is>
      </c>
      <c r="H3531" s="3" t="inlineStr">
        <is>
          <t>제1종일반주거지역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2025</v>
      </c>
      <c r="B3532" s="4" t="n">
        <v>64000</v>
      </c>
      <c r="C3532" s="4" t="n">
        <v>2647</v>
      </c>
      <c r="D3532" s="4" t="n">
        <v>800.7175</v>
      </c>
      <c r="E3532" s="5" t="n">
        <v>79.90000000000001</v>
      </c>
      <c r="F3532" s="3" t="inlineStr">
        <is>
          <t>오송읍</t>
        </is>
      </c>
      <c r="G3532" s="3" t="inlineStr">
        <is>
          <t>궁평리</t>
        </is>
      </c>
      <c r="H3532" s="3" t="inlineStr">
        <is>
          <t>농림지역</t>
        </is>
      </c>
      <c r="I3532" s="3" t="inlineStr">
        <is>
          <t>전</t>
        </is>
      </c>
      <c r="J3532" s="3" t="inlineStr">
        <is>
          <t>오송읍</t>
        </is>
      </c>
    </row>
    <row r="3533">
      <c r="A3533" s="3" t="n">
        <v>2025</v>
      </c>
      <c r="B3533" s="4" t="n">
        <v>16000</v>
      </c>
      <c r="C3533" s="4" t="n">
        <v>660</v>
      </c>
      <c r="D3533" s="4" t="n">
        <v>199.65</v>
      </c>
      <c r="E3533" s="5" t="n">
        <v>80.09999999999999</v>
      </c>
      <c r="F3533" s="3" t="inlineStr">
        <is>
          <t>오송읍</t>
        </is>
      </c>
      <c r="G3533" s="3" t="inlineStr">
        <is>
          <t>궁평리</t>
        </is>
      </c>
      <c r="H3533" s="3" t="inlineStr">
        <is>
          <t>농림지역</t>
        </is>
      </c>
      <c r="I3533" s="3" t="inlineStr">
        <is>
          <t>전</t>
        </is>
      </c>
      <c r="J3533" s="3" t="inlineStr">
        <is>
          <t>오송읍</t>
        </is>
      </c>
    </row>
    <row r="3534">
      <c r="A3534" s="3" t="n">
        <v>2025</v>
      </c>
      <c r="B3534" s="4" t="n">
        <v>200000</v>
      </c>
      <c r="C3534" s="4" t="n">
        <v>558.8</v>
      </c>
      <c r="D3534" s="4" t="n">
        <v>169.037</v>
      </c>
      <c r="E3534" s="5" t="n">
        <v>1183.2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준공업지역</t>
        </is>
      </c>
      <c r="I3534" s="3" t="inlineStr">
        <is>
          <t>대</t>
        </is>
      </c>
      <c r="J3534" s="3" t="inlineStr">
        <is>
          <t>오송읍</t>
        </is>
      </c>
    </row>
    <row r="3535">
      <c r="A3535" s="3" t="n">
        <v>2025</v>
      </c>
      <c r="B3535" s="4" t="n">
        <v>200000</v>
      </c>
      <c r="C3535" s="4" t="n">
        <v>584.2</v>
      </c>
      <c r="D3535" s="4" t="n">
        <v>176.7205</v>
      </c>
      <c r="E3535" s="5" t="n">
        <v>1131.7</v>
      </c>
      <c r="F3535" s="3" t="inlineStr">
        <is>
          <t>오송읍</t>
        </is>
      </c>
      <c r="G3535" s="3" t="inlineStr">
        <is>
          <t>정중리</t>
        </is>
      </c>
      <c r="H3535" s="3" t="inlineStr">
        <is>
          <t>준공업지역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2026</v>
      </c>
      <c r="B3536" s="4" t="n">
        <v>15000</v>
      </c>
      <c r="C3536" s="4" t="n">
        <v>968.1</v>
      </c>
      <c r="D3536" s="4" t="n">
        <v>292.85025</v>
      </c>
      <c r="E3536" s="5" t="n">
        <v>51.2</v>
      </c>
      <c r="F3536" s="3" t="inlineStr">
        <is>
          <t>남이면</t>
        </is>
      </c>
      <c r="G3536" s="3" t="inlineStr">
        <is>
          <t>대련리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2026</v>
      </c>
      <c r="B3537" s="4" t="n">
        <v>25000</v>
      </c>
      <c r="C3537" s="4" t="n">
        <v>363</v>
      </c>
      <c r="D3537" s="4" t="n">
        <v>109.8075</v>
      </c>
      <c r="E3537" s="5" t="n">
        <v>227.7</v>
      </c>
      <c r="F3537" s="3" t="inlineStr">
        <is>
          <t>남이면</t>
        </is>
      </c>
      <c r="G3537" s="3" t="inlineStr">
        <is>
          <t>석판리</t>
        </is>
      </c>
      <c r="H3537" s="3" t="inlineStr">
        <is>
          <t>자연녹지지역</t>
        </is>
      </c>
      <c r="I3537" s="3" t="inlineStr">
        <is>
          <t>대</t>
        </is>
      </c>
      <c r="J3537" s="3" t="inlineStr">
        <is>
          <t>남이면</t>
        </is>
      </c>
    </row>
    <row r="3538">
      <c r="A3538" s="3" t="n">
        <v>2026</v>
      </c>
      <c r="B3538" s="4" t="n">
        <v>7800</v>
      </c>
      <c r="C3538" s="4" t="n">
        <v>1041</v>
      </c>
      <c r="D3538" s="4" t="n">
        <v>314.9025</v>
      </c>
      <c r="E3538" s="5" t="n">
        <v>24.8</v>
      </c>
      <c r="F3538" s="3" t="inlineStr">
        <is>
          <t>현도면</t>
        </is>
      </c>
      <c r="G3538" s="3" t="inlineStr">
        <is>
          <t>달계리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현도면</t>
        </is>
      </c>
    </row>
    <row r="3539">
      <c r="A3539" s="3" t="n">
        <v>2022</v>
      </c>
      <c r="B3539" s="4" t="n">
        <v>19900</v>
      </c>
      <c r="C3539" s="4" t="n">
        <v>1914</v>
      </c>
      <c r="D3539" s="4" t="n">
        <v>578.985</v>
      </c>
      <c r="E3539" s="5" t="n">
        <v>34.4</v>
      </c>
      <c r="F3539" s="3" t="inlineStr">
        <is>
          <t>현도면</t>
        </is>
      </c>
      <c r="G3539" s="3" t="inlineStr">
        <is>
          <t>중삼리</t>
        </is>
      </c>
      <c r="H3539" s="3" t="inlineStr">
        <is>
          <t>계획관리지역</t>
        </is>
      </c>
      <c r="I3539" s="3" t="inlineStr">
        <is>
          <t>답</t>
        </is>
      </c>
      <c r="J3539" s="3" t="inlineStr">
        <is>
          <t>현도면</t>
        </is>
      </c>
    </row>
    <row r="3540">
      <c r="A3540" s="3" t="n">
        <v>2022</v>
      </c>
      <c r="B3540" s="4" t="n">
        <v>16950</v>
      </c>
      <c r="C3540" s="4" t="n">
        <v>2077</v>
      </c>
      <c r="D3540" s="4" t="n">
        <v>628.2925</v>
      </c>
      <c r="E3540" s="5" t="n">
        <v>27</v>
      </c>
      <c r="F3540" s="3" t="inlineStr">
        <is>
          <t>현도면</t>
        </is>
      </c>
      <c r="G3540" s="3" t="inlineStr">
        <is>
          <t>노산리</t>
        </is>
      </c>
      <c r="H3540" s="3" t="inlineStr">
        <is>
          <t>개발제한구역</t>
        </is>
      </c>
      <c r="I3540" s="3" t="inlineStr">
        <is>
          <t>답</t>
        </is>
      </c>
      <c r="J3540" s="3" t="inlineStr">
        <is>
          <t>현도면</t>
        </is>
      </c>
    </row>
    <row r="3541">
      <c r="A3541" s="3" t="n">
        <v>2022</v>
      </c>
      <c r="B3541" s="4" t="n">
        <v>10000</v>
      </c>
      <c r="C3541" s="4" t="n">
        <v>162</v>
      </c>
      <c r="D3541" s="4" t="n">
        <v>49.005</v>
      </c>
      <c r="E3541" s="5" t="n">
        <v>204.1</v>
      </c>
      <c r="F3541" s="3" t="inlineStr">
        <is>
          <t>현도면</t>
        </is>
      </c>
      <c r="G3541" s="3" t="inlineStr">
        <is>
          <t>중삼리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현도면</t>
        </is>
      </c>
    </row>
    <row r="3542">
      <c r="A3542" s="3" t="n">
        <v>2022</v>
      </c>
      <c r="B3542" s="4" t="n">
        <v>25000</v>
      </c>
      <c r="C3542" s="4" t="n">
        <v>868</v>
      </c>
      <c r="D3542" s="4" t="n">
        <v>262.57</v>
      </c>
      <c r="E3542" s="5" t="n">
        <v>95.2</v>
      </c>
      <c r="F3542" s="3" t="inlineStr">
        <is>
          <t>남이면</t>
        </is>
      </c>
      <c r="G3542" s="3" t="inlineStr">
        <is>
          <t>팔봉리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35900</v>
      </c>
      <c r="C3543" s="4" t="n">
        <v>2638</v>
      </c>
      <c r="D3543" s="4" t="n">
        <v>797.995</v>
      </c>
      <c r="E3543" s="5" t="n">
        <v>45</v>
      </c>
      <c r="F3543" s="3" t="inlineStr">
        <is>
          <t>남이면</t>
        </is>
      </c>
      <c r="G3543" s="3" t="inlineStr">
        <is>
          <t>가좌리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2022</v>
      </c>
      <c r="B3544" s="4" t="n">
        <v>242</v>
      </c>
      <c r="C3544" s="4" t="n">
        <v>8</v>
      </c>
      <c r="D3544" s="4" t="n">
        <v>2.42</v>
      </c>
      <c r="E3544" s="5" t="n">
        <v>100</v>
      </c>
      <c r="F3544" s="3" t="inlineStr">
        <is>
          <t>현도면</t>
        </is>
      </c>
      <c r="G3544" s="3" t="inlineStr">
        <is>
          <t>우록리</t>
        </is>
      </c>
      <c r="H3544" s="3" t="inlineStr">
        <is>
          <t>계획관리지역</t>
        </is>
      </c>
      <c r="I3544" s="3" t="inlineStr">
        <is>
          <t>답</t>
        </is>
      </c>
      <c r="J3544" s="3" t="inlineStr">
        <is>
          <t>현도면</t>
        </is>
      </c>
    </row>
    <row r="3545">
      <c r="A3545" s="3" t="n">
        <v>2022</v>
      </c>
      <c r="B3545" s="4" t="n">
        <v>1150</v>
      </c>
      <c r="C3545" s="4" t="n">
        <v>38</v>
      </c>
      <c r="D3545" s="4" t="n">
        <v>11.495</v>
      </c>
      <c r="E3545" s="5" t="n">
        <v>100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현도면</t>
        </is>
      </c>
    </row>
    <row r="3546">
      <c r="A3546" s="3" t="n">
        <v>2022</v>
      </c>
      <c r="B3546" s="4" t="n">
        <v>30000</v>
      </c>
      <c r="C3546" s="4" t="n">
        <v>755</v>
      </c>
      <c r="D3546" s="4" t="n">
        <v>228.3875</v>
      </c>
      <c r="E3546" s="5" t="n">
        <v>131.4</v>
      </c>
      <c r="F3546" s="3" t="inlineStr">
        <is>
          <t>남이면</t>
        </is>
      </c>
      <c r="G3546" s="3" t="inlineStr">
        <is>
          <t>석판리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2022</v>
      </c>
      <c r="B3547" s="4" t="n">
        <v>500</v>
      </c>
      <c r="C3547" s="4" t="n">
        <v>19</v>
      </c>
      <c r="D3547" s="4" t="n">
        <v>5.7475</v>
      </c>
      <c r="E3547" s="5" t="n">
        <v>87</v>
      </c>
      <c r="F3547" s="3" t="inlineStr">
        <is>
          <t>남이면</t>
        </is>
      </c>
      <c r="G3547" s="3" t="inlineStr">
        <is>
          <t>석판리</t>
        </is>
      </c>
      <c r="H3547" s="3" t="inlineStr">
        <is>
          <t>자연녹지지역</t>
        </is>
      </c>
      <c r="I3547" s="3" t="inlineStr">
        <is>
          <t>도로</t>
        </is>
      </c>
      <c r="J3547" s="3" t="inlineStr">
        <is>
          <t>남이면</t>
        </is>
      </c>
    </row>
    <row r="3548">
      <c r="A3548" s="3" t="n">
        <v>2022</v>
      </c>
      <c r="B3548" s="4" t="n">
        <v>10524</v>
      </c>
      <c r="C3548" s="4" t="n">
        <v>240</v>
      </c>
      <c r="D3548" s="4" t="n">
        <v>72.59999999999999</v>
      </c>
      <c r="E3548" s="5" t="n">
        <v>145</v>
      </c>
      <c r="F3548" s="3" t="inlineStr">
        <is>
          <t>현도면</t>
        </is>
      </c>
      <c r="G3548" s="3" t="inlineStr">
        <is>
          <t>선동리</t>
        </is>
      </c>
      <c r="H3548" s="3" t="inlineStr">
        <is>
          <t>용도미지정</t>
        </is>
      </c>
      <c r="I3548" s="3" t="inlineStr">
        <is>
          <t>대</t>
        </is>
      </c>
      <c r="J3548" s="3" t="inlineStr">
        <is>
          <t>현도면</t>
        </is>
      </c>
    </row>
    <row r="3549">
      <c r="A3549" s="3" t="n">
        <v>2022</v>
      </c>
      <c r="B3549" s="4" t="n">
        <v>22000</v>
      </c>
      <c r="C3549" s="4" t="n">
        <v>1490</v>
      </c>
      <c r="D3549" s="4" t="n">
        <v>450.725</v>
      </c>
      <c r="E3549" s="5" t="n">
        <v>48.8</v>
      </c>
      <c r="F3549" s="3" t="inlineStr">
        <is>
          <t>남이면</t>
        </is>
      </c>
      <c r="G3549" s="3" t="inlineStr">
        <is>
          <t>문동리</t>
        </is>
      </c>
      <c r="H3549" s="3" t="inlineStr">
        <is>
          <t>보전녹지지역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2022</v>
      </c>
      <c r="B3550" s="4" t="n">
        <v>18500</v>
      </c>
      <c r="C3550" s="4" t="n">
        <v>1899</v>
      </c>
      <c r="D3550" s="4" t="n">
        <v>574.4475</v>
      </c>
      <c r="E3550" s="5" t="n">
        <v>32.2</v>
      </c>
      <c r="F3550" s="3" t="inlineStr">
        <is>
          <t>현도면</t>
        </is>
      </c>
      <c r="G3550" s="3" t="inlineStr">
        <is>
          <t>노산리</t>
        </is>
      </c>
      <c r="H3550" s="3" t="inlineStr">
        <is>
          <t>개발제한구역</t>
        </is>
      </c>
      <c r="I3550" s="3" t="inlineStr">
        <is>
          <t>답</t>
        </is>
      </c>
      <c r="J3550" s="3" t="inlineStr">
        <is>
          <t>현도면</t>
        </is>
      </c>
    </row>
    <row r="3551">
      <c r="A3551" s="3" t="n">
        <v>2022</v>
      </c>
      <c r="B3551" s="4" t="n">
        <v>5200</v>
      </c>
      <c r="C3551" s="4" t="n">
        <v>554</v>
      </c>
      <c r="D3551" s="4" t="n">
        <v>167.585</v>
      </c>
      <c r="E3551" s="5" t="n">
        <v>31</v>
      </c>
      <c r="F3551" s="3" t="inlineStr">
        <is>
          <t>현도면</t>
        </is>
      </c>
      <c r="G3551" s="3" t="inlineStr">
        <is>
          <t>노산리</t>
        </is>
      </c>
      <c r="H3551" s="3" t="inlineStr">
        <is>
          <t>개발제한구역</t>
        </is>
      </c>
      <c r="I3551" s="3" t="inlineStr">
        <is>
          <t>답</t>
        </is>
      </c>
      <c r="J3551" s="3" t="inlineStr">
        <is>
          <t>현도면</t>
        </is>
      </c>
    </row>
    <row r="3552">
      <c r="A3552" s="3" t="n">
        <v>2022</v>
      </c>
      <c r="B3552" s="4" t="n">
        <v>1800</v>
      </c>
      <c r="C3552" s="4" t="n">
        <v>248</v>
      </c>
      <c r="D3552" s="4" t="n">
        <v>75.02</v>
      </c>
      <c r="E3552" s="5" t="n">
        <v>24</v>
      </c>
      <c r="F3552" s="3" t="inlineStr">
        <is>
          <t>현도면</t>
        </is>
      </c>
      <c r="G3552" s="3" t="inlineStr">
        <is>
          <t>상삼리</t>
        </is>
      </c>
      <c r="H3552" s="3" t="inlineStr">
        <is>
          <t>계획관리지역</t>
        </is>
      </c>
      <c r="I3552" s="3" t="inlineStr">
        <is>
          <t>묘지</t>
        </is>
      </c>
      <c r="J3552" s="3" t="inlineStr">
        <is>
          <t>현도면</t>
        </is>
      </c>
    </row>
    <row r="3553">
      <c r="A3553" s="3" t="n">
        <v>2022</v>
      </c>
      <c r="B3553" s="4" t="n">
        <v>4650</v>
      </c>
      <c r="C3553" s="4" t="n">
        <v>124</v>
      </c>
      <c r="D3553" s="4" t="n">
        <v>37.51</v>
      </c>
      <c r="E3553" s="5" t="n">
        <v>124</v>
      </c>
      <c r="F3553" s="3" t="inlineStr">
        <is>
          <t>남이면</t>
        </is>
      </c>
      <c r="G3553" s="3" t="inlineStr">
        <is>
          <t>양촌리</t>
        </is>
      </c>
      <c r="H3553" s="3" t="inlineStr">
        <is>
          <t>자연녹지지역</t>
        </is>
      </c>
      <c r="I3553" s="3" t="inlineStr">
        <is>
          <t>도로</t>
        </is>
      </c>
      <c r="J3553" s="3" t="inlineStr">
        <is>
          <t>남이면</t>
        </is>
      </c>
    </row>
    <row r="3554">
      <c r="A3554" s="3" t="n">
        <v>2022</v>
      </c>
      <c r="B3554" s="4" t="n">
        <v>7950</v>
      </c>
      <c r="C3554" s="4" t="n">
        <v>212</v>
      </c>
      <c r="D3554" s="4" t="n">
        <v>64.13</v>
      </c>
      <c r="E3554" s="5" t="n">
        <v>124</v>
      </c>
      <c r="F3554" s="3" t="inlineStr">
        <is>
          <t>남이면</t>
        </is>
      </c>
      <c r="G3554" s="3" t="inlineStr">
        <is>
          <t>양촌리</t>
        </is>
      </c>
      <c r="H3554" s="3" t="inlineStr">
        <is>
          <t>자연녹지지역</t>
        </is>
      </c>
      <c r="I3554" s="3" t="inlineStr">
        <is>
          <t>도로</t>
        </is>
      </c>
      <c r="J3554" s="3" t="inlineStr">
        <is>
          <t>남이면</t>
        </is>
      </c>
    </row>
    <row r="3555">
      <c r="A3555" s="3" t="n">
        <v>2022</v>
      </c>
      <c r="B3555" s="4" t="n">
        <v>12451</v>
      </c>
      <c r="C3555" s="4" t="n">
        <v>803</v>
      </c>
      <c r="D3555" s="4" t="n">
        <v>242.9075</v>
      </c>
      <c r="E3555" s="5" t="n">
        <v>51.3</v>
      </c>
      <c r="F3555" s="3" t="inlineStr">
        <is>
          <t>남이면</t>
        </is>
      </c>
      <c r="G3555" s="3" t="inlineStr">
        <is>
          <t>수대리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2022</v>
      </c>
      <c r="B3556" s="4" t="n">
        <v>62</v>
      </c>
      <c r="C3556" s="4" t="n">
        <v>4</v>
      </c>
      <c r="D3556" s="4" t="n">
        <v>1.21</v>
      </c>
      <c r="E3556" s="5" t="n">
        <v>51.2</v>
      </c>
      <c r="F3556" s="3" t="inlineStr">
        <is>
          <t>남이면</t>
        </is>
      </c>
      <c r="G3556" s="3" t="inlineStr">
        <is>
          <t>수대리</t>
        </is>
      </c>
      <c r="H3556" s="3" t="inlineStr">
        <is>
          <t>보전녹지지역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2022</v>
      </c>
      <c r="B3557" s="4" t="n">
        <v>7910</v>
      </c>
      <c r="C3557" s="4" t="n">
        <v>1154</v>
      </c>
      <c r="D3557" s="4" t="n">
        <v>349.085</v>
      </c>
      <c r="E3557" s="5" t="n">
        <v>22.7</v>
      </c>
      <c r="F3557" s="3" t="inlineStr">
        <is>
          <t>남이면</t>
        </is>
      </c>
      <c r="G3557" s="3" t="inlineStr">
        <is>
          <t>비룡리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2022</v>
      </c>
      <c r="B3558" s="4" t="n">
        <v>3000</v>
      </c>
      <c r="C3558" s="4" t="n">
        <v>63</v>
      </c>
      <c r="D3558" s="4" t="n">
        <v>19.0575</v>
      </c>
      <c r="E3558" s="5" t="n">
        <v>157.4</v>
      </c>
      <c r="F3558" s="3" t="inlineStr">
        <is>
          <t>현도면</t>
        </is>
      </c>
      <c r="G3558" s="3" t="inlineStr">
        <is>
          <t>하석리</t>
        </is>
      </c>
      <c r="H3558" s="3" t="inlineStr">
        <is>
          <t>개발제한구역</t>
        </is>
      </c>
      <c r="I3558" s="3" t="inlineStr">
        <is>
          <t>도로</t>
        </is>
      </c>
      <c r="J3558" s="3" t="inlineStr">
        <is>
          <t>현도면</t>
        </is>
      </c>
    </row>
    <row r="3559">
      <c r="A3559" s="3" t="n">
        <v>2022</v>
      </c>
      <c r="B3559" s="4" t="n">
        <v>16000</v>
      </c>
      <c r="C3559" s="4" t="n">
        <v>1571</v>
      </c>
      <c r="D3559" s="4" t="n">
        <v>475.2275</v>
      </c>
      <c r="E3559" s="5" t="n">
        <v>33.7</v>
      </c>
      <c r="F3559" s="3" t="inlineStr">
        <is>
          <t>현도면</t>
        </is>
      </c>
      <c r="G3559" s="3" t="inlineStr">
        <is>
          <t>하석리</t>
        </is>
      </c>
      <c r="H3559" s="3" t="inlineStr">
        <is>
          <t>개발제한구역</t>
        </is>
      </c>
      <c r="I3559" s="3" t="inlineStr">
        <is>
          <t>전</t>
        </is>
      </c>
      <c r="J3559" s="3" t="inlineStr">
        <is>
          <t>현도면</t>
        </is>
      </c>
    </row>
    <row r="3560">
      <c r="A3560" s="3" t="n">
        <v>2022</v>
      </c>
      <c r="B3560" s="4" t="n">
        <v>11000</v>
      </c>
      <c r="C3560" s="4" t="n">
        <v>661</v>
      </c>
      <c r="D3560" s="4" t="n">
        <v>199.9525</v>
      </c>
      <c r="E3560" s="5" t="n">
        <v>55</v>
      </c>
      <c r="F3560" s="3" t="inlineStr">
        <is>
          <t>현도면</t>
        </is>
      </c>
      <c r="G3560" s="3" t="inlineStr">
        <is>
          <t>하석리</t>
        </is>
      </c>
      <c r="H3560" s="3" t="inlineStr">
        <is>
          <t>개발제한구역</t>
        </is>
      </c>
      <c r="I3560" s="3" t="inlineStr">
        <is>
          <t>답</t>
        </is>
      </c>
      <c r="J3560" s="3" t="inlineStr">
        <is>
          <t>현도면</t>
        </is>
      </c>
    </row>
    <row r="3561">
      <c r="A3561" s="3" t="n">
        <v>2022</v>
      </c>
      <c r="B3561" s="4" t="n">
        <v>29000</v>
      </c>
      <c r="C3561" s="4" t="n">
        <v>501</v>
      </c>
      <c r="D3561" s="4" t="n">
        <v>151.5525</v>
      </c>
      <c r="E3561" s="5" t="n">
        <v>191.4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묘지</t>
        </is>
      </c>
      <c r="J3561" s="3" t="inlineStr">
        <is>
          <t>남이면</t>
        </is>
      </c>
    </row>
    <row r="3562">
      <c r="A3562" s="3" t="n">
        <v>2022</v>
      </c>
      <c r="B3562" s="4" t="n">
        <v>6557</v>
      </c>
      <c r="C3562" s="4" t="n">
        <v>1081.8</v>
      </c>
      <c r="D3562" s="4" t="n">
        <v>327.2445</v>
      </c>
      <c r="E3562" s="5" t="n">
        <v>20</v>
      </c>
      <c r="F3562" s="3" t="inlineStr">
        <is>
          <t>남이면</t>
        </is>
      </c>
      <c r="G3562" s="3" t="inlineStr">
        <is>
          <t>구미리</t>
        </is>
      </c>
      <c r="H3562" s="3" t="inlineStr">
        <is>
          <t>농림지역</t>
        </is>
      </c>
      <c r="I3562" s="3" t="inlineStr">
        <is>
          <t>답</t>
        </is>
      </c>
      <c r="J3562" s="3" t="inlineStr">
        <is>
          <t>남이면</t>
        </is>
      </c>
    </row>
    <row r="3563">
      <c r="A3563" s="3" t="n">
        <v>2022</v>
      </c>
      <c r="B3563" s="4" t="n">
        <v>15043</v>
      </c>
      <c r="C3563" s="4" t="n">
        <v>2481.9</v>
      </c>
      <c r="D3563" s="4" t="n">
        <v>750.77475</v>
      </c>
      <c r="E3563" s="5" t="n">
        <v>20</v>
      </c>
      <c r="F3563" s="3" t="inlineStr">
        <is>
          <t>남이면</t>
        </is>
      </c>
      <c r="G3563" s="3" t="inlineStr">
        <is>
          <t>구미리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2022</v>
      </c>
      <c r="B3564" s="4" t="n">
        <v>55</v>
      </c>
      <c r="C3564" s="4" t="n">
        <v>3</v>
      </c>
      <c r="D3564" s="4" t="n">
        <v>0.9075</v>
      </c>
      <c r="E3564" s="5" t="n">
        <v>60.6</v>
      </c>
      <c r="F3564" s="3" t="inlineStr">
        <is>
          <t>남이면</t>
        </is>
      </c>
      <c r="G3564" s="3" t="inlineStr">
        <is>
          <t>석판리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남이면</t>
        </is>
      </c>
    </row>
    <row r="3565">
      <c r="A3565" s="3" t="n">
        <v>2022</v>
      </c>
      <c r="B3565" s="4" t="n">
        <v>80</v>
      </c>
      <c r="C3565" s="4" t="n">
        <v>4</v>
      </c>
      <c r="D3565" s="4" t="n">
        <v>1.21</v>
      </c>
      <c r="E3565" s="5" t="n">
        <v>66.09999999999999</v>
      </c>
      <c r="F3565" s="3" t="inlineStr">
        <is>
          <t>남이면</t>
        </is>
      </c>
      <c r="G3565" s="3" t="inlineStr">
        <is>
          <t>석판리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남이면</t>
        </is>
      </c>
    </row>
    <row r="3566">
      <c r="A3566" s="3" t="n">
        <v>2022</v>
      </c>
      <c r="B3566" s="4" t="n">
        <v>6000</v>
      </c>
      <c r="C3566" s="4" t="n">
        <v>216.9</v>
      </c>
      <c r="D3566" s="4" t="n">
        <v>65.61225</v>
      </c>
      <c r="E3566" s="5" t="n">
        <v>91.40000000000001</v>
      </c>
      <c r="F3566" s="3" t="inlineStr">
        <is>
          <t>남이면</t>
        </is>
      </c>
      <c r="G3566" s="3" t="inlineStr">
        <is>
          <t>가좌리</t>
        </is>
      </c>
      <c r="H3566" s="3" t="inlineStr">
        <is>
          <t>자연녹지지역</t>
        </is>
      </c>
      <c r="I3566" s="3" t="inlineStr">
        <is>
          <t>임야</t>
        </is>
      </c>
      <c r="J3566" s="3" t="inlineStr">
        <is>
          <t>남이면</t>
        </is>
      </c>
    </row>
    <row r="3567">
      <c r="A3567" s="3" t="n">
        <v>2024</v>
      </c>
      <c r="B3567" s="4" t="n">
        <v>15080</v>
      </c>
      <c r="C3567" s="4" t="n">
        <v>1385</v>
      </c>
      <c r="D3567" s="4" t="n">
        <v>418.9625</v>
      </c>
      <c r="E3567" s="5" t="n">
        <v>36</v>
      </c>
      <c r="F3567" s="3" t="inlineStr">
        <is>
          <t>현도면</t>
        </is>
      </c>
      <c r="G3567" s="3" t="inlineStr">
        <is>
          <t>죽전리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현도면</t>
        </is>
      </c>
    </row>
    <row r="3568">
      <c r="A3568" s="3" t="n">
        <v>2024</v>
      </c>
      <c r="B3568" s="4" t="n">
        <v>20000</v>
      </c>
      <c r="C3568" s="4" t="n">
        <v>1840</v>
      </c>
      <c r="D3568" s="4" t="n">
        <v>556.6</v>
      </c>
      <c r="E3568" s="5" t="n">
        <v>35.9</v>
      </c>
      <c r="F3568" s="3" t="inlineStr">
        <is>
          <t>현도면</t>
        </is>
      </c>
      <c r="G3568" s="3" t="inlineStr">
        <is>
          <t>죽전리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현도면</t>
        </is>
      </c>
    </row>
    <row r="3569">
      <c r="A3569" s="3" t="n">
        <v>2024</v>
      </c>
      <c r="B3569" s="4" t="n">
        <v>2300</v>
      </c>
      <c r="C3569" s="4" t="n">
        <v>185</v>
      </c>
      <c r="D3569" s="4" t="n">
        <v>55.9625</v>
      </c>
      <c r="E3569" s="5" t="n">
        <v>41.1</v>
      </c>
      <c r="F3569" s="3" t="inlineStr">
        <is>
          <t>남이면</t>
        </is>
      </c>
      <c r="G3569" s="3" t="inlineStr">
        <is>
          <t>외천리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남이면</t>
        </is>
      </c>
    </row>
    <row r="3570">
      <c r="A3570" s="3" t="n">
        <v>2024</v>
      </c>
      <c r="B3570" s="4" t="n">
        <v>45470</v>
      </c>
      <c r="C3570" s="4" t="n">
        <v>2133</v>
      </c>
      <c r="D3570" s="4" t="n">
        <v>645.2325</v>
      </c>
      <c r="E3570" s="5" t="n">
        <v>70.5</v>
      </c>
      <c r="F3570" s="3" t="inlineStr">
        <is>
          <t>남이면</t>
        </is>
      </c>
      <c r="G3570" s="3" t="inlineStr">
        <is>
          <t>척산리</t>
        </is>
      </c>
      <c r="H3570" s="3" t="inlineStr">
        <is>
          <t>생산관리지역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2024</v>
      </c>
      <c r="B3571" s="4" t="n">
        <v>44440</v>
      </c>
      <c r="C3571" s="4" t="n">
        <v>2083</v>
      </c>
      <c r="D3571" s="4" t="n">
        <v>630.1075</v>
      </c>
      <c r="E3571" s="5" t="n">
        <v>70.5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남이면</t>
        </is>
      </c>
    </row>
    <row r="3572">
      <c r="A3572" s="3" t="n">
        <v>2024</v>
      </c>
      <c r="B3572" s="4" t="n">
        <v>10130</v>
      </c>
      <c r="C3572" s="4" t="n">
        <v>475</v>
      </c>
      <c r="D3572" s="4" t="n">
        <v>143.6875</v>
      </c>
      <c r="E3572" s="5" t="n">
        <v>70.5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950</v>
      </c>
      <c r="C3573" s="4" t="n">
        <v>38</v>
      </c>
      <c r="D3573" s="4" t="n">
        <v>11.495</v>
      </c>
      <c r="E3573" s="5" t="n">
        <v>82.59999999999999</v>
      </c>
      <c r="F3573" s="3" t="inlineStr">
        <is>
          <t>남이면</t>
        </is>
      </c>
      <c r="G3573" s="3" t="inlineStr">
        <is>
          <t>가마리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2024</v>
      </c>
      <c r="B3574" s="4" t="n">
        <v>50</v>
      </c>
      <c r="C3574" s="4" t="n">
        <v>2</v>
      </c>
      <c r="D3574" s="4" t="n">
        <v>0.605</v>
      </c>
      <c r="E3574" s="5" t="n">
        <v>82.59999999999999</v>
      </c>
      <c r="F3574" s="3" t="inlineStr">
        <is>
          <t>남이면</t>
        </is>
      </c>
      <c r="G3574" s="3" t="inlineStr">
        <is>
          <t>가마리</t>
        </is>
      </c>
      <c r="H3574" s="3" t="inlineStr">
        <is>
          <t>자연녹지지역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23875</v>
      </c>
      <c r="C3575" s="4" t="n">
        <v>563</v>
      </c>
      <c r="D3575" s="4" t="n">
        <v>170.3075</v>
      </c>
      <c r="E3575" s="5" t="n">
        <v>140.2</v>
      </c>
      <c r="F3575" s="3" t="inlineStr">
        <is>
          <t>남이면</t>
        </is>
      </c>
      <c r="G3575" s="3" t="inlineStr">
        <is>
          <t>가마리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2024</v>
      </c>
      <c r="B3576" s="4" t="n">
        <v>16200</v>
      </c>
      <c r="C3576" s="4" t="n">
        <v>359</v>
      </c>
      <c r="D3576" s="4" t="n">
        <v>108.5975</v>
      </c>
      <c r="E3576" s="5" t="n">
        <v>149.2</v>
      </c>
      <c r="F3576" s="3" t="inlineStr">
        <is>
          <t>남이면</t>
        </is>
      </c>
      <c r="G3576" s="3" t="inlineStr">
        <is>
          <t>척산리</t>
        </is>
      </c>
      <c r="H3576" s="3" t="inlineStr">
        <is>
          <t>계획관리지역</t>
        </is>
      </c>
      <c r="I3576" s="3" t="inlineStr">
        <is>
          <t>공장용지</t>
        </is>
      </c>
      <c r="J3576" s="3" t="inlineStr">
        <is>
          <t>남이면</t>
        </is>
      </c>
    </row>
    <row r="3577">
      <c r="A3577" s="3" t="n">
        <v>2024</v>
      </c>
      <c r="B3577" s="4" t="n">
        <v>25660</v>
      </c>
      <c r="C3577" s="4" t="n">
        <v>487</v>
      </c>
      <c r="D3577" s="4" t="n">
        <v>147.3175</v>
      </c>
      <c r="E3577" s="5" t="n">
        <v>174.2</v>
      </c>
      <c r="F3577" s="3" t="inlineStr">
        <is>
          <t>남이면</t>
        </is>
      </c>
      <c r="G3577" s="3" t="inlineStr">
        <is>
          <t>가마리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2024</v>
      </c>
      <c r="B3578" s="4" t="n">
        <v>14310</v>
      </c>
      <c r="C3578" s="4" t="n">
        <v>1577</v>
      </c>
      <c r="D3578" s="4" t="n">
        <v>477.0425</v>
      </c>
      <c r="E3578" s="5" t="n">
        <v>30</v>
      </c>
      <c r="F3578" s="3" t="inlineStr">
        <is>
          <t>남이면</t>
        </is>
      </c>
      <c r="G3578" s="3" t="inlineStr">
        <is>
          <t>팔봉리</t>
        </is>
      </c>
      <c r="H3578" s="3" t="inlineStr">
        <is>
          <t>보전녹지지역</t>
        </is>
      </c>
      <c r="I3578" s="3" t="inlineStr">
        <is>
          <t>전</t>
        </is>
      </c>
      <c r="J3578" s="3" t="inlineStr">
        <is>
          <t>남이면</t>
        </is>
      </c>
    </row>
    <row r="3579">
      <c r="A3579" s="3" t="n">
        <v>2024</v>
      </c>
      <c r="B3579" s="4" t="n">
        <v>12777</v>
      </c>
      <c r="C3579" s="4" t="n">
        <v>1408</v>
      </c>
      <c r="D3579" s="4" t="n">
        <v>425.92</v>
      </c>
      <c r="E3579" s="5" t="n">
        <v>30</v>
      </c>
      <c r="F3579" s="3" t="inlineStr">
        <is>
          <t>남이면</t>
        </is>
      </c>
      <c r="G3579" s="3" t="inlineStr">
        <is>
          <t>팔봉리</t>
        </is>
      </c>
      <c r="H3579" s="3" t="inlineStr">
        <is>
          <t>보전녹지지역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2766</v>
      </c>
      <c r="C3580" s="4" t="n">
        <v>305</v>
      </c>
      <c r="D3580" s="4" t="n">
        <v>92.2625</v>
      </c>
      <c r="E3580" s="5" t="n">
        <v>30</v>
      </c>
      <c r="F3580" s="3" t="inlineStr">
        <is>
          <t>남이면</t>
        </is>
      </c>
      <c r="G3580" s="3" t="inlineStr">
        <is>
          <t>팔봉리</t>
        </is>
      </c>
      <c r="H3580" s="3" t="inlineStr">
        <is>
          <t>자연녹지지역</t>
        </is>
      </c>
      <c r="I3580" s="3" t="inlineStr">
        <is>
          <t>전</t>
        </is>
      </c>
      <c r="J3580" s="3" t="inlineStr">
        <is>
          <t>남이면</t>
        </is>
      </c>
    </row>
    <row r="3581">
      <c r="A3581" s="3" t="n">
        <v>2024</v>
      </c>
      <c r="B3581" s="4" t="n">
        <v>30147</v>
      </c>
      <c r="C3581" s="4" t="n">
        <v>5950</v>
      </c>
      <c r="D3581" s="4" t="n">
        <v>1799.875</v>
      </c>
      <c r="E3581" s="5" t="n">
        <v>16.7</v>
      </c>
      <c r="F3581" s="3" t="inlineStr">
        <is>
          <t>남이면</t>
        </is>
      </c>
      <c r="G3581" s="3" t="inlineStr">
        <is>
          <t>팔봉리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2024</v>
      </c>
      <c r="B3582" s="4" t="n">
        <v>58488</v>
      </c>
      <c r="C3582" s="4" t="n">
        <v>3962</v>
      </c>
      <c r="D3582" s="4" t="n">
        <v>1198.505</v>
      </c>
      <c r="E3582" s="5" t="n">
        <v>48.8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2024</v>
      </c>
      <c r="B3583" s="4" t="n">
        <v>2067</v>
      </c>
      <c r="C3583" s="4" t="n">
        <v>140</v>
      </c>
      <c r="D3583" s="4" t="n">
        <v>42.35</v>
      </c>
      <c r="E3583" s="5" t="n">
        <v>48.8</v>
      </c>
      <c r="F3583" s="3" t="inlineStr">
        <is>
          <t>남이면</t>
        </is>
      </c>
      <c r="G3583" s="3" t="inlineStr">
        <is>
          <t>척산리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2024</v>
      </c>
      <c r="B3584" s="4" t="n">
        <v>5905</v>
      </c>
      <c r="C3584" s="4" t="n">
        <v>400</v>
      </c>
      <c r="D3584" s="4" t="n">
        <v>121</v>
      </c>
      <c r="E3584" s="5" t="n">
        <v>48.8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계획관리지역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2024</v>
      </c>
      <c r="B3585" s="4" t="n">
        <v>60000</v>
      </c>
      <c r="C3585" s="4" t="n">
        <v>1679</v>
      </c>
      <c r="D3585" s="4" t="n">
        <v>507.8975</v>
      </c>
      <c r="E3585" s="5" t="n">
        <v>118.1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전</t>
        </is>
      </c>
      <c r="J3585" s="3" t="inlineStr">
        <is>
          <t>남이면</t>
        </is>
      </c>
    </row>
    <row r="3586">
      <c r="A3586" s="3" t="n">
        <v>2024</v>
      </c>
      <c r="B3586" s="4" t="n">
        <v>1100</v>
      </c>
      <c r="C3586" s="4" t="n">
        <v>149</v>
      </c>
      <c r="D3586" s="4" t="n">
        <v>45.0725</v>
      </c>
      <c r="E3586" s="5" t="n">
        <v>24.4</v>
      </c>
      <c r="F3586" s="3" t="inlineStr">
        <is>
          <t>현도면</t>
        </is>
      </c>
      <c r="G3586" s="3" t="inlineStr">
        <is>
          <t>시목리</t>
        </is>
      </c>
      <c r="H3586" s="3" t="inlineStr">
        <is>
          <t>개발제한구역</t>
        </is>
      </c>
      <c r="I3586" s="3" t="inlineStr">
        <is>
          <t>전</t>
        </is>
      </c>
      <c r="J3586" s="3" t="inlineStr">
        <is>
          <t>현도면</t>
        </is>
      </c>
    </row>
    <row r="3587">
      <c r="A3587" s="3" t="n">
        <v>2024</v>
      </c>
      <c r="B3587" s="4" t="n">
        <v>1600</v>
      </c>
      <c r="C3587" s="4" t="n">
        <v>171</v>
      </c>
      <c r="D3587" s="4" t="n">
        <v>51.7275</v>
      </c>
      <c r="E3587" s="5" t="n">
        <v>30.9</v>
      </c>
      <c r="F3587" s="3" t="inlineStr">
        <is>
          <t>남이면</t>
        </is>
      </c>
      <c r="G3587" s="3" t="inlineStr">
        <is>
          <t>구미리</t>
        </is>
      </c>
      <c r="H3587" s="3" t="inlineStr">
        <is>
          <t>계획관리지역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2024</v>
      </c>
      <c r="B3588" s="4" t="n">
        <v>13020</v>
      </c>
      <c r="C3588" s="4" t="n">
        <v>1076</v>
      </c>
      <c r="D3588" s="4" t="n">
        <v>325.49</v>
      </c>
      <c r="E3588" s="5" t="n">
        <v>40</v>
      </c>
      <c r="F3588" s="3" t="inlineStr">
        <is>
          <t>남이면</t>
        </is>
      </c>
      <c r="G3588" s="3" t="inlineStr">
        <is>
          <t>팔봉리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22400</v>
      </c>
      <c r="C3589" s="4" t="n">
        <v>776</v>
      </c>
      <c r="D3589" s="4" t="n">
        <v>234.74</v>
      </c>
      <c r="E3589" s="5" t="n">
        <v>95.40000000000001</v>
      </c>
      <c r="F3589" s="3" t="inlineStr">
        <is>
          <t>남이면</t>
        </is>
      </c>
      <c r="G3589" s="3" t="inlineStr">
        <is>
          <t>상발리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30000</v>
      </c>
      <c r="C3590" s="4" t="n">
        <v>661</v>
      </c>
      <c r="D3590" s="4" t="n">
        <v>199.9525</v>
      </c>
      <c r="E3590" s="5" t="n">
        <v>150</v>
      </c>
      <c r="F3590" s="3" t="inlineStr">
        <is>
          <t>현도면</t>
        </is>
      </c>
      <c r="G3590" s="3" t="inlineStr">
        <is>
          <t>매봉리</t>
        </is>
      </c>
      <c r="H3590" s="3" t="inlineStr">
        <is>
          <t>제2종일반주거지역</t>
        </is>
      </c>
      <c r="I3590" s="3" t="inlineStr">
        <is>
          <t>전</t>
        </is>
      </c>
      <c r="J3590" s="3" t="inlineStr">
        <is>
          <t>현도면</t>
        </is>
      </c>
    </row>
    <row r="3591">
      <c r="A3591" s="3" t="n">
        <v>2024</v>
      </c>
      <c r="B3591" s="4" t="n">
        <v>3000</v>
      </c>
      <c r="C3591" s="4" t="n">
        <v>936</v>
      </c>
      <c r="D3591" s="4" t="n">
        <v>283.14</v>
      </c>
      <c r="E3591" s="5" t="n">
        <v>10.6</v>
      </c>
      <c r="F3591" s="3" t="inlineStr">
        <is>
          <t>남이면</t>
        </is>
      </c>
      <c r="G3591" s="3" t="inlineStr">
        <is>
          <t>갈원리</t>
        </is>
      </c>
      <c r="H3591" s="3" t="inlineStr">
        <is>
          <t>보전녹지지역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10936</v>
      </c>
      <c r="C3592" s="4" t="n">
        <v>575</v>
      </c>
      <c r="D3592" s="4" t="n">
        <v>173.9375</v>
      </c>
      <c r="E3592" s="5" t="n">
        <v>62.9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기타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2022</v>
      </c>
      <c r="B3593" s="4" t="n">
        <v>7000</v>
      </c>
      <c r="C3593" s="4" t="n">
        <v>296</v>
      </c>
      <c r="D3593" s="4" t="n">
        <v>89.53999999999999</v>
      </c>
      <c r="E3593" s="5" t="n">
        <v>78.2</v>
      </c>
      <c r="F3593" s="3" t="inlineStr">
        <is>
          <t>남이면</t>
        </is>
      </c>
      <c r="G3593" s="3" t="inlineStr">
        <is>
          <t>가좌리</t>
        </is>
      </c>
      <c r="H3593" s="3" t="inlineStr">
        <is>
          <t>자연녹지지역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7500</v>
      </c>
      <c r="C3594" s="4" t="n">
        <v>313.5</v>
      </c>
      <c r="D3594" s="4" t="n">
        <v>94.83374999999999</v>
      </c>
      <c r="E3594" s="5" t="n">
        <v>79.09999999999999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자연녹지지역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594</v>
      </c>
      <c r="C3595" s="4" t="n">
        <v>60</v>
      </c>
      <c r="D3595" s="4" t="n">
        <v>18.15</v>
      </c>
      <c r="E3595" s="5" t="n">
        <v>32.7</v>
      </c>
      <c r="F3595" s="3" t="inlineStr">
        <is>
          <t>남이면</t>
        </is>
      </c>
      <c r="G3595" s="3" t="inlineStr">
        <is>
          <t>석실리</t>
        </is>
      </c>
      <c r="H3595" s="3" t="inlineStr">
        <is>
          <t>자연녹지지역</t>
        </is>
      </c>
      <c r="I3595" s="3" t="inlineStr">
        <is>
          <t>도로</t>
        </is>
      </c>
      <c r="J3595" s="3" t="inlineStr">
        <is>
          <t>남이면</t>
        </is>
      </c>
    </row>
    <row r="3596">
      <c r="A3596" s="3" t="n">
        <v>2022</v>
      </c>
      <c r="B3596" s="4" t="n">
        <v>178</v>
      </c>
      <c r="C3596" s="4" t="n">
        <v>18</v>
      </c>
      <c r="D3596" s="4" t="n">
        <v>5.445</v>
      </c>
      <c r="E3596" s="5" t="n">
        <v>32.7</v>
      </c>
      <c r="F3596" s="3" t="inlineStr">
        <is>
          <t>남이면</t>
        </is>
      </c>
      <c r="G3596" s="3" t="inlineStr">
        <is>
          <t>석실리</t>
        </is>
      </c>
      <c r="H3596" s="3" t="inlineStr">
        <is>
          <t>자연녹지지역</t>
        </is>
      </c>
      <c r="I3596" s="3" t="inlineStr">
        <is>
          <t>도로</t>
        </is>
      </c>
      <c r="J3596" s="3" t="inlineStr">
        <is>
          <t>남이면</t>
        </is>
      </c>
    </row>
    <row r="3597">
      <c r="A3597" s="3" t="n">
        <v>2022</v>
      </c>
      <c r="B3597" s="4" t="n">
        <v>228</v>
      </c>
      <c r="C3597" s="4" t="n">
        <v>23</v>
      </c>
      <c r="D3597" s="4" t="n">
        <v>6.9575</v>
      </c>
      <c r="E3597" s="5" t="n">
        <v>32.8</v>
      </c>
      <c r="F3597" s="3" t="inlineStr">
        <is>
          <t>남이면</t>
        </is>
      </c>
      <c r="G3597" s="3" t="inlineStr">
        <is>
          <t>석실리</t>
        </is>
      </c>
      <c r="H3597" s="3" t="inlineStr">
        <is>
          <t>자연녹지지역</t>
        </is>
      </c>
      <c r="I3597" s="3" t="inlineStr">
        <is>
          <t>도로</t>
        </is>
      </c>
      <c r="J3597" s="3" t="inlineStr">
        <is>
          <t>남이면</t>
        </is>
      </c>
    </row>
    <row r="3598">
      <c r="A3598" s="3" t="n">
        <v>2022</v>
      </c>
      <c r="B3598" s="4" t="n">
        <v>7000</v>
      </c>
      <c r="C3598" s="4" t="n">
        <v>1048</v>
      </c>
      <c r="D3598" s="4" t="n">
        <v>317.02</v>
      </c>
      <c r="E3598" s="5" t="n">
        <v>22.1</v>
      </c>
      <c r="F3598" s="3" t="inlineStr">
        <is>
          <t>남이면</t>
        </is>
      </c>
      <c r="G3598" s="3" t="inlineStr">
        <is>
          <t>산막리</t>
        </is>
      </c>
      <c r="H3598" s="3" t="inlineStr">
        <is>
          <t>생산관리지역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2022</v>
      </c>
      <c r="B3599" s="4" t="n">
        <v>12000</v>
      </c>
      <c r="C3599" s="4" t="n">
        <v>1248</v>
      </c>
      <c r="D3599" s="4" t="n">
        <v>377.52</v>
      </c>
      <c r="E3599" s="5" t="n">
        <v>31.8</v>
      </c>
      <c r="F3599" s="3" t="inlineStr">
        <is>
          <t>남이면</t>
        </is>
      </c>
      <c r="G3599" s="3" t="inlineStr">
        <is>
          <t>상발리</t>
        </is>
      </c>
      <c r="H3599" s="3" t="inlineStr">
        <is>
          <t>자연녹지지역</t>
        </is>
      </c>
      <c r="I3599" s="3" t="inlineStr">
        <is>
          <t>잡종지</t>
        </is>
      </c>
      <c r="J3599" s="3" t="inlineStr">
        <is>
          <t>남이면</t>
        </is>
      </c>
    </row>
    <row r="3600">
      <c r="A3600" s="3" t="n">
        <v>2022</v>
      </c>
      <c r="B3600" s="4" t="n">
        <v>10000</v>
      </c>
      <c r="C3600" s="4" t="n">
        <v>1715</v>
      </c>
      <c r="D3600" s="4" t="n">
        <v>518.7875</v>
      </c>
      <c r="E3600" s="5" t="n">
        <v>19.3</v>
      </c>
      <c r="F3600" s="3" t="inlineStr">
        <is>
          <t>현도면</t>
        </is>
      </c>
      <c r="G3600" s="3" t="inlineStr">
        <is>
          <t>하석리</t>
        </is>
      </c>
      <c r="H3600" s="3" t="inlineStr">
        <is>
          <t>개발제한구역</t>
        </is>
      </c>
      <c r="I3600" s="3" t="inlineStr">
        <is>
          <t>전</t>
        </is>
      </c>
      <c r="J3600" s="3" t="inlineStr">
        <is>
          <t>현도면</t>
        </is>
      </c>
    </row>
    <row r="3601">
      <c r="A3601" s="3" t="n">
        <v>2022</v>
      </c>
      <c r="B3601" s="4" t="n">
        <v>9147</v>
      </c>
      <c r="C3601" s="4" t="n">
        <v>1281</v>
      </c>
      <c r="D3601" s="4" t="n">
        <v>387.5025</v>
      </c>
      <c r="E3601" s="5" t="n">
        <v>23.6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9153</v>
      </c>
      <c r="C3602" s="4" t="n">
        <v>1282</v>
      </c>
      <c r="D3602" s="4" t="n">
        <v>387.805</v>
      </c>
      <c r="E3602" s="5" t="n">
        <v>23.6</v>
      </c>
      <c r="F3602" s="3" t="inlineStr">
        <is>
          <t>현도면</t>
        </is>
      </c>
      <c r="G3602" s="3" t="inlineStr">
        <is>
          <t>시동리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3000</v>
      </c>
      <c r="C3603" s="4" t="n">
        <v>496</v>
      </c>
      <c r="D3603" s="4" t="n">
        <v>150.04</v>
      </c>
      <c r="E3603" s="5" t="n">
        <v>20</v>
      </c>
      <c r="F3603" s="3" t="inlineStr">
        <is>
          <t>남이면</t>
        </is>
      </c>
      <c r="G3603" s="3" t="inlineStr">
        <is>
          <t>상발리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2022</v>
      </c>
      <c r="B3604" s="4" t="n">
        <v>46400</v>
      </c>
      <c r="C3604" s="4" t="n">
        <v>620</v>
      </c>
      <c r="D3604" s="4" t="n">
        <v>187.55</v>
      </c>
      <c r="E3604" s="5" t="n">
        <v>247.4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2022</v>
      </c>
      <c r="B3605" s="4" t="n">
        <v>46400</v>
      </c>
      <c r="C3605" s="4" t="n">
        <v>620</v>
      </c>
      <c r="D3605" s="4" t="n">
        <v>187.55</v>
      </c>
      <c r="E3605" s="5" t="n">
        <v>247.4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답</t>
        </is>
      </c>
      <c r="J3605" s="3" t="inlineStr">
        <is>
          <t>오송읍</t>
        </is>
      </c>
    </row>
    <row r="3606">
      <c r="A3606" s="3" t="n">
        <v>2022</v>
      </c>
      <c r="B3606" s="4" t="n">
        <v>46500</v>
      </c>
      <c r="C3606" s="4" t="n">
        <v>620</v>
      </c>
      <c r="D3606" s="4" t="n">
        <v>187.55</v>
      </c>
      <c r="E3606" s="5" t="n">
        <v>247.9</v>
      </c>
      <c r="F3606" s="3" t="inlineStr">
        <is>
          <t>오송읍</t>
        </is>
      </c>
      <c r="G3606" s="3" t="inlineStr">
        <is>
          <t>궁평리</t>
        </is>
      </c>
      <c r="H3606" s="3" t="inlineStr">
        <is>
          <t>농림지역</t>
        </is>
      </c>
      <c r="I3606" s="3" t="inlineStr">
        <is>
          <t>답</t>
        </is>
      </c>
      <c r="J3606" s="3" t="inlineStr">
        <is>
          <t>오송읍</t>
        </is>
      </c>
    </row>
    <row r="3607">
      <c r="A3607" s="3" t="n">
        <v>2022</v>
      </c>
      <c r="B3607" s="4" t="n">
        <v>47100</v>
      </c>
      <c r="C3607" s="4" t="n">
        <v>622</v>
      </c>
      <c r="D3607" s="4" t="n">
        <v>188.155</v>
      </c>
      <c r="E3607" s="5" t="n">
        <v>250.3</v>
      </c>
      <c r="F3607" s="3" t="inlineStr">
        <is>
          <t>오송읍</t>
        </is>
      </c>
      <c r="G3607" s="3" t="inlineStr">
        <is>
          <t>궁평리</t>
        </is>
      </c>
      <c r="H3607" s="3" t="inlineStr">
        <is>
          <t>농림지역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2022</v>
      </c>
      <c r="B3608" s="4" t="n">
        <v>202000</v>
      </c>
      <c r="C3608" s="4" t="n">
        <v>3220</v>
      </c>
      <c r="D3608" s="4" t="n">
        <v>974.05</v>
      </c>
      <c r="E3608" s="5" t="n">
        <v>207.4</v>
      </c>
      <c r="F3608" s="3" t="inlineStr">
        <is>
          <t>오송읍</t>
        </is>
      </c>
      <c r="G3608" s="3" t="inlineStr">
        <is>
          <t>궁평리</t>
        </is>
      </c>
      <c r="H3608" s="3" t="inlineStr">
        <is>
          <t>농림지역</t>
        </is>
      </c>
      <c r="I3608" s="3" t="inlineStr">
        <is>
          <t>답</t>
        </is>
      </c>
      <c r="J3608" s="3" t="inlineStr">
        <is>
          <t>오송읍</t>
        </is>
      </c>
    </row>
    <row r="3609">
      <c r="A3609" s="3" t="n">
        <v>2022</v>
      </c>
      <c r="B3609" s="4" t="n">
        <v>108000</v>
      </c>
      <c r="C3609" s="4" t="n">
        <v>1625</v>
      </c>
      <c r="D3609" s="4" t="n">
        <v>491.5625</v>
      </c>
      <c r="E3609" s="5" t="n">
        <v>219.7</v>
      </c>
      <c r="F3609" s="3" t="inlineStr">
        <is>
          <t>강내면</t>
        </is>
      </c>
      <c r="G3609" s="3" t="inlineStr">
        <is>
          <t>월곡리</t>
        </is>
      </c>
      <c r="H3609" s="3" t="inlineStr">
        <is>
          <t>제1종일반주거지역</t>
        </is>
      </c>
      <c r="I3609" s="3" t="inlineStr">
        <is>
          <t>전</t>
        </is>
      </c>
      <c r="J3609" s="3" t="inlineStr">
        <is>
          <t>강내면</t>
        </is>
      </c>
    </row>
    <row r="3610">
      <c r="A3610" s="3" t="n">
        <v>2022</v>
      </c>
      <c r="B3610" s="4" t="n">
        <v>115800</v>
      </c>
      <c r="C3610" s="4" t="n">
        <v>6961</v>
      </c>
      <c r="D3610" s="4" t="n">
        <v>2105.7025</v>
      </c>
      <c r="E3610" s="5" t="n">
        <v>55</v>
      </c>
      <c r="F3610" s="3" t="inlineStr">
        <is>
          <t>강내면</t>
        </is>
      </c>
      <c r="G3610" s="3" t="inlineStr">
        <is>
          <t>태성리</t>
        </is>
      </c>
      <c r="H3610" s="3" t="inlineStr">
        <is>
          <t>계획관리지역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2022</v>
      </c>
      <c r="B3611" s="4" t="n">
        <v>15000</v>
      </c>
      <c r="C3611" s="4" t="n">
        <v>4860</v>
      </c>
      <c r="D3611" s="4" t="n">
        <v>1470.15</v>
      </c>
      <c r="E3611" s="5" t="n">
        <v>10.2</v>
      </c>
      <c r="F3611" s="3" t="inlineStr">
        <is>
          <t>강내면</t>
        </is>
      </c>
      <c r="G3611" s="3" t="inlineStr">
        <is>
          <t>탑연리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강내면</t>
        </is>
      </c>
    </row>
    <row r="3612">
      <c r="A3612" s="3" t="n">
        <v>2022</v>
      </c>
      <c r="B3612" s="4" t="n">
        <v>6200</v>
      </c>
      <c r="C3612" s="4" t="n">
        <v>223</v>
      </c>
      <c r="D3612" s="4" t="n">
        <v>67.4575</v>
      </c>
      <c r="E3612" s="5" t="n">
        <v>91.90000000000001</v>
      </c>
      <c r="F3612" s="3" t="inlineStr">
        <is>
          <t>오송읍</t>
        </is>
      </c>
      <c r="G3612" s="3" t="inlineStr">
        <is>
          <t>궁평리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오송읍</t>
        </is>
      </c>
    </row>
    <row r="3613">
      <c r="A3613" s="3" t="n">
        <v>2022</v>
      </c>
      <c r="B3613" s="4" t="n">
        <v>47000</v>
      </c>
      <c r="C3613" s="4" t="n">
        <v>273.5</v>
      </c>
      <c r="D3613" s="4" t="n">
        <v>82.73375</v>
      </c>
      <c r="E3613" s="5" t="n">
        <v>568.1</v>
      </c>
      <c r="F3613" s="3" t="inlineStr">
        <is>
          <t>오송읍</t>
        </is>
      </c>
      <c r="G3613" s="3" t="inlineStr">
        <is>
          <t>봉산리</t>
        </is>
      </c>
      <c r="H3613" s="3" t="inlineStr">
        <is>
          <t>제1종일반주거지역</t>
        </is>
      </c>
      <c r="I3613" s="3" t="inlineStr">
        <is>
          <t>대</t>
        </is>
      </c>
      <c r="J3613" s="3" t="inlineStr">
        <is>
          <t>오송읍</t>
        </is>
      </c>
    </row>
    <row r="3614">
      <c r="A3614" s="3" t="n">
        <v>2022</v>
      </c>
      <c r="B3614" s="4" t="n">
        <v>28000</v>
      </c>
      <c r="C3614" s="4" t="n">
        <v>271.9</v>
      </c>
      <c r="D3614" s="4" t="n">
        <v>82.24974999999999</v>
      </c>
      <c r="E3614" s="5" t="n">
        <v>340.4</v>
      </c>
      <c r="F3614" s="3" t="inlineStr">
        <is>
          <t>오송읍</t>
        </is>
      </c>
      <c r="G3614" s="3" t="inlineStr">
        <is>
          <t>봉산리</t>
        </is>
      </c>
      <c r="H3614" s="3" t="inlineStr">
        <is>
          <t>제1종일반주거지역</t>
        </is>
      </c>
      <c r="I3614" s="3" t="inlineStr">
        <is>
          <t>대</t>
        </is>
      </c>
      <c r="J3614" s="3" t="inlineStr">
        <is>
          <t>오송읍</t>
        </is>
      </c>
    </row>
    <row r="3615">
      <c r="A3615" s="3" t="n">
        <v>2022</v>
      </c>
      <c r="B3615" s="4" t="n">
        <v>12000</v>
      </c>
      <c r="C3615" s="4" t="n">
        <v>1851</v>
      </c>
      <c r="D3615" s="4" t="n">
        <v>559.9275</v>
      </c>
      <c r="E3615" s="5" t="n">
        <v>21.4</v>
      </c>
      <c r="F3615" s="3" t="inlineStr">
        <is>
          <t>강내면</t>
        </is>
      </c>
      <c r="G3615" s="3" t="inlineStr">
        <is>
          <t>궁현리</t>
        </is>
      </c>
      <c r="H3615" s="3" t="inlineStr">
        <is>
          <t>농림지역</t>
        </is>
      </c>
      <c r="I3615" s="3" t="inlineStr">
        <is>
          <t>전</t>
        </is>
      </c>
      <c r="J3615" s="3" t="inlineStr">
        <is>
          <t>강내면</t>
        </is>
      </c>
    </row>
    <row r="3616">
      <c r="A3616" s="3" t="n">
        <v>2022</v>
      </c>
      <c r="B3616" s="4" t="n">
        <v>14190</v>
      </c>
      <c r="C3616" s="4" t="n">
        <v>853</v>
      </c>
      <c r="D3616" s="4" t="n">
        <v>258.0325</v>
      </c>
      <c r="E3616" s="5" t="n">
        <v>55</v>
      </c>
      <c r="F3616" s="3" t="inlineStr">
        <is>
          <t>오송읍</t>
        </is>
      </c>
      <c r="G3616" s="3" t="inlineStr">
        <is>
          <t>서평리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2022</v>
      </c>
      <c r="B3617" s="4" t="n">
        <v>2720</v>
      </c>
      <c r="C3617" s="4" t="n">
        <v>112</v>
      </c>
      <c r="D3617" s="4" t="n">
        <v>33.88</v>
      </c>
      <c r="E3617" s="5" t="n">
        <v>80.3</v>
      </c>
      <c r="F3617" s="3" t="inlineStr">
        <is>
          <t>강내면</t>
        </is>
      </c>
      <c r="G3617" s="3" t="inlineStr">
        <is>
          <t>월탄리</t>
        </is>
      </c>
      <c r="H3617" s="3" t="inlineStr">
        <is>
          <t>자연녹지지역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2022</v>
      </c>
      <c r="B3618" s="4" t="n">
        <v>54400</v>
      </c>
      <c r="C3618" s="4" t="n">
        <v>265</v>
      </c>
      <c r="D3618" s="4" t="n">
        <v>80.16249999999999</v>
      </c>
      <c r="E3618" s="5" t="n">
        <v>678.6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제2종일반주거지역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2022</v>
      </c>
      <c r="B3619" s="4" t="n">
        <v>12900</v>
      </c>
      <c r="C3619" s="4" t="n">
        <v>600</v>
      </c>
      <c r="D3619" s="4" t="n">
        <v>181.5</v>
      </c>
      <c r="E3619" s="5" t="n">
        <v>71.09999999999999</v>
      </c>
      <c r="F3619" s="3" t="inlineStr">
        <is>
          <t>전동면</t>
        </is>
      </c>
      <c r="G3619" s="3" t="inlineStr">
        <is>
          <t>송곡리</t>
        </is>
      </c>
      <c r="H3619" s="3" t="inlineStr">
        <is>
          <t>보전관리지역</t>
        </is>
      </c>
      <c r="I3619" s="3" t="inlineStr">
        <is>
          <t>임야</t>
        </is>
      </c>
      <c r="J3619" s="3" t="inlineStr">
        <is>
          <t>전동면</t>
        </is>
      </c>
    </row>
    <row r="3620">
      <c r="A3620" s="3" t="n">
        <v>2022</v>
      </c>
      <c r="B3620" s="4" t="n">
        <v>20212</v>
      </c>
      <c r="C3620" s="4" t="n">
        <v>393</v>
      </c>
      <c r="D3620" s="4" t="n">
        <v>118.8825</v>
      </c>
      <c r="E3620" s="5" t="n">
        <v>170</v>
      </c>
      <c r="F3620" s="3" t="inlineStr">
        <is>
          <t>장군면</t>
        </is>
      </c>
      <c r="G3620" s="3" t="inlineStr">
        <is>
          <t>송문리</t>
        </is>
      </c>
      <c r="H3620" s="3" t="inlineStr">
        <is>
          <t>보전관리지역</t>
        </is>
      </c>
      <c r="I3620" s="3" t="inlineStr">
        <is>
          <t>임야</t>
        </is>
      </c>
      <c r="J3620" s="3" t="inlineStr">
        <is>
          <t>장군면</t>
        </is>
      </c>
    </row>
    <row r="3621">
      <c r="A3621" s="3" t="n">
        <v>2022</v>
      </c>
      <c r="B3621" s="4" t="n">
        <v>32000</v>
      </c>
      <c r="C3621" s="4" t="n">
        <v>265</v>
      </c>
      <c r="D3621" s="4" t="n">
        <v>80.16249999999999</v>
      </c>
      <c r="E3621" s="5" t="n">
        <v>399.2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답</t>
        </is>
      </c>
      <c r="J3621" s="3" t="inlineStr">
        <is>
          <t>조치원읍</t>
        </is>
      </c>
    </row>
    <row r="3622">
      <c r="A3622" s="3" t="n">
        <v>2022</v>
      </c>
      <c r="B3622" s="4" t="n">
        <v>41600</v>
      </c>
      <c r="C3622" s="4" t="n">
        <v>1966</v>
      </c>
      <c r="D3622" s="4" t="n">
        <v>594.715</v>
      </c>
      <c r="E3622" s="5" t="n">
        <v>69.90000000000001</v>
      </c>
      <c r="F3622" s="3" t="inlineStr">
        <is>
          <t>금남면</t>
        </is>
      </c>
      <c r="G3622" s="3" t="inlineStr">
        <is>
          <t>달전리</t>
        </is>
      </c>
      <c r="H3622" s="3" t="inlineStr">
        <is>
          <t>개발제한구역</t>
        </is>
      </c>
      <c r="I3622" s="3" t="inlineStr">
        <is>
          <t>답</t>
        </is>
      </c>
      <c r="J3622" s="3" t="inlineStr">
        <is>
          <t>금남면</t>
        </is>
      </c>
    </row>
    <row r="3623">
      <c r="A3623" s="3" t="n">
        <v>2022</v>
      </c>
      <c r="B3623" s="4" t="n">
        <v>41000</v>
      </c>
      <c r="C3623" s="4" t="n">
        <v>1944</v>
      </c>
      <c r="D3623" s="4" t="n">
        <v>588.0599999999999</v>
      </c>
      <c r="E3623" s="5" t="n">
        <v>69.7</v>
      </c>
      <c r="F3623" s="3" t="inlineStr">
        <is>
          <t>금남면</t>
        </is>
      </c>
      <c r="G3623" s="3" t="inlineStr">
        <is>
          <t>달전리</t>
        </is>
      </c>
      <c r="H3623" s="3" t="inlineStr">
        <is>
          <t>개발제한구역</t>
        </is>
      </c>
      <c r="I3623" s="3" t="inlineStr">
        <is>
          <t>전</t>
        </is>
      </c>
      <c r="J3623" s="3" t="inlineStr">
        <is>
          <t>금남면</t>
        </is>
      </c>
    </row>
    <row r="3624">
      <c r="A3624" s="3" t="n">
        <v>2022</v>
      </c>
      <c r="B3624" s="4" t="n">
        <v>1498</v>
      </c>
      <c r="C3624" s="4" t="n">
        <v>272</v>
      </c>
      <c r="D3624" s="4" t="n">
        <v>82.28</v>
      </c>
      <c r="E3624" s="5" t="n">
        <v>18.2</v>
      </c>
      <c r="F3624" s="3" t="inlineStr">
        <is>
          <t>전동면</t>
        </is>
      </c>
      <c r="G3624" s="3" t="inlineStr">
        <is>
          <t>청송리</t>
        </is>
      </c>
      <c r="H3624" s="3" t="inlineStr">
        <is>
          <t>계획관리지역</t>
        </is>
      </c>
      <c r="I3624" s="3" t="inlineStr">
        <is>
          <t>전</t>
        </is>
      </c>
      <c r="J3624" s="3" t="inlineStr">
        <is>
          <t>전동면</t>
        </is>
      </c>
    </row>
    <row r="3625">
      <c r="A3625" s="3" t="n">
        <v>2022</v>
      </c>
      <c r="B3625" s="4" t="n">
        <v>919</v>
      </c>
      <c r="C3625" s="4" t="n">
        <v>167</v>
      </c>
      <c r="D3625" s="4" t="n">
        <v>50.5175</v>
      </c>
      <c r="E3625" s="5" t="n">
        <v>18.2</v>
      </c>
      <c r="F3625" s="3" t="inlineStr">
        <is>
          <t>전동면</t>
        </is>
      </c>
      <c r="G3625" s="3" t="inlineStr">
        <is>
          <t>청송리</t>
        </is>
      </c>
      <c r="H3625" s="3" t="inlineStr">
        <is>
          <t>계획관리지역</t>
        </is>
      </c>
      <c r="I3625" s="3" t="inlineStr">
        <is>
          <t>임야</t>
        </is>
      </c>
      <c r="J3625" s="3" t="inlineStr">
        <is>
          <t>전동면</t>
        </is>
      </c>
    </row>
    <row r="3626">
      <c r="A3626" s="3" t="n">
        <v>2022</v>
      </c>
      <c r="B3626" s="4" t="n">
        <v>56800</v>
      </c>
      <c r="C3626" s="4" t="n">
        <v>2086</v>
      </c>
      <c r="D3626" s="4" t="n">
        <v>631.015</v>
      </c>
      <c r="E3626" s="5" t="n">
        <v>90</v>
      </c>
      <c r="F3626" s="3" t="inlineStr">
        <is>
          <t>연서면</t>
        </is>
      </c>
      <c r="G3626" s="3" t="inlineStr">
        <is>
          <t>쌍류리</t>
        </is>
      </c>
      <c r="H3626" s="3" t="inlineStr">
        <is>
          <t>생산관리지역</t>
        </is>
      </c>
      <c r="I3626" s="3" t="inlineStr">
        <is>
          <t>과수원</t>
        </is>
      </c>
      <c r="J3626" s="3" t="inlineStr">
        <is>
          <t>연서면</t>
        </is>
      </c>
    </row>
    <row r="3627">
      <c r="A3627" s="3" t="n">
        <v>2022</v>
      </c>
      <c r="B3627" s="4" t="n">
        <v>62200</v>
      </c>
      <c r="C3627" s="4" t="n">
        <v>2290</v>
      </c>
      <c r="D3627" s="4" t="n">
        <v>692.725</v>
      </c>
      <c r="E3627" s="5" t="n">
        <v>89.8</v>
      </c>
      <c r="F3627" s="3" t="inlineStr">
        <is>
          <t>연서면</t>
        </is>
      </c>
      <c r="G3627" s="3" t="inlineStr">
        <is>
          <t>쌍류리</t>
        </is>
      </c>
      <c r="H3627" s="3" t="inlineStr">
        <is>
          <t>생산관리지역</t>
        </is>
      </c>
      <c r="I3627" s="3" t="inlineStr">
        <is>
          <t>과수원</t>
        </is>
      </c>
      <c r="J3627" s="3" t="inlineStr">
        <is>
          <t>연서면</t>
        </is>
      </c>
    </row>
    <row r="3628">
      <c r="A3628" s="3" t="n">
        <v>2022</v>
      </c>
      <c r="B3628" s="4" t="n">
        <v>480</v>
      </c>
      <c r="C3628" s="4" t="n">
        <v>20</v>
      </c>
      <c r="D3628" s="4" t="n">
        <v>6.05</v>
      </c>
      <c r="E3628" s="5" t="n">
        <v>79.3</v>
      </c>
      <c r="F3628" s="3" t="inlineStr">
        <is>
          <t>부강면</t>
        </is>
      </c>
      <c r="G3628" s="3" t="inlineStr">
        <is>
          <t>금호리</t>
        </is>
      </c>
      <c r="H3628" s="3" t="inlineStr">
        <is>
          <t>계획관리지역</t>
        </is>
      </c>
      <c r="I3628" s="3" t="inlineStr">
        <is>
          <t>전</t>
        </is>
      </c>
      <c r="J3628" s="3" t="inlineStr">
        <is>
          <t>부강면</t>
        </is>
      </c>
    </row>
    <row r="3629">
      <c r="A3629" s="3" t="n">
        <v>2022</v>
      </c>
      <c r="B3629" s="4" t="n">
        <v>7600</v>
      </c>
      <c r="C3629" s="4" t="n">
        <v>125</v>
      </c>
      <c r="D3629" s="4" t="n">
        <v>37.8125</v>
      </c>
      <c r="E3629" s="5" t="n">
        <v>201</v>
      </c>
      <c r="F3629" s="3" t="inlineStr">
        <is>
          <t>부강면</t>
        </is>
      </c>
      <c r="G3629" s="3" t="inlineStr">
        <is>
          <t>금호리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부강면</t>
        </is>
      </c>
    </row>
    <row r="3630">
      <c r="A3630" s="3" t="n">
        <v>2022</v>
      </c>
      <c r="B3630" s="4" t="n">
        <v>17940</v>
      </c>
      <c r="C3630" s="4" t="n">
        <v>261</v>
      </c>
      <c r="D3630" s="4" t="n">
        <v>78.9525</v>
      </c>
      <c r="E3630" s="5" t="n">
        <v>227.2</v>
      </c>
      <c r="F3630" s="3" t="inlineStr">
        <is>
          <t>금남면</t>
        </is>
      </c>
      <c r="G3630" s="3" t="inlineStr">
        <is>
          <t>달전리</t>
        </is>
      </c>
      <c r="H3630" s="3" t="inlineStr">
        <is>
          <t>제1종일반주거지역</t>
        </is>
      </c>
      <c r="I3630" s="3" t="inlineStr">
        <is>
          <t>답</t>
        </is>
      </c>
      <c r="J3630" s="3" t="inlineStr">
        <is>
          <t>금남면</t>
        </is>
      </c>
    </row>
    <row r="3631">
      <c r="A3631" s="3" t="n">
        <v>2022</v>
      </c>
      <c r="B3631" s="4" t="n">
        <v>18000</v>
      </c>
      <c r="C3631" s="4" t="n">
        <v>200</v>
      </c>
      <c r="D3631" s="4" t="n">
        <v>60.5</v>
      </c>
      <c r="E3631" s="5" t="n">
        <v>297.5</v>
      </c>
      <c r="F3631" s="3" t="inlineStr">
        <is>
          <t>연기면</t>
        </is>
      </c>
      <c r="G3631" s="3" t="inlineStr">
        <is>
          <t>눌왕리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연기면</t>
        </is>
      </c>
    </row>
    <row r="3632">
      <c r="A3632" s="3" t="n">
        <v>2022</v>
      </c>
      <c r="B3632" s="4" t="n">
        <v>45300</v>
      </c>
      <c r="C3632" s="4" t="n">
        <v>650</v>
      </c>
      <c r="D3632" s="4" t="n">
        <v>196.625</v>
      </c>
      <c r="E3632" s="5" t="n">
        <v>230.4</v>
      </c>
      <c r="F3632" s="3" t="inlineStr">
        <is>
          <t>금남면</t>
        </is>
      </c>
      <c r="G3632" s="3" t="inlineStr">
        <is>
          <t>성덕리</t>
        </is>
      </c>
      <c r="H3632" s="3" t="inlineStr">
        <is>
          <t>생산관리지역</t>
        </is>
      </c>
      <c r="I3632" s="3" t="inlineStr">
        <is>
          <t>양어장</t>
        </is>
      </c>
      <c r="J3632" s="3" t="inlineStr">
        <is>
          <t>금남면</t>
        </is>
      </c>
    </row>
    <row r="3633">
      <c r="A3633" s="3" t="n">
        <v>2022</v>
      </c>
      <c r="B3633" s="4" t="n">
        <v>19784</v>
      </c>
      <c r="C3633" s="4" t="n">
        <v>545</v>
      </c>
      <c r="D3633" s="4" t="n">
        <v>164.8625</v>
      </c>
      <c r="E3633" s="5" t="n">
        <v>120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연서면</t>
        </is>
      </c>
    </row>
    <row r="3634">
      <c r="A3634" s="3" t="n">
        <v>2022</v>
      </c>
      <c r="B3634" s="4" t="n">
        <v>62700</v>
      </c>
      <c r="C3634" s="4" t="n">
        <v>886</v>
      </c>
      <c r="D3634" s="4" t="n">
        <v>268.015</v>
      </c>
      <c r="E3634" s="5" t="n">
        <v>233.9</v>
      </c>
      <c r="F3634" s="3" t="inlineStr">
        <is>
          <t>연서면</t>
        </is>
      </c>
      <c r="G3634" s="3" t="inlineStr">
        <is>
          <t>신대리</t>
        </is>
      </c>
      <c r="H3634" s="3" t="inlineStr">
        <is>
          <t>계획관리지역</t>
        </is>
      </c>
      <c r="I3634" s="3" t="inlineStr">
        <is>
          <t>대</t>
        </is>
      </c>
      <c r="J3634" s="3" t="inlineStr">
        <is>
          <t>연서면</t>
        </is>
      </c>
    </row>
    <row r="3635">
      <c r="A3635" s="3" t="n">
        <v>2026</v>
      </c>
      <c r="B3635" s="4" t="n">
        <v>1076</v>
      </c>
      <c r="C3635" s="4" t="n">
        <v>2989</v>
      </c>
      <c r="D3635" s="4" t="n">
        <v>904.1725</v>
      </c>
      <c r="E3635" s="5" t="n">
        <v>1.2</v>
      </c>
      <c r="F3635" s="3" t="inlineStr">
        <is>
          <t>현도면</t>
        </is>
      </c>
      <c r="G3635" s="3" t="inlineStr">
        <is>
          <t>양지리</t>
        </is>
      </c>
      <c r="H3635" s="3" t="inlineStr">
        <is>
          <t>개발제한구역</t>
        </is>
      </c>
      <c r="I3635" s="3" t="inlineStr">
        <is>
          <t>임야</t>
        </is>
      </c>
      <c r="J3635" s="3" t="inlineStr">
        <is>
          <t>현도면</t>
        </is>
      </c>
    </row>
    <row r="3636">
      <c r="A3636" s="3" t="n">
        <v>2026</v>
      </c>
      <c r="B3636" s="4" t="n">
        <v>47480</v>
      </c>
      <c r="C3636" s="4" t="n">
        <v>3737</v>
      </c>
      <c r="D3636" s="4" t="n">
        <v>1130.4425</v>
      </c>
      <c r="E3636" s="5" t="n">
        <v>42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2026</v>
      </c>
      <c r="B3637" s="4" t="n">
        <v>20020</v>
      </c>
      <c r="C3637" s="4" t="n">
        <v>1576</v>
      </c>
      <c r="D3637" s="4" t="n">
        <v>476.74</v>
      </c>
      <c r="E3637" s="5" t="n">
        <v>42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2026</v>
      </c>
      <c r="B3638" s="4" t="n">
        <v>20000</v>
      </c>
      <c r="C3638" s="4" t="n">
        <v>1732</v>
      </c>
      <c r="D3638" s="4" t="n">
        <v>523.9299999999999</v>
      </c>
      <c r="E3638" s="5" t="n">
        <v>38.2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2026</v>
      </c>
      <c r="B3639" s="4" t="n">
        <v>10000</v>
      </c>
      <c r="C3639" s="4" t="n">
        <v>1527</v>
      </c>
      <c r="D3639" s="4" t="n">
        <v>461.9175</v>
      </c>
      <c r="E3639" s="5" t="n">
        <v>21.6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2026</v>
      </c>
      <c r="B3640" s="4" t="n">
        <v>1076</v>
      </c>
      <c r="C3640" s="4" t="n">
        <v>2989</v>
      </c>
      <c r="D3640" s="4" t="n">
        <v>904.1725</v>
      </c>
      <c r="E3640" s="5" t="n">
        <v>1.2</v>
      </c>
      <c r="F3640" s="3" t="inlineStr">
        <is>
          <t>현도면</t>
        </is>
      </c>
      <c r="G3640" s="3" t="inlineStr">
        <is>
          <t>양지리</t>
        </is>
      </c>
      <c r="H3640" s="3" t="inlineStr">
        <is>
          <t>개발제한구역</t>
        </is>
      </c>
      <c r="I3640" s="3" t="inlineStr">
        <is>
          <t>전</t>
        </is>
      </c>
      <c r="J3640" s="3" t="inlineStr">
        <is>
          <t>현도면</t>
        </is>
      </c>
    </row>
    <row r="3641">
      <c r="A3641" s="3" t="n">
        <v>2026</v>
      </c>
      <c r="B3641" s="4" t="n">
        <v>5736</v>
      </c>
      <c r="C3641" s="4" t="n">
        <v>271</v>
      </c>
      <c r="D3641" s="4" t="n">
        <v>81.97749999999999</v>
      </c>
      <c r="E3641" s="5" t="n">
        <v>70</v>
      </c>
      <c r="F3641" s="3" t="inlineStr">
        <is>
          <t>남이면</t>
        </is>
      </c>
      <c r="G3641" s="3" t="inlineStr">
        <is>
          <t>부용외천리</t>
        </is>
      </c>
      <c r="H3641" s="3" t="inlineStr">
        <is>
          <t>계획관리지역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2026</v>
      </c>
      <c r="B3642" s="4" t="n">
        <v>18458</v>
      </c>
      <c r="C3642" s="4" t="n">
        <v>662</v>
      </c>
      <c r="D3642" s="4" t="n">
        <v>200.255</v>
      </c>
      <c r="E3642" s="5" t="n">
        <v>92.2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2026</v>
      </c>
      <c r="B3643" s="4" t="n">
        <v>27707</v>
      </c>
      <c r="C3643" s="4" t="n">
        <v>1212</v>
      </c>
      <c r="D3643" s="4" t="n">
        <v>366.63</v>
      </c>
      <c r="E3643" s="5" t="n">
        <v>75.59999999999999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2026</v>
      </c>
      <c r="B3644" s="4" t="n">
        <v>9000</v>
      </c>
      <c r="C3644" s="4" t="n">
        <v>492</v>
      </c>
      <c r="D3644" s="4" t="n">
        <v>148.83</v>
      </c>
      <c r="E3644" s="5" t="n">
        <v>60.5</v>
      </c>
      <c r="F3644" s="3" t="inlineStr">
        <is>
          <t>남이면</t>
        </is>
      </c>
      <c r="G3644" s="3" t="inlineStr">
        <is>
          <t>외천리</t>
        </is>
      </c>
      <c r="H3644" s="3" t="inlineStr">
        <is>
          <t>계획관리지역</t>
        </is>
      </c>
      <c r="I3644" s="3" t="inlineStr">
        <is>
          <t>대</t>
        </is>
      </c>
      <c r="J3644" s="3" t="inlineStr">
        <is>
          <t>남이면</t>
        </is>
      </c>
    </row>
    <row r="3645">
      <c r="A3645" s="3" t="n">
        <v>2026</v>
      </c>
      <c r="B3645" s="4" t="n">
        <v>10000</v>
      </c>
      <c r="C3645" s="4" t="n">
        <v>926</v>
      </c>
      <c r="D3645" s="4" t="n">
        <v>280.115</v>
      </c>
      <c r="E3645" s="5" t="n">
        <v>35.7</v>
      </c>
      <c r="F3645" s="3" t="inlineStr">
        <is>
          <t>남이면</t>
        </is>
      </c>
      <c r="G3645" s="3" t="inlineStr">
        <is>
          <t>산막리</t>
        </is>
      </c>
      <c r="H3645" s="3" t="inlineStr">
        <is>
          <t>계획관리지역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2026</v>
      </c>
      <c r="B3646" s="4" t="n">
        <v>7000</v>
      </c>
      <c r="C3646" s="4" t="n">
        <v>331</v>
      </c>
      <c r="D3646" s="4" t="n">
        <v>100.1275</v>
      </c>
      <c r="E3646" s="5" t="n">
        <v>69.90000000000001</v>
      </c>
      <c r="F3646" s="3" t="inlineStr">
        <is>
          <t>남이면</t>
        </is>
      </c>
      <c r="G3646" s="3" t="inlineStr">
        <is>
          <t>외천리</t>
        </is>
      </c>
      <c r="H3646" s="3" t="inlineStr">
        <is>
          <t>계획관리지역</t>
        </is>
      </c>
      <c r="I3646" s="3" t="inlineStr">
        <is>
          <t>대</t>
        </is>
      </c>
      <c r="J3646" s="3" t="inlineStr">
        <is>
          <t>남이면</t>
        </is>
      </c>
    </row>
    <row r="3647">
      <c r="A3647" s="3" t="n">
        <v>2026</v>
      </c>
      <c r="B3647" s="4" t="n">
        <v>81000</v>
      </c>
      <c r="C3647" s="4" t="n">
        <v>2694</v>
      </c>
      <c r="D3647" s="4" t="n">
        <v>814.9349999999999</v>
      </c>
      <c r="E3647" s="5" t="n">
        <v>99.40000000000001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공장용지</t>
        </is>
      </c>
      <c r="J3647" s="3" t="inlineStr">
        <is>
          <t>남이면</t>
        </is>
      </c>
    </row>
    <row r="3648">
      <c r="A3648" s="3" t="n">
        <v>2022</v>
      </c>
      <c r="B3648" s="4" t="n">
        <v>4379</v>
      </c>
      <c r="C3648" s="4" t="n">
        <v>437</v>
      </c>
      <c r="D3648" s="4" t="n">
        <v>132.1925</v>
      </c>
      <c r="E3648" s="5" t="n">
        <v>33.1</v>
      </c>
      <c r="F3648" s="3" t="inlineStr">
        <is>
          <t>남이면</t>
        </is>
      </c>
      <c r="G3648" s="3" t="inlineStr">
        <is>
          <t>산막리</t>
        </is>
      </c>
      <c r="H3648" s="3" t="inlineStr">
        <is>
          <t>생산관리지역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2022</v>
      </c>
      <c r="B3649" s="4" t="n">
        <v>3100</v>
      </c>
      <c r="C3649" s="4" t="n">
        <v>661</v>
      </c>
      <c r="D3649" s="4" t="n">
        <v>199.9525</v>
      </c>
      <c r="E3649" s="5" t="n">
        <v>15.5</v>
      </c>
      <c r="F3649" s="3" t="inlineStr">
        <is>
          <t>현도면</t>
        </is>
      </c>
      <c r="G3649" s="3" t="inlineStr">
        <is>
          <t>달계리</t>
        </is>
      </c>
      <c r="H3649" s="3" t="inlineStr">
        <is>
          <t>개발제한구역</t>
        </is>
      </c>
      <c r="I3649" s="3" t="inlineStr">
        <is>
          <t>임야</t>
        </is>
      </c>
      <c r="J3649" s="3" t="inlineStr">
        <is>
          <t>현도면</t>
        </is>
      </c>
    </row>
    <row r="3650">
      <c r="A3650" s="3" t="n">
        <v>2022</v>
      </c>
      <c r="B3650" s="4" t="n">
        <v>5000</v>
      </c>
      <c r="C3650" s="4" t="n">
        <v>420</v>
      </c>
      <c r="D3650" s="4" t="n">
        <v>127.05</v>
      </c>
      <c r="E3650" s="5" t="n">
        <v>39.4</v>
      </c>
      <c r="F3650" s="3" t="inlineStr">
        <is>
          <t>현도면</t>
        </is>
      </c>
      <c r="G3650" s="3" t="inlineStr">
        <is>
          <t>우록리</t>
        </is>
      </c>
      <c r="H3650" s="3" t="inlineStr">
        <is>
          <t>생산관리지역</t>
        </is>
      </c>
      <c r="I3650" s="3" t="inlineStr">
        <is>
          <t>도로</t>
        </is>
      </c>
      <c r="J3650" s="3" t="inlineStr">
        <is>
          <t>현도면</t>
        </is>
      </c>
    </row>
    <row r="3651">
      <c r="A3651" s="3" t="n">
        <v>2022</v>
      </c>
      <c r="B3651" s="4" t="n">
        <v>4000</v>
      </c>
      <c r="C3651" s="4" t="n">
        <v>330</v>
      </c>
      <c r="D3651" s="4" t="n">
        <v>99.825</v>
      </c>
      <c r="E3651" s="5" t="n">
        <v>40.1</v>
      </c>
      <c r="F3651" s="3" t="inlineStr">
        <is>
          <t>현도면</t>
        </is>
      </c>
      <c r="G3651" s="3" t="inlineStr">
        <is>
          <t>우록리</t>
        </is>
      </c>
      <c r="H3651" s="3" t="inlineStr">
        <is>
          <t>생산관리지역</t>
        </is>
      </c>
      <c r="I3651" s="3" t="inlineStr">
        <is>
          <t>도로</t>
        </is>
      </c>
      <c r="J3651" s="3" t="inlineStr">
        <is>
          <t>현도면</t>
        </is>
      </c>
    </row>
    <row r="3652">
      <c r="A3652" s="3" t="n">
        <v>2022</v>
      </c>
      <c r="B3652" s="4" t="n">
        <v>700</v>
      </c>
      <c r="C3652" s="4" t="n">
        <v>11</v>
      </c>
      <c r="D3652" s="4" t="n">
        <v>3.3275</v>
      </c>
      <c r="E3652" s="5" t="n">
        <v>210.4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도로</t>
        </is>
      </c>
      <c r="J3652" s="3" t="inlineStr">
        <is>
          <t>남이면</t>
        </is>
      </c>
    </row>
    <row r="3653">
      <c r="A3653" s="3" t="n">
        <v>2022</v>
      </c>
      <c r="B3653" s="4" t="n">
        <v>12000</v>
      </c>
      <c r="C3653" s="4" t="n">
        <v>826</v>
      </c>
      <c r="D3653" s="4" t="n">
        <v>249.865</v>
      </c>
      <c r="E3653" s="5" t="n">
        <v>48</v>
      </c>
      <c r="F3653" s="3" t="inlineStr">
        <is>
          <t>남이면</t>
        </is>
      </c>
      <c r="G3653" s="3" t="inlineStr">
        <is>
          <t>석실리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3000</v>
      </c>
      <c r="C3654" s="4" t="n">
        <v>49</v>
      </c>
      <c r="D3654" s="4" t="n">
        <v>14.8225</v>
      </c>
      <c r="E3654" s="5" t="n">
        <v>202.4</v>
      </c>
      <c r="F3654" s="3" t="inlineStr">
        <is>
          <t>현도면</t>
        </is>
      </c>
      <c r="G3654" s="3" t="inlineStr">
        <is>
          <t>노산리</t>
        </is>
      </c>
      <c r="H3654" s="3" t="inlineStr">
        <is>
          <t>제1종일반주거지역</t>
        </is>
      </c>
      <c r="I3654" s="3" t="inlineStr">
        <is>
          <t>대</t>
        </is>
      </c>
      <c r="J3654" s="3" t="inlineStr">
        <is>
          <t>현도면</t>
        </is>
      </c>
    </row>
    <row r="3655">
      <c r="A3655" s="3" t="n">
        <v>2022</v>
      </c>
      <c r="B3655" s="4" t="n">
        <v>11400</v>
      </c>
      <c r="C3655" s="4" t="n">
        <v>286</v>
      </c>
      <c r="D3655" s="4" t="n">
        <v>86.515</v>
      </c>
      <c r="E3655" s="5" t="n">
        <v>131.8</v>
      </c>
      <c r="F3655" s="3" t="inlineStr">
        <is>
          <t>현도면</t>
        </is>
      </c>
      <c r="G3655" s="3" t="inlineStr">
        <is>
          <t>노산리</t>
        </is>
      </c>
      <c r="H3655" s="3" t="inlineStr">
        <is>
          <t>제1종일반주거지역</t>
        </is>
      </c>
      <c r="I3655" s="3" t="inlineStr">
        <is>
          <t>전</t>
        </is>
      </c>
      <c r="J3655" s="3" t="inlineStr">
        <is>
          <t>현도면</t>
        </is>
      </c>
    </row>
    <row r="3656">
      <c r="A3656" s="3" t="n">
        <v>2022</v>
      </c>
      <c r="B3656" s="4" t="n">
        <v>6600</v>
      </c>
      <c r="C3656" s="4" t="n">
        <v>108</v>
      </c>
      <c r="D3656" s="4" t="n">
        <v>32.67</v>
      </c>
      <c r="E3656" s="5" t="n">
        <v>202</v>
      </c>
      <c r="F3656" s="3" t="inlineStr">
        <is>
          <t>현도면</t>
        </is>
      </c>
      <c r="G3656" s="3" t="inlineStr">
        <is>
          <t>노산리</t>
        </is>
      </c>
      <c r="H3656" s="3" t="inlineStr">
        <is>
          <t>제1종일반주거지역</t>
        </is>
      </c>
      <c r="I3656" s="3" t="inlineStr">
        <is>
          <t>대</t>
        </is>
      </c>
      <c r="J3656" s="3" t="inlineStr">
        <is>
          <t>현도면</t>
        </is>
      </c>
    </row>
    <row r="3657">
      <c r="A3657" s="3" t="n">
        <v>2022</v>
      </c>
      <c r="B3657" s="4" t="n">
        <v>7000</v>
      </c>
      <c r="C3657" s="4" t="n">
        <v>618</v>
      </c>
      <c r="D3657" s="4" t="n">
        <v>186.945</v>
      </c>
      <c r="E3657" s="5" t="n">
        <v>37.4</v>
      </c>
      <c r="F3657" s="3" t="inlineStr">
        <is>
          <t>현도면</t>
        </is>
      </c>
      <c r="G3657" s="3" t="inlineStr">
        <is>
          <t>죽암리</t>
        </is>
      </c>
      <c r="H3657" s="3" t="inlineStr">
        <is>
          <t>농림지역</t>
        </is>
      </c>
      <c r="I3657" s="3" t="inlineStr">
        <is>
          <t>답</t>
        </is>
      </c>
      <c r="J3657" s="3" t="inlineStr">
        <is>
          <t>현도면</t>
        </is>
      </c>
    </row>
    <row r="3658">
      <c r="A3658" s="3" t="n">
        <v>2022</v>
      </c>
      <c r="B3658" s="4" t="n">
        <v>20938</v>
      </c>
      <c r="C3658" s="4" t="n">
        <v>1823</v>
      </c>
      <c r="D3658" s="4" t="n">
        <v>551.4575</v>
      </c>
      <c r="E3658" s="5" t="n">
        <v>38</v>
      </c>
      <c r="F3658" s="3" t="inlineStr">
        <is>
          <t>남이면</t>
        </is>
      </c>
      <c r="G3658" s="3" t="inlineStr">
        <is>
          <t>구미리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9165</v>
      </c>
      <c r="C3659" s="4" t="n">
        <v>1725</v>
      </c>
      <c r="D3659" s="4" t="n">
        <v>521.8125</v>
      </c>
      <c r="E3659" s="5" t="n">
        <v>17.6</v>
      </c>
      <c r="F3659" s="3" t="inlineStr">
        <is>
          <t>남이면</t>
        </is>
      </c>
      <c r="G3659" s="3" t="inlineStr">
        <is>
          <t>구암리</t>
        </is>
      </c>
      <c r="H3659" s="3" t="inlineStr">
        <is>
          <t>보전녹지지역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2022</v>
      </c>
      <c r="B3660" s="4" t="n">
        <v>4835</v>
      </c>
      <c r="C3660" s="4" t="n">
        <v>910</v>
      </c>
      <c r="D3660" s="4" t="n">
        <v>275.275</v>
      </c>
      <c r="E3660" s="5" t="n">
        <v>17.6</v>
      </c>
      <c r="F3660" s="3" t="inlineStr">
        <is>
          <t>남이면</t>
        </is>
      </c>
      <c r="G3660" s="3" t="inlineStr">
        <is>
          <t>구암리</t>
        </is>
      </c>
      <c r="H3660" s="3" t="inlineStr">
        <is>
          <t>보전녹지지역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2022</v>
      </c>
      <c r="B3661" s="4" t="n">
        <v>25500</v>
      </c>
      <c r="C3661" s="4" t="n">
        <v>2526</v>
      </c>
      <c r="D3661" s="4" t="n">
        <v>764.115</v>
      </c>
      <c r="E3661" s="5" t="n">
        <v>33.4</v>
      </c>
      <c r="F3661" s="3" t="inlineStr">
        <is>
          <t>남이면</t>
        </is>
      </c>
      <c r="G3661" s="3" t="inlineStr">
        <is>
          <t>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15120</v>
      </c>
      <c r="C3662" s="4" t="n">
        <v>1250</v>
      </c>
      <c r="D3662" s="4" t="n">
        <v>378.125</v>
      </c>
      <c r="E3662" s="5" t="n">
        <v>40</v>
      </c>
      <c r="F3662" s="3" t="inlineStr">
        <is>
          <t>현도면</t>
        </is>
      </c>
      <c r="G3662" s="3" t="inlineStr">
        <is>
          <t>노산리</t>
        </is>
      </c>
      <c r="H3662" s="3" t="inlineStr">
        <is>
          <t>개발제한구역</t>
        </is>
      </c>
      <c r="I3662" s="3" t="inlineStr">
        <is>
          <t>답</t>
        </is>
      </c>
      <c r="J3662" s="3" t="inlineStr">
        <is>
          <t>현도면</t>
        </is>
      </c>
    </row>
    <row r="3663">
      <c r="A3663" s="3" t="n">
        <v>2022</v>
      </c>
      <c r="B3663" s="4" t="n">
        <v>186093</v>
      </c>
      <c r="C3663" s="4" t="n">
        <v>4548</v>
      </c>
      <c r="D3663" s="4" t="n">
        <v>1375.77</v>
      </c>
      <c r="E3663" s="5" t="n">
        <v>135.3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자연녹지지역</t>
        </is>
      </c>
      <c r="I3663" s="3" t="inlineStr">
        <is>
          <t>체육용지</t>
        </is>
      </c>
      <c r="J3663" s="3" t="inlineStr">
        <is>
          <t>남이면</t>
        </is>
      </c>
    </row>
    <row r="3664">
      <c r="A3664" s="3" t="n">
        <v>2022</v>
      </c>
      <c r="B3664" s="4" t="n">
        <v>12357</v>
      </c>
      <c r="C3664" s="4" t="n">
        <v>302</v>
      </c>
      <c r="D3664" s="4" t="n">
        <v>91.355</v>
      </c>
      <c r="E3664" s="5" t="n">
        <v>135.3</v>
      </c>
      <c r="F3664" s="3" t="inlineStr">
        <is>
          <t>남이면</t>
        </is>
      </c>
      <c r="G3664" s="3" t="inlineStr">
        <is>
          <t>가좌리</t>
        </is>
      </c>
      <c r="H3664" s="3" t="inlineStr">
        <is>
          <t>자연녹지지역</t>
        </is>
      </c>
      <c r="I3664" s="3" t="inlineStr">
        <is>
          <t>체육용지</t>
        </is>
      </c>
      <c r="J3664" s="3" t="inlineStr">
        <is>
          <t>남이면</t>
        </is>
      </c>
    </row>
    <row r="3665">
      <c r="A3665" s="3" t="n">
        <v>2022</v>
      </c>
      <c r="B3665" s="4" t="n">
        <v>2570</v>
      </c>
      <c r="C3665" s="4" t="n">
        <v>135</v>
      </c>
      <c r="D3665" s="4" t="n">
        <v>40.8375</v>
      </c>
      <c r="E3665" s="5" t="n">
        <v>62.9</v>
      </c>
      <c r="F3665" s="3" t="inlineStr">
        <is>
          <t>남이면</t>
        </is>
      </c>
      <c r="G3665" s="3" t="inlineStr">
        <is>
          <t>외천리</t>
        </is>
      </c>
      <c r="H3665" s="3" t="inlineStr">
        <is>
          <t>계획관리지역</t>
        </is>
      </c>
      <c r="I3665" s="3" t="inlineStr">
        <is>
          <t>전</t>
        </is>
      </c>
      <c r="J3665" s="3" t="inlineStr">
        <is>
          <t>남이면</t>
        </is>
      </c>
    </row>
    <row r="3666">
      <c r="A3666" s="3" t="n">
        <v>2022</v>
      </c>
      <c r="B3666" s="4" t="n">
        <v>42630</v>
      </c>
      <c r="C3666" s="4" t="n">
        <v>2239</v>
      </c>
      <c r="D3666" s="4" t="n">
        <v>677.2975</v>
      </c>
      <c r="E3666" s="5" t="n">
        <v>62.9</v>
      </c>
      <c r="F3666" s="3" t="inlineStr">
        <is>
          <t>남이면</t>
        </is>
      </c>
      <c r="G3666" s="3" t="inlineStr">
        <is>
          <t>외천리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10000</v>
      </c>
      <c r="C3667" s="4" t="n">
        <v>1437</v>
      </c>
      <c r="D3667" s="4" t="n">
        <v>434.6925</v>
      </c>
      <c r="E3667" s="5" t="n">
        <v>23</v>
      </c>
      <c r="F3667" s="3" t="inlineStr">
        <is>
          <t>현도면</t>
        </is>
      </c>
      <c r="G3667" s="3" t="inlineStr">
        <is>
          <t>노산리</t>
        </is>
      </c>
      <c r="H3667" s="3" t="inlineStr">
        <is>
          <t>개발제한구역</t>
        </is>
      </c>
      <c r="I3667" s="3" t="inlineStr">
        <is>
          <t>답</t>
        </is>
      </c>
      <c r="J3667" s="3" t="inlineStr">
        <is>
          <t>현도면</t>
        </is>
      </c>
    </row>
    <row r="3668">
      <c r="A3668" s="3" t="n">
        <v>2022</v>
      </c>
      <c r="B3668" s="4" t="n">
        <v>50000</v>
      </c>
      <c r="C3668" s="4" t="n">
        <v>2896</v>
      </c>
      <c r="D3668" s="4" t="n">
        <v>876.04</v>
      </c>
      <c r="E3668" s="5" t="n">
        <v>57.1</v>
      </c>
      <c r="F3668" s="3" t="inlineStr">
        <is>
          <t>남이면</t>
        </is>
      </c>
      <c r="G3668" s="3" t="inlineStr">
        <is>
          <t>척산리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5000</v>
      </c>
      <c r="C3669" s="4" t="n">
        <v>274</v>
      </c>
      <c r="D3669" s="4" t="n">
        <v>82.88499999999999</v>
      </c>
      <c r="E3669" s="5" t="n">
        <v>60.3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2022</v>
      </c>
      <c r="B3670" s="4" t="n">
        <v>31500</v>
      </c>
      <c r="C3670" s="4" t="n">
        <v>1626</v>
      </c>
      <c r="D3670" s="4" t="n">
        <v>491.865</v>
      </c>
      <c r="E3670" s="5" t="n">
        <v>64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2022</v>
      </c>
      <c r="B3671" s="4" t="n">
        <v>37600</v>
      </c>
      <c r="C3671" s="4" t="n">
        <v>1944</v>
      </c>
      <c r="D3671" s="4" t="n">
        <v>588.0599999999999</v>
      </c>
      <c r="E3671" s="5" t="n">
        <v>63.9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답</t>
        </is>
      </c>
      <c r="J3671" s="3" t="inlineStr">
        <is>
          <t>남이면</t>
        </is>
      </c>
    </row>
    <row r="3672">
      <c r="A3672" s="3" t="n">
        <v>2022</v>
      </c>
      <c r="B3672" s="4" t="n">
        <v>26300</v>
      </c>
      <c r="C3672" s="4" t="n">
        <v>1358</v>
      </c>
      <c r="D3672" s="4" t="n">
        <v>410.795</v>
      </c>
      <c r="E3672" s="5" t="n">
        <v>64</v>
      </c>
      <c r="F3672" s="3" t="inlineStr">
        <is>
          <t>남이면</t>
        </is>
      </c>
      <c r="G3672" s="3" t="inlineStr">
        <is>
          <t>외천리</t>
        </is>
      </c>
      <c r="H3672" s="3" t="inlineStr">
        <is>
          <t>계획관리지역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2022</v>
      </c>
      <c r="B3673" s="4" t="n">
        <v>16000</v>
      </c>
      <c r="C3673" s="4" t="n">
        <v>1269</v>
      </c>
      <c r="D3673" s="4" t="n">
        <v>383.8725</v>
      </c>
      <c r="E3673" s="5" t="n">
        <v>41.7</v>
      </c>
      <c r="F3673" s="3" t="inlineStr">
        <is>
          <t>남이면</t>
        </is>
      </c>
      <c r="G3673" s="3" t="inlineStr">
        <is>
          <t>척산리</t>
        </is>
      </c>
      <c r="H3673" s="3" t="inlineStr">
        <is>
          <t>자연녹지지역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2022</v>
      </c>
      <c r="B3674" s="4" t="n">
        <v>50200</v>
      </c>
      <c r="C3674" s="4" t="n">
        <v>1658</v>
      </c>
      <c r="D3674" s="4" t="n">
        <v>501.545</v>
      </c>
      <c r="E3674" s="5" t="n">
        <v>100.1</v>
      </c>
      <c r="F3674" s="3" t="inlineStr">
        <is>
          <t>현도면</t>
        </is>
      </c>
      <c r="G3674" s="3" t="inlineStr">
        <is>
          <t>죽전리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현도면</t>
        </is>
      </c>
    </row>
    <row r="3675">
      <c r="A3675" s="3" t="n">
        <v>2022</v>
      </c>
      <c r="B3675" s="4" t="n">
        <v>52000</v>
      </c>
      <c r="C3675" s="4" t="n">
        <v>1141</v>
      </c>
      <c r="D3675" s="4" t="n">
        <v>345.1525</v>
      </c>
      <c r="E3675" s="5" t="n">
        <v>150.7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2022</v>
      </c>
      <c r="B3676" s="4" t="n">
        <v>14600</v>
      </c>
      <c r="C3676" s="4" t="n">
        <v>242</v>
      </c>
      <c r="D3676" s="4" t="n">
        <v>73.205</v>
      </c>
      <c r="E3676" s="5" t="n">
        <v>199.4</v>
      </c>
      <c r="F3676" s="3" t="inlineStr">
        <is>
          <t>남이면</t>
        </is>
      </c>
      <c r="G3676" s="3" t="inlineStr">
        <is>
          <t>석판리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2022</v>
      </c>
      <c r="B3677" s="4" t="n">
        <v>46680</v>
      </c>
      <c r="C3677" s="4" t="n">
        <v>879</v>
      </c>
      <c r="D3677" s="4" t="n">
        <v>265.8975</v>
      </c>
      <c r="E3677" s="5" t="n">
        <v>175.6</v>
      </c>
      <c r="F3677" s="3" t="inlineStr">
        <is>
          <t>남이면</t>
        </is>
      </c>
      <c r="G3677" s="3" t="inlineStr">
        <is>
          <t>부용외천리</t>
        </is>
      </c>
      <c r="H3677" s="3" t="inlineStr">
        <is>
          <t>계획관리지역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2022</v>
      </c>
      <c r="B3678" s="4" t="n">
        <v>1540</v>
      </c>
      <c r="C3678" s="4" t="n">
        <v>29</v>
      </c>
      <c r="D3678" s="4" t="n">
        <v>8.772499999999999</v>
      </c>
      <c r="E3678" s="5" t="n">
        <v>175.5</v>
      </c>
      <c r="F3678" s="3" t="inlineStr">
        <is>
          <t>남이면</t>
        </is>
      </c>
      <c r="G3678" s="3" t="inlineStr">
        <is>
          <t>부용외천리</t>
        </is>
      </c>
      <c r="H3678" s="3" t="inlineStr">
        <is>
          <t>계획관리지역</t>
        </is>
      </c>
      <c r="I3678" s="3" t="inlineStr">
        <is>
          <t>전</t>
        </is>
      </c>
      <c r="J3678" s="3" t="inlineStr">
        <is>
          <t>남이면</t>
        </is>
      </c>
    </row>
    <row r="3679">
      <c r="A3679" s="3" t="n">
        <v>2022</v>
      </c>
      <c r="B3679" s="4" t="n">
        <v>20000</v>
      </c>
      <c r="C3679" s="4" t="n">
        <v>1535</v>
      </c>
      <c r="D3679" s="4" t="n">
        <v>464.3375</v>
      </c>
      <c r="E3679" s="5" t="n">
        <v>43.1</v>
      </c>
      <c r="F3679" s="3" t="inlineStr">
        <is>
          <t>남이면</t>
        </is>
      </c>
      <c r="G3679" s="3" t="inlineStr">
        <is>
          <t>석실리</t>
        </is>
      </c>
      <c r="H3679" s="3" t="inlineStr">
        <is>
          <t>자연녹지지역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17293</v>
      </c>
      <c r="C3680" s="4" t="n">
        <v>1307</v>
      </c>
      <c r="D3680" s="4" t="n">
        <v>395.3675</v>
      </c>
      <c r="E3680" s="5" t="n">
        <v>43.7</v>
      </c>
      <c r="F3680" s="3" t="inlineStr">
        <is>
          <t>남이면</t>
        </is>
      </c>
      <c r="G3680" s="3" t="inlineStr">
        <is>
          <t>팔봉리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13707</v>
      </c>
      <c r="C3681" s="4" t="n">
        <v>1036</v>
      </c>
      <c r="D3681" s="4" t="n">
        <v>313.39</v>
      </c>
      <c r="E3681" s="5" t="n">
        <v>43.7</v>
      </c>
      <c r="F3681" s="3" t="inlineStr">
        <is>
          <t>남이면</t>
        </is>
      </c>
      <c r="G3681" s="3" t="inlineStr">
        <is>
          <t>팔봉리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2026</v>
      </c>
      <c r="B3682" s="4" t="n">
        <v>76</v>
      </c>
      <c r="C3682" s="4" t="n">
        <v>15</v>
      </c>
      <c r="D3682" s="4" t="n">
        <v>4.5375</v>
      </c>
      <c r="E3682" s="5" t="n">
        <v>16.7</v>
      </c>
      <c r="F3682" s="3" t="inlineStr">
        <is>
          <t>현도면</t>
        </is>
      </c>
      <c r="G3682" s="3" t="inlineStr">
        <is>
          <t>달계리</t>
        </is>
      </c>
      <c r="H3682" s="3" t="inlineStr">
        <is>
          <t>자연녹지지역</t>
        </is>
      </c>
      <c r="I3682" s="3" t="inlineStr">
        <is>
          <t>답</t>
        </is>
      </c>
      <c r="J3682" s="3" t="inlineStr">
        <is>
          <t>현도면</t>
        </is>
      </c>
    </row>
    <row r="3683">
      <c r="A3683" s="3" t="n">
        <v>2026</v>
      </c>
      <c r="B3683" s="4" t="n">
        <v>8000</v>
      </c>
      <c r="C3683" s="4" t="n">
        <v>4661</v>
      </c>
      <c r="D3683" s="4" t="n">
        <v>1409.9525</v>
      </c>
      <c r="E3683" s="5" t="n">
        <v>5.7</v>
      </c>
      <c r="F3683" s="3" t="inlineStr">
        <is>
          <t>현도면</t>
        </is>
      </c>
      <c r="G3683" s="3" t="inlineStr">
        <is>
          <t>우록리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현도면</t>
        </is>
      </c>
    </row>
    <row r="3684">
      <c r="A3684" s="3" t="n">
        <v>2026</v>
      </c>
      <c r="B3684" s="4" t="n">
        <v>100</v>
      </c>
      <c r="C3684" s="4" t="n">
        <v>8</v>
      </c>
      <c r="D3684" s="4" t="n">
        <v>2.42</v>
      </c>
      <c r="E3684" s="5" t="n">
        <v>41.3</v>
      </c>
      <c r="F3684" s="3" t="inlineStr">
        <is>
          <t>남이면</t>
        </is>
      </c>
      <c r="G3684" s="3" t="inlineStr">
        <is>
          <t>척산리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2026</v>
      </c>
      <c r="B3685" s="4" t="n">
        <v>21100</v>
      </c>
      <c r="C3685" s="4" t="n">
        <v>510</v>
      </c>
      <c r="D3685" s="4" t="n">
        <v>154.275</v>
      </c>
      <c r="E3685" s="5" t="n">
        <v>136.8</v>
      </c>
      <c r="F3685" s="3" t="inlineStr">
        <is>
          <t>남이면</t>
        </is>
      </c>
      <c r="G3685" s="3" t="inlineStr">
        <is>
          <t>가마리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2026</v>
      </c>
      <c r="B3686" s="4" t="n">
        <v>36300</v>
      </c>
      <c r="C3686" s="4" t="n">
        <v>3000</v>
      </c>
      <c r="D3686" s="4" t="n">
        <v>907.5</v>
      </c>
      <c r="E3686" s="5" t="n">
        <v>40</v>
      </c>
      <c r="F3686" s="3" t="inlineStr">
        <is>
          <t>남이면</t>
        </is>
      </c>
      <c r="G3686" s="3" t="inlineStr">
        <is>
          <t>구암리</t>
        </is>
      </c>
      <c r="H3686" s="3" t="inlineStr">
        <is>
          <t>보전녹지지역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2026</v>
      </c>
      <c r="B3687" s="4" t="n">
        <v>43355</v>
      </c>
      <c r="C3687" s="4" t="n">
        <v>2205</v>
      </c>
      <c r="D3687" s="4" t="n">
        <v>667.0124999999999</v>
      </c>
      <c r="E3687" s="5" t="n">
        <v>65</v>
      </c>
      <c r="F3687" s="3" t="inlineStr">
        <is>
          <t>남이면</t>
        </is>
      </c>
      <c r="G3687" s="3" t="inlineStr">
        <is>
          <t>구암리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2026</v>
      </c>
      <c r="B3688" s="4" t="n">
        <v>6645</v>
      </c>
      <c r="C3688" s="4" t="n">
        <v>338</v>
      </c>
      <c r="D3688" s="4" t="n">
        <v>102.245</v>
      </c>
      <c r="E3688" s="5" t="n">
        <v>65</v>
      </c>
      <c r="F3688" s="3" t="inlineStr">
        <is>
          <t>남이면</t>
        </is>
      </c>
      <c r="G3688" s="3" t="inlineStr">
        <is>
          <t>구암리</t>
        </is>
      </c>
      <c r="H3688" s="3" t="inlineStr">
        <is>
          <t>보전녹지지역</t>
        </is>
      </c>
      <c r="I3688" s="3" t="inlineStr">
        <is>
          <t>임야</t>
        </is>
      </c>
      <c r="J3688" s="3" t="inlineStr">
        <is>
          <t>남이면</t>
        </is>
      </c>
    </row>
    <row r="3689">
      <c r="A3689" s="3" t="n">
        <v>2026</v>
      </c>
      <c r="B3689" s="4" t="n">
        <v>20010</v>
      </c>
      <c r="C3689" s="4" t="n">
        <v>2205</v>
      </c>
      <c r="D3689" s="4" t="n">
        <v>667.0124999999999</v>
      </c>
      <c r="E3689" s="5" t="n">
        <v>30</v>
      </c>
      <c r="F3689" s="3" t="inlineStr">
        <is>
          <t>남이면</t>
        </is>
      </c>
      <c r="G3689" s="3" t="inlineStr">
        <is>
          <t>구암리</t>
        </is>
      </c>
      <c r="H3689" s="3" t="inlineStr">
        <is>
          <t>보전녹지지역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2026</v>
      </c>
      <c r="B3690" s="4" t="n">
        <v>3060</v>
      </c>
      <c r="C3690" s="4" t="n">
        <v>338</v>
      </c>
      <c r="D3690" s="4" t="n">
        <v>102.245</v>
      </c>
      <c r="E3690" s="5" t="n">
        <v>29.9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2026</v>
      </c>
      <c r="B3691" s="4" t="n">
        <v>28500</v>
      </c>
      <c r="C3691" s="4" t="n">
        <v>573</v>
      </c>
      <c r="D3691" s="4" t="n">
        <v>173.3325</v>
      </c>
      <c r="E3691" s="5" t="n">
        <v>164.4</v>
      </c>
      <c r="F3691" s="3" t="inlineStr">
        <is>
          <t>현도면</t>
        </is>
      </c>
      <c r="G3691" s="3" t="inlineStr">
        <is>
          <t>우록리</t>
        </is>
      </c>
      <c r="H3691" s="3" t="inlineStr">
        <is>
          <t>계획관리지역</t>
        </is>
      </c>
      <c r="I3691" s="3" t="inlineStr">
        <is>
          <t>대</t>
        </is>
      </c>
      <c r="J3691" s="3" t="inlineStr">
        <is>
          <t>현도면</t>
        </is>
      </c>
    </row>
    <row r="3692">
      <c r="A3692" s="3" t="n">
        <v>2026</v>
      </c>
      <c r="B3692" s="4" t="n">
        <v>1190</v>
      </c>
      <c r="C3692" s="4" t="n">
        <v>24</v>
      </c>
      <c r="D3692" s="4" t="n">
        <v>7.26</v>
      </c>
      <c r="E3692" s="5" t="n">
        <v>163.9</v>
      </c>
      <c r="F3692" s="3" t="inlineStr">
        <is>
          <t>현도면</t>
        </is>
      </c>
      <c r="G3692" s="3" t="inlineStr">
        <is>
          <t>우록리</t>
        </is>
      </c>
      <c r="H3692" s="3" t="inlineStr">
        <is>
          <t>계획관리지역</t>
        </is>
      </c>
      <c r="I3692" s="3" t="inlineStr">
        <is>
          <t>대</t>
        </is>
      </c>
      <c r="J3692" s="3" t="inlineStr">
        <is>
          <t>현도면</t>
        </is>
      </c>
    </row>
    <row r="3693">
      <c r="A3693" s="3" t="n">
        <v>2026</v>
      </c>
      <c r="B3693" s="4" t="n">
        <v>840</v>
      </c>
      <c r="C3693" s="4" t="n">
        <v>17</v>
      </c>
      <c r="D3693" s="4" t="n">
        <v>5.1425</v>
      </c>
      <c r="E3693" s="5" t="n">
        <v>163.3</v>
      </c>
      <c r="F3693" s="3" t="inlineStr">
        <is>
          <t>현도면</t>
        </is>
      </c>
      <c r="G3693" s="3" t="inlineStr">
        <is>
          <t>우록리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현도면</t>
        </is>
      </c>
    </row>
    <row r="3694">
      <c r="A3694" s="3" t="n">
        <v>2026</v>
      </c>
      <c r="B3694" s="4" t="n">
        <v>540</v>
      </c>
      <c r="C3694" s="4" t="n">
        <v>11</v>
      </c>
      <c r="D3694" s="4" t="n">
        <v>3.3275</v>
      </c>
      <c r="E3694" s="5" t="n">
        <v>162.3</v>
      </c>
      <c r="F3694" s="3" t="inlineStr">
        <is>
          <t>현도면</t>
        </is>
      </c>
      <c r="G3694" s="3" t="inlineStr">
        <is>
          <t>우록리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현도면</t>
        </is>
      </c>
    </row>
    <row r="3695">
      <c r="A3695" s="3" t="n">
        <v>2026</v>
      </c>
      <c r="B3695" s="4" t="n">
        <v>800</v>
      </c>
      <c r="C3695" s="4" t="n">
        <v>135</v>
      </c>
      <c r="D3695" s="4" t="n">
        <v>40.8375</v>
      </c>
      <c r="E3695" s="5" t="n">
        <v>19.6</v>
      </c>
      <c r="F3695" s="3" t="inlineStr">
        <is>
          <t>현도면</t>
        </is>
      </c>
      <c r="G3695" s="3" t="inlineStr">
        <is>
          <t>죽전리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현도면</t>
        </is>
      </c>
    </row>
    <row r="3696">
      <c r="A3696" s="3" t="n">
        <v>2026</v>
      </c>
      <c r="B3696" s="4" t="n">
        <v>30400</v>
      </c>
      <c r="C3696" s="4" t="n">
        <v>1260</v>
      </c>
      <c r="D3696" s="4" t="n">
        <v>381.15</v>
      </c>
      <c r="E3696" s="5" t="n">
        <v>79.8</v>
      </c>
      <c r="F3696" s="3" t="inlineStr">
        <is>
          <t>현도면</t>
        </is>
      </c>
      <c r="G3696" s="3" t="inlineStr">
        <is>
          <t>중삼리</t>
        </is>
      </c>
      <c r="H3696" s="3" t="inlineStr">
        <is>
          <t>계획관리지역</t>
        </is>
      </c>
      <c r="I3696" s="3" t="inlineStr">
        <is>
          <t>답</t>
        </is>
      </c>
      <c r="J3696" s="3" t="inlineStr">
        <is>
          <t>현도면</t>
        </is>
      </c>
    </row>
    <row r="3697">
      <c r="A3697" s="3" t="n">
        <v>2026</v>
      </c>
      <c r="B3697" s="4" t="n">
        <v>400</v>
      </c>
      <c r="C3697" s="4" t="n">
        <v>328</v>
      </c>
      <c r="D3697" s="4" t="n">
        <v>99.22</v>
      </c>
      <c r="E3697" s="5" t="n">
        <v>4</v>
      </c>
      <c r="F3697" s="3" t="inlineStr">
        <is>
          <t>남이면</t>
        </is>
      </c>
      <c r="G3697" s="3" t="inlineStr">
        <is>
          <t>외천리</t>
        </is>
      </c>
      <c r="H3697" s="3" t="inlineStr">
        <is>
          <t>농림지역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2026</v>
      </c>
      <c r="B3698" s="4" t="n">
        <v>217760</v>
      </c>
      <c r="C3698" s="4" t="n">
        <v>5127.7</v>
      </c>
      <c r="D3698" s="4" t="n">
        <v>1551.12925</v>
      </c>
      <c r="E3698" s="5" t="n">
        <v>140.4</v>
      </c>
      <c r="F3698" s="3" t="inlineStr">
        <is>
          <t>남이면</t>
        </is>
      </c>
      <c r="G3698" s="3" t="inlineStr">
        <is>
          <t>척산리</t>
        </is>
      </c>
      <c r="H3698" s="3" t="inlineStr">
        <is>
          <t>계획관리지역</t>
        </is>
      </c>
      <c r="I3698" s="3" t="inlineStr">
        <is>
          <t>공장용지</t>
        </is>
      </c>
      <c r="J3698" s="3" t="inlineStr">
        <is>
          <t>남이면</t>
        </is>
      </c>
    </row>
    <row r="3699">
      <c r="A3699" s="3" t="n">
        <v>2026</v>
      </c>
      <c r="B3699" s="4" t="n">
        <v>500</v>
      </c>
      <c r="C3699" s="4" t="n">
        <v>17</v>
      </c>
      <c r="D3699" s="4" t="n">
        <v>5.1425</v>
      </c>
      <c r="E3699" s="5" t="n">
        <v>97.2</v>
      </c>
      <c r="F3699" s="3" t="inlineStr">
        <is>
          <t>현도면</t>
        </is>
      </c>
      <c r="G3699" s="3" t="inlineStr">
        <is>
          <t>중삼리</t>
        </is>
      </c>
      <c r="H3699" s="3" t="inlineStr">
        <is>
          <t>계획관리지역</t>
        </is>
      </c>
      <c r="I3699" s="3" t="inlineStr">
        <is>
          <t>도로</t>
        </is>
      </c>
      <c r="J3699" s="3" t="inlineStr">
        <is>
          <t>현도면</t>
        </is>
      </c>
    </row>
    <row r="3700">
      <c r="A3700" s="3" t="n">
        <v>2026</v>
      </c>
      <c r="B3700" s="4" t="n">
        <v>20822</v>
      </c>
      <c r="C3700" s="4" t="n">
        <v>555</v>
      </c>
      <c r="D3700" s="4" t="n">
        <v>167.8875</v>
      </c>
      <c r="E3700" s="5" t="n">
        <v>124</v>
      </c>
      <c r="F3700" s="3" t="inlineStr">
        <is>
          <t>현도면</t>
        </is>
      </c>
      <c r="G3700" s="3" t="inlineStr">
        <is>
          <t>중삼리</t>
        </is>
      </c>
      <c r="H3700" s="3" t="inlineStr">
        <is>
          <t>계획관리지역</t>
        </is>
      </c>
      <c r="I3700" s="3" t="inlineStr">
        <is>
          <t>공장용지</t>
        </is>
      </c>
      <c r="J3700" s="3" t="inlineStr">
        <is>
          <t>현도면</t>
        </is>
      </c>
    </row>
    <row r="3701">
      <c r="A3701" s="3" t="n">
        <v>2026</v>
      </c>
      <c r="B3701" s="4" t="n">
        <v>1112</v>
      </c>
      <c r="C3701" s="4" t="n">
        <v>80</v>
      </c>
      <c r="D3701" s="4" t="n">
        <v>24.2</v>
      </c>
      <c r="E3701" s="5" t="n">
        <v>46</v>
      </c>
      <c r="F3701" s="3" t="inlineStr">
        <is>
          <t>현도면</t>
        </is>
      </c>
      <c r="G3701" s="3" t="inlineStr">
        <is>
          <t>중삼리</t>
        </is>
      </c>
      <c r="H3701" s="3" t="inlineStr">
        <is>
          <t>계획관리지역</t>
        </is>
      </c>
      <c r="I3701" s="3" t="inlineStr">
        <is>
          <t>도로</t>
        </is>
      </c>
      <c r="J3701" s="3" t="inlineStr">
        <is>
          <t>현도면</t>
        </is>
      </c>
    </row>
    <row r="3702">
      <c r="A3702" s="3" t="n">
        <v>2026</v>
      </c>
      <c r="B3702" s="4" t="n">
        <v>2589</v>
      </c>
      <c r="C3702" s="4" t="n">
        <v>69</v>
      </c>
      <c r="D3702" s="4" t="n">
        <v>20.8725</v>
      </c>
      <c r="E3702" s="5" t="n">
        <v>124</v>
      </c>
      <c r="F3702" s="3" t="inlineStr">
        <is>
          <t>현도면</t>
        </is>
      </c>
      <c r="G3702" s="3" t="inlineStr">
        <is>
          <t>중삼리</t>
        </is>
      </c>
      <c r="H3702" s="3" t="inlineStr">
        <is>
          <t>계획관리지역</t>
        </is>
      </c>
      <c r="I3702" s="3" t="inlineStr">
        <is>
          <t>공장용지</t>
        </is>
      </c>
      <c r="J3702" s="3" t="inlineStr">
        <is>
          <t>현도면</t>
        </is>
      </c>
    </row>
    <row r="3703">
      <c r="A3703" s="3" t="n">
        <v>2026</v>
      </c>
      <c r="B3703" s="4" t="n">
        <v>11000</v>
      </c>
      <c r="C3703" s="4" t="n">
        <v>2003</v>
      </c>
      <c r="D3703" s="4" t="n">
        <v>605.9075</v>
      </c>
      <c r="E3703" s="5" t="n">
        <v>18.2</v>
      </c>
      <c r="F3703" s="3" t="inlineStr">
        <is>
          <t>남이면</t>
        </is>
      </c>
      <c r="G3703" s="3" t="inlineStr">
        <is>
          <t>부용외천리</t>
        </is>
      </c>
      <c r="H3703" s="3" t="inlineStr">
        <is>
          <t>보전관리지역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2026</v>
      </c>
      <c r="B3704" s="4" t="n">
        <v>45000</v>
      </c>
      <c r="C3704" s="4" t="n">
        <v>990</v>
      </c>
      <c r="D3704" s="4" t="n">
        <v>299.475</v>
      </c>
      <c r="E3704" s="5" t="n">
        <v>150.3</v>
      </c>
      <c r="F3704" s="3" t="inlineStr">
        <is>
          <t>남이면</t>
        </is>
      </c>
      <c r="G3704" s="3" t="inlineStr">
        <is>
          <t>상발리</t>
        </is>
      </c>
      <c r="H3704" s="3" t="inlineStr">
        <is>
          <t>자연녹지지역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9000</v>
      </c>
      <c r="C3705" s="4" t="n">
        <v>10287</v>
      </c>
      <c r="D3705" s="4" t="n">
        <v>3111.8175</v>
      </c>
      <c r="E3705" s="5" t="n">
        <v>2.9</v>
      </c>
      <c r="F3705" s="3" t="inlineStr">
        <is>
          <t>남이면</t>
        </is>
      </c>
      <c r="G3705" s="3" t="inlineStr">
        <is>
          <t>갈원리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2026</v>
      </c>
      <c r="B3706" s="4" t="n">
        <v>14000</v>
      </c>
      <c r="C3706" s="4" t="n">
        <v>652</v>
      </c>
      <c r="D3706" s="4" t="n">
        <v>197.23</v>
      </c>
      <c r="E3706" s="5" t="n">
        <v>71</v>
      </c>
      <c r="F3706" s="3" t="inlineStr">
        <is>
          <t>현도면</t>
        </is>
      </c>
      <c r="G3706" s="3" t="inlineStr">
        <is>
          <t>양지리</t>
        </is>
      </c>
      <c r="H3706" s="3" t="inlineStr">
        <is>
          <t>자연녹지지역</t>
        </is>
      </c>
      <c r="I3706" s="3" t="inlineStr">
        <is>
          <t>대</t>
        </is>
      </c>
      <c r="J3706" s="3" t="inlineStr">
        <is>
          <t>현도면</t>
        </is>
      </c>
    </row>
    <row r="3707">
      <c r="A3707" s="3" t="n">
        <v>2026</v>
      </c>
      <c r="B3707" s="4" t="n">
        <v>14614</v>
      </c>
      <c r="C3707" s="4" t="n">
        <v>405</v>
      </c>
      <c r="D3707" s="4" t="n">
        <v>122.5125</v>
      </c>
      <c r="E3707" s="5" t="n">
        <v>119.3</v>
      </c>
      <c r="F3707" s="3" t="inlineStr">
        <is>
          <t>남이면</t>
        </is>
      </c>
      <c r="G3707" s="3" t="inlineStr">
        <is>
          <t>구암리</t>
        </is>
      </c>
      <c r="H3707" s="3" t="inlineStr">
        <is>
          <t>보전녹지지역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2026</v>
      </c>
      <c r="B3708" s="4" t="n">
        <v>19031</v>
      </c>
      <c r="C3708" s="4" t="n">
        <v>803</v>
      </c>
      <c r="D3708" s="4" t="n">
        <v>242.9075</v>
      </c>
      <c r="E3708" s="5" t="n">
        <v>78.3</v>
      </c>
      <c r="F3708" s="3" t="inlineStr">
        <is>
          <t>남이면</t>
        </is>
      </c>
      <c r="G3708" s="3" t="inlineStr">
        <is>
          <t>수대리</t>
        </is>
      </c>
      <c r="H3708" s="3" t="inlineStr">
        <is>
          <t>보전녹지지역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2026</v>
      </c>
      <c r="B3709" s="4" t="n">
        <v>95</v>
      </c>
      <c r="C3709" s="4" t="n">
        <v>4</v>
      </c>
      <c r="D3709" s="4" t="n">
        <v>1.21</v>
      </c>
      <c r="E3709" s="5" t="n">
        <v>78.5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보전녹지지역</t>
        </is>
      </c>
      <c r="I3709" s="3" t="inlineStr">
        <is>
          <t>임야</t>
        </is>
      </c>
      <c r="J3709" s="3" t="inlineStr">
        <is>
          <t>남이면</t>
        </is>
      </c>
    </row>
    <row r="3710">
      <c r="A3710" s="3" t="n">
        <v>2026</v>
      </c>
      <c r="B3710" s="4" t="n">
        <v>1500</v>
      </c>
      <c r="C3710" s="4" t="n">
        <v>65</v>
      </c>
      <c r="D3710" s="4" t="n">
        <v>19.6625</v>
      </c>
      <c r="E3710" s="5" t="n">
        <v>76.3</v>
      </c>
      <c r="F3710" s="3" t="inlineStr">
        <is>
          <t>현도면</t>
        </is>
      </c>
      <c r="G3710" s="3" t="inlineStr">
        <is>
          <t>죽전리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현도면</t>
        </is>
      </c>
    </row>
    <row r="3711">
      <c r="A3711" s="3" t="n">
        <v>2026</v>
      </c>
      <c r="B3711" s="4" t="n">
        <v>36120</v>
      </c>
      <c r="C3711" s="4" t="n">
        <v>1990</v>
      </c>
      <c r="D3711" s="4" t="n">
        <v>601.975</v>
      </c>
      <c r="E3711" s="5" t="n">
        <v>60</v>
      </c>
      <c r="F3711" s="3" t="inlineStr">
        <is>
          <t>현도면</t>
        </is>
      </c>
      <c r="G3711" s="3" t="inlineStr">
        <is>
          <t>중삼리</t>
        </is>
      </c>
      <c r="H3711" s="3" t="inlineStr">
        <is>
          <t>계획관리지역</t>
        </is>
      </c>
      <c r="I3711" s="3" t="inlineStr">
        <is>
          <t>답</t>
        </is>
      </c>
      <c r="J3711" s="3" t="inlineStr">
        <is>
          <t>현도면</t>
        </is>
      </c>
    </row>
    <row r="3712">
      <c r="A3712" s="3" t="n">
        <v>2026</v>
      </c>
      <c r="B3712" s="4" t="n">
        <v>28260</v>
      </c>
      <c r="C3712" s="4" t="n">
        <v>1557</v>
      </c>
      <c r="D3712" s="4" t="n">
        <v>470.9925</v>
      </c>
      <c r="E3712" s="5" t="n">
        <v>60</v>
      </c>
      <c r="F3712" s="3" t="inlineStr">
        <is>
          <t>현도면</t>
        </is>
      </c>
      <c r="G3712" s="3" t="inlineStr">
        <is>
          <t>중삼리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현도면</t>
        </is>
      </c>
    </row>
    <row r="3713">
      <c r="A3713" s="3" t="n">
        <v>2023</v>
      </c>
      <c r="B3713" s="4" t="n">
        <v>2160</v>
      </c>
      <c r="C3713" s="4" t="n">
        <v>53</v>
      </c>
      <c r="D3713" s="4" t="n">
        <v>16.0325</v>
      </c>
      <c r="E3713" s="5" t="n">
        <v>134.7</v>
      </c>
      <c r="F3713" s="3" t="inlineStr">
        <is>
          <t>강내면</t>
        </is>
      </c>
      <c r="G3713" s="3" t="inlineStr">
        <is>
          <t>태성리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강내면</t>
        </is>
      </c>
    </row>
    <row r="3714">
      <c r="A3714" s="3" t="n">
        <v>2023</v>
      </c>
      <c r="B3714" s="4" t="n">
        <v>34210</v>
      </c>
      <c r="C3714" s="4" t="n">
        <v>504</v>
      </c>
      <c r="D3714" s="4" t="n">
        <v>152.46</v>
      </c>
      <c r="E3714" s="5" t="n">
        <v>224.4</v>
      </c>
      <c r="F3714" s="3" t="inlineStr">
        <is>
          <t>강내면</t>
        </is>
      </c>
      <c r="G3714" s="3" t="inlineStr">
        <is>
          <t>월탄리</t>
        </is>
      </c>
      <c r="H3714" s="3" t="inlineStr">
        <is>
          <t>계획관리지역</t>
        </is>
      </c>
      <c r="I3714" s="3" t="inlineStr">
        <is>
          <t>전</t>
        </is>
      </c>
      <c r="J3714" s="3" t="inlineStr">
        <is>
          <t>강내면</t>
        </is>
      </c>
    </row>
    <row r="3715">
      <c r="A3715" s="3" t="n">
        <v>2023</v>
      </c>
      <c r="B3715" s="4" t="n">
        <v>34003</v>
      </c>
      <c r="C3715" s="4" t="n">
        <v>501</v>
      </c>
      <c r="D3715" s="4" t="n">
        <v>151.5525</v>
      </c>
      <c r="E3715" s="5" t="n">
        <v>224.4</v>
      </c>
      <c r="F3715" s="3" t="inlineStr">
        <is>
          <t>강내면</t>
        </is>
      </c>
      <c r="G3715" s="3" t="inlineStr">
        <is>
          <t>월탄리</t>
        </is>
      </c>
      <c r="H3715" s="3" t="inlineStr">
        <is>
          <t>계획관리지역</t>
        </is>
      </c>
      <c r="I3715" s="3" t="inlineStr">
        <is>
          <t>전</t>
        </is>
      </c>
      <c r="J3715" s="3" t="inlineStr">
        <is>
          <t>강내면</t>
        </is>
      </c>
    </row>
    <row r="3716">
      <c r="A3716" s="3" t="n">
        <v>2023</v>
      </c>
      <c r="B3716" s="4" t="n">
        <v>136</v>
      </c>
      <c r="C3716" s="4" t="n">
        <v>2</v>
      </c>
      <c r="D3716" s="4" t="n">
        <v>0.605</v>
      </c>
      <c r="E3716" s="5" t="n">
        <v>224.8</v>
      </c>
      <c r="F3716" s="3" t="inlineStr">
        <is>
          <t>강내면</t>
        </is>
      </c>
      <c r="G3716" s="3" t="inlineStr">
        <is>
          <t>월탄리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강내면</t>
        </is>
      </c>
    </row>
    <row r="3717">
      <c r="A3717" s="3" t="n">
        <v>2023</v>
      </c>
      <c r="B3717" s="4" t="n">
        <v>36175</v>
      </c>
      <c r="C3717" s="4" t="n">
        <v>533</v>
      </c>
      <c r="D3717" s="4" t="n">
        <v>161.2325</v>
      </c>
      <c r="E3717" s="5" t="n">
        <v>224.4</v>
      </c>
      <c r="F3717" s="3" t="inlineStr">
        <is>
          <t>강내면</t>
        </is>
      </c>
      <c r="G3717" s="3" t="inlineStr">
        <is>
          <t>월탄리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강내면</t>
        </is>
      </c>
    </row>
    <row r="3718">
      <c r="A3718" s="3" t="n">
        <v>2023</v>
      </c>
      <c r="B3718" s="4" t="n">
        <v>62000</v>
      </c>
      <c r="C3718" s="4" t="n">
        <v>261.7</v>
      </c>
      <c r="D3718" s="4" t="n">
        <v>79.16425</v>
      </c>
      <c r="E3718" s="5" t="n">
        <v>783.2</v>
      </c>
      <c r="F3718" s="3" t="inlineStr">
        <is>
          <t>오송읍</t>
        </is>
      </c>
      <c r="G3718" s="3" t="inlineStr">
        <is>
          <t>봉산리</t>
        </is>
      </c>
      <c r="H3718" s="3" t="inlineStr">
        <is>
          <t>제1종일반주거지역</t>
        </is>
      </c>
      <c r="I3718" s="3" t="inlineStr">
        <is>
          <t>대</t>
        </is>
      </c>
      <c r="J3718" s="3" t="inlineStr">
        <is>
          <t>오송읍</t>
        </is>
      </c>
    </row>
    <row r="3719">
      <c r="A3719" s="3" t="n">
        <v>2023</v>
      </c>
      <c r="B3719" s="4" t="n">
        <v>68375</v>
      </c>
      <c r="C3719" s="4" t="n">
        <v>1811</v>
      </c>
      <c r="D3719" s="4" t="n">
        <v>547.8275</v>
      </c>
      <c r="E3719" s="5" t="n">
        <v>124.8</v>
      </c>
      <c r="F3719" s="3" t="inlineStr">
        <is>
          <t>강내면</t>
        </is>
      </c>
      <c r="G3719" s="3" t="inlineStr">
        <is>
          <t>다락리</t>
        </is>
      </c>
      <c r="H3719" s="3" t="inlineStr">
        <is>
          <t>계획관리지역</t>
        </is>
      </c>
      <c r="I3719" s="3" t="inlineStr">
        <is>
          <t>답</t>
        </is>
      </c>
      <c r="J3719" s="3" t="inlineStr">
        <is>
          <t>강내면</t>
        </is>
      </c>
    </row>
    <row r="3720">
      <c r="A3720" s="3" t="n">
        <v>2023</v>
      </c>
      <c r="B3720" s="4" t="n">
        <v>17625</v>
      </c>
      <c r="C3720" s="4" t="n">
        <v>465</v>
      </c>
      <c r="D3720" s="4" t="n">
        <v>140.6625</v>
      </c>
      <c r="E3720" s="5" t="n">
        <v>125.3</v>
      </c>
      <c r="F3720" s="3" t="inlineStr">
        <is>
          <t>강내면</t>
        </is>
      </c>
      <c r="G3720" s="3" t="inlineStr">
        <is>
          <t>다락리</t>
        </is>
      </c>
      <c r="H3720" s="3" t="inlineStr">
        <is>
          <t>계획관리지역</t>
        </is>
      </c>
      <c r="I3720" s="3" t="inlineStr">
        <is>
          <t>답</t>
        </is>
      </c>
      <c r="J3720" s="3" t="inlineStr">
        <is>
          <t>강내면</t>
        </is>
      </c>
    </row>
    <row r="3721">
      <c r="A3721" s="3" t="n">
        <v>2023</v>
      </c>
      <c r="B3721" s="4" t="n">
        <v>29541</v>
      </c>
      <c r="C3721" s="4" t="n">
        <v>501.2</v>
      </c>
      <c r="D3721" s="4" t="n">
        <v>151.613</v>
      </c>
      <c r="E3721" s="5" t="n">
        <v>194.8</v>
      </c>
      <c r="F3721" s="3" t="inlineStr">
        <is>
          <t>강내면</t>
        </is>
      </c>
      <c r="G3721" s="3" t="inlineStr">
        <is>
          <t>사곡리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강내면</t>
        </is>
      </c>
    </row>
    <row r="3722">
      <c r="A3722" s="3" t="n">
        <v>2023</v>
      </c>
      <c r="B3722" s="4" t="n">
        <v>5988</v>
      </c>
      <c r="C3722" s="4" t="n">
        <v>101.6</v>
      </c>
      <c r="D3722" s="4" t="n">
        <v>30.734</v>
      </c>
      <c r="E3722" s="5" t="n">
        <v>194.8</v>
      </c>
      <c r="F3722" s="3" t="inlineStr">
        <is>
          <t>강내면</t>
        </is>
      </c>
      <c r="G3722" s="3" t="inlineStr">
        <is>
          <t>사곡리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강내면</t>
        </is>
      </c>
    </row>
    <row r="3723">
      <c r="A3723" s="3" t="n">
        <v>2023</v>
      </c>
      <c r="B3723" s="4" t="n">
        <v>35000</v>
      </c>
      <c r="C3723" s="4" t="n">
        <v>271.4</v>
      </c>
      <c r="D3723" s="4" t="n">
        <v>82.09849999999999</v>
      </c>
      <c r="E3723" s="5" t="n">
        <v>426.3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2026</v>
      </c>
      <c r="B3724" s="4" t="n">
        <v>27280</v>
      </c>
      <c r="C3724" s="4" t="n">
        <v>1126</v>
      </c>
      <c r="D3724" s="4" t="n">
        <v>340.615</v>
      </c>
      <c r="E3724" s="5" t="n">
        <v>80.09999999999999</v>
      </c>
      <c r="F3724" s="3" t="inlineStr">
        <is>
          <t>오송읍</t>
        </is>
      </c>
      <c r="G3724" s="3" t="inlineStr">
        <is>
          <t>궁평리</t>
        </is>
      </c>
      <c r="H3724" s="3" t="inlineStr">
        <is>
          <t>농림지역</t>
        </is>
      </c>
      <c r="I3724" s="3" t="inlineStr">
        <is>
          <t>답</t>
        </is>
      </c>
      <c r="J3724" s="3" t="inlineStr">
        <is>
          <t>오송읍</t>
        </is>
      </c>
    </row>
    <row r="3725">
      <c r="A3725" s="3" t="n">
        <v>2026</v>
      </c>
      <c r="B3725" s="4" t="n">
        <v>3740</v>
      </c>
      <c r="C3725" s="4" t="n">
        <v>309</v>
      </c>
      <c r="D3725" s="4" t="n">
        <v>93.4725</v>
      </c>
      <c r="E3725" s="5" t="n">
        <v>40</v>
      </c>
      <c r="F3725" s="3" t="inlineStr">
        <is>
          <t>강내면</t>
        </is>
      </c>
      <c r="G3725" s="3" t="inlineStr">
        <is>
          <t>황탄리</t>
        </is>
      </c>
      <c r="H3725" s="3" t="inlineStr">
        <is>
          <t>계획관리지역</t>
        </is>
      </c>
      <c r="I3725" s="3" t="inlineStr">
        <is>
          <t>대</t>
        </is>
      </c>
      <c r="J3725" s="3" t="inlineStr">
        <is>
          <t>강내면</t>
        </is>
      </c>
    </row>
    <row r="3726">
      <c r="A3726" s="3" t="n">
        <v>2026</v>
      </c>
      <c r="B3726" s="4" t="n">
        <v>20000</v>
      </c>
      <c r="C3726" s="4" t="n">
        <v>2168</v>
      </c>
      <c r="D3726" s="4" t="n">
        <v>655.8199999999999</v>
      </c>
      <c r="E3726" s="5" t="n">
        <v>30.5</v>
      </c>
      <c r="F3726" s="3" t="inlineStr">
        <is>
          <t>오송읍</t>
        </is>
      </c>
      <c r="G3726" s="3" t="inlineStr">
        <is>
          <t>쌍청리</t>
        </is>
      </c>
      <c r="H3726" s="3" t="inlineStr">
        <is>
          <t>농림지역</t>
        </is>
      </c>
      <c r="I3726" s="3" t="inlineStr">
        <is>
          <t>전</t>
        </is>
      </c>
      <c r="J3726" s="3" t="inlineStr">
        <is>
          <t>오송읍</t>
        </is>
      </c>
    </row>
    <row r="3727">
      <c r="A3727" s="3" t="n">
        <v>2026</v>
      </c>
      <c r="B3727" s="4" t="n">
        <v>29500</v>
      </c>
      <c r="C3727" s="4" t="n">
        <v>3993</v>
      </c>
      <c r="D3727" s="4" t="n">
        <v>1207.8825</v>
      </c>
      <c r="E3727" s="5" t="n">
        <v>24.4</v>
      </c>
      <c r="F3727" s="3" t="inlineStr">
        <is>
          <t>강내면</t>
        </is>
      </c>
      <c r="G3727" s="3" t="inlineStr">
        <is>
          <t>학천리</t>
        </is>
      </c>
      <c r="H3727" s="3" t="inlineStr">
        <is>
          <t>생산녹지지역</t>
        </is>
      </c>
      <c r="I3727" s="3" t="inlineStr">
        <is>
          <t>답</t>
        </is>
      </c>
      <c r="J3727" s="3" t="inlineStr">
        <is>
          <t>강내면</t>
        </is>
      </c>
    </row>
    <row r="3728">
      <c r="A3728" s="3" t="n">
        <v>2026</v>
      </c>
      <c r="B3728" s="4" t="n">
        <v>16300</v>
      </c>
      <c r="C3728" s="4" t="n">
        <v>245</v>
      </c>
      <c r="D3728" s="4" t="n">
        <v>74.1125</v>
      </c>
      <c r="E3728" s="5" t="n">
        <v>219.9</v>
      </c>
      <c r="F3728" s="3" t="inlineStr">
        <is>
          <t>오송읍</t>
        </is>
      </c>
      <c r="G3728" s="3" t="inlineStr">
        <is>
          <t>정중리</t>
        </is>
      </c>
      <c r="H3728" s="3" t="inlineStr">
        <is>
          <t>계획관리지역</t>
        </is>
      </c>
      <c r="I3728" s="3" t="inlineStr">
        <is>
          <t>대</t>
        </is>
      </c>
      <c r="J3728" s="3" t="inlineStr">
        <is>
          <t>오송읍</t>
        </is>
      </c>
    </row>
    <row r="3729">
      <c r="A3729" s="3" t="n">
        <v>2026</v>
      </c>
      <c r="B3729" s="4" t="n">
        <v>300</v>
      </c>
      <c r="C3729" s="4" t="n">
        <v>26</v>
      </c>
      <c r="D3729" s="4" t="n">
        <v>7.865</v>
      </c>
      <c r="E3729" s="5" t="n">
        <v>38.1</v>
      </c>
      <c r="F3729" s="3" t="inlineStr">
        <is>
          <t>강내면</t>
        </is>
      </c>
      <c r="G3729" s="3" t="inlineStr">
        <is>
          <t>월곡리</t>
        </is>
      </c>
      <c r="H3729" s="3" t="inlineStr">
        <is>
          <t>제2종일반주거지역</t>
        </is>
      </c>
      <c r="I3729" s="3" t="inlineStr">
        <is>
          <t>임야</t>
        </is>
      </c>
      <c r="J3729" s="3" t="inlineStr">
        <is>
          <t>강내면</t>
        </is>
      </c>
    </row>
    <row r="3730">
      <c r="A3730" s="3" t="n">
        <v>2026</v>
      </c>
      <c r="B3730" s="4" t="n">
        <v>200</v>
      </c>
      <c r="C3730" s="4" t="n">
        <v>20</v>
      </c>
      <c r="D3730" s="4" t="n">
        <v>6.05</v>
      </c>
      <c r="E3730" s="5" t="n">
        <v>33.1</v>
      </c>
      <c r="F3730" s="3" t="inlineStr">
        <is>
          <t>강내면</t>
        </is>
      </c>
      <c r="G3730" s="3" t="inlineStr">
        <is>
          <t>월곡리</t>
        </is>
      </c>
      <c r="H3730" s="3" t="inlineStr">
        <is>
          <t>제2종일반주거지역</t>
        </is>
      </c>
      <c r="I3730" s="3" t="inlineStr">
        <is>
          <t>전</t>
        </is>
      </c>
      <c r="J3730" s="3" t="inlineStr">
        <is>
          <t>강내면</t>
        </is>
      </c>
    </row>
    <row r="3731">
      <c r="A3731" s="3" t="n">
        <v>2026</v>
      </c>
      <c r="B3731" s="4" t="n">
        <v>3839</v>
      </c>
      <c r="C3731" s="4" t="n">
        <v>365</v>
      </c>
      <c r="D3731" s="4" t="n">
        <v>110.4125</v>
      </c>
      <c r="E3731" s="5" t="n">
        <v>34.8</v>
      </c>
      <c r="F3731" s="3" t="inlineStr">
        <is>
          <t>강내면</t>
        </is>
      </c>
      <c r="G3731" s="3" t="inlineStr">
        <is>
          <t>산단리</t>
        </is>
      </c>
      <c r="H3731" s="3" t="inlineStr">
        <is>
          <t>계획관리지역</t>
        </is>
      </c>
      <c r="I3731" s="3" t="inlineStr">
        <is>
          <t>목장용지</t>
        </is>
      </c>
      <c r="J3731" s="3" t="inlineStr">
        <is>
          <t>강내면</t>
        </is>
      </c>
    </row>
    <row r="3732">
      <c r="A3732" s="3" t="n">
        <v>2026</v>
      </c>
      <c r="B3732" s="4" t="n">
        <v>2172</v>
      </c>
      <c r="C3732" s="4" t="n">
        <v>170</v>
      </c>
      <c r="D3732" s="4" t="n">
        <v>51.425</v>
      </c>
      <c r="E3732" s="5" t="n">
        <v>42.2</v>
      </c>
      <c r="F3732" s="3" t="inlineStr">
        <is>
          <t>강내면</t>
        </is>
      </c>
      <c r="G3732" s="3" t="inlineStr">
        <is>
          <t>산단리</t>
        </is>
      </c>
      <c r="H3732" s="3" t="inlineStr">
        <is>
          <t>계획관리지역</t>
        </is>
      </c>
      <c r="I3732" s="3" t="inlineStr">
        <is>
          <t>과수원</t>
        </is>
      </c>
      <c r="J3732" s="3" t="inlineStr">
        <is>
          <t>강내면</t>
        </is>
      </c>
    </row>
    <row r="3733">
      <c r="A3733" s="3" t="n">
        <v>2026</v>
      </c>
      <c r="B3733" s="4" t="n">
        <v>5847</v>
      </c>
      <c r="C3733" s="4" t="n">
        <v>481</v>
      </c>
      <c r="D3733" s="4" t="n">
        <v>145.5025</v>
      </c>
      <c r="E3733" s="5" t="n">
        <v>40.2</v>
      </c>
      <c r="F3733" s="3" t="inlineStr">
        <is>
          <t>강내면</t>
        </is>
      </c>
      <c r="G3733" s="3" t="inlineStr">
        <is>
          <t>산단리</t>
        </is>
      </c>
      <c r="H3733" s="3" t="inlineStr">
        <is>
          <t>계획관리지역</t>
        </is>
      </c>
      <c r="I3733" s="3" t="inlineStr">
        <is>
          <t>과수원</t>
        </is>
      </c>
      <c r="J3733" s="3" t="inlineStr">
        <is>
          <t>강내면</t>
        </is>
      </c>
    </row>
    <row r="3734">
      <c r="A3734" s="3" t="n">
        <v>2026</v>
      </c>
      <c r="B3734" s="4" t="n">
        <v>27785</v>
      </c>
      <c r="C3734" s="4" t="n">
        <v>10747</v>
      </c>
      <c r="D3734" s="4" t="n">
        <v>3250.9675</v>
      </c>
      <c r="E3734" s="5" t="n">
        <v>8.5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임야</t>
        </is>
      </c>
      <c r="J3734" s="3" t="inlineStr">
        <is>
          <t>강내면</t>
        </is>
      </c>
    </row>
    <row r="3735">
      <c r="A3735" s="3" t="n">
        <v>2026</v>
      </c>
      <c r="B3735" s="4" t="n">
        <v>13662</v>
      </c>
      <c r="C3735" s="4" t="n">
        <v>11227</v>
      </c>
      <c r="D3735" s="4" t="n">
        <v>3396.1675</v>
      </c>
      <c r="E3735" s="5" t="n">
        <v>4</v>
      </c>
      <c r="F3735" s="3" t="inlineStr">
        <is>
          <t>강내면</t>
        </is>
      </c>
      <c r="G3735" s="3" t="inlineStr">
        <is>
          <t>산단리</t>
        </is>
      </c>
      <c r="H3735" s="3" t="inlineStr">
        <is>
          <t>계획관리지역</t>
        </is>
      </c>
      <c r="I3735" s="3" t="inlineStr">
        <is>
          <t>임야</t>
        </is>
      </c>
      <c r="J3735" s="3" t="inlineStr">
        <is>
          <t>강내면</t>
        </is>
      </c>
    </row>
    <row r="3736">
      <c r="A3736" s="3" t="n">
        <v>2026</v>
      </c>
      <c r="B3736" s="4" t="n">
        <v>5000</v>
      </c>
      <c r="C3736" s="4" t="n">
        <v>282</v>
      </c>
      <c r="D3736" s="4" t="n">
        <v>85.30499999999999</v>
      </c>
      <c r="E3736" s="5" t="n">
        <v>58.6</v>
      </c>
      <c r="F3736" s="3" t="inlineStr">
        <is>
          <t>오송읍</t>
        </is>
      </c>
      <c r="G3736" s="3" t="inlineStr">
        <is>
          <t>상봉리</t>
        </is>
      </c>
      <c r="H3736" s="3" t="inlineStr">
        <is>
          <t>생산관리지역</t>
        </is>
      </c>
      <c r="I3736" s="3" t="inlineStr">
        <is>
          <t>대</t>
        </is>
      </c>
      <c r="J3736" s="3" t="inlineStr">
        <is>
          <t>오송읍</t>
        </is>
      </c>
    </row>
    <row r="3737">
      <c r="A3737" s="3" t="n">
        <v>2026</v>
      </c>
      <c r="B3737" s="4" t="n">
        <v>57500</v>
      </c>
      <c r="C3737" s="4" t="n">
        <v>4800</v>
      </c>
      <c r="D3737" s="4" t="n">
        <v>1452</v>
      </c>
      <c r="E3737" s="5" t="n">
        <v>39.6</v>
      </c>
      <c r="F3737" s="3" t="inlineStr">
        <is>
          <t>강내면</t>
        </is>
      </c>
      <c r="G3737" s="3" t="inlineStr">
        <is>
          <t>석화리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강내면</t>
        </is>
      </c>
    </row>
    <row r="3738">
      <c r="A3738" s="3" t="n">
        <v>2026</v>
      </c>
      <c r="B3738" s="4" t="n">
        <v>76626</v>
      </c>
      <c r="C3738" s="4" t="n">
        <v>4644</v>
      </c>
      <c r="D3738" s="4" t="n">
        <v>1404.81</v>
      </c>
      <c r="E3738" s="5" t="n">
        <v>54.5</v>
      </c>
      <c r="F3738" s="3" t="inlineStr">
        <is>
          <t>오송읍</t>
        </is>
      </c>
      <c r="G3738" s="3" t="inlineStr">
        <is>
          <t>서평리</t>
        </is>
      </c>
      <c r="H3738" s="3" t="inlineStr">
        <is>
          <t>농림지역</t>
        </is>
      </c>
      <c r="I3738" s="3" t="inlineStr">
        <is>
          <t>전</t>
        </is>
      </c>
      <c r="J3738" s="3" t="inlineStr">
        <is>
          <t>오송읍</t>
        </is>
      </c>
    </row>
    <row r="3739">
      <c r="A3739" s="3" t="n">
        <v>2026</v>
      </c>
      <c r="B3739" s="4" t="n">
        <v>41300</v>
      </c>
      <c r="C3739" s="4" t="n">
        <v>1741</v>
      </c>
      <c r="D3739" s="4" t="n">
        <v>526.6525</v>
      </c>
      <c r="E3739" s="5" t="n">
        <v>78.40000000000001</v>
      </c>
      <c r="F3739" s="3" t="inlineStr">
        <is>
          <t>강내면</t>
        </is>
      </c>
      <c r="G3739" s="3" t="inlineStr">
        <is>
          <t>학천리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강내면</t>
        </is>
      </c>
    </row>
    <row r="3740">
      <c r="A3740" s="3" t="n">
        <v>2026</v>
      </c>
      <c r="B3740" s="4" t="n">
        <v>3200</v>
      </c>
      <c r="C3740" s="4" t="n">
        <v>136</v>
      </c>
      <c r="D3740" s="4" t="n">
        <v>41.14</v>
      </c>
      <c r="E3740" s="5" t="n">
        <v>77.8</v>
      </c>
      <c r="F3740" s="3" t="inlineStr">
        <is>
          <t>강내면</t>
        </is>
      </c>
      <c r="G3740" s="3" t="inlineStr">
        <is>
          <t>학천리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강내면</t>
        </is>
      </c>
    </row>
    <row r="3741">
      <c r="A3741" s="3" t="n">
        <v>2026</v>
      </c>
      <c r="B3741" s="4" t="n">
        <v>40700</v>
      </c>
      <c r="C3741" s="4" t="n">
        <v>1716</v>
      </c>
      <c r="D3741" s="4" t="n">
        <v>519.09</v>
      </c>
      <c r="E3741" s="5" t="n">
        <v>78.40000000000001</v>
      </c>
      <c r="F3741" s="3" t="inlineStr">
        <is>
          <t>강내면</t>
        </is>
      </c>
      <c r="G3741" s="3" t="inlineStr">
        <is>
          <t>학천리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강내면</t>
        </is>
      </c>
    </row>
    <row r="3742">
      <c r="A3742" s="3" t="n">
        <v>2026</v>
      </c>
      <c r="B3742" s="4" t="n">
        <v>14800</v>
      </c>
      <c r="C3742" s="4" t="n">
        <v>622</v>
      </c>
      <c r="D3742" s="4" t="n">
        <v>188.155</v>
      </c>
      <c r="E3742" s="5" t="n">
        <v>78.7</v>
      </c>
      <c r="F3742" s="3" t="inlineStr">
        <is>
          <t>강내면</t>
        </is>
      </c>
      <c r="G3742" s="3" t="inlineStr">
        <is>
          <t>학천리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강내면</t>
        </is>
      </c>
    </row>
    <row r="3743">
      <c r="A3743" s="3" t="n">
        <v>2026</v>
      </c>
      <c r="B3743" s="4" t="n">
        <v>33000</v>
      </c>
      <c r="C3743" s="4" t="n">
        <v>1878</v>
      </c>
      <c r="D3743" s="4" t="n">
        <v>568.095</v>
      </c>
      <c r="E3743" s="5" t="n">
        <v>58.1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강내면</t>
        </is>
      </c>
    </row>
    <row r="3744">
      <c r="A3744" s="3" t="n">
        <v>2026</v>
      </c>
      <c r="B3744" s="4" t="n">
        <v>2000</v>
      </c>
      <c r="C3744" s="4" t="n">
        <v>119</v>
      </c>
      <c r="D3744" s="4" t="n">
        <v>35.9975</v>
      </c>
      <c r="E3744" s="5" t="n">
        <v>55.6</v>
      </c>
      <c r="F3744" s="3" t="inlineStr">
        <is>
          <t>강내면</t>
        </is>
      </c>
      <c r="G3744" s="3" t="inlineStr">
        <is>
          <t>학천리</t>
        </is>
      </c>
      <c r="H3744" s="3" t="inlineStr">
        <is>
          <t>자연녹지지역</t>
        </is>
      </c>
      <c r="I3744" s="3" t="inlineStr">
        <is>
          <t>임야</t>
        </is>
      </c>
      <c r="J3744" s="3" t="inlineStr">
        <is>
          <t>강내면</t>
        </is>
      </c>
    </row>
    <row r="3745">
      <c r="A3745" s="3" t="n">
        <v>2026</v>
      </c>
      <c r="B3745" s="4" t="n">
        <v>64000</v>
      </c>
      <c r="C3745" s="4" t="n">
        <v>3680</v>
      </c>
      <c r="D3745" s="4" t="n">
        <v>1113.2</v>
      </c>
      <c r="E3745" s="5" t="n">
        <v>57.5</v>
      </c>
      <c r="F3745" s="3" t="inlineStr">
        <is>
          <t>강내면</t>
        </is>
      </c>
      <c r="G3745" s="3" t="inlineStr">
        <is>
          <t>학천리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강내면</t>
        </is>
      </c>
    </row>
    <row r="3746">
      <c r="A3746" s="3" t="n">
        <v>2026</v>
      </c>
      <c r="B3746" s="4" t="n">
        <v>1200</v>
      </c>
      <c r="C3746" s="4" t="n">
        <v>53</v>
      </c>
      <c r="D3746" s="4" t="n">
        <v>16.0325</v>
      </c>
      <c r="E3746" s="5" t="n">
        <v>74.8</v>
      </c>
      <c r="F3746" s="3" t="inlineStr">
        <is>
          <t>강내면</t>
        </is>
      </c>
      <c r="G3746" s="3" t="inlineStr">
        <is>
          <t>학천리</t>
        </is>
      </c>
      <c r="H3746" s="3" t="inlineStr">
        <is>
          <t>자연녹지지역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2026</v>
      </c>
      <c r="B3747" s="4" t="n">
        <v>34500</v>
      </c>
      <c r="C3747" s="4" t="n">
        <v>496</v>
      </c>
      <c r="D3747" s="4" t="n">
        <v>150.04</v>
      </c>
      <c r="E3747" s="5" t="n">
        <v>229.9</v>
      </c>
      <c r="F3747" s="3" t="inlineStr">
        <is>
          <t>오송읍</t>
        </is>
      </c>
      <c r="G3747" s="3" t="inlineStr">
        <is>
          <t>궁평리</t>
        </is>
      </c>
      <c r="H3747" s="3" t="inlineStr">
        <is>
          <t>용도미지정</t>
        </is>
      </c>
      <c r="I3747" s="3" t="inlineStr">
        <is>
          <t>대</t>
        </is>
      </c>
      <c r="J3747" s="3" t="inlineStr">
        <is>
          <t>오송읍</t>
        </is>
      </c>
    </row>
    <row r="3748">
      <c r="A3748" s="3" t="n">
        <v>2026</v>
      </c>
      <c r="B3748" s="4" t="n">
        <v>1000</v>
      </c>
      <c r="C3748" s="4" t="n">
        <v>41</v>
      </c>
      <c r="D3748" s="4" t="n">
        <v>12.4025</v>
      </c>
      <c r="E3748" s="5" t="n">
        <v>80.59999999999999</v>
      </c>
      <c r="F3748" s="3" t="inlineStr">
        <is>
          <t>강내면</t>
        </is>
      </c>
      <c r="G3748" s="3" t="inlineStr">
        <is>
          <t>연정리</t>
        </is>
      </c>
      <c r="H3748" s="3" t="inlineStr">
        <is>
          <t>계획관리지역</t>
        </is>
      </c>
      <c r="I3748" s="3" t="inlineStr">
        <is>
          <t>도로</t>
        </is>
      </c>
      <c r="J3748" s="3" t="inlineStr">
        <is>
          <t>강내면</t>
        </is>
      </c>
    </row>
    <row r="3749">
      <c r="A3749" s="3" t="n">
        <v>2026</v>
      </c>
      <c r="B3749" s="4" t="n">
        <v>1000</v>
      </c>
      <c r="C3749" s="4" t="n">
        <v>50</v>
      </c>
      <c r="D3749" s="4" t="n">
        <v>15.125</v>
      </c>
      <c r="E3749" s="5" t="n">
        <v>66.09999999999999</v>
      </c>
      <c r="F3749" s="3" t="inlineStr">
        <is>
          <t>강내면</t>
        </is>
      </c>
      <c r="G3749" s="3" t="inlineStr">
        <is>
          <t>연정리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2026</v>
      </c>
      <c r="B3750" s="4" t="n">
        <v>1000</v>
      </c>
      <c r="C3750" s="4" t="n">
        <v>7</v>
      </c>
      <c r="D3750" s="4" t="n">
        <v>2.1175</v>
      </c>
      <c r="E3750" s="5" t="n">
        <v>472.3</v>
      </c>
      <c r="F3750" s="3" t="inlineStr">
        <is>
          <t>강내면</t>
        </is>
      </c>
      <c r="G3750" s="3" t="inlineStr">
        <is>
          <t>연정리</t>
        </is>
      </c>
      <c r="H3750" s="3" t="inlineStr">
        <is>
          <t>계획관리지역</t>
        </is>
      </c>
      <c r="I3750" s="3" t="inlineStr">
        <is>
          <t>도로</t>
        </is>
      </c>
      <c r="J3750" s="3" t="inlineStr">
        <is>
          <t>강내면</t>
        </is>
      </c>
    </row>
    <row r="3751">
      <c r="A3751" s="3" t="n">
        <v>2025</v>
      </c>
      <c r="B3751" s="4" t="n">
        <v>364</v>
      </c>
      <c r="C3751" s="4" t="n">
        <v>17</v>
      </c>
      <c r="D3751" s="4" t="n">
        <v>5.1425</v>
      </c>
      <c r="E3751" s="5" t="n">
        <v>70.8</v>
      </c>
      <c r="F3751" s="3" t="inlineStr">
        <is>
          <t>오송읍</t>
        </is>
      </c>
      <c r="G3751" s="3" t="inlineStr">
        <is>
          <t>공북리</t>
        </is>
      </c>
      <c r="H3751" s="3" t="inlineStr">
        <is>
          <t>농림지역</t>
        </is>
      </c>
      <c r="I3751" s="3" t="inlineStr">
        <is>
          <t>도로</t>
        </is>
      </c>
      <c r="J3751" s="3" t="inlineStr">
        <is>
          <t>오송읍</t>
        </is>
      </c>
    </row>
    <row r="3752">
      <c r="A3752" s="3" t="n">
        <v>2025</v>
      </c>
      <c r="B3752" s="4" t="n">
        <v>38000</v>
      </c>
      <c r="C3752" s="4" t="n">
        <v>232</v>
      </c>
      <c r="D3752" s="4" t="n">
        <v>70.17999999999999</v>
      </c>
      <c r="E3752" s="5" t="n">
        <v>541.5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제1종일반주거지역</t>
        </is>
      </c>
      <c r="I3752" s="3" t="inlineStr">
        <is>
          <t>대</t>
        </is>
      </c>
      <c r="J3752" s="3" t="inlineStr">
        <is>
          <t>오송읍</t>
        </is>
      </c>
    </row>
    <row r="3753">
      <c r="A3753" s="3" t="n">
        <v>2025</v>
      </c>
      <c r="B3753" s="4" t="n">
        <v>42000</v>
      </c>
      <c r="C3753" s="4" t="n">
        <v>2668</v>
      </c>
      <c r="D3753" s="4" t="n">
        <v>807.0699999999999</v>
      </c>
      <c r="E3753" s="5" t="n">
        <v>52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60000</v>
      </c>
      <c r="C3754" s="4" t="n">
        <v>990</v>
      </c>
      <c r="D3754" s="4" t="n">
        <v>299.475</v>
      </c>
      <c r="E3754" s="5" t="n">
        <v>200.4</v>
      </c>
      <c r="F3754" s="3" t="inlineStr">
        <is>
          <t>강내면</t>
        </is>
      </c>
      <c r="G3754" s="3" t="inlineStr">
        <is>
          <t>다락리</t>
        </is>
      </c>
      <c r="H3754" s="3" t="inlineStr">
        <is>
          <t>계획관리지역</t>
        </is>
      </c>
      <c r="I3754" s="3" t="inlineStr">
        <is>
          <t>대</t>
        </is>
      </c>
      <c r="J3754" s="3" t="inlineStr">
        <is>
          <t>강내면</t>
        </is>
      </c>
    </row>
    <row r="3755">
      <c r="A3755" s="3" t="n">
        <v>2025</v>
      </c>
      <c r="B3755" s="4" t="n">
        <v>25000</v>
      </c>
      <c r="C3755" s="4" t="n">
        <v>639</v>
      </c>
      <c r="D3755" s="4" t="n">
        <v>193.2975</v>
      </c>
      <c r="E3755" s="5" t="n">
        <v>129.3</v>
      </c>
      <c r="F3755" s="3" t="inlineStr">
        <is>
          <t>강내면</t>
        </is>
      </c>
      <c r="G3755" s="3" t="inlineStr">
        <is>
          <t>다락리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33700</v>
      </c>
      <c r="C3756" s="4" t="n">
        <v>1993</v>
      </c>
      <c r="D3756" s="4" t="n">
        <v>602.8824999999999</v>
      </c>
      <c r="E3756" s="5" t="n">
        <v>55.9</v>
      </c>
      <c r="F3756" s="3" t="inlineStr">
        <is>
          <t>오송읍</t>
        </is>
      </c>
      <c r="G3756" s="3" t="inlineStr">
        <is>
          <t>서평리</t>
        </is>
      </c>
      <c r="H3756" s="3" t="inlineStr">
        <is>
          <t>농림지역</t>
        </is>
      </c>
      <c r="I3756" s="3" t="inlineStr">
        <is>
          <t>답</t>
        </is>
      </c>
      <c r="J3756" s="3" t="inlineStr">
        <is>
          <t>오송읍</t>
        </is>
      </c>
    </row>
    <row r="3757">
      <c r="A3757" s="3" t="n">
        <v>2025</v>
      </c>
      <c r="B3757" s="4" t="n">
        <v>11104</v>
      </c>
      <c r="C3757" s="4" t="n">
        <v>250.6</v>
      </c>
      <c r="D3757" s="4" t="n">
        <v>75.8065</v>
      </c>
      <c r="E3757" s="5" t="n">
        <v>146.5</v>
      </c>
      <c r="F3757" s="3" t="inlineStr">
        <is>
          <t>오송읍</t>
        </is>
      </c>
      <c r="G3757" s="3" t="inlineStr">
        <is>
          <t>오송리</t>
        </is>
      </c>
      <c r="H3757" s="3" t="inlineStr">
        <is>
          <t>제1종일반주거지역</t>
        </is>
      </c>
      <c r="I3757" s="3" t="inlineStr">
        <is>
          <t>대</t>
        </is>
      </c>
      <c r="J3757" s="3" t="inlineStr">
        <is>
          <t>오송읍</t>
        </is>
      </c>
    </row>
    <row r="3758">
      <c r="A3758" s="3" t="n">
        <v>2025</v>
      </c>
      <c r="B3758" s="4" t="n">
        <v>48427</v>
      </c>
      <c r="C3758" s="4" t="n">
        <v>2097</v>
      </c>
      <c r="D3758" s="4" t="n">
        <v>634.3425</v>
      </c>
      <c r="E3758" s="5" t="n">
        <v>76.3</v>
      </c>
      <c r="F3758" s="3" t="inlineStr">
        <is>
          <t>강내면</t>
        </is>
      </c>
      <c r="G3758" s="3" t="inlineStr">
        <is>
          <t>저산리</t>
        </is>
      </c>
      <c r="H3758" s="3" t="inlineStr">
        <is>
          <t>계획관리지역</t>
        </is>
      </c>
      <c r="I3758" s="3" t="inlineStr">
        <is>
          <t>창고용지</t>
        </is>
      </c>
      <c r="J3758" s="3" t="inlineStr">
        <is>
          <t>강내면</t>
        </is>
      </c>
    </row>
    <row r="3759">
      <c r="A3759" s="3" t="n">
        <v>2025</v>
      </c>
      <c r="B3759" s="4" t="n">
        <v>160000</v>
      </c>
      <c r="C3759" s="4" t="n">
        <v>819.4</v>
      </c>
      <c r="D3759" s="4" t="n">
        <v>247.8685</v>
      </c>
      <c r="E3759" s="5" t="n">
        <v>645.5</v>
      </c>
      <c r="F3759" s="3" t="inlineStr">
        <is>
          <t>오송읍</t>
        </is>
      </c>
      <c r="G3759" s="3" t="inlineStr">
        <is>
          <t>연제리</t>
        </is>
      </c>
      <c r="H3759" s="3" t="inlineStr">
        <is>
          <t>일반상업지역</t>
        </is>
      </c>
      <c r="I3759" s="3" t="inlineStr">
        <is>
          <t>대</t>
        </is>
      </c>
      <c r="J3759" s="3" t="inlineStr">
        <is>
          <t>오송읍</t>
        </is>
      </c>
    </row>
    <row r="3760">
      <c r="A3760" s="3" t="n">
        <v>2025</v>
      </c>
      <c r="B3760" s="4" t="n">
        <v>3400</v>
      </c>
      <c r="C3760" s="4" t="n">
        <v>331</v>
      </c>
      <c r="D3760" s="4" t="n">
        <v>100.1275</v>
      </c>
      <c r="E3760" s="5" t="n">
        <v>34</v>
      </c>
      <c r="F3760" s="3" t="inlineStr">
        <is>
          <t>오송읍</t>
        </is>
      </c>
      <c r="G3760" s="3" t="inlineStr">
        <is>
          <t>쌍청리</t>
        </is>
      </c>
      <c r="H3760" s="3" t="inlineStr">
        <is>
          <t>농림지역</t>
        </is>
      </c>
      <c r="I3760" s="3" t="inlineStr">
        <is>
          <t>전</t>
        </is>
      </c>
      <c r="J3760" s="3" t="inlineStr">
        <is>
          <t>오송읍</t>
        </is>
      </c>
    </row>
    <row r="3761">
      <c r="A3761" s="3" t="n">
        <v>2025</v>
      </c>
      <c r="B3761" s="4" t="n">
        <v>270000</v>
      </c>
      <c r="C3761" s="4" t="n">
        <v>4983</v>
      </c>
      <c r="D3761" s="4" t="n">
        <v>1507.3575</v>
      </c>
      <c r="E3761" s="5" t="n">
        <v>179.1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일반공업지역</t>
        </is>
      </c>
      <c r="I3761" s="3" t="inlineStr">
        <is>
          <t>공장용지</t>
        </is>
      </c>
      <c r="J3761" s="3" t="inlineStr">
        <is>
          <t>오송읍</t>
        </is>
      </c>
    </row>
    <row r="3762">
      <c r="A3762" s="3" t="n">
        <v>2025</v>
      </c>
      <c r="B3762" s="4" t="n">
        <v>1010</v>
      </c>
      <c r="C3762" s="4" t="n">
        <v>54</v>
      </c>
      <c r="D3762" s="4" t="n">
        <v>16.335</v>
      </c>
      <c r="E3762" s="5" t="n">
        <v>61.8</v>
      </c>
      <c r="F3762" s="3" t="inlineStr">
        <is>
          <t>강내면</t>
        </is>
      </c>
      <c r="G3762" s="3" t="inlineStr">
        <is>
          <t>궁현리</t>
        </is>
      </c>
      <c r="H3762" s="3" t="inlineStr">
        <is>
          <t>계획관리지역</t>
        </is>
      </c>
      <c r="I3762" s="3" t="inlineStr">
        <is>
          <t>전</t>
        </is>
      </c>
      <c r="J3762" s="3" t="inlineStr">
        <is>
          <t>강내면</t>
        </is>
      </c>
    </row>
    <row r="3763">
      <c r="A3763" s="3" t="n">
        <v>2025</v>
      </c>
      <c r="B3763" s="4" t="n">
        <v>3000</v>
      </c>
      <c r="C3763" s="4" t="n">
        <v>65</v>
      </c>
      <c r="D3763" s="4" t="n">
        <v>19.6625</v>
      </c>
      <c r="E3763" s="5" t="n">
        <v>152.6</v>
      </c>
      <c r="F3763" s="3" t="inlineStr">
        <is>
          <t>오송읍</t>
        </is>
      </c>
      <c r="G3763" s="3" t="inlineStr">
        <is>
          <t>동평리</t>
        </is>
      </c>
      <c r="H3763" s="3" t="inlineStr">
        <is>
          <t>계획관리지역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2025</v>
      </c>
      <c r="B3764" s="4" t="n">
        <v>3000</v>
      </c>
      <c r="C3764" s="4" t="n">
        <v>64</v>
      </c>
      <c r="D3764" s="4" t="n">
        <v>19.36</v>
      </c>
      <c r="E3764" s="5" t="n">
        <v>155</v>
      </c>
      <c r="F3764" s="3" t="inlineStr">
        <is>
          <t>오송읍</t>
        </is>
      </c>
      <c r="G3764" s="3" t="inlineStr">
        <is>
          <t>동평리</t>
        </is>
      </c>
      <c r="H3764" s="3" t="inlineStr">
        <is>
          <t>계획관리지역</t>
        </is>
      </c>
      <c r="I3764" s="3" t="inlineStr">
        <is>
          <t>대</t>
        </is>
      </c>
      <c r="J3764" s="3" t="inlineStr">
        <is>
          <t>오송읍</t>
        </is>
      </c>
    </row>
    <row r="3765">
      <c r="A3765" s="3" t="n">
        <v>2025</v>
      </c>
      <c r="B3765" s="4" t="n">
        <v>18000</v>
      </c>
      <c r="C3765" s="4" t="n">
        <v>1200</v>
      </c>
      <c r="D3765" s="4" t="n">
        <v>363</v>
      </c>
      <c r="E3765" s="5" t="n">
        <v>49.6</v>
      </c>
      <c r="F3765" s="3" t="inlineStr">
        <is>
          <t>오송읍</t>
        </is>
      </c>
      <c r="G3765" s="3" t="inlineStr">
        <is>
          <t>정중리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오송읍</t>
        </is>
      </c>
    </row>
    <row r="3766">
      <c r="A3766" s="3" t="n">
        <v>2025</v>
      </c>
      <c r="B3766" s="4" t="n">
        <v>51100</v>
      </c>
      <c r="C3766" s="4" t="n">
        <v>849</v>
      </c>
      <c r="D3766" s="4" t="n">
        <v>256.8225</v>
      </c>
      <c r="E3766" s="5" t="n">
        <v>199</v>
      </c>
      <c r="F3766" s="3" t="inlineStr">
        <is>
          <t>강내면</t>
        </is>
      </c>
      <c r="G3766" s="3" t="inlineStr">
        <is>
          <t>태성리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강내면</t>
        </is>
      </c>
    </row>
    <row r="3767">
      <c r="A3767" s="3" t="n">
        <v>2025</v>
      </c>
      <c r="B3767" s="4" t="n">
        <v>7574</v>
      </c>
      <c r="C3767" s="4" t="n">
        <v>1052</v>
      </c>
      <c r="D3767" s="4" t="n">
        <v>318.23</v>
      </c>
      <c r="E3767" s="5" t="n">
        <v>23.8</v>
      </c>
      <c r="F3767" s="3" t="inlineStr">
        <is>
          <t>강내면</t>
        </is>
      </c>
      <c r="G3767" s="3" t="inlineStr">
        <is>
          <t>연정리</t>
        </is>
      </c>
      <c r="H3767" s="3" t="inlineStr">
        <is>
          <t>보전관리지역</t>
        </is>
      </c>
      <c r="I3767" s="3" t="inlineStr">
        <is>
          <t>전</t>
        </is>
      </c>
      <c r="J3767" s="3" t="inlineStr">
        <is>
          <t>강내면</t>
        </is>
      </c>
    </row>
    <row r="3768">
      <c r="A3768" s="3" t="n">
        <v>2025</v>
      </c>
      <c r="B3768" s="4" t="n">
        <v>1015</v>
      </c>
      <c r="C3768" s="4" t="n">
        <v>141</v>
      </c>
      <c r="D3768" s="4" t="n">
        <v>42.6525</v>
      </c>
      <c r="E3768" s="5" t="n">
        <v>23.8</v>
      </c>
      <c r="F3768" s="3" t="inlineStr">
        <is>
          <t>강내면</t>
        </is>
      </c>
      <c r="G3768" s="3" t="inlineStr">
        <is>
          <t>연정리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강내면</t>
        </is>
      </c>
    </row>
    <row r="3769">
      <c r="A3769" s="3" t="n">
        <v>2025</v>
      </c>
      <c r="B3769" s="4" t="n">
        <v>1800</v>
      </c>
      <c r="C3769" s="4" t="n">
        <v>102</v>
      </c>
      <c r="D3769" s="4" t="n">
        <v>30.855</v>
      </c>
      <c r="E3769" s="5" t="n">
        <v>58.3</v>
      </c>
      <c r="F3769" s="3" t="inlineStr">
        <is>
          <t>오송읍</t>
        </is>
      </c>
      <c r="G3769" s="3" t="inlineStr">
        <is>
          <t>동평리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오송읍</t>
        </is>
      </c>
    </row>
    <row r="3770">
      <c r="A3770" s="3" t="n">
        <v>2025</v>
      </c>
      <c r="B3770" s="4" t="n">
        <v>52754</v>
      </c>
      <c r="C3770" s="4" t="n">
        <v>2501.8</v>
      </c>
      <c r="D3770" s="4" t="n">
        <v>756.7945000000001</v>
      </c>
      <c r="E3770" s="5" t="n">
        <v>69.7</v>
      </c>
      <c r="F3770" s="3" t="inlineStr">
        <is>
          <t>오송읍</t>
        </is>
      </c>
      <c r="G3770" s="3" t="inlineStr">
        <is>
          <t>연제리</t>
        </is>
      </c>
      <c r="H3770" s="3" t="inlineStr">
        <is>
          <t>준공업지역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2025</v>
      </c>
      <c r="B3771" s="4" t="n">
        <v>53130</v>
      </c>
      <c r="C3771" s="4" t="n">
        <v>2519.6</v>
      </c>
      <c r="D3771" s="4" t="n">
        <v>762.179</v>
      </c>
      <c r="E3771" s="5" t="n">
        <v>69.7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준공업지역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2025</v>
      </c>
      <c r="B3772" s="4" t="n">
        <v>3220</v>
      </c>
      <c r="C3772" s="4" t="n">
        <v>112</v>
      </c>
      <c r="D3772" s="4" t="n">
        <v>33.88</v>
      </c>
      <c r="E3772" s="5" t="n">
        <v>95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2025</v>
      </c>
      <c r="B3773" s="4" t="n">
        <v>12174</v>
      </c>
      <c r="C3773" s="4" t="n">
        <v>1785</v>
      </c>
      <c r="D3773" s="4" t="n">
        <v>539.9625</v>
      </c>
      <c r="E3773" s="5" t="n">
        <v>22.5</v>
      </c>
      <c r="F3773" s="3" t="inlineStr">
        <is>
          <t>남이면</t>
        </is>
      </c>
      <c r="G3773" s="3" t="inlineStr">
        <is>
          <t>수대리</t>
        </is>
      </c>
      <c r="H3773" s="3" t="inlineStr">
        <is>
          <t>보전녹지지역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2025</v>
      </c>
      <c r="B3774" s="4" t="n">
        <v>29000</v>
      </c>
      <c r="C3774" s="4" t="n">
        <v>1069</v>
      </c>
      <c r="D3774" s="4" t="n">
        <v>323.3725</v>
      </c>
      <c r="E3774" s="5" t="n">
        <v>89.7</v>
      </c>
      <c r="F3774" s="3" t="inlineStr">
        <is>
          <t>현도면</t>
        </is>
      </c>
      <c r="G3774" s="3" t="inlineStr">
        <is>
          <t>우록리</t>
        </is>
      </c>
      <c r="H3774" s="3" t="inlineStr">
        <is>
          <t>계획관리지역</t>
        </is>
      </c>
      <c r="I3774" s="3" t="inlineStr">
        <is>
          <t>답</t>
        </is>
      </c>
      <c r="J3774" s="3" t="inlineStr">
        <is>
          <t>현도면</t>
        </is>
      </c>
    </row>
    <row r="3775">
      <c r="A3775" s="3" t="n">
        <v>2025</v>
      </c>
      <c r="B3775" s="4" t="n">
        <v>6000</v>
      </c>
      <c r="C3775" s="4" t="n">
        <v>3967</v>
      </c>
      <c r="D3775" s="4" t="n">
        <v>1200.0175</v>
      </c>
      <c r="E3775" s="5" t="n">
        <v>5</v>
      </c>
      <c r="F3775" s="3" t="inlineStr">
        <is>
          <t>현도면</t>
        </is>
      </c>
      <c r="G3775" s="3" t="inlineStr">
        <is>
          <t>노산리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현도면</t>
        </is>
      </c>
    </row>
    <row r="3776">
      <c r="A3776" s="3" t="n">
        <v>2025</v>
      </c>
      <c r="B3776" s="4" t="n">
        <v>15800</v>
      </c>
      <c r="C3776" s="4" t="n">
        <v>9078</v>
      </c>
      <c r="D3776" s="4" t="n">
        <v>2746.095</v>
      </c>
      <c r="E3776" s="5" t="n">
        <v>5.8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2025</v>
      </c>
      <c r="B3777" s="4" t="n">
        <v>2910</v>
      </c>
      <c r="C3777" s="4" t="n">
        <v>133</v>
      </c>
      <c r="D3777" s="4" t="n">
        <v>40.2325</v>
      </c>
      <c r="E3777" s="5" t="n">
        <v>72.3</v>
      </c>
      <c r="F3777" s="3" t="inlineStr">
        <is>
          <t>남이면</t>
        </is>
      </c>
      <c r="G3777" s="3" t="inlineStr">
        <is>
          <t>양촌리</t>
        </is>
      </c>
      <c r="H3777" s="3" t="inlineStr">
        <is>
          <t>자연녹지지역</t>
        </is>
      </c>
      <c r="I3777" s="3" t="inlineStr">
        <is>
          <t>대</t>
        </is>
      </c>
      <c r="J3777" s="3" t="inlineStr">
        <is>
          <t>남이면</t>
        </is>
      </c>
    </row>
    <row r="3778">
      <c r="A3778" s="3" t="n">
        <v>2025</v>
      </c>
      <c r="B3778" s="4" t="n">
        <v>4769</v>
      </c>
      <c r="C3778" s="4" t="n">
        <v>218</v>
      </c>
      <c r="D3778" s="4" t="n">
        <v>65.94499999999999</v>
      </c>
      <c r="E3778" s="5" t="n">
        <v>72.3</v>
      </c>
      <c r="F3778" s="3" t="inlineStr">
        <is>
          <t>남이면</t>
        </is>
      </c>
      <c r="G3778" s="3" t="inlineStr">
        <is>
          <t>양촌리</t>
        </is>
      </c>
      <c r="H3778" s="3" t="inlineStr">
        <is>
          <t>자연녹지지역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42000</v>
      </c>
      <c r="C3779" s="4" t="n">
        <v>1161</v>
      </c>
      <c r="D3779" s="4" t="n">
        <v>351.2025</v>
      </c>
      <c r="E3779" s="5" t="n">
        <v>119.6</v>
      </c>
      <c r="F3779" s="3" t="inlineStr">
        <is>
          <t>현도면</t>
        </is>
      </c>
      <c r="G3779" s="3" t="inlineStr">
        <is>
          <t>중삼리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현도면</t>
        </is>
      </c>
    </row>
    <row r="3780">
      <c r="A3780" s="3" t="n">
        <v>2025</v>
      </c>
      <c r="B3780" s="4" t="n">
        <v>36400</v>
      </c>
      <c r="C3780" s="4" t="n">
        <v>1007</v>
      </c>
      <c r="D3780" s="4" t="n">
        <v>304.6175</v>
      </c>
      <c r="E3780" s="5" t="n">
        <v>119.5</v>
      </c>
      <c r="F3780" s="3" t="inlineStr">
        <is>
          <t>현도면</t>
        </is>
      </c>
      <c r="G3780" s="3" t="inlineStr">
        <is>
          <t>중삼리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현도면</t>
        </is>
      </c>
    </row>
    <row r="3781">
      <c r="A3781" s="3" t="n">
        <v>2025</v>
      </c>
      <c r="B3781" s="4" t="n">
        <v>3600</v>
      </c>
      <c r="C3781" s="4" t="n">
        <v>96</v>
      </c>
      <c r="D3781" s="4" t="n">
        <v>29.04</v>
      </c>
      <c r="E3781" s="5" t="n">
        <v>124</v>
      </c>
      <c r="F3781" s="3" t="inlineStr">
        <is>
          <t>현도면</t>
        </is>
      </c>
      <c r="G3781" s="3" t="inlineStr">
        <is>
          <t>중삼리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현도면</t>
        </is>
      </c>
    </row>
    <row r="3782">
      <c r="A3782" s="3" t="n">
        <v>2025</v>
      </c>
      <c r="B3782" s="4" t="n">
        <v>5140</v>
      </c>
      <c r="C3782" s="4" t="n">
        <v>4929</v>
      </c>
      <c r="D3782" s="4" t="n">
        <v>1491.0225</v>
      </c>
      <c r="E3782" s="5" t="n">
        <v>3.4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2025</v>
      </c>
      <c r="B3783" s="4" t="n">
        <v>765</v>
      </c>
      <c r="C3783" s="4" t="n">
        <v>473</v>
      </c>
      <c r="D3783" s="4" t="n">
        <v>143.0825</v>
      </c>
      <c r="E3783" s="5" t="n">
        <v>5.3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2025</v>
      </c>
      <c r="B3784" s="4" t="n">
        <v>310</v>
      </c>
      <c r="C3784" s="4" t="n">
        <v>206</v>
      </c>
      <c r="D3784" s="4" t="n">
        <v>62.315</v>
      </c>
      <c r="E3784" s="5" t="n">
        <v>5</v>
      </c>
      <c r="F3784" s="3" t="inlineStr">
        <is>
          <t>남이면</t>
        </is>
      </c>
      <c r="G3784" s="3" t="inlineStr">
        <is>
          <t>문동리</t>
        </is>
      </c>
      <c r="H3784" s="3" t="inlineStr">
        <is>
          <t>보전녹지지역</t>
        </is>
      </c>
      <c r="I3784" s="3" t="inlineStr">
        <is>
          <t>임야</t>
        </is>
      </c>
      <c r="J3784" s="3" t="inlineStr">
        <is>
          <t>남이면</t>
        </is>
      </c>
    </row>
    <row r="3785">
      <c r="A3785" s="3" t="n">
        <v>2025</v>
      </c>
      <c r="B3785" s="4" t="n">
        <v>2420</v>
      </c>
      <c r="C3785" s="4" t="n">
        <v>1594</v>
      </c>
      <c r="D3785" s="4" t="n">
        <v>482.185</v>
      </c>
      <c r="E3785" s="5" t="n">
        <v>5</v>
      </c>
      <c r="F3785" s="3" t="inlineStr">
        <is>
          <t>남이면</t>
        </is>
      </c>
      <c r="G3785" s="3" t="inlineStr">
        <is>
          <t>문동리</t>
        </is>
      </c>
      <c r="H3785" s="3" t="inlineStr">
        <is>
          <t>보전녹지지역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2025</v>
      </c>
      <c r="B3786" s="4" t="n">
        <v>975</v>
      </c>
      <c r="C3786" s="4" t="n">
        <v>639</v>
      </c>
      <c r="D3786" s="4" t="n">
        <v>193.2975</v>
      </c>
      <c r="E3786" s="5" t="n">
        <v>5</v>
      </c>
      <c r="F3786" s="3" t="inlineStr">
        <is>
          <t>남이면</t>
        </is>
      </c>
      <c r="G3786" s="3" t="inlineStr">
        <is>
          <t>문동리</t>
        </is>
      </c>
      <c r="H3786" s="3" t="inlineStr">
        <is>
          <t>보전녹지지역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7000</v>
      </c>
      <c r="C3787" s="4" t="n">
        <v>474</v>
      </c>
      <c r="D3787" s="4" t="n">
        <v>143.385</v>
      </c>
      <c r="E3787" s="5" t="n">
        <v>48.8</v>
      </c>
      <c r="F3787" s="3" t="inlineStr">
        <is>
          <t>남이면</t>
        </is>
      </c>
      <c r="G3787" s="3" t="inlineStr">
        <is>
          <t>수대리</t>
        </is>
      </c>
      <c r="H3787" s="3" t="inlineStr">
        <is>
          <t>자연녹지지역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2025</v>
      </c>
      <c r="B3788" s="4" t="n">
        <v>50000</v>
      </c>
      <c r="C3788" s="4" t="n">
        <v>2412</v>
      </c>
      <c r="D3788" s="4" t="n">
        <v>729.63</v>
      </c>
      <c r="E3788" s="5" t="n">
        <v>68.5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2025</v>
      </c>
      <c r="B3789" s="4" t="n">
        <v>14700</v>
      </c>
      <c r="C3789" s="4" t="n">
        <v>2440</v>
      </c>
      <c r="D3789" s="4" t="n">
        <v>738.1</v>
      </c>
      <c r="E3789" s="5" t="n">
        <v>19.9</v>
      </c>
      <c r="F3789" s="3" t="inlineStr">
        <is>
          <t>남이면</t>
        </is>
      </c>
      <c r="G3789" s="3" t="inlineStr">
        <is>
          <t>사동리</t>
        </is>
      </c>
      <c r="H3789" s="3" t="inlineStr">
        <is>
          <t>생산관리지역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2025</v>
      </c>
      <c r="B3790" s="4" t="n">
        <v>71795</v>
      </c>
      <c r="C3790" s="4" t="n">
        <v>2421</v>
      </c>
      <c r="D3790" s="4" t="n">
        <v>732.3525</v>
      </c>
      <c r="E3790" s="5" t="n">
        <v>98</v>
      </c>
      <c r="F3790" s="3" t="inlineStr">
        <is>
          <t>남이면</t>
        </is>
      </c>
      <c r="G3790" s="3" t="inlineStr">
        <is>
          <t>수대리</t>
        </is>
      </c>
      <c r="H3790" s="3" t="inlineStr">
        <is>
          <t>자연녹지지역</t>
        </is>
      </c>
      <c r="I3790" s="3" t="inlineStr">
        <is>
          <t>창고용지</t>
        </is>
      </c>
      <c r="J3790" s="3" t="inlineStr">
        <is>
          <t>남이면</t>
        </is>
      </c>
    </row>
    <row r="3791">
      <c r="A3791" s="3" t="n">
        <v>2025</v>
      </c>
      <c r="B3791" s="4" t="n">
        <v>36442</v>
      </c>
      <c r="C3791" s="4" t="n">
        <v>1248</v>
      </c>
      <c r="D3791" s="4" t="n">
        <v>377.52</v>
      </c>
      <c r="E3791" s="5" t="n">
        <v>96.5</v>
      </c>
      <c r="F3791" s="3" t="inlineStr">
        <is>
          <t>현도면</t>
        </is>
      </c>
      <c r="G3791" s="3" t="inlineStr">
        <is>
          <t>선동리</t>
        </is>
      </c>
      <c r="H3791" s="3" t="inlineStr">
        <is>
          <t>계획관리지역</t>
        </is>
      </c>
      <c r="I3791" s="3" t="inlineStr">
        <is>
          <t>공장용지</t>
        </is>
      </c>
      <c r="J3791" s="3" t="inlineStr">
        <is>
          <t>현도면</t>
        </is>
      </c>
    </row>
    <row r="3792">
      <c r="A3792" s="3" t="n">
        <v>2025</v>
      </c>
      <c r="B3792" s="4" t="n">
        <v>74700</v>
      </c>
      <c r="C3792" s="4" t="n">
        <v>25401</v>
      </c>
      <c r="D3792" s="4" t="n">
        <v>7683.8025</v>
      </c>
      <c r="E3792" s="5" t="n">
        <v>9.699999999999999</v>
      </c>
      <c r="F3792" s="3" t="inlineStr">
        <is>
          <t>남이면</t>
        </is>
      </c>
      <c r="G3792" s="3" t="inlineStr">
        <is>
          <t>척산리</t>
        </is>
      </c>
      <c r="H3792" s="3" t="inlineStr">
        <is>
          <t>보전녹지지역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2025</v>
      </c>
      <c r="B3793" s="4" t="n">
        <v>10308</v>
      </c>
      <c r="C3793" s="4" t="n">
        <v>552</v>
      </c>
      <c r="D3793" s="4" t="n">
        <v>166.98</v>
      </c>
      <c r="E3793" s="5" t="n">
        <v>61.7</v>
      </c>
      <c r="F3793" s="3" t="inlineStr">
        <is>
          <t>현도면</t>
        </is>
      </c>
      <c r="G3793" s="3" t="inlineStr">
        <is>
          <t>죽전리</t>
        </is>
      </c>
      <c r="H3793" s="3" t="inlineStr">
        <is>
          <t>계획관리지역</t>
        </is>
      </c>
      <c r="I3793" s="3" t="inlineStr">
        <is>
          <t>하천</t>
        </is>
      </c>
      <c r="J3793" s="3" t="inlineStr">
        <is>
          <t>현도면</t>
        </is>
      </c>
    </row>
    <row r="3794">
      <c r="A3794" s="3" t="n">
        <v>2025</v>
      </c>
      <c r="B3794" s="4" t="n">
        <v>26571</v>
      </c>
      <c r="C3794" s="4" t="n">
        <v>365</v>
      </c>
      <c r="D3794" s="4" t="n">
        <v>110.4125</v>
      </c>
      <c r="E3794" s="5" t="n">
        <v>240.7</v>
      </c>
      <c r="F3794" s="3" t="inlineStr">
        <is>
          <t>남이면</t>
        </is>
      </c>
      <c r="G3794" s="3" t="inlineStr">
        <is>
          <t>부용외천리</t>
        </is>
      </c>
      <c r="H3794" s="3" t="inlineStr">
        <is>
          <t>계획관리지역</t>
        </is>
      </c>
      <c r="I3794" s="3" t="inlineStr">
        <is>
          <t>창고용지</t>
        </is>
      </c>
      <c r="J3794" s="3" t="inlineStr">
        <is>
          <t>남이면</t>
        </is>
      </c>
    </row>
    <row r="3795">
      <c r="A3795" s="3" t="n">
        <v>2025</v>
      </c>
      <c r="B3795" s="4" t="n">
        <v>11973</v>
      </c>
      <c r="C3795" s="4" t="n">
        <v>173</v>
      </c>
      <c r="D3795" s="4" t="n">
        <v>52.3325</v>
      </c>
      <c r="E3795" s="5" t="n">
        <v>228.8</v>
      </c>
      <c r="F3795" s="3" t="inlineStr">
        <is>
          <t>남이면</t>
        </is>
      </c>
      <c r="G3795" s="3" t="inlineStr">
        <is>
          <t>부용외천리</t>
        </is>
      </c>
      <c r="H3795" s="3" t="inlineStr">
        <is>
          <t>계획관리지역</t>
        </is>
      </c>
      <c r="I3795" s="3" t="inlineStr">
        <is>
          <t>창고용지</t>
        </is>
      </c>
      <c r="J3795" s="3" t="inlineStr">
        <is>
          <t>남이면</t>
        </is>
      </c>
    </row>
    <row r="3796">
      <c r="A3796" s="3" t="n">
        <v>2025</v>
      </c>
      <c r="B3796" s="4" t="n">
        <v>70700</v>
      </c>
      <c r="C3796" s="4" t="n">
        <v>3977</v>
      </c>
      <c r="D3796" s="4" t="n">
        <v>1203.0425</v>
      </c>
      <c r="E3796" s="5" t="n">
        <v>58.8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자연녹지지역</t>
        </is>
      </c>
      <c r="I3796" s="3" t="inlineStr">
        <is>
          <t>공장용지</t>
        </is>
      </c>
      <c r="J3796" s="3" t="inlineStr">
        <is>
          <t>남이면</t>
        </is>
      </c>
    </row>
    <row r="3797">
      <c r="A3797" s="3" t="n">
        <v>2025</v>
      </c>
      <c r="B3797" s="4" t="n">
        <v>3500</v>
      </c>
      <c r="C3797" s="4" t="n">
        <v>396</v>
      </c>
      <c r="D3797" s="4" t="n">
        <v>119.79</v>
      </c>
      <c r="E3797" s="5" t="n">
        <v>29.2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1000</v>
      </c>
      <c r="C3798" s="4" t="n">
        <v>50</v>
      </c>
      <c r="D3798" s="4" t="n">
        <v>15.125</v>
      </c>
      <c r="E3798" s="5" t="n">
        <v>66.09999999999999</v>
      </c>
      <c r="F3798" s="3" t="inlineStr">
        <is>
          <t>남이면</t>
        </is>
      </c>
      <c r="G3798" s="3" t="inlineStr">
        <is>
          <t>팔봉리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2025</v>
      </c>
      <c r="B3799" s="4" t="n">
        <v>1452</v>
      </c>
      <c r="C3799" s="4" t="n">
        <v>103</v>
      </c>
      <c r="D3799" s="4" t="n">
        <v>31.1575</v>
      </c>
      <c r="E3799" s="5" t="n">
        <v>46.6</v>
      </c>
      <c r="F3799" s="3" t="inlineStr">
        <is>
          <t>남이면</t>
        </is>
      </c>
      <c r="G3799" s="3" t="inlineStr">
        <is>
          <t>구암리</t>
        </is>
      </c>
      <c r="H3799" s="3" t="inlineStr">
        <is>
          <t>보전녹지지역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9600</v>
      </c>
      <c r="C3800" s="4" t="n">
        <v>1379</v>
      </c>
      <c r="D3800" s="4" t="n">
        <v>417.1475</v>
      </c>
      <c r="E3800" s="5" t="n">
        <v>23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보전관리지역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3000</v>
      </c>
      <c r="C3801" s="4" t="n">
        <v>435</v>
      </c>
      <c r="D3801" s="4" t="n">
        <v>131.5875</v>
      </c>
      <c r="E3801" s="5" t="n">
        <v>22.8</v>
      </c>
      <c r="F3801" s="3" t="inlineStr">
        <is>
          <t>남이면</t>
        </is>
      </c>
      <c r="G3801" s="3" t="inlineStr">
        <is>
          <t>팔봉리</t>
        </is>
      </c>
      <c r="H3801" s="3" t="inlineStr">
        <is>
          <t>자연녹지지역</t>
        </is>
      </c>
      <c r="I3801" s="3" t="inlineStr">
        <is>
          <t>묘지</t>
        </is>
      </c>
      <c r="J3801" s="3" t="inlineStr">
        <is>
          <t>남이면</t>
        </is>
      </c>
    </row>
    <row r="3802">
      <c r="A3802" s="3" t="n">
        <v>2025</v>
      </c>
      <c r="B3802" s="4" t="n">
        <v>5700</v>
      </c>
      <c r="C3802" s="4" t="n">
        <v>656</v>
      </c>
      <c r="D3802" s="4" t="n">
        <v>198.44</v>
      </c>
      <c r="E3802" s="5" t="n">
        <v>28.7</v>
      </c>
      <c r="F3802" s="3" t="inlineStr">
        <is>
          <t>남이면</t>
        </is>
      </c>
      <c r="G3802" s="3" t="inlineStr">
        <is>
          <t>팔봉리</t>
        </is>
      </c>
      <c r="H3802" s="3" t="inlineStr">
        <is>
          <t>자연녹지지역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2025</v>
      </c>
      <c r="B3803" s="4" t="n">
        <v>6000</v>
      </c>
      <c r="C3803" s="4" t="n">
        <v>231</v>
      </c>
      <c r="D3803" s="4" t="n">
        <v>69.8775</v>
      </c>
      <c r="E3803" s="5" t="n">
        <v>85.90000000000001</v>
      </c>
      <c r="F3803" s="3" t="inlineStr">
        <is>
          <t>현도면</t>
        </is>
      </c>
      <c r="G3803" s="3" t="inlineStr">
        <is>
          <t>달계리</t>
        </is>
      </c>
      <c r="H3803" s="3" t="inlineStr">
        <is>
          <t>자연녹지지역</t>
        </is>
      </c>
      <c r="I3803" s="3" t="inlineStr">
        <is>
          <t>대</t>
        </is>
      </c>
      <c r="J3803" s="3" t="inlineStr">
        <is>
          <t>현도면</t>
        </is>
      </c>
    </row>
    <row r="3804">
      <c r="A3804" s="3" t="n">
        <v>2025</v>
      </c>
      <c r="B3804" s="4" t="n">
        <v>38800</v>
      </c>
      <c r="C3804" s="4" t="n">
        <v>1973.5</v>
      </c>
      <c r="D3804" s="4" t="n">
        <v>596.98375</v>
      </c>
      <c r="E3804" s="5" t="n">
        <v>65</v>
      </c>
      <c r="F3804" s="3" t="inlineStr">
        <is>
          <t>남이면</t>
        </is>
      </c>
      <c r="G3804" s="3" t="inlineStr">
        <is>
          <t>가좌리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2025</v>
      </c>
      <c r="B3805" s="4" t="n">
        <v>26960</v>
      </c>
      <c r="C3805" s="4" t="n">
        <v>1371</v>
      </c>
      <c r="D3805" s="4" t="n">
        <v>414.7275</v>
      </c>
      <c r="E3805" s="5" t="n">
        <v>65</v>
      </c>
      <c r="F3805" s="3" t="inlineStr">
        <is>
          <t>남이면</t>
        </is>
      </c>
      <c r="G3805" s="3" t="inlineStr">
        <is>
          <t>가좌리</t>
        </is>
      </c>
      <c r="H3805" s="3" t="inlineStr">
        <is>
          <t>자연녹지지역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2025</v>
      </c>
      <c r="B3806" s="4" t="n">
        <v>42740</v>
      </c>
      <c r="C3806" s="4" t="n">
        <v>2176</v>
      </c>
      <c r="D3806" s="4" t="n">
        <v>658.24</v>
      </c>
      <c r="E3806" s="5" t="n">
        <v>64.90000000000001</v>
      </c>
      <c r="F3806" s="3" t="inlineStr">
        <is>
          <t>남이면</t>
        </is>
      </c>
      <c r="G3806" s="3" t="inlineStr">
        <is>
          <t>가좌리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34000</v>
      </c>
      <c r="C3807" s="4" t="n">
        <v>1874</v>
      </c>
      <c r="D3807" s="4" t="n">
        <v>566.885</v>
      </c>
      <c r="E3807" s="5" t="n">
        <v>60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400</v>
      </c>
      <c r="C3808" s="4" t="n">
        <v>33</v>
      </c>
      <c r="D3808" s="4" t="n">
        <v>9.9825</v>
      </c>
      <c r="E3808" s="5" t="n">
        <v>40.1</v>
      </c>
      <c r="F3808" s="3" t="inlineStr">
        <is>
          <t>남이면</t>
        </is>
      </c>
      <c r="G3808" s="3" t="inlineStr">
        <is>
          <t>대련리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2025</v>
      </c>
      <c r="B3809" s="4" t="n">
        <v>54865</v>
      </c>
      <c r="C3809" s="4" t="n">
        <v>981</v>
      </c>
      <c r="D3809" s="4" t="n">
        <v>296.7525</v>
      </c>
      <c r="E3809" s="5" t="n">
        <v>184.9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3347</v>
      </c>
      <c r="C3810" s="4" t="n">
        <v>1025</v>
      </c>
      <c r="D3810" s="4" t="n">
        <v>310.0625</v>
      </c>
      <c r="E3810" s="5" t="n">
        <v>10.8</v>
      </c>
      <c r="F3810" s="3" t="inlineStr">
        <is>
          <t>전동면</t>
        </is>
      </c>
      <c r="G3810" s="3" t="inlineStr">
        <is>
          <t>봉대리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전동면</t>
        </is>
      </c>
    </row>
    <row r="3811">
      <c r="A3811" s="3" t="n">
        <v>2022</v>
      </c>
      <c r="B3811" s="4" t="n">
        <v>313</v>
      </c>
      <c r="C3811" s="4" t="n">
        <v>96</v>
      </c>
      <c r="D3811" s="4" t="n">
        <v>29.04</v>
      </c>
      <c r="E3811" s="5" t="n">
        <v>10.8</v>
      </c>
      <c r="F3811" s="3" t="inlineStr">
        <is>
          <t>전동면</t>
        </is>
      </c>
      <c r="G3811" s="3" t="inlineStr">
        <is>
          <t>봉대리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전동면</t>
        </is>
      </c>
    </row>
    <row r="3812">
      <c r="A3812" s="3" t="n">
        <v>2022</v>
      </c>
      <c r="B3812" s="4" t="n">
        <v>2820</v>
      </c>
      <c r="C3812" s="4" t="n">
        <v>79</v>
      </c>
      <c r="D3812" s="4" t="n">
        <v>23.8975</v>
      </c>
      <c r="E3812" s="5" t="n">
        <v>118</v>
      </c>
      <c r="F3812" s="3" t="inlineStr">
        <is>
          <t>전의면</t>
        </is>
      </c>
      <c r="G3812" s="3" t="inlineStr">
        <is>
          <t>신흥리</t>
        </is>
      </c>
      <c r="H3812" s="3" t="inlineStr">
        <is>
          <t>계획관리지역</t>
        </is>
      </c>
      <c r="I3812" s="3" t="inlineStr">
        <is>
          <t>전</t>
        </is>
      </c>
      <c r="J3812" s="3" t="inlineStr">
        <is>
          <t>전의면</t>
        </is>
      </c>
    </row>
    <row r="3813">
      <c r="A3813" s="3" t="n">
        <v>2022</v>
      </c>
      <c r="B3813" s="4" t="n">
        <v>12690</v>
      </c>
      <c r="C3813" s="4" t="n">
        <v>176</v>
      </c>
      <c r="D3813" s="4" t="n">
        <v>53.23999999999999</v>
      </c>
      <c r="E3813" s="5" t="n">
        <v>238.4</v>
      </c>
      <c r="F3813" s="3" t="inlineStr">
        <is>
          <t>전의면</t>
        </is>
      </c>
      <c r="G3813" s="3" t="inlineStr">
        <is>
          <t>신흥리</t>
        </is>
      </c>
      <c r="H3813" s="3" t="inlineStr">
        <is>
          <t>계획관리지역</t>
        </is>
      </c>
      <c r="I3813" s="3" t="inlineStr">
        <is>
          <t>대</t>
        </is>
      </c>
      <c r="J3813" s="3" t="inlineStr">
        <is>
          <t>전의면</t>
        </is>
      </c>
    </row>
    <row r="3814">
      <c r="A3814" s="3" t="n">
        <v>2022</v>
      </c>
      <c r="B3814" s="4" t="n">
        <v>7990</v>
      </c>
      <c r="C3814" s="4" t="n">
        <v>108</v>
      </c>
      <c r="D3814" s="4" t="n">
        <v>32.67</v>
      </c>
      <c r="E3814" s="5" t="n">
        <v>244.6</v>
      </c>
      <c r="F3814" s="3" t="inlineStr">
        <is>
          <t>전의면</t>
        </is>
      </c>
      <c r="G3814" s="3" t="inlineStr">
        <is>
          <t>신흥리</t>
        </is>
      </c>
      <c r="H3814" s="3" t="inlineStr">
        <is>
          <t>계획관리지역</t>
        </is>
      </c>
      <c r="I3814" s="3" t="inlineStr">
        <is>
          <t>대</t>
        </is>
      </c>
      <c r="J3814" s="3" t="inlineStr">
        <is>
          <t>전의면</t>
        </is>
      </c>
    </row>
    <row r="3815">
      <c r="A3815" s="3" t="n">
        <v>2022</v>
      </c>
      <c r="B3815" s="4" t="n">
        <v>6300</v>
      </c>
      <c r="C3815" s="4" t="n">
        <v>2675</v>
      </c>
      <c r="D3815" s="4" t="n">
        <v>809.1875</v>
      </c>
      <c r="E3815" s="5" t="n">
        <v>7.8</v>
      </c>
      <c r="F3815" s="3" t="inlineStr">
        <is>
          <t>연서면</t>
        </is>
      </c>
      <c r="G3815" s="3" t="inlineStr">
        <is>
          <t>쌍류리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2022</v>
      </c>
      <c r="B3816" s="4" t="n">
        <v>1000</v>
      </c>
      <c r="C3816" s="4" t="n">
        <v>345</v>
      </c>
      <c r="D3816" s="4" t="n">
        <v>104.3625</v>
      </c>
      <c r="E3816" s="5" t="n">
        <v>9.6</v>
      </c>
      <c r="F3816" s="3" t="inlineStr">
        <is>
          <t>연서면</t>
        </is>
      </c>
      <c r="G3816" s="3" t="inlineStr">
        <is>
          <t>쌍류리</t>
        </is>
      </c>
      <c r="H3816" s="3" t="inlineStr">
        <is>
          <t>보전관리지역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2700</v>
      </c>
      <c r="C3817" s="4" t="n">
        <v>318</v>
      </c>
      <c r="D3817" s="4" t="n">
        <v>96.19499999999999</v>
      </c>
      <c r="E3817" s="5" t="n">
        <v>28.1</v>
      </c>
      <c r="F3817" s="3" t="inlineStr">
        <is>
          <t>연서면</t>
        </is>
      </c>
      <c r="G3817" s="3" t="inlineStr">
        <is>
          <t>쌍류리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연서면</t>
        </is>
      </c>
    </row>
    <row r="3818">
      <c r="A3818" s="3" t="n">
        <v>2022</v>
      </c>
      <c r="B3818" s="4" t="n">
        <v>5900</v>
      </c>
      <c r="C3818" s="4" t="n">
        <v>229.4</v>
      </c>
      <c r="D3818" s="4" t="n">
        <v>69.3935</v>
      </c>
      <c r="E3818" s="5" t="n">
        <v>85</v>
      </c>
      <c r="F3818" s="3" t="inlineStr">
        <is>
          <t>금남면</t>
        </is>
      </c>
      <c r="G3818" s="3" t="inlineStr">
        <is>
          <t>부용리</t>
        </is>
      </c>
      <c r="H3818" s="3" t="inlineStr">
        <is>
          <t>개발제한구역</t>
        </is>
      </c>
      <c r="I3818" s="3" t="inlineStr">
        <is>
          <t>답</t>
        </is>
      </c>
      <c r="J3818" s="3" t="inlineStr">
        <is>
          <t>금남면</t>
        </is>
      </c>
    </row>
    <row r="3819">
      <c r="A3819" s="3" t="n">
        <v>2022</v>
      </c>
      <c r="B3819" s="4" t="n">
        <v>6300</v>
      </c>
      <c r="C3819" s="4" t="n">
        <v>2675</v>
      </c>
      <c r="D3819" s="4" t="n">
        <v>809.1875</v>
      </c>
      <c r="E3819" s="5" t="n">
        <v>7.8</v>
      </c>
      <c r="F3819" s="3" t="inlineStr">
        <is>
          <t>연서면</t>
        </is>
      </c>
      <c r="G3819" s="3" t="inlineStr">
        <is>
          <t>쌍류리</t>
        </is>
      </c>
      <c r="H3819" s="3" t="inlineStr">
        <is>
          <t>보전관리지역</t>
        </is>
      </c>
      <c r="I3819" s="3" t="inlineStr">
        <is>
          <t>임야</t>
        </is>
      </c>
      <c r="J3819" s="3" t="inlineStr">
        <is>
          <t>연서면</t>
        </is>
      </c>
    </row>
    <row r="3820">
      <c r="A3820" s="3" t="n">
        <v>2022</v>
      </c>
      <c r="B3820" s="4" t="n">
        <v>1000</v>
      </c>
      <c r="C3820" s="4" t="n">
        <v>345</v>
      </c>
      <c r="D3820" s="4" t="n">
        <v>104.3625</v>
      </c>
      <c r="E3820" s="5" t="n">
        <v>9.6</v>
      </c>
      <c r="F3820" s="3" t="inlineStr">
        <is>
          <t>연서면</t>
        </is>
      </c>
      <c r="G3820" s="3" t="inlineStr">
        <is>
          <t>쌍류리</t>
        </is>
      </c>
      <c r="H3820" s="3" t="inlineStr">
        <is>
          <t>보전관리지역</t>
        </is>
      </c>
      <c r="I3820" s="3" t="inlineStr">
        <is>
          <t>임야</t>
        </is>
      </c>
      <c r="J3820" s="3" t="inlineStr">
        <is>
          <t>연서면</t>
        </is>
      </c>
    </row>
    <row r="3821">
      <c r="A3821" s="3" t="n">
        <v>2022</v>
      </c>
      <c r="B3821" s="4" t="n">
        <v>2700</v>
      </c>
      <c r="C3821" s="4" t="n">
        <v>318</v>
      </c>
      <c r="D3821" s="4" t="n">
        <v>96.19499999999999</v>
      </c>
      <c r="E3821" s="5" t="n">
        <v>28.1</v>
      </c>
      <c r="F3821" s="3" t="inlineStr">
        <is>
          <t>연서면</t>
        </is>
      </c>
      <c r="G3821" s="3" t="inlineStr">
        <is>
          <t>쌍류리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연서면</t>
        </is>
      </c>
    </row>
    <row r="3822">
      <c r="A3822" s="3" t="n">
        <v>2022</v>
      </c>
      <c r="B3822" s="4" t="n">
        <v>11365</v>
      </c>
      <c r="C3822" s="4" t="n">
        <v>6522</v>
      </c>
      <c r="D3822" s="4" t="n">
        <v>1972.905</v>
      </c>
      <c r="E3822" s="5" t="n">
        <v>5.8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농림지역</t>
        </is>
      </c>
      <c r="I3822" s="3" t="inlineStr">
        <is>
          <t>임야</t>
        </is>
      </c>
      <c r="J3822" s="3" t="inlineStr">
        <is>
          <t>연서면</t>
        </is>
      </c>
    </row>
    <row r="3823">
      <c r="A3823" s="3" t="n">
        <v>2022</v>
      </c>
      <c r="B3823" s="4" t="n">
        <v>12478</v>
      </c>
      <c r="C3823" s="4" t="n">
        <v>1650</v>
      </c>
      <c r="D3823" s="4" t="n">
        <v>499.125</v>
      </c>
      <c r="E3823" s="5" t="n">
        <v>25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농림지역</t>
        </is>
      </c>
      <c r="I3823" s="3" t="inlineStr">
        <is>
          <t>임야</t>
        </is>
      </c>
      <c r="J3823" s="3" t="inlineStr">
        <is>
          <t>연서면</t>
        </is>
      </c>
    </row>
    <row r="3824">
      <c r="A3824" s="3" t="n">
        <v>2022</v>
      </c>
      <c r="B3824" s="4" t="n">
        <v>12478</v>
      </c>
      <c r="C3824" s="4" t="n">
        <v>1650</v>
      </c>
      <c r="D3824" s="4" t="n">
        <v>499.125</v>
      </c>
      <c r="E3824" s="5" t="n">
        <v>25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농림지역</t>
        </is>
      </c>
      <c r="I3824" s="3" t="inlineStr">
        <is>
          <t>임야</t>
        </is>
      </c>
      <c r="J3824" s="3" t="inlineStr">
        <is>
          <t>연서면</t>
        </is>
      </c>
    </row>
    <row r="3825">
      <c r="A3825" s="3" t="n">
        <v>2022</v>
      </c>
      <c r="B3825" s="4" t="n">
        <v>12478</v>
      </c>
      <c r="C3825" s="4" t="n">
        <v>1650</v>
      </c>
      <c r="D3825" s="4" t="n">
        <v>499.125</v>
      </c>
      <c r="E3825" s="5" t="n">
        <v>25</v>
      </c>
      <c r="F3825" s="3" t="inlineStr">
        <is>
          <t>연서면</t>
        </is>
      </c>
      <c r="G3825" s="3" t="inlineStr">
        <is>
          <t>쌍류리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연서면</t>
        </is>
      </c>
    </row>
    <row r="3826">
      <c r="A3826" s="3" t="n">
        <v>2022</v>
      </c>
      <c r="B3826" s="4" t="n">
        <v>24956</v>
      </c>
      <c r="C3826" s="4" t="n">
        <v>3300</v>
      </c>
      <c r="D3826" s="4" t="n">
        <v>998.25</v>
      </c>
      <c r="E3826" s="5" t="n">
        <v>25</v>
      </c>
      <c r="F3826" s="3" t="inlineStr">
        <is>
          <t>연서면</t>
        </is>
      </c>
      <c r="G3826" s="3" t="inlineStr">
        <is>
          <t>쌍류리</t>
        </is>
      </c>
      <c r="H3826" s="3" t="inlineStr">
        <is>
          <t>농림지역</t>
        </is>
      </c>
      <c r="I3826" s="3" t="inlineStr">
        <is>
          <t>임야</t>
        </is>
      </c>
      <c r="J3826" s="3" t="inlineStr">
        <is>
          <t>연서면</t>
        </is>
      </c>
    </row>
    <row r="3827">
      <c r="A3827" s="3" t="n">
        <v>2022</v>
      </c>
      <c r="B3827" s="4" t="n">
        <v>18939</v>
      </c>
      <c r="C3827" s="4" t="n">
        <v>320</v>
      </c>
      <c r="D3827" s="4" t="n">
        <v>96.8</v>
      </c>
      <c r="E3827" s="5" t="n">
        <v>195.7</v>
      </c>
      <c r="F3827" s="3" t="inlineStr">
        <is>
          <t>전의면</t>
        </is>
      </c>
      <c r="G3827" s="3" t="inlineStr">
        <is>
          <t>읍내리</t>
        </is>
      </c>
      <c r="H3827" s="3" t="inlineStr">
        <is>
          <t>계획관리지역</t>
        </is>
      </c>
      <c r="I3827" s="3" t="inlineStr">
        <is>
          <t>전</t>
        </is>
      </c>
      <c r="J3827" s="3" t="inlineStr">
        <is>
          <t>전의면</t>
        </is>
      </c>
    </row>
    <row r="3828">
      <c r="A3828" s="3" t="n">
        <v>2022</v>
      </c>
      <c r="B3828" s="4" t="n">
        <v>10816</v>
      </c>
      <c r="C3828" s="4" t="n">
        <v>278</v>
      </c>
      <c r="D3828" s="4" t="n">
        <v>84.095</v>
      </c>
      <c r="E3828" s="5" t="n">
        <v>128.6</v>
      </c>
      <c r="F3828" s="3" t="inlineStr">
        <is>
          <t>전의면</t>
        </is>
      </c>
      <c r="G3828" s="3" t="inlineStr">
        <is>
          <t>읍내리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전의면</t>
        </is>
      </c>
    </row>
    <row r="3829">
      <c r="A3829" s="3" t="n">
        <v>2022</v>
      </c>
      <c r="B3829" s="4" t="n">
        <v>20640</v>
      </c>
      <c r="C3829" s="4" t="n">
        <v>332</v>
      </c>
      <c r="D3829" s="4" t="n">
        <v>100.43</v>
      </c>
      <c r="E3829" s="5" t="n">
        <v>205.5</v>
      </c>
      <c r="F3829" s="3" t="inlineStr">
        <is>
          <t>전의면</t>
        </is>
      </c>
      <c r="G3829" s="3" t="inlineStr">
        <is>
          <t>읍내리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전의면</t>
        </is>
      </c>
    </row>
    <row r="3830">
      <c r="A3830" s="3" t="n">
        <v>2022</v>
      </c>
      <c r="B3830" s="4" t="n">
        <v>5823</v>
      </c>
      <c r="C3830" s="4" t="n">
        <v>350</v>
      </c>
      <c r="D3830" s="4" t="n">
        <v>105.875</v>
      </c>
      <c r="E3830" s="5" t="n">
        <v>55</v>
      </c>
      <c r="F3830" s="3" t="inlineStr">
        <is>
          <t>전동면</t>
        </is>
      </c>
      <c r="G3830" s="3" t="inlineStr">
        <is>
          <t>노장리</t>
        </is>
      </c>
      <c r="H3830" s="3" t="inlineStr">
        <is>
          <t>계획관리지역</t>
        </is>
      </c>
      <c r="I3830" s="3" t="inlineStr">
        <is>
          <t>임야</t>
        </is>
      </c>
      <c r="J3830" s="3" t="inlineStr">
        <is>
          <t>전동면</t>
        </is>
      </c>
    </row>
    <row r="3831">
      <c r="A3831" s="3" t="n">
        <v>2022</v>
      </c>
      <c r="B3831" s="4" t="n">
        <v>23325</v>
      </c>
      <c r="C3831" s="4" t="n">
        <v>1027</v>
      </c>
      <c r="D3831" s="4" t="n">
        <v>310.6675</v>
      </c>
      <c r="E3831" s="5" t="n">
        <v>75.09999999999999</v>
      </c>
      <c r="F3831" s="3" t="inlineStr">
        <is>
          <t>금남면</t>
        </is>
      </c>
      <c r="G3831" s="3" t="inlineStr">
        <is>
          <t>남곡리</t>
        </is>
      </c>
      <c r="H3831" s="3" t="inlineStr">
        <is>
          <t>개발제한구역</t>
        </is>
      </c>
      <c r="I3831" s="3" t="inlineStr">
        <is>
          <t>답</t>
        </is>
      </c>
      <c r="J3831" s="3" t="inlineStr">
        <is>
          <t>금남면</t>
        </is>
      </c>
    </row>
    <row r="3832">
      <c r="A3832" s="3" t="n">
        <v>2022</v>
      </c>
      <c r="B3832" s="4" t="n">
        <v>10000</v>
      </c>
      <c r="C3832" s="4" t="n">
        <v>298</v>
      </c>
      <c r="D3832" s="4" t="n">
        <v>90.145</v>
      </c>
      <c r="E3832" s="5" t="n">
        <v>110.9</v>
      </c>
      <c r="F3832" s="3" t="inlineStr">
        <is>
          <t>조치원읍</t>
        </is>
      </c>
      <c r="G3832" s="3" t="inlineStr">
        <is>
          <t>신안리</t>
        </is>
      </c>
      <c r="H3832" s="3" t="inlineStr">
        <is>
          <t>자연녹지지역</t>
        </is>
      </c>
      <c r="I3832" s="3" t="inlineStr">
        <is>
          <t>답</t>
        </is>
      </c>
      <c r="J3832" s="3" t="inlineStr">
        <is>
          <t>조치원읍</t>
        </is>
      </c>
    </row>
    <row r="3833">
      <c r="A3833" s="3" t="n">
        <v>2022</v>
      </c>
      <c r="B3833" s="4" t="n">
        <v>25000</v>
      </c>
      <c r="C3833" s="4" t="n">
        <v>729</v>
      </c>
      <c r="D3833" s="4" t="n">
        <v>220.5225</v>
      </c>
      <c r="E3833" s="5" t="n">
        <v>113.4</v>
      </c>
      <c r="F3833" s="3" t="inlineStr">
        <is>
          <t>조치원읍</t>
        </is>
      </c>
      <c r="G3833" s="3" t="inlineStr">
        <is>
          <t>신안리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조치원읍</t>
        </is>
      </c>
    </row>
    <row r="3834">
      <c r="A3834" s="3" t="n">
        <v>2022</v>
      </c>
      <c r="B3834" s="4" t="n">
        <v>9300</v>
      </c>
      <c r="C3834" s="4" t="n">
        <v>307</v>
      </c>
      <c r="D3834" s="4" t="n">
        <v>92.86749999999999</v>
      </c>
      <c r="E3834" s="5" t="n">
        <v>100.1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2022</v>
      </c>
      <c r="B3835" s="4" t="n">
        <v>188160</v>
      </c>
      <c r="C3835" s="4" t="n">
        <v>1944</v>
      </c>
      <c r="D3835" s="4" t="n">
        <v>588.0599999999999</v>
      </c>
      <c r="E3835" s="5" t="n">
        <v>320</v>
      </c>
      <c r="F3835" s="3" t="inlineStr">
        <is>
          <t>연기면</t>
        </is>
      </c>
      <c r="G3835" s="3" t="inlineStr">
        <is>
          <t>연기리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연기면</t>
        </is>
      </c>
    </row>
    <row r="3836">
      <c r="A3836" s="3" t="n">
        <v>2022</v>
      </c>
      <c r="B3836" s="4" t="n">
        <v>30000</v>
      </c>
      <c r="C3836" s="4" t="n">
        <v>420</v>
      </c>
      <c r="D3836" s="4" t="n">
        <v>127.05</v>
      </c>
      <c r="E3836" s="5" t="n">
        <v>236.1</v>
      </c>
      <c r="F3836" s="3" t="inlineStr">
        <is>
          <t>장군면</t>
        </is>
      </c>
      <c r="G3836" s="3" t="inlineStr">
        <is>
          <t>봉안리</t>
        </is>
      </c>
      <c r="H3836" s="3" t="inlineStr">
        <is>
          <t>보전관리지역</t>
        </is>
      </c>
      <c r="I3836" s="3" t="inlineStr">
        <is>
          <t>임야</t>
        </is>
      </c>
      <c r="J3836" s="3" t="inlineStr">
        <is>
          <t>장군면</t>
        </is>
      </c>
    </row>
    <row r="3837">
      <c r="A3837" s="3" t="n">
        <v>2022</v>
      </c>
      <c r="B3837" s="4" t="n">
        <v>2000</v>
      </c>
      <c r="C3837" s="4" t="n">
        <v>10</v>
      </c>
      <c r="D3837" s="4" t="n">
        <v>3.025</v>
      </c>
      <c r="E3837" s="5" t="n">
        <v>661.2</v>
      </c>
      <c r="F3837" s="3" t="inlineStr">
        <is>
          <t>장군면</t>
        </is>
      </c>
      <c r="G3837" s="3" t="inlineStr">
        <is>
          <t>봉안리</t>
        </is>
      </c>
      <c r="H3837" s="3" t="inlineStr">
        <is>
          <t>보전관리지역</t>
        </is>
      </c>
      <c r="I3837" s="3" t="inlineStr">
        <is>
          <t>임야</t>
        </is>
      </c>
      <c r="J3837" s="3" t="inlineStr">
        <is>
          <t>장군면</t>
        </is>
      </c>
    </row>
    <row r="3838">
      <c r="A3838" s="3" t="n">
        <v>2022</v>
      </c>
      <c r="B3838" s="4" t="n">
        <v>53260</v>
      </c>
      <c r="C3838" s="4" t="n">
        <v>580</v>
      </c>
      <c r="D3838" s="4" t="n">
        <v>175.45</v>
      </c>
      <c r="E3838" s="5" t="n">
        <v>303.6</v>
      </c>
      <c r="F3838" s="3" t="inlineStr">
        <is>
          <t>장군면</t>
        </is>
      </c>
      <c r="G3838" s="3" t="inlineStr">
        <is>
          <t>대교리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장군면</t>
        </is>
      </c>
    </row>
    <row r="3839">
      <c r="A3839" s="3" t="n">
        <v>2022</v>
      </c>
      <c r="B3839" s="4" t="n">
        <v>19100</v>
      </c>
      <c r="C3839" s="4" t="n">
        <v>12002</v>
      </c>
      <c r="D3839" s="4" t="n">
        <v>3630.605</v>
      </c>
      <c r="E3839" s="5" t="n">
        <v>5.3</v>
      </c>
      <c r="F3839" s="3" t="inlineStr">
        <is>
          <t>현도면</t>
        </is>
      </c>
      <c r="G3839" s="3" t="inlineStr">
        <is>
          <t>중척리</t>
        </is>
      </c>
      <c r="H3839" s="3" t="inlineStr">
        <is>
          <t>개발제한구역</t>
        </is>
      </c>
      <c r="I3839" s="3" t="inlineStr">
        <is>
          <t>임야</t>
        </is>
      </c>
      <c r="J3839" s="3" t="inlineStr">
        <is>
          <t>현도면</t>
        </is>
      </c>
    </row>
    <row r="3840">
      <c r="A3840" s="3" t="n">
        <v>2022</v>
      </c>
      <c r="B3840" s="4" t="n">
        <v>2100</v>
      </c>
      <c r="C3840" s="4" t="n">
        <v>234</v>
      </c>
      <c r="D3840" s="4" t="n">
        <v>70.785</v>
      </c>
      <c r="E3840" s="5" t="n">
        <v>29.7</v>
      </c>
      <c r="F3840" s="3" t="inlineStr">
        <is>
          <t>현도면</t>
        </is>
      </c>
      <c r="G3840" s="3" t="inlineStr">
        <is>
          <t>중척리</t>
        </is>
      </c>
      <c r="H3840" s="3" t="inlineStr">
        <is>
          <t>개발제한구역</t>
        </is>
      </c>
      <c r="I3840" s="3" t="inlineStr">
        <is>
          <t>전</t>
        </is>
      </c>
      <c r="J3840" s="3" t="inlineStr">
        <is>
          <t>현도면</t>
        </is>
      </c>
    </row>
    <row r="3841">
      <c r="A3841" s="3" t="n">
        <v>2022</v>
      </c>
      <c r="B3841" s="4" t="n">
        <v>34814</v>
      </c>
      <c r="C3841" s="4" t="n">
        <v>879</v>
      </c>
      <c r="D3841" s="4" t="n">
        <v>265.8975</v>
      </c>
      <c r="E3841" s="5" t="n">
        <v>130.9</v>
      </c>
      <c r="F3841" s="3" t="inlineStr">
        <is>
          <t>남이면</t>
        </is>
      </c>
      <c r="G3841" s="3" t="inlineStr">
        <is>
          <t>석판리</t>
        </is>
      </c>
      <c r="H3841" s="3" t="inlineStr">
        <is>
          <t>자연녹지지역</t>
        </is>
      </c>
      <c r="I3841" s="3" t="inlineStr">
        <is>
          <t>전</t>
        </is>
      </c>
      <c r="J3841" s="3" t="inlineStr">
        <is>
          <t>남이면</t>
        </is>
      </c>
    </row>
    <row r="3842">
      <c r="A3842" s="3" t="n">
        <v>2022</v>
      </c>
      <c r="B3842" s="4" t="n">
        <v>186</v>
      </c>
      <c r="C3842" s="4" t="n">
        <v>43</v>
      </c>
      <c r="D3842" s="4" t="n">
        <v>13.0075</v>
      </c>
      <c r="E3842" s="5" t="n">
        <v>14.3</v>
      </c>
      <c r="F3842" s="3" t="inlineStr">
        <is>
          <t>남이면</t>
        </is>
      </c>
      <c r="G3842" s="3" t="inlineStr">
        <is>
          <t>석판리</t>
        </is>
      </c>
      <c r="H3842" s="3" t="inlineStr">
        <is>
          <t>자연녹지지역</t>
        </is>
      </c>
      <c r="I3842" s="3" t="inlineStr">
        <is>
          <t>도로</t>
        </is>
      </c>
      <c r="J3842" s="3" t="inlineStr">
        <is>
          <t>남이면</t>
        </is>
      </c>
    </row>
    <row r="3843">
      <c r="A3843" s="3" t="n">
        <v>2022</v>
      </c>
      <c r="B3843" s="4" t="n">
        <v>5246</v>
      </c>
      <c r="C3843" s="4" t="n">
        <v>403</v>
      </c>
      <c r="D3843" s="4" t="n">
        <v>121.9075</v>
      </c>
      <c r="E3843" s="5" t="n">
        <v>43</v>
      </c>
      <c r="F3843" s="3" t="inlineStr">
        <is>
          <t>현도면</t>
        </is>
      </c>
      <c r="G3843" s="3" t="inlineStr">
        <is>
          <t>우록리</t>
        </is>
      </c>
      <c r="H3843" s="3" t="inlineStr">
        <is>
          <t>생산관리지역</t>
        </is>
      </c>
      <c r="I3843" s="3" t="inlineStr">
        <is>
          <t>전</t>
        </is>
      </c>
      <c r="J3843" s="3" t="inlineStr">
        <is>
          <t>현도면</t>
        </is>
      </c>
    </row>
    <row r="3844">
      <c r="A3844" s="3" t="n">
        <v>2022</v>
      </c>
      <c r="B3844" s="4" t="n">
        <v>6500</v>
      </c>
      <c r="C3844" s="4" t="n">
        <v>651</v>
      </c>
      <c r="D3844" s="4" t="n">
        <v>196.9275</v>
      </c>
      <c r="E3844" s="5" t="n">
        <v>33</v>
      </c>
      <c r="F3844" s="3" t="inlineStr">
        <is>
          <t>현도면</t>
        </is>
      </c>
      <c r="G3844" s="3" t="inlineStr">
        <is>
          <t>우록리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현도면</t>
        </is>
      </c>
    </row>
    <row r="3845">
      <c r="A3845" s="3" t="n">
        <v>2022</v>
      </c>
      <c r="B3845" s="4" t="n">
        <v>12376</v>
      </c>
      <c r="C3845" s="4" t="n">
        <v>1239</v>
      </c>
      <c r="D3845" s="4" t="n">
        <v>374.7975</v>
      </c>
      <c r="E3845" s="5" t="n">
        <v>33</v>
      </c>
      <c r="F3845" s="3" t="inlineStr">
        <is>
          <t>현도면</t>
        </is>
      </c>
      <c r="G3845" s="3" t="inlineStr">
        <is>
          <t>우록리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현도면</t>
        </is>
      </c>
    </row>
    <row r="3846">
      <c r="A3846" s="3" t="n">
        <v>2022</v>
      </c>
      <c r="B3846" s="4" t="n">
        <v>3450</v>
      </c>
      <c r="C3846" s="4" t="n">
        <v>992</v>
      </c>
      <c r="D3846" s="4" t="n">
        <v>300.08</v>
      </c>
      <c r="E3846" s="5" t="n">
        <v>11.5</v>
      </c>
      <c r="F3846" s="3" t="inlineStr">
        <is>
          <t>남이면</t>
        </is>
      </c>
      <c r="G3846" s="3" t="inlineStr">
        <is>
          <t>수대리</t>
        </is>
      </c>
      <c r="H3846" s="3" t="inlineStr">
        <is>
          <t>자연녹지지역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50000</v>
      </c>
      <c r="C3847" s="4" t="n">
        <v>4460.8</v>
      </c>
      <c r="D3847" s="4" t="n">
        <v>1349.392</v>
      </c>
      <c r="E3847" s="5" t="n">
        <v>37.1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남이면</t>
        </is>
      </c>
    </row>
    <row r="3848">
      <c r="A3848" s="3" t="n">
        <v>2022</v>
      </c>
      <c r="B3848" s="4" t="n">
        <v>3700</v>
      </c>
      <c r="C3848" s="4" t="n">
        <v>665</v>
      </c>
      <c r="D3848" s="4" t="n">
        <v>201.1625</v>
      </c>
      <c r="E3848" s="5" t="n">
        <v>18.4</v>
      </c>
      <c r="F3848" s="3" t="inlineStr">
        <is>
          <t>현도면</t>
        </is>
      </c>
      <c r="G3848" s="3" t="inlineStr">
        <is>
          <t>달계리</t>
        </is>
      </c>
      <c r="H3848" s="3" t="inlineStr">
        <is>
          <t>개발제한구역</t>
        </is>
      </c>
      <c r="I3848" s="3" t="inlineStr">
        <is>
          <t>전</t>
        </is>
      </c>
      <c r="J3848" s="3" t="inlineStr">
        <is>
          <t>현도면</t>
        </is>
      </c>
    </row>
    <row r="3849">
      <c r="A3849" s="3" t="n">
        <v>2022</v>
      </c>
      <c r="B3849" s="4" t="n">
        <v>70600</v>
      </c>
      <c r="C3849" s="4" t="n">
        <v>1656</v>
      </c>
      <c r="D3849" s="4" t="n">
        <v>500.94</v>
      </c>
      <c r="E3849" s="5" t="n">
        <v>140.9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19960</v>
      </c>
      <c r="C3850" s="4" t="n">
        <v>467</v>
      </c>
      <c r="D3850" s="4" t="n">
        <v>141.2675</v>
      </c>
      <c r="E3850" s="5" t="n">
        <v>141.3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2022</v>
      </c>
      <c r="B3851" s="4" t="n">
        <v>3221</v>
      </c>
      <c r="C3851" s="4" t="n">
        <v>319</v>
      </c>
      <c r="D3851" s="4" t="n">
        <v>96.4975</v>
      </c>
      <c r="E3851" s="5" t="n">
        <v>33.4</v>
      </c>
      <c r="F3851" s="3" t="inlineStr">
        <is>
          <t>현도면</t>
        </is>
      </c>
      <c r="G3851" s="3" t="inlineStr">
        <is>
          <t>시목리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현도면</t>
        </is>
      </c>
    </row>
    <row r="3852">
      <c r="A3852" s="3" t="n">
        <v>2022</v>
      </c>
      <c r="B3852" s="4" t="n">
        <v>16860</v>
      </c>
      <c r="C3852" s="4" t="n">
        <v>532</v>
      </c>
      <c r="D3852" s="4" t="n">
        <v>160.93</v>
      </c>
      <c r="E3852" s="5" t="n">
        <v>104.8</v>
      </c>
      <c r="F3852" s="3" t="inlineStr">
        <is>
          <t>남이면</t>
        </is>
      </c>
      <c r="G3852" s="3" t="inlineStr">
        <is>
          <t>팔봉리</t>
        </is>
      </c>
      <c r="H3852" s="3" t="inlineStr">
        <is>
          <t>자연녹지지역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2022</v>
      </c>
      <c r="B3853" s="4" t="n">
        <v>21100</v>
      </c>
      <c r="C3853" s="4" t="n">
        <v>975</v>
      </c>
      <c r="D3853" s="4" t="n">
        <v>294.9375</v>
      </c>
      <c r="E3853" s="5" t="n">
        <v>71.5</v>
      </c>
      <c r="F3853" s="3" t="inlineStr">
        <is>
          <t>남이면</t>
        </is>
      </c>
      <c r="G3853" s="3" t="inlineStr">
        <is>
          <t>양촌리</t>
        </is>
      </c>
      <c r="H3853" s="3" t="inlineStr">
        <is>
          <t>자연녹지지역</t>
        </is>
      </c>
      <c r="I3853" s="3" t="inlineStr">
        <is>
          <t>대</t>
        </is>
      </c>
      <c r="J3853" s="3" t="inlineStr">
        <is>
          <t>남이면</t>
        </is>
      </c>
    </row>
    <row r="3854">
      <c r="A3854" s="3" t="n">
        <v>2022</v>
      </c>
      <c r="B3854" s="4" t="n">
        <v>4000</v>
      </c>
      <c r="C3854" s="4" t="n">
        <v>12397</v>
      </c>
      <c r="D3854" s="4" t="n">
        <v>3750.0925</v>
      </c>
      <c r="E3854" s="5" t="n">
        <v>1.1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2022</v>
      </c>
      <c r="B3855" s="4" t="n">
        <v>3100</v>
      </c>
      <c r="C3855" s="4" t="n">
        <v>68</v>
      </c>
      <c r="D3855" s="4" t="n">
        <v>20.57</v>
      </c>
      <c r="E3855" s="5" t="n">
        <v>150.7</v>
      </c>
      <c r="F3855" s="3" t="inlineStr">
        <is>
          <t>남이면</t>
        </is>
      </c>
      <c r="G3855" s="3" t="inlineStr">
        <is>
          <t>양촌리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2022</v>
      </c>
      <c r="B3856" s="4" t="n">
        <v>82800</v>
      </c>
      <c r="C3856" s="4" t="n">
        <v>1825</v>
      </c>
      <c r="D3856" s="4" t="n">
        <v>552.0625</v>
      </c>
      <c r="E3856" s="5" t="n">
        <v>150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34700</v>
      </c>
      <c r="C3857" s="4" t="n">
        <v>765</v>
      </c>
      <c r="D3857" s="4" t="n">
        <v>231.4125</v>
      </c>
      <c r="E3857" s="5" t="n">
        <v>149.9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2022</v>
      </c>
      <c r="B3858" s="4" t="n">
        <v>29400</v>
      </c>
      <c r="C3858" s="4" t="n">
        <v>649</v>
      </c>
      <c r="D3858" s="4" t="n">
        <v>196.3225</v>
      </c>
      <c r="E3858" s="5" t="n">
        <v>149.8</v>
      </c>
      <c r="F3858" s="3" t="inlineStr">
        <is>
          <t>남이면</t>
        </is>
      </c>
      <c r="G3858" s="3" t="inlineStr">
        <is>
          <t>양촌리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2026</v>
      </c>
      <c r="B3859" s="4" t="n">
        <v>10000</v>
      </c>
      <c r="C3859" s="4" t="n">
        <v>3825</v>
      </c>
      <c r="D3859" s="4" t="n">
        <v>1157.0625</v>
      </c>
      <c r="E3859" s="5" t="n">
        <v>8.6</v>
      </c>
      <c r="F3859" s="3" t="inlineStr">
        <is>
          <t>현도면</t>
        </is>
      </c>
      <c r="G3859" s="3" t="inlineStr">
        <is>
          <t>하석리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현도면</t>
        </is>
      </c>
    </row>
    <row r="3860">
      <c r="A3860" s="3" t="n">
        <v>2026</v>
      </c>
      <c r="B3860" s="4" t="n">
        <v>200</v>
      </c>
      <c r="C3860" s="4" t="n">
        <v>427</v>
      </c>
      <c r="D3860" s="4" t="n">
        <v>129.1675</v>
      </c>
      <c r="E3860" s="5" t="n">
        <v>1.5</v>
      </c>
      <c r="F3860" s="3" t="inlineStr">
        <is>
          <t>현도면</t>
        </is>
      </c>
      <c r="G3860" s="3" t="inlineStr">
        <is>
          <t>하석리</t>
        </is>
      </c>
      <c r="H3860" s="3" t="inlineStr">
        <is>
          <t>자연녹지지역</t>
        </is>
      </c>
      <c r="I3860" s="3" t="inlineStr">
        <is>
          <t>임야</t>
        </is>
      </c>
      <c r="J3860" s="3" t="inlineStr">
        <is>
          <t>현도면</t>
        </is>
      </c>
    </row>
    <row r="3861">
      <c r="A3861" s="3" t="n">
        <v>2026</v>
      </c>
      <c r="B3861" s="4" t="n">
        <v>50</v>
      </c>
      <c r="C3861" s="4" t="n">
        <v>17</v>
      </c>
      <c r="D3861" s="4" t="n">
        <v>5.1425</v>
      </c>
      <c r="E3861" s="5" t="n">
        <v>9.699999999999999</v>
      </c>
      <c r="F3861" s="3" t="inlineStr">
        <is>
          <t>현도면</t>
        </is>
      </c>
      <c r="G3861" s="3" t="inlineStr">
        <is>
          <t>하석리</t>
        </is>
      </c>
      <c r="H3861" s="3" t="inlineStr">
        <is>
          <t>자연녹지지역</t>
        </is>
      </c>
      <c r="I3861" s="3" t="inlineStr">
        <is>
          <t>도로</t>
        </is>
      </c>
      <c r="J3861" s="3" t="inlineStr">
        <is>
          <t>현도면</t>
        </is>
      </c>
    </row>
    <row r="3862">
      <c r="A3862" s="3" t="n">
        <v>2026</v>
      </c>
      <c r="B3862" s="4" t="n">
        <v>12750</v>
      </c>
      <c r="C3862" s="4" t="n">
        <v>651</v>
      </c>
      <c r="D3862" s="4" t="n">
        <v>196.9275</v>
      </c>
      <c r="E3862" s="5" t="n">
        <v>64.7</v>
      </c>
      <c r="F3862" s="3" t="inlineStr">
        <is>
          <t>현도면</t>
        </is>
      </c>
      <c r="G3862" s="3" t="inlineStr">
        <is>
          <t>하석리</t>
        </is>
      </c>
      <c r="H3862" s="3" t="inlineStr">
        <is>
          <t>자연녹지지역</t>
        </is>
      </c>
      <c r="I3862" s="3" t="inlineStr">
        <is>
          <t>대</t>
        </is>
      </c>
      <c r="J3862" s="3" t="inlineStr">
        <is>
          <t>현도면</t>
        </is>
      </c>
    </row>
    <row r="3863">
      <c r="A3863" s="3" t="n">
        <v>2026</v>
      </c>
      <c r="B3863" s="4" t="n">
        <v>13000</v>
      </c>
      <c r="C3863" s="4" t="n">
        <v>2040</v>
      </c>
      <c r="D3863" s="4" t="n">
        <v>617.1</v>
      </c>
      <c r="E3863" s="5" t="n">
        <v>21.1</v>
      </c>
      <c r="F3863" s="3" t="inlineStr">
        <is>
          <t>남이면</t>
        </is>
      </c>
      <c r="G3863" s="3" t="inlineStr">
        <is>
          <t>비룡리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2026</v>
      </c>
      <c r="B3864" s="4" t="n">
        <v>36319</v>
      </c>
      <c r="C3864" s="4" t="n">
        <v>877</v>
      </c>
      <c r="D3864" s="4" t="n">
        <v>265.2925</v>
      </c>
      <c r="E3864" s="5" t="n">
        <v>136.9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2026</v>
      </c>
      <c r="B3865" s="4" t="n">
        <v>538</v>
      </c>
      <c r="C3865" s="4" t="n">
        <v>13</v>
      </c>
      <c r="D3865" s="4" t="n">
        <v>3.9325</v>
      </c>
      <c r="E3865" s="5" t="n">
        <v>136.8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2026</v>
      </c>
      <c r="B3866" s="4" t="n">
        <v>15406</v>
      </c>
      <c r="C3866" s="4" t="n">
        <v>372</v>
      </c>
      <c r="D3866" s="4" t="n">
        <v>112.53</v>
      </c>
      <c r="E3866" s="5" t="n">
        <v>136.9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2026</v>
      </c>
      <c r="B3867" s="4" t="n">
        <v>35781</v>
      </c>
      <c r="C3867" s="4" t="n">
        <v>864</v>
      </c>
      <c r="D3867" s="4" t="n">
        <v>261.36</v>
      </c>
      <c r="E3867" s="5" t="n">
        <v>136.9</v>
      </c>
      <c r="F3867" s="3" t="inlineStr">
        <is>
          <t>남이면</t>
        </is>
      </c>
      <c r="G3867" s="3" t="inlineStr">
        <is>
          <t>양촌리</t>
        </is>
      </c>
      <c r="H3867" s="3" t="inlineStr">
        <is>
          <t>자연녹지지역</t>
        </is>
      </c>
      <c r="I3867" s="3" t="inlineStr">
        <is>
          <t>임야</t>
        </is>
      </c>
      <c r="J3867" s="3" t="inlineStr">
        <is>
          <t>남이면</t>
        </is>
      </c>
    </row>
    <row r="3868">
      <c r="A3868" s="3" t="n">
        <v>2026</v>
      </c>
      <c r="B3868" s="4" t="n">
        <v>2526</v>
      </c>
      <c r="C3868" s="4" t="n">
        <v>61</v>
      </c>
      <c r="D3868" s="4" t="n">
        <v>18.4525</v>
      </c>
      <c r="E3868" s="5" t="n">
        <v>136.9</v>
      </c>
      <c r="F3868" s="3" t="inlineStr">
        <is>
          <t>남이면</t>
        </is>
      </c>
      <c r="G3868" s="3" t="inlineStr">
        <is>
          <t>양촌리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2026</v>
      </c>
      <c r="B3869" s="4" t="n">
        <v>23000</v>
      </c>
      <c r="C3869" s="4" t="n">
        <v>3150</v>
      </c>
      <c r="D3869" s="4" t="n">
        <v>952.875</v>
      </c>
      <c r="E3869" s="5" t="n">
        <v>24.1</v>
      </c>
      <c r="F3869" s="3" t="inlineStr">
        <is>
          <t>현도면</t>
        </is>
      </c>
      <c r="G3869" s="3" t="inlineStr">
        <is>
          <t>우록리</t>
        </is>
      </c>
      <c r="H3869" s="3" t="inlineStr">
        <is>
          <t>생산관리지역</t>
        </is>
      </c>
      <c r="I3869" s="3" t="inlineStr">
        <is>
          <t>답</t>
        </is>
      </c>
      <c r="J3869" s="3" t="inlineStr">
        <is>
          <t>현도면</t>
        </is>
      </c>
    </row>
    <row r="3870">
      <c r="A3870" s="3" t="n">
        <v>2026</v>
      </c>
      <c r="B3870" s="4" t="n">
        <v>1870</v>
      </c>
      <c r="C3870" s="4" t="n">
        <v>55</v>
      </c>
      <c r="D3870" s="4" t="n">
        <v>16.6375</v>
      </c>
      <c r="E3870" s="5" t="n">
        <v>112.4</v>
      </c>
      <c r="F3870" s="3" t="inlineStr">
        <is>
          <t>연기면</t>
        </is>
      </c>
      <c r="G3870" s="3" t="inlineStr">
        <is>
          <t>수산리</t>
        </is>
      </c>
      <c r="H3870" s="3" t="inlineStr">
        <is>
          <t>보전관리지역</t>
        </is>
      </c>
      <c r="I3870" s="3" t="inlineStr">
        <is>
          <t>대</t>
        </is>
      </c>
      <c r="J3870" s="3" t="inlineStr">
        <is>
          <t>연기면</t>
        </is>
      </c>
    </row>
    <row r="3871">
      <c r="A3871" s="3" t="n">
        <v>2026</v>
      </c>
      <c r="B3871" s="4" t="n">
        <v>2500</v>
      </c>
      <c r="C3871" s="4" t="n">
        <v>69</v>
      </c>
      <c r="D3871" s="4" t="n">
        <v>20.8725</v>
      </c>
      <c r="E3871" s="5" t="n">
        <v>119.8</v>
      </c>
      <c r="F3871" s="3" t="inlineStr">
        <is>
          <t>장군면</t>
        </is>
      </c>
      <c r="G3871" s="3" t="inlineStr">
        <is>
          <t>태산리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장군면</t>
        </is>
      </c>
    </row>
    <row r="3872">
      <c r="A3872" s="3" t="n">
        <v>2025</v>
      </c>
      <c r="B3872" s="4" t="n">
        <v>33000</v>
      </c>
      <c r="C3872" s="4" t="n">
        <v>301</v>
      </c>
      <c r="D3872" s="4" t="n">
        <v>91.05249999999999</v>
      </c>
      <c r="E3872" s="5" t="n">
        <v>362.4</v>
      </c>
      <c r="F3872" s="3" t="inlineStr">
        <is>
          <t>금남면</t>
        </is>
      </c>
      <c r="G3872" s="3" t="inlineStr">
        <is>
          <t>대박리</t>
        </is>
      </c>
      <c r="H3872" s="3" t="inlineStr">
        <is>
          <t>제1종일반주거지역</t>
        </is>
      </c>
      <c r="I3872" s="3" t="inlineStr">
        <is>
          <t>대</t>
        </is>
      </c>
      <c r="J3872" s="3" t="inlineStr">
        <is>
          <t>금남면</t>
        </is>
      </c>
    </row>
    <row r="3873">
      <c r="A3873" s="3" t="n">
        <v>2025</v>
      </c>
      <c r="B3873" s="4" t="n">
        <v>29117</v>
      </c>
      <c r="C3873" s="4" t="n">
        <v>1957</v>
      </c>
      <c r="D3873" s="4" t="n">
        <v>591.9924999999999</v>
      </c>
      <c r="E3873" s="5" t="n">
        <v>49.2</v>
      </c>
      <c r="F3873" s="3" t="inlineStr">
        <is>
          <t>부강면</t>
        </is>
      </c>
      <c r="G3873" s="3" t="inlineStr">
        <is>
          <t>노호리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부강면</t>
        </is>
      </c>
    </row>
    <row r="3874">
      <c r="A3874" s="3" t="n">
        <v>2025</v>
      </c>
      <c r="B3874" s="4" t="n">
        <v>15000</v>
      </c>
      <c r="C3874" s="4" t="n">
        <v>2314</v>
      </c>
      <c r="D3874" s="4" t="n">
        <v>699.985</v>
      </c>
      <c r="E3874" s="5" t="n">
        <v>21.4</v>
      </c>
      <c r="F3874" s="3" t="inlineStr">
        <is>
          <t>연서면</t>
        </is>
      </c>
      <c r="G3874" s="3" t="inlineStr">
        <is>
          <t>청라리</t>
        </is>
      </c>
      <c r="H3874" s="3" t="inlineStr">
        <is>
          <t>생산관리지역</t>
        </is>
      </c>
      <c r="I3874" s="3" t="inlineStr">
        <is>
          <t>과수원</t>
        </is>
      </c>
      <c r="J3874" s="3" t="inlineStr">
        <is>
          <t>연서면</t>
        </is>
      </c>
    </row>
    <row r="3875">
      <c r="A3875" s="3" t="n">
        <v>2025</v>
      </c>
      <c r="B3875" s="4" t="n">
        <v>43661</v>
      </c>
      <c r="C3875" s="4" t="n">
        <v>656</v>
      </c>
      <c r="D3875" s="4" t="n">
        <v>198.44</v>
      </c>
      <c r="E3875" s="5" t="n">
        <v>220</v>
      </c>
      <c r="F3875" s="3" t="inlineStr">
        <is>
          <t>장군면</t>
        </is>
      </c>
      <c r="G3875" s="3" t="inlineStr">
        <is>
          <t>대교리</t>
        </is>
      </c>
      <c r="H3875" s="3" t="inlineStr">
        <is>
          <t>보전관리지역</t>
        </is>
      </c>
      <c r="I3875" s="3" t="inlineStr">
        <is>
          <t>대</t>
        </is>
      </c>
      <c r="J3875" s="3" t="inlineStr">
        <is>
          <t>장군면</t>
        </is>
      </c>
    </row>
    <row r="3876">
      <c r="A3876" s="3" t="n">
        <v>2025</v>
      </c>
      <c r="B3876" s="4" t="n">
        <v>87662</v>
      </c>
      <c r="C3876" s="4" t="n">
        <v>1418.8</v>
      </c>
      <c r="D3876" s="4" t="n">
        <v>429.187</v>
      </c>
      <c r="E3876" s="5" t="n">
        <v>204.3</v>
      </c>
      <c r="F3876" s="3" t="inlineStr">
        <is>
          <t>집현동</t>
        </is>
      </c>
      <c r="G3876" s="3" t="inlineStr"/>
      <c r="H3876" s="3" t="inlineStr">
        <is>
          <t>준주거지역</t>
        </is>
      </c>
      <c r="I3876" s="3" t="inlineStr">
        <is>
          <t>대</t>
        </is>
      </c>
      <c r="J3876" s="3" t="inlineStr">
        <is>
          <t>집현동</t>
        </is>
      </c>
    </row>
    <row r="3877">
      <c r="A3877" s="3" t="n">
        <v>2025</v>
      </c>
      <c r="B3877" s="4" t="n">
        <v>3400</v>
      </c>
      <c r="C3877" s="4" t="n">
        <v>1127</v>
      </c>
      <c r="D3877" s="4" t="n">
        <v>340.9175</v>
      </c>
      <c r="E3877" s="5" t="n">
        <v>10</v>
      </c>
      <c r="F3877" s="3" t="inlineStr">
        <is>
          <t>부강면</t>
        </is>
      </c>
      <c r="G3877" s="3" t="inlineStr">
        <is>
          <t>행산리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부강면</t>
        </is>
      </c>
    </row>
    <row r="3878">
      <c r="A3878" s="3" t="n">
        <v>2025</v>
      </c>
      <c r="B3878" s="4" t="n">
        <v>57300</v>
      </c>
      <c r="C3878" s="4" t="n">
        <v>861</v>
      </c>
      <c r="D3878" s="4" t="n">
        <v>260.4525</v>
      </c>
      <c r="E3878" s="5" t="n">
        <v>220</v>
      </c>
      <c r="F3878" s="3" t="inlineStr">
        <is>
          <t>전의면</t>
        </is>
      </c>
      <c r="G3878" s="3" t="inlineStr">
        <is>
          <t>유천리</t>
        </is>
      </c>
      <c r="H3878" s="3" t="inlineStr">
        <is>
          <t>계획관리지역</t>
        </is>
      </c>
      <c r="I3878" s="3" t="inlineStr">
        <is>
          <t>임야</t>
        </is>
      </c>
      <c r="J3878" s="3" t="inlineStr">
        <is>
          <t>전의면</t>
        </is>
      </c>
    </row>
    <row r="3879">
      <c r="A3879" s="3" t="n">
        <v>2025</v>
      </c>
      <c r="B3879" s="4" t="n">
        <v>34000</v>
      </c>
      <c r="C3879" s="4" t="n">
        <v>2849.9</v>
      </c>
      <c r="D3879" s="4" t="n">
        <v>862.09475</v>
      </c>
      <c r="E3879" s="5" t="n">
        <v>39.4</v>
      </c>
      <c r="F3879" s="3" t="inlineStr">
        <is>
          <t>장군면</t>
        </is>
      </c>
      <c r="G3879" s="3" t="inlineStr">
        <is>
          <t>송학리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장군면</t>
        </is>
      </c>
    </row>
    <row r="3880">
      <c r="A3880" s="3" t="n">
        <v>2025</v>
      </c>
      <c r="B3880" s="4" t="n">
        <v>20000</v>
      </c>
      <c r="C3880" s="4" t="n">
        <v>458</v>
      </c>
      <c r="D3880" s="4" t="n">
        <v>138.545</v>
      </c>
      <c r="E3880" s="5" t="n">
        <v>144.4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생산관리지역</t>
        </is>
      </c>
      <c r="I3880" s="3" t="inlineStr">
        <is>
          <t>대</t>
        </is>
      </c>
      <c r="J3880" s="3" t="inlineStr">
        <is>
          <t>연서면</t>
        </is>
      </c>
    </row>
    <row r="3881">
      <c r="A3881" s="3" t="n">
        <v>2025</v>
      </c>
      <c r="B3881" s="4" t="n">
        <v>9000</v>
      </c>
      <c r="C3881" s="4" t="n">
        <v>204</v>
      </c>
      <c r="D3881" s="4" t="n">
        <v>61.71</v>
      </c>
      <c r="E3881" s="5" t="n">
        <v>145.8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생산관리지역</t>
        </is>
      </c>
      <c r="I3881" s="3" t="inlineStr">
        <is>
          <t>대</t>
        </is>
      </c>
      <c r="J3881" s="3" t="inlineStr">
        <is>
          <t>연서면</t>
        </is>
      </c>
    </row>
    <row r="3882">
      <c r="A3882" s="3" t="n">
        <v>2025</v>
      </c>
      <c r="B3882" s="4" t="n">
        <v>28424</v>
      </c>
      <c r="C3882" s="4" t="n">
        <v>1436</v>
      </c>
      <c r="D3882" s="4" t="n">
        <v>434.39</v>
      </c>
      <c r="E3882" s="5" t="n">
        <v>65.40000000000001</v>
      </c>
      <c r="F3882" s="3" t="inlineStr">
        <is>
          <t>전의면</t>
        </is>
      </c>
      <c r="G3882" s="3" t="inlineStr">
        <is>
          <t>신정리</t>
        </is>
      </c>
      <c r="H3882" s="3" t="inlineStr">
        <is>
          <t>계획관리지역</t>
        </is>
      </c>
      <c r="I3882" s="3" t="inlineStr">
        <is>
          <t>대</t>
        </is>
      </c>
      <c r="J3882" s="3" t="inlineStr">
        <is>
          <t>전의면</t>
        </is>
      </c>
    </row>
    <row r="3883">
      <c r="A3883" s="3" t="n">
        <v>2025</v>
      </c>
      <c r="B3883" s="4" t="n">
        <v>1576</v>
      </c>
      <c r="C3883" s="4" t="n">
        <v>194</v>
      </c>
      <c r="D3883" s="4" t="n">
        <v>58.685</v>
      </c>
      <c r="E3883" s="5" t="n">
        <v>26.9</v>
      </c>
      <c r="F3883" s="3" t="inlineStr">
        <is>
          <t>전의면</t>
        </is>
      </c>
      <c r="G3883" s="3" t="inlineStr">
        <is>
          <t>신정리</t>
        </is>
      </c>
      <c r="H3883" s="3" t="inlineStr">
        <is>
          <t>계획관리지역</t>
        </is>
      </c>
      <c r="I3883" s="3" t="inlineStr">
        <is>
          <t>전</t>
        </is>
      </c>
      <c r="J3883" s="3" t="inlineStr">
        <is>
          <t>전의면</t>
        </is>
      </c>
    </row>
    <row r="3884">
      <c r="A3884" s="3" t="n">
        <v>2025</v>
      </c>
      <c r="B3884" s="4" t="n">
        <v>6450</v>
      </c>
      <c r="C3884" s="4" t="n">
        <v>496</v>
      </c>
      <c r="D3884" s="4" t="n">
        <v>150.04</v>
      </c>
      <c r="E3884" s="5" t="n">
        <v>43</v>
      </c>
      <c r="F3884" s="3" t="inlineStr">
        <is>
          <t>부강면</t>
        </is>
      </c>
      <c r="G3884" s="3" t="inlineStr">
        <is>
          <t>갈산리</t>
        </is>
      </c>
      <c r="H3884" s="3" t="inlineStr">
        <is>
          <t>계획관리지역</t>
        </is>
      </c>
      <c r="I3884" s="3" t="inlineStr">
        <is>
          <t>임야</t>
        </is>
      </c>
      <c r="J3884" s="3" t="inlineStr">
        <is>
          <t>부강면</t>
        </is>
      </c>
    </row>
    <row r="3885">
      <c r="A3885" s="3" t="n">
        <v>2022</v>
      </c>
      <c r="B3885" s="4" t="n">
        <v>10000</v>
      </c>
      <c r="C3885" s="4" t="n">
        <v>403</v>
      </c>
      <c r="D3885" s="4" t="n">
        <v>121.9075</v>
      </c>
      <c r="E3885" s="5" t="n">
        <v>82</v>
      </c>
      <c r="F3885" s="3" t="inlineStr">
        <is>
          <t>오송읍</t>
        </is>
      </c>
      <c r="G3885" s="3" t="inlineStr">
        <is>
          <t>동평리</t>
        </is>
      </c>
      <c r="H3885" s="3" t="inlineStr">
        <is>
          <t>농림지역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59677</v>
      </c>
      <c r="C3886" s="4" t="n">
        <v>2908</v>
      </c>
      <c r="D3886" s="4" t="n">
        <v>879.67</v>
      </c>
      <c r="E3886" s="5" t="n">
        <v>67.8</v>
      </c>
      <c r="F3886" s="3" t="inlineStr">
        <is>
          <t>오송읍</t>
        </is>
      </c>
      <c r="G3886" s="3" t="inlineStr">
        <is>
          <t>연제리</t>
        </is>
      </c>
      <c r="H3886" s="3" t="inlineStr">
        <is>
          <t>준공업지역</t>
        </is>
      </c>
      <c r="I3886" s="3" t="inlineStr">
        <is>
          <t>대</t>
        </is>
      </c>
      <c r="J3886" s="3" t="inlineStr">
        <is>
          <t>오송읍</t>
        </is>
      </c>
    </row>
    <row r="3887">
      <c r="A3887" s="3" t="n">
        <v>2022</v>
      </c>
      <c r="B3887" s="4" t="n">
        <v>7100</v>
      </c>
      <c r="C3887" s="4" t="n">
        <v>235</v>
      </c>
      <c r="D3887" s="4" t="n">
        <v>71.08749999999999</v>
      </c>
      <c r="E3887" s="5" t="n">
        <v>99.90000000000001</v>
      </c>
      <c r="F3887" s="3" t="inlineStr">
        <is>
          <t>강내면</t>
        </is>
      </c>
      <c r="G3887" s="3" t="inlineStr">
        <is>
          <t>산단리</t>
        </is>
      </c>
      <c r="H3887" s="3" t="inlineStr">
        <is>
          <t>계획관리지역</t>
        </is>
      </c>
      <c r="I3887" s="3" t="inlineStr">
        <is>
          <t>대</t>
        </is>
      </c>
      <c r="J3887" s="3" t="inlineStr">
        <is>
          <t>강내면</t>
        </is>
      </c>
    </row>
    <row r="3888">
      <c r="A3888" s="3" t="n">
        <v>2022</v>
      </c>
      <c r="B3888" s="4" t="n">
        <v>7800</v>
      </c>
      <c r="C3888" s="4" t="n">
        <v>87</v>
      </c>
      <c r="D3888" s="4" t="n">
        <v>26.3175</v>
      </c>
      <c r="E3888" s="5" t="n">
        <v>296.4</v>
      </c>
      <c r="F3888" s="3" t="inlineStr">
        <is>
          <t>강내면</t>
        </is>
      </c>
      <c r="G3888" s="3" t="inlineStr">
        <is>
          <t>월곡리</t>
        </is>
      </c>
      <c r="H3888" s="3" t="inlineStr">
        <is>
          <t>제2종일반주거지역</t>
        </is>
      </c>
      <c r="I3888" s="3" t="inlineStr">
        <is>
          <t>답</t>
        </is>
      </c>
      <c r="J3888" s="3" t="inlineStr">
        <is>
          <t>강내면</t>
        </is>
      </c>
    </row>
    <row r="3889">
      <c r="A3889" s="3" t="n">
        <v>2022</v>
      </c>
      <c r="B3889" s="4" t="n">
        <v>34300</v>
      </c>
      <c r="C3889" s="4" t="n">
        <v>1012</v>
      </c>
      <c r="D3889" s="4" t="n">
        <v>306.13</v>
      </c>
      <c r="E3889" s="5" t="n">
        <v>112</v>
      </c>
      <c r="F3889" s="3" t="inlineStr">
        <is>
          <t>오송읍</t>
        </is>
      </c>
      <c r="G3889" s="3" t="inlineStr">
        <is>
          <t>연제리</t>
        </is>
      </c>
      <c r="H3889" s="3" t="inlineStr">
        <is>
          <t>계획관리지역</t>
        </is>
      </c>
      <c r="I3889" s="3" t="inlineStr">
        <is>
          <t>전</t>
        </is>
      </c>
      <c r="J3889" s="3" t="inlineStr">
        <is>
          <t>오송읍</t>
        </is>
      </c>
    </row>
    <row r="3890">
      <c r="A3890" s="3" t="n">
        <v>2022</v>
      </c>
      <c r="B3890" s="4" t="n">
        <v>29933</v>
      </c>
      <c r="C3890" s="4" t="n">
        <v>882</v>
      </c>
      <c r="D3890" s="4" t="n">
        <v>266.805</v>
      </c>
      <c r="E3890" s="5" t="n">
        <v>112.2</v>
      </c>
      <c r="F3890" s="3" t="inlineStr">
        <is>
          <t>오송읍</t>
        </is>
      </c>
      <c r="G3890" s="3" t="inlineStr">
        <is>
          <t>정중리</t>
        </is>
      </c>
      <c r="H3890" s="3" t="inlineStr">
        <is>
          <t>계획관리지역</t>
        </is>
      </c>
      <c r="I3890" s="3" t="inlineStr">
        <is>
          <t>전</t>
        </is>
      </c>
      <c r="J3890" s="3" t="inlineStr">
        <is>
          <t>오송읍</t>
        </is>
      </c>
    </row>
    <row r="3891">
      <c r="A3891" s="3" t="n">
        <v>2022</v>
      </c>
      <c r="B3891" s="4" t="n">
        <v>15730</v>
      </c>
      <c r="C3891" s="4" t="n">
        <v>416</v>
      </c>
      <c r="D3891" s="4" t="n">
        <v>125.84</v>
      </c>
      <c r="E3891" s="5" t="n">
        <v>125</v>
      </c>
      <c r="F3891" s="3" t="inlineStr">
        <is>
          <t>오송읍</t>
        </is>
      </c>
      <c r="G3891" s="3" t="inlineStr">
        <is>
          <t>공북리</t>
        </is>
      </c>
      <c r="H3891" s="3" t="inlineStr">
        <is>
          <t>계획관리지역</t>
        </is>
      </c>
      <c r="I3891" s="3" t="inlineStr">
        <is>
          <t>답</t>
        </is>
      </c>
      <c r="J3891" s="3" t="inlineStr">
        <is>
          <t>오송읍</t>
        </is>
      </c>
    </row>
    <row r="3892">
      <c r="A3892" s="3" t="n">
        <v>2022</v>
      </c>
      <c r="B3892" s="4" t="n">
        <v>15730</v>
      </c>
      <c r="C3892" s="4" t="n">
        <v>416</v>
      </c>
      <c r="D3892" s="4" t="n">
        <v>125.84</v>
      </c>
      <c r="E3892" s="5" t="n">
        <v>125</v>
      </c>
      <c r="F3892" s="3" t="inlineStr">
        <is>
          <t>오송읍</t>
        </is>
      </c>
      <c r="G3892" s="3" t="inlineStr">
        <is>
          <t>공북리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오송읍</t>
        </is>
      </c>
    </row>
    <row r="3893">
      <c r="A3893" s="3" t="n">
        <v>2022</v>
      </c>
      <c r="B3893" s="4" t="n">
        <v>30000</v>
      </c>
      <c r="C3893" s="4" t="n">
        <v>271.8</v>
      </c>
      <c r="D3893" s="4" t="n">
        <v>82.2195</v>
      </c>
      <c r="E3893" s="5" t="n">
        <v>364.9</v>
      </c>
      <c r="F3893" s="3" t="inlineStr">
        <is>
          <t>오송읍</t>
        </is>
      </c>
      <c r="G3893" s="3" t="inlineStr">
        <is>
          <t>봉산리</t>
        </is>
      </c>
      <c r="H3893" s="3" t="inlineStr">
        <is>
          <t>제1종일반주거지역</t>
        </is>
      </c>
      <c r="I3893" s="3" t="inlineStr">
        <is>
          <t>대</t>
        </is>
      </c>
      <c r="J3893" s="3" t="inlineStr">
        <is>
          <t>오송읍</t>
        </is>
      </c>
    </row>
    <row r="3894">
      <c r="A3894" s="3" t="n">
        <v>2022</v>
      </c>
      <c r="B3894" s="4" t="n">
        <v>15690</v>
      </c>
      <c r="C3894" s="4" t="n">
        <v>415</v>
      </c>
      <c r="D3894" s="4" t="n">
        <v>125.5375</v>
      </c>
      <c r="E3894" s="5" t="n">
        <v>125</v>
      </c>
      <c r="F3894" s="3" t="inlineStr">
        <is>
          <t>오송읍</t>
        </is>
      </c>
      <c r="G3894" s="3" t="inlineStr">
        <is>
          <t>공북리</t>
        </is>
      </c>
      <c r="H3894" s="3" t="inlineStr">
        <is>
          <t>계획관리지역</t>
        </is>
      </c>
      <c r="I3894" s="3" t="inlineStr">
        <is>
          <t>답</t>
        </is>
      </c>
      <c r="J3894" s="3" t="inlineStr">
        <is>
          <t>오송읍</t>
        </is>
      </c>
    </row>
    <row r="3895">
      <c r="A3895" s="3" t="n">
        <v>2022</v>
      </c>
      <c r="B3895" s="4" t="n">
        <v>134</v>
      </c>
      <c r="C3895" s="4" t="n">
        <v>28</v>
      </c>
      <c r="D3895" s="4" t="n">
        <v>8.469999999999999</v>
      </c>
      <c r="E3895" s="5" t="n">
        <v>15.8</v>
      </c>
      <c r="F3895" s="3" t="inlineStr">
        <is>
          <t>강내면</t>
        </is>
      </c>
      <c r="G3895" s="3" t="inlineStr">
        <is>
          <t>월탄리</t>
        </is>
      </c>
      <c r="H3895" s="3" t="inlineStr">
        <is>
          <t>보전관리지역</t>
        </is>
      </c>
      <c r="I3895" s="3" t="inlineStr">
        <is>
          <t>임야</t>
        </is>
      </c>
      <c r="J3895" s="3" t="inlineStr">
        <is>
          <t>강내면</t>
        </is>
      </c>
    </row>
    <row r="3896">
      <c r="A3896" s="3" t="n">
        <v>2022</v>
      </c>
      <c r="B3896" s="4" t="n">
        <v>187</v>
      </c>
      <c r="C3896" s="4" t="n">
        <v>39</v>
      </c>
      <c r="D3896" s="4" t="n">
        <v>11.7975</v>
      </c>
      <c r="E3896" s="5" t="n">
        <v>15.9</v>
      </c>
      <c r="F3896" s="3" t="inlineStr">
        <is>
          <t>강내면</t>
        </is>
      </c>
      <c r="G3896" s="3" t="inlineStr">
        <is>
          <t>월탄리</t>
        </is>
      </c>
      <c r="H3896" s="3" t="inlineStr">
        <is>
          <t>보전관리지역</t>
        </is>
      </c>
      <c r="I3896" s="3" t="inlineStr">
        <is>
          <t>임야</t>
        </is>
      </c>
      <c r="J3896" s="3" t="inlineStr">
        <is>
          <t>강내면</t>
        </is>
      </c>
    </row>
    <row r="3897">
      <c r="A3897" s="3" t="n">
        <v>2022</v>
      </c>
      <c r="B3897" s="4" t="n">
        <v>16687</v>
      </c>
      <c r="C3897" s="4" t="n">
        <v>1227</v>
      </c>
      <c r="D3897" s="4" t="n">
        <v>371.1675</v>
      </c>
      <c r="E3897" s="5" t="n">
        <v>45</v>
      </c>
      <c r="F3897" s="3" t="inlineStr">
        <is>
          <t>강내면</t>
        </is>
      </c>
      <c r="G3897" s="3" t="inlineStr">
        <is>
          <t>태성리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강내면</t>
        </is>
      </c>
    </row>
    <row r="3898">
      <c r="A3898" s="3" t="n">
        <v>2022</v>
      </c>
      <c r="B3898" s="4" t="n">
        <v>10437</v>
      </c>
      <c r="C3898" s="4" t="n">
        <v>631</v>
      </c>
      <c r="D3898" s="4" t="n">
        <v>190.8775</v>
      </c>
      <c r="E3898" s="5" t="n">
        <v>54.7</v>
      </c>
      <c r="F3898" s="3" t="inlineStr">
        <is>
          <t>강내면</t>
        </is>
      </c>
      <c r="G3898" s="3" t="inlineStr">
        <is>
          <t>태성리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강내면</t>
        </is>
      </c>
    </row>
    <row r="3899">
      <c r="A3899" s="3" t="n">
        <v>2022</v>
      </c>
      <c r="B3899" s="4" t="n">
        <v>1053</v>
      </c>
      <c r="C3899" s="4" t="n">
        <v>77</v>
      </c>
      <c r="D3899" s="4" t="n">
        <v>23.2925</v>
      </c>
      <c r="E3899" s="5" t="n">
        <v>45.2</v>
      </c>
      <c r="F3899" s="3" t="inlineStr">
        <is>
          <t>강내면</t>
        </is>
      </c>
      <c r="G3899" s="3" t="inlineStr">
        <is>
          <t>태성리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37277</v>
      </c>
      <c r="C3900" s="4" t="n">
        <v>2273</v>
      </c>
      <c r="D3900" s="4" t="n">
        <v>687.5825</v>
      </c>
      <c r="E3900" s="5" t="n">
        <v>54.2</v>
      </c>
      <c r="F3900" s="3" t="inlineStr">
        <is>
          <t>강내면</t>
        </is>
      </c>
      <c r="G3900" s="3" t="inlineStr">
        <is>
          <t>태성리</t>
        </is>
      </c>
      <c r="H3900" s="3" t="inlineStr">
        <is>
          <t>계획관리지역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4551</v>
      </c>
      <c r="C3901" s="4" t="n">
        <v>291</v>
      </c>
      <c r="D3901" s="4" t="n">
        <v>88.0275</v>
      </c>
      <c r="E3901" s="5" t="n">
        <v>51.7</v>
      </c>
      <c r="F3901" s="3" t="inlineStr">
        <is>
          <t>강내면</t>
        </is>
      </c>
      <c r="G3901" s="3" t="inlineStr">
        <is>
          <t>태성리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2022</v>
      </c>
      <c r="B3902" s="4" t="n">
        <v>2808</v>
      </c>
      <c r="C3902" s="4" t="n">
        <v>90</v>
      </c>
      <c r="D3902" s="4" t="n">
        <v>27.225</v>
      </c>
      <c r="E3902" s="5" t="n">
        <v>103.1</v>
      </c>
      <c r="F3902" s="3" t="inlineStr">
        <is>
          <t>강내면</t>
        </is>
      </c>
      <c r="G3902" s="3" t="inlineStr">
        <is>
          <t>연정리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강내면</t>
        </is>
      </c>
    </row>
    <row r="3903">
      <c r="A3903" s="3" t="n">
        <v>2022</v>
      </c>
      <c r="B3903" s="4" t="n">
        <v>5014</v>
      </c>
      <c r="C3903" s="4" t="n">
        <v>185</v>
      </c>
      <c r="D3903" s="4" t="n">
        <v>55.9625</v>
      </c>
      <c r="E3903" s="5" t="n">
        <v>89.59999999999999</v>
      </c>
      <c r="F3903" s="3" t="inlineStr">
        <is>
          <t>오송읍</t>
        </is>
      </c>
      <c r="G3903" s="3" t="inlineStr">
        <is>
          <t>오송리</t>
        </is>
      </c>
      <c r="H3903" s="3" t="inlineStr">
        <is>
          <t>계획관리지역</t>
        </is>
      </c>
      <c r="I3903" s="3" t="inlineStr">
        <is>
          <t>전</t>
        </is>
      </c>
      <c r="J3903" s="3" t="inlineStr">
        <is>
          <t>오송읍</t>
        </is>
      </c>
    </row>
    <row r="3904">
      <c r="A3904" s="3" t="n">
        <v>2022</v>
      </c>
      <c r="B3904" s="4" t="n">
        <v>16048</v>
      </c>
      <c r="C3904" s="4" t="n">
        <v>295</v>
      </c>
      <c r="D3904" s="4" t="n">
        <v>89.2375</v>
      </c>
      <c r="E3904" s="5" t="n">
        <v>179.8</v>
      </c>
      <c r="F3904" s="3" t="inlineStr">
        <is>
          <t>오송읍</t>
        </is>
      </c>
      <c r="G3904" s="3" t="inlineStr">
        <is>
          <t>오송리</t>
        </is>
      </c>
      <c r="H3904" s="3" t="inlineStr">
        <is>
          <t>계획관리지역</t>
        </is>
      </c>
      <c r="I3904" s="3" t="inlineStr">
        <is>
          <t>공장용지</t>
        </is>
      </c>
      <c r="J3904" s="3" t="inlineStr">
        <is>
          <t>오송읍</t>
        </is>
      </c>
    </row>
    <row r="3905">
      <c r="A3905" s="3" t="n">
        <v>2022</v>
      </c>
      <c r="B3905" s="4" t="n">
        <v>33000</v>
      </c>
      <c r="C3905" s="4" t="n">
        <v>1789</v>
      </c>
      <c r="D3905" s="4" t="n">
        <v>541.1725</v>
      </c>
      <c r="E3905" s="5" t="n">
        <v>61</v>
      </c>
      <c r="F3905" s="3" t="inlineStr">
        <is>
          <t>강내면</t>
        </is>
      </c>
      <c r="G3905" s="3" t="inlineStr">
        <is>
          <t>황탄리</t>
        </is>
      </c>
      <c r="H3905" s="3" t="inlineStr">
        <is>
          <t>계획관리지역</t>
        </is>
      </c>
      <c r="I3905" s="3" t="inlineStr">
        <is>
          <t>임야</t>
        </is>
      </c>
      <c r="J3905" s="3" t="inlineStr">
        <is>
          <t>강내면</t>
        </is>
      </c>
    </row>
    <row r="3906">
      <c r="A3906" s="3" t="n">
        <v>2022</v>
      </c>
      <c r="B3906" s="4" t="n">
        <v>7500</v>
      </c>
      <c r="C3906" s="4" t="n">
        <v>214</v>
      </c>
      <c r="D3906" s="4" t="n">
        <v>64.735</v>
      </c>
      <c r="E3906" s="5" t="n">
        <v>115.9</v>
      </c>
      <c r="F3906" s="3" t="inlineStr">
        <is>
          <t>강내면</t>
        </is>
      </c>
      <c r="G3906" s="3" t="inlineStr">
        <is>
          <t>태성리</t>
        </is>
      </c>
      <c r="H3906" s="3" t="inlineStr">
        <is>
          <t>계획관리지역</t>
        </is>
      </c>
      <c r="I3906" s="3" t="inlineStr">
        <is>
          <t>답</t>
        </is>
      </c>
      <c r="J3906" s="3" t="inlineStr">
        <is>
          <t>강내면</t>
        </is>
      </c>
    </row>
    <row r="3907">
      <c r="A3907" s="3" t="n">
        <v>2023</v>
      </c>
      <c r="B3907" s="4" t="n">
        <v>26040</v>
      </c>
      <c r="C3907" s="4" t="n">
        <v>287</v>
      </c>
      <c r="D3907" s="4" t="n">
        <v>86.8175</v>
      </c>
      <c r="E3907" s="5" t="n">
        <v>299.9</v>
      </c>
      <c r="F3907" s="3" t="inlineStr">
        <is>
          <t>오송읍</t>
        </is>
      </c>
      <c r="G3907" s="3" t="inlineStr">
        <is>
          <t>정중리</t>
        </is>
      </c>
      <c r="H3907" s="3" t="inlineStr">
        <is>
          <t>계획관리지역</t>
        </is>
      </c>
      <c r="I3907" s="3" t="inlineStr">
        <is>
          <t>대</t>
        </is>
      </c>
      <c r="J3907" s="3" t="inlineStr">
        <is>
          <t>오송읍</t>
        </is>
      </c>
    </row>
    <row r="3908">
      <c r="A3908" s="3" t="n">
        <v>2023</v>
      </c>
      <c r="B3908" s="4" t="n">
        <v>9430</v>
      </c>
      <c r="C3908" s="4" t="n">
        <v>104</v>
      </c>
      <c r="D3908" s="4" t="n">
        <v>31.46</v>
      </c>
      <c r="E3908" s="5" t="n">
        <v>299.7</v>
      </c>
      <c r="F3908" s="3" t="inlineStr">
        <is>
          <t>오송읍</t>
        </is>
      </c>
      <c r="G3908" s="3" t="inlineStr">
        <is>
          <t>정중리</t>
        </is>
      </c>
      <c r="H3908" s="3" t="inlineStr">
        <is>
          <t>생산관리지역</t>
        </is>
      </c>
      <c r="I3908" s="3" t="inlineStr">
        <is>
          <t>임야</t>
        </is>
      </c>
      <c r="J3908" s="3" t="inlineStr">
        <is>
          <t>오송읍</t>
        </is>
      </c>
    </row>
    <row r="3909">
      <c r="A3909" s="3" t="n">
        <v>2023</v>
      </c>
      <c r="B3909" s="4" t="n">
        <v>39310</v>
      </c>
      <c r="C3909" s="4" t="n">
        <v>551</v>
      </c>
      <c r="D3909" s="4" t="n">
        <v>166.6775</v>
      </c>
      <c r="E3909" s="5" t="n">
        <v>235.8</v>
      </c>
      <c r="F3909" s="3" t="inlineStr">
        <is>
          <t>오송읍</t>
        </is>
      </c>
      <c r="G3909" s="3" t="inlineStr">
        <is>
          <t>정중리</t>
        </is>
      </c>
      <c r="H3909" s="3" t="inlineStr">
        <is>
          <t>생산관리지역</t>
        </is>
      </c>
      <c r="I3909" s="3" t="inlineStr">
        <is>
          <t>임야</t>
        </is>
      </c>
      <c r="J3909" s="3" t="inlineStr">
        <is>
          <t>오송읍</t>
        </is>
      </c>
    </row>
    <row r="3910">
      <c r="A3910" s="3" t="n">
        <v>2023</v>
      </c>
      <c r="B3910" s="4" t="n">
        <v>31396</v>
      </c>
      <c r="C3910" s="4" t="n">
        <v>328</v>
      </c>
      <c r="D3910" s="4" t="n">
        <v>99.22</v>
      </c>
      <c r="E3910" s="5" t="n">
        <v>316.4</v>
      </c>
      <c r="F3910" s="3" t="inlineStr">
        <is>
          <t>오송읍</t>
        </is>
      </c>
      <c r="G3910" s="3" t="inlineStr">
        <is>
          <t>정중리</t>
        </is>
      </c>
      <c r="H3910" s="3" t="inlineStr">
        <is>
          <t>계획관리지역</t>
        </is>
      </c>
      <c r="I3910" s="3" t="inlineStr">
        <is>
          <t>대</t>
        </is>
      </c>
      <c r="J3910" s="3" t="inlineStr">
        <is>
          <t>오송읍</t>
        </is>
      </c>
    </row>
    <row r="3911">
      <c r="A3911" s="3" t="n">
        <v>2023</v>
      </c>
      <c r="B3911" s="4" t="n">
        <v>32000</v>
      </c>
      <c r="C3911" s="4" t="n">
        <v>1627</v>
      </c>
      <c r="D3911" s="4" t="n">
        <v>492.1675</v>
      </c>
      <c r="E3911" s="5" t="n">
        <v>65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전</t>
        </is>
      </c>
      <c r="J3911" s="3" t="inlineStr">
        <is>
          <t>오송읍</t>
        </is>
      </c>
    </row>
    <row r="3912">
      <c r="A3912" s="3" t="n">
        <v>2025</v>
      </c>
      <c r="B3912" s="4" t="n">
        <v>6000</v>
      </c>
      <c r="C3912" s="4" t="n">
        <v>992</v>
      </c>
      <c r="D3912" s="4" t="n">
        <v>300.08</v>
      </c>
      <c r="E3912" s="5" t="n">
        <v>20</v>
      </c>
      <c r="F3912" s="3" t="inlineStr">
        <is>
          <t>전의면</t>
        </is>
      </c>
      <c r="G3912" s="3" t="inlineStr">
        <is>
          <t>유천리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전의면</t>
        </is>
      </c>
    </row>
    <row r="3913">
      <c r="A3913" s="3" t="n">
        <v>2025</v>
      </c>
      <c r="B3913" s="4" t="n">
        <v>57900</v>
      </c>
      <c r="C3913" s="4" t="n">
        <v>1316</v>
      </c>
      <c r="D3913" s="4" t="n">
        <v>398.09</v>
      </c>
      <c r="E3913" s="5" t="n">
        <v>145.4</v>
      </c>
      <c r="F3913" s="3" t="inlineStr">
        <is>
          <t>금남면</t>
        </is>
      </c>
      <c r="G3913" s="3" t="inlineStr">
        <is>
          <t>호탄리</t>
        </is>
      </c>
      <c r="H3913" s="3" t="inlineStr">
        <is>
          <t>개발제한구역</t>
        </is>
      </c>
      <c r="I3913" s="3" t="inlineStr">
        <is>
          <t>전</t>
        </is>
      </c>
      <c r="J3913" s="3" t="inlineStr">
        <is>
          <t>금남면</t>
        </is>
      </c>
    </row>
    <row r="3914">
      <c r="A3914" s="3" t="n">
        <v>2025</v>
      </c>
      <c r="B3914" s="4" t="n">
        <v>145500</v>
      </c>
      <c r="C3914" s="4" t="n">
        <v>3307</v>
      </c>
      <c r="D3914" s="4" t="n">
        <v>1000.3675</v>
      </c>
      <c r="E3914" s="5" t="n">
        <v>145.4</v>
      </c>
      <c r="F3914" s="3" t="inlineStr">
        <is>
          <t>금남면</t>
        </is>
      </c>
      <c r="G3914" s="3" t="inlineStr">
        <is>
          <t>호탄리</t>
        </is>
      </c>
      <c r="H3914" s="3" t="inlineStr">
        <is>
          <t>개발제한구역</t>
        </is>
      </c>
      <c r="I3914" s="3" t="inlineStr">
        <is>
          <t>전</t>
        </is>
      </c>
      <c r="J3914" s="3" t="inlineStr">
        <is>
          <t>금남면</t>
        </is>
      </c>
    </row>
    <row r="3915">
      <c r="A3915" s="3" t="n">
        <v>2025</v>
      </c>
      <c r="B3915" s="4" t="n">
        <v>11000</v>
      </c>
      <c r="C3915" s="4" t="n">
        <v>406</v>
      </c>
      <c r="D3915" s="4" t="n">
        <v>122.815</v>
      </c>
      <c r="E3915" s="5" t="n">
        <v>89.59999999999999</v>
      </c>
      <c r="F3915" s="3" t="inlineStr">
        <is>
          <t>금남면</t>
        </is>
      </c>
      <c r="G3915" s="3" t="inlineStr">
        <is>
          <t>용포리</t>
        </is>
      </c>
      <c r="H3915" s="3" t="inlineStr">
        <is>
          <t>개발제한구역</t>
        </is>
      </c>
      <c r="I3915" s="3" t="inlineStr">
        <is>
          <t>전</t>
        </is>
      </c>
      <c r="J3915" s="3" t="inlineStr">
        <is>
          <t>금남면</t>
        </is>
      </c>
    </row>
    <row r="3916">
      <c r="A3916" s="3" t="n">
        <v>2025</v>
      </c>
      <c r="B3916" s="4" t="n">
        <v>2880</v>
      </c>
      <c r="C3916" s="4" t="n">
        <v>476</v>
      </c>
      <c r="D3916" s="4" t="n">
        <v>143.99</v>
      </c>
      <c r="E3916" s="5" t="n">
        <v>20</v>
      </c>
      <c r="F3916" s="3" t="inlineStr">
        <is>
          <t>부강면</t>
        </is>
      </c>
      <c r="G3916" s="3" t="inlineStr">
        <is>
          <t>문곡리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부강면</t>
        </is>
      </c>
    </row>
    <row r="3917">
      <c r="A3917" s="3" t="n">
        <v>2025</v>
      </c>
      <c r="B3917" s="4" t="n">
        <v>500</v>
      </c>
      <c r="C3917" s="4" t="n">
        <v>112</v>
      </c>
      <c r="D3917" s="4" t="n">
        <v>33.88</v>
      </c>
      <c r="E3917" s="5" t="n">
        <v>14.8</v>
      </c>
      <c r="F3917" s="3" t="inlineStr">
        <is>
          <t>부강면</t>
        </is>
      </c>
      <c r="G3917" s="3" t="inlineStr">
        <is>
          <t>문곡리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부강면</t>
        </is>
      </c>
    </row>
    <row r="3918">
      <c r="A3918" s="3" t="n">
        <v>2025</v>
      </c>
      <c r="B3918" s="4" t="n">
        <v>4900</v>
      </c>
      <c r="C3918" s="4" t="n">
        <v>1098</v>
      </c>
      <c r="D3918" s="4" t="n">
        <v>332.145</v>
      </c>
      <c r="E3918" s="5" t="n">
        <v>14.8</v>
      </c>
      <c r="F3918" s="3" t="inlineStr">
        <is>
          <t>부강면</t>
        </is>
      </c>
      <c r="G3918" s="3" t="inlineStr">
        <is>
          <t>문곡리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부강면</t>
        </is>
      </c>
    </row>
    <row r="3919">
      <c r="A3919" s="3" t="n">
        <v>2025</v>
      </c>
      <c r="B3919" s="4" t="n">
        <v>353</v>
      </c>
      <c r="C3919" s="4" t="n">
        <v>79</v>
      </c>
      <c r="D3919" s="4" t="n">
        <v>23.8975</v>
      </c>
      <c r="E3919" s="5" t="n">
        <v>14.8</v>
      </c>
      <c r="F3919" s="3" t="inlineStr">
        <is>
          <t>부강면</t>
        </is>
      </c>
      <c r="G3919" s="3" t="inlineStr">
        <is>
          <t>문곡리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부강면</t>
        </is>
      </c>
    </row>
    <row r="3920">
      <c r="A3920" s="3" t="n">
        <v>2025</v>
      </c>
      <c r="B3920" s="4" t="n">
        <v>3062</v>
      </c>
      <c r="C3920" s="4" t="n">
        <v>724</v>
      </c>
      <c r="D3920" s="4" t="n">
        <v>219.01</v>
      </c>
      <c r="E3920" s="5" t="n">
        <v>14</v>
      </c>
      <c r="F3920" s="3" t="inlineStr">
        <is>
          <t>부강면</t>
        </is>
      </c>
      <c r="G3920" s="3" t="inlineStr">
        <is>
          <t>문곡리</t>
        </is>
      </c>
      <c r="H3920" s="3" t="inlineStr">
        <is>
          <t>계획관리지역</t>
        </is>
      </c>
      <c r="I3920" s="3" t="inlineStr">
        <is>
          <t>전</t>
        </is>
      </c>
      <c r="J3920" s="3" t="inlineStr">
        <is>
          <t>부강면</t>
        </is>
      </c>
    </row>
    <row r="3921">
      <c r="A3921" s="3" t="n">
        <v>2025</v>
      </c>
      <c r="B3921" s="4" t="n">
        <v>3311</v>
      </c>
      <c r="C3921" s="4" t="n">
        <v>446</v>
      </c>
      <c r="D3921" s="4" t="n">
        <v>134.915</v>
      </c>
      <c r="E3921" s="5" t="n">
        <v>24.5</v>
      </c>
      <c r="F3921" s="3" t="inlineStr">
        <is>
          <t>부강면</t>
        </is>
      </c>
      <c r="G3921" s="3" t="inlineStr">
        <is>
          <t>문곡리</t>
        </is>
      </c>
      <c r="H3921" s="3" t="inlineStr">
        <is>
          <t>계획관리지역</t>
        </is>
      </c>
      <c r="I3921" s="3" t="inlineStr">
        <is>
          <t>답</t>
        </is>
      </c>
      <c r="J3921" s="3" t="inlineStr">
        <is>
          <t>부강면</t>
        </is>
      </c>
    </row>
    <row r="3922">
      <c r="A3922" s="3" t="n">
        <v>2025</v>
      </c>
      <c r="B3922" s="4" t="n">
        <v>6994</v>
      </c>
      <c r="C3922" s="4" t="n">
        <v>1091</v>
      </c>
      <c r="D3922" s="4" t="n">
        <v>330.0275</v>
      </c>
      <c r="E3922" s="5" t="n">
        <v>21.2</v>
      </c>
      <c r="F3922" s="3" t="inlineStr">
        <is>
          <t>부강면</t>
        </is>
      </c>
      <c r="G3922" s="3" t="inlineStr">
        <is>
          <t>문곡리</t>
        </is>
      </c>
      <c r="H3922" s="3" t="inlineStr">
        <is>
          <t>계획관리지역</t>
        </is>
      </c>
      <c r="I3922" s="3" t="inlineStr">
        <is>
          <t>전</t>
        </is>
      </c>
      <c r="J3922" s="3" t="inlineStr">
        <is>
          <t>부강면</t>
        </is>
      </c>
    </row>
    <row r="3923">
      <c r="A3923" s="3" t="n">
        <v>2025</v>
      </c>
      <c r="B3923" s="4" t="n">
        <v>21500</v>
      </c>
      <c r="C3923" s="4" t="n">
        <v>9917</v>
      </c>
      <c r="D3923" s="4" t="n">
        <v>2999.8925</v>
      </c>
      <c r="E3923" s="5" t="n">
        <v>7.2</v>
      </c>
      <c r="F3923" s="3" t="inlineStr">
        <is>
          <t>연서면</t>
        </is>
      </c>
      <c r="G3923" s="3" t="inlineStr">
        <is>
          <t>기룡리</t>
        </is>
      </c>
      <c r="H3923" s="3" t="inlineStr">
        <is>
          <t>농림지역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2026</v>
      </c>
      <c r="B3924" s="4" t="n">
        <v>34500</v>
      </c>
      <c r="C3924" s="4" t="n">
        <v>660</v>
      </c>
      <c r="D3924" s="4" t="n">
        <v>199.65</v>
      </c>
      <c r="E3924" s="5" t="n">
        <v>172.8</v>
      </c>
      <c r="F3924" s="3" t="inlineStr">
        <is>
          <t>전동면</t>
        </is>
      </c>
      <c r="G3924" s="3" t="inlineStr">
        <is>
          <t>노장리</t>
        </is>
      </c>
      <c r="H3924" s="3" t="inlineStr">
        <is>
          <t>계획관리지역</t>
        </is>
      </c>
      <c r="I3924" s="3" t="inlineStr">
        <is>
          <t>대</t>
        </is>
      </c>
      <c r="J3924" s="3" t="inlineStr">
        <is>
          <t>전동면</t>
        </is>
      </c>
    </row>
    <row r="3925">
      <c r="A3925" s="3" t="n">
        <v>2026</v>
      </c>
      <c r="B3925" s="4" t="n">
        <v>14000</v>
      </c>
      <c r="C3925" s="4" t="n">
        <v>269</v>
      </c>
      <c r="D3925" s="4" t="n">
        <v>81.3725</v>
      </c>
      <c r="E3925" s="5" t="n">
        <v>172</v>
      </c>
      <c r="F3925" s="3" t="inlineStr">
        <is>
          <t>전동면</t>
        </is>
      </c>
      <c r="G3925" s="3" t="inlineStr">
        <is>
          <t>노장리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전동면</t>
        </is>
      </c>
    </row>
    <row r="3926">
      <c r="A3926" s="3" t="n">
        <v>2026</v>
      </c>
      <c r="B3926" s="4" t="n">
        <v>15500</v>
      </c>
      <c r="C3926" s="4" t="n">
        <v>294</v>
      </c>
      <c r="D3926" s="4" t="n">
        <v>88.935</v>
      </c>
      <c r="E3926" s="5" t="n">
        <v>174.3</v>
      </c>
      <c r="F3926" s="3" t="inlineStr">
        <is>
          <t>전의면</t>
        </is>
      </c>
      <c r="G3926" s="3" t="inlineStr">
        <is>
          <t>다방리</t>
        </is>
      </c>
      <c r="H3926" s="3" t="inlineStr">
        <is>
          <t>계획관리지역</t>
        </is>
      </c>
      <c r="I3926" s="3" t="inlineStr">
        <is>
          <t>대</t>
        </is>
      </c>
      <c r="J3926" s="3" t="inlineStr">
        <is>
          <t>전의면</t>
        </is>
      </c>
    </row>
    <row r="3927">
      <c r="A3927" s="3" t="n">
        <v>2026</v>
      </c>
      <c r="B3927" s="4" t="n">
        <v>21850</v>
      </c>
      <c r="C3927" s="4" t="n">
        <v>916</v>
      </c>
      <c r="D3927" s="4" t="n">
        <v>277.09</v>
      </c>
      <c r="E3927" s="5" t="n">
        <v>78.90000000000001</v>
      </c>
      <c r="F3927" s="3" t="inlineStr">
        <is>
          <t>연서면</t>
        </is>
      </c>
      <c r="G3927" s="3" t="inlineStr">
        <is>
          <t>고복리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연서면</t>
        </is>
      </c>
    </row>
    <row r="3928">
      <c r="A3928" s="3" t="n">
        <v>2026</v>
      </c>
      <c r="B3928" s="4" t="n">
        <v>3673</v>
      </c>
      <c r="C3928" s="4" t="n">
        <v>154</v>
      </c>
      <c r="D3928" s="4" t="n">
        <v>46.585</v>
      </c>
      <c r="E3928" s="5" t="n">
        <v>78.8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농림지역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2026</v>
      </c>
      <c r="B3929" s="4" t="n">
        <v>477</v>
      </c>
      <c r="C3929" s="4" t="n">
        <v>20</v>
      </c>
      <c r="D3929" s="4" t="n">
        <v>6.05</v>
      </c>
      <c r="E3929" s="5" t="n">
        <v>78.8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연서면</t>
        </is>
      </c>
    </row>
    <row r="3930">
      <c r="A3930" s="3" t="n">
        <v>2024</v>
      </c>
      <c r="B3930" s="4" t="n">
        <v>15000</v>
      </c>
      <c r="C3930" s="4" t="n">
        <v>1000</v>
      </c>
      <c r="D3930" s="4" t="n">
        <v>302.5</v>
      </c>
      <c r="E3930" s="5" t="n">
        <v>49.6</v>
      </c>
      <c r="F3930" s="3" t="inlineStr">
        <is>
          <t>남이면</t>
        </is>
      </c>
      <c r="G3930" s="3" t="inlineStr">
        <is>
          <t>석판리</t>
        </is>
      </c>
      <c r="H3930" s="3" t="inlineStr">
        <is>
          <t>보전녹지지역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2024</v>
      </c>
      <c r="B3931" s="4" t="n">
        <v>14541</v>
      </c>
      <c r="C3931" s="4" t="n">
        <v>437</v>
      </c>
      <c r="D3931" s="4" t="n">
        <v>132.1925</v>
      </c>
      <c r="E3931" s="5" t="n">
        <v>110</v>
      </c>
      <c r="F3931" s="3" t="inlineStr">
        <is>
          <t>남이면</t>
        </is>
      </c>
      <c r="G3931" s="3" t="inlineStr">
        <is>
          <t>외천리</t>
        </is>
      </c>
      <c r="H3931" s="3" t="inlineStr">
        <is>
          <t>계획관리지역</t>
        </is>
      </c>
      <c r="I3931" s="3" t="inlineStr">
        <is>
          <t>대</t>
        </is>
      </c>
      <c r="J3931" s="3" t="inlineStr">
        <is>
          <t>남이면</t>
        </is>
      </c>
    </row>
    <row r="3932">
      <c r="A3932" s="3" t="n">
        <v>2024</v>
      </c>
      <c r="B3932" s="4" t="n">
        <v>6460</v>
      </c>
      <c r="C3932" s="4" t="n">
        <v>200</v>
      </c>
      <c r="D3932" s="4" t="n">
        <v>60.5</v>
      </c>
      <c r="E3932" s="5" t="n">
        <v>106.8</v>
      </c>
      <c r="F3932" s="3" t="inlineStr">
        <is>
          <t>남이면</t>
        </is>
      </c>
      <c r="G3932" s="3" t="inlineStr">
        <is>
          <t>외천리</t>
        </is>
      </c>
      <c r="H3932" s="3" t="inlineStr">
        <is>
          <t>계획관리지역</t>
        </is>
      </c>
      <c r="I3932" s="3" t="inlineStr">
        <is>
          <t>대</t>
        </is>
      </c>
      <c r="J3932" s="3" t="inlineStr">
        <is>
          <t>남이면</t>
        </is>
      </c>
    </row>
    <row r="3933">
      <c r="A3933" s="3" t="n">
        <v>2024</v>
      </c>
      <c r="B3933" s="4" t="n">
        <v>756</v>
      </c>
      <c r="C3933" s="4" t="n">
        <v>50</v>
      </c>
      <c r="D3933" s="4" t="n">
        <v>15.125</v>
      </c>
      <c r="E3933" s="5" t="n">
        <v>50</v>
      </c>
      <c r="F3933" s="3" t="inlineStr">
        <is>
          <t>남이면</t>
        </is>
      </c>
      <c r="G3933" s="3" t="inlineStr">
        <is>
          <t>외천리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4477</v>
      </c>
      <c r="C3934" s="4" t="n">
        <v>296</v>
      </c>
      <c r="D3934" s="4" t="n">
        <v>89.53999999999999</v>
      </c>
      <c r="E3934" s="5" t="n">
        <v>50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2024</v>
      </c>
      <c r="B3935" s="4" t="n">
        <v>3766</v>
      </c>
      <c r="C3935" s="4" t="n">
        <v>249</v>
      </c>
      <c r="D3935" s="4" t="n">
        <v>75.32249999999999</v>
      </c>
      <c r="E3935" s="5" t="n">
        <v>50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2024</v>
      </c>
      <c r="B3936" s="4" t="n">
        <v>260</v>
      </c>
      <c r="C3936" s="4" t="n">
        <v>78</v>
      </c>
      <c r="D3936" s="4" t="n">
        <v>23.595</v>
      </c>
      <c r="E3936" s="5" t="n">
        <v>11</v>
      </c>
      <c r="F3936" s="3" t="inlineStr">
        <is>
          <t>남이면</t>
        </is>
      </c>
      <c r="G3936" s="3" t="inlineStr">
        <is>
          <t>부용외천리</t>
        </is>
      </c>
      <c r="H3936" s="3" t="inlineStr">
        <is>
          <t>생산관리지역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2024</v>
      </c>
      <c r="B3937" s="4" t="n">
        <v>4740</v>
      </c>
      <c r="C3937" s="4" t="n">
        <v>1447</v>
      </c>
      <c r="D3937" s="4" t="n">
        <v>437.7175</v>
      </c>
      <c r="E3937" s="5" t="n">
        <v>10.8</v>
      </c>
      <c r="F3937" s="3" t="inlineStr">
        <is>
          <t>남이면</t>
        </is>
      </c>
      <c r="G3937" s="3" t="inlineStr">
        <is>
          <t>부용외천리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2024</v>
      </c>
      <c r="B3938" s="4" t="n">
        <v>10605</v>
      </c>
      <c r="C3938" s="4" t="n">
        <v>575</v>
      </c>
      <c r="D3938" s="4" t="n">
        <v>173.9375</v>
      </c>
      <c r="E3938" s="5" t="n">
        <v>61</v>
      </c>
      <c r="F3938" s="3" t="inlineStr">
        <is>
          <t>남이면</t>
        </is>
      </c>
      <c r="G3938" s="3" t="inlineStr">
        <is>
          <t>가마리</t>
        </is>
      </c>
      <c r="H3938" s="3" t="inlineStr">
        <is>
          <t>기타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2024</v>
      </c>
      <c r="B3939" s="4" t="n">
        <v>29073</v>
      </c>
      <c r="C3939" s="4" t="n">
        <v>1361</v>
      </c>
      <c r="D3939" s="4" t="n">
        <v>411.7025</v>
      </c>
      <c r="E3939" s="5" t="n">
        <v>70.59999999999999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2024</v>
      </c>
      <c r="B3940" s="4" t="n">
        <v>7797</v>
      </c>
      <c r="C3940" s="4" t="n">
        <v>365</v>
      </c>
      <c r="D3940" s="4" t="n">
        <v>110.4125</v>
      </c>
      <c r="E3940" s="5" t="n">
        <v>70.59999999999999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4500</v>
      </c>
      <c r="C3941" s="4" t="n">
        <v>1785</v>
      </c>
      <c r="D3941" s="4" t="n">
        <v>539.9625</v>
      </c>
      <c r="E3941" s="5" t="n">
        <v>8.300000000000001</v>
      </c>
      <c r="F3941" s="3" t="inlineStr">
        <is>
          <t>남이면</t>
        </is>
      </c>
      <c r="G3941" s="3" t="inlineStr">
        <is>
          <t>석판리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2700</v>
      </c>
      <c r="C3942" s="4" t="n">
        <v>1395</v>
      </c>
      <c r="D3942" s="4" t="n">
        <v>421.9875</v>
      </c>
      <c r="E3942" s="5" t="n">
        <v>6.4</v>
      </c>
      <c r="F3942" s="3" t="inlineStr">
        <is>
          <t>남이면</t>
        </is>
      </c>
      <c r="G3942" s="3" t="inlineStr">
        <is>
          <t>부용외천리</t>
        </is>
      </c>
      <c r="H3942" s="3" t="inlineStr">
        <is>
          <t>계획관리지역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2024</v>
      </c>
      <c r="B3943" s="4" t="n">
        <v>19420</v>
      </c>
      <c r="C3943" s="4" t="n">
        <v>1070</v>
      </c>
      <c r="D3943" s="4" t="n">
        <v>323.675</v>
      </c>
      <c r="E3943" s="5" t="n">
        <v>60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계획관리지역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3400</v>
      </c>
      <c r="C3944" s="4" t="n">
        <v>1123</v>
      </c>
      <c r="D3944" s="4" t="n">
        <v>339.7075</v>
      </c>
      <c r="E3944" s="5" t="n">
        <v>10</v>
      </c>
      <c r="F3944" s="3" t="inlineStr">
        <is>
          <t>남이면</t>
        </is>
      </c>
      <c r="G3944" s="3" t="inlineStr">
        <is>
          <t>비룡리</t>
        </is>
      </c>
      <c r="H3944" s="3" t="inlineStr">
        <is>
          <t>기타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2024</v>
      </c>
      <c r="B3945" s="4" t="n">
        <v>29073</v>
      </c>
      <c r="C3945" s="4" t="n">
        <v>1361</v>
      </c>
      <c r="D3945" s="4" t="n">
        <v>411.7025</v>
      </c>
      <c r="E3945" s="5" t="n">
        <v>70.59999999999999</v>
      </c>
      <c r="F3945" s="3" t="inlineStr">
        <is>
          <t>남이면</t>
        </is>
      </c>
      <c r="G3945" s="3" t="inlineStr">
        <is>
          <t>문동리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7797</v>
      </c>
      <c r="C3946" s="4" t="n">
        <v>365</v>
      </c>
      <c r="D3946" s="4" t="n">
        <v>110.4125</v>
      </c>
      <c r="E3946" s="5" t="n">
        <v>70.59999999999999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1500</v>
      </c>
      <c r="C3947" s="4" t="n">
        <v>49</v>
      </c>
      <c r="D3947" s="4" t="n">
        <v>14.8225</v>
      </c>
      <c r="E3947" s="5" t="n">
        <v>101.2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2024</v>
      </c>
      <c r="B3948" s="4" t="n">
        <v>8300</v>
      </c>
      <c r="C3948" s="4" t="n">
        <v>920</v>
      </c>
      <c r="D3948" s="4" t="n">
        <v>278.3</v>
      </c>
      <c r="E3948" s="5" t="n">
        <v>29.8</v>
      </c>
      <c r="F3948" s="3" t="inlineStr">
        <is>
          <t>남이면</t>
        </is>
      </c>
      <c r="G3948" s="3" t="inlineStr">
        <is>
          <t>외천리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26800</v>
      </c>
      <c r="C3949" s="4" t="n">
        <v>922</v>
      </c>
      <c r="D3949" s="4" t="n">
        <v>278.905</v>
      </c>
      <c r="E3949" s="5" t="n">
        <v>96.09999999999999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24900</v>
      </c>
      <c r="C3950" s="4" t="n">
        <v>857</v>
      </c>
      <c r="D3950" s="4" t="n">
        <v>259.2425</v>
      </c>
      <c r="E3950" s="5" t="n">
        <v>96</v>
      </c>
      <c r="F3950" s="3" t="inlineStr">
        <is>
          <t>남이면</t>
        </is>
      </c>
      <c r="G3950" s="3" t="inlineStr">
        <is>
          <t>외천리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2024</v>
      </c>
      <c r="B3951" s="4" t="n">
        <v>1800</v>
      </c>
      <c r="C3951" s="4" t="n">
        <v>288</v>
      </c>
      <c r="D3951" s="4" t="n">
        <v>87.12</v>
      </c>
      <c r="E3951" s="5" t="n">
        <v>20.7</v>
      </c>
      <c r="F3951" s="3" t="inlineStr">
        <is>
          <t>현도면</t>
        </is>
      </c>
      <c r="G3951" s="3" t="inlineStr">
        <is>
          <t>달계리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현도면</t>
        </is>
      </c>
    </row>
    <row r="3952">
      <c r="A3952" s="3" t="n">
        <v>2026</v>
      </c>
      <c r="B3952" s="4" t="n">
        <v>232</v>
      </c>
      <c r="C3952" s="4" t="n">
        <v>24</v>
      </c>
      <c r="D3952" s="4" t="n">
        <v>7.26</v>
      </c>
      <c r="E3952" s="5" t="n">
        <v>32</v>
      </c>
      <c r="F3952" s="3" t="inlineStr">
        <is>
          <t>전동면</t>
        </is>
      </c>
      <c r="G3952" s="3" t="inlineStr">
        <is>
          <t>봉대리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전동면</t>
        </is>
      </c>
    </row>
    <row r="3953">
      <c r="A3953" s="3" t="n">
        <v>2026</v>
      </c>
      <c r="B3953" s="4" t="n">
        <v>7376</v>
      </c>
      <c r="C3953" s="4" t="n">
        <v>762</v>
      </c>
      <c r="D3953" s="4" t="n">
        <v>230.505</v>
      </c>
      <c r="E3953" s="5" t="n">
        <v>32</v>
      </c>
      <c r="F3953" s="3" t="inlineStr">
        <is>
          <t>전동면</t>
        </is>
      </c>
      <c r="G3953" s="3" t="inlineStr">
        <is>
          <t>봉대리</t>
        </is>
      </c>
      <c r="H3953" s="3" t="inlineStr">
        <is>
          <t>생산관리지역</t>
        </is>
      </c>
      <c r="I3953" s="3" t="inlineStr">
        <is>
          <t>답</t>
        </is>
      </c>
      <c r="J3953" s="3" t="inlineStr">
        <is>
          <t>전동면</t>
        </is>
      </c>
    </row>
    <row r="3954">
      <c r="A3954" s="3" t="n">
        <v>2026</v>
      </c>
      <c r="B3954" s="4" t="n">
        <v>532</v>
      </c>
      <c r="C3954" s="4" t="n">
        <v>55</v>
      </c>
      <c r="D3954" s="4" t="n">
        <v>16.6375</v>
      </c>
      <c r="E3954" s="5" t="n">
        <v>32</v>
      </c>
      <c r="F3954" s="3" t="inlineStr">
        <is>
          <t>전동면</t>
        </is>
      </c>
      <c r="G3954" s="3" t="inlineStr">
        <is>
          <t>봉대리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전동면</t>
        </is>
      </c>
    </row>
    <row r="3955">
      <c r="A3955" s="3" t="n">
        <v>2026</v>
      </c>
      <c r="B3955" s="4" t="n">
        <v>4946</v>
      </c>
      <c r="C3955" s="4" t="n">
        <v>511</v>
      </c>
      <c r="D3955" s="4" t="n">
        <v>154.5775</v>
      </c>
      <c r="E3955" s="5" t="n">
        <v>32</v>
      </c>
      <c r="F3955" s="3" t="inlineStr">
        <is>
          <t>전동면</t>
        </is>
      </c>
      <c r="G3955" s="3" t="inlineStr">
        <is>
          <t>봉대리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9500</v>
      </c>
      <c r="C3956" s="4" t="n">
        <v>1084</v>
      </c>
      <c r="D3956" s="4" t="n">
        <v>327.91</v>
      </c>
      <c r="E3956" s="5" t="n">
        <v>29</v>
      </c>
      <c r="F3956" s="3" t="inlineStr">
        <is>
          <t>전의면</t>
        </is>
      </c>
      <c r="G3956" s="3" t="inlineStr">
        <is>
          <t>신정리</t>
        </is>
      </c>
      <c r="H3956" s="3" t="inlineStr">
        <is>
          <t>농림지역</t>
        </is>
      </c>
      <c r="I3956" s="3" t="inlineStr">
        <is>
          <t>전</t>
        </is>
      </c>
      <c r="J3956" s="3" t="inlineStr">
        <is>
          <t>전의면</t>
        </is>
      </c>
    </row>
    <row r="3957">
      <c r="A3957" s="3" t="n">
        <v>2026</v>
      </c>
      <c r="B3957" s="4" t="n">
        <v>6140</v>
      </c>
      <c r="C3957" s="4" t="n">
        <v>635</v>
      </c>
      <c r="D3957" s="4" t="n">
        <v>192.0875</v>
      </c>
      <c r="E3957" s="5" t="n">
        <v>32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생산관리지역</t>
        </is>
      </c>
      <c r="I3957" s="3" t="inlineStr">
        <is>
          <t>답</t>
        </is>
      </c>
      <c r="J3957" s="3" t="inlineStr">
        <is>
          <t>전동면</t>
        </is>
      </c>
    </row>
    <row r="3958">
      <c r="A3958" s="3" t="n">
        <v>2026</v>
      </c>
      <c r="B3958" s="4" t="n">
        <v>12500</v>
      </c>
      <c r="C3958" s="4" t="n">
        <v>2056</v>
      </c>
      <c r="D3958" s="4" t="n">
        <v>621.9399999999999</v>
      </c>
      <c r="E3958" s="5" t="n">
        <v>20.1</v>
      </c>
      <c r="F3958" s="3" t="inlineStr">
        <is>
          <t>전의면</t>
        </is>
      </c>
      <c r="G3958" s="3" t="inlineStr">
        <is>
          <t>신정리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전의면</t>
        </is>
      </c>
    </row>
    <row r="3959">
      <c r="A3959" s="3" t="n">
        <v>2026</v>
      </c>
      <c r="B3959" s="4" t="n">
        <v>20600</v>
      </c>
      <c r="C3959" s="4" t="n">
        <v>2271</v>
      </c>
      <c r="D3959" s="4" t="n">
        <v>686.9775</v>
      </c>
      <c r="E3959" s="5" t="n">
        <v>30</v>
      </c>
      <c r="F3959" s="3" t="inlineStr">
        <is>
          <t>전의면</t>
        </is>
      </c>
      <c r="G3959" s="3" t="inlineStr">
        <is>
          <t>신정리</t>
        </is>
      </c>
      <c r="H3959" s="3" t="inlineStr">
        <is>
          <t>농림지역</t>
        </is>
      </c>
      <c r="I3959" s="3" t="inlineStr">
        <is>
          <t>전</t>
        </is>
      </c>
      <c r="J3959" s="3" t="inlineStr">
        <is>
          <t>전의면</t>
        </is>
      </c>
    </row>
    <row r="3960">
      <c r="A3960" s="3" t="n">
        <v>2026</v>
      </c>
      <c r="B3960" s="4" t="n">
        <v>7540</v>
      </c>
      <c r="C3960" s="4" t="n">
        <v>1246</v>
      </c>
      <c r="D3960" s="4" t="n">
        <v>376.915</v>
      </c>
      <c r="E3960" s="5" t="n">
        <v>20</v>
      </c>
      <c r="F3960" s="3" t="inlineStr">
        <is>
          <t>전동면</t>
        </is>
      </c>
      <c r="G3960" s="3" t="inlineStr">
        <is>
          <t>봉대리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전동면</t>
        </is>
      </c>
    </row>
    <row r="3961">
      <c r="A3961" s="3" t="n">
        <v>2026</v>
      </c>
      <c r="B3961" s="4" t="n">
        <v>73</v>
      </c>
      <c r="C3961" s="4" t="n">
        <v>60</v>
      </c>
      <c r="D3961" s="4" t="n">
        <v>18.15</v>
      </c>
      <c r="E3961" s="5" t="n">
        <v>4</v>
      </c>
      <c r="F3961" s="3" t="inlineStr">
        <is>
          <t>전의면</t>
        </is>
      </c>
      <c r="G3961" s="3" t="inlineStr">
        <is>
          <t>신정리</t>
        </is>
      </c>
      <c r="H3961" s="3" t="inlineStr">
        <is>
          <t>농림지역</t>
        </is>
      </c>
      <c r="I3961" s="3" t="inlineStr">
        <is>
          <t>유지</t>
        </is>
      </c>
      <c r="J3961" s="3" t="inlineStr">
        <is>
          <t>전의면</t>
        </is>
      </c>
    </row>
    <row r="3962">
      <c r="A3962" s="3" t="n">
        <v>2026</v>
      </c>
      <c r="B3962" s="4" t="n">
        <v>292</v>
      </c>
      <c r="C3962" s="4" t="n">
        <v>241</v>
      </c>
      <c r="D3962" s="4" t="n">
        <v>72.9025</v>
      </c>
      <c r="E3962" s="5" t="n">
        <v>4</v>
      </c>
      <c r="F3962" s="3" t="inlineStr">
        <is>
          <t>전의면</t>
        </is>
      </c>
      <c r="G3962" s="3" t="inlineStr">
        <is>
          <t>신정리</t>
        </is>
      </c>
      <c r="H3962" s="3" t="inlineStr">
        <is>
          <t>농림지역</t>
        </is>
      </c>
      <c r="I3962" s="3" t="inlineStr">
        <is>
          <t>유지</t>
        </is>
      </c>
      <c r="J3962" s="3" t="inlineStr">
        <is>
          <t>전의면</t>
        </is>
      </c>
    </row>
    <row r="3963">
      <c r="A3963" s="3" t="n">
        <v>2026</v>
      </c>
      <c r="B3963" s="4" t="n">
        <v>8171</v>
      </c>
      <c r="C3963" s="4" t="n">
        <v>1021</v>
      </c>
      <c r="D3963" s="4" t="n">
        <v>308.8525</v>
      </c>
      <c r="E3963" s="5" t="n">
        <v>26.5</v>
      </c>
      <c r="F3963" s="3" t="inlineStr">
        <is>
          <t>전의면</t>
        </is>
      </c>
      <c r="G3963" s="3" t="inlineStr">
        <is>
          <t>신정리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전의면</t>
        </is>
      </c>
    </row>
    <row r="3964">
      <c r="A3964" s="3" t="n">
        <v>2026</v>
      </c>
      <c r="B3964" s="4" t="n">
        <v>24168</v>
      </c>
      <c r="C3964" s="4" t="n">
        <v>3124</v>
      </c>
      <c r="D3964" s="4" t="n">
        <v>945.01</v>
      </c>
      <c r="E3964" s="5" t="n">
        <v>25.6</v>
      </c>
      <c r="F3964" s="3" t="inlineStr">
        <is>
          <t>전의면</t>
        </is>
      </c>
      <c r="G3964" s="3" t="inlineStr">
        <is>
          <t>신정리</t>
        </is>
      </c>
      <c r="H3964" s="3" t="inlineStr">
        <is>
          <t>농림지역</t>
        </is>
      </c>
      <c r="I3964" s="3" t="inlineStr">
        <is>
          <t>답</t>
        </is>
      </c>
      <c r="J3964" s="3" t="inlineStr">
        <is>
          <t>전의면</t>
        </is>
      </c>
    </row>
    <row r="3965">
      <c r="A3965" s="3" t="n">
        <v>2026</v>
      </c>
      <c r="B3965" s="4" t="n">
        <v>12461</v>
      </c>
      <c r="C3965" s="4" t="n">
        <v>1557</v>
      </c>
      <c r="D3965" s="4" t="n">
        <v>470.9925</v>
      </c>
      <c r="E3965" s="5" t="n">
        <v>26.5</v>
      </c>
      <c r="F3965" s="3" t="inlineStr">
        <is>
          <t>전의면</t>
        </is>
      </c>
      <c r="G3965" s="3" t="inlineStr">
        <is>
          <t>신정리</t>
        </is>
      </c>
      <c r="H3965" s="3" t="inlineStr">
        <is>
          <t>농림지역</t>
        </is>
      </c>
      <c r="I3965" s="3" t="inlineStr">
        <is>
          <t>답</t>
        </is>
      </c>
      <c r="J3965" s="3" t="inlineStr">
        <is>
          <t>전의면</t>
        </is>
      </c>
    </row>
    <row r="3966">
      <c r="A3966" s="3" t="n">
        <v>2026</v>
      </c>
      <c r="B3966" s="4" t="n">
        <v>25000</v>
      </c>
      <c r="C3966" s="4" t="n">
        <v>1204</v>
      </c>
      <c r="D3966" s="4" t="n">
        <v>364.21</v>
      </c>
      <c r="E3966" s="5" t="n">
        <v>68.59999999999999</v>
      </c>
      <c r="F3966" s="3" t="inlineStr">
        <is>
          <t>금남면</t>
        </is>
      </c>
      <c r="G3966" s="3" t="inlineStr">
        <is>
          <t>장재리</t>
        </is>
      </c>
      <c r="H3966" s="3" t="inlineStr">
        <is>
          <t>개발제한구역</t>
        </is>
      </c>
      <c r="I3966" s="3" t="inlineStr">
        <is>
          <t>과수원</t>
        </is>
      </c>
      <c r="J3966" s="3" t="inlineStr">
        <is>
          <t>금남면</t>
        </is>
      </c>
    </row>
    <row r="3967">
      <c r="A3967" s="3" t="n">
        <v>2026</v>
      </c>
      <c r="B3967" s="4" t="n">
        <v>23826</v>
      </c>
      <c r="C3967" s="4" t="n">
        <v>2387</v>
      </c>
      <c r="D3967" s="4" t="n">
        <v>722.0675</v>
      </c>
      <c r="E3967" s="5" t="n">
        <v>33</v>
      </c>
      <c r="F3967" s="3" t="inlineStr">
        <is>
          <t>연서면</t>
        </is>
      </c>
      <c r="G3967" s="3" t="inlineStr">
        <is>
          <t>청라리</t>
        </is>
      </c>
      <c r="H3967" s="3" t="inlineStr">
        <is>
          <t>생산관리지역</t>
        </is>
      </c>
      <c r="I3967" s="3" t="inlineStr">
        <is>
          <t>답</t>
        </is>
      </c>
      <c r="J3967" s="3" t="inlineStr">
        <is>
          <t>연서면</t>
        </is>
      </c>
    </row>
    <row r="3968">
      <c r="A3968" s="3" t="n">
        <v>2026</v>
      </c>
      <c r="B3968" s="4" t="n">
        <v>25872</v>
      </c>
      <c r="C3968" s="4" t="n">
        <v>2592</v>
      </c>
      <c r="D3968" s="4" t="n">
        <v>784.0799999999999</v>
      </c>
      <c r="E3968" s="5" t="n">
        <v>33</v>
      </c>
      <c r="F3968" s="3" t="inlineStr">
        <is>
          <t>연서면</t>
        </is>
      </c>
      <c r="G3968" s="3" t="inlineStr">
        <is>
          <t>청라리</t>
        </is>
      </c>
      <c r="H3968" s="3" t="inlineStr">
        <is>
          <t>생산관리지역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2022</v>
      </c>
      <c r="B3969" s="4" t="n">
        <v>7800</v>
      </c>
      <c r="C3969" s="4" t="n">
        <v>882</v>
      </c>
      <c r="D3969" s="4" t="n">
        <v>266.805</v>
      </c>
      <c r="E3969" s="5" t="n">
        <v>29.2</v>
      </c>
      <c r="F3969" s="3" t="inlineStr">
        <is>
          <t>남이면</t>
        </is>
      </c>
      <c r="G3969" s="3" t="inlineStr">
        <is>
          <t>상발리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7865</v>
      </c>
      <c r="C3970" s="4" t="n">
        <v>200</v>
      </c>
      <c r="D3970" s="4" t="n">
        <v>60.5</v>
      </c>
      <c r="E3970" s="5" t="n">
        <v>130</v>
      </c>
      <c r="F3970" s="3" t="inlineStr">
        <is>
          <t>남이면</t>
        </is>
      </c>
      <c r="G3970" s="3" t="inlineStr">
        <is>
          <t>가마리</t>
        </is>
      </c>
      <c r="H3970" s="3" t="inlineStr">
        <is>
          <t>자연녹지지역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57049</v>
      </c>
      <c r="C3971" s="4" t="n">
        <v>2119</v>
      </c>
      <c r="D3971" s="4" t="n">
        <v>640.9974999999999</v>
      </c>
      <c r="E3971" s="5" t="n">
        <v>89</v>
      </c>
      <c r="F3971" s="3" t="inlineStr">
        <is>
          <t>남이면</t>
        </is>
      </c>
      <c r="G3971" s="3" t="inlineStr">
        <is>
          <t>문동리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2024</v>
      </c>
      <c r="B3972" s="4" t="n">
        <v>9430</v>
      </c>
      <c r="C3972" s="4" t="n">
        <v>3119</v>
      </c>
      <c r="D3972" s="4" t="n">
        <v>943.4974999999999</v>
      </c>
      <c r="E3972" s="5" t="n">
        <v>10</v>
      </c>
      <c r="F3972" s="3" t="inlineStr">
        <is>
          <t>장군면</t>
        </is>
      </c>
      <c r="G3972" s="3" t="inlineStr">
        <is>
          <t>금암리</t>
        </is>
      </c>
      <c r="H3972" s="3" t="inlineStr">
        <is>
          <t>농림지역</t>
        </is>
      </c>
      <c r="I3972" s="3" t="inlineStr">
        <is>
          <t>임야</t>
        </is>
      </c>
      <c r="J3972" s="3" t="inlineStr">
        <is>
          <t>장군면</t>
        </is>
      </c>
    </row>
    <row r="3973">
      <c r="A3973" s="3" t="n">
        <v>2024</v>
      </c>
      <c r="B3973" s="4" t="n">
        <v>60000</v>
      </c>
      <c r="C3973" s="4" t="n">
        <v>1171</v>
      </c>
      <c r="D3973" s="4" t="n">
        <v>354.2275</v>
      </c>
      <c r="E3973" s="5" t="n">
        <v>169.4</v>
      </c>
      <c r="F3973" s="3" t="inlineStr">
        <is>
          <t>금남면</t>
        </is>
      </c>
      <c r="G3973" s="3" t="inlineStr">
        <is>
          <t>국곡리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금남면</t>
        </is>
      </c>
    </row>
    <row r="3974">
      <c r="A3974" s="3" t="n">
        <v>2024</v>
      </c>
      <c r="B3974" s="4" t="n">
        <v>18000</v>
      </c>
      <c r="C3974" s="4" t="n">
        <v>737</v>
      </c>
      <c r="D3974" s="4" t="n">
        <v>222.9425</v>
      </c>
      <c r="E3974" s="5" t="n">
        <v>80.7</v>
      </c>
      <c r="F3974" s="3" t="inlineStr">
        <is>
          <t>연서면</t>
        </is>
      </c>
      <c r="G3974" s="3" t="inlineStr">
        <is>
          <t>용암리</t>
        </is>
      </c>
      <c r="H3974" s="3" t="inlineStr">
        <is>
          <t>농림지역</t>
        </is>
      </c>
      <c r="I3974" s="3" t="inlineStr">
        <is>
          <t>과수원</t>
        </is>
      </c>
      <c r="J3974" s="3" t="inlineStr">
        <is>
          <t>연서면</t>
        </is>
      </c>
    </row>
    <row r="3975">
      <c r="A3975" s="3" t="n">
        <v>2024</v>
      </c>
      <c r="B3975" s="4" t="n">
        <v>10300</v>
      </c>
      <c r="C3975" s="4" t="n">
        <v>1404</v>
      </c>
      <c r="D3975" s="4" t="n">
        <v>424.71</v>
      </c>
      <c r="E3975" s="5" t="n">
        <v>24.3</v>
      </c>
      <c r="F3975" s="3" t="inlineStr">
        <is>
          <t>전동면</t>
        </is>
      </c>
      <c r="G3975" s="3" t="inlineStr">
        <is>
          <t>청람리</t>
        </is>
      </c>
      <c r="H3975" s="3" t="inlineStr">
        <is>
          <t>보전관리지역</t>
        </is>
      </c>
      <c r="I3975" s="3" t="inlineStr">
        <is>
          <t>임야</t>
        </is>
      </c>
      <c r="J3975" s="3" t="inlineStr">
        <is>
          <t>전동면</t>
        </is>
      </c>
    </row>
    <row r="3976">
      <c r="A3976" s="3" t="n">
        <v>2024</v>
      </c>
      <c r="B3976" s="4" t="n">
        <v>1378</v>
      </c>
      <c r="C3976" s="4" t="n">
        <v>23</v>
      </c>
      <c r="D3976" s="4" t="n">
        <v>6.9575</v>
      </c>
      <c r="E3976" s="5" t="n">
        <v>198.1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양어장</t>
        </is>
      </c>
      <c r="J3976" s="3" t="inlineStr">
        <is>
          <t>조치원읍</t>
        </is>
      </c>
    </row>
    <row r="3977">
      <c r="A3977" s="3" t="n">
        <v>2024</v>
      </c>
      <c r="B3977" s="4" t="n">
        <v>180</v>
      </c>
      <c r="C3977" s="4" t="n">
        <v>3</v>
      </c>
      <c r="D3977" s="4" t="n">
        <v>0.9075</v>
      </c>
      <c r="E3977" s="5" t="n">
        <v>198.3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양어장</t>
        </is>
      </c>
      <c r="J3977" s="3" t="inlineStr">
        <is>
          <t>조치원읍</t>
        </is>
      </c>
    </row>
    <row r="3978">
      <c r="A3978" s="3" t="n">
        <v>2024</v>
      </c>
      <c r="B3978" s="4" t="n">
        <v>1355</v>
      </c>
      <c r="C3978" s="4" t="n">
        <v>25</v>
      </c>
      <c r="D3978" s="4" t="n">
        <v>7.5625</v>
      </c>
      <c r="E3978" s="5" t="n">
        <v>179.2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자연녹지지역</t>
        </is>
      </c>
      <c r="I3978" s="3" t="inlineStr">
        <is>
          <t>공원</t>
        </is>
      </c>
      <c r="J3978" s="3" t="inlineStr">
        <is>
          <t>조치원읍</t>
        </is>
      </c>
    </row>
    <row r="3979">
      <c r="A3979" s="3" t="n">
        <v>2024</v>
      </c>
      <c r="B3979" s="4" t="n">
        <v>20000</v>
      </c>
      <c r="C3979" s="4" t="n">
        <v>248</v>
      </c>
      <c r="D3979" s="4" t="n">
        <v>75.02</v>
      </c>
      <c r="E3979" s="5" t="n">
        <v>266.6</v>
      </c>
      <c r="F3979" s="3" t="inlineStr">
        <is>
          <t>조치원읍</t>
        </is>
      </c>
      <c r="G3979" s="3" t="inlineStr">
        <is>
          <t>교리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2024</v>
      </c>
      <c r="B3980" s="4" t="n">
        <v>14877</v>
      </c>
      <c r="C3980" s="4" t="n">
        <v>135</v>
      </c>
      <c r="D3980" s="4" t="n">
        <v>40.8375</v>
      </c>
      <c r="E3980" s="5" t="n">
        <v>364.3</v>
      </c>
      <c r="F3980" s="3" t="inlineStr">
        <is>
          <t>전의면</t>
        </is>
      </c>
      <c r="G3980" s="3" t="inlineStr">
        <is>
          <t>동교리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전의면</t>
        </is>
      </c>
    </row>
    <row r="3981">
      <c r="A3981" s="3" t="n">
        <v>2024</v>
      </c>
      <c r="B3981" s="4" t="n">
        <v>880</v>
      </c>
      <c r="C3981" s="4" t="n">
        <v>8</v>
      </c>
      <c r="D3981" s="4" t="n">
        <v>2.42</v>
      </c>
      <c r="E3981" s="5" t="n">
        <v>363.6</v>
      </c>
      <c r="F3981" s="3" t="inlineStr">
        <is>
          <t>전의면</t>
        </is>
      </c>
      <c r="G3981" s="3" t="inlineStr">
        <is>
          <t>동교리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전의면</t>
        </is>
      </c>
    </row>
    <row r="3982">
      <c r="A3982" s="3" t="n">
        <v>2024</v>
      </c>
      <c r="B3982" s="4" t="n">
        <v>110</v>
      </c>
      <c r="C3982" s="4" t="n">
        <v>1</v>
      </c>
      <c r="D3982" s="4" t="n">
        <v>0.3025</v>
      </c>
      <c r="E3982" s="5" t="n">
        <v>363.6</v>
      </c>
      <c r="F3982" s="3" t="inlineStr">
        <is>
          <t>전의면</t>
        </is>
      </c>
      <c r="G3982" s="3" t="inlineStr">
        <is>
          <t>동교리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전의면</t>
        </is>
      </c>
    </row>
    <row r="3983">
      <c r="A3983" s="3" t="n">
        <v>2024</v>
      </c>
      <c r="B3983" s="4" t="n">
        <v>110</v>
      </c>
      <c r="C3983" s="4" t="n">
        <v>1</v>
      </c>
      <c r="D3983" s="4" t="n">
        <v>0.3025</v>
      </c>
      <c r="E3983" s="5" t="n">
        <v>363.6</v>
      </c>
      <c r="F3983" s="3" t="inlineStr">
        <is>
          <t>전의면</t>
        </is>
      </c>
      <c r="G3983" s="3" t="inlineStr">
        <is>
          <t>동교리</t>
        </is>
      </c>
      <c r="H3983" s="3" t="inlineStr">
        <is>
          <t>자연녹지지역</t>
        </is>
      </c>
      <c r="I3983" s="3" t="inlineStr">
        <is>
          <t>대</t>
        </is>
      </c>
      <c r="J3983" s="3" t="inlineStr">
        <is>
          <t>전의면</t>
        </is>
      </c>
    </row>
    <row r="3984">
      <c r="A3984" s="3" t="n">
        <v>2024</v>
      </c>
      <c r="B3984" s="4" t="n">
        <v>22824</v>
      </c>
      <c r="C3984" s="4" t="n">
        <v>503</v>
      </c>
      <c r="D3984" s="4" t="n">
        <v>152.1575</v>
      </c>
      <c r="E3984" s="5" t="n">
        <v>150</v>
      </c>
      <c r="F3984" s="3" t="inlineStr">
        <is>
          <t>연동면</t>
        </is>
      </c>
      <c r="G3984" s="3" t="inlineStr">
        <is>
          <t>내판리</t>
        </is>
      </c>
      <c r="H3984" s="3" t="inlineStr">
        <is>
          <t>보전관리지역</t>
        </is>
      </c>
      <c r="I3984" s="3" t="inlineStr">
        <is>
          <t>대</t>
        </is>
      </c>
      <c r="J3984" s="3" t="inlineStr">
        <is>
          <t>연동면</t>
        </is>
      </c>
    </row>
    <row r="3985">
      <c r="A3985" s="3" t="n">
        <v>2024</v>
      </c>
      <c r="B3985" s="4" t="n">
        <v>11661</v>
      </c>
      <c r="C3985" s="4" t="n">
        <v>257</v>
      </c>
      <c r="D3985" s="4" t="n">
        <v>77.74249999999999</v>
      </c>
      <c r="E3985" s="5" t="n">
        <v>150</v>
      </c>
      <c r="F3985" s="3" t="inlineStr">
        <is>
          <t>연동면</t>
        </is>
      </c>
      <c r="G3985" s="3" t="inlineStr">
        <is>
          <t>내판리</t>
        </is>
      </c>
      <c r="H3985" s="3" t="inlineStr">
        <is>
          <t>보전관리지역</t>
        </is>
      </c>
      <c r="I3985" s="3" t="inlineStr">
        <is>
          <t>공원</t>
        </is>
      </c>
      <c r="J3985" s="3" t="inlineStr">
        <is>
          <t>연동면</t>
        </is>
      </c>
    </row>
    <row r="3986">
      <c r="A3986" s="3" t="n">
        <v>2024</v>
      </c>
      <c r="B3986" s="4" t="n">
        <v>71000</v>
      </c>
      <c r="C3986" s="4" t="n">
        <v>385.5</v>
      </c>
      <c r="D3986" s="4" t="n">
        <v>116.61375</v>
      </c>
      <c r="E3986" s="5" t="n">
        <v>608.8</v>
      </c>
      <c r="F3986" s="3" t="inlineStr">
        <is>
          <t>고운동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고운동</t>
        </is>
      </c>
    </row>
    <row r="3987">
      <c r="A3987" s="3" t="n">
        <v>2024</v>
      </c>
      <c r="B3987" s="4" t="n">
        <v>28000</v>
      </c>
      <c r="C3987" s="4" t="n">
        <v>1392</v>
      </c>
      <c r="D3987" s="4" t="n">
        <v>421.08</v>
      </c>
      <c r="E3987" s="5" t="n">
        <v>66.5</v>
      </c>
      <c r="F3987" s="3" t="inlineStr">
        <is>
          <t>금남면</t>
        </is>
      </c>
      <c r="G3987" s="3" t="inlineStr">
        <is>
          <t>영대리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금남면</t>
        </is>
      </c>
    </row>
    <row r="3988">
      <c r="A3988" s="3" t="n">
        <v>2024</v>
      </c>
      <c r="B3988" s="4" t="n">
        <v>25450</v>
      </c>
      <c r="C3988" s="4" t="n">
        <v>9841</v>
      </c>
      <c r="D3988" s="4" t="n">
        <v>2976.9025</v>
      </c>
      <c r="E3988" s="5" t="n">
        <v>8.5</v>
      </c>
      <c r="F3988" s="3" t="inlineStr">
        <is>
          <t>전동면</t>
        </is>
      </c>
      <c r="G3988" s="3" t="inlineStr">
        <is>
          <t>송정리</t>
        </is>
      </c>
      <c r="H3988" s="3" t="inlineStr">
        <is>
          <t>보전관리지역</t>
        </is>
      </c>
      <c r="I3988" s="3" t="inlineStr">
        <is>
          <t>임야</t>
        </is>
      </c>
      <c r="J3988" s="3" t="inlineStr">
        <is>
          <t>전동면</t>
        </is>
      </c>
    </row>
    <row r="3989">
      <c r="A3989" s="3" t="n">
        <v>2024</v>
      </c>
      <c r="B3989" s="4" t="n">
        <v>42710</v>
      </c>
      <c r="C3989" s="4" t="n">
        <v>20392</v>
      </c>
      <c r="D3989" s="4" t="n">
        <v>6168.58</v>
      </c>
      <c r="E3989" s="5" t="n">
        <v>6.9</v>
      </c>
      <c r="F3989" s="3" t="inlineStr">
        <is>
          <t>전동면</t>
        </is>
      </c>
      <c r="G3989" s="3" t="inlineStr">
        <is>
          <t>송정리</t>
        </is>
      </c>
      <c r="H3989" s="3" t="inlineStr">
        <is>
          <t>보전관리지역</t>
        </is>
      </c>
      <c r="I3989" s="3" t="inlineStr">
        <is>
          <t>임야</t>
        </is>
      </c>
      <c r="J3989" s="3" t="inlineStr">
        <is>
          <t>전동면</t>
        </is>
      </c>
    </row>
    <row r="3990">
      <c r="A3990" s="3" t="n">
        <v>2024</v>
      </c>
      <c r="B3990" s="4" t="n">
        <v>34000</v>
      </c>
      <c r="C3990" s="4" t="n">
        <v>493</v>
      </c>
      <c r="D3990" s="4" t="n">
        <v>149.1325</v>
      </c>
      <c r="E3990" s="5" t="n">
        <v>228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장군면</t>
        </is>
      </c>
    </row>
    <row r="3991">
      <c r="A3991" s="3" t="n">
        <v>2024</v>
      </c>
      <c r="B3991" s="4" t="n">
        <v>11450</v>
      </c>
      <c r="C3991" s="4" t="n">
        <v>166</v>
      </c>
      <c r="D3991" s="4" t="n">
        <v>50.215</v>
      </c>
      <c r="E3991" s="5" t="n">
        <v>228</v>
      </c>
      <c r="F3991" s="3" t="inlineStr">
        <is>
          <t>장군면</t>
        </is>
      </c>
      <c r="G3991" s="3" t="inlineStr">
        <is>
          <t>대교리</t>
        </is>
      </c>
      <c r="H3991" s="3" t="inlineStr">
        <is>
          <t>보전관리지역</t>
        </is>
      </c>
      <c r="I3991" s="3" t="inlineStr">
        <is>
          <t>임야</t>
        </is>
      </c>
      <c r="J3991" s="3" t="inlineStr">
        <is>
          <t>장군면</t>
        </is>
      </c>
    </row>
    <row r="3992">
      <c r="A3992" s="3" t="n">
        <v>2024</v>
      </c>
      <c r="B3992" s="4" t="n">
        <v>16900</v>
      </c>
      <c r="C3992" s="4" t="n">
        <v>187</v>
      </c>
      <c r="D3992" s="4" t="n">
        <v>56.5675</v>
      </c>
      <c r="E3992" s="5" t="n">
        <v>298.8</v>
      </c>
      <c r="F3992" s="3" t="inlineStr">
        <is>
          <t>연동면</t>
        </is>
      </c>
      <c r="G3992" s="3" t="inlineStr">
        <is>
          <t>문주리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연동면</t>
        </is>
      </c>
    </row>
    <row r="3993">
      <c r="A3993" s="3" t="n">
        <v>2024</v>
      </c>
      <c r="B3993" s="4" t="n">
        <v>2700</v>
      </c>
      <c r="C3993" s="4" t="n">
        <v>99</v>
      </c>
      <c r="D3993" s="4" t="n">
        <v>29.9475</v>
      </c>
      <c r="E3993" s="5" t="n">
        <v>90.2</v>
      </c>
      <c r="F3993" s="3" t="inlineStr">
        <is>
          <t>연동면</t>
        </is>
      </c>
      <c r="G3993" s="3" t="inlineStr">
        <is>
          <t>문주리</t>
        </is>
      </c>
      <c r="H3993" s="3" t="inlineStr">
        <is>
          <t>보전관리지역</t>
        </is>
      </c>
      <c r="I3993" s="3" t="inlineStr">
        <is>
          <t>과수원</t>
        </is>
      </c>
      <c r="J3993" s="3" t="inlineStr">
        <is>
          <t>연동면</t>
        </is>
      </c>
    </row>
    <row r="3994">
      <c r="A3994" s="3" t="n">
        <v>2024</v>
      </c>
      <c r="B3994" s="4" t="n">
        <v>2100</v>
      </c>
      <c r="C3994" s="4" t="n">
        <v>78</v>
      </c>
      <c r="D3994" s="4" t="n">
        <v>23.595</v>
      </c>
      <c r="E3994" s="5" t="n">
        <v>89</v>
      </c>
      <c r="F3994" s="3" t="inlineStr">
        <is>
          <t>연동면</t>
        </is>
      </c>
      <c r="G3994" s="3" t="inlineStr">
        <is>
          <t>문주리</t>
        </is>
      </c>
      <c r="H3994" s="3" t="inlineStr">
        <is>
          <t>보전관리지역</t>
        </is>
      </c>
      <c r="I3994" s="3" t="inlineStr">
        <is>
          <t>과수원</t>
        </is>
      </c>
      <c r="J3994" s="3" t="inlineStr">
        <is>
          <t>연동면</t>
        </is>
      </c>
    </row>
    <row r="3995">
      <c r="A3995" s="3" t="n">
        <v>2024</v>
      </c>
      <c r="B3995" s="4" t="n">
        <v>11000</v>
      </c>
      <c r="C3995" s="4" t="n">
        <v>330</v>
      </c>
      <c r="D3995" s="4" t="n">
        <v>99.825</v>
      </c>
      <c r="E3995" s="5" t="n">
        <v>110.2</v>
      </c>
      <c r="F3995" s="3" t="inlineStr">
        <is>
          <t>장군면</t>
        </is>
      </c>
      <c r="G3995" s="3" t="inlineStr">
        <is>
          <t>봉안리</t>
        </is>
      </c>
      <c r="H3995" s="3" t="inlineStr">
        <is>
          <t>보전관리지역</t>
        </is>
      </c>
      <c r="I3995" s="3" t="inlineStr">
        <is>
          <t>대</t>
        </is>
      </c>
      <c r="J3995" s="3" t="inlineStr">
        <is>
          <t>장군면</t>
        </is>
      </c>
    </row>
    <row r="3996">
      <c r="A3996" s="3" t="n">
        <v>2024</v>
      </c>
      <c r="B3996" s="4" t="n">
        <v>1200</v>
      </c>
      <c r="C3996" s="4" t="n">
        <v>66</v>
      </c>
      <c r="D3996" s="4" t="n">
        <v>19.965</v>
      </c>
      <c r="E3996" s="5" t="n">
        <v>60.1</v>
      </c>
      <c r="F3996" s="3" t="inlineStr">
        <is>
          <t>현도면</t>
        </is>
      </c>
      <c r="G3996" s="3" t="inlineStr">
        <is>
          <t>양지리</t>
        </is>
      </c>
      <c r="H3996" s="3" t="inlineStr">
        <is>
          <t>자연녹지지역</t>
        </is>
      </c>
      <c r="I3996" s="3" t="inlineStr">
        <is>
          <t>대</t>
        </is>
      </c>
      <c r="J3996" s="3" t="inlineStr">
        <is>
          <t>현도면</t>
        </is>
      </c>
    </row>
    <row r="3997">
      <c r="A3997" s="3" t="n">
        <v>2024</v>
      </c>
      <c r="B3997" s="4" t="n">
        <v>4000</v>
      </c>
      <c r="C3997" s="4" t="n">
        <v>1775</v>
      </c>
      <c r="D3997" s="4" t="n">
        <v>536.9375</v>
      </c>
      <c r="E3997" s="5" t="n">
        <v>7.4</v>
      </c>
      <c r="F3997" s="3" t="inlineStr">
        <is>
          <t>남이면</t>
        </is>
      </c>
      <c r="G3997" s="3" t="inlineStr">
        <is>
          <t>사동리</t>
        </is>
      </c>
      <c r="H3997" s="3" t="inlineStr">
        <is>
          <t>보전관리지역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2024</v>
      </c>
      <c r="B3998" s="4" t="n">
        <v>17875</v>
      </c>
      <c r="C3998" s="4" t="n">
        <v>2364</v>
      </c>
      <c r="D3998" s="4" t="n">
        <v>715.11</v>
      </c>
      <c r="E3998" s="5" t="n">
        <v>25</v>
      </c>
      <c r="F3998" s="3" t="inlineStr">
        <is>
          <t>남이면</t>
        </is>
      </c>
      <c r="G3998" s="3" t="inlineStr">
        <is>
          <t>비룡리</t>
        </is>
      </c>
      <c r="H3998" s="3" t="inlineStr">
        <is>
          <t>농림지역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3270</v>
      </c>
      <c r="C3999" s="4" t="n">
        <v>864</v>
      </c>
      <c r="D3999" s="4" t="n">
        <v>261.36</v>
      </c>
      <c r="E3999" s="5" t="n">
        <v>12.5</v>
      </c>
      <c r="F3999" s="3" t="inlineStr">
        <is>
          <t>남이면</t>
        </is>
      </c>
      <c r="G3999" s="3" t="inlineStr">
        <is>
          <t>문동리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2024</v>
      </c>
      <c r="B4000" s="4" t="n">
        <v>7230</v>
      </c>
      <c r="C4000" s="4" t="n">
        <v>1835</v>
      </c>
      <c r="D4000" s="4" t="n">
        <v>555.0875</v>
      </c>
      <c r="E4000" s="5" t="n">
        <v>13</v>
      </c>
      <c r="F4000" s="3" t="inlineStr">
        <is>
          <t>남이면</t>
        </is>
      </c>
      <c r="G4000" s="3" t="inlineStr">
        <is>
          <t>문동리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2024</v>
      </c>
      <c r="B4001" s="4" t="n">
        <v>32630</v>
      </c>
      <c r="C4001" s="4" t="n">
        <v>832</v>
      </c>
      <c r="D4001" s="4" t="n">
        <v>251.68</v>
      </c>
      <c r="E4001" s="5" t="n">
        <v>129.6</v>
      </c>
      <c r="F4001" s="3" t="inlineStr">
        <is>
          <t>남이면</t>
        </is>
      </c>
      <c r="G4001" s="3" t="inlineStr">
        <is>
          <t>가좌리</t>
        </is>
      </c>
      <c r="H4001" s="3" t="inlineStr">
        <is>
          <t>자연녹지지역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2024</v>
      </c>
      <c r="B4002" s="4" t="n">
        <v>9700</v>
      </c>
      <c r="C4002" s="4" t="n">
        <v>618</v>
      </c>
      <c r="D4002" s="4" t="n">
        <v>186.945</v>
      </c>
      <c r="E4002" s="5" t="n">
        <v>51.9</v>
      </c>
      <c r="F4002" s="3" t="inlineStr">
        <is>
          <t>남이면</t>
        </is>
      </c>
      <c r="G4002" s="3" t="inlineStr">
        <is>
          <t>문동리</t>
        </is>
      </c>
      <c r="H4002" s="3" t="inlineStr">
        <is>
          <t>생산관리지역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19000</v>
      </c>
      <c r="C4003" s="4" t="n">
        <v>2169</v>
      </c>
      <c r="D4003" s="4" t="n">
        <v>656.1224999999999</v>
      </c>
      <c r="E4003" s="5" t="n">
        <v>29</v>
      </c>
      <c r="F4003" s="3" t="inlineStr">
        <is>
          <t>현도면</t>
        </is>
      </c>
      <c r="G4003" s="3" t="inlineStr">
        <is>
          <t>중척리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2024</v>
      </c>
      <c r="B4004" s="4" t="n">
        <v>57368</v>
      </c>
      <c r="C4004" s="4" t="n">
        <v>1959</v>
      </c>
      <c r="D4004" s="4" t="n">
        <v>592.5975</v>
      </c>
      <c r="E4004" s="5" t="n">
        <v>96.8</v>
      </c>
      <c r="F4004" s="3" t="inlineStr">
        <is>
          <t>남이면</t>
        </is>
      </c>
      <c r="G4004" s="3" t="inlineStr">
        <is>
          <t>구암리</t>
        </is>
      </c>
      <c r="H4004" s="3" t="inlineStr">
        <is>
          <t>보전녹지지역</t>
        </is>
      </c>
      <c r="I4004" s="3" t="inlineStr">
        <is>
          <t>대</t>
        </is>
      </c>
      <c r="J4004" s="3" t="inlineStr">
        <is>
          <t>남이면</t>
        </is>
      </c>
    </row>
    <row r="4005">
      <c r="A4005" s="3" t="n">
        <v>2024</v>
      </c>
      <c r="B4005" s="4" t="n">
        <v>6286</v>
      </c>
      <c r="C4005" s="4" t="n">
        <v>105</v>
      </c>
      <c r="D4005" s="4" t="n">
        <v>31.7625</v>
      </c>
      <c r="E4005" s="5" t="n">
        <v>197.9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2024</v>
      </c>
      <c r="B4006" s="4" t="n">
        <v>41000</v>
      </c>
      <c r="C4006" s="4" t="n">
        <v>1023</v>
      </c>
      <c r="D4006" s="4" t="n">
        <v>309.4575</v>
      </c>
      <c r="E4006" s="5" t="n">
        <v>132.5</v>
      </c>
      <c r="F4006" s="3" t="inlineStr">
        <is>
          <t>남이면</t>
        </is>
      </c>
      <c r="G4006" s="3" t="inlineStr">
        <is>
          <t>양촌리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18590</v>
      </c>
      <c r="C4007" s="4" t="n">
        <v>476</v>
      </c>
      <c r="D4007" s="4" t="n">
        <v>143.99</v>
      </c>
      <c r="E4007" s="5" t="n">
        <v>129.1</v>
      </c>
      <c r="F4007" s="3" t="inlineStr">
        <is>
          <t>남이면</t>
        </is>
      </c>
      <c r="G4007" s="3" t="inlineStr">
        <is>
          <t>석판리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8000</v>
      </c>
      <c r="C4008" s="4" t="n">
        <v>265</v>
      </c>
      <c r="D4008" s="4" t="n">
        <v>80.16249999999999</v>
      </c>
      <c r="E4008" s="5" t="n">
        <v>99.8</v>
      </c>
      <c r="F4008" s="3" t="inlineStr">
        <is>
          <t>현도면</t>
        </is>
      </c>
      <c r="G4008" s="3" t="inlineStr">
        <is>
          <t>시목리</t>
        </is>
      </c>
      <c r="H4008" s="3" t="inlineStr">
        <is>
          <t>자연녹지지역</t>
        </is>
      </c>
      <c r="I4008" s="3" t="inlineStr">
        <is>
          <t>답</t>
        </is>
      </c>
      <c r="J4008" s="3" t="inlineStr">
        <is>
          <t>현도면</t>
        </is>
      </c>
    </row>
    <row r="4009">
      <c r="A4009" s="3" t="n">
        <v>2024</v>
      </c>
      <c r="B4009" s="4" t="n">
        <v>9230</v>
      </c>
      <c r="C4009" s="4" t="n">
        <v>138</v>
      </c>
      <c r="D4009" s="4" t="n">
        <v>41.745</v>
      </c>
      <c r="E4009" s="5" t="n">
        <v>221.1</v>
      </c>
      <c r="F4009" s="3" t="inlineStr">
        <is>
          <t>남이면</t>
        </is>
      </c>
      <c r="G4009" s="3" t="inlineStr">
        <is>
          <t>양촌리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2024</v>
      </c>
      <c r="B4010" s="4" t="n">
        <v>30770</v>
      </c>
      <c r="C4010" s="4" t="n">
        <v>460</v>
      </c>
      <c r="D4010" s="4" t="n">
        <v>139.15</v>
      </c>
      <c r="E4010" s="5" t="n">
        <v>221.1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2115</v>
      </c>
      <c r="C4011" s="4" t="n">
        <v>466</v>
      </c>
      <c r="D4011" s="4" t="n">
        <v>140.965</v>
      </c>
      <c r="E4011" s="5" t="n">
        <v>15</v>
      </c>
      <c r="F4011" s="3" t="inlineStr">
        <is>
          <t>남이면</t>
        </is>
      </c>
      <c r="G4011" s="3" t="inlineStr">
        <is>
          <t>문동리</t>
        </is>
      </c>
      <c r="H4011" s="3" t="inlineStr">
        <is>
          <t>자연환경보전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2022</v>
      </c>
      <c r="B4012" s="4" t="n">
        <v>13200</v>
      </c>
      <c r="C4012" s="4" t="n">
        <v>483</v>
      </c>
      <c r="D4012" s="4" t="n">
        <v>146.1075</v>
      </c>
      <c r="E4012" s="5" t="n">
        <v>90.3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2022</v>
      </c>
      <c r="B4013" s="4" t="n">
        <v>17000</v>
      </c>
      <c r="C4013" s="4" t="n">
        <v>2334</v>
      </c>
      <c r="D4013" s="4" t="n">
        <v>706.035</v>
      </c>
      <c r="E4013" s="5" t="n">
        <v>24.1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2022</v>
      </c>
      <c r="B4014" s="4" t="n">
        <v>3800</v>
      </c>
      <c r="C4014" s="4" t="n">
        <v>930</v>
      </c>
      <c r="D4014" s="4" t="n">
        <v>281.325</v>
      </c>
      <c r="E4014" s="5" t="n">
        <v>13.5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2022</v>
      </c>
      <c r="B4015" s="4" t="n">
        <v>10000</v>
      </c>
      <c r="C4015" s="4" t="n">
        <v>426</v>
      </c>
      <c r="D4015" s="4" t="n">
        <v>128.865</v>
      </c>
      <c r="E4015" s="5" t="n">
        <v>77.59999999999999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22200</v>
      </c>
      <c r="C4016" s="4" t="n">
        <v>1394</v>
      </c>
      <c r="D4016" s="4" t="n">
        <v>421.685</v>
      </c>
      <c r="E4016" s="5" t="n">
        <v>52.6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2022</v>
      </c>
      <c r="B4017" s="4" t="n">
        <v>31300</v>
      </c>
      <c r="C4017" s="4" t="n">
        <v>1217</v>
      </c>
      <c r="D4017" s="4" t="n">
        <v>368.1425</v>
      </c>
      <c r="E4017" s="5" t="n">
        <v>85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2022</v>
      </c>
      <c r="B4018" s="4" t="n">
        <v>20100</v>
      </c>
      <c r="C4018" s="4" t="n">
        <v>777</v>
      </c>
      <c r="D4018" s="4" t="n">
        <v>235.0425</v>
      </c>
      <c r="E4018" s="5" t="n">
        <v>85.5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44950</v>
      </c>
      <c r="C4019" s="4" t="n">
        <v>293.7</v>
      </c>
      <c r="D4019" s="4" t="n">
        <v>88.84424999999999</v>
      </c>
      <c r="E4019" s="5" t="n">
        <v>505.9</v>
      </c>
      <c r="F4019" s="3" t="inlineStr">
        <is>
          <t>다정동</t>
        </is>
      </c>
      <c r="G4019" s="3" t="inlineStr"/>
      <c r="H4019" s="3" t="inlineStr">
        <is>
          <t>제1종전용주거지역</t>
        </is>
      </c>
      <c r="I4019" s="3" t="inlineStr">
        <is>
          <t>대</t>
        </is>
      </c>
      <c r="J4019" s="3" t="inlineStr">
        <is>
          <t>다정동</t>
        </is>
      </c>
    </row>
    <row r="4020">
      <c r="A4020" s="3" t="n">
        <v>2023</v>
      </c>
      <c r="B4020" s="4" t="n">
        <v>37747</v>
      </c>
      <c r="C4020" s="4" t="n">
        <v>659</v>
      </c>
      <c r="D4020" s="4" t="n">
        <v>199.3475</v>
      </c>
      <c r="E4020" s="5" t="n">
        <v>189.4</v>
      </c>
      <c r="F4020" s="3" t="inlineStr">
        <is>
          <t>장군면</t>
        </is>
      </c>
      <c r="G4020" s="3" t="inlineStr">
        <is>
          <t>대교리</t>
        </is>
      </c>
      <c r="H4020" s="3" t="inlineStr">
        <is>
          <t>보전관리지역</t>
        </is>
      </c>
      <c r="I4020" s="3" t="inlineStr">
        <is>
          <t>대</t>
        </is>
      </c>
      <c r="J4020" s="3" t="inlineStr">
        <is>
          <t>장군면</t>
        </is>
      </c>
    </row>
    <row r="4021">
      <c r="A4021" s="3" t="n">
        <v>2023</v>
      </c>
      <c r="B4021" s="4" t="n">
        <v>8831</v>
      </c>
      <c r="C4021" s="4" t="n">
        <v>660</v>
      </c>
      <c r="D4021" s="4" t="n">
        <v>199.65</v>
      </c>
      <c r="E4021" s="5" t="n">
        <v>44.2</v>
      </c>
      <c r="F4021" s="3" t="inlineStr">
        <is>
          <t>금남면</t>
        </is>
      </c>
      <c r="G4021" s="3" t="inlineStr">
        <is>
          <t>영곡리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금남면</t>
        </is>
      </c>
    </row>
    <row r="4022">
      <c r="A4022" s="3" t="n">
        <v>2023</v>
      </c>
      <c r="B4022" s="4" t="n">
        <v>21000</v>
      </c>
      <c r="C4022" s="4" t="n">
        <v>9918</v>
      </c>
      <c r="D4022" s="4" t="n">
        <v>3000.195</v>
      </c>
      <c r="E4022" s="5" t="n">
        <v>7</v>
      </c>
      <c r="F4022" s="3" t="inlineStr">
        <is>
          <t>전동면</t>
        </is>
      </c>
      <c r="G4022" s="3" t="inlineStr">
        <is>
          <t>청람리</t>
        </is>
      </c>
      <c r="H4022" s="3" t="inlineStr">
        <is>
          <t>농림지역</t>
        </is>
      </c>
      <c r="I4022" s="3" t="inlineStr">
        <is>
          <t>임야</t>
        </is>
      </c>
      <c r="J4022" s="3" t="inlineStr">
        <is>
          <t>전동면</t>
        </is>
      </c>
    </row>
    <row r="4023">
      <c r="A4023" s="3" t="n">
        <v>2023</v>
      </c>
      <c r="B4023" s="4" t="n">
        <v>30000</v>
      </c>
      <c r="C4023" s="4" t="n">
        <v>661</v>
      </c>
      <c r="D4023" s="4" t="n">
        <v>199.9525</v>
      </c>
      <c r="E4023" s="5" t="n">
        <v>150</v>
      </c>
      <c r="F4023" s="3" t="inlineStr">
        <is>
          <t>부강면</t>
        </is>
      </c>
      <c r="G4023" s="3" t="inlineStr">
        <is>
          <t>문곡리</t>
        </is>
      </c>
      <c r="H4023" s="3" t="inlineStr">
        <is>
          <t>계획관리지역</t>
        </is>
      </c>
      <c r="I4023" s="3" t="inlineStr">
        <is>
          <t>답</t>
        </is>
      </c>
      <c r="J4023" s="3" t="inlineStr">
        <is>
          <t>부강면</t>
        </is>
      </c>
    </row>
    <row r="4024">
      <c r="A4024" s="3" t="n">
        <v>2023</v>
      </c>
      <c r="B4024" s="4" t="n">
        <v>21000</v>
      </c>
      <c r="C4024" s="4" t="n">
        <v>772</v>
      </c>
      <c r="D4024" s="4" t="n">
        <v>233.53</v>
      </c>
      <c r="E4024" s="5" t="n">
        <v>89.90000000000001</v>
      </c>
      <c r="F4024" s="3" t="inlineStr">
        <is>
          <t>금남면</t>
        </is>
      </c>
      <c r="G4024" s="3" t="inlineStr">
        <is>
          <t>남곡리</t>
        </is>
      </c>
      <c r="H4024" s="3" t="inlineStr">
        <is>
          <t>개발제한구역</t>
        </is>
      </c>
      <c r="I4024" s="3" t="inlineStr">
        <is>
          <t>전</t>
        </is>
      </c>
      <c r="J4024" s="3" t="inlineStr">
        <is>
          <t>금남면</t>
        </is>
      </c>
    </row>
    <row r="4025">
      <c r="A4025" s="3" t="n">
        <v>2023</v>
      </c>
      <c r="B4025" s="4" t="n">
        <v>5000</v>
      </c>
      <c r="C4025" s="4" t="n">
        <v>93</v>
      </c>
      <c r="D4025" s="4" t="n">
        <v>28.1325</v>
      </c>
      <c r="E4025" s="5" t="n">
        <v>177.7</v>
      </c>
      <c r="F4025" s="3" t="inlineStr">
        <is>
          <t>연동면</t>
        </is>
      </c>
      <c r="G4025" s="3" t="inlineStr">
        <is>
          <t>내판리</t>
        </is>
      </c>
      <c r="H4025" s="3" t="inlineStr">
        <is>
          <t>계획관리지역</t>
        </is>
      </c>
      <c r="I4025" s="3" t="inlineStr">
        <is>
          <t>대</t>
        </is>
      </c>
      <c r="J4025" s="3" t="inlineStr">
        <is>
          <t>연동면</t>
        </is>
      </c>
    </row>
    <row r="4026">
      <c r="A4026" s="3" t="n">
        <v>2023</v>
      </c>
      <c r="B4026" s="4" t="n">
        <v>35000</v>
      </c>
      <c r="C4026" s="4" t="n">
        <v>2255</v>
      </c>
      <c r="D4026" s="4" t="n">
        <v>682.1374999999999</v>
      </c>
      <c r="E4026" s="5" t="n">
        <v>51.3</v>
      </c>
      <c r="F4026" s="3" t="inlineStr">
        <is>
          <t>연동면</t>
        </is>
      </c>
      <c r="G4026" s="3" t="inlineStr">
        <is>
          <t>명학리</t>
        </is>
      </c>
      <c r="H4026" s="3" t="inlineStr">
        <is>
          <t>계획관리지역</t>
        </is>
      </c>
      <c r="I4026" s="3" t="inlineStr">
        <is>
          <t>임야</t>
        </is>
      </c>
      <c r="J4026" s="3" t="inlineStr">
        <is>
          <t>연동면</t>
        </is>
      </c>
    </row>
    <row r="4027">
      <c r="A4027" s="3" t="n">
        <v>2023</v>
      </c>
      <c r="B4027" s="4" t="n">
        <v>108000</v>
      </c>
      <c r="C4027" s="4" t="n">
        <v>1323</v>
      </c>
      <c r="D4027" s="4" t="n">
        <v>400.2075</v>
      </c>
      <c r="E4027" s="5" t="n">
        <v>269.9</v>
      </c>
      <c r="F4027" s="3" t="inlineStr">
        <is>
          <t>연서면</t>
        </is>
      </c>
      <c r="G4027" s="3" t="inlineStr">
        <is>
          <t>월하리</t>
        </is>
      </c>
      <c r="H4027" s="3" t="inlineStr">
        <is>
          <t>자연녹지지역</t>
        </is>
      </c>
      <c r="I4027" s="3" t="inlineStr">
        <is>
          <t>전</t>
        </is>
      </c>
      <c r="J4027" s="3" t="inlineStr">
        <is>
          <t>연서면</t>
        </is>
      </c>
    </row>
    <row r="4028">
      <c r="A4028" s="3" t="n">
        <v>2023</v>
      </c>
      <c r="B4028" s="4" t="n">
        <v>15000</v>
      </c>
      <c r="C4028" s="4" t="n">
        <v>4959</v>
      </c>
      <c r="D4028" s="4" t="n">
        <v>1500.0975</v>
      </c>
      <c r="E4028" s="5" t="n">
        <v>10</v>
      </c>
      <c r="F4028" s="3" t="inlineStr">
        <is>
          <t>전의면</t>
        </is>
      </c>
      <c r="G4028" s="3" t="inlineStr">
        <is>
          <t>양곡리</t>
        </is>
      </c>
      <c r="H4028" s="3" t="inlineStr">
        <is>
          <t>농림지역</t>
        </is>
      </c>
      <c r="I4028" s="3" t="inlineStr">
        <is>
          <t>임야</t>
        </is>
      </c>
      <c r="J4028" s="3" t="inlineStr">
        <is>
          <t>전의면</t>
        </is>
      </c>
    </row>
    <row r="4029">
      <c r="A4029" s="3" t="n">
        <v>2022</v>
      </c>
      <c r="B4029" s="4" t="n">
        <v>130000</v>
      </c>
      <c r="C4029" s="4" t="n">
        <v>45841</v>
      </c>
      <c r="D4029" s="4" t="n">
        <v>13866.9025</v>
      </c>
      <c r="E4029" s="5" t="n">
        <v>9.4</v>
      </c>
      <c r="F4029" s="3" t="inlineStr">
        <is>
          <t>부강면</t>
        </is>
      </c>
      <c r="G4029" s="3" t="inlineStr">
        <is>
          <t>등곡리</t>
        </is>
      </c>
      <c r="H4029" s="3" t="inlineStr">
        <is>
          <t>농림지역</t>
        </is>
      </c>
      <c r="I4029" s="3" t="inlineStr">
        <is>
          <t>임야</t>
        </is>
      </c>
      <c r="J4029" s="3" t="inlineStr">
        <is>
          <t>부강면</t>
        </is>
      </c>
    </row>
    <row r="4030">
      <c r="A4030" s="3" t="n">
        <v>2022</v>
      </c>
      <c r="B4030" s="4" t="n">
        <v>20000</v>
      </c>
      <c r="C4030" s="4" t="n">
        <v>839</v>
      </c>
      <c r="D4030" s="4" t="n">
        <v>253.7975</v>
      </c>
      <c r="E4030" s="5" t="n">
        <v>78.8</v>
      </c>
      <c r="F4030" s="3" t="inlineStr">
        <is>
          <t>부강면</t>
        </is>
      </c>
      <c r="G4030" s="3" t="inlineStr">
        <is>
          <t>등곡리</t>
        </is>
      </c>
      <c r="H4030" s="3" t="inlineStr">
        <is>
          <t>계획관리지역</t>
        </is>
      </c>
      <c r="I4030" s="3" t="inlineStr">
        <is>
          <t>목장용지</t>
        </is>
      </c>
      <c r="J4030" s="3" t="inlineStr">
        <is>
          <t>부강면</t>
        </is>
      </c>
    </row>
    <row r="4031">
      <c r="A4031" s="3" t="n">
        <v>2022</v>
      </c>
      <c r="B4031" s="4" t="n">
        <v>13500</v>
      </c>
      <c r="C4031" s="4" t="n">
        <v>446</v>
      </c>
      <c r="D4031" s="4" t="n">
        <v>134.915</v>
      </c>
      <c r="E4031" s="5" t="n">
        <v>100.1</v>
      </c>
      <c r="F4031" s="3" t="inlineStr">
        <is>
          <t>연서면</t>
        </is>
      </c>
      <c r="G4031" s="3" t="inlineStr">
        <is>
          <t>국촌리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2022</v>
      </c>
      <c r="B4032" s="4" t="n">
        <v>19641</v>
      </c>
      <c r="C4032" s="4" t="n">
        <v>780</v>
      </c>
      <c r="D4032" s="4" t="n">
        <v>235.95</v>
      </c>
      <c r="E4032" s="5" t="n">
        <v>83.2</v>
      </c>
      <c r="F4032" s="3" t="inlineStr">
        <is>
          <t>장군면</t>
        </is>
      </c>
      <c r="G4032" s="3" t="inlineStr">
        <is>
          <t>금암리</t>
        </is>
      </c>
      <c r="H4032" s="3" t="inlineStr">
        <is>
          <t>농림지역</t>
        </is>
      </c>
      <c r="I4032" s="3" t="inlineStr">
        <is>
          <t>임야</t>
        </is>
      </c>
      <c r="J4032" s="3" t="inlineStr">
        <is>
          <t>장군면</t>
        </is>
      </c>
    </row>
    <row r="4033">
      <c r="A4033" s="3" t="n">
        <v>2022</v>
      </c>
      <c r="B4033" s="4" t="n">
        <v>32400</v>
      </c>
      <c r="C4033" s="4" t="n">
        <v>825</v>
      </c>
      <c r="D4033" s="4" t="n">
        <v>249.5625</v>
      </c>
      <c r="E4033" s="5" t="n">
        <v>129.8</v>
      </c>
      <c r="F4033" s="3" t="inlineStr">
        <is>
          <t>장군면</t>
        </is>
      </c>
      <c r="G4033" s="3" t="inlineStr">
        <is>
          <t>송학리</t>
        </is>
      </c>
      <c r="H4033" s="3" t="inlineStr">
        <is>
          <t>계획관리지역</t>
        </is>
      </c>
      <c r="I4033" s="3" t="inlineStr">
        <is>
          <t>전</t>
        </is>
      </c>
      <c r="J4033" s="3" t="inlineStr">
        <is>
          <t>장군면</t>
        </is>
      </c>
    </row>
    <row r="4034">
      <c r="A4034" s="3" t="n">
        <v>2022</v>
      </c>
      <c r="B4034" s="4" t="n">
        <v>12100</v>
      </c>
      <c r="C4034" s="4" t="n">
        <v>1000</v>
      </c>
      <c r="D4034" s="4" t="n">
        <v>302.5</v>
      </c>
      <c r="E4034" s="5" t="n">
        <v>40</v>
      </c>
      <c r="F4034" s="3" t="inlineStr">
        <is>
          <t>금남면</t>
        </is>
      </c>
      <c r="G4034" s="3" t="inlineStr">
        <is>
          <t>신촌리</t>
        </is>
      </c>
      <c r="H4034" s="3" t="inlineStr">
        <is>
          <t>보전녹지지역</t>
        </is>
      </c>
      <c r="I4034" s="3" t="inlineStr">
        <is>
          <t>임야</t>
        </is>
      </c>
      <c r="J4034" s="3" t="inlineStr">
        <is>
          <t>금남면</t>
        </is>
      </c>
    </row>
    <row r="4035">
      <c r="A4035" s="3" t="n">
        <v>2022</v>
      </c>
      <c r="B4035" s="4" t="n">
        <v>9000</v>
      </c>
      <c r="C4035" s="4" t="n">
        <v>198</v>
      </c>
      <c r="D4035" s="4" t="n">
        <v>59.895</v>
      </c>
      <c r="E4035" s="5" t="n">
        <v>150.3</v>
      </c>
      <c r="F4035" s="3" t="inlineStr">
        <is>
          <t>전의면</t>
        </is>
      </c>
      <c r="G4035" s="3" t="inlineStr">
        <is>
          <t>동교리</t>
        </is>
      </c>
      <c r="H4035" s="3" t="inlineStr">
        <is>
          <t>계획관리지역</t>
        </is>
      </c>
      <c r="I4035" s="3" t="inlineStr">
        <is>
          <t>대</t>
        </is>
      </c>
      <c r="J4035" s="3" t="inlineStr">
        <is>
          <t>전의면</t>
        </is>
      </c>
    </row>
    <row r="4036">
      <c r="A4036" s="3" t="n">
        <v>2022</v>
      </c>
      <c r="B4036" s="4" t="n">
        <v>98850</v>
      </c>
      <c r="C4036" s="4" t="n">
        <v>2179</v>
      </c>
      <c r="D4036" s="4" t="n">
        <v>659.1475</v>
      </c>
      <c r="E4036" s="5" t="n">
        <v>150</v>
      </c>
      <c r="F4036" s="3" t="inlineStr">
        <is>
          <t>전의면</t>
        </is>
      </c>
      <c r="G4036" s="3" t="inlineStr">
        <is>
          <t>동교리</t>
        </is>
      </c>
      <c r="H4036" s="3" t="inlineStr">
        <is>
          <t>계획관리지역</t>
        </is>
      </c>
      <c r="I4036" s="3" t="inlineStr">
        <is>
          <t>전</t>
        </is>
      </c>
      <c r="J4036" s="3" t="inlineStr">
        <is>
          <t>전의면</t>
        </is>
      </c>
    </row>
    <row r="4037">
      <c r="A4037" s="3" t="n">
        <v>2022</v>
      </c>
      <c r="B4037" s="4" t="n">
        <v>14800</v>
      </c>
      <c r="C4037" s="4" t="n">
        <v>489</v>
      </c>
      <c r="D4037" s="4" t="n">
        <v>147.9225</v>
      </c>
      <c r="E4037" s="5" t="n">
        <v>100.1</v>
      </c>
      <c r="F4037" s="3" t="inlineStr">
        <is>
          <t>소정면</t>
        </is>
      </c>
      <c r="G4037" s="3" t="inlineStr">
        <is>
          <t>소정리</t>
        </is>
      </c>
      <c r="H4037" s="3" t="inlineStr">
        <is>
          <t>계획관리지역</t>
        </is>
      </c>
      <c r="I4037" s="3" t="inlineStr">
        <is>
          <t>답</t>
        </is>
      </c>
      <c r="J4037" s="3" t="inlineStr">
        <is>
          <t>소정면</t>
        </is>
      </c>
    </row>
    <row r="4038">
      <c r="A4038" s="3" t="n">
        <v>2022</v>
      </c>
      <c r="B4038" s="4" t="n">
        <v>15000</v>
      </c>
      <c r="C4038" s="4" t="n">
        <v>1174</v>
      </c>
      <c r="D4038" s="4" t="n">
        <v>355.135</v>
      </c>
      <c r="E4038" s="5" t="n">
        <v>42.2</v>
      </c>
      <c r="F4038" s="3" t="inlineStr">
        <is>
          <t>소정면</t>
        </is>
      </c>
      <c r="G4038" s="3" t="inlineStr">
        <is>
          <t>대곡리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소정면</t>
        </is>
      </c>
    </row>
    <row r="4039">
      <c r="A4039" s="3" t="n">
        <v>2022</v>
      </c>
      <c r="B4039" s="4" t="n">
        <v>47135</v>
      </c>
      <c r="C4039" s="4" t="n">
        <v>5665</v>
      </c>
      <c r="D4039" s="4" t="n">
        <v>1713.6625</v>
      </c>
      <c r="E4039" s="5" t="n">
        <v>27.5</v>
      </c>
      <c r="F4039" s="3" t="inlineStr">
        <is>
          <t>전의면</t>
        </is>
      </c>
      <c r="G4039" s="3" t="inlineStr">
        <is>
          <t>관정리</t>
        </is>
      </c>
      <c r="H4039" s="3" t="inlineStr">
        <is>
          <t>농림지역</t>
        </is>
      </c>
      <c r="I4039" s="3" t="inlineStr">
        <is>
          <t>임야</t>
        </is>
      </c>
      <c r="J4039" s="3" t="inlineStr">
        <is>
          <t>전의면</t>
        </is>
      </c>
    </row>
    <row r="4040">
      <c r="A4040" s="3" t="n">
        <v>2022</v>
      </c>
      <c r="B4040" s="4" t="n">
        <v>7865</v>
      </c>
      <c r="C4040" s="4" t="n">
        <v>947</v>
      </c>
      <c r="D4040" s="4" t="n">
        <v>286.4675</v>
      </c>
      <c r="E4040" s="5" t="n">
        <v>27.5</v>
      </c>
      <c r="F4040" s="3" t="inlineStr">
        <is>
          <t>전의면</t>
        </is>
      </c>
      <c r="G4040" s="3" t="inlineStr">
        <is>
          <t>관정리</t>
        </is>
      </c>
      <c r="H4040" s="3" t="inlineStr">
        <is>
          <t>농림지역</t>
        </is>
      </c>
      <c r="I4040" s="3" t="inlineStr">
        <is>
          <t>임야</t>
        </is>
      </c>
      <c r="J4040" s="3" t="inlineStr">
        <is>
          <t>전의면</t>
        </is>
      </c>
    </row>
    <row r="4041">
      <c r="A4041" s="3" t="n">
        <v>2022</v>
      </c>
      <c r="B4041" s="4" t="n">
        <v>6000</v>
      </c>
      <c r="C4041" s="4" t="n">
        <v>397</v>
      </c>
      <c r="D4041" s="4" t="n">
        <v>120.0925</v>
      </c>
      <c r="E4041" s="5" t="n">
        <v>50</v>
      </c>
      <c r="F4041" s="3" t="inlineStr">
        <is>
          <t>금남면</t>
        </is>
      </c>
      <c r="G4041" s="3" t="inlineStr">
        <is>
          <t>원봉리</t>
        </is>
      </c>
      <c r="H4041" s="3" t="inlineStr">
        <is>
          <t>보전관리지역</t>
        </is>
      </c>
      <c r="I4041" s="3" t="inlineStr">
        <is>
          <t>임야</t>
        </is>
      </c>
      <c r="J4041" s="3" t="inlineStr">
        <is>
          <t>금남면</t>
        </is>
      </c>
    </row>
    <row r="4042">
      <c r="A4042" s="3" t="n">
        <v>2022</v>
      </c>
      <c r="B4042" s="4" t="n">
        <v>140000</v>
      </c>
      <c r="C4042" s="4" t="n">
        <v>11901</v>
      </c>
      <c r="D4042" s="4" t="n">
        <v>3600.0525</v>
      </c>
      <c r="E4042" s="5" t="n">
        <v>38.9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연서면</t>
        </is>
      </c>
    </row>
    <row r="4043">
      <c r="A4043" s="3" t="n">
        <v>2022</v>
      </c>
      <c r="B4043" s="4" t="n">
        <v>86050</v>
      </c>
      <c r="C4043" s="4" t="n">
        <v>407</v>
      </c>
      <c r="D4043" s="4" t="n">
        <v>123.1175</v>
      </c>
      <c r="E4043" s="5" t="n">
        <v>698.9</v>
      </c>
      <c r="F4043" s="3" t="inlineStr">
        <is>
          <t>금남면</t>
        </is>
      </c>
      <c r="G4043" s="3" t="inlineStr">
        <is>
          <t>호탄리</t>
        </is>
      </c>
      <c r="H4043" s="3" t="inlineStr">
        <is>
          <t>제1종일반주거지역</t>
        </is>
      </c>
      <c r="I4043" s="3" t="inlineStr">
        <is>
          <t>대</t>
        </is>
      </c>
      <c r="J4043" s="3" t="inlineStr">
        <is>
          <t>금남면</t>
        </is>
      </c>
    </row>
    <row r="4044">
      <c r="A4044" s="3" t="n">
        <v>2022</v>
      </c>
      <c r="B4044" s="4" t="n">
        <v>6900</v>
      </c>
      <c r="C4044" s="4" t="n">
        <v>396</v>
      </c>
      <c r="D4044" s="4" t="n">
        <v>119.79</v>
      </c>
      <c r="E4044" s="5" t="n">
        <v>57.6</v>
      </c>
      <c r="F4044" s="3" t="inlineStr">
        <is>
          <t>금남면</t>
        </is>
      </c>
      <c r="G4044" s="3" t="inlineStr">
        <is>
          <t>박산리</t>
        </is>
      </c>
      <c r="H4044" s="3" t="inlineStr">
        <is>
          <t>개발제한구역</t>
        </is>
      </c>
      <c r="I4044" s="3" t="inlineStr">
        <is>
          <t>전</t>
        </is>
      </c>
      <c r="J4044" s="3" t="inlineStr">
        <is>
          <t>금남면</t>
        </is>
      </c>
    </row>
    <row r="4045">
      <c r="A4045" s="3" t="n">
        <v>2022</v>
      </c>
      <c r="B4045" s="4" t="n">
        <v>7680</v>
      </c>
      <c r="C4045" s="4" t="n">
        <v>640</v>
      </c>
      <c r="D4045" s="4" t="n">
        <v>193.6</v>
      </c>
      <c r="E4045" s="5" t="n">
        <v>39.7</v>
      </c>
      <c r="F4045" s="3" t="inlineStr">
        <is>
          <t>연서면</t>
        </is>
      </c>
      <c r="G4045" s="3" t="inlineStr">
        <is>
          <t>와촌리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연서면</t>
        </is>
      </c>
    </row>
    <row r="4046">
      <c r="A4046" s="3" t="n">
        <v>2022</v>
      </c>
      <c r="B4046" s="4" t="n">
        <v>7800</v>
      </c>
      <c r="C4046" s="4" t="n">
        <v>650</v>
      </c>
      <c r="D4046" s="4" t="n">
        <v>196.625</v>
      </c>
      <c r="E4046" s="5" t="n">
        <v>39.7</v>
      </c>
      <c r="F4046" s="3" t="inlineStr">
        <is>
          <t>연서면</t>
        </is>
      </c>
      <c r="G4046" s="3" t="inlineStr">
        <is>
          <t>와촌리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연서면</t>
        </is>
      </c>
    </row>
    <row r="4047">
      <c r="A4047" s="3" t="n">
        <v>2022</v>
      </c>
      <c r="B4047" s="4" t="n">
        <v>14000</v>
      </c>
      <c r="C4047" s="4" t="n">
        <v>757</v>
      </c>
      <c r="D4047" s="4" t="n">
        <v>228.9925</v>
      </c>
      <c r="E4047" s="5" t="n">
        <v>61.1</v>
      </c>
      <c r="F4047" s="3" t="inlineStr">
        <is>
          <t>전의면</t>
        </is>
      </c>
      <c r="G4047" s="3" t="inlineStr">
        <is>
          <t>양곡리</t>
        </is>
      </c>
      <c r="H4047" s="3" t="inlineStr">
        <is>
          <t>계획관리지역</t>
        </is>
      </c>
      <c r="I4047" s="3" t="inlineStr">
        <is>
          <t>전</t>
        </is>
      </c>
      <c r="J4047" s="3" t="inlineStr">
        <is>
          <t>전의면</t>
        </is>
      </c>
    </row>
    <row r="4048">
      <c r="A4048" s="3" t="n">
        <v>2022</v>
      </c>
      <c r="B4048" s="4" t="n">
        <v>21000</v>
      </c>
      <c r="C4048" s="4" t="n">
        <v>1190</v>
      </c>
      <c r="D4048" s="4" t="n">
        <v>359.975</v>
      </c>
      <c r="E4048" s="5" t="n">
        <v>58.3</v>
      </c>
      <c r="F4048" s="3" t="inlineStr">
        <is>
          <t>금남면</t>
        </is>
      </c>
      <c r="G4048" s="3" t="inlineStr">
        <is>
          <t>봉암리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금남면</t>
        </is>
      </c>
    </row>
    <row r="4049">
      <c r="A4049" s="3" t="n">
        <v>2022</v>
      </c>
      <c r="B4049" s="4" t="n">
        <v>4000</v>
      </c>
      <c r="C4049" s="4" t="n">
        <v>231</v>
      </c>
      <c r="D4049" s="4" t="n">
        <v>69.8775</v>
      </c>
      <c r="E4049" s="5" t="n">
        <v>57.2</v>
      </c>
      <c r="F4049" s="3" t="inlineStr">
        <is>
          <t>금남면</t>
        </is>
      </c>
      <c r="G4049" s="3" t="inlineStr">
        <is>
          <t>봉암리</t>
        </is>
      </c>
      <c r="H4049" s="3" t="inlineStr">
        <is>
          <t>생산관리지역</t>
        </is>
      </c>
      <c r="I4049" s="3" t="inlineStr">
        <is>
          <t>전</t>
        </is>
      </c>
      <c r="J4049" s="3" t="inlineStr">
        <is>
          <t>금남면</t>
        </is>
      </c>
    </row>
    <row r="4050">
      <c r="A4050" s="3" t="n">
        <v>2026</v>
      </c>
      <c r="B4050" s="4" t="n">
        <v>5950</v>
      </c>
      <c r="C4050" s="4" t="n">
        <v>972</v>
      </c>
      <c r="D4050" s="4" t="n">
        <v>294.03</v>
      </c>
      <c r="E4050" s="5" t="n">
        <v>20.2</v>
      </c>
      <c r="F4050" s="3" t="inlineStr">
        <is>
          <t>전의면</t>
        </is>
      </c>
      <c r="G4050" s="3" t="inlineStr">
        <is>
          <t>금사리</t>
        </is>
      </c>
      <c r="H4050" s="3" t="inlineStr">
        <is>
          <t>생산관리지역</t>
        </is>
      </c>
      <c r="I4050" s="3" t="inlineStr">
        <is>
          <t>전</t>
        </is>
      </c>
      <c r="J4050" s="3" t="inlineStr">
        <is>
          <t>전의면</t>
        </is>
      </c>
    </row>
    <row r="4051">
      <c r="A4051" s="3" t="n">
        <v>2026</v>
      </c>
      <c r="B4051" s="4" t="n">
        <v>400</v>
      </c>
      <c r="C4051" s="4" t="n">
        <v>380</v>
      </c>
      <c r="D4051" s="4" t="n">
        <v>114.95</v>
      </c>
      <c r="E4051" s="5" t="n">
        <v>3.5</v>
      </c>
      <c r="F4051" s="3" t="inlineStr">
        <is>
          <t>전의면</t>
        </is>
      </c>
      <c r="G4051" s="3" t="inlineStr">
        <is>
          <t>금사리</t>
        </is>
      </c>
      <c r="H4051" s="3" t="inlineStr">
        <is>
          <t>생산관리지역</t>
        </is>
      </c>
      <c r="I4051" s="3" t="inlineStr">
        <is>
          <t>유지</t>
        </is>
      </c>
      <c r="J4051" s="3" t="inlineStr">
        <is>
          <t>전의면</t>
        </is>
      </c>
    </row>
    <row r="4052">
      <c r="A4052" s="3" t="n">
        <v>2026</v>
      </c>
      <c r="B4052" s="4" t="n">
        <v>150</v>
      </c>
      <c r="C4052" s="4" t="n">
        <v>145</v>
      </c>
      <c r="D4052" s="4" t="n">
        <v>43.8625</v>
      </c>
      <c r="E4052" s="5" t="n">
        <v>3.4</v>
      </c>
      <c r="F4052" s="3" t="inlineStr">
        <is>
          <t>전의면</t>
        </is>
      </c>
      <c r="G4052" s="3" t="inlineStr">
        <is>
          <t>금사리</t>
        </is>
      </c>
      <c r="H4052" s="3" t="inlineStr">
        <is>
          <t>생산관리지역</t>
        </is>
      </c>
      <c r="I4052" s="3" t="inlineStr">
        <is>
          <t>유지</t>
        </is>
      </c>
      <c r="J4052" s="3" t="inlineStr">
        <is>
          <t>전의면</t>
        </is>
      </c>
    </row>
    <row r="4053">
      <c r="A4053" s="3" t="n">
        <v>2022</v>
      </c>
      <c r="B4053" s="4" t="n">
        <v>1000</v>
      </c>
      <c r="C4053" s="4" t="n">
        <v>18</v>
      </c>
      <c r="D4053" s="4" t="n">
        <v>5.445</v>
      </c>
      <c r="E4053" s="5" t="n">
        <v>183.7</v>
      </c>
      <c r="F4053" s="3" t="inlineStr">
        <is>
          <t>부강면</t>
        </is>
      </c>
      <c r="G4053" s="3" t="inlineStr">
        <is>
          <t>행산리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부강면</t>
        </is>
      </c>
    </row>
    <row r="4054">
      <c r="A4054" s="3" t="n">
        <v>2022</v>
      </c>
      <c r="B4054" s="4" t="n">
        <v>17000</v>
      </c>
      <c r="C4054" s="4" t="n">
        <v>914</v>
      </c>
      <c r="D4054" s="4" t="n">
        <v>276.485</v>
      </c>
      <c r="E4054" s="5" t="n">
        <v>61.5</v>
      </c>
      <c r="F4054" s="3" t="inlineStr">
        <is>
          <t>금남면</t>
        </is>
      </c>
      <c r="G4054" s="3" t="inlineStr">
        <is>
          <t>축산리</t>
        </is>
      </c>
      <c r="H4054" s="3" t="inlineStr">
        <is>
          <t>개발제한구역</t>
        </is>
      </c>
      <c r="I4054" s="3" t="inlineStr">
        <is>
          <t>답</t>
        </is>
      </c>
      <c r="J4054" s="3" t="inlineStr">
        <is>
          <t>금남면</t>
        </is>
      </c>
    </row>
    <row r="4055">
      <c r="A4055" s="3" t="n">
        <v>2022</v>
      </c>
      <c r="B4055" s="4" t="n">
        <v>30000</v>
      </c>
      <c r="C4055" s="4" t="n">
        <v>420</v>
      </c>
      <c r="D4055" s="4" t="n">
        <v>127.05</v>
      </c>
      <c r="E4055" s="5" t="n">
        <v>236.1</v>
      </c>
      <c r="F4055" s="3" t="inlineStr">
        <is>
          <t>장군면</t>
        </is>
      </c>
      <c r="G4055" s="3" t="inlineStr">
        <is>
          <t>봉안리</t>
        </is>
      </c>
      <c r="H4055" s="3" t="inlineStr">
        <is>
          <t>보전관리지역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2022</v>
      </c>
      <c r="B4056" s="4" t="n">
        <v>8200</v>
      </c>
      <c r="C4056" s="4" t="n">
        <v>10</v>
      </c>
      <c r="D4056" s="4" t="n">
        <v>3.025</v>
      </c>
      <c r="E4056" s="5" t="n">
        <v>2710.7</v>
      </c>
      <c r="F4056" s="3" t="inlineStr">
        <is>
          <t>장군면</t>
        </is>
      </c>
      <c r="G4056" s="3" t="inlineStr">
        <is>
          <t>봉안리</t>
        </is>
      </c>
      <c r="H4056" s="3" t="inlineStr">
        <is>
          <t>보전관리지역</t>
        </is>
      </c>
      <c r="I4056" s="3" t="inlineStr">
        <is>
          <t>임야</t>
        </is>
      </c>
      <c r="J4056" s="3" t="inlineStr">
        <is>
          <t>장군면</t>
        </is>
      </c>
    </row>
    <row r="4057">
      <c r="A4057" s="3" t="n">
        <v>2022</v>
      </c>
      <c r="B4057" s="4" t="n">
        <v>67095</v>
      </c>
      <c r="C4057" s="4" t="n">
        <v>1643</v>
      </c>
      <c r="D4057" s="4" t="n">
        <v>497.0075</v>
      </c>
      <c r="E4057" s="5" t="n">
        <v>135</v>
      </c>
      <c r="F4057" s="3" t="inlineStr">
        <is>
          <t>금남면</t>
        </is>
      </c>
      <c r="G4057" s="3" t="inlineStr">
        <is>
          <t>원봉리</t>
        </is>
      </c>
      <c r="H4057" s="3" t="inlineStr">
        <is>
          <t>계획관리지역</t>
        </is>
      </c>
      <c r="I4057" s="3" t="inlineStr">
        <is>
          <t>답</t>
        </is>
      </c>
      <c r="J4057" s="3" t="inlineStr">
        <is>
          <t>금남면</t>
        </is>
      </c>
    </row>
    <row r="4058">
      <c r="A4058" s="3" t="n">
        <v>2022</v>
      </c>
      <c r="B4058" s="4" t="n">
        <v>567700</v>
      </c>
      <c r="C4058" s="4" t="n">
        <v>1525.8</v>
      </c>
      <c r="D4058" s="4" t="n">
        <v>461.5545</v>
      </c>
      <c r="E4058" s="5" t="n">
        <v>1230</v>
      </c>
      <c r="F4058" s="3" t="inlineStr">
        <is>
          <t>오송읍</t>
        </is>
      </c>
      <c r="G4058" s="3" t="inlineStr">
        <is>
          <t>봉산리</t>
        </is>
      </c>
      <c r="H4058" s="3" t="inlineStr">
        <is>
          <t>일반상업지역</t>
        </is>
      </c>
      <c r="I4058" s="3" t="inlineStr">
        <is>
          <t>대</t>
        </is>
      </c>
      <c r="J4058" s="3" t="inlineStr">
        <is>
          <t>오송읍</t>
        </is>
      </c>
    </row>
    <row r="4059">
      <c r="A4059" s="3" t="n">
        <v>2022</v>
      </c>
      <c r="B4059" s="4" t="n">
        <v>210000</v>
      </c>
      <c r="C4059" s="4" t="n">
        <v>514.6</v>
      </c>
      <c r="D4059" s="4" t="n">
        <v>155.6665</v>
      </c>
      <c r="E4059" s="5" t="n">
        <v>1349</v>
      </c>
      <c r="F4059" s="3" t="inlineStr">
        <is>
          <t>오송읍</t>
        </is>
      </c>
      <c r="G4059" s="3" t="inlineStr">
        <is>
          <t>만수리</t>
        </is>
      </c>
      <c r="H4059" s="3" t="inlineStr">
        <is>
          <t>일반상업지역</t>
        </is>
      </c>
      <c r="I4059" s="3" t="inlineStr">
        <is>
          <t>대</t>
        </is>
      </c>
      <c r="J4059" s="3" t="inlineStr">
        <is>
          <t>오송읍</t>
        </is>
      </c>
    </row>
    <row r="4060">
      <c r="A4060" s="3" t="n">
        <v>2022</v>
      </c>
      <c r="B4060" s="4" t="n">
        <v>90000</v>
      </c>
      <c r="C4060" s="4" t="n">
        <v>2018</v>
      </c>
      <c r="D4060" s="4" t="n">
        <v>610.4449999999999</v>
      </c>
      <c r="E4060" s="5" t="n">
        <v>147.4</v>
      </c>
      <c r="F4060" s="3" t="inlineStr">
        <is>
          <t>오송읍</t>
        </is>
      </c>
      <c r="G4060" s="3" t="inlineStr">
        <is>
          <t>궁평리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오송읍</t>
        </is>
      </c>
    </row>
    <row r="4061">
      <c r="A4061" s="3" t="n">
        <v>2022</v>
      </c>
      <c r="B4061" s="4" t="n">
        <v>31000</v>
      </c>
      <c r="C4061" s="4" t="n">
        <v>249.3</v>
      </c>
      <c r="D4061" s="4" t="n">
        <v>75.41325000000001</v>
      </c>
      <c r="E4061" s="5" t="n">
        <v>411.1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28000</v>
      </c>
      <c r="C4062" s="4" t="n">
        <v>2059</v>
      </c>
      <c r="D4062" s="4" t="n">
        <v>622.8475</v>
      </c>
      <c r="E4062" s="5" t="n">
        <v>45</v>
      </c>
      <c r="F4062" s="3" t="inlineStr">
        <is>
          <t>오송읍</t>
        </is>
      </c>
      <c r="G4062" s="3" t="inlineStr">
        <is>
          <t>호계리</t>
        </is>
      </c>
      <c r="H4062" s="3" t="inlineStr">
        <is>
          <t>농림지역</t>
        </is>
      </c>
      <c r="I4062" s="3" t="inlineStr">
        <is>
          <t>답</t>
        </is>
      </c>
      <c r="J4062" s="3" t="inlineStr">
        <is>
          <t>오송읍</t>
        </is>
      </c>
    </row>
    <row r="4063">
      <c r="A4063" s="3" t="n">
        <v>2022</v>
      </c>
      <c r="B4063" s="4" t="n">
        <v>14687</v>
      </c>
      <c r="C4063" s="4" t="n">
        <v>503.6</v>
      </c>
      <c r="D4063" s="4" t="n">
        <v>152.339</v>
      </c>
      <c r="E4063" s="5" t="n">
        <v>96.40000000000001</v>
      </c>
      <c r="F4063" s="3" t="inlineStr">
        <is>
          <t>오송읍</t>
        </is>
      </c>
      <c r="G4063" s="3" t="inlineStr">
        <is>
          <t>상정리</t>
        </is>
      </c>
      <c r="H4063" s="3" t="inlineStr">
        <is>
          <t>계획관리지역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2022</v>
      </c>
      <c r="B4064" s="4" t="n">
        <v>10800</v>
      </c>
      <c r="C4064" s="4" t="n">
        <v>60</v>
      </c>
      <c r="D4064" s="4" t="n">
        <v>18.15</v>
      </c>
      <c r="E4064" s="5" t="n">
        <v>595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2022</v>
      </c>
      <c r="B4065" s="4" t="n">
        <v>30594</v>
      </c>
      <c r="C4065" s="4" t="n">
        <v>33711</v>
      </c>
      <c r="D4065" s="4" t="n">
        <v>10197.5775</v>
      </c>
      <c r="E4065" s="5" t="n">
        <v>3</v>
      </c>
      <c r="F4065" s="3" t="inlineStr">
        <is>
          <t>강내면</t>
        </is>
      </c>
      <c r="G4065" s="3" t="inlineStr">
        <is>
          <t>당곡리</t>
        </is>
      </c>
      <c r="H4065" s="3" t="inlineStr">
        <is>
          <t>보전관리지역</t>
        </is>
      </c>
      <c r="I4065" s="3" t="inlineStr">
        <is>
          <t>임야</t>
        </is>
      </c>
      <c r="J4065" s="3" t="inlineStr">
        <is>
          <t>강내면</t>
        </is>
      </c>
    </row>
    <row r="4066">
      <c r="A4066" s="3" t="n">
        <v>2022</v>
      </c>
      <c r="B4066" s="4" t="n">
        <v>615</v>
      </c>
      <c r="C4066" s="4" t="n">
        <v>678</v>
      </c>
      <c r="D4066" s="4" t="n">
        <v>205.095</v>
      </c>
      <c r="E4066" s="5" t="n">
        <v>3</v>
      </c>
      <c r="F4066" s="3" t="inlineStr">
        <is>
          <t>강내면</t>
        </is>
      </c>
      <c r="G4066" s="3" t="inlineStr">
        <is>
          <t>당곡리</t>
        </is>
      </c>
      <c r="H4066" s="3" t="inlineStr">
        <is>
          <t>계획관리지역</t>
        </is>
      </c>
      <c r="I4066" s="3" t="inlineStr">
        <is>
          <t>임야</t>
        </is>
      </c>
      <c r="J4066" s="3" t="inlineStr">
        <is>
          <t>강내면</t>
        </is>
      </c>
    </row>
    <row r="4067">
      <c r="A4067" s="3" t="n">
        <v>2022</v>
      </c>
      <c r="B4067" s="4" t="n">
        <v>303</v>
      </c>
      <c r="C4067" s="4" t="n">
        <v>336</v>
      </c>
      <c r="D4067" s="4" t="n">
        <v>101.64</v>
      </c>
      <c r="E4067" s="5" t="n">
        <v>3</v>
      </c>
      <c r="F4067" s="3" t="inlineStr">
        <is>
          <t>강내면</t>
        </is>
      </c>
      <c r="G4067" s="3" t="inlineStr">
        <is>
          <t>당곡리</t>
        </is>
      </c>
      <c r="H4067" s="3" t="inlineStr">
        <is>
          <t>보전관리지역</t>
        </is>
      </c>
      <c r="I4067" s="3" t="inlineStr">
        <is>
          <t>임야</t>
        </is>
      </c>
      <c r="J4067" s="3" t="inlineStr">
        <is>
          <t>강내면</t>
        </is>
      </c>
    </row>
    <row r="4068">
      <c r="A4068" s="3" t="n">
        <v>2022</v>
      </c>
      <c r="B4068" s="4" t="n">
        <v>657</v>
      </c>
      <c r="C4068" s="4" t="n">
        <v>724</v>
      </c>
      <c r="D4068" s="4" t="n">
        <v>219.01</v>
      </c>
      <c r="E4068" s="5" t="n">
        <v>3</v>
      </c>
      <c r="F4068" s="3" t="inlineStr">
        <is>
          <t>강내면</t>
        </is>
      </c>
      <c r="G4068" s="3" t="inlineStr">
        <is>
          <t>당곡리</t>
        </is>
      </c>
      <c r="H4068" s="3" t="inlineStr">
        <is>
          <t>보전관리지역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2022</v>
      </c>
      <c r="B4069" s="4" t="n">
        <v>30120</v>
      </c>
      <c r="C4069" s="4" t="n">
        <v>4980</v>
      </c>
      <c r="D4069" s="4" t="n">
        <v>1506.45</v>
      </c>
      <c r="E4069" s="5" t="n">
        <v>20</v>
      </c>
      <c r="F4069" s="3" t="inlineStr">
        <is>
          <t>강내면</t>
        </is>
      </c>
      <c r="G4069" s="3" t="inlineStr">
        <is>
          <t>당곡리</t>
        </is>
      </c>
      <c r="H4069" s="3" t="inlineStr">
        <is>
          <t>보전관리지역</t>
        </is>
      </c>
      <c r="I4069" s="3" t="inlineStr">
        <is>
          <t>전</t>
        </is>
      </c>
      <c r="J4069" s="3" t="inlineStr">
        <is>
          <t>강내면</t>
        </is>
      </c>
    </row>
    <row r="4070">
      <c r="A4070" s="3" t="n">
        <v>2022</v>
      </c>
      <c r="B4070" s="4" t="n">
        <v>25000</v>
      </c>
      <c r="C4070" s="4" t="n">
        <v>270.4</v>
      </c>
      <c r="D4070" s="4" t="n">
        <v>81.79599999999999</v>
      </c>
      <c r="E4070" s="5" t="n">
        <v>305.6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25000</v>
      </c>
      <c r="C4071" s="4" t="n">
        <v>283.5</v>
      </c>
      <c r="D4071" s="4" t="n">
        <v>85.75874999999999</v>
      </c>
      <c r="E4071" s="5" t="n">
        <v>291.5</v>
      </c>
      <c r="F4071" s="3" t="inlineStr">
        <is>
          <t>오송읍</t>
        </is>
      </c>
      <c r="G4071" s="3" t="inlineStr">
        <is>
          <t>봉산리</t>
        </is>
      </c>
      <c r="H4071" s="3" t="inlineStr">
        <is>
          <t>제1종일반주거지역</t>
        </is>
      </c>
      <c r="I4071" s="3" t="inlineStr">
        <is>
          <t>대</t>
        </is>
      </c>
      <c r="J4071" s="3" t="inlineStr">
        <is>
          <t>오송읍</t>
        </is>
      </c>
    </row>
    <row r="4072">
      <c r="A4072" s="3" t="n">
        <v>2022</v>
      </c>
      <c r="B4072" s="4" t="n">
        <v>30000</v>
      </c>
      <c r="C4072" s="4" t="n">
        <v>270.7</v>
      </c>
      <c r="D4072" s="4" t="n">
        <v>81.88674999999999</v>
      </c>
      <c r="E4072" s="5" t="n">
        <v>366.4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30000</v>
      </c>
      <c r="C4073" s="4" t="n">
        <v>271.4</v>
      </c>
      <c r="D4073" s="4" t="n">
        <v>82.09849999999999</v>
      </c>
      <c r="E4073" s="5" t="n">
        <v>365.4</v>
      </c>
      <c r="F4073" s="3" t="inlineStr">
        <is>
          <t>오송읍</t>
        </is>
      </c>
      <c r="G4073" s="3" t="inlineStr">
        <is>
          <t>봉산리</t>
        </is>
      </c>
      <c r="H4073" s="3" t="inlineStr">
        <is>
          <t>제1종일반주거지역</t>
        </is>
      </c>
      <c r="I4073" s="3" t="inlineStr">
        <is>
          <t>대</t>
        </is>
      </c>
      <c r="J4073" s="3" t="inlineStr">
        <is>
          <t>오송읍</t>
        </is>
      </c>
    </row>
    <row r="4074">
      <c r="A4074" s="3" t="n">
        <v>2022</v>
      </c>
      <c r="B4074" s="4" t="n">
        <v>139000</v>
      </c>
      <c r="C4074" s="4" t="n">
        <v>3078</v>
      </c>
      <c r="D4074" s="4" t="n">
        <v>931.095</v>
      </c>
      <c r="E4074" s="5" t="n">
        <v>149.3</v>
      </c>
      <c r="F4074" s="3" t="inlineStr">
        <is>
          <t>오송읍</t>
        </is>
      </c>
      <c r="G4074" s="3" t="inlineStr">
        <is>
          <t>궁평리</t>
        </is>
      </c>
      <c r="H4074" s="3" t="inlineStr">
        <is>
          <t>농림지역</t>
        </is>
      </c>
      <c r="I4074" s="3" t="inlineStr">
        <is>
          <t>전</t>
        </is>
      </c>
      <c r="J4074" s="3" t="inlineStr">
        <is>
          <t>오송읍</t>
        </is>
      </c>
    </row>
    <row r="4075">
      <c r="A4075" s="3" t="n">
        <v>2022</v>
      </c>
      <c r="B4075" s="4" t="n">
        <v>24800</v>
      </c>
      <c r="C4075" s="4" t="n">
        <v>247.1</v>
      </c>
      <c r="D4075" s="4" t="n">
        <v>74.74775</v>
      </c>
      <c r="E4075" s="5" t="n">
        <v>331.8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786</v>
      </c>
      <c r="C4076" s="4" t="n">
        <v>28</v>
      </c>
      <c r="D4076" s="4" t="n">
        <v>8.469999999999999</v>
      </c>
      <c r="E4076" s="5" t="n">
        <v>92.8</v>
      </c>
      <c r="F4076" s="3" t="inlineStr">
        <is>
          <t>오송읍</t>
        </is>
      </c>
      <c r="G4076" s="3" t="inlineStr">
        <is>
          <t>궁평리</t>
        </is>
      </c>
      <c r="H4076" s="3" t="inlineStr">
        <is>
          <t>농림지역</t>
        </is>
      </c>
      <c r="I4076" s="3" t="inlineStr">
        <is>
          <t>도로</t>
        </is>
      </c>
      <c r="J4076" s="3" t="inlineStr">
        <is>
          <t>오송읍</t>
        </is>
      </c>
    </row>
    <row r="4077">
      <c r="A4077" s="3" t="n">
        <v>2022</v>
      </c>
      <c r="B4077" s="4" t="n">
        <v>2976</v>
      </c>
      <c r="C4077" s="4" t="n">
        <v>84</v>
      </c>
      <c r="D4077" s="4" t="n">
        <v>25.41</v>
      </c>
      <c r="E4077" s="5" t="n">
        <v>117.1</v>
      </c>
      <c r="F4077" s="3" t="inlineStr">
        <is>
          <t>오송읍</t>
        </is>
      </c>
      <c r="G4077" s="3" t="inlineStr">
        <is>
          <t>궁평리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오송읍</t>
        </is>
      </c>
    </row>
    <row r="4078">
      <c r="A4078" s="3" t="n">
        <v>2022</v>
      </c>
      <c r="B4078" s="4" t="n">
        <v>5230</v>
      </c>
      <c r="C4078" s="4" t="n">
        <v>298</v>
      </c>
      <c r="D4078" s="4" t="n">
        <v>90.145</v>
      </c>
      <c r="E4078" s="5" t="n">
        <v>58</v>
      </c>
      <c r="F4078" s="3" t="inlineStr">
        <is>
          <t>강내면</t>
        </is>
      </c>
      <c r="G4078" s="3" t="inlineStr">
        <is>
          <t>학천리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9210</v>
      </c>
      <c r="C4079" s="4" t="n">
        <v>1016</v>
      </c>
      <c r="D4079" s="4" t="n">
        <v>307.34</v>
      </c>
      <c r="E4079" s="5" t="n">
        <v>30</v>
      </c>
      <c r="F4079" s="3" t="inlineStr">
        <is>
          <t>오송읍</t>
        </is>
      </c>
      <c r="G4079" s="3" t="inlineStr">
        <is>
          <t>상봉리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2022</v>
      </c>
      <c r="B4080" s="4" t="n">
        <v>5010</v>
      </c>
      <c r="C4080" s="4" t="n">
        <v>552</v>
      </c>
      <c r="D4080" s="4" t="n">
        <v>166.98</v>
      </c>
      <c r="E4080" s="5" t="n">
        <v>30</v>
      </c>
      <c r="F4080" s="3" t="inlineStr">
        <is>
          <t>오송읍</t>
        </is>
      </c>
      <c r="G4080" s="3" t="inlineStr">
        <is>
          <t>상봉리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오송읍</t>
        </is>
      </c>
    </row>
    <row r="4081">
      <c r="A4081" s="3" t="n">
        <v>2022</v>
      </c>
      <c r="B4081" s="4" t="n">
        <v>4350</v>
      </c>
      <c r="C4081" s="4" t="n">
        <v>480</v>
      </c>
      <c r="D4081" s="4" t="n">
        <v>145.2</v>
      </c>
      <c r="E4081" s="5" t="n">
        <v>30</v>
      </c>
      <c r="F4081" s="3" t="inlineStr">
        <is>
          <t>오송읍</t>
        </is>
      </c>
      <c r="G4081" s="3" t="inlineStr">
        <is>
          <t>상봉리</t>
        </is>
      </c>
      <c r="H4081" s="3" t="inlineStr">
        <is>
          <t>농림지역</t>
        </is>
      </c>
      <c r="I4081" s="3" t="inlineStr">
        <is>
          <t>답</t>
        </is>
      </c>
      <c r="J4081" s="3" t="inlineStr">
        <is>
          <t>오송읍</t>
        </is>
      </c>
    </row>
    <row r="4082">
      <c r="A4082" s="3" t="n">
        <v>2022</v>
      </c>
      <c r="B4082" s="4" t="n">
        <v>29000</v>
      </c>
      <c r="C4082" s="4" t="n">
        <v>269.8</v>
      </c>
      <c r="D4082" s="4" t="n">
        <v>81.61450000000001</v>
      </c>
      <c r="E4082" s="5" t="n">
        <v>355.3</v>
      </c>
      <c r="F4082" s="3" t="inlineStr">
        <is>
          <t>오송읍</t>
        </is>
      </c>
      <c r="G4082" s="3" t="inlineStr">
        <is>
          <t>봉산리</t>
        </is>
      </c>
      <c r="H4082" s="3" t="inlineStr">
        <is>
          <t>제1종일반주거지역</t>
        </is>
      </c>
      <c r="I4082" s="3" t="inlineStr">
        <is>
          <t>대</t>
        </is>
      </c>
      <c r="J4082" s="3" t="inlineStr">
        <is>
          <t>오송읍</t>
        </is>
      </c>
    </row>
    <row r="4083">
      <c r="A4083" s="3" t="n">
        <v>2022</v>
      </c>
      <c r="B4083" s="4" t="n">
        <v>21000</v>
      </c>
      <c r="C4083" s="4" t="n">
        <v>711</v>
      </c>
      <c r="D4083" s="4" t="n">
        <v>215.0775</v>
      </c>
      <c r="E4083" s="5" t="n">
        <v>97.59999999999999</v>
      </c>
      <c r="F4083" s="3" t="inlineStr">
        <is>
          <t>강내면</t>
        </is>
      </c>
      <c r="G4083" s="3" t="inlineStr">
        <is>
          <t>산단리</t>
        </is>
      </c>
      <c r="H4083" s="3" t="inlineStr">
        <is>
          <t>계획관리지역</t>
        </is>
      </c>
      <c r="I4083" s="3" t="inlineStr">
        <is>
          <t>대</t>
        </is>
      </c>
      <c r="J4083" s="3" t="inlineStr">
        <is>
          <t>강내면</t>
        </is>
      </c>
    </row>
    <row r="4084">
      <c r="A4084" s="3" t="n">
        <v>2022</v>
      </c>
      <c r="B4084" s="4" t="n">
        <v>21207</v>
      </c>
      <c r="C4084" s="4" t="n">
        <v>566</v>
      </c>
      <c r="D4084" s="4" t="n">
        <v>171.215</v>
      </c>
      <c r="E4084" s="5" t="n">
        <v>123.9</v>
      </c>
      <c r="F4084" s="3" t="inlineStr">
        <is>
          <t>오송읍</t>
        </is>
      </c>
      <c r="G4084" s="3" t="inlineStr">
        <is>
          <t>쌍청리</t>
        </is>
      </c>
      <c r="H4084" s="3" t="inlineStr">
        <is>
          <t>계획관리지역</t>
        </is>
      </c>
      <c r="I4084" s="3" t="inlineStr">
        <is>
          <t>공장용지</t>
        </is>
      </c>
      <c r="J4084" s="3" t="inlineStr">
        <is>
          <t>오송읍</t>
        </is>
      </c>
    </row>
    <row r="4085">
      <c r="A4085" s="3" t="n">
        <v>2022</v>
      </c>
      <c r="B4085" s="4" t="n">
        <v>2178</v>
      </c>
      <c r="C4085" s="4" t="n">
        <v>240</v>
      </c>
      <c r="D4085" s="4" t="n">
        <v>72.59999999999999</v>
      </c>
      <c r="E4085" s="5" t="n">
        <v>30</v>
      </c>
      <c r="F4085" s="3" t="inlineStr">
        <is>
          <t>강내면</t>
        </is>
      </c>
      <c r="G4085" s="3" t="inlineStr">
        <is>
          <t>사곡리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강내면</t>
        </is>
      </c>
    </row>
    <row r="4086">
      <c r="A4086" s="3" t="n">
        <v>2022</v>
      </c>
      <c r="B4086" s="4" t="n">
        <v>900</v>
      </c>
      <c r="C4086" s="4" t="n">
        <v>60</v>
      </c>
      <c r="D4086" s="4" t="n">
        <v>18.15</v>
      </c>
      <c r="E4086" s="5" t="n">
        <v>49.6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보전관리지역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2022</v>
      </c>
      <c r="B4087" s="4" t="n">
        <v>30000</v>
      </c>
      <c r="C4087" s="4" t="n">
        <v>273.6</v>
      </c>
      <c r="D4087" s="4" t="n">
        <v>82.76400000000001</v>
      </c>
      <c r="E4087" s="5" t="n">
        <v>362.5</v>
      </c>
      <c r="F4087" s="3" t="inlineStr">
        <is>
          <t>오송읍</t>
        </is>
      </c>
      <c r="G4087" s="3" t="inlineStr">
        <is>
          <t>봉산리</t>
        </is>
      </c>
      <c r="H4087" s="3" t="inlineStr">
        <is>
          <t>제1종일반주거지역</t>
        </is>
      </c>
      <c r="I4087" s="3" t="inlineStr">
        <is>
          <t>대</t>
        </is>
      </c>
      <c r="J4087" s="3" t="inlineStr">
        <is>
          <t>오송읍</t>
        </is>
      </c>
    </row>
    <row r="4088">
      <c r="A4088" s="3" t="n">
        <v>2022</v>
      </c>
      <c r="B4088" s="4" t="n">
        <v>30000</v>
      </c>
      <c r="C4088" s="4" t="n">
        <v>1993</v>
      </c>
      <c r="D4088" s="4" t="n">
        <v>602.8824999999999</v>
      </c>
      <c r="E4088" s="5" t="n">
        <v>49.8</v>
      </c>
      <c r="F4088" s="3" t="inlineStr">
        <is>
          <t>오송읍</t>
        </is>
      </c>
      <c r="G4088" s="3" t="inlineStr">
        <is>
          <t>호계리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2022</v>
      </c>
      <c r="B4089" s="4" t="n">
        <v>30500</v>
      </c>
      <c r="C4089" s="4" t="n">
        <v>264</v>
      </c>
      <c r="D4089" s="4" t="n">
        <v>79.86</v>
      </c>
      <c r="E4089" s="5" t="n">
        <v>381.9</v>
      </c>
      <c r="F4089" s="3" t="inlineStr">
        <is>
          <t>강내면</t>
        </is>
      </c>
      <c r="G4089" s="3" t="inlineStr">
        <is>
          <t>월곡리</t>
        </is>
      </c>
      <c r="H4089" s="3" t="inlineStr">
        <is>
          <t>제2종일반주거지역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2022</v>
      </c>
      <c r="B4090" s="4" t="n">
        <v>27000</v>
      </c>
      <c r="C4090" s="4" t="n">
        <v>265.3</v>
      </c>
      <c r="D4090" s="4" t="n">
        <v>80.25324999999999</v>
      </c>
      <c r="E4090" s="5" t="n">
        <v>336.4</v>
      </c>
      <c r="F4090" s="3" t="inlineStr">
        <is>
          <t>오송읍</t>
        </is>
      </c>
      <c r="G4090" s="3" t="inlineStr">
        <is>
          <t>봉산리</t>
        </is>
      </c>
      <c r="H4090" s="3" t="inlineStr">
        <is>
          <t>제1종일반주거지역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21890</v>
      </c>
      <c r="C4091" s="4" t="n">
        <v>566</v>
      </c>
      <c r="D4091" s="4" t="n">
        <v>171.215</v>
      </c>
      <c r="E4091" s="5" t="n">
        <v>127.9</v>
      </c>
      <c r="F4091" s="3" t="inlineStr">
        <is>
          <t>오송읍</t>
        </is>
      </c>
      <c r="G4091" s="3" t="inlineStr">
        <is>
          <t>쌍청리</t>
        </is>
      </c>
      <c r="H4091" s="3" t="inlineStr">
        <is>
          <t>계획관리지역</t>
        </is>
      </c>
      <c r="I4091" s="3" t="inlineStr">
        <is>
          <t>공장용지</t>
        </is>
      </c>
      <c r="J4091" s="3" t="inlineStr">
        <is>
          <t>오송읍</t>
        </is>
      </c>
    </row>
    <row r="4092">
      <c r="A4092" s="3" t="n">
        <v>2022</v>
      </c>
      <c r="B4092" s="4" t="n">
        <v>39000</v>
      </c>
      <c r="C4092" s="4" t="n">
        <v>2466</v>
      </c>
      <c r="D4092" s="4" t="n">
        <v>745.965</v>
      </c>
      <c r="E4092" s="5" t="n">
        <v>52.3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2022</v>
      </c>
      <c r="B4093" s="4" t="n">
        <v>26072</v>
      </c>
      <c r="C4093" s="4" t="n">
        <v>1928</v>
      </c>
      <c r="D4093" s="4" t="n">
        <v>583.22</v>
      </c>
      <c r="E4093" s="5" t="n">
        <v>44.7</v>
      </c>
      <c r="F4093" s="3" t="inlineStr">
        <is>
          <t>오송읍</t>
        </is>
      </c>
      <c r="G4093" s="3" t="inlineStr">
        <is>
          <t>상정리</t>
        </is>
      </c>
      <c r="H4093" s="3" t="inlineStr">
        <is>
          <t>농림지역</t>
        </is>
      </c>
      <c r="I4093" s="3" t="inlineStr">
        <is>
          <t>답</t>
        </is>
      </c>
      <c r="J4093" s="3" t="inlineStr">
        <is>
          <t>오송읍</t>
        </is>
      </c>
    </row>
    <row r="4094">
      <c r="A4094" s="3" t="n">
        <v>2022</v>
      </c>
      <c r="B4094" s="4" t="n">
        <v>10428</v>
      </c>
      <c r="C4094" s="4" t="n">
        <v>771</v>
      </c>
      <c r="D4094" s="4" t="n">
        <v>233.2275</v>
      </c>
      <c r="E4094" s="5" t="n">
        <v>44.7</v>
      </c>
      <c r="F4094" s="3" t="inlineStr">
        <is>
          <t>오송읍</t>
        </is>
      </c>
      <c r="G4094" s="3" t="inlineStr">
        <is>
          <t>상정리</t>
        </is>
      </c>
      <c r="H4094" s="3" t="inlineStr">
        <is>
          <t>농림지역</t>
        </is>
      </c>
      <c r="I4094" s="3" t="inlineStr">
        <is>
          <t>답</t>
        </is>
      </c>
      <c r="J4094" s="3" t="inlineStr">
        <is>
          <t>오송읍</t>
        </is>
      </c>
    </row>
    <row r="4095">
      <c r="A4095" s="3" t="n">
        <v>2022</v>
      </c>
      <c r="B4095" s="4" t="n">
        <v>50000</v>
      </c>
      <c r="C4095" s="4" t="n">
        <v>1475</v>
      </c>
      <c r="D4095" s="4" t="n">
        <v>446.1875</v>
      </c>
      <c r="E4095" s="5" t="n">
        <v>112.1</v>
      </c>
      <c r="F4095" s="3" t="inlineStr">
        <is>
          <t>강내면</t>
        </is>
      </c>
      <c r="G4095" s="3" t="inlineStr">
        <is>
          <t>연정리</t>
        </is>
      </c>
      <c r="H4095" s="3" t="inlineStr">
        <is>
          <t>계획관리지역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1000</v>
      </c>
      <c r="C4096" s="4" t="n">
        <v>357</v>
      </c>
      <c r="D4096" s="4" t="n">
        <v>107.9925</v>
      </c>
      <c r="E4096" s="5" t="n">
        <v>9.300000000000001</v>
      </c>
      <c r="F4096" s="3" t="inlineStr">
        <is>
          <t>오송읍</t>
        </is>
      </c>
      <c r="G4096" s="3" t="inlineStr">
        <is>
          <t>호계리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오송읍</t>
        </is>
      </c>
    </row>
    <row r="4097">
      <c r="A4097" s="3" t="n">
        <v>2022</v>
      </c>
      <c r="B4097" s="4" t="n">
        <v>70000</v>
      </c>
      <c r="C4097" s="4" t="n">
        <v>3798</v>
      </c>
      <c r="D4097" s="4" t="n">
        <v>1148.895</v>
      </c>
      <c r="E4097" s="5" t="n">
        <v>60.9</v>
      </c>
      <c r="F4097" s="3" t="inlineStr">
        <is>
          <t>오송읍</t>
        </is>
      </c>
      <c r="G4097" s="3" t="inlineStr">
        <is>
          <t>쌍청리</t>
        </is>
      </c>
      <c r="H4097" s="3" t="inlineStr">
        <is>
          <t>농림지역</t>
        </is>
      </c>
      <c r="I4097" s="3" t="inlineStr">
        <is>
          <t>답</t>
        </is>
      </c>
      <c r="J4097" s="3" t="inlineStr">
        <is>
          <t>오송읍</t>
        </is>
      </c>
    </row>
    <row r="4098">
      <c r="A4098" s="3" t="n">
        <v>2022</v>
      </c>
      <c r="B4098" s="4" t="n">
        <v>200</v>
      </c>
      <c r="C4098" s="4" t="n">
        <v>17</v>
      </c>
      <c r="D4098" s="4" t="n">
        <v>5.1425</v>
      </c>
      <c r="E4098" s="5" t="n">
        <v>38.9</v>
      </c>
      <c r="F4098" s="3" t="inlineStr">
        <is>
          <t>강내면</t>
        </is>
      </c>
      <c r="G4098" s="3" t="inlineStr">
        <is>
          <t>산단리</t>
        </is>
      </c>
      <c r="H4098" s="3" t="inlineStr">
        <is>
          <t>계획관리지역</t>
        </is>
      </c>
      <c r="I4098" s="3" t="inlineStr">
        <is>
          <t>도로</t>
        </is>
      </c>
      <c r="J4098" s="3" t="inlineStr">
        <is>
          <t>강내면</t>
        </is>
      </c>
    </row>
    <row r="4099">
      <c r="A4099" s="3" t="n">
        <v>2022</v>
      </c>
      <c r="B4099" s="4" t="n">
        <v>26500</v>
      </c>
      <c r="C4099" s="4" t="n">
        <v>1819</v>
      </c>
      <c r="D4099" s="4" t="n">
        <v>550.2474999999999</v>
      </c>
      <c r="E4099" s="5" t="n">
        <v>48.2</v>
      </c>
      <c r="F4099" s="3" t="inlineStr">
        <is>
          <t>강내면</t>
        </is>
      </c>
      <c r="G4099" s="3" t="inlineStr">
        <is>
          <t>당곡리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강내면</t>
        </is>
      </c>
    </row>
    <row r="4100">
      <c r="A4100" s="3" t="n">
        <v>2022</v>
      </c>
      <c r="B4100" s="4" t="n">
        <v>28450</v>
      </c>
      <c r="C4100" s="4" t="n">
        <v>1537</v>
      </c>
      <c r="D4100" s="4" t="n">
        <v>464.9425</v>
      </c>
      <c r="E4100" s="5" t="n">
        <v>61.2</v>
      </c>
      <c r="F4100" s="3" t="inlineStr">
        <is>
          <t>오송읍</t>
        </is>
      </c>
      <c r="G4100" s="3" t="inlineStr">
        <is>
          <t>오송리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오송읍</t>
        </is>
      </c>
    </row>
    <row r="4101">
      <c r="A4101" s="3" t="n">
        <v>2022</v>
      </c>
      <c r="B4101" s="4" t="n">
        <v>1550</v>
      </c>
      <c r="C4101" s="4" t="n">
        <v>84</v>
      </c>
      <c r="D4101" s="4" t="n">
        <v>25.41</v>
      </c>
      <c r="E4101" s="5" t="n">
        <v>61</v>
      </c>
      <c r="F4101" s="3" t="inlineStr">
        <is>
          <t>오송읍</t>
        </is>
      </c>
      <c r="G4101" s="3" t="inlineStr">
        <is>
          <t>오송리</t>
        </is>
      </c>
      <c r="H4101" s="3" t="inlineStr">
        <is>
          <t>농림지역</t>
        </is>
      </c>
      <c r="I4101" s="3" t="inlineStr">
        <is>
          <t>전</t>
        </is>
      </c>
      <c r="J4101" s="3" t="inlineStr">
        <is>
          <t>오송읍</t>
        </is>
      </c>
    </row>
    <row r="4102">
      <c r="A4102" s="3" t="n">
        <v>2022</v>
      </c>
      <c r="B4102" s="4" t="n">
        <v>3950</v>
      </c>
      <c r="C4102" s="4" t="n">
        <v>162</v>
      </c>
      <c r="D4102" s="4" t="n">
        <v>49.005</v>
      </c>
      <c r="E4102" s="5" t="n">
        <v>80.59999999999999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2022</v>
      </c>
      <c r="B4103" s="4" t="n">
        <v>1000</v>
      </c>
      <c r="C4103" s="4" t="n">
        <v>202</v>
      </c>
      <c r="D4103" s="4" t="n">
        <v>61.105</v>
      </c>
      <c r="E4103" s="5" t="n">
        <v>16.4</v>
      </c>
      <c r="F4103" s="3" t="inlineStr">
        <is>
          <t>오송읍</t>
        </is>
      </c>
      <c r="G4103" s="3" t="inlineStr">
        <is>
          <t>상봉리</t>
        </is>
      </c>
      <c r="H4103" s="3" t="inlineStr">
        <is>
          <t>생산관리지역</t>
        </is>
      </c>
      <c r="I4103" s="3" t="inlineStr">
        <is>
          <t>도로</t>
        </is>
      </c>
      <c r="J4103" s="3" t="inlineStr">
        <is>
          <t>오송읍</t>
        </is>
      </c>
    </row>
    <row r="4104">
      <c r="A4104" s="3" t="n">
        <v>2022</v>
      </c>
      <c r="B4104" s="4" t="n">
        <v>11400</v>
      </c>
      <c r="C4104" s="4" t="n">
        <v>397</v>
      </c>
      <c r="D4104" s="4" t="n">
        <v>120.0925</v>
      </c>
      <c r="E4104" s="5" t="n">
        <v>94.90000000000001</v>
      </c>
      <c r="F4104" s="3" t="inlineStr">
        <is>
          <t>강내면</t>
        </is>
      </c>
      <c r="G4104" s="3" t="inlineStr">
        <is>
          <t>궁현리</t>
        </is>
      </c>
      <c r="H4104" s="3" t="inlineStr">
        <is>
          <t>보전관리지역</t>
        </is>
      </c>
      <c r="I4104" s="3" t="inlineStr">
        <is>
          <t>묘지</t>
        </is>
      </c>
      <c r="J4104" s="3" t="inlineStr">
        <is>
          <t>강내면</t>
        </is>
      </c>
    </row>
    <row r="4105">
      <c r="A4105" s="3" t="n">
        <v>2022</v>
      </c>
      <c r="B4105" s="4" t="n">
        <v>13000</v>
      </c>
      <c r="C4105" s="4" t="n">
        <v>1145</v>
      </c>
      <c r="D4105" s="4" t="n">
        <v>346.3625</v>
      </c>
      <c r="E4105" s="5" t="n">
        <v>37.5</v>
      </c>
      <c r="F4105" s="3" t="inlineStr">
        <is>
          <t>전의면</t>
        </is>
      </c>
      <c r="G4105" s="3" t="inlineStr">
        <is>
          <t>관정리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전의면</t>
        </is>
      </c>
    </row>
    <row r="4106">
      <c r="A4106" s="3" t="n">
        <v>2022</v>
      </c>
      <c r="B4106" s="4" t="n">
        <v>42400</v>
      </c>
      <c r="C4106" s="4" t="n">
        <v>3388</v>
      </c>
      <c r="D4106" s="4" t="n">
        <v>1024.87</v>
      </c>
      <c r="E4106" s="5" t="n">
        <v>41.4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800</v>
      </c>
      <c r="C4107" s="4" t="n">
        <v>38</v>
      </c>
      <c r="D4107" s="4" t="n">
        <v>11.495</v>
      </c>
      <c r="E4107" s="5" t="n">
        <v>69.59999999999999</v>
      </c>
      <c r="F4107" s="3" t="inlineStr">
        <is>
          <t>부강면</t>
        </is>
      </c>
      <c r="G4107" s="3" t="inlineStr">
        <is>
          <t>문곡리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부강면</t>
        </is>
      </c>
    </row>
    <row r="4108">
      <c r="A4108" s="3" t="n">
        <v>2025</v>
      </c>
      <c r="B4108" s="4" t="n">
        <v>43000</v>
      </c>
      <c r="C4108" s="4" t="n">
        <v>2062.4</v>
      </c>
      <c r="D4108" s="4" t="n">
        <v>623.876</v>
      </c>
      <c r="E4108" s="5" t="n">
        <v>68.90000000000001</v>
      </c>
      <c r="F4108" s="3" t="inlineStr">
        <is>
          <t>연서면</t>
        </is>
      </c>
      <c r="G4108" s="3" t="inlineStr">
        <is>
          <t>쌍전리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연서면</t>
        </is>
      </c>
    </row>
    <row r="4109">
      <c r="A4109" s="3" t="n">
        <v>2025</v>
      </c>
      <c r="B4109" s="4" t="n">
        <v>4500</v>
      </c>
      <c r="C4109" s="4" t="n">
        <v>439</v>
      </c>
      <c r="D4109" s="4" t="n">
        <v>132.7975</v>
      </c>
      <c r="E4109" s="5" t="n">
        <v>33.9</v>
      </c>
      <c r="F4109" s="3" t="inlineStr">
        <is>
          <t>연동면</t>
        </is>
      </c>
      <c r="G4109" s="3" t="inlineStr">
        <is>
          <t>노송리</t>
        </is>
      </c>
      <c r="H4109" s="3" t="inlineStr">
        <is>
          <t>계획관리지역</t>
        </is>
      </c>
      <c r="I4109" s="3" t="inlineStr">
        <is>
          <t>전</t>
        </is>
      </c>
      <c r="J4109" s="3" t="inlineStr">
        <is>
          <t>연동면</t>
        </is>
      </c>
    </row>
    <row r="4110">
      <c r="A4110" s="3" t="n">
        <v>2025</v>
      </c>
      <c r="B4110" s="4" t="n">
        <v>38000</v>
      </c>
      <c r="C4110" s="4" t="n">
        <v>1464</v>
      </c>
      <c r="D4110" s="4" t="n">
        <v>442.86</v>
      </c>
      <c r="E4110" s="5" t="n">
        <v>85.8</v>
      </c>
      <c r="F4110" s="3" t="inlineStr">
        <is>
          <t>장군면</t>
        </is>
      </c>
      <c r="G4110" s="3" t="inlineStr">
        <is>
          <t>하봉리</t>
        </is>
      </c>
      <c r="H4110" s="3" t="inlineStr">
        <is>
          <t>농림지역</t>
        </is>
      </c>
      <c r="I4110" s="3" t="inlineStr">
        <is>
          <t>답</t>
        </is>
      </c>
      <c r="J4110" s="3" t="inlineStr">
        <is>
          <t>장군면</t>
        </is>
      </c>
    </row>
    <row r="4111">
      <c r="A4111" s="3" t="n">
        <v>2025</v>
      </c>
      <c r="B4111" s="4" t="n">
        <v>26750</v>
      </c>
      <c r="C4111" s="4" t="n">
        <v>1770</v>
      </c>
      <c r="D4111" s="4" t="n">
        <v>535.425</v>
      </c>
      <c r="E4111" s="5" t="n">
        <v>50</v>
      </c>
      <c r="F4111" s="3" t="inlineStr">
        <is>
          <t>장군면</t>
        </is>
      </c>
      <c r="G4111" s="3" t="inlineStr">
        <is>
          <t>용암리</t>
        </is>
      </c>
      <c r="H4111" s="3" t="inlineStr">
        <is>
          <t>생산관리지역</t>
        </is>
      </c>
      <c r="I4111" s="3" t="inlineStr">
        <is>
          <t>전</t>
        </is>
      </c>
      <c r="J4111" s="3" t="inlineStr">
        <is>
          <t>장군면</t>
        </is>
      </c>
    </row>
    <row r="4112">
      <c r="A4112" s="3" t="n">
        <v>2025</v>
      </c>
      <c r="B4112" s="4" t="n">
        <v>56000</v>
      </c>
      <c r="C4112" s="4" t="n">
        <v>3207</v>
      </c>
      <c r="D4112" s="4" t="n">
        <v>970.1174999999999</v>
      </c>
      <c r="E4112" s="5" t="n">
        <v>57.7</v>
      </c>
      <c r="F4112" s="3" t="inlineStr">
        <is>
          <t>장군면</t>
        </is>
      </c>
      <c r="G4112" s="3" t="inlineStr">
        <is>
          <t>하봉리</t>
        </is>
      </c>
      <c r="H4112" s="3" t="inlineStr">
        <is>
          <t>계획관리지역</t>
        </is>
      </c>
      <c r="I4112" s="3" t="inlineStr">
        <is>
          <t>임야</t>
        </is>
      </c>
      <c r="J4112" s="3" t="inlineStr">
        <is>
          <t>장군면</t>
        </is>
      </c>
    </row>
    <row r="4113">
      <c r="A4113" s="3" t="n">
        <v>2025</v>
      </c>
      <c r="B4113" s="4" t="n">
        <v>82000</v>
      </c>
      <c r="C4113" s="4" t="n">
        <v>1355</v>
      </c>
      <c r="D4113" s="4" t="n">
        <v>409.8875</v>
      </c>
      <c r="E4113" s="5" t="n">
        <v>200.1</v>
      </c>
      <c r="F4113" s="3" t="inlineStr">
        <is>
          <t>연서면</t>
        </is>
      </c>
      <c r="G4113" s="3" t="inlineStr">
        <is>
          <t>쌍전리</t>
        </is>
      </c>
      <c r="H4113" s="3" t="inlineStr">
        <is>
          <t>자연녹지지역</t>
        </is>
      </c>
      <c r="I4113" s="3" t="inlineStr">
        <is>
          <t>과수원</t>
        </is>
      </c>
      <c r="J4113" s="3" t="inlineStr">
        <is>
          <t>연서면</t>
        </is>
      </c>
    </row>
    <row r="4114">
      <c r="A4114" s="3" t="n">
        <v>2025</v>
      </c>
      <c r="B4114" s="4" t="n">
        <v>26000</v>
      </c>
      <c r="C4114" s="4" t="n">
        <v>160.5</v>
      </c>
      <c r="D4114" s="4" t="n">
        <v>48.55125</v>
      </c>
      <c r="E4114" s="5" t="n">
        <v>535.5</v>
      </c>
      <c r="F4114" s="3" t="inlineStr">
        <is>
          <t>조치원읍</t>
        </is>
      </c>
      <c r="G4114" s="3" t="inlineStr">
        <is>
          <t>침산리</t>
        </is>
      </c>
      <c r="H4114" s="3" t="inlineStr">
        <is>
          <t>제2종일반주거지역</t>
        </is>
      </c>
      <c r="I4114" s="3" t="inlineStr">
        <is>
          <t>대</t>
        </is>
      </c>
      <c r="J4114" s="3" t="inlineStr">
        <is>
          <t>조치원읍</t>
        </is>
      </c>
    </row>
    <row r="4115">
      <c r="A4115" s="3" t="n">
        <v>2025</v>
      </c>
      <c r="B4115" s="4" t="n">
        <v>10500</v>
      </c>
      <c r="C4115" s="4" t="n">
        <v>662</v>
      </c>
      <c r="D4115" s="4" t="n">
        <v>200.255</v>
      </c>
      <c r="E4115" s="5" t="n">
        <v>52.4</v>
      </c>
      <c r="F4115" s="3" t="inlineStr">
        <is>
          <t>조치원읍</t>
        </is>
      </c>
      <c r="G4115" s="3" t="inlineStr">
        <is>
          <t>번암리</t>
        </is>
      </c>
      <c r="H4115" s="3" t="inlineStr">
        <is>
          <t>보전녹지지역</t>
        </is>
      </c>
      <c r="I4115" s="3" t="inlineStr">
        <is>
          <t>전</t>
        </is>
      </c>
      <c r="J4115" s="3" t="inlineStr">
        <is>
          <t>조치원읍</t>
        </is>
      </c>
    </row>
    <row r="4116">
      <c r="A4116" s="3" t="n">
        <v>2025</v>
      </c>
      <c r="B4116" s="4" t="n">
        <v>60500</v>
      </c>
      <c r="C4116" s="4" t="n">
        <v>2305</v>
      </c>
      <c r="D4116" s="4" t="n">
        <v>697.2624999999999</v>
      </c>
      <c r="E4116" s="5" t="n">
        <v>86.8</v>
      </c>
      <c r="F4116" s="3" t="inlineStr">
        <is>
          <t>부강면</t>
        </is>
      </c>
      <c r="G4116" s="3" t="inlineStr">
        <is>
          <t>갈산리</t>
        </is>
      </c>
      <c r="H4116" s="3" t="inlineStr">
        <is>
          <t>계획관리지역</t>
        </is>
      </c>
      <c r="I4116" s="3" t="inlineStr">
        <is>
          <t>답</t>
        </is>
      </c>
      <c r="J4116" s="3" t="inlineStr">
        <is>
          <t>부강면</t>
        </is>
      </c>
    </row>
    <row r="4117">
      <c r="A4117" s="3" t="n">
        <v>2025</v>
      </c>
      <c r="B4117" s="4" t="n">
        <v>5020</v>
      </c>
      <c r="C4117" s="4" t="n">
        <v>61</v>
      </c>
      <c r="D4117" s="4" t="n">
        <v>18.4525</v>
      </c>
      <c r="E4117" s="5" t="n">
        <v>272</v>
      </c>
      <c r="F4117" s="3" t="inlineStr">
        <is>
          <t>금남면</t>
        </is>
      </c>
      <c r="G4117" s="3" t="inlineStr">
        <is>
          <t>감성리</t>
        </is>
      </c>
      <c r="H4117" s="3" t="inlineStr">
        <is>
          <t>제1종일반주거지역</t>
        </is>
      </c>
      <c r="I4117" s="3" t="inlineStr">
        <is>
          <t>임야</t>
        </is>
      </c>
      <c r="J4117" s="3" t="inlineStr">
        <is>
          <t>금남면</t>
        </is>
      </c>
    </row>
    <row r="4118">
      <c r="A4118" s="3" t="n">
        <v>2025</v>
      </c>
      <c r="B4118" s="4" t="n">
        <v>13232</v>
      </c>
      <c r="C4118" s="4" t="n">
        <v>619</v>
      </c>
      <c r="D4118" s="4" t="n">
        <v>187.2475</v>
      </c>
      <c r="E4118" s="5" t="n">
        <v>70.7</v>
      </c>
      <c r="F4118" s="3" t="inlineStr">
        <is>
          <t>금남면</t>
        </is>
      </c>
      <c r="G4118" s="3" t="inlineStr">
        <is>
          <t>용담리</t>
        </is>
      </c>
      <c r="H4118" s="3" t="inlineStr">
        <is>
          <t>개발제한구역</t>
        </is>
      </c>
      <c r="I4118" s="3" t="inlineStr">
        <is>
          <t>답</t>
        </is>
      </c>
      <c r="J4118" s="3" t="inlineStr">
        <is>
          <t>금남면</t>
        </is>
      </c>
    </row>
    <row r="4119">
      <c r="A4119" s="3" t="n">
        <v>2025</v>
      </c>
      <c r="B4119" s="4" t="n">
        <v>60000</v>
      </c>
      <c r="C4119" s="4" t="n">
        <v>328.2</v>
      </c>
      <c r="D4119" s="4" t="n">
        <v>99.28049999999999</v>
      </c>
      <c r="E4119" s="5" t="n">
        <v>604.3</v>
      </c>
      <c r="F4119" s="3" t="inlineStr">
        <is>
          <t>해밀동</t>
        </is>
      </c>
      <c r="G4119" s="3" t="inlineStr"/>
      <c r="H4119" s="3" t="inlineStr">
        <is>
          <t>제2종전용주거지역</t>
        </is>
      </c>
      <c r="I4119" s="3" t="inlineStr">
        <is>
          <t>대</t>
        </is>
      </c>
      <c r="J4119" s="3" t="inlineStr">
        <is>
          <t>해밀동</t>
        </is>
      </c>
    </row>
    <row r="4120">
      <c r="A4120" s="3" t="n">
        <v>2025</v>
      </c>
      <c r="B4120" s="4" t="n">
        <v>10000</v>
      </c>
      <c r="C4120" s="4" t="n">
        <v>2764</v>
      </c>
      <c r="D4120" s="4" t="n">
        <v>836.11</v>
      </c>
      <c r="E4120" s="5" t="n">
        <v>12</v>
      </c>
      <c r="F4120" s="3" t="inlineStr">
        <is>
          <t>연서면</t>
        </is>
      </c>
      <c r="G4120" s="3" t="inlineStr">
        <is>
          <t>쌍류리</t>
        </is>
      </c>
      <c r="H4120" s="3" t="inlineStr">
        <is>
          <t>보전관리지역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2025</v>
      </c>
      <c r="B4121" s="4" t="n">
        <v>28400</v>
      </c>
      <c r="C4121" s="4" t="n">
        <v>1395</v>
      </c>
      <c r="D4121" s="4" t="n">
        <v>421.9875</v>
      </c>
      <c r="E4121" s="5" t="n">
        <v>67.3</v>
      </c>
      <c r="F4121" s="3" t="inlineStr">
        <is>
          <t>금남면</t>
        </is>
      </c>
      <c r="G4121" s="3" t="inlineStr">
        <is>
          <t>원봉리</t>
        </is>
      </c>
      <c r="H4121" s="3" t="inlineStr">
        <is>
          <t>농림지역</t>
        </is>
      </c>
      <c r="I4121" s="3" t="inlineStr">
        <is>
          <t>전</t>
        </is>
      </c>
      <c r="J4121" s="3" t="inlineStr">
        <is>
          <t>금남면</t>
        </is>
      </c>
    </row>
    <row r="4122">
      <c r="A4122" s="3" t="n">
        <v>2025</v>
      </c>
      <c r="B4122" s="4" t="n">
        <v>3900</v>
      </c>
      <c r="C4122" s="4" t="n">
        <v>179</v>
      </c>
      <c r="D4122" s="4" t="n">
        <v>54.1475</v>
      </c>
      <c r="E4122" s="5" t="n">
        <v>72</v>
      </c>
      <c r="F4122" s="3" t="inlineStr">
        <is>
          <t>금남면</t>
        </is>
      </c>
      <c r="G4122" s="3" t="inlineStr">
        <is>
          <t>남곡리</t>
        </is>
      </c>
      <c r="H4122" s="3" t="inlineStr">
        <is>
          <t>개발제한구역</t>
        </is>
      </c>
      <c r="I4122" s="3" t="inlineStr">
        <is>
          <t>답</t>
        </is>
      </c>
      <c r="J4122" s="3" t="inlineStr">
        <is>
          <t>금남면</t>
        </is>
      </c>
    </row>
    <row r="4123">
      <c r="A4123" s="3" t="n">
        <v>2025</v>
      </c>
      <c r="B4123" s="4" t="n">
        <v>25557</v>
      </c>
      <c r="C4123" s="4" t="n">
        <v>160</v>
      </c>
      <c r="D4123" s="4" t="n">
        <v>48.4</v>
      </c>
      <c r="E4123" s="5" t="n">
        <v>528</v>
      </c>
      <c r="F4123" s="3" t="inlineStr">
        <is>
          <t>금남면</t>
        </is>
      </c>
      <c r="G4123" s="3" t="inlineStr">
        <is>
          <t>용포리</t>
        </is>
      </c>
      <c r="H4123" s="3" t="inlineStr">
        <is>
          <t>제2종일반주거지역</t>
        </is>
      </c>
      <c r="I4123" s="3" t="inlineStr">
        <is>
          <t>대</t>
        </is>
      </c>
      <c r="J4123" s="3" t="inlineStr">
        <is>
          <t>금남면</t>
        </is>
      </c>
    </row>
    <row r="4124">
      <c r="A4124" s="3" t="n">
        <v>2025</v>
      </c>
      <c r="B4124" s="4" t="n">
        <v>464412</v>
      </c>
      <c r="C4124" s="4" t="n">
        <v>10488.9</v>
      </c>
      <c r="D4124" s="4" t="n">
        <v>3172.89225</v>
      </c>
      <c r="E4124" s="5" t="n">
        <v>146.4</v>
      </c>
      <c r="F4124" s="3" t="inlineStr">
        <is>
          <t>연동면</t>
        </is>
      </c>
      <c r="G4124" s="3" t="inlineStr">
        <is>
          <t>내판리</t>
        </is>
      </c>
      <c r="H4124" s="3" t="inlineStr">
        <is>
          <t>일반공업지역</t>
        </is>
      </c>
      <c r="I4124" s="3" t="inlineStr">
        <is>
          <t>공장용지</t>
        </is>
      </c>
      <c r="J4124" s="3" t="inlineStr">
        <is>
          <t>연동면</t>
        </is>
      </c>
    </row>
    <row r="4125">
      <c r="A4125" s="3" t="n">
        <v>2025</v>
      </c>
      <c r="B4125" s="4" t="n">
        <v>49000</v>
      </c>
      <c r="C4125" s="4" t="n">
        <v>299.6</v>
      </c>
      <c r="D4125" s="4" t="n">
        <v>90.629</v>
      </c>
      <c r="E4125" s="5" t="n">
        <v>540.7</v>
      </c>
      <c r="F4125" s="3" t="inlineStr">
        <is>
          <t>해밀동</t>
        </is>
      </c>
      <c r="G4125" s="3" t="inlineStr"/>
      <c r="H4125" s="3" t="inlineStr">
        <is>
          <t>제1종전용주거지역</t>
        </is>
      </c>
      <c r="I4125" s="3" t="inlineStr">
        <is>
          <t>대</t>
        </is>
      </c>
      <c r="J4125" s="3" t="inlineStr">
        <is>
          <t>해밀동</t>
        </is>
      </c>
    </row>
    <row r="4126">
      <c r="A4126" s="3" t="n">
        <v>2025</v>
      </c>
      <c r="B4126" s="4" t="n">
        <v>25740</v>
      </c>
      <c r="C4126" s="4" t="n">
        <v>947</v>
      </c>
      <c r="D4126" s="4" t="n">
        <v>286.4675</v>
      </c>
      <c r="E4126" s="5" t="n">
        <v>89.90000000000001</v>
      </c>
      <c r="F4126" s="3" t="inlineStr">
        <is>
          <t>장군면</t>
        </is>
      </c>
      <c r="G4126" s="3" t="inlineStr">
        <is>
          <t>봉안리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장군면</t>
        </is>
      </c>
    </row>
    <row r="4127">
      <c r="A4127" s="3" t="n">
        <v>2025</v>
      </c>
      <c r="B4127" s="4" t="n">
        <v>53480</v>
      </c>
      <c r="C4127" s="4" t="n">
        <v>1262</v>
      </c>
      <c r="D4127" s="4" t="n">
        <v>381.755</v>
      </c>
      <c r="E4127" s="5" t="n">
        <v>140.1</v>
      </c>
      <c r="F4127" s="3" t="inlineStr">
        <is>
          <t>금남면</t>
        </is>
      </c>
      <c r="G4127" s="3" t="inlineStr">
        <is>
          <t>호탄리</t>
        </is>
      </c>
      <c r="H4127" s="3" t="inlineStr">
        <is>
          <t>개발제한구역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2025</v>
      </c>
      <c r="B4128" s="4" t="n">
        <v>56080</v>
      </c>
      <c r="C4128" s="4" t="n">
        <v>2316</v>
      </c>
      <c r="D4128" s="4" t="n">
        <v>700.59</v>
      </c>
      <c r="E4128" s="5" t="n">
        <v>80</v>
      </c>
      <c r="F4128" s="3" t="inlineStr">
        <is>
          <t>장군면</t>
        </is>
      </c>
      <c r="G4128" s="3" t="inlineStr">
        <is>
          <t>도계리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장군면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2025</v>
      </c>
      <c r="B4131" s="4" t="n">
        <v>8500</v>
      </c>
      <c r="C4131" s="4" t="n">
        <v>2152</v>
      </c>
      <c r="D4131" s="4" t="n">
        <v>650.98</v>
      </c>
      <c r="E4131" s="5" t="n">
        <v>13.1</v>
      </c>
      <c r="F4131" s="3" t="inlineStr">
        <is>
          <t>전의면</t>
        </is>
      </c>
      <c r="G4131" s="3" t="inlineStr">
        <is>
          <t>다방리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2025</v>
      </c>
      <c r="B4132" s="4" t="n">
        <v>7900</v>
      </c>
      <c r="C4132" s="4" t="n">
        <v>223</v>
      </c>
      <c r="D4132" s="4" t="n">
        <v>67.4575</v>
      </c>
      <c r="E4132" s="5" t="n">
        <v>117.1</v>
      </c>
      <c r="F4132" s="3" t="inlineStr">
        <is>
          <t>소정면</t>
        </is>
      </c>
      <c r="G4132" s="3" t="inlineStr">
        <is>
          <t>소정리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소정면</t>
        </is>
      </c>
    </row>
    <row r="4133">
      <c r="A4133" s="3" t="n">
        <v>2024</v>
      </c>
      <c r="B4133" s="4" t="n">
        <v>12892</v>
      </c>
      <c r="C4133" s="4" t="n">
        <v>668</v>
      </c>
      <c r="D4133" s="4" t="n">
        <v>202.07</v>
      </c>
      <c r="E4133" s="5" t="n">
        <v>63.8</v>
      </c>
      <c r="F4133" s="3" t="inlineStr">
        <is>
          <t>남이면</t>
        </is>
      </c>
      <c r="G4133" s="3" t="inlineStr">
        <is>
          <t>구미리</t>
        </is>
      </c>
      <c r="H4133" s="3" t="inlineStr">
        <is>
          <t>계획관리지역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2025</v>
      </c>
      <c r="B4134" s="4" t="n">
        <v>8853</v>
      </c>
      <c r="C4134" s="4" t="n">
        <v>166</v>
      </c>
      <c r="D4134" s="4" t="n">
        <v>50.215</v>
      </c>
      <c r="E4134" s="5" t="n">
        <v>176.3</v>
      </c>
      <c r="F4134" s="3" t="inlineStr">
        <is>
          <t>남이면</t>
        </is>
      </c>
      <c r="G4134" s="3" t="inlineStr">
        <is>
          <t>양촌리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2025</v>
      </c>
      <c r="B4135" s="4" t="n">
        <v>21972</v>
      </c>
      <c r="C4135" s="4" t="n">
        <v>412</v>
      </c>
      <c r="D4135" s="4" t="n">
        <v>124.63</v>
      </c>
      <c r="E4135" s="5" t="n">
        <v>176.3</v>
      </c>
      <c r="F4135" s="3" t="inlineStr">
        <is>
          <t>남이면</t>
        </is>
      </c>
      <c r="G4135" s="3" t="inlineStr">
        <is>
          <t>양촌리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2025</v>
      </c>
      <c r="B4136" s="4" t="n">
        <v>29000</v>
      </c>
      <c r="C4136" s="4" t="n">
        <v>2377</v>
      </c>
      <c r="D4136" s="4" t="n">
        <v>719.0425</v>
      </c>
      <c r="E4136" s="5" t="n">
        <v>40.3</v>
      </c>
      <c r="F4136" s="3" t="inlineStr">
        <is>
          <t>남이면</t>
        </is>
      </c>
      <c r="G4136" s="3" t="inlineStr">
        <is>
          <t>사동리</t>
        </is>
      </c>
      <c r="H4136" s="3" t="inlineStr">
        <is>
          <t>자연녹지지역</t>
        </is>
      </c>
      <c r="I4136" s="3" t="inlineStr">
        <is>
          <t>답</t>
        </is>
      </c>
      <c r="J4136" s="3" t="inlineStr">
        <is>
          <t>남이면</t>
        </is>
      </c>
    </row>
    <row r="4137">
      <c r="A4137" s="3" t="n">
        <v>2025</v>
      </c>
      <c r="B4137" s="4" t="n">
        <v>4800</v>
      </c>
      <c r="C4137" s="4" t="n">
        <v>790</v>
      </c>
      <c r="D4137" s="4" t="n">
        <v>238.975</v>
      </c>
      <c r="E4137" s="5" t="n">
        <v>20.1</v>
      </c>
      <c r="F4137" s="3" t="inlineStr">
        <is>
          <t>남이면</t>
        </is>
      </c>
      <c r="G4137" s="3" t="inlineStr">
        <is>
          <t>산막리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2025</v>
      </c>
      <c r="B4138" s="4" t="n">
        <v>5770</v>
      </c>
      <c r="C4138" s="4" t="n">
        <v>502</v>
      </c>
      <c r="D4138" s="4" t="n">
        <v>151.855</v>
      </c>
      <c r="E4138" s="5" t="n">
        <v>38</v>
      </c>
      <c r="F4138" s="3" t="inlineStr">
        <is>
          <t>남이면</t>
        </is>
      </c>
      <c r="G4138" s="3" t="inlineStr">
        <is>
          <t>가좌리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2025</v>
      </c>
      <c r="B4139" s="4" t="n">
        <v>28500</v>
      </c>
      <c r="C4139" s="4" t="n">
        <v>2314</v>
      </c>
      <c r="D4139" s="4" t="n">
        <v>699.985</v>
      </c>
      <c r="E4139" s="5" t="n">
        <v>40.7</v>
      </c>
      <c r="F4139" s="3" t="inlineStr">
        <is>
          <t>현도면</t>
        </is>
      </c>
      <c r="G4139" s="3" t="inlineStr">
        <is>
          <t>달계리</t>
        </is>
      </c>
      <c r="H4139" s="3" t="inlineStr">
        <is>
          <t>자연녹지지역</t>
        </is>
      </c>
      <c r="I4139" s="3" t="inlineStr">
        <is>
          <t>답</t>
        </is>
      </c>
      <c r="J4139" s="3" t="inlineStr">
        <is>
          <t>현도면</t>
        </is>
      </c>
    </row>
    <row r="4140">
      <c r="A4140" s="3" t="n">
        <v>2025</v>
      </c>
      <c r="B4140" s="4" t="n">
        <v>8400</v>
      </c>
      <c r="C4140" s="4" t="n">
        <v>367</v>
      </c>
      <c r="D4140" s="4" t="n">
        <v>111.0175</v>
      </c>
      <c r="E4140" s="5" t="n">
        <v>75.7</v>
      </c>
      <c r="F4140" s="3" t="inlineStr">
        <is>
          <t>현도면</t>
        </is>
      </c>
      <c r="G4140" s="3" t="inlineStr">
        <is>
          <t>죽암리</t>
        </is>
      </c>
      <c r="H4140" s="3" t="inlineStr">
        <is>
          <t>계획관리지역</t>
        </is>
      </c>
      <c r="I4140" s="3" t="inlineStr">
        <is>
          <t>창고용지</t>
        </is>
      </c>
      <c r="J4140" s="3" t="inlineStr">
        <is>
          <t>현도면</t>
        </is>
      </c>
    </row>
    <row r="4141">
      <c r="A4141" s="3" t="n">
        <v>2025</v>
      </c>
      <c r="B4141" s="4" t="n">
        <v>450</v>
      </c>
      <c r="C4141" s="4" t="n">
        <v>86</v>
      </c>
      <c r="D4141" s="4" t="n">
        <v>26.015</v>
      </c>
      <c r="E4141" s="5" t="n">
        <v>17.3</v>
      </c>
      <c r="F4141" s="3" t="inlineStr">
        <is>
          <t>남이면</t>
        </is>
      </c>
      <c r="G4141" s="3" t="inlineStr">
        <is>
          <t>석실리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2025</v>
      </c>
      <c r="B4142" s="4" t="n">
        <v>16832</v>
      </c>
      <c r="C4142" s="4" t="n">
        <v>507</v>
      </c>
      <c r="D4142" s="4" t="n">
        <v>153.3675</v>
      </c>
      <c r="E4142" s="5" t="n">
        <v>109.7</v>
      </c>
      <c r="F4142" s="3" t="inlineStr">
        <is>
          <t>남이면</t>
        </is>
      </c>
      <c r="G4142" s="3" t="inlineStr">
        <is>
          <t>척산리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2022</v>
      </c>
      <c r="B4143" s="4" t="n">
        <v>20000</v>
      </c>
      <c r="C4143" s="4" t="n">
        <v>5058</v>
      </c>
      <c r="D4143" s="4" t="n">
        <v>1530.045</v>
      </c>
      <c r="E4143" s="5" t="n">
        <v>13.1</v>
      </c>
      <c r="F4143" s="3" t="inlineStr">
        <is>
          <t>현도면</t>
        </is>
      </c>
      <c r="G4143" s="3" t="inlineStr">
        <is>
          <t>우록리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현도면</t>
        </is>
      </c>
    </row>
    <row r="4144">
      <c r="A4144" s="3" t="n">
        <v>2022</v>
      </c>
      <c r="B4144" s="4" t="n">
        <v>900</v>
      </c>
      <c r="C4144" s="4" t="n">
        <v>24</v>
      </c>
      <c r="D4144" s="4" t="n">
        <v>7.26</v>
      </c>
      <c r="E4144" s="5" t="n">
        <v>124</v>
      </c>
      <c r="F4144" s="3" t="inlineStr">
        <is>
          <t>남이면</t>
        </is>
      </c>
      <c r="G4144" s="3" t="inlineStr">
        <is>
          <t>가좌리</t>
        </is>
      </c>
      <c r="H4144" s="3" t="inlineStr">
        <is>
          <t>자연녹지지역</t>
        </is>
      </c>
      <c r="I4144" s="3" t="inlineStr">
        <is>
          <t>대</t>
        </is>
      </c>
      <c r="J4144" s="3" t="inlineStr">
        <is>
          <t>남이면</t>
        </is>
      </c>
    </row>
    <row r="4145">
      <c r="A4145" s="3" t="n">
        <v>2022</v>
      </c>
      <c r="B4145" s="4" t="n">
        <v>1300</v>
      </c>
      <c r="C4145" s="4" t="n">
        <v>159</v>
      </c>
      <c r="D4145" s="4" t="n">
        <v>48.0975</v>
      </c>
      <c r="E4145" s="5" t="n">
        <v>27</v>
      </c>
      <c r="F4145" s="3" t="inlineStr">
        <is>
          <t>남이면</t>
        </is>
      </c>
      <c r="G4145" s="3" t="inlineStr">
        <is>
          <t>대련리</t>
        </is>
      </c>
      <c r="H4145" s="3" t="inlineStr">
        <is>
          <t>자연녹지지역</t>
        </is>
      </c>
      <c r="I4145" s="3" t="inlineStr">
        <is>
          <t>전</t>
        </is>
      </c>
      <c r="J4145" s="3" t="inlineStr">
        <is>
          <t>남이면</t>
        </is>
      </c>
    </row>
    <row r="4146">
      <c r="A4146" s="3" t="n">
        <v>2022</v>
      </c>
      <c r="B4146" s="4" t="n">
        <v>30700</v>
      </c>
      <c r="C4146" s="4" t="n">
        <v>2000</v>
      </c>
      <c r="D4146" s="4" t="n">
        <v>605</v>
      </c>
      <c r="E4146" s="5" t="n">
        <v>50.7</v>
      </c>
      <c r="F4146" s="3" t="inlineStr">
        <is>
          <t>남이면</t>
        </is>
      </c>
      <c r="G4146" s="3" t="inlineStr">
        <is>
          <t>대련리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100</v>
      </c>
      <c r="C4147" s="4" t="n">
        <v>2</v>
      </c>
      <c r="D4147" s="4" t="n">
        <v>0.605</v>
      </c>
      <c r="E4147" s="5" t="n">
        <v>165.3</v>
      </c>
      <c r="F4147" s="3" t="inlineStr">
        <is>
          <t>남이면</t>
        </is>
      </c>
      <c r="G4147" s="3" t="inlineStr">
        <is>
          <t>양촌리</t>
        </is>
      </c>
      <c r="H4147" s="3" t="inlineStr">
        <is>
          <t>자연녹지지역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2022</v>
      </c>
      <c r="B4148" s="4" t="n">
        <v>11535</v>
      </c>
      <c r="C4148" s="4" t="n">
        <v>549</v>
      </c>
      <c r="D4148" s="4" t="n">
        <v>166.0725</v>
      </c>
      <c r="E4148" s="5" t="n">
        <v>69.5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보전녹지지역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1200</v>
      </c>
      <c r="C4149" s="4" t="n">
        <v>57</v>
      </c>
      <c r="D4149" s="4" t="n">
        <v>17.2425</v>
      </c>
      <c r="E4149" s="5" t="n">
        <v>69.59999999999999</v>
      </c>
      <c r="F4149" s="3" t="inlineStr">
        <is>
          <t>남이면</t>
        </is>
      </c>
      <c r="G4149" s="3" t="inlineStr">
        <is>
          <t>가좌리</t>
        </is>
      </c>
      <c r="H4149" s="3" t="inlineStr">
        <is>
          <t>보전녹지지역</t>
        </is>
      </c>
      <c r="I4149" s="3" t="inlineStr">
        <is>
          <t>임야</t>
        </is>
      </c>
      <c r="J4149" s="3" t="inlineStr">
        <is>
          <t>남이면</t>
        </is>
      </c>
    </row>
    <row r="4150">
      <c r="A4150" s="3" t="n">
        <v>2022</v>
      </c>
      <c r="B4150" s="4" t="n">
        <v>3336</v>
      </c>
      <c r="C4150" s="4" t="n">
        <v>2759</v>
      </c>
      <c r="D4150" s="4" t="n">
        <v>834.5975</v>
      </c>
      <c r="E4150" s="5" t="n">
        <v>4</v>
      </c>
      <c r="F4150" s="3" t="inlineStr">
        <is>
          <t>남이면</t>
        </is>
      </c>
      <c r="G4150" s="3" t="inlineStr">
        <is>
          <t>문동리</t>
        </is>
      </c>
      <c r="H4150" s="3" t="inlineStr">
        <is>
          <t>보전녹지지역</t>
        </is>
      </c>
      <c r="I4150" s="3" t="inlineStr">
        <is>
          <t>임야</t>
        </is>
      </c>
      <c r="J4150" s="3" t="inlineStr">
        <is>
          <t>남이면</t>
        </is>
      </c>
    </row>
    <row r="4151">
      <c r="A4151" s="3" t="n">
        <v>2022</v>
      </c>
      <c r="B4151" s="4" t="n">
        <v>476</v>
      </c>
      <c r="C4151" s="4" t="n">
        <v>395</v>
      </c>
      <c r="D4151" s="4" t="n">
        <v>119.4875</v>
      </c>
      <c r="E4151" s="5" t="n">
        <v>4</v>
      </c>
      <c r="F4151" s="3" t="inlineStr">
        <is>
          <t>남이면</t>
        </is>
      </c>
      <c r="G4151" s="3" t="inlineStr">
        <is>
          <t>문동리</t>
        </is>
      </c>
      <c r="H4151" s="3" t="inlineStr">
        <is>
          <t>자연녹지지역</t>
        </is>
      </c>
      <c r="I4151" s="3" t="inlineStr">
        <is>
          <t>임야</t>
        </is>
      </c>
      <c r="J4151" s="3" t="inlineStr">
        <is>
          <t>남이면</t>
        </is>
      </c>
    </row>
    <row r="4152">
      <c r="A4152" s="3" t="n">
        <v>2022</v>
      </c>
      <c r="B4152" s="4" t="n">
        <v>3648</v>
      </c>
      <c r="C4152" s="4" t="n">
        <v>3016</v>
      </c>
      <c r="D4152" s="4" t="n">
        <v>912.3399999999999</v>
      </c>
      <c r="E4152" s="5" t="n">
        <v>4</v>
      </c>
      <c r="F4152" s="3" t="inlineStr">
        <is>
          <t>남이면</t>
        </is>
      </c>
      <c r="G4152" s="3" t="inlineStr">
        <is>
          <t>문동리</t>
        </is>
      </c>
      <c r="H4152" s="3" t="inlineStr">
        <is>
          <t>보전녹지지역</t>
        </is>
      </c>
      <c r="I4152" s="3" t="inlineStr">
        <is>
          <t>임야</t>
        </is>
      </c>
      <c r="J4152" s="3" t="inlineStr">
        <is>
          <t>남이면</t>
        </is>
      </c>
    </row>
    <row r="4153">
      <c r="A4153" s="3" t="n">
        <v>2022</v>
      </c>
      <c r="B4153" s="4" t="n">
        <v>11535</v>
      </c>
      <c r="C4153" s="4" t="n">
        <v>549</v>
      </c>
      <c r="D4153" s="4" t="n">
        <v>166.0725</v>
      </c>
      <c r="E4153" s="5" t="n">
        <v>69.5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보전녹지지역</t>
        </is>
      </c>
      <c r="I4153" s="3" t="inlineStr">
        <is>
          <t>임야</t>
        </is>
      </c>
      <c r="J4153" s="3" t="inlineStr">
        <is>
          <t>남이면</t>
        </is>
      </c>
    </row>
    <row r="4154">
      <c r="A4154" s="3" t="n">
        <v>2022</v>
      </c>
      <c r="B4154" s="4" t="n">
        <v>1200</v>
      </c>
      <c r="C4154" s="4" t="n">
        <v>57</v>
      </c>
      <c r="D4154" s="4" t="n">
        <v>17.2425</v>
      </c>
      <c r="E4154" s="5" t="n">
        <v>69.59999999999999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보전녹지지역</t>
        </is>
      </c>
      <c r="I4154" s="3" t="inlineStr">
        <is>
          <t>임야</t>
        </is>
      </c>
      <c r="J4154" s="3" t="inlineStr">
        <is>
          <t>남이면</t>
        </is>
      </c>
    </row>
    <row r="4155">
      <c r="A4155" s="3" t="n">
        <v>2022</v>
      </c>
      <c r="B4155" s="4" t="n">
        <v>19000</v>
      </c>
      <c r="C4155" s="4" t="n">
        <v>2119</v>
      </c>
      <c r="D4155" s="4" t="n">
        <v>640.9974999999999</v>
      </c>
      <c r="E4155" s="5" t="n">
        <v>29.6</v>
      </c>
      <c r="F4155" s="3" t="inlineStr">
        <is>
          <t>현도면</t>
        </is>
      </c>
      <c r="G4155" s="3" t="inlineStr">
        <is>
          <t>노산리</t>
        </is>
      </c>
      <c r="H4155" s="3" t="inlineStr">
        <is>
          <t>개발제한구역</t>
        </is>
      </c>
      <c r="I4155" s="3" t="inlineStr">
        <is>
          <t>답</t>
        </is>
      </c>
      <c r="J4155" s="3" t="inlineStr">
        <is>
          <t>현도면</t>
        </is>
      </c>
    </row>
    <row r="4156">
      <c r="A4156" s="3" t="n">
        <v>2022</v>
      </c>
      <c r="B4156" s="4" t="n">
        <v>1000</v>
      </c>
      <c r="C4156" s="4" t="n">
        <v>504</v>
      </c>
      <c r="D4156" s="4" t="n">
        <v>152.46</v>
      </c>
      <c r="E4156" s="5" t="n">
        <v>6.6</v>
      </c>
      <c r="F4156" s="3" t="inlineStr">
        <is>
          <t>현도면</t>
        </is>
      </c>
      <c r="G4156" s="3" t="inlineStr">
        <is>
          <t>우록리</t>
        </is>
      </c>
      <c r="H4156" s="3" t="inlineStr">
        <is>
          <t>계획관리지역</t>
        </is>
      </c>
      <c r="I4156" s="3" t="inlineStr">
        <is>
          <t>임야</t>
        </is>
      </c>
      <c r="J4156" s="3" t="inlineStr">
        <is>
          <t>현도면</t>
        </is>
      </c>
    </row>
    <row r="4157">
      <c r="A4157" s="3" t="n">
        <v>2022</v>
      </c>
      <c r="B4157" s="4" t="n">
        <v>14140</v>
      </c>
      <c r="C4157" s="4" t="n">
        <v>1722</v>
      </c>
      <c r="D4157" s="4" t="n">
        <v>520.905</v>
      </c>
      <c r="E4157" s="5" t="n">
        <v>27.1</v>
      </c>
      <c r="F4157" s="3" t="inlineStr">
        <is>
          <t>현도면</t>
        </is>
      </c>
      <c r="G4157" s="3" t="inlineStr">
        <is>
          <t>시동리</t>
        </is>
      </c>
      <c r="H4157" s="3" t="inlineStr">
        <is>
          <t>개발제한구역</t>
        </is>
      </c>
      <c r="I4157" s="3" t="inlineStr">
        <is>
          <t>답</t>
        </is>
      </c>
      <c r="J4157" s="3" t="inlineStr">
        <is>
          <t>현도면</t>
        </is>
      </c>
    </row>
    <row r="4158">
      <c r="A4158" s="3" t="n">
        <v>2022</v>
      </c>
      <c r="B4158" s="4" t="n">
        <v>10000</v>
      </c>
      <c r="C4158" s="4" t="n">
        <v>1471</v>
      </c>
      <c r="D4158" s="4" t="n">
        <v>444.9775</v>
      </c>
      <c r="E4158" s="5" t="n">
        <v>22.5</v>
      </c>
      <c r="F4158" s="3" t="inlineStr">
        <is>
          <t>현도면</t>
        </is>
      </c>
      <c r="G4158" s="3" t="inlineStr">
        <is>
          <t>달계리</t>
        </is>
      </c>
      <c r="H4158" s="3" t="inlineStr">
        <is>
          <t>개발제한구역</t>
        </is>
      </c>
      <c r="I4158" s="3" t="inlineStr">
        <is>
          <t>답</t>
        </is>
      </c>
      <c r="J4158" s="3" t="inlineStr">
        <is>
          <t>현도면</t>
        </is>
      </c>
    </row>
    <row r="4159">
      <c r="A4159" s="3" t="n">
        <v>2022</v>
      </c>
      <c r="B4159" s="4" t="n">
        <v>38000</v>
      </c>
      <c r="C4159" s="4" t="n">
        <v>247</v>
      </c>
      <c r="D4159" s="4" t="n">
        <v>74.7175</v>
      </c>
      <c r="E4159" s="5" t="n">
        <v>508.6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500</v>
      </c>
      <c r="C4160" s="4" t="n">
        <v>94</v>
      </c>
      <c r="D4160" s="4" t="n">
        <v>28.435</v>
      </c>
      <c r="E4160" s="5" t="n">
        <v>17.6</v>
      </c>
      <c r="F4160" s="3" t="inlineStr">
        <is>
          <t>강내면</t>
        </is>
      </c>
      <c r="G4160" s="3" t="inlineStr">
        <is>
          <t>학천리</t>
        </is>
      </c>
      <c r="H4160" s="3" t="inlineStr">
        <is>
          <t>생산녹지지역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780</v>
      </c>
      <c r="D4161" s="4" t="n">
        <v>235.95</v>
      </c>
      <c r="E4161" s="5" t="n">
        <v>17</v>
      </c>
      <c r="F4161" s="3" t="inlineStr">
        <is>
          <t>강내면</t>
        </is>
      </c>
      <c r="G4161" s="3" t="inlineStr">
        <is>
          <t>학천리</t>
        </is>
      </c>
      <c r="H4161" s="3" t="inlineStr">
        <is>
          <t>생산녹지지역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41000</v>
      </c>
      <c r="C4162" s="4" t="n">
        <v>470</v>
      </c>
      <c r="D4162" s="4" t="n">
        <v>142.175</v>
      </c>
      <c r="E4162" s="5" t="n">
        <v>288.4</v>
      </c>
      <c r="F4162" s="3" t="inlineStr">
        <is>
          <t>강내면</t>
        </is>
      </c>
      <c r="G4162" s="3" t="inlineStr">
        <is>
          <t>탑연리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강내면</t>
        </is>
      </c>
    </row>
    <row r="4163">
      <c r="A4163" s="3" t="n">
        <v>2022</v>
      </c>
      <c r="B4163" s="4" t="n">
        <v>1400</v>
      </c>
      <c r="C4163" s="4" t="n">
        <v>272</v>
      </c>
      <c r="D4163" s="4" t="n">
        <v>82.28</v>
      </c>
      <c r="E4163" s="5" t="n">
        <v>17</v>
      </c>
      <c r="F4163" s="3" t="inlineStr">
        <is>
          <t>강내면</t>
        </is>
      </c>
      <c r="G4163" s="3" t="inlineStr">
        <is>
          <t>학천리</t>
        </is>
      </c>
      <c r="H4163" s="3" t="inlineStr">
        <is>
          <t>생산녹지지역</t>
        </is>
      </c>
      <c r="I4163" s="3" t="inlineStr">
        <is>
          <t>답</t>
        </is>
      </c>
      <c r="J4163" s="3" t="inlineStr">
        <is>
          <t>강내면</t>
        </is>
      </c>
    </row>
    <row r="4164">
      <c r="A4164" s="3" t="n">
        <v>2022</v>
      </c>
      <c r="B4164" s="4" t="n">
        <v>43000</v>
      </c>
      <c r="C4164" s="4" t="n">
        <v>287</v>
      </c>
      <c r="D4164" s="4" t="n">
        <v>86.8175</v>
      </c>
      <c r="E4164" s="5" t="n">
        <v>495.3</v>
      </c>
      <c r="F4164" s="3" t="inlineStr">
        <is>
          <t>오송읍</t>
        </is>
      </c>
      <c r="G4164" s="3" t="inlineStr">
        <is>
          <t>봉산리</t>
        </is>
      </c>
      <c r="H4164" s="3" t="inlineStr">
        <is>
          <t>제1종일반주거지역</t>
        </is>
      </c>
      <c r="I4164" s="3" t="inlineStr">
        <is>
          <t>대</t>
        </is>
      </c>
      <c r="J4164" s="3" t="inlineStr">
        <is>
          <t>오송읍</t>
        </is>
      </c>
    </row>
    <row r="4165">
      <c r="A4165" s="3" t="n">
        <v>2022</v>
      </c>
      <c r="B4165" s="4" t="n">
        <v>27000</v>
      </c>
      <c r="C4165" s="4" t="n">
        <v>653</v>
      </c>
      <c r="D4165" s="4" t="n">
        <v>197.5325</v>
      </c>
      <c r="E4165" s="5" t="n">
        <v>136.7</v>
      </c>
      <c r="F4165" s="3" t="inlineStr">
        <is>
          <t>오송읍</t>
        </is>
      </c>
      <c r="G4165" s="3" t="inlineStr">
        <is>
          <t>공북리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2022</v>
      </c>
      <c r="B4166" s="4" t="n">
        <v>35000</v>
      </c>
      <c r="C4166" s="4" t="n">
        <v>2939</v>
      </c>
      <c r="D4166" s="4" t="n">
        <v>889.0475</v>
      </c>
      <c r="E4166" s="5" t="n">
        <v>39.4</v>
      </c>
      <c r="F4166" s="3" t="inlineStr">
        <is>
          <t>강내면</t>
        </is>
      </c>
      <c r="G4166" s="3" t="inlineStr">
        <is>
          <t>사인리</t>
        </is>
      </c>
      <c r="H4166" s="3" t="inlineStr">
        <is>
          <t>생산녹지지역</t>
        </is>
      </c>
      <c r="I4166" s="3" t="inlineStr">
        <is>
          <t>답</t>
        </is>
      </c>
      <c r="J4166" s="3" t="inlineStr">
        <is>
          <t>강내면</t>
        </is>
      </c>
    </row>
    <row r="4167">
      <c r="A4167" s="3" t="n">
        <v>2022</v>
      </c>
      <c r="B4167" s="4" t="n">
        <v>10500</v>
      </c>
      <c r="C4167" s="4" t="n">
        <v>466</v>
      </c>
      <c r="D4167" s="4" t="n">
        <v>140.965</v>
      </c>
      <c r="E4167" s="5" t="n">
        <v>74.5</v>
      </c>
      <c r="F4167" s="3" t="inlineStr">
        <is>
          <t>강내면</t>
        </is>
      </c>
      <c r="G4167" s="3" t="inlineStr">
        <is>
          <t>저산리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21000</v>
      </c>
      <c r="C4168" s="4" t="n">
        <v>2165</v>
      </c>
      <c r="D4168" s="4" t="n">
        <v>654.9125</v>
      </c>
      <c r="E4168" s="5" t="n">
        <v>32.1</v>
      </c>
      <c r="F4168" s="3" t="inlineStr">
        <is>
          <t>강내면</t>
        </is>
      </c>
      <c r="G4168" s="3" t="inlineStr">
        <is>
          <t>학천리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2175</v>
      </c>
      <c r="C4169" s="4" t="n">
        <v>96</v>
      </c>
      <c r="D4169" s="4" t="n">
        <v>29.04</v>
      </c>
      <c r="E4169" s="5" t="n">
        <v>74.90000000000001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강내면</t>
        </is>
      </c>
    </row>
    <row r="4170">
      <c r="A4170" s="3" t="n">
        <v>2022</v>
      </c>
      <c r="B4170" s="4" t="n">
        <v>35000</v>
      </c>
      <c r="C4170" s="4" t="n">
        <v>1242</v>
      </c>
      <c r="D4170" s="4" t="n">
        <v>375.705</v>
      </c>
      <c r="E4170" s="5" t="n">
        <v>93.2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60000</v>
      </c>
      <c r="C4171" s="4" t="n">
        <v>808</v>
      </c>
      <c r="D4171" s="4" t="n">
        <v>244.42</v>
      </c>
      <c r="E4171" s="5" t="n">
        <v>245.5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자연녹지지역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267.7</v>
      </c>
      <c r="D4172" s="4" t="n">
        <v>80.97924999999999</v>
      </c>
      <c r="E4172" s="5" t="n">
        <v>370.5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14501</v>
      </c>
      <c r="C4173" s="4" t="n">
        <v>12501</v>
      </c>
      <c r="D4173" s="4" t="n">
        <v>3781.5525</v>
      </c>
      <c r="E4173" s="5" t="n">
        <v>3.8</v>
      </c>
      <c r="F4173" s="3" t="inlineStr">
        <is>
          <t>강내면</t>
        </is>
      </c>
      <c r="G4173" s="3" t="inlineStr">
        <is>
          <t>궁현리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403</v>
      </c>
      <c r="C4174" s="4" t="n">
        <v>336</v>
      </c>
      <c r="D4174" s="4" t="n">
        <v>101.64</v>
      </c>
      <c r="E4174" s="5" t="n">
        <v>4</v>
      </c>
      <c r="F4174" s="3" t="inlineStr">
        <is>
          <t>강내면</t>
        </is>
      </c>
      <c r="G4174" s="3" t="inlineStr">
        <is>
          <t>궁현리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18900</v>
      </c>
      <c r="C4175" s="4" t="n">
        <v>1333</v>
      </c>
      <c r="D4175" s="4" t="n">
        <v>403.2325</v>
      </c>
      <c r="E4175" s="5" t="n">
        <v>46.9</v>
      </c>
      <c r="F4175" s="3" t="inlineStr">
        <is>
          <t>오송읍</t>
        </is>
      </c>
      <c r="G4175" s="3" t="inlineStr">
        <is>
          <t>상봉리</t>
        </is>
      </c>
      <c r="H4175" s="3" t="inlineStr">
        <is>
          <t>생산관리지역</t>
        </is>
      </c>
      <c r="I4175" s="3" t="inlineStr">
        <is>
          <t>전</t>
        </is>
      </c>
      <c r="J4175" s="3" t="inlineStr">
        <is>
          <t>오송읍</t>
        </is>
      </c>
    </row>
    <row r="4176">
      <c r="A4176" s="3" t="n">
        <v>2022</v>
      </c>
      <c r="B4176" s="4" t="n">
        <v>8000</v>
      </c>
      <c r="C4176" s="4" t="n">
        <v>3386</v>
      </c>
      <c r="D4176" s="4" t="n">
        <v>1024.265</v>
      </c>
      <c r="E4176" s="5" t="n">
        <v>7.8</v>
      </c>
      <c r="F4176" s="3" t="inlineStr">
        <is>
          <t>오송읍</t>
        </is>
      </c>
      <c r="G4176" s="3" t="inlineStr">
        <is>
          <t>정중리</t>
        </is>
      </c>
      <c r="H4176" s="3" t="inlineStr">
        <is>
          <t>농림지역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2022</v>
      </c>
      <c r="B4177" s="4" t="n">
        <v>2000</v>
      </c>
      <c r="C4177" s="4" t="n">
        <v>73</v>
      </c>
      <c r="D4177" s="4" t="n">
        <v>22.0825</v>
      </c>
      <c r="E4177" s="5" t="n">
        <v>90.59999999999999</v>
      </c>
      <c r="F4177" s="3" t="inlineStr">
        <is>
          <t>강내면</t>
        </is>
      </c>
      <c r="G4177" s="3" t="inlineStr">
        <is>
          <t>사인리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23900</v>
      </c>
      <c r="C4178" s="4" t="n">
        <v>566</v>
      </c>
      <c r="D4178" s="4" t="n">
        <v>171.215</v>
      </c>
      <c r="E4178" s="5" t="n">
        <v>139.6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공장용지</t>
        </is>
      </c>
      <c r="J4178" s="3" t="inlineStr">
        <is>
          <t>오송읍</t>
        </is>
      </c>
    </row>
    <row r="4179">
      <c r="A4179" s="3" t="n">
        <v>2022</v>
      </c>
      <c r="B4179" s="4" t="n">
        <v>14894</v>
      </c>
      <c r="C4179" s="4" t="n">
        <v>1047</v>
      </c>
      <c r="D4179" s="4" t="n">
        <v>316.7175</v>
      </c>
      <c r="E4179" s="5" t="n">
        <v>47</v>
      </c>
      <c r="F4179" s="3" t="inlineStr">
        <is>
          <t>오송읍</t>
        </is>
      </c>
      <c r="G4179" s="3" t="inlineStr">
        <is>
          <t>상봉리</t>
        </is>
      </c>
      <c r="H4179" s="3" t="inlineStr">
        <is>
          <t>생산관리지역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2022</v>
      </c>
      <c r="B4180" s="4" t="n">
        <v>16643</v>
      </c>
      <c r="C4180" s="4" t="n">
        <v>1170</v>
      </c>
      <c r="D4180" s="4" t="n">
        <v>353.925</v>
      </c>
      <c r="E4180" s="5" t="n">
        <v>47</v>
      </c>
      <c r="F4180" s="3" t="inlineStr">
        <is>
          <t>오송읍</t>
        </is>
      </c>
      <c r="G4180" s="3" t="inlineStr">
        <is>
          <t>상봉리</t>
        </is>
      </c>
      <c r="H4180" s="3" t="inlineStr">
        <is>
          <t>생산관리지역</t>
        </is>
      </c>
      <c r="I4180" s="3" t="inlineStr">
        <is>
          <t>답</t>
        </is>
      </c>
      <c r="J4180" s="3" t="inlineStr">
        <is>
          <t>오송읍</t>
        </is>
      </c>
    </row>
    <row r="4181">
      <c r="A4181" s="3" t="n">
        <v>2022</v>
      </c>
      <c r="B4181" s="4" t="n">
        <v>5875</v>
      </c>
      <c r="C4181" s="4" t="n">
        <v>413</v>
      </c>
      <c r="D4181" s="4" t="n">
        <v>124.9325</v>
      </c>
      <c r="E4181" s="5" t="n">
        <v>47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2022</v>
      </c>
      <c r="B4182" s="4" t="n">
        <v>59920</v>
      </c>
      <c r="C4182" s="4" t="n">
        <v>3574</v>
      </c>
      <c r="D4182" s="4" t="n">
        <v>1081.135</v>
      </c>
      <c r="E4182" s="5" t="n">
        <v>55.4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2022</v>
      </c>
      <c r="B4183" s="4" t="n">
        <v>1080</v>
      </c>
      <c r="C4183" s="4" t="n">
        <v>66</v>
      </c>
      <c r="D4183" s="4" t="n">
        <v>19.965</v>
      </c>
      <c r="E4183" s="5" t="n">
        <v>54.1</v>
      </c>
      <c r="F4183" s="3" t="inlineStr">
        <is>
          <t>강내면</t>
        </is>
      </c>
      <c r="G4183" s="3" t="inlineStr">
        <is>
          <t>궁현리</t>
        </is>
      </c>
      <c r="H4183" s="3" t="inlineStr">
        <is>
          <t>농림지역</t>
        </is>
      </c>
      <c r="I4183" s="3" t="inlineStr">
        <is>
          <t>도로</t>
        </is>
      </c>
      <c r="J4183" s="3" t="inlineStr">
        <is>
          <t>강내면</t>
        </is>
      </c>
    </row>
    <row r="4184">
      <c r="A4184" s="3" t="n">
        <v>2022</v>
      </c>
      <c r="B4184" s="4" t="n">
        <v>31300</v>
      </c>
      <c r="C4184" s="4" t="n">
        <v>1759</v>
      </c>
      <c r="D4184" s="4" t="n">
        <v>532.0975</v>
      </c>
      <c r="E4184" s="5" t="n">
        <v>58.8</v>
      </c>
      <c r="F4184" s="3" t="inlineStr">
        <is>
          <t>강내면</t>
        </is>
      </c>
      <c r="G4184" s="3" t="inlineStr">
        <is>
          <t>월곡리</t>
        </is>
      </c>
      <c r="H4184" s="3" t="inlineStr">
        <is>
          <t>생산녹지지역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2022</v>
      </c>
      <c r="B4185" s="4" t="n">
        <v>56200</v>
      </c>
      <c r="C4185" s="4" t="n">
        <v>3154</v>
      </c>
      <c r="D4185" s="4" t="n">
        <v>954.0849999999999</v>
      </c>
      <c r="E4185" s="5" t="n">
        <v>58.9</v>
      </c>
      <c r="F4185" s="3" t="inlineStr">
        <is>
          <t>강내면</t>
        </is>
      </c>
      <c r="G4185" s="3" t="inlineStr">
        <is>
          <t>월곡리</t>
        </is>
      </c>
      <c r="H4185" s="3" t="inlineStr">
        <is>
          <t>생산녹지지역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2022</v>
      </c>
      <c r="B4186" s="4" t="n">
        <v>31300</v>
      </c>
      <c r="C4186" s="4" t="n">
        <v>1759</v>
      </c>
      <c r="D4186" s="4" t="n">
        <v>532.0975</v>
      </c>
      <c r="E4186" s="5" t="n">
        <v>58.8</v>
      </c>
      <c r="F4186" s="3" t="inlineStr">
        <is>
          <t>강내면</t>
        </is>
      </c>
      <c r="G4186" s="3" t="inlineStr">
        <is>
          <t>월곡리</t>
        </is>
      </c>
      <c r="H4186" s="3" t="inlineStr">
        <is>
          <t>생산녹지지역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2022</v>
      </c>
      <c r="B4187" s="4" t="n">
        <v>56200</v>
      </c>
      <c r="C4187" s="4" t="n">
        <v>3154</v>
      </c>
      <c r="D4187" s="4" t="n">
        <v>954.0849999999999</v>
      </c>
      <c r="E4187" s="5" t="n">
        <v>58.9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생산녹지지역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27150</v>
      </c>
      <c r="C4188" s="4" t="n">
        <v>2995</v>
      </c>
      <c r="D4188" s="4" t="n">
        <v>905.9875</v>
      </c>
      <c r="E4188" s="5" t="n">
        <v>30</v>
      </c>
      <c r="F4188" s="3" t="inlineStr">
        <is>
          <t>현도면</t>
        </is>
      </c>
      <c r="G4188" s="3" t="inlineStr">
        <is>
          <t>선동리</t>
        </is>
      </c>
      <c r="H4188" s="3" t="inlineStr">
        <is>
          <t>개발제한구역</t>
        </is>
      </c>
      <c r="I4188" s="3" t="inlineStr">
        <is>
          <t>답</t>
        </is>
      </c>
      <c r="J4188" s="3" t="inlineStr">
        <is>
          <t>현도면</t>
        </is>
      </c>
    </row>
    <row r="4189">
      <c r="A4189" s="3" t="n">
        <v>2025</v>
      </c>
      <c r="B4189" s="4" t="n">
        <v>39430</v>
      </c>
      <c r="C4189" s="4" t="n">
        <v>863</v>
      </c>
      <c r="D4189" s="4" t="n">
        <v>261.0575</v>
      </c>
      <c r="E4189" s="5" t="n">
        <v>151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공장용지</t>
        </is>
      </c>
      <c r="J4189" s="3" t="inlineStr">
        <is>
          <t>남이면</t>
        </is>
      </c>
    </row>
    <row r="4190">
      <c r="A4190" s="3" t="n">
        <v>2025</v>
      </c>
      <c r="B4190" s="4" t="n">
        <v>2923</v>
      </c>
      <c r="C4190" s="4" t="n">
        <v>79</v>
      </c>
      <c r="D4190" s="4" t="n">
        <v>23.8975</v>
      </c>
      <c r="E4190" s="5" t="n">
        <v>122.3</v>
      </c>
      <c r="F4190" s="3" t="inlineStr">
        <is>
          <t>남이면</t>
        </is>
      </c>
      <c r="G4190" s="3" t="inlineStr">
        <is>
          <t>부용외천리</t>
        </is>
      </c>
      <c r="H4190" s="3" t="inlineStr">
        <is>
          <t>계획관리지역</t>
        </is>
      </c>
      <c r="I4190" s="3" t="inlineStr">
        <is>
          <t>공장용지</t>
        </is>
      </c>
      <c r="J4190" s="3" t="inlineStr">
        <is>
          <t>남이면</t>
        </is>
      </c>
    </row>
    <row r="4191">
      <c r="A4191" s="3" t="n">
        <v>2025</v>
      </c>
      <c r="B4191" s="4" t="n">
        <v>51932</v>
      </c>
      <c r="C4191" s="4" t="n">
        <v>1782</v>
      </c>
      <c r="D4191" s="4" t="n">
        <v>539.0549999999999</v>
      </c>
      <c r="E4191" s="5" t="n">
        <v>96.3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공장용지</t>
        </is>
      </c>
      <c r="J4191" s="3" t="inlineStr">
        <is>
          <t>남이면</t>
        </is>
      </c>
    </row>
    <row r="4192">
      <c r="A4192" s="3" t="n">
        <v>2025</v>
      </c>
      <c r="B4192" s="4" t="n">
        <v>25891</v>
      </c>
      <c r="C4192" s="4" t="n">
        <v>916</v>
      </c>
      <c r="D4192" s="4" t="n">
        <v>277.09</v>
      </c>
      <c r="E4192" s="5" t="n">
        <v>93.40000000000001</v>
      </c>
      <c r="F4192" s="3" t="inlineStr">
        <is>
          <t>남이면</t>
        </is>
      </c>
      <c r="G4192" s="3" t="inlineStr">
        <is>
          <t>부용외천리</t>
        </is>
      </c>
      <c r="H4192" s="3" t="inlineStr">
        <is>
          <t>계획관리지역</t>
        </is>
      </c>
      <c r="I4192" s="3" t="inlineStr">
        <is>
          <t>공장용지</t>
        </is>
      </c>
      <c r="J4192" s="3" t="inlineStr">
        <is>
          <t>남이면</t>
        </is>
      </c>
    </row>
    <row r="4193">
      <c r="A4193" s="3" t="n">
        <v>2025</v>
      </c>
      <c r="B4193" s="4" t="n">
        <v>48793</v>
      </c>
      <c r="C4193" s="4" t="n">
        <v>1062</v>
      </c>
      <c r="D4193" s="4" t="n">
        <v>321.255</v>
      </c>
      <c r="E4193" s="5" t="n">
        <v>151.9</v>
      </c>
      <c r="F4193" s="3" t="inlineStr">
        <is>
          <t>남이면</t>
        </is>
      </c>
      <c r="G4193" s="3" t="inlineStr">
        <is>
          <t>부용외천리</t>
        </is>
      </c>
      <c r="H4193" s="3" t="inlineStr">
        <is>
          <t>계획관리지역</t>
        </is>
      </c>
      <c r="I4193" s="3" t="inlineStr">
        <is>
          <t>공장용지</t>
        </is>
      </c>
      <c r="J4193" s="3" t="inlineStr">
        <is>
          <t>남이면</t>
        </is>
      </c>
    </row>
    <row r="4194">
      <c r="A4194" s="3" t="n">
        <v>2025</v>
      </c>
      <c r="B4194" s="4" t="n">
        <v>30419</v>
      </c>
      <c r="C4194" s="4" t="n">
        <v>660</v>
      </c>
      <c r="D4194" s="4" t="n">
        <v>199.65</v>
      </c>
      <c r="E4194" s="5" t="n">
        <v>152.4</v>
      </c>
      <c r="F4194" s="3" t="inlineStr">
        <is>
          <t>남이면</t>
        </is>
      </c>
      <c r="G4194" s="3" t="inlineStr">
        <is>
          <t>부용외천리</t>
        </is>
      </c>
      <c r="H4194" s="3" t="inlineStr">
        <is>
          <t>계획관리지역</t>
        </is>
      </c>
      <c r="I4194" s="3" t="inlineStr">
        <is>
          <t>공장용지</t>
        </is>
      </c>
      <c r="J4194" s="3" t="inlineStr">
        <is>
          <t>남이면</t>
        </is>
      </c>
    </row>
    <row r="4195">
      <c r="A4195" s="3" t="n">
        <v>2025</v>
      </c>
      <c r="B4195" s="4" t="n">
        <v>10066</v>
      </c>
      <c r="C4195" s="4" t="n">
        <v>218</v>
      </c>
      <c r="D4195" s="4" t="n">
        <v>65.94499999999999</v>
      </c>
      <c r="E4195" s="5" t="n">
        <v>152.6</v>
      </c>
      <c r="F4195" s="3" t="inlineStr">
        <is>
          <t>남이면</t>
        </is>
      </c>
      <c r="G4195" s="3" t="inlineStr">
        <is>
          <t>부용외천리</t>
        </is>
      </c>
      <c r="H4195" s="3" t="inlineStr">
        <is>
          <t>계획관리지역</t>
        </is>
      </c>
      <c r="I4195" s="3" t="inlineStr">
        <is>
          <t>공장용지</t>
        </is>
      </c>
      <c r="J4195" s="3" t="inlineStr">
        <is>
          <t>남이면</t>
        </is>
      </c>
    </row>
    <row r="4196">
      <c r="A4196" s="3" t="n">
        <v>2025</v>
      </c>
      <c r="B4196" s="4" t="n">
        <v>27199</v>
      </c>
      <c r="C4196" s="4" t="n">
        <v>600</v>
      </c>
      <c r="D4196" s="4" t="n">
        <v>181.5</v>
      </c>
      <c r="E4196" s="5" t="n">
        <v>149.9</v>
      </c>
      <c r="F4196" s="3" t="inlineStr">
        <is>
          <t>남이면</t>
        </is>
      </c>
      <c r="G4196" s="3" t="inlineStr">
        <is>
          <t>부용외천리</t>
        </is>
      </c>
      <c r="H4196" s="3" t="inlineStr">
        <is>
          <t>계획관리지역</t>
        </is>
      </c>
      <c r="I4196" s="3" t="inlineStr">
        <is>
          <t>공장용지</t>
        </is>
      </c>
      <c r="J4196" s="3" t="inlineStr">
        <is>
          <t>남이면</t>
        </is>
      </c>
    </row>
    <row r="4197">
      <c r="A4197" s="3" t="n">
        <v>2025</v>
      </c>
      <c r="B4197" s="4" t="n">
        <v>1480</v>
      </c>
      <c r="C4197" s="4" t="n">
        <v>992</v>
      </c>
      <c r="D4197" s="4" t="n">
        <v>300.08</v>
      </c>
      <c r="E4197" s="5" t="n">
        <v>4.9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2025</v>
      </c>
      <c r="B4198" s="4" t="n">
        <v>36044</v>
      </c>
      <c r="C4198" s="4" t="n">
        <v>785</v>
      </c>
      <c r="D4198" s="4" t="n">
        <v>237.4625</v>
      </c>
      <c r="E4198" s="5" t="n">
        <v>151.8</v>
      </c>
      <c r="F4198" s="3" t="inlineStr">
        <is>
          <t>남이면</t>
        </is>
      </c>
      <c r="G4198" s="3" t="inlineStr">
        <is>
          <t>부용외천리</t>
        </is>
      </c>
      <c r="H4198" s="3" t="inlineStr">
        <is>
          <t>계획관리지역</t>
        </is>
      </c>
      <c r="I4198" s="3" t="inlineStr">
        <is>
          <t>공장용지</t>
        </is>
      </c>
      <c r="J4198" s="3" t="inlineStr">
        <is>
          <t>남이면</t>
        </is>
      </c>
    </row>
    <row r="4199">
      <c r="A4199" s="3" t="n">
        <v>2025</v>
      </c>
      <c r="B4199" s="4" t="n">
        <v>36466</v>
      </c>
      <c r="C4199" s="4" t="n">
        <v>1732</v>
      </c>
      <c r="D4199" s="4" t="n">
        <v>523.9299999999999</v>
      </c>
      <c r="E4199" s="5" t="n">
        <v>69.59999999999999</v>
      </c>
      <c r="F4199" s="3" t="inlineStr">
        <is>
          <t>남이면</t>
        </is>
      </c>
      <c r="G4199" s="3" t="inlineStr">
        <is>
          <t>부용외천리</t>
        </is>
      </c>
      <c r="H4199" s="3" t="inlineStr">
        <is>
          <t>계획관리지역</t>
        </is>
      </c>
      <c r="I4199" s="3" t="inlineStr">
        <is>
          <t>전</t>
        </is>
      </c>
      <c r="J4199" s="3" t="inlineStr">
        <is>
          <t>남이면</t>
        </is>
      </c>
    </row>
    <row r="4200">
      <c r="A4200" s="3" t="n">
        <v>2025</v>
      </c>
      <c r="B4200" s="4" t="n">
        <v>28962</v>
      </c>
      <c r="C4200" s="4" t="n">
        <v>1568</v>
      </c>
      <c r="D4200" s="4" t="n">
        <v>474.32</v>
      </c>
      <c r="E4200" s="5" t="n">
        <v>61.1</v>
      </c>
      <c r="F4200" s="3" t="inlineStr">
        <is>
          <t>남이면</t>
        </is>
      </c>
      <c r="G4200" s="3" t="inlineStr">
        <is>
          <t>부용외천리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2025</v>
      </c>
      <c r="B4201" s="4" t="n">
        <v>5411</v>
      </c>
      <c r="C4201" s="4" t="n">
        <v>218</v>
      </c>
      <c r="D4201" s="4" t="n">
        <v>65.94499999999999</v>
      </c>
      <c r="E4201" s="5" t="n">
        <v>82.09999999999999</v>
      </c>
      <c r="F4201" s="3" t="inlineStr">
        <is>
          <t>남이면</t>
        </is>
      </c>
      <c r="G4201" s="3" t="inlineStr">
        <is>
          <t>부용외천리</t>
        </is>
      </c>
      <c r="H4201" s="3" t="inlineStr">
        <is>
          <t>계획관리지역</t>
        </is>
      </c>
      <c r="I4201" s="3" t="inlineStr">
        <is>
          <t>답</t>
        </is>
      </c>
      <c r="J4201" s="3" t="inlineStr">
        <is>
          <t>남이면</t>
        </is>
      </c>
    </row>
    <row r="4202">
      <c r="A4202" s="3" t="n">
        <v>2026</v>
      </c>
      <c r="B4202" s="4" t="n">
        <v>15500</v>
      </c>
      <c r="C4202" s="4" t="n">
        <v>3306</v>
      </c>
      <c r="D4202" s="4" t="n">
        <v>1000.065</v>
      </c>
      <c r="E4202" s="5" t="n">
        <v>15.5</v>
      </c>
      <c r="F4202" s="3" t="inlineStr">
        <is>
          <t>전의면</t>
        </is>
      </c>
      <c r="G4202" s="3" t="inlineStr">
        <is>
          <t>양곡리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전의면</t>
        </is>
      </c>
    </row>
    <row r="4203">
      <c r="A4203" s="3" t="n">
        <v>2026</v>
      </c>
      <c r="B4203" s="4" t="n">
        <v>50000</v>
      </c>
      <c r="C4203" s="4" t="n">
        <v>5435</v>
      </c>
      <c r="D4203" s="4" t="n">
        <v>1644.0875</v>
      </c>
      <c r="E4203" s="5" t="n">
        <v>30.4</v>
      </c>
      <c r="F4203" s="3" t="inlineStr">
        <is>
          <t>연기면</t>
        </is>
      </c>
      <c r="G4203" s="3" t="inlineStr">
        <is>
          <t>수산리</t>
        </is>
      </c>
      <c r="H4203" s="3" t="inlineStr">
        <is>
          <t>보전관리지역</t>
        </is>
      </c>
      <c r="I4203" s="3" t="inlineStr">
        <is>
          <t>임야</t>
        </is>
      </c>
      <c r="J4203" s="3" t="inlineStr">
        <is>
          <t>연기면</t>
        </is>
      </c>
    </row>
    <row r="4204">
      <c r="A4204" s="3" t="n">
        <v>2026</v>
      </c>
      <c r="B4204" s="4" t="n">
        <v>50000</v>
      </c>
      <c r="C4204" s="4" t="n">
        <v>1398</v>
      </c>
      <c r="D4204" s="4" t="n">
        <v>422.895</v>
      </c>
      <c r="E4204" s="5" t="n">
        <v>118.2</v>
      </c>
      <c r="F4204" s="3" t="inlineStr">
        <is>
          <t>금남면</t>
        </is>
      </c>
      <c r="G4204" s="3" t="inlineStr">
        <is>
          <t>성강리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금남면</t>
        </is>
      </c>
    </row>
    <row r="4205">
      <c r="A4205" s="3" t="n">
        <v>2026</v>
      </c>
      <c r="B4205" s="4" t="n">
        <v>15000</v>
      </c>
      <c r="C4205" s="4" t="n">
        <v>992</v>
      </c>
      <c r="D4205" s="4" t="n">
        <v>300.08</v>
      </c>
      <c r="E4205" s="5" t="n">
        <v>50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2026</v>
      </c>
      <c r="B4206" s="4" t="n">
        <v>7745</v>
      </c>
      <c r="C4206" s="4" t="n">
        <v>600</v>
      </c>
      <c r="D4206" s="4" t="n">
        <v>181.5</v>
      </c>
      <c r="E4206" s="5" t="n">
        <v>42.7</v>
      </c>
      <c r="F4206" s="3" t="inlineStr">
        <is>
          <t>연동면</t>
        </is>
      </c>
      <c r="G4206" s="3" t="inlineStr">
        <is>
          <t>송용리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연동면</t>
        </is>
      </c>
    </row>
    <row r="4207">
      <c r="A4207" s="3" t="n">
        <v>2026</v>
      </c>
      <c r="B4207" s="4" t="n">
        <v>27255</v>
      </c>
      <c r="C4207" s="4" t="n">
        <v>2111.6</v>
      </c>
      <c r="D4207" s="4" t="n">
        <v>638.7589999999999</v>
      </c>
      <c r="E4207" s="5" t="n">
        <v>42.7</v>
      </c>
      <c r="F4207" s="3" t="inlineStr">
        <is>
          <t>연동면</t>
        </is>
      </c>
      <c r="G4207" s="3" t="inlineStr">
        <is>
          <t>송용리</t>
        </is>
      </c>
      <c r="H4207" s="3" t="inlineStr">
        <is>
          <t>농림지역</t>
        </is>
      </c>
      <c r="I4207" s="3" t="inlineStr">
        <is>
          <t>답</t>
        </is>
      </c>
      <c r="J4207" s="3" t="inlineStr">
        <is>
          <t>연동면</t>
        </is>
      </c>
    </row>
    <row r="4208">
      <c r="A4208" s="3" t="n">
        <v>2026</v>
      </c>
      <c r="B4208" s="4" t="n">
        <v>14800</v>
      </c>
      <c r="C4208" s="4" t="n">
        <v>583</v>
      </c>
      <c r="D4208" s="4" t="n">
        <v>176.3575</v>
      </c>
      <c r="E4208" s="5" t="n">
        <v>83.90000000000001</v>
      </c>
      <c r="F4208" s="3" t="inlineStr">
        <is>
          <t>전의면</t>
        </is>
      </c>
      <c r="G4208" s="3" t="inlineStr">
        <is>
          <t>서정리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전의면</t>
        </is>
      </c>
    </row>
    <row r="4209">
      <c r="A4209" s="3" t="n">
        <v>2026</v>
      </c>
      <c r="B4209" s="4" t="n">
        <v>36138</v>
      </c>
      <c r="C4209" s="4" t="n">
        <v>450</v>
      </c>
      <c r="D4209" s="4" t="n">
        <v>136.125</v>
      </c>
      <c r="E4209" s="5" t="n">
        <v>265.5</v>
      </c>
      <c r="F4209" s="3" t="inlineStr">
        <is>
          <t>장군면</t>
        </is>
      </c>
      <c r="G4209" s="3" t="inlineStr">
        <is>
          <t>대교리</t>
        </is>
      </c>
      <c r="H4209" s="3" t="inlineStr">
        <is>
          <t>보전관리지역</t>
        </is>
      </c>
      <c r="I4209" s="3" t="inlineStr">
        <is>
          <t>대</t>
        </is>
      </c>
      <c r="J4209" s="3" t="inlineStr">
        <is>
          <t>장군면</t>
        </is>
      </c>
    </row>
    <row r="4210">
      <c r="A4210" s="3" t="n">
        <v>2026</v>
      </c>
      <c r="B4210" s="4" t="n">
        <v>44071</v>
      </c>
      <c r="C4210" s="4" t="n">
        <v>740</v>
      </c>
      <c r="D4210" s="4" t="n">
        <v>223.85</v>
      </c>
      <c r="E4210" s="5" t="n">
        <v>196.9</v>
      </c>
      <c r="F4210" s="3" t="inlineStr">
        <is>
          <t>장군면</t>
        </is>
      </c>
      <c r="G4210" s="3" t="inlineStr">
        <is>
          <t>대교리</t>
        </is>
      </c>
      <c r="H4210" s="3" t="inlineStr">
        <is>
          <t>보전관리지역</t>
        </is>
      </c>
      <c r="I4210" s="3" t="inlineStr">
        <is>
          <t>대</t>
        </is>
      </c>
      <c r="J4210" s="3" t="inlineStr">
        <is>
          <t>장군면</t>
        </is>
      </c>
    </row>
    <row r="4211">
      <c r="A4211" s="3" t="n">
        <v>2026</v>
      </c>
      <c r="B4211" s="4" t="n">
        <v>44895</v>
      </c>
      <c r="C4211" s="4" t="n">
        <v>545</v>
      </c>
      <c r="D4211" s="4" t="n">
        <v>164.8625</v>
      </c>
      <c r="E4211" s="5" t="n">
        <v>272.3</v>
      </c>
      <c r="F4211" s="3" t="inlineStr">
        <is>
          <t>장군면</t>
        </is>
      </c>
      <c r="G4211" s="3" t="inlineStr">
        <is>
          <t>대교리</t>
        </is>
      </c>
      <c r="H4211" s="3" t="inlineStr">
        <is>
          <t>보전관리지역</t>
        </is>
      </c>
      <c r="I4211" s="3" t="inlineStr">
        <is>
          <t>대</t>
        </is>
      </c>
      <c r="J4211" s="3" t="inlineStr">
        <is>
          <t>장군면</t>
        </is>
      </c>
    </row>
    <row r="4212">
      <c r="A4212" s="3" t="n">
        <v>2023</v>
      </c>
      <c r="B4212" s="4" t="n">
        <v>1000</v>
      </c>
      <c r="C4212" s="4" t="n">
        <v>224</v>
      </c>
      <c r="D4212" s="4" t="n">
        <v>67.75999999999999</v>
      </c>
      <c r="E4212" s="5" t="n">
        <v>14.8</v>
      </c>
      <c r="F4212" s="3" t="inlineStr">
        <is>
          <t>오송읍</t>
        </is>
      </c>
      <c r="G4212" s="3" t="inlineStr">
        <is>
          <t>동평리</t>
        </is>
      </c>
      <c r="H4212" s="3" t="inlineStr">
        <is>
          <t>농림지역</t>
        </is>
      </c>
      <c r="I4212" s="3" t="inlineStr">
        <is>
          <t>도로</t>
        </is>
      </c>
      <c r="J4212" s="3" t="inlineStr">
        <is>
          <t>오송읍</t>
        </is>
      </c>
    </row>
    <row r="4213">
      <c r="A4213" s="3" t="n">
        <v>2023</v>
      </c>
      <c r="B4213" s="4" t="n">
        <v>2400</v>
      </c>
      <c r="C4213" s="4" t="n">
        <v>66</v>
      </c>
      <c r="D4213" s="4" t="n">
        <v>19.965</v>
      </c>
      <c r="E4213" s="5" t="n">
        <v>120.2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계획관리지역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2023</v>
      </c>
      <c r="B4214" s="4" t="n">
        <v>150000</v>
      </c>
      <c r="C4214" s="4" t="n">
        <v>978.1</v>
      </c>
      <c r="D4214" s="4" t="n">
        <v>295.87525</v>
      </c>
      <c r="E4214" s="5" t="n">
        <v>507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주차장</t>
        </is>
      </c>
      <c r="J4214" s="3" t="inlineStr">
        <is>
          <t>오송읍</t>
        </is>
      </c>
    </row>
    <row r="4215">
      <c r="A4215" s="3" t="n">
        <v>2023</v>
      </c>
      <c r="B4215" s="4" t="n">
        <v>33100</v>
      </c>
      <c r="C4215" s="4" t="n">
        <v>1093</v>
      </c>
      <c r="D4215" s="4" t="n">
        <v>330.6325</v>
      </c>
      <c r="E4215" s="5" t="n">
        <v>100.1</v>
      </c>
      <c r="F4215" s="3" t="inlineStr">
        <is>
          <t>강내면</t>
        </is>
      </c>
      <c r="G4215" s="3" t="inlineStr">
        <is>
          <t>저산리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2023</v>
      </c>
      <c r="B4216" s="4" t="n">
        <v>79000</v>
      </c>
      <c r="C4216" s="4" t="n">
        <v>3494</v>
      </c>
      <c r="D4216" s="4" t="n">
        <v>1056.935</v>
      </c>
      <c r="E4216" s="5" t="n">
        <v>74.7</v>
      </c>
      <c r="F4216" s="3" t="inlineStr">
        <is>
          <t>오송읍</t>
        </is>
      </c>
      <c r="G4216" s="3" t="inlineStr">
        <is>
          <t>궁평리</t>
        </is>
      </c>
      <c r="H4216" s="3" t="inlineStr">
        <is>
          <t>농림지역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2023</v>
      </c>
      <c r="B4217" s="4" t="n">
        <v>21000</v>
      </c>
      <c r="C4217" s="4" t="n">
        <v>1584</v>
      </c>
      <c r="D4217" s="4" t="n">
        <v>479.16</v>
      </c>
      <c r="E4217" s="5" t="n">
        <v>43.8</v>
      </c>
      <c r="F4217" s="3" t="inlineStr">
        <is>
          <t>오송읍</t>
        </is>
      </c>
      <c r="G4217" s="3" t="inlineStr">
        <is>
          <t>호계리</t>
        </is>
      </c>
      <c r="H4217" s="3" t="inlineStr">
        <is>
          <t>농림지역</t>
        </is>
      </c>
      <c r="I4217" s="3" t="inlineStr">
        <is>
          <t>답</t>
        </is>
      </c>
      <c r="J4217" s="3" t="inlineStr">
        <is>
          <t>오송읍</t>
        </is>
      </c>
    </row>
    <row r="4218">
      <c r="A4218" s="3" t="n">
        <v>2023</v>
      </c>
      <c r="B4218" s="4" t="n">
        <v>13500</v>
      </c>
      <c r="C4218" s="4" t="n">
        <v>137</v>
      </c>
      <c r="D4218" s="4" t="n">
        <v>41.4425</v>
      </c>
      <c r="E4218" s="5" t="n">
        <v>325.8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2023</v>
      </c>
      <c r="B4219" s="4" t="n">
        <v>32000</v>
      </c>
      <c r="C4219" s="4" t="n">
        <v>276.5</v>
      </c>
      <c r="D4219" s="4" t="n">
        <v>83.64125</v>
      </c>
      <c r="E4219" s="5" t="n">
        <v>382.6</v>
      </c>
      <c r="F4219" s="3" t="inlineStr">
        <is>
          <t>오송읍</t>
        </is>
      </c>
      <c r="G4219" s="3" t="inlineStr">
        <is>
          <t>봉산리</t>
        </is>
      </c>
      <c r="H4219" s="3" t="inlineStr">
        <is>
          <t>제1종일반주거지역</t>
        </is>
      </c>
      <c r="I4219" s="3" t="inlineStr">
        <is>
          <t>대</t>
        </is>
      </c>
      <c r="J4219" s="3" t="inlineStr">
        <is>
          <t>오송읍</t>
        </is>
      </c>
    </row>
    <row r="4220">
      <c r="A4220" s="3" t="n">
        <v>2023</v>
      </c>
      <c r="B4220" s="4" t="n">
        <v>6600</v>
      </c>
      <c r="C4220" s="4" t="n">
        <v>460.5</v>
      </c>
      <c r="D4220" s="4" t="n">
        <v>139.30125</v>
      </c>
      <c r="E4220" s="5" t="n">
        <v>47.4</v>
      </c>
      <c r="F4220" s="3" t="inlineStr">
        <is>
          <t>강내면</t>
        </is>
      </c>
      <c r="G4220" s="3" t="inlineStr">
        <is>
          <t>석화리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강내면</t>
        </is>
      </c>
    </row>
    <row r="4221">
      <c r="A4221" s="3" t="n">
        <v>2023</v>
      </c>
      <c r="B4221" s="4" t="n">
        <v>35000</v>
      </c>
      <c r="C4221" s="4" t="n">
        <v>257</v>
      </c>
      <c r="D4221" s="4" t="n">
        <v>77.74249999999999</v>
      </c>
      <c r="E4221" s="5" t="n">
        <v>450.2</v>
      </c>
      <c r="F4221" s="3" t="inlineStr">
        <is>
          <t>오송읍</t>
        </is>
      </c>
      <c r="G4221" s="3" t="inlineStr">
        <is>
          <t>봉산리</t>
        </is>
      </c>
      <c r="H4221" s="3" t="inlineStr">
        <is>
          <t>제1종일반주거지역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8250</v>
      </c>
      <c r="C4222" s="4" t="n">
        <v>912</v>
      </c>
      <c r="D4222" s="4" t="n">
        <v>275.88</v>
      </c>
      <c r="E4222" s="5" t="n">
        <v>29.9</v>
      </c>
      <c r="F4222" s="3" t="inlineStr">
        <is>
          <t>현도면</t>
        </is>
      </c>
      <c r="G4222" s="3" t="inlineStr">
        <is>
          <t>선동리</t>
        </is>
      </c>
      <c r="H4222" s="3" t="inlineStr">
        <is>
          <t>개발제한구역</t>
        </is>
      </c>
      <c r="I4222" s="3" t="inlineStr">
        <is>
          <t>답</t>
        </is>
      </c>
      <c r="J4222" s="3" t="inlineStr">
        <is>
          <t>현도면</t>
        </is>
      </c>
    </row>
    <row r="4223">
      <c r="A4223" s="3" t="n">
        <v>2022</v>
      </c>
      <c r="B4223" s="4" t="n">
        <v>5000</v>
      </c>
      <c r="C4223" s="4" t="n">
        <v>585</v>
      </c>
      <c r="D4223" s="4" t="n">
        <v>176.9625</v>
      </c>
      <c r="E4223" s="5" t="n">
        <v>28.3</v>
      </c>
      <c r="F4223" s="3" t="inlineStr">
        <is>
          <t>현도면</t>
        </is>
      </c>
      <c r="G4223" s="3" t="inlineStr">
        <is>
          <t>선동리</t>
        </is>
      </c>
      <c r="H4223" s="3" t="inlineStr">
        <is>
          <t>개발제한구역</t>
        </is>
      </c>
      <c r="I4223" s="3" t="inlineStr">
        <is>
          <t>답</t>
        </is>
      </c>
      <c r="J4223" s="3" t="inlineStr">
        <is>
          <t>현도면</t>
        </is>
      </c>
    </row>
    <row r="4224">
      <c r="A4224" s="3" t="n">
        <v>2022</v>
      </c>
      <c r="B4224" s="4" t="n">
        <v>13000</v>
      </c>
      <c r="C4224" s="4" t="n">
        <v>20752</v>
      </c>
      <c r="D4224" s="4" t="n">
        <v>6277.48</v>
      </c>
      <c r="E4224" s="5" t="n">
        <v>2.1</v>
      </c>
      <c r="F4224" s="3" t="inlineStr">
        <is>
          <t>현도면</t>
        </is>
      </c>
      <c r="G4224" s="3" t="inlineStr">
        <is>
          <t>시동리</t>
        </is>
      </c>
      <c r="H4224" s="3" t="inlineStr">
        <is>
          <t>농림지역</t>
        </is>
      </c>
      <c r="I4224" s="3" t="inlineStr">
        <is>
          <t>임야</t>
        </is>
      </c>
      <c r="J4224" s="3" t="inlineStr">
        <is>
          <t>현도면</t>
        </is>
      </c>
    </row>
    <row r="4225">
      <c r="A4225" s="3" t="n">
        <v>2022</v>
      </c>
      <c r="B4225" s="4" t="n">
        <v>5400</v>
      </c>
      <c r="C4225" s="4" t="n">
        <v>631</v>
      </c>
      <c r="D4225" s="4" t="n">
        <v>190.8775</v>
      </c>
      <c r="E4225" s="5" t="n">
        <v>28.3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보전관리지역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2022</v>
      </c>
      <c r="B4226" s="4" t="n">
        <v>10500</v>
      </c>
      <c r="C4226" s="4" t="n">
        <v>532</v>
      </c>
      <c r="D4226" s="4" t="n">
        <v>160.93</v>
      </c>
      <c r="E4226" s="5" t="n">
        <v>65.2</v>
      </c>
      <c r="F4226" s="3" t="inlineStr">
        <is>
          <t>남이면</t>
        </is>
      </c>
      <c r="G4226" s="3" t="inlineStr">
        <is>
          <t>석판리</t>
        </is>
      </c>
      <c r="H4226" s="3" t="inlineStr">
        <is>
          <t>자연녹지지역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2022</v>
      </c>
      <c r="B4227" s="4" t="n">
        <v>1300</v>
      </c>
      <c r="C4227" s="4" t="n">
        <v>159</v>
      </c>
      <c r="D4227" s="4" t="n">
        <v>48.0975</v>
      </c>
      <c r="E4227" s="5" t="n">
        <v>27</v>
      </c>
      <c r="F4227" s="3" t="inlineStr">
        <is>
          <t>남이면</t>
        </is>
      </c>
      <c r="G4227" s="3" t="inlineStr">
        <is>
          <t>대련리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4500</v>
      </c>
      <c r="C4228" s="4" t="n">
        <v>499</v>
      </c>
      <c r="D4228" s="4" t="n">
        <v>150.9475</v>
      </c>
      <c r="E4228" s="5" t="n">
        <v>29.8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30700</v>
      </c>
      <c r="C4229" s="4" t="n">
        <v>2000</v>
      </c>
      <c r="D4229" s="4" t="n">
        <v>605</v>
      </c>
      <c r="E4229" s="5" t="n">
        <v>50.7</v>
      </c>
      <c r="F4229" s="3" t="inlineStr">
        <is>
          <t>남이면</t>
        </is>
      </c>
      <c r="G4229" s="3" t="inlineStr">
        <is>
          <t>대련리</t>
        </is>
      </c>
      <c r="H4229" s="3" t="inlineStr">
        <is>
          <t>자연녹지지역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2022</v>
      </c>
      <c r="B4230" s="4" t="n">
        <v>28472</v>
      </c>
      <c r="C4230" s="4" t="n">
        <v>3709</v>
      </c>
      <c r="D4230" s="4" t="n">
        <v>1121.9725</v>
      </c>
      <c r="E4230" s="5" t="n">
        <v>25.4</v>
      </c>
      <c r="F4230" s="3" t="inlineStr">
        <is>
          <t>현도면</t>
        </is>
      </c>
      <c r="G4230" s="3" t="inlineStr">
        <is>
          <t>죽전리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현도면</t>
        </is>
      </c>
    </row>
    <row r="4231">
      <c r="A4231" s="3" t="n">
        <v>2022</v>
      </c>
      <c r="B4231" s="4" t="n">
        <v>11728</v>
      </c>
      <c r="C4231" s="4" t="n">
        <v>1512</v>
      </c>
      <c r="D4231" s="4" t="n">
        <v>457.38</v>
      </c>
      <c r="E4231" s="5" t="n">
        <v>25.6</v>
      </c>
      <c r="F4231" s="3" t="inlineStr">
        <is>
          <t>현도면</t>
        </is>
      </c>
      <c r="G4231" s="3" t="inlineStr">
        <is>
          <t>우록리</t>
        </is>
      </c>
      <c r="H4231" s="3" t="inlineStr">
        <is>
          <t>계획관리지역</t>
        </is>
      </c>
      <c r="I4231" s="3" t="inlineStr">
        <is>
          <t>전</t>
        </is>
      </c>
      <c r="J4231" s="3" t="inlineStr">
        <is>
          <t>현도면</t>
        </is>
      </c>
    </row>
    <row r="4232">
      <c r="A4232" s="3" t="n">
        <v>2022</v>
      </c>
      <c r="B4232" s="4" t="n">
        <v>36800</v>
      </c>
      <c r="C4232" s="4" t="n">
        <v>2585</v>
      </c>
      <c r="D4232" s="4" t="n">
        <v>781.9625</v>
      </c>
      <c r="E4232" s="5" t="n">
        <v>47.1</v>
      </c>
      <c r="F4232" s="3" t="inlineStr">
        <is>
          <t>남이면</t>
        </is>
      </c>
      <c r="G4232" s="3" t="inlineStr">
        <is>
          <t>석실리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2022</v>
      </c>
      <c r="B4233" s="4" t="n">
        <v>9000</v>
      </c>
      <c r="C4233" s="4" t="n">
        <v>3153</v>
      </c>
      <c r="D4233" s="4" t="n">
        <v>953.7825</v>
      </c>
      <c r="E4233" s="5" t="n">
        <v>9.4</v>
      </c>
      <c r="F4233" s="3" t="inlineStr">
        <is>
          <t>현도면</t>
        </is>
      </c>
      <c r="G4233" s="3" t="inlineStr">
        <is>
          <t>양지리</t>
        </is>
      </c>
      <c r="H4233" s="3" t="inlineStr">
        <is>
          <t>개발제한구역</t>
        </is>
      </c>
      <c r="I4233" s="3" t="inlineStr">
        <is>
          <t>임야</t>
        </is>
      </c>
      <c r="J4233" s="3" t="inlineStr">
        <is>
          <t>현도면</t>
        </is>
      </c>
    </row>
    <row r="4234">
      <c r="A4234" s="3" t="n">
        <v>2022</v>
      </c>
      <c r="B4234" s="4" t="n">
        <v>200</v>
      </c>
      <c r="C4234" s="4" t="n">
        <v>432</v>
      </c>
      <c r="D4234" s="4" t="n">
        <v>130.68</v>
      </c>
      <c r="E4234" s="5" t="n">
        <v>1.5</v>
      </c>
      <c r="F4234" s="3" t="inlineStr">
        <is>
          <t>현도면</t>
        </is>
      </c>
      <c r="G4234" s="3" t="inlineStr">
        <is>
          <t>하석리</t>
        </is>
      </c>
      <c r="H4234" s="3" t="inlineStr">
        <is>
          <t>개발제한구역</t>
        </is>
      </c>
      <c r="I4234" s="3" t="inlineStr">
        <is>
          <t>묘지</t>
        </is>
      </c>
      <c r="J4234" s="3" t="inlineStr">
        <is>
          <t>현도면</t>
        </is>
      </c>
    </row>
    <row r="4235">
      <c r="A4235" s="3" t="n">
        <v>2022</v>
      </c>
      <c r="B4235" s="4" t="n">
        <v>45000</v>
      </c>
      <c r="C4235" s="4" t="n">
        <v>2618</v>
      </c>
      <c r="D4235" s="4" t="n">
        <v>791.9449999999999</v>
      </c>
      <c r="E4235" s="5" t="n">
        <v>56.8</v>
      </c>
      <c r="F4235" s="3" t="inlineStr">
        <is>
          <t>남이면</t>
        </is>
      </c>
      <c r="G4235" s="3" t="inlineStr">
        <is>
          <t>수대리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15000</v>
      </c>
      <c r="C4236" s="4" t="n">
        <v>1250</v>
      </c>
      <c r="D4236" s="4" t="n">
        <v>378.125</v>
      </c>
      <c r="E4236" s="5" t="n">
        <v>39.7</v>
      </c>
      <c r="F4236" s="3" t="inlineStr">
        <is>
          <t>남이면</t>
        </is>
      </c>
      <c r="G4236" s="3" t="inlineStr">
        <is>
          <t>수대리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남이면</t>
        </is>
      </c>
    </row>
    <row r="4237">
      <c r="A4237" s="3" t="n">
        <v>2022</v>
      </c>
      <c r="B4237" s="4" t="n">
        <v>26000</v>
      </c>
      <c r="C4237" s="4" t="n">
        <v>705</v>
      </c>
      <c r="D4237" s="4" t="n">
        <v>213.2625</v>
      </c>
      <c r="E4237" s="5" t="n">
        <v>121.9</v>
      </c>
      <c r="F4237" s="3" t="inlineStr">
        <is>
          <t>남이면</t>
        </is>
      </c>
      <c r="G4237" s="3" t="inlineStr">
        <is>
          <t>구암리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남이면</t>
        </is>
      </c>
    </row>
    <row r="4238">
      <c r="A4238" s="3" t="n">
        <v>2022</v>
      </c>
      <c r="B4238" s="4" t="n">
        <v>6541</v>
      </c>
      <c r="C4238" s="4" t="n">
        <v>698</v>
      </c>
      <c r="D4238" s="4" t="n">
        <v>211.145</v>
      </c>
      <c r="E4238" s="5" t="n">
        <v>31</v>
      </c>
      <c r="F4238" s="3" t="inlineStr">
        <is>
          <t>현도면</t>
        </is>
      </c>
      <c r="G4238" s="3" t="inlineStr">
        <is>
          <t>노산리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2022</v>
      </c>
      <c r="B4239" s="4" t="n">
        <v>250</v>
      </c>
      <c r="C4239" s="4" t="n">
        <v>83</v>
      </c>
      <c r="D4239" s="4" t="n">
        <v>25.1075</v>
      </c>
      <c r="E4239" s="5" t="n">
        <v>10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목장용지</t>
        </is>
      </c>
      <c r="J4239" s="3" t="inlineStr">
        <is>
          <t>남이면</t>
        </is>
      </c>
    </row>
    <row r="4240">
      <c r="A4240" s="3" t="n">
        <v>2022</v>
      </c>
      <c r="B4240" s="4" t="n">
        <v>650</v>
      </c>
      <c r="C4240" s="4" t="n">
        <v>206</v>
      </c>
      <c r="D4240" s="4" t="n">
        <v>62.315</v>
      </c>
      <c r="E4240" s="5" t="n">
        <v>10.4</v>
      </c>
      <c r="F4240" s="3" t="inlineStr">
        <is>
          <t>남이면</t>
        </is>
      </c>
      <c r="G4240" s="3" t="inlineStr">
        <is>
          <t>부용외천리</t>
        </is>
      </c>
      <c r="H4240" s="3" t="inlineStr">
        <is>
          <t>계획관리지역</t>
        </is>
      </c>
      <c r="I4240" s="3" t="inlineStr">
        <is>
          <t>목장용지</t>
        </is>
      </c>
      <c r="J4240" s="3" t="inlineStr">
        <is>
          <t>남이면</t>
        </is>
      </c>
    </row>
    <row r="4241">
      <c r="A4241" s="3" t="n">
        <v>2022</v>
      </c>
      <c r="B4241" s="4" t="n">
        <v>42360</v>
      </c>
      <c r="C4241" s="4" t="n">
        <v>2334</v>
      </c>
      <c r="D4241" s="4" t="n">
        <v>706.035</v>
      </c>
      <c r="E4241" s="5" t="n">
        <v>60</v>
      </c>
      <c r="F4241" s="3" t="inlineStr">
        <is>
          <t>남이면</t>
        </is>
      </c>
      <c r="G4241" s="3" t="inlineStr">
        <is>
          <t>양촌리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2428</v>
      </c>
      <c r="C4242" s="4" t="n">
        <v>139</v>
      </c>
      <c r="D4242" s="4" t="n">
        <v>42.0475</v>
      </c>
      <c r="E4242" s="5" t="n">
        <v>57.7</v>
      </c>
      <c r="F4242" s="3" t="inlineStr">
        <is>
          <t>남이면</t>
        </is>
      </c>
      <c r="G4242" s="3" t="inlineStr">
        <is>
          <t>외천리</t>
        </is>
      </c>
      <c r="H4242" s="3" t="inlineStr">
        <is>
          <t>계획관리지역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7631</v>
      </c>
      <c r="C4243" s="4" t="n">
        <v>498</v>
      </c>
      <c r="D4243" s="4" t="n">
        <v>150.645</v>
      </c>
      <c r="E4243" s="5" t="n">
        <v>50.7</v>
      </c>
      <c r="F4243" s="3" t="inlineStr">
        <is>
          <t>남이면</t>
        </is>
      </c>
      <c r="G4243" s="3" t="inlineStr">
        <is>
          <t>외천리</t>
        </is>
      </c>
      <c r="H4243" s="3" t="inlineStr">
        <is>
          <t>계획관리지역</t>
        </is>
      </c>
      <c r="I4243" s="3" t="inlineStr">
        <is>
          <t>답</t>
        </is>
      </c>
      <c r="J4243" s="3" t="inlineStr">
        <is>
          <t>남이면</t>
        </is>
      </c>
    </row>
    <row r="4244">
      <c r="A4244" s="3" t="n">
        <v>2022</v>
      </c>
      <c r="B4244" s="4" t="n">
        <v>941</v>
      </c>
      <c r="C4244" s="4" t="n">
        <v>54</v>
      </c>
      <c r="D4244" s="4" t="n">
        <v>16.335</v>
      </c>
      <c r="E4244" s="5" t="n">
        <v>57.6</v>
      </c>
      <c r="F4244" s="3" t="inlineStr">
        <is>
          <t>남이면</t>
        </is>
      </c>
      <c r="G4244" s="3" t="inlineStr">
        <is>
          <t>외천리</t>
        </is>
      </c>
      <c r="H4244" s="3" t="inlineStr">
        <is>
          <t>계획관리지역</t>
        </is>
      </c>
      <c r="I4244" s="3" t="inlineStr">
        <is>
          <t>답</t>
        </is>
      </c>
      <c r="J4244" s="3" t="inlineStr">
        <is>
          <t>남이면</t>
        </is>
      </c>
    </row>
    <row r="4245">
      <c r="A4245" s="3" t="n">
        <v>2022</v>
      </c>
      <c r="B4245" s="4" t="n">
        <v>42000</v>
      </c>
      <c r="C4245" s="4" t="n">
        <v>3927</v>
      </c>
      <c r="D4245" s="4" t="n">
        <v>1187.9175</v>
      </c>
      <c r="E4245" s="5" t="n">
        <v>35.4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10000</v>
      </c>
      <c r="C4246" s="4" t="n">
        <v>1775</v>
      </c>
      <c r="D4246" s="4" t="n">
        <v>536.9375</v>
      </c>
      <c r="E4246" s="5" t="n">
        <v>18.6</v>
      </c>
      <c r="F4246" s="3" t="inlineStr">
        <is>
          <t>남이면</t>
        </is>
      </c>
      <c r="G4246" s="3" t="inlineStr">
        <is>
          <t>척산리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남이면</t>
        </is>
      </c>
    </row>
    <row r="4247">
      <c r="A4247" s="3" t="n">
        <v>2022</v>
      </c>
      <c r="B4247" s="4" t="n">
        <v>34485</v>
      </c>
      <c r="C4247" s="4" t="n">
        <v>760</v>
      </c>
      <c r="D4247" s="4" t="n">
        <v>229.9</v>
      </c>
      <c r="E4247" s="5" t="n">
        <v>150</v>
      </c>
      <c r="F4247" s="3" t="inlineStr">
        <is>
          <t>남이면</t>
        </is>
      </c>
      <c r="G4247" s="3" t="inlineStr">
        <is>
          <t>부용외천리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2022</v>
      </c>
      <c r="B4248" s="4" t="n">
        <v>4871</v>
      </c>
      <c r="C4248" s="4" t="n">
        <v>198</v>
      </c>
      <c r="D4248" s="4" t="n">
        <v>59.895</v>
      </c>
      <c r="E4248" s="5" t="n">
        <v>81.3</v>
      </c>
      <c r="F4248" s="3" t="inlineStr">
        <is>
          <t>현도면</t>
        </is>
      </c>
      <c r="G4248" s="3" t="inlineStr">
        <is>
          <t>선동리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현도면</t>
        </is>
      </c>
    </row>
    <row r="4249">
      <c r="A4249" s="3" t="n">
        <v>2026</v>
      </c>
      <c r="B4249" s="4" t="n">
        <v>12650</v>
      </c>
      <c r="C4249" s="4" t="n">
        <v>186</v>
      </c>
      <c r="D4249" s="4" t="n">
        <v>56.265</v>
      </c>
      <c r="E4249" s="5" t="n">
        <v>224.8</v>
      </c>
      <c r="F4249" s="3" t="inlineStr">
        <is>
          <t>오송읍</t>
        </is>
      </c>
      <c r="G4249" s="3" t="inlineStr">
        <is>
          <t>정중리</t>
        </is>
      </c>
      <c r="H4249" s="3" t="inlineStr">
        <is>
          <t>보전관리지역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10770</v>
      </c>
      <c r="C4250" s="4" t="n">
        <v>158</v>
      </c>
      <c r="D4250" s="4" t="n">
        <v>47.795</v>
      </c>
      <c r="E4250" s="5" t="n">
        <v>225.3</v>
      </c>
      <c r="F4250" s="3" t="inlineStr">
        <is>
          <t>오송읍</t>
        </is>
      </c>
      <c r="G4250" s="3" t="inlineStr">
        <is>
          <t>정중리</t>
        </is>
      </c>
      <c r="H4250" s="3" t="inlineStr">
        <is>
          <t>보전관리지역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2025</v>
      </c>
      <c r="B4251" s="4" t="n">
        <v>16560</v>
      </c>
      <c r="C4251" s="4" t="n">
        <v>1370</v>
      </c>
      <c r="D4251" s="4" t="n">
        <v>414.425</v>
      </c>
      <c r="E4251" s="5" t="n">
        <v>40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계획관리지역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2025</v>
      </c>
      <c r="B4252" s="4" t="n">
        <v>4780</v>
      </c>
      <c r="C4252" s="4" t="n">
        <v>79</v>
      </c>
      <c r="D4252" s="4" t="n">
        <v>23.8975</v>
      </c>
      <c r="E4252" s="5" t="n">
        <v>200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농림지역</t>
        </is>
      </c>
      <c r="I4252" s="3" t="inlineStr">
        <is>
          <t>도로</t>
        </is>
      </c>
      <c r="J4252" s="3" t="inlineStr">
        <is>
          <t>오송읍</t>
        </is>
      </c>
    </row>
    <row r="4253">
      <c r="A4253" s="3" t="n">
        <v>2025</v>
      </c>
      <c r="B4253" s="4" t="n">
        <v>8289</v>
      </c>
      <c r="C4253" s="4" t="n">
        <v>137</v>
      </c>
      <c r="D4253" s="4" t="n">
        <v>41.4425</v>
      </c>
      <c r="E4253" s="5" t="n">
        <v>200</v>
      </c>
      <c r="F4253" s="3" t="inlineStr">
        <is>
          <t>오송읍</t>
        </is>
      </c>
      <c r="G4253" s="3" t="inlineStr">
        <is>
          <t>궁평리</t>
        </is>
      </c>
      <c r="H4253" s="3" t="inlineStr">
        <is>
          <t>농림지역</t>
        </is>
      </c>
      <c r="I4253" s="3" t="inlineStr">
        <is>
          <t>대</t>
        </is>
      </c>
      <c r="J4253" s="3" t="inlineStr">
        <is>
          <t>오송읍</t>
        </is>
      </c>
    </row>
    <row r="4254">
      <c r="A4254" s="3" t="n">
        <v>2025</v>
      </c>
      <c r="B4254" s="4" t="n">
        <v>1815</v>
      </c>
      <c r="C4254" s="4" t="n">
        <v>30</v>
      </c>
      <c r="D4254" s="4" t="n">
        <v>9.074999999999999</v>
      </c>
      <c r="E4254" s="5" t="n">
        <v>200</v>
      </c>
      <c r="F4254" s="3" t="inlineStr">
        <is>
          <t>오송읍</t>
        </is>
      </c>
      <c r="G4254" s="3" t="inlineStr">
        <is>
          <t>궁평리</t>
        </is>
      </c>
      <c r="H4254" s="3" t="inlineStr">
        <is>
          <t>농림지역</t>
        </is>
      </c>
      <c r="I4254" s="3" t="inlineStr">
        <is>
          <t>도로</t>
        </is>
      </c>
      <c r="J4254" s="3" t="inlineStr">
        <is>
          <t>오송읍</t>
        </is>
      </c>
    </row>
    <row r="4255">
      <c r="A4255" s="3" t="n">
        <v>2025</v>
      </c>
      <c r="B4255" s="4" t="n">
        <v>21720</v>
      </c>
      <c r="C4255" s="4" t="n">
        <v>359</v>
      </c>
      <c r="D4255" s="4" t="n">
        <v>108.5975</v>
      </c>
      <c r="E4255" s="5" t="n">
        <v>200</v>
      </c>
      <c r="F4255" s="3" t="inlineStr">
        <is>
          <t>오송읍</t>
        </is>
      </c>
      <c r="G4255" s="3" t="inlineStr">
        <is>
          <t>궁평리</t>
        </is>
      </c>
      <c r="H4255" s="3" t="inlineStr">
        <is>
          <t>농림지역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2025</v>
      </c>
      <c r="B4256" s="4" t="n">
        <v>9900</v>
      </c>
      <c r="C4256" s="4" t="n">
        <v>353</v>
      </c>
      <c r="D4256" s="4" t="n">
        <v>106.7825</v>
      </c>
      <c r="E4256" s="5" t="n">
        <v>92.7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2025</v>
      </c>
      <c r="B4257" s="4" t="n">
        <v>13890</v>
      </c>
      <c r="C4257" s="4" t="n">
        <v>495</v>
      </c>
      <c r="D4257" s="4" t="n">
        <v>149.7375</v>
      </c>
      <c r="E4257" s="5" t="n">
        <v>92.8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3600</v>
      </c>
      <c r="C4258" s="4" t="n">
        <v>112</v>
      </c>
      <c r="D4258" s="4" t="n">
        <v>33.88</v>
      </c>
      <c r="E4258" s="5" t="n">
        <v>106.3</v>
      </c>
      <c r="F4258" s="3" t="inlineStr">
        <is>
          <t>현도면</t>
        </is>
      </c>
      <c r="G4258" s="3" t="inlineStr">
        <is>
          <t>하석리</t>
        </is>
      </c>
      <c r="H4258" s="3" t="inlineStr">
        <is>
          <t>자연녹지지역</t>
        </is>
      </c>
      <c r="I4258" s="3" t="inlineStr">
        <is>
          <t>대</t>
        </is>
      </c>
      <c r="J4258" s="3" t="inlineStr">
        <is>
          <t>현도면</t>
        </is>
      </c>
    </row>
    <row r="4259">
      <c r="A4259" s="3" t="n">
        <v>2024</v>
      </c>
      <c r="B4259" s="4" t="n">
        <v>6400</v>
      </c>
      <c r="C4259" s="4" t="n">
        <v>1559</v>
      </c>
      <c r="D4259" s="4" t="n">
        <v>471.5975</v>
      </c>
      <c r="E4259" s="5" t="n">
        <v>13.6</v>
      </c>
      <c r="F4259" s="3" t="inlineStr">
        <is>
          <t>현도면</t>
        </is>
      </c>
      <c r="G4259" s="3" t="inlineStr">
        <is>
          <t>양지리</t>
        </is>
      </c>
      <c r="H4259" s="3" t="inlineStr">
        <is>
          <t>자연녹지지역</t>
        </is>
      </c>
      <c r="I4259" s="3" t="inlineStr">
        <is>
          <t>전</t>
        </is>
      </c>
      <c r="J4259" s="3" t="inlineStr">
        <is>
          <t>현도면</t>
        </is>
      </c>
    </row>
    <row r="4260">
      <c r="A4260" s="3" t="n">
        <v>2024</v>
      </c>
      <c r="B4260" s="4" t="n">
        <v>73986</v>
      </c>
      <c r="C4260" s="4" t="n">
        <v>3524</v>
      </c>
      <c r="D4260" s="4" t="n">
        <v>1066.01</v>
      </c>
      <c r="E4260" s="5" t="n">
        <v>69.40000000000001</v>
      </c>
      <c r="F4260" s="3" t="inlineStr">
        <is>
          <t>남이면</t>
        </is>
      </c>
      <c r="G4260" s="3" t="inlineStr">
        <is>
          <t>석판리</t>
        </is>
      </c>
      <c r="H4260" s="3" t="inlineStr">
        <is>
          <t>보전녹지지역</t>
        </is>
      </c>
      <c r="I4260" s="3" t="inlineStr">
        <is>
          <t>전</t>
        </is>
      </c>
      <c r="J4260" s="3" t="inlineStr">
        <is>
          <t>남이면</t>
        </is>
      </c>
    </row>
    <row r="4261">
      <c r="A4261" s="3" t="n">
        <v>2024</v>
      </c>
      <c r="B4261" s="4" t="n">
        <v>20160</v>
      </c>
      <c r="C4261" s="4" t="n">
        <v>1388</v>
      </c>
      <c r="D4261" s="4" t="n">
        <v>419.87</v>
      </c>
      <c r="E4261" s="5" t="n">
        <v>48</v>
      </c>
      <c r="F4261" s="3" t="inlineStr">
        <is>
          <t>남이면</t>
        </is>
      </c>
      <c r="G4261" s="3" t="inlineStr">
        <is>
          <t>석판리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2024</v>
      </c>
      <c r="B4262" s="4" t="n">
        <v>4724</v>
      </c>
      <c r="C4262" s="4" t="n">
        <v>225</v>
      </c>
      <c r="D4262" s="4" t="n">
        <v>68.0625</v>
      </c>
      <c r="E4262" s="5" t="n">
        <v>69.40000000000001</v>
      </c>
      <c r="F4262" s="3" t="inlineStr">
        <is>
          <t>남이면</t>
        </is>
      </c>
      <c r="G4262" s="3" t="inlineStr">
        <is>
          <t>석판리</t>
        </is>
      </c>
      <c r="H4262" s="3" t="inlineStr">
        <is>
          <t>자연녹지지역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2024</v>
      </c>
      <c r="B4263" s="4" t="n">
        <v>1131</v>
      </c>
      <c r="C4263" s="4" t="n">
        <v>298</v>
      </c>
      <c r="D4263" s="4" t="n">
        <v>90.145</v>
      </c>
      <c r="E4263" s="5" t="n">
        <v>12.5</v>
      </c>
      <c r="F4263" s="3" t="inlineStr">
        <is>
          <t>남이면</t>
        </is>
      </c>
      <c r="G4263" s="3" t="inlineStr">
        <is>
          <t>석판리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2024</v>
      </c>
      <c r="B4264" s="4" t="n">
        <v>1092</v>
      </c>
      <c r="C4264" s="4" t="n">
        <v>52</v>
      </c>
      <c r="D4264" s="4" t="n">
        <v>15.73</v>
      </c>
      <c r="E4264" s="5" t="n">
        <v>69.40000000000001</v>
      </c>
      <c r="F4264" s="3" t="inlineStr">
        <is>
          <t>남이면</t>
        </is>
      </c>
      <c r="G4264" s="3" t="inlineStr">
        <is>
          <t>양촌리</t>
        </is>
      </c>
      <c r="H4264" s="3" t="inlineStr">
        <is>
          <t>자연녹지지역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2024</v>
      </c>
      <c r="B4265" s="4" t="n">
        <v>231</v>
      </c>
      <c r="C4265" s="4" t="n">
        <v>11</v>
      </c>
      <c r="D4265" s="4" t="n">
        <v>3.3275</v>
      </c>
      <c r="E4265" s="5" t="n">
        <v>69.40000000000001</v>
      </c>
      <c r="F4265" s="3" t="inlineStr">
        <is>
          <t>남이면</t>
        </is>
      </c>
      <c r="G4265" s="3" t="inlineStr">
        <is>
          <t>양촌리</t>
        </is>
      </c>
      <c r="H4265" s="3" t="inlineStr">
        <is>
          <t>자연녹지지역</t>
        </is>
      </c>
      <c r="I4265" s="3" t="inlineStr">
        <is>
          <t>전</t>
        </is>
      </c>
      <c r="J4265" s="3" t="inlineStr">
        <is>
          <t>남이면</t>
        </is>
      </c>
    </row>
    <row r="4266">
      <c r="A4266" s="3" t="n">
        <v>2024</v>
      </c>
      <c r="B4266" s="4" t="n">
        <v>903</v>
      </c>
      <c r="C4266" s="4" t="n">
        <v>43</v>
      </c>
      <c r="D4266" s="4" t="n">
        <v>13.0075</v>
      </c>
      <c r="E4266" s="5" t="n">
        <v>69.40000000000001</v>
      </c>
      <c r="F4266" s="3" t="inlineStr">
        <is>
          <t>남이면</t>
        </is>
      </c>
      <c r="G4266" s="3" t="inlineStr">
        <is>
          <t>양촌리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2024</v>
      </c>
      <c r="B4267" s="4" t="n">
        <v>620</v>
      </c>
      <c r="C4267" s="4" t="n">
        <v>20</v>
      </c>
      <c r="D4267" s="4" t="n">
        <v>6.05</v>
      </c>
      <c r="E4267" s="5" t="n">
        <v>102.5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2024</v>
      </c>
      <c r="B4268" s="4" t="n">
        <v>4700</v>
      </c>
      <c r="C4268" s="4" t="n">
        <v>4722</v>
      </c>
      <c r="D4268" s="4" t="n">
        <v>1428.405</v>
      </c>
      <c r="E4268" s="5" t="n">
        <v>3.3</v>
      </c>
      <c r="F4268" s="3" t="inlineStr">
        <is>
          <t>남이면</t>
        </is>
      </c>
      <c r="G4268" s="3" t="inlineStr">
        <is>
          <t>양촌리</t>
        </is>
      </c>
      <c r="H4268" s="3" t="inlineStr">
        <is>
          <t>보전녹지지역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2024</v>
      </c>
      <c r="B4269" s="4" t="n">
        <v>1800</v>
      </c>
      <c r="C4269" s="4" t="n">
        <v>236</v>
      </c>
      <c r="D4269" s="4" t="n">
        <v>71.39</v>
      </c>
      <c r="E4269" s="5" t="n">
        <v>25.2</v>
      </c>
      <c r="F4269" s="3" t="inlineStr">
        <is>
          <t>남이면</t>
        </is>
      </c>
      <c r="G4269" s="3" t="inlineStr">
        <is>
          <t>양촌리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2024</v>
      </c>
      <c r="B4270" s="4" t="n">
        <v>6840</v>
      </c>
      <c r="C4270" s="4" t="n">
        <v>502</v>
      </c>
      <c r="D4270" s="4" t="n">
        <v>151.855</v>
      </c>
      <c r="E4270" s="5" t="n">
        <v>45</v>
      </c>
      <c r="F4270" s="3" t="inlineStr">
        <is>
          <t>남이면</t>
        </is>
      </c>
      <c r="G4270" s="3" t="inlineStr">
        <is>
          <t>구암리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2025</v>
      </c>
      <c r="B4271" s="4" t="n">
        <v>14000</v>
      </c>
      <c r="C4271" s="4" t="n">
        <v>418</v>
      </c>
      <c r="D4271" s="4" t="n">
        <v>126.445</v>
      </c>
      <c r="E4271" s="5" t="n">
        <v>110.7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강내면</t>
        </is>
      </c>
    </row>
    <row r="4272">
      <c r="A4272" s="3" t="n">
        <v>2025</v>
      </c>
      <c r="B4272" s="4" t="n">
        <v>12000</v>
      </c>
      <c r="C4272" s="4" t="n">
        <v>616</v>
      </c>
      <c r="D4272" s="4" t="n">
        <v>186.34</v>
      </c>
      <c r="E4272" s="5" t="n">
        <v>64.40000000000001</v>
      </c>
      <c r="F4272" s="3" t="inlineStr">
        <is>
          <t>강내면</t>
        </is>
      </c>
      <c r="G4272" s="3" t="inlineStr">
        <is>
          <t>석화리</t>
        </is>
      </c>
      <c r="H4272" s="3" t="inlineStr">
        <is>
          <t>생산녹지지역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7574</v>
      </c>
      <c r="C4273" s="4" t="n">
        <v>1052</v>
      </c>
      <c r="D4273" s="4" t="n">
        <v>318.23</v>
      </c>
      <c r="E4273" s="5" t="n">
        <v>23.8</v>
      </c>
      <c r="F4273" s="3" t="inlineStr">
        <is>
          <t>강내면</t>
        </is>
      </c>
      <c r="G4273" s="3" t="inlineStr">
        <is>
          <t>연정리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강내면</t>
        </is>
      </c>
    </row>
    <row r="4274">
      <c r="A4274" s="3" t="n">
        <v>2025</v>
      </c>
      <c r="B4274" s="4" t="n">
        <v>1015</v>
      </c>
      <c r="C4274" s="4" t="n">
        <v>141</v>
      </c>
      <c r="D4274" s="4" t="n">
        <v>42.6525</v>
      </c>
      <c r="E4274" s="5" t="n">
        <v>23.8</v>
      </c>
      <c r="F4274" s="3" t="inlineStr">
        <is>
          <t>강내면</t>
        </is>
      </c>
      <c r="G4274" s="3" t="inlineStr">
        <is>
          <t>연정리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2022</v>
      </c>
      <c r="B4275" s="4" t="n">
        <v>15700</v>
      </c>
      <c r="C4275" s="4" t="n">
        <v>427</v>
      </c>
      <c r="D4275" s="4" t="n">
        <v>129.1675</v>
      </c>
      <c r="E4275" s="5" t="n">
        <v>121.5</v>
      </c>
      <c r="F4275" s="3" t="inlineStr">
        <is>
          <t>남이면</t>
        </is>
      </c>
      <c r="G4275" s="3" t="inlineStr">
        <is>
          <t>척북리</t>
        </is>
      </c>
      <c r="H4275" s="3" t="inlineStr">
        <is>
          <t>자연녹지지역</t>
        </is>
      </c>
      <c r="I4275" s="3" t="inlineStr">
        <is>
          <t>답</t>
        </is>
      </c>
      <c r="J4275" s="3" t="inlineStr">
        <is>
          <t>남이면</t>
        </is>
      </c>
    </row>
    <row r="4276">
      <c r="A4276" s="3" t="n">
        <v>2022</v>
      </c>
      <c r="B4276" s="4" t="n">
        <v>109189</v>
      </c>
      <c r="C4276" s="4" t="n">
        <v>1818</v>
      </c>
      <c r="D4276" s="4" t="n">
        <v>549.9449999999999</v>
      </c>
      <c r="E4276" s="5" t="n">
        <v>198.5</v>
      </c>
      <c r="F4276" s="3" t="inlineStr">
        <is>
          <t>남이면</t>
        </is>
      </c>
      <c r="G4276" s="3" t="inlineStr">
        <is>
          <t>구암리</t>
        </is>
      </c>
      <c r="H4276" s="3" t="inlineStr">
        <is>
          <t>자연녹지지역</t>
        </is>
      </c>
      <c r="I4276" s="3" t="inlineStr">
        <is>
          <t>주차장</t>
        </is>
      </c>
      <c r="J4276" s="3" t="inlineStr">
        <is>
          <t>남이면</t>
        </is>
      </c>
    </row>
    <row r="4277">
      <c r="A4277" s="3" t="n">
        <v>2022</v>
      </c>
      <c r="B4277" s="4" t="n">
        <v>190811</v>
      </c>
      <c r="C4277" s="4" t="n">
        <v>3177</v>
      </c>
      <c r="D4277" s="4" t="n">
        <v>961.0425</v>
      </c>
      <c r="E4277" s="5" t="n">
        <v>198.5</v>
      </c>
      <c r="F4277" s="3" t="inlineStr">
        <is>
          <t>남이면</t>
        </is>
      </c>
      <c r="G4277" s="3" t="inlineStr">
        <is>
          <t>구암리</t>
        </is>
      </c>
      <c r="H4277" s="3" t="inlineStr">
        <is>
          <t>자연녹지지역</t>
        </is>
      </c>
      <c r="I4277" s="3" t="inlineStr">
        <is>
          <t>주차장</t>
        </is>
      </c>
      <c r="J4277" s="3" t="inlineStr">
        <is>
          <t>남이면</t>
        </is>
      </c>
    </row>
    <row r="4278">
      <c r="A4278" s="3" t="n">
        <v>2022</v>
      </c>
      <c r="B4278" s="4" t="n">
        <v>59265</v>
      </c>
      <c r="C4278" s="4" t="n">
        <v>9752</v>
      </c>
      <c r="D4278" s="4" t="n">
        <v>2949.98</v>
      </c>
      <c r="E4278" s="5" t="n">
        <v>20.1</v>
      </c>
      <c r="F4278" s="3" t="inlineStr">
        <is>
          <t>남이면</t>
        </is>
      </c>
      <c r="G4278" s="3" t="inlineStr">
        <is>
          <t>석판리</t>
        </is>
      </c>
      <c r="H4278" s="3" t="inlineStr">
        <is>
          <t>보전녹지지역</t>
        </is>
      </c>
      <c r="I4278" s="3" t="inlineStr">
        <is>
          <t>임야</t>
        </is>
      </c>
      <c r="J4278" s="3" t="inlineStr">
        <is>
          <t>남이면</t>
        </is>
      </c>
    </row>
    <row r="4279">
      <c r="A4279" s="3" t="n">
        <v>2022</v>
      </c>
      <c r="B4279" s="4" t="n">
        <v>600</v>
      </c>
      <c r="C4279" s="4" t="n">
        <v>22</v>
      </c>
      <c r="D4279" s="4" t="n">
        <v>6.654999999999999</v>
      </c>
      <c r="E4279" s="5" t="n">
        <v>90.2</v>
      </c>
      <c r="F4279" s="3" t="inlineStr">
        <is>
          <t>남이면</t>
        </is>
      </c>
      <c r="G4279" s="3" t="inlineStr">
        <is>
          <t>가마리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남이면</t>
        </is>
      </c>
    </row>
    <row r="4280">
      <c r="A4280" s="3" t="n">
        <v>2022</v>
      </c>
      <c r="B4280" s="4" t="n">
        <v>25530</v>
      </c>
      <c r="C4280" s="4" t="n">
        <v>938</v>
      </c>
      <c r="D4280" s="4" t="n">
        <v>283.745</v>
      </c>
      <c r="E4280" s="5" t="n">
        <v>90</v>
      </c>
      <c r="F4280" s="3" t="inlineStr">
        <is>
          <t>남이면</t>
        </is>
      </c>
      <c r="G4280" s="3" t="inlineStr">
        <is>
          <t>가마리</t>
        </is>
      </c>
      <c r="H4280" s="3" t="inlineStr">
        <is>
          <t>자연녹지지역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1000</v>
      </c>
      <c r="C4281" s="4" t="n">
        <v>1000</v>
      </c>
      <c r="D4281" s="4" t="n">
        <v>302.5</v>
      </c>
      <c r="E4281" s="5" t="n">
        <v>3.3</v>
      </c>
      <c r="F4281" s="3" t="inlineStr">
        <is>
          <t>남이면</t>
        </is>
      </c>
      <c r="G4281" s="3" t="inlineStr">
        <is>
          <t>석판리</t>
        </is>
      </c>
      <c r="H4281" s="3" t="inlineStr">
        <is>
          <t>보전녹지지역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1000</v>
      </c>
      <c r="C4282" s="4" t="n">
        <v>1000</v>
      </c>
      <c r="D4282" s="4" t="n">
        <v>302.5</v>
      </c>
      <c r="E4282" s="5" t="n">
        <v>3.3</v>
      </c>
      <c r="F4282" s="3" t="inlineStr">
        <is>
          <t>남이면</t>
        </is>
      </c>
      <c r="G4282" s="3" t="inlineStr">
        <is>
          <t>석판리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2022</v>
      </c>
      <c r="B4283" s="4" t="n">
        <v>1000</v>
      </c>
      <c r="C4283" s="4" t="n">
        <v>1000</v>
      </c>
      <c r="D4283" s="4" t="n">
        <v>302.5</v>
      </c>
      <c r="E4283" s="5" t="n">
        <v>3.3</v>
      </c>
      <c r="F4283" s="3" t="inlineStr">
        <is>
          <t>남이면</t>
        </is>
      </c>
      <c r="G4283" s="3" t="inlineStr">
        <is>
          <t>석판리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2022</v>
      </c>
      <c r="B4284" s="4" t="n">
        <v>693</v>
      </c>
      <c r="C4284" s="4" t="n">
        <v>693</v>
      </c>
      <c r="D4284" s="4" t="n">
        <v>209.6325</v>
      </c>
      <c r="E4284" s="5" t="n">
        <v>3.3</v>
      </c>
      <c r="F4284" s="3" t="inlineStr">
        <is>
          <t>남이면</t>
        </is>
      </c>
      <c r="G4284" s="3" t="inlineStr">
        <is>
          <t>석판리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2022</v>
      </c>
      <c r="B4285" s="4" t="n">
        <v>6020</v>
      </c>
      <c r="C4285" s="4" t="n">
        <v>94</v>
      </c>
      <c r="D4285" s="4" t="n">
        <v>28.435</v>
      </c>
      <c r="E4285" s="5" t="n">
        <v>211.7</v>
      </c>
      <c r="F4285" s="3" t="inlineStr">
        <is>
          <t>남이면</t>
        </is>
      </c>
      <c r="G4285" s="3" t="inlineStr">
        <is>
          <t>가마리</t>
        </is>
      </c>
      <c r="H4285" s="3" t="inlineStr">
        <is>
          <t>자연녹지지역</t>
        </is>
      </c>
      <c r="I4285" s="3" t="inlineStr">
        <is>
          <t>도로</t>
        </is>
      </c>
      <c r="J4285" s="3" t="inlineStr">
        <is>
          <t>남이면</t>
        </is>
      </c>
    </row>
    <row r="4286">
      <c r="A4286" s="3" t="n">
        <v>2022</v>
      </c>
      <c r="B4286" s="4" t="n">
        <v>1000</v>
      </c>
      <c r="C4286" s="4" t="n">
        <v>1000</v>
      </c>
      <c r="D4286" s="4" t="n">
        <v>302.5</v>
      </c>
      <c r="E4286" s="5" t="n">
        <v>3.3</v>
      </c>
      <c r="F4286" s="3" t="inlineStr">
        <is>
          <t>남이면</t>
        </is>
      </c>
      <c r="G4286" s="3" t="inlineStr">
        <is>
          <t>석판리</t>
        </is>
      </c>
      <c r="H4286" s="3" t="inlineStr">
        <is>
          <t>보전녹지지역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2022</v>
      </c>
      <c r="B4287" s="4" t="n">
        <v>31100</v>
      </c>
      <c r="C4287" s="4" t="n">
        <v>2571</v>
      </c>
      <c r="D4287" s="4" t="n">
        <v>777.7275</v>
      </c>
      <c r="E4287" s="5" t="n">
        <v>40</v>
      </c>
      <c r="F4287" s="3" t="inlineStr">
        <is>
          <t>현도면</t>
        </is>
      </c>
      <c r="G4287" s="3" t="inlineStr">
        <is>
          <t>노산리</t>
        </is>
      </c>
      <c r="H4287" s="3" t="inlineStr">
        <is>
          <t>개발제한구역</t>
        </is>
      </c>
      <c r="I4287" s="3" t="inlineStr">
        <is>
          <t>답</t>
        </is>
      </c>
      <c r="J4287" s="3" t="inlineStr">
        <is>
          <t>현도면</t>
        </is>
      </c>
    </row>
    <row r="4288">
      <c r="A4288" s="3" t="n">
        <v>2022</v>
      </c>
      <c r="B4288" s="4" t="n">
        <v>11450</v>
      </c>
      <c r="C4288" s="4" t="n">
        <v>946</v>
      </c>
      <c r="D4288" s="4" t="n">
        <v>286.165</v>
      </c>
      <c r="E4288" s="5" t="n">
        <v>40</v>
      </c>
      <c r="F4288" s="3" t="inlineStr">
        <is>
          <t>현도면</t>
        </is>
      </c>
      <c r="G4288" s="3" t="inlineStr">
        <is>
          <t>노산리</t>
        </is>
      </c>
      <c r="H4288" s="3" t="inlineStr">
        <is>
          <t>개발제한구역</t>
        </is>
      </c>
      <c r="I4288" s="3" t="inlineStr">
        <is>
          <t>답</t>
        </is>
      </c>
      <c r="J4288" s="3" t="inlineStr">
        <is>
          <t>현도면</t>
        </is>
      </c>
    </row>
    <row r="4289">
      <c r="A4289" s="3" t="n">
        <v>2022</v>
      </c>
      <c r="B4289" s="4" t="n">
        <v>9990</v>
      </c>
      <c r="C4289" s="4" t="n">
        <v>367</v>
      </c>
      <c r="D4289" s="4" t="n">
        <v>111.0175</v>
      </c>
      <c r="E4289" s="5" t="n">
        <v>90</v>
      </c>
      <c r="F4289" s="3" t="inlineStr">
        <is>
          <t>남이면</t>
        </is>
      </c>
      <c r="G4289" s="3" t="inlineStr">
        <is>
          <t>가마리</t>
        </is>
      </c>
      <c r="H4289" s="3" t="inlineStr">
        <is>
          <t>자연녹지지역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2022</v>
      </c>
      <c r="B4290" s="4" t="n">
        <v>2120</v>
      </c>
      <c r="C4290" s="4" t="n">
        <v>78</v>
      </c>
      <c r="D4290" s="4" t="n">
        <v>23.595</v>
      </c>
      <c r="E4290" s="5" t="n">
        <v>89.8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자연녹지지역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2022</v>
      </c>
      <c r="B4291" s="4" t="n">
        <v>10000</v>
      </c>
      <c r="C4291" s="4" t="n">
        <v>398</v>
      </c>
      <c r="D4291" s="4" t="n">
        <v>120.395</v>
      </c>
      <c r="E4291" s="5" t="n">
        <v>83.09999999999999</v>
      </c>
      <c r="F4291" s="3" t="inlineStr">
        <is>
          <t>남이면</t>
        </is>
      </c>
      <c r="G4291" s="3" t="inlineStr">
        <is>
          <t>구미리</t>
        </is>
      </c>
      <c r="H4291" s="3" t="inlineStr">
        <is>
          <t>계획관리지역</t>
        </is>
      </c>
      <c r="I4291" s="3" t="inlineStr">
        <is>
          <t>대</t>
        </is>
      </c>
      <c r="J4291" s="3" t="inlineStr">
        <is>
          <t>남이면</t>
        </is>
      </c>
    </row>
    <row r="4292">
      <c r="A4292" s="3" t="n">
        <v>2022</v>
      </c>
      <c r="B4292" s="4" t="n">
        <v>600</v>
      </c>
      <c r="C4292" s="4" t="n">
        <v>22</v>
      </c>
      <c r="D4292" s="4" t="n">
        <v>6.654999999999999</v>
      </c>
      <c r="E4292" s="5" t="n">
        <v>90.2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대</t>
        </is>
      </c>
      <c r="J4292" s="3" t="inlineStr">
        <is>
          <t>남이면</t>
        </is>
      </c>
    </row>
    <row r="4293">
      <c r="A4293" s="3" t="n">
        <v>2022</v>
      </c>
      <c r="B4293" s="4" t="n">
        <v>25530</v>
      </c>
      <c r="C4293" s="4" t="n">
        <v>938</v>
      </c>
      <c r="D4293" s="4" t="n">
        <v>283.745</v>
      </c>
      <c r="E4293" s="5" t="n">
        <v>90</v>
      </c>
      <c r="F4293" s="3" t="inlineStr">
        <is>
          <t>남이면</t>
        </is>
      </c>
      <c r="G4293" s="3" t="inlineStr">
        <is>
          <t>가마리</t>
        </is>
      </c>
      <c r="H4293" s="3" t="inlineStr">
        <is>
          <t>자연녹지지역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2022</v>
      </c>
      <c r="B4294" s="4" t="n">
        <v>73134</v>
      </c>
      <c r="C4294" s="4" t="n">
        <v>4449</v>
      </c>
      <c r="D4294" s="4" t="n">
        <v>1345.8225</v>
      </c>
      <c r="E4294" s="5" t="n">
        <v>54.3</v>
      </c>
      <c r="F4294" s="3" t="inlineStr">
        <is>
          <t>남이면</t>
        </is>
      </c>
      <c r="G4294" s="3" t="inlineStr">
        <is>
          <t>가마리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2022</v>
      </c>
      <c r="B4295" s="4" t="n">
        <v>16188</v>
      </c>
      <c r="C4295" s="4" t="n">
        <v>1408</v>
      </c>
      <c r="D4295" s="4" t="n">
        <v>425.92</v>
      </c>
      <c r="E4295" s="5" t="n">
        <v>38</v>
      </c>
      <c r="F4295" s="3" t="inlineStr">
        <is>
          <t>현도면</t>
        </is>
      </c>
      <c r="G4295" s="3" t="inlineStr">
        <is>
          <t>중척리</t>
        </is>
      </c>
      <c r="H4295" s="3" t="inlineStr">
        <is>
          <t>자연녹지지역</t>
        </is>
      </c>
      <c r="I4295" s="3" t="inlineStr">
        <is>
          <t>전</t>
        </is>
      </c>
      <c r="J4295" s="3" t="inlineStr">
        <is>
          <t>현도면</t>
        </is>
      </c>
    </row>
    <row r="4296">
      <c r="A4296" s="3" t="n">
        <v>2022</v>
      </c>
      <c r="B4296" s="4" t="n">
        <v>2400</v>
      </c>
      <c r="C4296" s="4" t="n">
        <v>99</v>
      </c>
      <c r="D4296" s="4" t="n">
        <v>29.9475</v>
      </c>
      <c r="E4296" s="5" t="n">
        <v>80.09999999999999</v>
      </c>
      <c r="F4296" s="3" t="inlineStr">
        <is>
          <t>남이면</t>
        </is>
      </c>
      <c r="G4296" s="3" t="inlineStr">
        <is>
          <t>구미리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남이면</t>
        </is>
      </c>
    </row>
    <row r="4297">
      <c r="A4297" s="3" t="n">
        <v>2022</v>
      </c>
      <c r="B4297" s="4" t="n">
        <v>47600</v>
      </c>
      <c r="C4297" s="4" t="n">
        <v>1574</v>
      </c>
      <c r="D4297" s="4" t="n">
        <v>476.135</v>
      </c>
      <c r="E4297" s="5" t="n">
        <v>100</v>
      </c>
      <c r="F4297" s="3" t="inlineStr">
        <is>
          <t>남이면</t>
        </is>
      </c>
      <c r="G4297" s="3" t="inlineStr">
        <is>
          <t>석판리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2022</v>
      </c>
      <c r="B4298" s="4" t="n">
        <v>5200</v>
      </c>
      <c r="C4298" s="4" t="n">
        <v>172</v>
      </c>
      <c r="D4298" s="4" t="n">
        <v>52.03</v>
      </c>
      <c r="E4298" s="5" t="n">
        <v>99.90000000000001</v>
      </c>
      <c r="F4298" s="3" t="inlineStr">
        <is>
          <t>남이면</t>
        </is>
      </c>
      <c r="G4298" s="3" t="inlineStr">
        <is>
          <t>석판리</t>
        </is>
      </c>
      <c r="H4298" s="3" t="inlineStr">
        <is>
          <t>자연녹지지역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2022</v>
      </c>
      <c r="B4299" s="4" t="n">
        <v>6000</v>
      </c>
      <c r="C4299" s="4" t="n">
        <v>43</v>
      </c>
      <c r="D4299" s="4" t="n">
        <v>13.0075</v>
      </c>
      <c r="E4299" s="5" t="n">
        <v>461.3</v>
      </c>
      <c r="F4299" s="3" t="inlineStr">
        <is>
          <t>오송읍</t>
        </is>
      </c>
      <c r="G4299" s="3" t="inlineStr">
        <is>
          <t>오송리</t>
        </is>
      </c>
      <c r="H4299" s="3" t="inlineStr">
        <is>
          <t>준주거지역</t>
        </is>
      </c>
      <c r="I4299" s="3" t="inlineStr">
        <is>
          <t>잡종지</t>
        </is>
      </c>
      <c r="J4299" s="3" t="inlineStr">
        <is>
          <t>오송읍</t>
        </is>
      </c>
    </row>
    <row r="4300">
      <c r="A4300" s="3" t="n">
        <v>2022</v>
      </c>
      <c r="B4300" s="4" t="n">
        <v>28000</v>
      </c>
      <c r="C4300" s="4" t="n">
        <v>232</v>
      </c>
      <c r="D4300" s="4" t="n">
        <v>70.17999999999999</v>
      </c>
      <c r="E4300" s="5" t="n">
        <v>399</v>
      </c>
      <c r="F4300" s="3" t="inlineStr">
        <is>
          <t>오송읍</t>
        </is>
      </c>
      <c r="G4300" s="3" t="inlineStr">
        <is>
          <t>봉산리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오송읍</t>
        </is>
      </c>
    </row>
    <row r="4301">
      <c r="A4301" s="3" t="n">
        <v>2022</v>
      </c>
      <c r="B4301" s="4" t="n">
        <v>28000</v>
      </c>
      <c r="C4301" s="4" t="n">
        <v>240.9</v>
      </c>
      <c r="D4301" s="4" t="n">
        <v>72.87224999999999</v>
      </c>
      <c r="E4301" s="5" t="n">
        <v>384.2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30500</v>
      </c>
      <c r="C4302" s="4" t="n">
        <v>267.7</v>
      </c>
      <c r="D4302" s="4" t="n">
        <v>80.97924999999999</v>
      </c>
      <c r="E4302" s="5" t="n">
        <v>376.6</v>
      </c>
      <c r="F4302" s="3" t="inlineStr">
        <is>
          <t>오송읍</t>
        </is>
      </c>
      <c r="G4302" s="3" t="inlineStr">
        <is>
          <t>봉산리</t>
        </is>
      </c>
      <c r="H4302" s="3" t="inlineStr">
        <is>
          <t>제1종일반주거지역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2022</v>
      </c>
      <c r="B4303" s="4" t="n">
        <v>28600</v>
      </c>
      <c r="C4303" s="4" t="n">
        <v>946</v>
      </c>
      <c r="D4303" s="4" t="n">
        <v>286.165</v>
      </c>
      <c r="E4303" s="5" t="n">
        <v>99.90000000000001</v>
      </c>
      <c r="F4303" s="3" t="inlineStr">
        <is>
          <t>오송읍</t>
        </is>
      </c>
      <c r="G4303" s="3" t="inlineStr">
        <is>
          <t>쌍청리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오송읍</t>
        </is>
      </c>
    </row>
    <row r="4304">
      <c r="A4304" s="3" t="n">
        <v>2022</v>
      </c>
      <c r="B4304" s="4" t="n">
        <v>369580</v>
      </c>
      <c r="C4304" s="4" t="n">
        <v>7187</v>
      </c>
      <c r="D4304" s="4" t="n">
        <v>2174.0675</v>
      </c>
      <c r="E4304" s="5" t="n">
        <v>170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51000</v>
      </c>
      <c r="C4305" s="4" t="n">
        <v>296</v>
      </c>
      <c r="D4305" s="4" t="n">
        <v>89.53999999999999</v>
      </c>
      <c r="E4305" s="5" t="n">
        <v>569.6</v>
      </c>
      <c r="F4305" s="3" t="inlineStr">
        <is>
          <t>오송읍</t>
        </is>
      </c>
      <c r="G4305" s="3" t="inlineStr">
        <is>
          <t>오송리</t>
        </is>
      </c>
      <c r="H4305" s="3" t="inlineStr">
        <is>
          <t>준주거지역</t>
        </is>
      </c>
      <c r="I4305" s="3" t="inlineStr">
        <is>
          <t>대</t>
        </is>
      </c>
      <c r="J4305" s="3" t="inlineStr">
        <is>
          <t>오송읍</t>
        </is>
      </c>
    </row>
    <row r="4306">
      <c r="A4306" s="3" t="n">
        <v>2022</v>
      </c>
      <c r="B4306" s="4" t="n">
        <v>29000</v>
      </c>
      <c r="C4306" s="4" t="n">
        <v>985</v>
      </c>
      <c r="D4306" s="4" t="n">
        <v>297.9625</v>
      </c>
      <c r="E4306" s="5" t="n">
        <v>97.3</v>
      </c>
      <c r="F4306" s="3" t="inlineStr">
        <is>
          <t>강내면</t>
        </is>
      </c>
      <c r="G4306" s="3" t="inlineStr">
        <is>
          <t>연정리</t>
        </is>
      </c>
      <c r="H4306" s="3" t="inlineStr">
        <is>
          <t>계획관리지역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1000</v>
      </c>
      <c r="C4307" s="4" t="n">
        <v>35</v>
      </c>
      <c r="D4307" s="4" t="n">
        <v>10.5875</v>
      </c>
      <c r="E4307" s="5" t="n">
        <v>94.5</v>
      </c>
      <c r="F4307" s="3" t="inlineStr">
        <is>
          <t>강내면</t>
        </is>
      </c>
      <c r="G4307" s="3" t="inlineStr">
        <is>
          <t>연정리</t>
        </is>
      </c>
      <c r="H4307" s="3" t="inlineStr">
        <is>
          <t>계획관리지역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2022</v>
      </c>
      <c r="B4308" s="4" t="n">
        <v>7000</v>
      </c>
      <c r="C4308" s="4" t="n">
        <v>135</v>
      </c>
      <c r="D4308" s="4" t="n">
        <v>40.8375</v>
      </c>
      <c r="E4308" s="5" t="n">
        <v>171.4</v>
      </c>
      <c r="F4308" s="3" t="inlineStr">
        <is>
          <t>오송읍</t>
        </is>
      </c>
      <c r="G4308" s="3" t="inlineStr">
        <is>
          <t>오송리</t>
        </is>
      </c>
      <c r="H4308" s="3" t="inlineStr">
        <is>
          <t>계획관리지역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5000</v>
      </c>
      <c r="C4309" s="4" t="n">
        <v>747</v>
      </c>
      <c r="D4309" s="4" t="n">
        <v>225.9675</v>
      </c>
      <c r="E4309" s="5" t="n">
        <v>22.1</v>
      </c>
      <c r="F4309" s="3" t="inlineStr">
        <is>
          <t>오송읍</t>
        </is>
      </c>
      <c r="G4309" s="3" t="inlineStr">
        <is>
          <t>상봉리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12000</v>
      </c>
      <c r="C4310" s="4" t="n">
        <v>165</v>
      </c>
      <c r="D4310" s="4" t="n">
        <v>49.9125</v>
      </c>
      <c r="E4310" s="5" t="n">
        <v>240.4</v>
      </c>
      <c r="F4310" s="3" t="inlineStr">
        <is>
          <t>오송읍</t>
        </is>
      </c>
      <c r="G4310" s="3" t="inlineStr">
        <is>
          <t>오송리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29000</v>
      </c>
      <c r="C4311" s="4" t="n">
        <v>985</v>
      </c>
      <c r="D4311" s="4" t="n">
        <v>297.9625</v>
      </c>
      <c r="E4311" s="5" t="n">
        <v>97.3</v>
      </c>
      <c r="F4311" s="3" t="inlineStr">
        <is>
          <t>강내면</t>
        </is>
      </c>
      <c r="G4311" s="3" t="inlineStr">
        <is>
          <t>연정리</t>
        </is>
      </c>
      <c r="H4311" s="3" t="inlineStr">
        <is>
          <t>계획관리지역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2022</v>
      </c>
      <c r="B4312" s="4" t="n">
        <v>1000</v>
      </c>
      <c r="C4312" s="4" t="n">
        <v>35</v>
      </c>
      <c r="D4312" s="4" t="n">
        <v>10.5875</v>
      </c>
      <c r="E4312" s="5" t="n">
        <v>94.5</v>
      </c>
      <c r="F4312" s="3" t="inlineStr">
        <is>
          <t>강내면</t>
        </is>
      </c>
      <c r="G4312" s="3" t="inlineStr">
        <is>
          <t>연정리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2022</v>
      </c>
      <c r="B4313" s="4" t="n">
        <v>37500</v>
      </c>
      <c r="C4313" s="4" t="n">
        <v>990</v>
      </c>
      <c r="D4313" s="4" t="n">
        <v>299.475</v>
      </c>
      <c r="E4313" s="5" t="n">
        <v>125.2</v>
      </c>
      <c r="F4313" s="3" t="inlineStr">
        <is>
          <t>강내면</t>
        </is>
      </c>
      <c r="G4313" s="3" t="inlineStr">
        <is>
          <t>월곡리</t>
        </is>
      </c>
      <c r="H4313" s="3" t="inlineStr">
        <is>
          <t>자연녹지지역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2022</v>
      </c>
      <c r="B4314" s="4" t="n">
        <v>11000</v>
      </c>
      <c r="C4314" s="4" t="n">
        <v>132</v>
      </c>
      <c r="D4314" s="4" t="n">
        <v>39.93</v>
      </c>
      <c r="E4314" s="5" t="n">
        <v>275.5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오송읍</t>
        </is>
      </c>
    </row>
    <row r="4315">
      <c r="A4315" s="3" t="n">
        <v>2022</v>
      </c>
      <c r="B4315" s="4" t="n">
        <v>53000</v>
      </c>
      <c r="C4315" s="4" t="n">
        <v>660</v>
      </c>
      <c r="D4315" s="4" t="n">
        <v>199.65</v>
      </c>
      <c r="E4315" s="5" t="n">
        <v>265.5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2022</v>
      </c>
      <c r="B4316" s="4" t="n">
        <v>77000</v>
      </c>
      <c r="C4316" s="4" t="n">
        <v>3636</v>
      </c>
      <c r="D4316" s="4" t="n">
        <v>1099.89</v>
      </c>
      <c r="E4316" s="5" t="n">
        <v>70</v>
      </c>
      <c r="F4316" s="3" t="inlineStr">
        <is>
          <t>오송읍</t>
        </is>
      </c>
      <c r="G4316" s="3" t="inlineStr">
        <is>
          <t>연제리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2022</v>
      </c>
      <c r="B4317" s="4" t="n">
        <v>53545</v>
      </c>
      <c r="C4317" s="4" t="n">
        <v>331</v>
      </c>
      <c r="D4317" s="4" t="n">
        <v>100.1275</v>
      </c>
      <c r="E4317" s="5" t="n">
        <v>534.8</v>
      </c>
      <c r="F4317" s="3" t="inlineStr">
        <is>
          <t>강내면</t>
        </is>
      </c>
      <c r="G4317" s="3" t="inlineStr">
        <is>
          <t>탑연리</t>
        </is>
      </c>
      <c r="H4317" s="3" t="inlineStr">
        <is>
          <t>일반상업지역</t>
        </is>
      </c>
      <c r="I4317" s="3" t="inlineStr">
        <is>
          <t>대</t>
        </is>
      </c>
      <c r="J4317" s="3" t="inlineStr">
        <is>
          <t>강내면</t>
        </is>
      </c>
    </row>
    <row r="4318">
      <c r="A4318" s="3" t="n">
        <v>2022</v>
      </c>
      <c r="B4318" s="4" t="n">
        <v>483</v>
      </c>
      <c r="C4318" s="4" t="n">
        <v>4</v>
      </c>
      <c r="D4318" s="4" t="n">
        <v>1.21</v>
      </c>
      <c r="E4318" s="5" t="n">
        <v>399.2</v>
      </c>
      <c r="F4318" s="3" t="inlineStr">
        <is>
          <t>강내면</t>
        </is>
      </c>
      <c r="G4318" s="3" t="inlineStr">
        <is>
          <t>탑연리</t>
        </is>
      </c>
      <c r="H4318" s="3" t="inlineStr">
        <is>
          <t>일반상업지역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2022</v>
      </c>
      <c r="B4319" s="4" t="n">
        <v>5911</v>
      </c>
      <c r="C4319" s="4" t="n">
        <v>49</v>
      </c>
      <c r="D4319" s="4" t="n">
        <v>14.8225</v>
      </c>
      <c r="E4319" s="5" t="n">
        <v>398.8</v>
      </c>
      <c r="F4319" s="3" t="inlineStr">
        <is>
          <t>강내면</t>
        </is>
      </c>
      <c r="G4319" s="3" t="inlineStr">
        <is>
          <t>탑연리</t>
        </is>
      </c>
      <c r="H4319" s="3" t="inlineStr">
        <is>
          <t>일반상업지역</t>
        </is>
      </c>
      <c r="I4319" s="3" t="inlineStr">
        <is>
          <t>대</t>
        </is>
      </c>
      <c r="J4319" s="3" t="inlineStr">
        <is>
          <t>강내면</t>
        </is>
      </c>
    </row>
    <row r="4320">
      <c r="A4320" s="3" t="n">
        <v>2022</v>
      </c>
      <c r="B4320" s="4" t="n">
        <v>4102</v>
      </c>
      <c r="C4320" s="4" t="n">
        <v>34</v>
      </c>
      <c r="D4320" s="4" t="n">
        <v>10.285</v>
      </c>
      <c r="E4320" s="5" t="n">
        <v>398.8</v>
      </c>
      <c r="F4320" s="3" t="inlineStr">
        <is>
          <t>강내면</t>
        </is>
      </c>
      <c r="G4320" s="3" t="inlineStr">
        <is>
          <t>탑연리</t>
        </is>
      </c>
      <c r="H4320" s="3" t="inlineStr">
        <is>
          <t>일반상업지역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32072</v>
      </c>
      <c r="C4321" s="4" t="n">
        <v>162</v>
      </c>
      <c r="D4321" s="4" t="n">
        <v>49.005</v>
      </c>
      <c r="E4321" s="5" t="n">
        <v>654.5</v>
      </c>
      <c r="F4321" s="3" t="inlineStr">
        <is>
          <t>강내면</t>
        </is>
      </c>
      <c r="G4321" s="3" t="inlineStr">
        <is>
          <t>탑연리</t>
        </is>
      </c>
      <c r="H4321" s="3" t="inlineStr">
        <is>
          <t>일반상업지역</t>
        </is>
      </c>
      <c r="I4321" s="3" t="inlineStr">
        <is>
          <t>임야</t>
        </is>
      </c>
      <c r="J4321" s="3" t="inlineStr">
        <is>
          <t>강내면</t>
        </is>
      </c>
    </row>
    <row r="4322">
      <c r="A4322" s="3" t="n">
        <v>2023</v>
      </c>
      <c r="B4322" s="4" t="n">
        <v>15500</v>
      </c>
      <c r="C4322" s="4" t="n">
        <v>2228</v>
      </c>
      <c r="D4322" s="4" t="n">
        <v>673.97</v>
      </c>
      <c r="E4322" s="5" t="n">
        <v>23</v>
      </c>
      <c r="F4322" s="3" t="inlineStr">
        <is>
          <t>강내면</t>
        </is>
      </c>
      <c r="G4322" s="3" t="inlineStr">
        <is>
          <t>사곡리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강내면</t>
        </is>
      </c>
    </row>
    <row r="4323">
      <c r="A4323" s="3" t="n">
        <v>2023</v>
      </c>
      <c r="B4323" s="4" t="n">
        <v>1044</v>
      </c>
      <c r="C4323" s="4" t="n">
        <v>417</v>
      </c>
      <c r="D4323" s="4" t="n">
        <v>126.1425</v>
      </c>
      <c r="E4323" s="5" t="n">
        <v>8.300000000000001</v>
      </c>
      <c r="F4323" s="3" t="inlineStr">
        <is>
          <t>강내면</t>
        </is>
      </c>
      <c r="G4323" s="3" t="inlineStr">
        <is>
          <t>황탄리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2023</v>
      </c>
      <c r="B4324" s="4" t="n">
        <v>156</v>
      </c>
      <c r="C4324" s="4" t="n">
        <v>80</v>
      </c>
      <c r="D4324" s="4" t="n">
        <v>24.2</v>
      </c>
      <c r="E4324" s="5" t="n">
        <v>6.4</v>
      </c>
      <c r="F4324" s="3" t="inlineStr">
        <is>
          <t>강내면</t>
        </is>
      </c>
      <c r="G4324" s="3" t="inlineStr">
        <is>
          <t>황탄리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강내면</t>
        </is>
      </c>
    </row>
    <row r="4325">
      <c r="A4325" s="3" t="n">
        <v>2023</v>
      </c>
      <c r="B4325" s="4" t="n">
        <v>40600</v>
      </c>
      <c r="C4325" s="4" t="n">
        <v>671</v>
      </c>
      <c r="D4325" s="4" t="n">
        <v>202.9775</v>
      </c>
      <c r="E4325" s="5" t="n">
        <v>200</v>
      </c>
      <c r="F4325" s="3" t="inlineStr">
        <is>
          <t>강내면</t>
        </is>
      </c>
      <c r="G4325" s="3" t="inlineStr">
        <is>
          <t>월탄리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2023</v>
      </c>
      <c r="B4326" s="4" t="n">
        <v>1400</v>
      </c>
      <c r="C4326" s="4" t="n">
        <v>23</v>
      </c>
      <c r="D4326" s="4" t="n">
        <v>6.9575</v>
      </c>
      <c r="E4326" s="5" t="n">
        <v>201.2</v>
      </c>
      <c r="F4326" s="3" t="inlineStr">
        <is>
          <t>강내면</t>
        </is>
      </c>
      <c r="G4326" s="3" t="inlineStr">
        <is>
          <t>월탄리</t>
        </is>
      </c>
      <c r="H4326" s="3" t="inlineStr">
        <is>
          <t>용도미지정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2023</v>
      </c>
      <c r="B4327" s="4" t="n">
        <v>2928</v>
      </c>
      <c r="C4327" s="4" t="n">
        <v>44</v>
      </c>
      <c r="D4327" s="4" t="n">
        <v>13.31</v>
      </c>
      <c r="E4327" s="5" t="n">
        <v>220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2023</v>
      </c>
      <c r="B4328" s="4" t="n">
        <v>6500</v>
      </c>
      <c r="C4328" s="4" t="n">
        <v>380</v>
      </c>
      <c r="D4328" s="4" t="n">
        <v>114.95</v>
      </c>
      <c r="E4328" s="5" t="n">
        <v>56.5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답</t>
        </is>
      </c>
      <c r="J4328" s="3" t="inlineStr">
        <is>
          <t>강내면</t>
        </is>
      </c>
    </row>
    <row r="4329">
      <c r="A4329" s="3" t="n">
        <v>2023</v>
      </c>
      <c r="B4329" s="4" t="n">
        <v>1380</v>
      </c>
      <c r="C4329" s="4" t="n">
        <v>38</v>
      </c>
      <c r="D4329" s="4" t="n">
        <v>11.495</v>
      </c>
      <c r="E4329" s="5" t="n">
        <v>120.1</v>
      </c>
      <c r="F4329" s="3" t="inlineStr">
        <is>
          <t>오송읍</t>
        </is>
      </c>
      <c r="G4329" s="3" t="inlineStr">
        <is>
          <t>상정리</t>
        </is>
      </c>
      <c r="H4329" s="3" t="inlineStr">
        <is>
          <t>생산관리지역</t>
        </is>
      </c>
      <c r="I4329" s="3" t="inlineStr">
        <is>
          <t>구거</t>
        </is>
      </c>
      <c r="J4329" s="3" t="inlineStr">
        <is>
          <t>오송읍</t>
        </is>
      </c>
    </row>
    <row r="4330">
      <c r="A4330" s="3" t="n">
        <v>2023</v>
      </c>
      <c r="B4330" s="4" t="n">
        <v>47900</v>
      </c>
      <c r="C4330" s="4" t="n">
        <v>620</v>
      </c>
      <c r="D4330" s="4" t="n">
        <v>187.55</v>
      </c>
      <c r="E4330" s="5" t="n">
        <v>255.4</v>
      </c>
      <c r="F4330" s="3" t="inlineStr">
        <is>
          <t>오송읍</t>
        </is>
      </c>
      <c r="G4330" s="3" t="inlineStr">
        <is>
          <t>궁평리</t>
        </is>
      </c>
      <c r="H4330" s="3" t="inlineStr">
        <is>
          <t>농림지역</t>
        </is>
      </c>
      <c r="I4330" s="3" t="inlineStr">
        <is>
          <t>대</t>
        </is>
      </c>
      <c r="J4330" s="3" t="inlineStr">
        <is>
          <t>오송읍</t>
        </is>
      </c>
    </row>
    <row r="4331">
      <c r="A4331" s="3" t="n">
        <v>2023</v>
      </c>
      <c r="B4331" s="4" t="n">
        <v>55000</v>
      </c>
      <c r="C4331" s="4" t="n">
        <v>1945</v>
      </c>
      <c r="D4331" s="4" t="n">
        <v>588.3625</v>
      </c>
      <c r="E4331" s="5" t="n">
        <v>93.5</v>
      </c>
      <c r="F4331" s="3" t="inlineStr">
        <is>
          <t>강내면</t>
        </is>
      </c>
      <c r="G4331" s="3" t="inlineStr">
        <is>
          <t>저산리</t>
        </is>
      </c>
      <c r="H4331" s="3" t="inlineStr">
        <is>
          <t>계획관리지역</t>
        </is>
      </c>
      <c r="I4331" s="3" t="inlineStr">
        <is>
          <t>임야</t>
        </is>
      </c>
      <c r="J4331" s="3" t="inlineStr">
        <is>
          <t>강내면</t>
        </is>
      </c>
    </row>
    <row r="4332">
      <c r="A4332" s="3" t="n">
        <v>2025</v>
      </c>
      <c r="B4332" s="4" t="n">
        <v>2653</v>
      </c>
      <c r="C4332" s="4" t="n">
        <v>46</v>
      </c>
      <c r="D4332" s="4" t="n">
        <v>13.915</v>
      </c>
      <c r="E4332" s="5" t="n">
        <v>190.7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계획관리지역</t>
        </is>
      </c>
      <c r="I4332" s="3" t="inlineStr">
        <is>
          <t>도로</t>
        </is>
      </c>
      <c r="J4332" s="3" t="inlineStr">
        <is>
          <t>오송읍</t>
        </is>
      </c>
    </row>
    <row r="4333">
      <c r="A4333" s="3" t="n">
        <v>2024</v>
      </c>
      <c r="B4333" s="4" t="n">
        <v>5500</v>
      </c>
      <c r="C4333" s="4" t="n">
        <v>66</v>
      </c>
      <c r="D4333" s="4" t="n">
        <v>19.965</v>
      </c>
      <c r="E4333" s="5" t="n">
        <v>275.5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장군면</t>
        </is>
      </c>
    </row>
    <row r="4334">
      <c r="A4334" s="3" t="n">
        <v>2024</v>
      </c>
      <c r="B4334" s="4" t="n">
        <v>50000</v>
      </c>
      <c r="C4334" s="4" t="n">
        <v>331.9</v>
      </c>
      <c r="D4334" s="4" t="n">
        <v>100.39975</v>
      </c>
      <c r="E4334" s="5" t="n">
        <v>498</v>
      </c>
      <c r="F4334" s="3" t="inlineStr">
        <is>
          <t>고운동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고운동</t>
        </is>
      </c>
    </row>
    <row r="4335">
      <c r="A4335" s="3" t="n">
        <v>2024</v>
      </c>
      <c r="B4335" s="4" t="n">
        <v>1000</v>
      </c>
      <c r="C4335" s="4" t="n">
        <v>33</v>
      </c>
      <c r="D4335" s="4" t="n">
        <v>9.9825</v>
      </c>
      <c r="E4335" s="5" t="n">
        <v>100.2</v>
      </c>
      <c r="F4335" s="3" t="inlineStr">
        <is>
          <t>전의면</t>
        </is>
      </c>
      <c r="G4335" s="3" t="inlineStr">
        <is>
          <t>관정리</t>
        </is>
      </c>
      <c r="H4335" s="3" t="inlineStr">
        <is>
          <t>계획관리지역</t>
        </is>
      </c>
      <c r="I4335" s="3" t="inlineStr">
        <is>
          <t>도로</t>
        </is>
      </c>
      <c r="J4335" s="3" t="inlineStr">
        <is>
          <t>전의면</t>
        </is>
      </c>
    </row>
    <row r="4336">
      <c r="A4336" s="3" t="n">
        <v>2024</v>
      </c>
      <c r="B4336" s="4" t="n">
        <v>5200</v>
      </c>
      <c r="C4336" s="4" t="n">
        <v>139</v>
      </c>
      <c r="D4336" s="4" t="n">
        <v>42.0475</v>
      </c>
      <c r="E4336" s="5" t="n">
        <v>123.7</v>
      </c>
      <c r="F4336" s="3" t="inlineStr">
        <is>
          <t>연서면</t>
        </is>
      </c>
      <c r="G4336" s="3" t="inlineStr">
        <is>
          <t>봉암리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연서면</t>
        </is>
      </c>
    </row>
    <row r="4337">
      <c r="A4337" s="3" t="n">
        <v>2024</v>
      </c>
      <c r="B4337" s="4" t="n">
        <v>55000</v>
      </c>
      <c r="C4337" s="4" t="n">
        <v>353.6</v>
      </c>
      <c r="D4337" s="4" t="n">
        <v>106.964</v>
      </c>
      <c r="E4337" s="5" t="n">
        <v>514.2</v>
      </c>
      <c r="F4337" s="3" t="inlineStr">
        <is>
          <t>고운동</t>
        </is>
      </c>
      <c r="G4337" s="3" t="inlineStr"/>
      <c r="H4337" s="3" t="inlineStr">
        <is>
          <t>제1종전용주거지역</t>
        </is>
      </c>
      <c r="I4337" s="3" t="inlineStr">
        <is>
          <t>대</t>
        </is>
      </c>
      <c r="J4337" s="3" t="inlineStr">
        <is>
          <t>고운동</t>
        </is>
      </c>
    </row>
    <row r="4338">
      <c r="A4338" s="3" t="n">
        <v>2024</v>
      </c>
      <c r="B4338" s="4" t="n">
        <v>22500</v>
      </c>
      <c r="C4338" s="4" t="n">
        <v>163</v>
      </c>
      <c r="D4338" s="4" t="n">
        <v>49.3075</v>
      </c>
      <c r="E4338" s="5" t="n">
        <v>456.3</v>
      </c>
      <c r="F4338" s="3" t="inlineStr">
        <is>
          <t>반곡동</t>
        </is>
      </c>
      <c r="G4338" s="3" t="inlineStr"/>
      <c r="H4338" s="3" t="inlineStr">
        <is>
          <t>제1종전용주거지역</t>
        </is>
      </c>
      <c r="I4338" s="3" t="inlineStr">
        <is>
          <t>대</t>
        </is>
      </c>
      <c r="J4338" s="3" t="inlineStr">
        <is>
          <t>반곡동</t>
        </is>
      </c>
    </row>
    <row r="4339">
      <c r="A4339" s="3" t="n">
        <v>2024</v>
      </c>
      <c r="B4339" s="4" t="n">
        <v>42557</v>
      </c>
      <c r="C4339" s="4" t="n">
        <v>486</v>
      </c>
      <c r="D4339" s="4" t="n">
        <v>147.015</v>
      </c>
      <c r="E4339" s="5" t="n">
        <v>289.5</v>
      </c>
      <c r="F4339" s="3" t="inlineStr">
        <is>
          <t>금남면</t>
        </is>
      </c>
      <c r="G4339" s="3" t="inlineStr">
        <is>
          <t>도남리</t>
        </is>
      </c>
      <c r="H4339" s="3" t="inlineStr">
        <is>
          <t>자연녹지지역</t>
        </is>
      </c>
      <c r="I4339" s="3" t="inlineStr">
        <is>
          <t>대</t>
        </is>
      </c>
      <c r="J4339" s="3" t="inlineStr">
        <is>
          <t>금남면</t>
        </is>
      </c>
    </row>
    <row r="4340">
      <c r="A4340" s="3" t="n">
        <v>2024</v>
      </c>
      <c r="B4340" s="4" t="n">
        <v>122390</v>
      </c>
      <c r="C4340" s="4" t="n">
        <v>2749</v>
      </c>
      <c r="D4340" s="4" t="n">
        <v>831.5725</v>
      </c>
      <c r="E4340" s="5" t="n">
        <v>147.2</v>
      </c>
      <c r="F4340" s="3" t="inlineStr">
        <is>
          <t>연서면</t>
        </is>
      </c>
      <c r="G4340" s="3" t="inlineStr">
        <is>
          <t>와촌리</t>
        </is>
      </c>
      <c r="H4340" s="3" t="inlineStr">
        <is>
          <t>계획관리지역</t>
        </is>
      </c>
      <c r="I4340" s="3" t="inlineStr">
        <is>
          <t>과수원</t>
        </is>
      </c>
      <c r="J4340" s="3" t="inlineStr">
        <is>
          <t>연서면</t>
        </is>
      </c>
    </row>
    <row r="4341">
      <c r="A4341" s="3" t="n">
        <v>2024</v>
      </c>
      <c r="B4341" s="4" t="n">
        <v>2000</v>
      </c>
      <c r="C4341" s="4" t="n">
        <v>28</v>
      </c>
      <c r="D4341" s="4" t="n">
        <v>8.469999999999999</v>
      </c>
      <c r="E4341" s="5" t="n">
        <v>236.1</v>
      </c>
      <c r="F4341" s="3" t="inlineStr">
        <is>
          <t>조치원읍</t>
        </is>
      </c>
      <c r="G4341" s="3" t="inlineStr">
        <is>
          <t>신안리</t>
        </is>
      </c>
      <c r="H4341" s="3" t="inlineStr">
        <is>
          <t>제2종일반주거지역</t>
        </is>
      </c>
      <c r="I4341" s="3" t="inlineStr">
        <is>
          <t>제방</t>
        </is>
      </c>
      <c r="J4341" s="3" t="inlineStr">
        <is>
          <t>조치원읍</t>
        </is>
      </c>
    </row>
    <row r="4342">
      <c r="A4342" s="3" t="n">
        <v>2024</v>
      </c>
      <c r="B4342" s="4" t="n">
        <v>9000</v>
      </c>
      <c r="C4342" s="4" t="n">
        <v>83</v>
      </c>
      <c r="D4342" s="4" t="n">
        <v>25.1075</v>
      </c>
      <c r="E4342" s="5" t="n">
        <v>358.5</v>
      </c>
      <c r="F4342" s="3" t="inlineStr">
        <is>
          <t>조치원읍</t>
        </is>
      </c>
      <c r="G4342" s="3" t="inlineStr">
        <is>
          <t>신안리</t>
        </is>
      </c>
      <c r="H4342" s="3" t="inlineStr">
        <is>
          <t>제2종일반주거지역</t>
        </is>
      </c>
      <c r="I4342" s="3" t="inlineStr">
        <is>
          <t>대</t>
        </is>
      </c>
      <c r="J4342" s="3" t="inlineStr">
        <is>
          <t>조치원읍</t>
        </is>
      </c>
    </row>
    <row r="4343">
      <c r="A4343" s="3" t="n">
        <v>2024</v>
      </c>
      <c r="B4343" s="4" t="n">
        <v>9120</v>
      </c>
      <c r="C4343" s="4" t="n">
        <v>754</v>
      </c>
      <c r="D4343" s="4" t="n">
        <v>228.085</v>
      </c>
      <c r="E4343" s="5" t="n">
        <v>40</v>
      </c>
      <c r="F4343" s="3" t="inlineStr">
        <is>
          <t>부강면</t>
        </is>
      </c>
      <c r="G4343" s="3" t="inlineStr">
        <is>
          <t>노호리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부강면</t>
        </is>
      </c>
    </row>
    <row r="4344">
      <c r="A4344" s="3" t="n">
        <v>2024</v>
      </c>
      <c r="B4344" s="4" t="n">
        <v>3506</v>
      </c>
      <c r="C4344" s="4" t="n">
        <v>68</v>
      </c>
      <c r="D4344" s="4" t="n">
        <v>20.57</v>
      </c>
      <c r="E4344" s="5" t="n">
        <v>170.4</v>
      </c>
      <c r="F4344" s="3" t="inlineStr">
        <is>
          <t>조치원읍</t>
        </is>
      </c>
      <c r="G4344" s="3" t="inlineStr">
        <is>
          <t>봉산리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조치원읍</t>
        </is>
      </c>
    </row>
    <row r="4345">
      <c r="A4345" s="3" t="n">
        <v>2024</v>
      </c>
      <c r="B4345" s="4" t="n">
        <v>7100</v>
      </c>
      <c r="C4345" s="4" t="n">
        <v>576</v>
      </c>
      <c r="D4345" s="4" t="n">
        <v>174.24</v>
      </c>
      <c r="E4345" s="5" t="n">
        <v>40.7</v>
      </c>
      <c r="F4345" s="3" t="inlineStr">
        <is>
          <t>소정면</t>
        </is>
      </c>
      <c r="G4345" s="3" t="inlineStr">
        <is>
          <t>대곡리</t>
        </is>
      </c>
      <c r="H4345" s="3" t="inlineStr">
        <is>
          <t>계획관리지역</t>
        </is>
      </c>
      <c r="I4345" s="3" t="inlineStr">
        <is>
          <t>전</t>
        </is>
      </c>
      <c r="J4345" s="3" t="inlineStr">
        <is>
          <t>소정면</t>
        </is>
      </c>
    </row>
    <row r="4346">
      <c r="A4346" s="3" t="n">
        <v>2024</v>
      </c>
      <c r="B4346" s="4" t="n">
        <v>1000</v>
      </c>
      <c r="C4346" s="4" t="n">
        <v>264</v>
      </c>
      <c r="D4346" s="4" t="n">
        <v>79.86</v>
      </c>
      <c r="E4346" s="5" t="n">
        <v>12.5</v>
      </c>
      <c r="F4346" s="3" t="inlineStr">
        <is>
          <t>소정면</t>
        </is>
      </c>
      <c r="G4346" s="3" t="inlineStr">
        <is>
          <t>대곡리</t>
        </is>
      </c>
      <c r="H4346" s="3" t="inlineStr">
        <is>
          <t>계획관리지역</t>
        </is>
      </c>
      <c r="I4346" s="3" t="inlineStr">
        <is>
          <t>수도용지</t>
        </is>
      </c>
      <c r="J4346" s="3" t="inlineStr">
        <is>
          <t>소정면</t>
        </is>
      </c>
    </row>
    <row r="4347">
      <c r="A4347" s="3" t="n">
        <v>2023</v>
      </c>
      <c r="B4347" s="4" t="n">
        <v>4000</v>
      </c>
      <c r="C4347" s="4" t="n">
        <v>66</v>
      </c>
      <c r="D4347" s="4" t="n">
        <v>19.965</v>
      </c>
      <c r="E4347" s="5" t="n">
        <v>200.4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보전관리지역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2023</v>
      </c>
      <c r="B4348" s="4" t="n">
        <v>64000</v>
      </c>
      <c r="C4348" s="4" t="n">
        <v>1970</v>
      </c>
      <c r="D4348" s="4" t="n">
        <v>595.925</v>
      </c>
      <c r="E4348" s="5" t="n">
        <v>107.4</v>
      </c>
      <c r="F4348" s="3" t="inlineStr">
        <is>
          <t>연서면</t>
        </is>
      </c>
      <c r="G4348" s="3" t="inlineStr">
        <is>
          <t>성제리</t>
        </is>
      </c>
      <c r="H4348" s="3" t="inlineStr">
        <is>
          <t>농림지역</t>
        </is>
      </c>
      <c r="I4348" s="3" t="inlineStr">
        <is>
          <t>답</t>
        </is>
      </c>
      <c r="J4348" s="3" t="inlineStr">
        <is>
          <t>연서면</t>
        </is>
      </c>
    </row>
    <row r="4349">
      <c r="A4349" s="3" t="n">
        <v>2023</v>
      </c>
      <c r="B4349" s="4" t="n">
        <v>23350</v>
      </c>
      <c r="C4349" s="4" t="n">
        <v>616</v>
      </c>
      <c r="D4349" s="4" t="n">
        <v>186.34</v>
      </c>
      <c r="E4349" s="5" t="n">
        <v>125.3</v>
      </c>
      <c r="F4349" s="3" t="inlineStr">
        <is>
          <t>전동면</t>
        </is>
      </c>
      <c r="G4349" s="3" t="inlineStr">
        <is>
          <t>송정리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전동면</t>
        </is>
      </c>
    </row>
    <row r="4350">
      <c r="A4350" s="3" t="n">
        <v>2022</v>
      </c>
      <c r="B4350" s="4" t="n">
        <v>7000</v>
      </c>
      <c r="C4350" s="4" t="n">
        <v>711</v>
      </c>
      <c r="D4350" s="4" t="n">
        <v>215.0775</v>
      </c>
      <c r="E4350" s="5" t="n">
        <v>32.5</v>
      </c>
      <c r="F4350" s="3" t="inlineStr">
        <is>
          <t>전의면</t>
        </is>
      </c>
      <c r="G4350" s="3" t="inlineStr">
        <is>
          <t>관정리</t>
        </is>
      </c>
      <c r="H4350" s="3" t="inlineStr">
        <is>
          <t>보전관리지역</t>
        </is>
      </c>
      <c r="I4350" s="3" t="inlineStr">
        <is>
          <t>전</t>
        </is>
      </c>
      <c r="J4350" s="3" t="inlineStr">
        <is>
          <t>전의면</t>
        </is>
      </c>
    </row>
    <row r="4351">
      <c r="A4351" s="3" t="n">
        <v>2022</v>
      </c>
      <c r="B4351" s="4" t="n">
        <v>8700</v>
      </c>
      <c r="C4351" s="4" t="n">
        <v>97</v>
      </c>
      <c r="D4351" s="4" t="n">
        <v>29.3425</v>
      </c>
      <c r="E4351" s="5" t="n">
        <v>296.5</v>
      </c>
      <c r="F4351" s="3" t="inlineStr">
        <is>
          <t>장군면</t>
        </is>
      </c>
      <c r="G4351" s="3" t="inlineStr">
        <is>
          <t>봉안리</t>
        </is>
      </c>
      <c r="H4351" s="3" t="inlineStr">
        <is>
          <t>보전관리지역</t>
        </is>
      </c>
      <c r="I4351" s="3" t="inlineStr">
        <is>
          <t>임야</t>
        </is>
      </c>
      <c r="J4351" s="3" t="inlineStr">
        <is>
          <t>장군면</t>
        </is>
      </c>
    </row>
    <row r="4352">
      <c r="A4352" s="3" t="n">
        <v>2022</v>
      </c>
      <c r="B4352" s="4" t="n">
        <v>300</v>
      </c>
      <c r="C4352" s="4" t="n">
        <v>4</v>
      </c>
      <c r="D4352" s="4" t="n">
        <v>1.21</v>
      </c>
      <c r="E4352" s="5" t="n">
        <v>247.9</v>
      </c>
      <c r="F4352" s="3" t="inlineStr">
        <is>
          <t>장군면</t>
        </is>
      </c>
      <c r="G4352" s="3" t="inlineStr">
        <is>
          <t>봉안리</t>
        </is>
      </c>
      <c r="H4352" s="3" t="inlineStr">
        <is>
          <t>보전관리지역</t>
        </is>
      </c>
      <c r="I4352" s="3" t="inlineStr">
        <is>
          <t>임야</t>
        </is>
      </c>
      <c r="J4352" s="3" t="inlineStr">
        <is>
          <t>장군면</t>
        </is>
      </c>
    </row>
    <row r="4353">
      <c r="A4353" s="3" t="n">
        <v>2022</v>
      </c>
      <c r="B4353" s="4" t="n">
        <v>29100</v>
      </c>
      <c r="C4353" s="4" t="n">
        <v>321</v>
      </c>
      <c r="D4353" s="4" t="n">
        <v>97.10249999999999</v>
      </c>
      <c r="E4353" s="5" t="n">
        <v>299.7</v>
      </c>
      <c r="F4353" s="3" t="inlineStr">
        <is>
          <t>장군면</t>
        </is>
      </c>
      <c r="G4353" s="3" t="inlineStr">
        <is>
          <t>봉안리</t>
        </is>
      </c>
      <c r="H4353" s="3" t="inlineStr">
        <is>
          <t>보전관리지역</t>
        </is>
      </c>
      <c r="I4353" s="3" t="inlineStr">
        <is>
          <t>임야</t>
        </is>
      </c>
      <c r="J4353" s="3" t="inlineStr">
        <is>
          <t>장군면</t>
        </is>
      </c>
    </row>
    <row r="4354">
      <c r="A4354" s="3" t="n">
        <v>2022</v>
      </c>
      <c r="B4354" s="4" t="n">
        <v>600</v>
      </c>
      <c r="C4354" s="4" t="n">
        <v>8</v>
      </c>
      <c r="D4354" s="4" t="n">
        <v>2.42</v>
      </c>
      <c r="E4354" s="5" t="n">
        <v>247.9</v>
      </c>
      <c r="F4354" s="3" t="inlineStr">
        <is>
          <t>장군면</t>
        </is>
      </c>
      <c r="G4354" s="3" t="inlineStr">
        <is>
          <t>봉안리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2022</v>
      </c>
      <c r="B4355" s="4" t="n">
        <v>2540</v>
      </c>
      <c r="C4355" s="4" t="n">
        <v>1159</v>
      </c>
      <c r="D4355" s="4" t="n">
        <v>350.5975</v>
      </c>
      <c r="E4355" s="5" t="n">
        <v>7.2</v>
      </c>
      <c r="F4355" s="3" t="inlineStr">
        <is>
          <t>부강면</t>
        </is>
      </c>
      <c r="G4355" s="3" t="inlineStr">
        <is>
          <t>부강리</t>
        </is>
      </c>
      <c r="H4355" s="3" t="inlineStr">
        <is>
          <t>농림지역</t>
        </is>
      </c>
      <c r="I4355" s="3" t="inlineStr">
        <is>
          <t>임야</t>
        </is>
      </c>
      <c r="J4355" s="3" t="inlineStr">
        <is>
          <t>부강면</t>
        </is>
      </c>
    </row>
    <row r="4356">
      <c r="A4356" s="3" t="n">
        <v>2022</v>
      </c>
      <c r="B4356" s="4" t="n">
        <v>500</v>
      </c>
      <c r="C4356" s="4" t="n">
        <v>17</v>
      </c>
      <c r="D4356" s="4" t="n">
        <v>5.1425</v>
      </c>
      <c r="E4356" s="5" t="n">
        <v>97.2</v>
      </c>
      <c r="F4356" s="3" t="inlineStr">
        <is>
          <t>연기면</t>
        </is>
      </c>
      <c r="G4356" s="3" t="inlineStr">
        <is>
          <t>수산리</t>
        </is>
      </c>
      <c r="H4356" s="3" t="inlineStr">
        <is>
          <t>계획관리지역</t>
        </is>
      </c>
      <c r="I4356" s="3" t="inlineStr">
        <is>
          <t>도로</t>
        </is>
      </c>
      <c r="J4356" s="3" t="inlineStr">
        <is>
          <t>연기면</t>
        </is>
      </c>
    </row>
    <row r="4357">
      <c r="A4357" s="3" t="n">
        <v>2022</v>
      </c>
      <c r="B4357" s="4" t="n">
        <v>21168</v>
      </c>
      <c r="C4357" s="4" t="n">
        <v>1428</v>
      </c>
      <c r="D4357" s="4" t="n">
        <v>431.97</v>
      </c>
      <c r="E4357" s="5" t="n">
        <v>49</v>
      </c>
      <c r="F4357" s="3" t="inlineStr">
        <is>
          <t>전동면</t>
        </is>
      </c>
      <c r="G4357" s="3" t="inlineStr">
        <is>
          <t>송곡리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전동면</t>
        </is>
      </c>
    </row>
    <row r="4358">
      <c r="A4358" s="3" t="n">
        <v>2022</v>
      </c>
      <c r="B4358" s="4" t="n">
        <v>11172</v>
      </c>
      <c r="C4358" s="4" t="n">
        <v>755</v>
      </c>
      <c r="D4358" s="4" t="n">
        <v>228.3875</v>
      </c>
      <c r="E4358" s="5" t="n">
        <v>48.9</v>
      </c>
      <c r="F4358" s="3" t="inlineStr">
        <is>
          <t>전동면</t>
        </is>
      </c>
      <c r="G4358" s="3" t="inlineStr">
        <is>
          <t>송곡리</t>
        </is>
      </c>
      <c r="H4358" s="3" t="inlineStr">
        <is>
          <t>보전관리지역</t>
        </is>
      </c>
      <c r="I4358" s="3" t="inlineStr">
        <is>
          <t>전</t>
        </is>
      </c>
      <c r="J4358" s="3" t="inlineStr">
        <is>
          <t>전동면</t>
        </is>
      </c>
    </row>
    <row r="4359">
      <c r="A4359" s="3" t="n">
        <v>2022</v>
      </c>
      <c r="B4359" s="4" t="n">
        <v>100000</v>
      </c>
      <c r="C4359" s="4" t="n">
        <v>2602</v>
      </c>
      <c r="D4359" s="4" t="n">
        <v>787.105</v>
      </c>
      <c r="E4359" s="5" t="n">
        <v>127</v>
      </c>
      <c r="F4359" s="3" t="inlineStr">
        <is>
          <t>연기면</t>
        </is>
      </c>
      <c r="G4359" s="3" t="inlineStr">
        <is>
          <t>눌왕리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연기면</t>
        </is>
      </c>
    </row>
    <row r="4360">
      <c r="A4360" s="3" t="n">
        <v>2022</v>
      </c>
      <c r="B4360" s="4" t="n">
        <v>31000</v>
      </c>
      <c r="C4360" s="4" t="n">
        <v>18419</v>
      </c>
      <c r="D4360" s="4" t="n">
        <v>5571.747499999999</v>
      </c>
      <c r="E4360" s="5" t="n">
        <v>5.6</v>
      </c>
      <c r="F4360" s="3" t="inlineStr">
        <is>
          <t>전의면</t>
        </is>
      </c>
      <c r="G4360" s="3" t="inlineStr">
        <is>
          <t>금사리</t>
        </is>
      </c>
      <c r="H4360" s="3" t="inlineStr">
        <is>
          <t>농림지역</t>
        </is>
      </c>
      <c r="I4360" s="3" t="inlineStr">
        <is>
          <t>임야</t>
        </is>
      </c>
      <c r="J4360" s="3" t="inlineStr">
        <is>
          <t>전의면</t>
        </is>
      </c>
    </row>
    <row r="4361">
      <c r="A4361" s="3" t="n">
        <v>2022</v>
      </c>
      <c r="B4361" s="4" t="n">
        <v>5000</v>
      </c>
      <c r="C4361" s="4" t="n">
        <v>601</v>
      </c>
      <c r="D4361" s="4" t="n">
        <v>181.8025</v>
      </c>
      <c r="E4361" s="5" t="n">
        <v>27.5</v>
      </c>
      <c r="F4361" s="3" t="inlineStr">
        <is>
          <t>연동면</t>
        </is>
      </c>
      <c r="G4361" s="3" t="inlineStr">
        <is>
          <t>노송리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연동면</t>
        </is>
      </c>
    </row>
    <row r="4362">
      <c r="A4362" s="3" t="n">
        <v>2025</v>
      </c>
      <c r="B4362" s="4" t="n">
        <v>655</v>
      </c>
      <c r="C4362" s="4" t="n">
        <v>28</v>
      </c>
      <c r="D4362" s="4" t="n">
        <v>8.469999999999999</v>
      </c>
      <c r="E4362" s="5" t="n">
        <v>77.3</v>
      </c>
      <c r="F4362" s="3" t="inlineStr">
        <is>
          <t>남이면</t>
        </is>
      </c>
      <c r="G4362" s="3" t="inlineStr">
        <is>
          <t>부용외천리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남이면</t>
        </is>
      </c>
    </row>
    <row r="4363">
      <c r="A4363" s="3" t="n">
        <v>2025</v>
      </c>
      <c r="B4363" s="4" t="n">
        <v>100825</v>
      </c>
      <c r="C4363" s="4" t="n">
        <v>1802</v>
      </c>
      <c r="D4363" s="4" t="n">
        <v>545.105</v>
      </c>
      <c r="E4363" s="5" t="n">
        <v>185</v>
      </c>
      <c r="F4363" s="3" t="inlineStr">
        <is>
          <t>남이면</t>
        </is>
      </c>
      <c r="G4363" s="3" t="inlineStr">
        <is>
          <t>부용외천리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남이면</t>
        </is>
      </c>
    </row>
    <row r="4364">
      <c r="A4364" s="3" t="n">
        <v>2025</v>
      </c>
      <c r="B4364" s="4" t="n">
        <v>235412</v>
      </c>
      <c r="C4364" s="4" t="n">
        <v>13274</v>
      </c>
      <c r="D4364" s="4" t="n">
        <v>4015.385</v>
      </c>
      <c r="E4364" s="5" t="n">
        <v>58.6</v>
      </c>
      <c r="F4364" s="3" t="inlineStr">
        <is>
          <t>강내면</t>
        </is>
      </c>
      <c r="G4364" s="3" t="inlineStr">
        <is>
          <t>궁현리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강내면</t>
        </is>
      </c>
    </row>
    <row r="4365">
      <c r="A4365" s="3" t="n">
        <v>2025</v>
      </c>
      <c r="B4365" s="4" t="n">
        <v>13500</v>
      </c>
      <c r="C4365" s="4" t="n">
        <v>149</v>
      </c>
      <c r="D4365" s="4" t="n">
        <v>45.0725</v>
      </c>
      <c r="E4365" s="5" t="n">
        <v>299.5</v>
      </c>
      <c r="F4365" s="3" t="inlineStr">
        <is>
          <t>오송읍</t>
        </is>
      </c>
      <c r="G4365" s="3" t="inlineStr">
        <is>
          <t>오송리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235412</v>
      </c>
      <c r="C4366" s="4" t="n">
        <v>13274</v>
      </c>
      <c r="D4366" s="4" t="n">
        <v>4015.385</v>
      </c>
      <c r="E4366" s="5" t="n">
        <v>58.6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임야</t>
        </is>
      </c>
      <c r="J4366" s="3" t="inlineStr">
        <is>
          <t>강내면</t>
        </is>
      </c>
    </row>
    <row r="4367">
      <c r="A4367" s="3" t="n">
        <v>2025</v>
      </c>
      <c r="B4367" s="4" t="n">
        <v>263703</v>
      </c>
      <c r="C4367" s="4" t="n">
        <v>13126</v>
      </c>
      <c r="D4367" s="4" t="n">
        <v>3970.615</v>
      </c>
      <c r="E4367" s="5" t="n">
        <v>66.40000000000001</v>
      </c>
      <c r="F4367" s="3" t="inlineStr">
        <is>
          <t>강내면</t>
        </is>
      </c>
      <c r="G4367" s="3" t="inlineStr">
        <is>
          <t>궁현리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강내면</t>
        </is>
      </c>
    </row>
    <row r="4368">
      <c r="A4368" s="3" t="n">
        <v>2025</v>
      </c>
      <c r="B4368" s="4" t="n">
        <v>19820</v>
      </c>
      <c r="C4368" s="4" t="n">
        <v>819</v>
      </c>
      <c r="D4368" s="4" t="n">
        <v>247.7475</v>
      </c>
      <c r="E4368" s="5" t="n">
        <v>80</v>
      </c>
      <c r="F4368" s="3" t="inlineStr">
        <is>
          <t>강내면</t>
        </is>
      </c>
      <c r="G4368" s="3" t="inlineStr">
        <is>
          <t>궁현리</t>
        </is>
      </c>
      <c r="H4368" s="3" t="inlineStr">
        <is>
          <t>계획관리지역</t>
        </is>
      </c>
      <c r="I4368" s="3" t="inlineStr">
        <is>
          <t>임야</t>
        </is>
      </c>
      <c r="J4368" s="3" t="inlineStr">
        <is>
          <t>강내면</t>
        </is>
      </c>
    </row>
    <row r="4369">
      <c r="A4369" s="3" t="n">
        <v>2025</v>
      </c>
      <c r="B4369" s="4" t="n">
        <v>1906</v>
      </c>
      <c r="C4369" s="4" t="n">
        <v>90</v>
      </c>
      <c r="D4369" s="4" t="n">
        <v>27.225</v>
      </c>
      <c r="E4369" s="5" t="n">
        <v>70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2025</v>
      </c>
      <c r="B4370" s="4" t="n">
        <v>21562</v>
      </c>
      <c r="C4370" s="4" t="n">
        <v>891</v>
      </c>
      <c r="D4370" s="4" t="n">
        <v>269.5275</v>
      </c>
      <c r="E4370" s="5" t="n">
        <v>80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2025</v>
      </c>
      <c r="B4371" s="4" t="n">
        <v>17220</v>
      </c>
      <c r="C4371" s="4" t="n">
        <v>877</v>
      </c>
      <c r="D4371" s="4" t="n">
        <v>265.2925</v>
      </c>
      <c r="E4371" s="5" t="n">
        <v>64.90000000000001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2025</v>
      </c>
      <c r="B4372" s="4" t="n">
        <v>38000</v>
      </c>
      <c r="C4372" s="4" t="n">
        <v>517</v>
      </c>
      <c r="D4372" s="4" t="n">
        <v>156.3925</v>
      </c>
      <c r="E4372" s="5" t="n">
        <v>243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대</t>
        </is>
      </c>
      <c r="J4372" s="3" t="inlineStr">
        <is>
          <t>오송읍</t>
        </is>
      </c>
    </row>
    <row r="4373">
      <c r="A4373" s="3" t="n">
        <v>2025</v>
      </c>
      <c r="B4373" s="4" t="n">
        <v>163056</v>
      </c>
      <c r="C4373" s="4" t="n">
        <v>6626.3</v>
      </c>
      <c r="D4373" s="4" t="n">
        <v>2004.45575</v>
      </c>
      <c r="E4373" s="5" t="n">
        <v>81.3</v>
      </c>
      <c r="F4373" s="3" t="inlineStr">
        <is>
          <t>오송읍</t>
        </is>
      </c>
      <c r="G4373" s="3" t="inlineStr">
        <is>
          <t>연제리</t>
        </is>
      </c>
      <c r="H4373" s="3" t="inlineStr">
        <is>
          <t>준공업지역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2025</v>
      </c>
      <c r="B4374" s="4" t="n">
        <v>21000</v>
      </c>
      <c r="C4374" s="4" t="n">
        <v>545</v>
      </c>
      <c r="D4374" s="4" t="n">
        <v>164.8625</v>
      </c>
      <c r="E4374" s="5" t="n">
        <v>127.4</v>
      </c>
      <c r="F4374" s="3" t="inlineStr">
        <is>
          <t>강내면</t>
        </is>
      </c>
      <c r="G4374" s="3" t="inlineStr">
        <is>
          <t>사곡리</t>
        </is>
      </c>
      <c r="H4374" s="3" t="inlineStr">
        <is>
          <t>계획관리지역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2025</v>
      </c>
      <c r="B4375" s="4" t="n">
        <v>86210</v>
      </c>
      <c r="C4375" s="4" t="n">
        <v>1541</v>
      </c>
      <c r="D4375" s="4" t="n">
        <v>466.1525</v>
      </c>
      <c r="E4375" s="5" t="n">
        <v>184.9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남이면</t>
        </is>
      </c>
    </row>
    <row r="4376">
      <c r="A4376" s="3" t="n">
        <v>2022</v>
      </c>
      <c r="B4376" s="4" t="n">
        <v>6000</v>
      </c>
      <c r="C4376" s="4" t="n">
        <v>483</v>
      </c>
      <c r="D4376" s="4" t="n">
        <v>146.1075</v>
      </c>
      <c r="E4376" s="5" t="n">
        <v>41.1</v>
      </c>
      <c r="F4376" s="3" t="inlineStr">
        <is>
          <t>남이면</t>
        </is>
      </c>
      <c r="G4376" s="3" t="inlineStr">
        <is>
          <t>산막리</t>
        </is>
      </c>
      <c r="H4376" s="3" t="inlineStr">
        <is>
          <t>계획관리지역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2022</v>
      </c>
      <c r="B4377" s="4" t="n">
        <v>17000</v>
      </c>
      <c r="C4377" s="4" t="n">
        <v>14777</v>
      </c>
      <c r="D4377" s="4" t="n">
        <v>4470.0425</v>
      </c>
      <c r="E4377" s="5" t="n">
        <v>3.8</v>
      </c>
      <c r="F4377" s="3" t="inlineStr">
        <is>
          <t>남이면</t>
        </is>
      </c>
      <c r="G4377" s="3" t="inlineStr">
        <is>
          <t>산막리</t>
        </is>
      </c>
      <c r="H4377" s="3" t="inlineStr">
        <is>
          <t>보전관리지역</t>
        </is>
      </c>
      <c r="I4377" s="3" t="inlineStr">
        <is>
          <t>임야</t>
        </is>
      </c>
      <c r="J4377" s="3" t="inlineStr">
        <is>
          <t>남이면</t>
        </is>
      </c>
    </row>
    <row r="4378">
      <c r="A4378" s="3" t="n">
        <v>2022</v>
      </c>
      <c r="B4378" s="4" t="n">
        <v>4958</v>
      </c>
      <c r="C4378" s="4" t="n">
        <v>82</v>
      </c>
      <c r="D4378" s="4" t="n">
        <v>24.805</v>
      </c>
      <c r="E4378" s="5" t="n">
        <v>199.9</v>
      </c>
      <c r="F4378" s="3" t="inlineStr">
        <is>
          <t>남이면</t>
        </is>
      </c>
      <c r="G4378" s="3" t="inlineStr">
        <is>
          <t>수대리</t>
        </is>
      </c>
      <c r="H4378" s="3" t="inlineStr">
        <is>
          <t>자연녹지지역</t>
        </is>
      </c>
      <c r="I4378" s="3" t="inlineStr">
        <is>
          <t>도로</t>
        </is>
      </c>
      <c r="J4378" s="3" t="inlineStr">
        <is>
          <t>남이면</t>
        </is>
      </c>
    </row>
    <row r="4379">
      <c r="A4379" s="3" t="n">
        <v>2022</v>
      </c>
      <c r="B4379" s="4" t="n">
        <v>3507</v>
      </c>
      <c r="C4379" s="4" t="n">
        <v>58</v>
      </c>
      <c r="D4379" s="4" t="n">
        <v>17.545</v>
      </c>
      <c r="E4379" s="5" t="n">
        <v>199.9</v>
      </c>
      <c r="F4379" s="3" t="inlineStr">
        <is>
          <t>남이면</t>
        </is>
      </c>
      <c r="G4379" s="3" t="inlineStr">
        <is>
          <t>수대리</t>
        </is>
      </c>
      <c r="H4379" s="3" t="inlineStr">
        <is>
          <t>자연녹지지역</t>
        </is>
      </c>
      <c r="I4379" s="3" t="inlineStr">
        <is>
          <t>도로</t>
        </is>
      </c>
      <c r="J4379" s="3" t="inlineStr">
        <is>
          <t>남이면</t>
        </is>
      </c>
    </row>
    <row r="4380">
      <c r="A4380" s="3" t="n">
        <v>2022</v>
      </c>
      <c r="B4380" s="4" t="n">
        <v>53935</v>
      </c>
      <c r="C4380" s="4" t="n">
        <v>892</v>
      </c>
      <c r="D4380" s="4" t="n">
        <v>269.83</v>
      </c>
      <c r="E4380" s="5" t="n">
        <v>199.9</v>
      </c>
      <c r="F4380" s="3" t="inlineStr">
        <is>
          <t>남이면</t>
        </is>
      </c>
      <c r="G4380" s="3" t="inlineStr">
        <is>
          <t>수대리</t>
        </is>
      </c>
      <c r="H4380" s="3" t="inlineStr">
        <is>
          <t>자연녹지지역</t>
        </is>
      </c>
      <c r="I4380" s="3" t="inlineStr">
        <is>
          <t>임야</t>
        </is>
      </c>
      <c r="J4380" s="3" t="inlineStr">
        <is>
          <t>남이면</t>
        </is>
      </c>
    </row>
    <row r="4381">
      <c r="A4381" s="3" t="n">
        <v>2022</v>
      </c>
      <c r="B4381" s="4" t="n">
        <v>37000</v>
      </c>
      <c r="C4381" s="4" t="n">
        <v>1328</v>
      </c>
      <c r="D4381" s="4" t="n">
        <v>401.72</v>
      </c>
      <c r="E4381" s="5" t="n">
        <v>92.09999999999999</v>
      </c>
      <c r="F4381" s="3" t="inlineStr">
        <is>
          <t>남이면</t>
        </is>
      </c>
      <c r="G4381" s="3" t="inlineStr">
        <is>
          <t>문동리</t>
        </is>
      </c>
      <c r="H4381" s="3" t="inlineStr">
        <is>
          <t>보전녹지지역</t>
        </is>
      </c>
      <c r="I4381" s="3" t="inlineStr">
        <is>
          <t>임야</t>
        </is>
      </c>
      <c r="J4381" s="3" t="inlineStr">
        <is>
          <t>남이면</t>
        </is>
      </c>
    </row>
    <row r="4382">
      <c r="A4382" s="3" t="n">
        <v>2022</v>
      </c>
      <c r="B4382" s="4" t="n">
        <v>2621</v>
      </c>
      <c r="C4382" s="4" t="n">
        <v>261</v>
      </c>
      <c r="D4382" s="4" t="n">
        <v>78.9525</v>
      </c>
      <c r="E4382" s="5" t="n">
        <v>33.2</v>
      </c>
      <c r="F4382" s="3" t="inlineStr">
        <is>
          <t>남이면</t>
        </is>
      </c>
      <c r="G4382" s="3" t="inlineStr">
        <is>
          <t>산막리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남이면</t>
        </is>
      </c>
    </row>
    <row r="4383">
      <c r="A4383" s="3" t="n">
        <v>2022</v>
      </c>
      <c r="B4383" s="4" t="n">
        <v>2400</v>
      </c>
      <c r="C4383" s="4" t="n">
        <v>793</v>
      </c>
      <c r="D4383" s="4" t="n">
        <v>239.8825</v>
      </c>
      <c r="E4383" s="5" t="n">
        <v>10</v>
      </c>
      <c r="F4383" s="3" t="inlineStr">
        <is>
          <t>남이면</t>
        </is>
      </c>
      <c r="G4383" s="3" t="inlineStr">
        <is>
          <t>척산리</t>
        </is>
      </c>
      <c r="H4383" s="3" t="inlineStr">
        <is>
          <t>보전관리지역</t>
        </is>
      </c>
      <c r="I4383" s="3" t="inlineStr">
        <is>
          <t>전</t>
        </is>
      </c>
      <c r="J4383" s="3" t="inlineStr">
        <is>
          <t>남이면</t>
        </is>
      </c>
    </row>
    <row r="4384">
      <c r="A4384" s="3" t="n">
        <v>2022</v>
      </c>
      <c r="B4384" s="4" t="n">
        <v>12000</v>
      </c>
      <c r="C4384" s="4" t="n">
        <v>1206.2</v>
      </c>
      <c r="D4384" s="4" t="n">
        <v>364.8755</v>
      </c>
      <c r="E4384" s="5" t="n">
        <v>32.9</v>
      </c>
      <c r="F4384" s="3" t="inlineStr">
        <is>
          <t>남이면</t>
        </is>
      </c>
      <c r="G4384" s="3" t="inlineStr">
        <is>
          <t>사동리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2022</v>
      </c>
      <c r="B4385" s="4" t="n">
        <v>13620</v>
      </c>
      <c r="C4385" s="4" t="n">
        <v>1287</v>
      </c>
      <c r="D4385" s="4" t="n">
        <v>389.3175</v>
      </c>
      <c r="E4385" s="5" t="n">
        <v>35</v>
      </c>
      <c r="F4385" s="3" t="inlineStr">
        <is>
          <t>현도면</t>
        </is>
      </c>
      <c r="G4385" s="3" t="inlineStr">
        <is>
          <t>중척리</t>
        </is>
      </c>
      <c r="H4385" s="3" t="inlineStr">
        <is>
          <t>개발제한구역</t>
        </is>
      </c>
      <c r="I4385" s="3" t="inlineStr">
        <is>
          <t>답</t>
        </is>
      </c>
      <c r="J4385" s="3" t="inlineStr">
        <is>
          <t>현도면</t>
        </is>
      </c>
    </row>
    <row r="4386">
      <c r="A4386" s="3" t="n">
        <v>2022</v>
      </c>
      <c r="B4386" s="4" t="n">
        <v>23760</v>
      </c>
      <c r="C4386" s="4" t="n">
        <v>2245</v>
      </c>
      <c r="D4386" s="4" t="n">
        <v>679.1125</v>
      </c>
      <c r="E4386" s="5" t="n">
        <v>35</v>
      </c>
      <c r="F4386" s="3" t="inlineStr">
        <is>
          <t>현도면</t>
        </is>
      </c>
      <c r="G4386" s="3" t="inlineStr">
        <is>
          <t>중척리</t>
        </is>
      </c>
      <c r="H4386" s="3" t="inlineStr">
        <is>
          <t>개발제한구역</t>
        </is>
      </c>
      <c r="I4386" s="3" t="inlineStr">
        <is>
          <t>답</t>
        </is>
      </c>
      <c r="J4386" s="3" t="inlineStr">
        <is>
          <t>현도면</t>
        </is>
      </c>
    </row>
    <row r="4387">
      <c r="A4387" s="3" t="n">
        <v>2022</v>
      </c>
      <c r="B4387" s="4" t="n">
        <v>5180</v>
      </c>
      <c r="C4387" s="4" t="n">
        <v>1223</v>
      </c>
      <c r="D4387" s="4" t="n">
        <v>369.9575</v>
      </c>
      <c r="E4387" s="5" t="n">
        <v>14</v>
      </c>
      <c r="F4387" s="3" t="inlineStr">
        <is>
          <t>현도면</t>
        </is>
      </c>
      <c r="G4387" s="3" t="inlineStr">
        <is>
          <t>중척리</t>
        </is>
      </c>
      <c r="H4387" s="3" t="inlineStr">
        <is>
          <t>개발제한구역</t>
        </is>
      </c>
      <c r="I4387" s="3" t="inlineStr">
        <is>
          <t>전</t>
        </is>
      </c>
      <c r="J4387" s="3" t="inlineStr">
        <is>
          <t>현도면</t>
        </is>
      </c>
    </row>
    <row r="4388">
      <c r="A4388" s="3" t="n">
        <v>2022</v>
      </c>
      <c r="B4388" s="4" t="n">
        <v>15000</v>
      </c>
      <c r="C4388" s="4" t="n">
        <v>1484</v>
      </c>
      <c r="D4388" s="4" t="n">
        <v>448.91</v>
      </c>
      <c r="E4388" s="5" t="n">
        <v>33.4</v>
      </c>
      <c r="F4388" s="3" t="inlineStr">
        <is>
          <t>현도면</t>
        </is>
      </c>
      <c r="G4388" s="3" t="inlineStr">
        <is>
          <t>양지리</t>
        </is>
      </c>
      <c r="H4388" s="3" t="inlineStr">
        <is>
          <t>개발제한구역</t>
        </is>
      </c>
      <c r="I4388" s="3" t="inlineStr">
        <is>
          <t>전</t>
        </is>
      </c>
      <c r="J4388" s="3" t="inlineStr">
        <is>
          <t>현도면</t>
        </is>
      </c>
    </row>
    <row r="4389">
      <c r="A4389" s="3" t="n">
        <v>2022</v>
      </c>
      <c r="B4389" s="4" t="n">
        <v>5381</v>
      </c>
      <c r="C4389" s="4" t="n">
        <v>135</v>
      </c>
      <c r="D4389" s="4" t="n">
        <v>40.8375</v>
      </c>
      <c r="E4389" s="5" t="n">
        <v>131.8</v>
      </c>
      <c r="F4389" s="3" t="inlineStr">
        <is>
          <t>남이면</t>
        </is>
      </c>
      <c r="G4389" s="3" t="inlineStr">
        <is>
          <t>가마리</t>
        </is>
      </c>
      <c r="H4389" s="3" t="inlineStr">
        <is>
          <t>자연녹지지역</t>
        </is>
      </c>
      <c r="I4389" s="3" t="inlineStr">
        <is>
          <t>도로</t>
        </is>
      </c>
      <c r="J4389" s="3" t="inlineStr">
        <is>
          <t>남이면</t>
        </is>
      </c>
    </row>
    <row r="4390">
      <c r="A4390" s="3" t="n">
        <v>2022</v>
      </c>
      <c r="B4390" s="4" t="n">
        <v>200</v>
      </c>
      <c r="C4390" s="4" t="n">
        <v>51</v>
      </c>
      <c r="D4390" s="4" t="n">
        <v>15.4275</v>
      </c>
      <c r="E4390" s="5" t="n">
        <v>13</v>
      </c>
      <c r="F4390" s="3" t="inlineStr">
        <is>
          <t>현도면</t>
        </is>
      </c>
      <c r="G4390" s="3" t="inlineStr">
        <is>
          <t>죽전리</t>
        </is>
      </c>
      <c r="H4390" s="3" t="inlineStr">
        <is>
          <t>계획관리지역</t>
        </is>
      </c>
      <c r="I4390" s="3" t="inlineStr">
        <is>
          <t>도로</t>
        </is>
      </c>
      <c r="J4390" s="3" t="inlineStr">
        <is>
          <t>현도면</t>
        </is>
      </c>
    </row>
    <row r="4391">
      <c r="A4391" s="3" t="n">
        <v>2022</v>
      </c>
      <c r="B4391" s="4" t="n">
        <v>30376</v>
      </c>
      <c r="C4391" s="4" t="n">
        <v>887</v>
      </c>
      <c r="D4391" s="4" t="n">
        <v>268.3175</v>
      </c>
      <c r="E4391" s="5" t="n">
        <v>113.2</v>
      </c>
      <c r="F4391" s="3" t="inlineStr">
        <is>
          <t>남이면</t>
        </is>
      </c>
      <c r="G4391" s="3" t="inlineStr">
        <is>
          <t>가좌리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남이면</t>
        </is>
      </c>
    </row>
    <row r="4392">
      <c r="A4392" s="3" t="n">
        <v>2022</v>
      </c>
      <c r="B4392" s="4" t="n">
        <v>26095</v>
      </c>
      <c r="C4392" s="4" t="n">
        <v>762</v>
      </c>
      <c r="D4392" s="4" t="n">
        <v>230.505</v>
      </c>
      <c r="E4392" s="5" t="n">
        <v>113.2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임야</t>
        </is>
      </c>
      <c r="J4392" s="3" t="inlineStr">
        <is>
          <t>남이면</t>
        </is>
      </c>
    </row>
    <row r="4393">
      <c r="A4393" s="3" t="n">
        <v>2022</v>
      </c>
      <c r="B4393" s="4" t="n">
        <v>17037</v>
      </c>
      <c r="C4393" s="4" t="n">
        <v>352</v>
      </c>
      <c r="D4393" s="4" t="n">
        <v>106.48</v>
      </c>
      <c r="E4393" s="5" t="n">
        <v>160</v>
      </c>
      <c r="F4393" s="3" t="inlineStr">
        <is>
          <t>남이면</t>
        </is>
      </c>
      <c r="G4393" s="3" t="inlineStr">
        <is>
          <t>부용외천리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남이면</t>
        </is>
      </c>
    </row>
    <row r="4394">
      <c r="A4394" s="3" t="n">
        <v>2022</v>
      </c>
      <c r="B4394" s="4" t="n">
        <v>16795</v>
      </c>
      <c r="C4394" s="4" t="n">
        <v>347</v>
      </c>
      <c r="D4394" s="4" t="n">
        <v>104.9675</v>
      </c>
      <c r="E4394" s="5" t="n">
        <v>160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남이면</t>
        </is>
      </c>
    </row>
    <row r="4395">
      <c r="A4395" s="3" t="n">
        <v>2022</v>
      </c>
      <c r="B4395" s="4" t="n">
        <v>2904</v>
      </c>
      <c r="C4395" s="4" t="n">
        <v>60</v>
      </c>
      <c r="D4395" s="4" t="n">
        <v>18.15</v>
      </c>
      <c r="E4395" s="5" t="n">
        <v>160</v>
      </c>
      <c r="F4395" s="3" t="inlineStr">
        <is>
          <t>남이면</t>
        </is>
      </c>
      <c r="G4395" s="3" t="inlineStr">
        <is>
          <t>부용외천리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남이면</t>
        </is>
      </c>
    </row>
    <row r="4396">
      <c r="A4396" s="3" t="n">
        <v>2022</v>
      </c>
      <c r="B4396" s="4" t="n">
        <v>4065</v>
      </c>
      <c r="C4396" s="4" t="n">
        <v>84</v>
      </c>
      <c r="D4396" s="4" t="n">
        <v>25.41</v>
      </c>
      <c r="E4396" s="5" t="n">
        <v>160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남이면</t>
        </is>
      </c>
    </row>
    <row r="4397">
      <c r="A4397" s="3" t="n">
        <v>2022</v>
      </c>
      <c r="B4397" s="4" t="n">
        <v>4000</v>
      </c>
      <c r="C4397" s="4" t="n">
        <v>1531</v>
      </c>
      <c r="D4397" s="4" t="n">
        <v>463.1275</v>
      </c>
      <c r="E4397" s="5" t="n">
        <v>8.6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2022</v>
      </c>
      <c r="B4398" s="4" t="n">
        <v>500</v>
      </c>
      <c r="C4398" s="4" t="n">
        <v>53</v>
      </c>
      <c r="D4398" s="4" t="n">
        <v>16.0325</v>
      </c>
      <c r="E4398" s="5" t="n">
        <v>31.2</v>
      </c>
      <c r="F4398" s="3" t="inlineStr">
        <is>
          <t>남이면</t>
        </is>
      </c>
      <c r="G4398" s="3" t="inlineStr">
        <is>
          <t>양촌리</t>
        </is>
      </c>
      <c r="H4398" s="3" t="inlineStr">
        <is>
          <t>자연녹지지역</t>
        </is>
      </c>
      <c r="I4398" s="3" t="inlineStr">
        <is>
          <t>도로</t>
        </is>
      </c>
      <c r="J4398" s="3" t="inlineStr">
        <is>
          <t>남이면</t>
        </is>
      </c>
    </row>
    <row r="4399">
      <c r="A4399" s="3" t="n">
        <v>2022</v>
      </c>
      <c r="B4399" s="4" t="n">
        <v>20000</v>
      </c>
      <c r="C4399" s="4" t="n">
        <v>1726</v>
      </c>
      <c r="D4399" s="4" t="n">
        <v>522.115</v>
      </c>
      <c r="E4399" s="5" t="n">
        <v>38.3</v>
      </c>
      <c r="F4399" s="3" t="inlineStr">
        <is>
          <t>남이면</t>
        </is>
      </c>
      <c r="G4399" s="3" t="inlineStr">
        <is>
          <t>문동리</t>
        </is>
      </c>
      <c r="H4399" s="3" t="inlineStr">
        <is>
          <t>생산관리지역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2022</v>
      </c>
      <c r="B4400" s="4" t="n">
        <v>2500</v>
      </c>
      <c r="C4400" s="4" t="n">
        <v>938</v>
      </c>
      <c r="D4400" s="4" t="n">
        <v>283.745</v>
      </c>
      <c r="E4400" s="5" t="n">
        <v>8.800000000000001</v>
      </c>
      <c r="F4400" s="3" t="inlineStr">
        <is>
          <t>남이면</t>
        </is>
      </c>
      <c r="G4400" s="3" t="inlineStr">
        <is>
          <t>척북리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2022</v>
      </c>
      <c r="B4401" s="4" t="n">
        <v>5000</v>
      </c>
      <c r="C4401" s="4" t="n">
        <v>4726</v>
      </c>
      <c r="D4401" s="4" t="n">
        <v>1429.615</v>
      </c>
      <c r="E4401" s="5" t="n">
        <v>3.5</v>
      </c>
      <c r="F4401" s="3" t="inlineStr">
        <is>
          <t>남이면</t>
        </is>
      </c>
      <c r="G4401" s="3" t="inlineStr">
        <is>
          <t>산막리</t>
        </is>
      </c>
      <c r="H4401" s="3" t="inlineStr">
        <is>
          <t>보전관리지역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2022</v>
      </c>
      <c r="B4402" s="4" t="n">
        <v>12000</v>
      </c>
      <c r="C4402" s="4" t="n">
        <v>9521</v>
      </c>
      <c r="D4402" s="4" t="n">
        <v>2880.1025</v>
      </c>
      <c r="E4402" s="5" t="n">
        <v>4.2</v>
      </c>
      <c r="F4402" s="3" t="inlineStr">
        <is>
          <t>남이면</t>
        </is>
      </c>
      <c r="G4402" s="3" t="inlineStr">
        <is>
          <t>산막리</t>
        </is>
      </c>
      <c r="H4402" s="3" t="inlineStr">
        <is>
          <t>보전관리지역</t>
        </is>
      </c>
      <c r="I4402" s="3" t="inlineStr">
        <is>
          <t>임야</t>
        </is>
      </c>
      <c r="J4402" s="3" t="inlineStr">
        <is>
          <t>남이면</t>
        </is>
      </c>
    </row>
    <row r="4403">
      <c r="A4403" s="3" t="n">
        <v>2022</v>
      </c>
      <c r="B4403" s="4" t="n">
        <v>14875</v>
      </c>
      <c r="C4403" s="4" t="n">
        <v>1759</v>
      </c>
      <c r="D4403" s="4" t="n">
        <v>532.0975</v>
      </c>
      <c r="E4403" s="5" t="n">
        <v>28</v>
      </c>
      <c r="F4403" s="3" t="inlineStr">
        <is>
          <t>강내면</t>
        </is>
      </c>
      <c r="G4403" s="3" t="inlineStr">
        <is>
          <t>월곡리</t>
        </is>
      </c>
      <c r="H4403" s="3" t="inlineStr">
        <is>
          <t>생산녹지지역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2022</v>
      </c>
      <c r="B4404" s="4" t="n">
        <v>72625</v>
      </c>
      <c r="C4404" s="4" t="n">
        <v>3154</v>
      </c>
      <c r="D4404" s="4" t="n">
        <v>954.0849999999999</v>
      </c>
      <c r="E4404" s="5" t="n">
        <v>76.09999999999999</v>
      </c>
      <c r="F4404" s="3" t="inlineStr">
        <is>
          <t>강내면</t>
        </is>
      </c>
      <c r="G4404" s="3" t="inlineStr">
        <is>
          <t>월곡리</t>
        </is>
      </c>
      <c r="H4404" s="3" t="inlineStr">
        <is>
          <t>생산녹지지역</t>
        </is>
      </c>
      <c r="I4404" s="3" t="inlineStr">
        <is>
          <t>답</t>
        </is>
      </c>
      <c r="J4404" s="3" t="inlineStr">
        <is>
          <t>강내면</t>
        </is>
      </c>
    </row>
    <row r="4405">
      <c r="A4405" s="3" t="n">
        <v>2022</v>
      </c>
      <c r="B4405" s="4" t="n">
        <v>23400</v>
      </c>
      <c r="C4405" s="4" t="n">
        <v>1193</v>
      </c>
      <c r="D4405" s="4" t="n">
        <v>360.8825</v>
      </c>
      <c r="E4405" s="5" t="n">
        <v>64.8</v>
      </c>
      <c r="F4405" s="3" t="inlineStr">
        <is>
          <t>강내면</t>
        </is>
      </c>
      <c r="G4405" s="3" t="inlineStr">
        <is>
          <t>당곡리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강내면</t>
        </is>
      </c>
    </row>
    <row r="4406">
      <c r="A4406" s="3" t="n">
        <v>2022</v>
      </c>
      <c r="B4406" s="4" t="n">
        <v>17550</v>
      </c>
      <c r="C4406" s="4" t="n">
        <v>894</v>
      </c>
      <c r="D4406" s="4" t="n">
        <v>270.435</v>
      </c>
      <c r="E4406" s="5" t="n">
        <v>64.90000000000001</v>
      </c>
      <c r="F4406" s="3" t="inlineStr">
        <is>
          <t>강내면</t>
        </is>
      </c>
      <c r="G4406" s="3" t="inlineStr">
        <is>
          <t>당곡리</t>
        </is>
      </c>
      <c r="H4406" s="3" t="inlineStr">
        <is>
          <t>계획관리지역</t>
        </is>
      </c>
      <c r="I4406" s="3" t="inlineStr">
        <is>
          <t>답</t>
        </is>
      </c>
      <c r="J4406" s="3" t="inlineStr">
        <is>
          <t>강내면</t>
        </is>
      </c>
    </row>
    <row r="4407">
      <c r="A4407" s="3" t="n">
        <v>2022</v>
      </c>
      <c r="B4407" s="4" t="n">
        <v>33800</v>
      </c>
      <c r="C4407" s="4" t="n">
        <v>1722</v>
      </c>
      <c r="D4407" s="4" t="n">
        <v>520.905</v>
      </c>
      <c r="E4407" s="5" t="n">
        <v>64.90000000000001</v>
      </c>
      <c r="F4407" s="3" t="inlineStr">
        <is>
          <t>강내면</t>
        </is>
      </c>
      <c r="G4407" s="3" t="inlineStr">
        <is>
          <t>당곡리</t>
        </is>
      </c>
      <c r="H4407" s="3" t="inlineStr">
        <is>
          <t>계획관리지역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8000</v>
      </c>
      <c r="C4408" s="4" t="n">
        <v>480</v>
      </c>
      <c r="D4408" s="4" t="n">
        <v>145.2</v>
      </c>
      <c r="E4408" s="5" t="n">
        <v>55.1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강내면</t>
        </is>
      </c>
    </row>
    <row r="4409">
      <c r="A4409" s="3" t="n">
        <v>2022</v>
      </c>
      <c r="B4409" s="4" t="n">
        <v>33000</v>
      </c>
      <c r="C4409" s="4" t="n">
        <v>283.2</v>
      </c>
      <c r="D4409" s="4" t="n">
        <v>85.66799999999999</v>
      </c>
      <c r="E4409" s="5" t="n">
        <v>385.2</v>
      </c>
      <c r="F4409" s="3" t="inlineStr">
        <is>
          <t>오송읍</t>
        </is>
      </c>
      <c r="G4409" s="3" t="inlineStr">
        <is>
          <t>봉산리</t>
        </is>
      </c>
      <c r="H4409" s="3" t="inlineStr">
        <is>
          <t>제1종일반주거지역</t>
        </is>
      </c>
      <c r="I4409" s="3" t="inlineStr">
        <is>
          <t>대</t>
        </is>
      </c>
      <c r="J4409" s="3" t="inlineStr">
        <is>
          <t>오송읍</t>
        </is>
      </c>
    </row>
    <row r="4410">
      <c r="A4410" s="3" t="n">
        <v>2022</v>
      </c>
      <c r="B4410" s="4" t="n">
        <v>43500</v>
      </c>
      <c r="C4410" s="4" t="n">
        <v>2579</v>
      </c>
      <c r="D4410" s="4" t="n">
        <v>780.1474999999999</v>
      </c>
      <c r="E4410" s="5" t="n">
        <v>55.8</v>
      </c>
      <c r="F4410" s="3" t="inlineStr">
        <is>
          <t>강내면</t>
        </is>
      </c>
      <c r="G4410" s="3" t="inlineStr">
        <is>
          <t>저산리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강내면</t>
        </is>
      </c>
    </row>
    <row r="4411">
      <c r="A4411" s="3" t="n">
        <v>2022</v>
      </c>
      <c r="B4411" s="4" t="n">
        <v>18000</v>
      </c>
      <c r="C4411" s="4" t="n">
        <v>1937</v>
      </c>
      <c r="D4411" s="4" t="n">
        <v>585.9425</v>
      </c>
      <c r="E4411" s="5" t="n">
        <v>30.7</v>
      </c>
      <c r="F4411" s="3" t="inlineStr">
        <is>
          <t>오송읍</t>
        </is>
      </c>
      <c r="G4411" s="3" t="inlineStr">
        <is>
          <t>호계리</t>
        </is>
      </c>
      <c r="H4411" s="3" t="inlineStr">
        <is>
          <t>농림지역</t>
        </is>
      </c>
      <c r="I4411" s="3" t="inlineStr">
        <is>
          <t>전</t>
        </is>
      </c>
      <c r="J4411" s="3" t="inlineStr">
        <is>
          <t>오송읍</t>
        </is>
      </c>
    </row>
    <row r="4412">
      <c r="A4412" s="3" t="n">
        <v>2022</v>
      </c>
      <c r="B4412" s="4" t="n">
        <v>15863</v>
      </c>
      <c r="C4412" s="4" t="n">
        <v>251</v>
      </c>
      <c r="D4412" s="4" t="n">
        <v>75.92749999999999</v>
      </c>
      <c r="E4412" s="5" t="n">
        <v>208.9</v>
      </c>
      <c r="F4412" s="3" t="inlineStr">
        <is>
          <t>강내면</t>
        </is>
      </c>
      <c r="G4412" s="3" t="inlineStr">
        <is>
          <t>월곡리</t>
        </is>
      </c>
      <c r="H4412" s="3" t="inlineStr">
        <is>
          <t>제2종일반주거지역</t>
        </is>
      </c>
      <c r="I4412" s="3" t="inlineStr">
        <is>
          <t>도로</t>
        </is>
      </c>
      <c r="J4412" s="3" t="inlineStr">
        <is>
          <t>강내면</t>
        </is>
      </c>
    </row>
    <row r="4413">
      <c r="A4413" s="3" t="n">
        <v>2022</v>
      </c>
      <c r="B4413" s="4" t="n">
        <v>884</v>
      </c>
      <c r="C4413" s="4" t="n">
        <v>13</v>
      </c>
      <c r="D4413" s="4" t="n">
        <v>3.9325</v>
      </c>
      <c r="E4413" s="5" t="n">
        <v>224.8</v>
      </c>
      <c r="F4413" s="3" t="inlineStr">
        <is>
          <t>강내면</t>
        </is>
      </c>
      <c r="G4413" s="3" t="inlineStr">
        <is>
          <t>월곡리</t>
        </is>
      </c>
      <c r="H4413" s="3" t="inlineStr">
        <is>
          <t>제2종일반주거지역</t>
        </is>
      </c>
      <c r="I4413" s="3" t="inlineStr">
        <is>
          <t>도로</t>
        </is>
      </c>
      <c r="J4413" s="3" t="inlineStr">
        <is>
          <t>강내면</t>
        </is>
      </c>
    </row>
    <row r="4414">
      <c r="A4414" s="3" t="n">
        <v>2022</v>
      </c>
      <c r="B4414" s="4" t="n">
        <v>15000</v>
      </c>
      <c r="C4414" s="4" t="n">
        <v>4959</v>
      </c>
      <c r="D4414" s="4" t="n">
        <v>1500.0975</v>
      </c>
      <c r="E4414" s="5" t="n">
        <v>10</v>
      </c>
      <c r="F4414" s="3" t="inlineStr">
        <is>
          <t>강내면</t>
        </is>
      </c>
      <c r="G4414" s="3" t="inlineStr">
        <is>
          <t>궁현리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강내면</t>
        </is>
      </c>
    </row>
    <row r="4415">
      <c r="A4415" s="3" t="n">
        <v>2022</v>
      </c>
      <c r="B4415" s="4" t="n">
        <v>167470</v>
      </c>
      <c r="C4415" s="4" t="n">
        <v>5157</v>
      </c>
      <c r="D4415" s="4" t="n">
        <v>1559.9925</v>
      </c>
      <c r="E4415" s="5" t="n">
        <v>107.4</v>
      </c>
      <c r="F4415" s="3" t="inlineStr">
        <is>
          <t>오송읍</t>
        </is>
      </c>
      <c r="G4415" s="3" t="inlineStr">
        <is>
          <t>연제리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2022</v>
      </c>
      <c r="B4416" s="4" t="n">
        <v>19320</v>
      </c>
      <c r="C4416" s="4" t="n">
        <v>595</v>
      </c>
      <c r="D4416" s="4" t="n">
        <v>179.9875</v>
      </c>
      <c r="E4416" s="5" t="n">
        <v>107.3</v>
      </c>
      <c r="F4416" s="3" t="inlineStr">
        <is>
          <t>오송읍</t>
        </is>
      </c>
      <c r="G4416" s="3" t="inlineStr">
        <is>
          <t>연제리</t>
        </is>
      </c>
      <c r="H4416" s="3" t="inlineStr">
        <is>
          <t>계획관리지역</t>
        </is>
      </c>
      <c r="I4416" s="3" t="inlineStr">
        <is>
          <t>임야</t>
        </is>
      </c>
      <c r="J4416" s="3" t="inlineStr">
        <is>
          <t>오송읍</t>
        </is>
      </c>
    </row>
    <row r="4417">
      <c r="A4417" s="3" t="n">
        <v>2022</v>
      </c>
      <c r="B4417" s="4" t="n">
        <v>3210</v>
      </c>
      <c r="C4417" s="4" t="n">
        <v>99</v>
      </c>
      <c r="D4417" s="4" t="n">
        <v>29.9475</v>
      </c>
      <c r="E4417" s="5" t="n">
        <v>107.2</v>
      </c>
      <c r="F4417" s="3" t="inlineStr">
        <is>
          <t>오송읍</t>
        </is>
      </c>
      <c r="G4417" s="3" t="inlineStr">
        <is>
          <t>연제리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오송읍</t>
        </is>
      </c>
    </row>
    <row r="4418">
      <c r="A4418" s="3" t="n">
        <v>2022</v>
      </c>
      <c r="B4418" s="4" t="n">
        <v>83000</v>
      </c>
      <c r="C4418" s="4" t="n">
        <v>3967</v>
      </c>
      <c r="D4418" s="4" t="n">
        <v>1200.0175</v>
      </c>
      <c r="E4418" s="5" t="n">
        <v>69.2</v>
      </c>
      <c r="F4418" s="3" t="inlineStr">
        <is>
          <t>오송읍</t>
        </is>
      </c>
      <c r="G4418" s="3" t="inlineStr">
        <is>
          <t>궁평리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9000</v>
      </c>
      <c r="C4419" s="4" t="n">
        <v>615</v>
      </c>
      <c r="D4419" s="4" t="n">
        <v>186.0375</v>
      </c>
      <c r="E4419" s="5" t="n">
        <v>48.4</v>
      </c>
      <c r="F4419" s="3" t="inlineStr">
        <is>
          <t>강내면</t>
        </is>
      </c>
      <c r="G4419" s="3" t="inlineStr">
        <is>
          <t>태성리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2023</v>
      </c>
      <c r="B4420" s="4" t="n">
        <v>20000</v>
      </c>
      <c r="C4420" s="4" t="n">
        <v>843</v>
      </c>
      <c r="D4420" s="4" t="n">
        <v>255.0075</v>
      </c>
      <c r="E4420" s="5" t="n">
        <v>78.40000000000001</v>
      </c>
      <c r="F4420" s="3" t="inlineStr">
        <is>
          <t>강내면</t>
        </is>
      </c>
      <c r="G4420" s="3" t="inlineStr">
        <is>
          <t>태성리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강내면</t>
        </is>
      </c>
    </row>
    <row r="4421">
      <c r="A4421" s="3" t="n">
        <v>2023</v>
      </c>
      <c r="B4421" s="4" t="n">
        <v>150000</v>
      </c>
      <c r="C4421" s="4" t="n">
        <v>978.1</v>
      </c>
      <c r="D4421" s="4" t="n">
        <v>295.87525</v>
      </c>
      <c r="E4421" s="5" t="n">
        <v>507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주차장</t>
        </is>
      </c>
      <c r="J4421" s="3" t="inlineStr">
        <is>
          <t>오송읍</t>
        </is>
      </c>
    </row>
    <row r="4422">
      <c r="A4422" s="3" t="n">
        <v>2023</v>
      </c>
      <c r="B4422" s="4" t="n">
        <v>30000</v>
      </c>
      <c r="C4422" s="4" t="n">
        <v>799</v>
      </c>
      <c r="D4422" s="4" t="n">
        <v>241.6975</v>
      </c>
      <c r="E4422" s="5" t="n">
        <v>124.1</v>
      </c>
      <c r="F4422" s="3" t="inlineStr">
        <is>
          <t>강내면</t>
        </is>
      </c>
      <c r="G4422" s="3" t="inlineStr">
        <is>
          <t>태성리</t>
        </is>
      </c>
      <c r="H4422" s="3" t="inlineStr">
        <is>
          <t>계획관리지역</t>
        </is>
      </c>
      <c r="I4422" s="3" t="inlineStr">
        <is>
          <t>공장용지</t>
        </is>
      </c>
      <c r="J4422" s="3" t="inlineStr">
        <is>
          <t>강내면</t>
        </is>
      </c>
    </row>
    <row r="4423">
      <c r="A4423" s="3" t="n">
        <v>2023</v>
      </c>
      <c r="B4423" s="4" t="n">
        <v>220000</v>
      </c>
      <c r="C4423" s="4" t="n">
        <v>654.1</v>
      </c>
      <c r="D4423" s="4" t="n">
        <v>197.86525</v>
      </c>
      <c r="E4423" s="5" t="n">
        <v>1111.9</v>
      </c>
      <c r="F4423" s="3" t="inlineStr">
        <is>
          <t>오송읍</t>
        </is>
      </c>
      <c r="G4423" s="3" t="inlineStr">
        <is>
          <t>봉산리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오송읍</t>
        </is>
      </c>
    </row>
    <row r="4424">
      <c r="A4424" s="3" t="n">
        <v>2023</v>
      </c>
      <c r="B4424" s="4" t="n">
        <v>1084</v>
      </c>
      <c r="C4424" s="4" t="n">
        <v>13</v>
      </c>
      <c r="D4424" s="4" t="n">
        <v>3.9325</v>
      </c>
      <c r="E4424" s="5" t="n">
        <v>275.7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제1종일반주거지역</t>
        </is>
      </c>
      <c r="I4424" s="3" t="inlineStr">
        <is>
          <t>답</t>
        </is>
      </c>
      <c r="J4424" s="3" t="inlineStr">
        <is>
          <t>오송읍</t>
        </is>
      </c>
    </row>
    <row r="4425">
      <c r="A4425" s="3" t="n">
        <v>2023</v>
      </c>
      <c r="B4425" s="4" t="n">
        <v>916</v>
      </c>
      <c r="C4425" s="4" t="n">
        <v>11</v>
      </c>
      <c r="D4425" s="4" t="n">
        <v>3.3275</v>
      </c>
      <c r="E4425" s="5" t="n">
        <v>275.3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제1종일반주거지역</t>
        </is>
      </c>
      <c r="I4425" s="3" t="inlineStr">
        <is>
          <t>답</t>
        </is>
      </c>
      <c r="J4425" s="3" t="inlineStr">
        <is>
          <t>오송읍</t>
        </is>
      </c>
    </row>
    <row r="4426">
      <c r="A4426" s="3" t="n">
        <v>2023</v>
      </c>
      <c r="B4426" s="4" t="n">
        <v>45000</v>
      </c>
      <c r="C4426" s="4" t="n">
        <v>409</v>
      </c>
      <c r="D4426" s="4" t="n">
        <v>123.7225</v>
      </c>
      <c r="E4426" s="5" t="n">
        <v>363.7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제1종일반주거지역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2023</v>
      </c>
      <c r="B4427" s="4" t="n">
        <v>178266</v>
      </c>
      <c r="C4427" s="4" t="n">
        <v>8241.799999999999</v>
      </c>
      <c r="D4427" s="4" t="n">
        <v>2493.1445</v>
      </c>
      <c r="E4427" s="5" t="n">
        <v>71.5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준공업지역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2023</v>
      </c>
      <c r="B4428" s="4" t="n">
        <v>13681</v>
      </c>
      <c r="C4428" s="4" t="n">
        <v>483</v>
      </c>
      <c r="D4428" s="4" t="n">
        <v>146.1075</v>
      </c>
      <c r="E4428" s="5" t="n">
        <v>93.59999999999999</v>
      </c>
      <c r="F4428" s="3" t="inlineStr">
        <is>
          <t>강내면</t>
        </is>
      </c>
      <c r="G4428" s="3" t="inlineStr">
        <is>
          <t>학천리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2023</v>
      </c>
      <c r="B4429" s="4" t="n">
        <v>27616</v>
      </c>
      <c r="C4429" s="4" t="n">
        <v>2132</v>
      </c>
      <c r="D4429" s="4" t="n">
        <v>644.9299999999999</v>
      </c>
      <c r="E4429" s="5" t="n">
        <v>42.8</v>
      </c>
      <c r="F4429" s="3" t="inlineStr">
        <is>
          <t>오송읍</t>
        </is>
      </c>
      <c r="G4429" s="3" t="inlineStr">
        <is>
          <t>서평리</t>
        </is>
      </c>
      <c r="H4429" s="3" t="inlineStr">
        <is>
          <t>농림지역</t>
        </is>
      </c>
      <c r="I4429" s="3" t="inlineStr">
        <is>
          <t>답</t>
        </is>
      </c>
      <c r="J4429" s="3" t="inlineStr">
        <is>
          <t>오송읍</t>
        </is>
      </c>
    </row>
    <row r="4430">
      <c r="A4430" s="3" t="n">
        <v>2023</v>
      </c>
      <c r="B4430" s="4" t="n">
        <v>34000</v>
      </c>
      <c r="C4430" s="4" t="n">
        <v>267.6</v>
      </c>
      <c r="D4430" s="4" t="n">
        <v>80.949</v>
      </c>
      <c r="E4430" s="5" t="n">
        <v>420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2023</v>
      </c>
      <c r="B4431" s="4" t="n">
        <v>59000</v>
      </c>
      <c r="C4431" s="4" t="n">
        <v>248.6</v>
      </c>
      <c r="D4431" s="4" t="n">
        <v>75.2015</v>
      </c>
      <c r="E4431" s="5" t="n">
        <v>784.6</v>
      </c>
      <c r="F4431" s="3" t="inlineStr">
        <is>
          <t>오송읍</t>
        </is>
      </c>
      <c r="G4431" s="3" t="inlineStr">
        <is>
          <t>봉산리</t>
        </is>
      </c>
      <c r="H4431" s="3" t="inlineStr">
        <is>
          <t>제1종일반주거지역</t>
        </is>
      </c>
      <c r="I4431" s="3" t="inlineStr">
        <is>
          <t>대</t>
        </is>
      </c>
      <c r="J4431" s="3" t="inlineStr">
        <is>
          <t>오송읍</t>
        </is>
      </c>
    </row>
    <row r="4432">
      <c r="A4432" s="3" t="n">
        <v>2023</v>
      </c>
      <c r="B4432" s="4" t="n">
        <v>1000</v>
      </c>
      <c r="C4432" s="4" t="n">
        <v>149</v>
      </c>
      <c r="D4432" s="4" t="n">
        <v>45.0725</v>
      </c>
      <c r="E4432" s="5" t="n">
        <v>22.2</v>
      </c>
      <c r="F4432" s="3" t="inlineStr">
        <is>
          <t>강내면</t>
        </is>
      </c>
      <c r="G4432" s="3" t="inlineStr">
        <is>
          <t>황탄리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강내면</t>
        </is>
      </c>
    </row>
    <row r="4433">
      <c r="A4433" s="3" t="n">
        <v>2023</v>
      </c>
      <c r="B4433" s="4" t="n">
        <v>1200</v>
      </c>
      <c r="C4433" s="4" t="n">
        <v>191</v>
      </c>
      <c r="D4433" s="4" t="n">
        <v>57.7775</v>
      </c>
      <c r="E4433" s="5" t="n">
        <v>20.8</v>
      </c>
      <c r="F4433" s="3" t="inlineStr">
        <is>
          <t>강내면</t>
        </is>
      </c>
      <c r="G4433" s="3" t="inlineStr">
        <is>
          <t>황탄리</t>
        </is>
      </c>
      <c r="H4433" s="3" t="inlineStr">
        <is>
          <t>계획관리지역</t>
        </is>
      </c>
      <c r="I4433" s="3" t="inlineStr">
        <is>
          <t>도로</t>
        </is>
      </c>
      <c r="J4433" s="3" t="inlineStr">
        <is>
          <t>강내면</t>
        </is>
      </c>
    </row>
    <row r="4434">
      <c r="A4434" s="3" t="n">
        <v>2023</v>
      </c>
      <c r="B4434" s="4" t="n">
        <v>3950</v>
      </c>
      <c r="C4434" s="4" t="n">
        <v>162</v>
      </c>
      <c r="D4434" s="4" t="n">
        <v>49.005</v>
      </c>
      <c r="E4434" s="5" t="n">
        <v>80.59999999999999</v>
      </c>
      <c r="F4434" s="3" t="inlineStr">
        <is>
          <t>강내면</t>
        </is>
      </c>
      <c r="G4434" s="3" t="inlineStr">
        <is>
          <t>저산리</t>
        </is>
      </c>
      <c r="H4434" s="3" t="inlineStr">
        <is>
          <t>계획관리지역</t>
        </is>
      </c>
      <c r="I4434" s="3" t="inlineStr">
        <is>
          <t>임야</t>
        </is>
      </c>
      <c r="J4434" s="3" t="inlineStr">
        <is>
          <t>강내면</t>
        </is>
      </c>
    </row>
    <row r="4435">
      <c r="A4435" s="3" t="n">
        <v>2023</v>
      </c>
      <c r="B4435" s="4" t="n">
        <v>3367</v>
      </c>
      <c r="C4435" s="4" t="n">
        <v>44</v>
      </c>
      <c r="D4435" s="4" t="n">
        <v>13.31</v>
      </c>
      <c r="E4435" s="5" t="n">
        <v>253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15500</v>
      </c>
      <c r="C4436" s="4" t="n">
        <v>501</v>
      </c>
      <c r="D4436" s="4" t="n">
        <v>151.5525</v>
      </c>
      <c r="E4436" s="5" t="n">
        <v>102.3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37000</v>
      </c>
      <c r="C4437" s="4" t="n">
        <v>290.7</v>
      </c>
      <c r="D4437" s="4" t="n">
        <v>87.93674999999999</v>
      </c>
      <c r="E4437" s="5" t="n">
        <v>420.8</v>
      </c>
      <c r="F4437" s="3" t="inlineStr">
        <is>
          <t>오송읍</t>
        </is>
      </c>
      <c r="G4437" s="3" t="inlineStr">
        <is>
          <t>봉산리</t>
        </is>
      </c>
      <c r="H4437" s="3" t="inlineStr">
        <is>
          <t>제1종일반주거지역</t>
        </is>
      </c>
      <c r="I4437" s="3" t="inlineStr">
        <is>
          <t>대</t>
        </is>
      </c>
      <c r="J4437" s="3" t="inlineStr">
        <is>
          <t>오송읍</t>
        </is>
      </c>
    </row>
    <row r="4438">
      <c r="A4438" s="3" t="n">
        <v>2025</v>
      </c>
      <c r="B4438" s="4" t="n">
        <v>19704</v>
      </c>
      <c r="C4438" s="4" t="n">
        <v>465</v>
      </c>
      <c r="D4438" s="4" t="n">
        <v>140.6625</v>
      </c>
      <c r="E4438" s="5" t="n">
        <v>140.1</v>
      </c>
      <c r="F4438" s="3" t="inlineStr">
        <is>
          <t>강내면</t>
        </is>
      </c>
      <c r="G4438" s="3" t="inlineStr">
        <is>
          <t>사곡리</t>
        </is>
      </c>
      <c r="H4438" s="3" t="inlineStr">
        <is>
          <t>보전관리지역</t>
        </is>
      </c>
      <c r="I4438" s="3" t="inlineStr">
        <is>
          <t>대</t>
        </is>
      </c>
      <c r="J4438" s="3" t="inlineStr">
        <is>
          <t>강내면</t>
        </is>
      </c>
    </row>
    <row r="4439">
      <c r="A4439" s="3" t="n">
        <v>2025</v>
      </c>
      <c r="B4439" s="4" t="n">
        <v>30000</v>
      </c>
      <c r="C4439" s="4" t="n">
        <v>267.6</v>
      </c>
      <c r="D4439" s="4" t="n">
        <v>80.949</v>
      </c>
      <c r="E4439" s="5" t="n">
        <v>370.6</v>
      </c>
      <c r="F4439" s="3" t="inlineStr">
        <is>
          <t>오송읍</t>
        </is>
      </c>
      <c r="G4439" s="3" t="inlineStr">
        <is>
          <t>봉산리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오송읍</t>
        </is>
      </c>
    </row>
    <row r="4440">
      <c r="A4440" s="3" t="n">
        <v>2025</v>
      </c>
      <c r="B4440" s="4" t="n">
        <v>37500</v>
      </c>
      <c r="C4440" s="4" t="n">
        <v>249.1</v>
      </c>
      <c r="D4440" s="4" t="n">
        <v>75.35275</v>
      </c>
      <c r="E4440" s="5" t="n">
        <v>497.7</v>
      </c>
      <c r="F4440" s="3" t="inlineStr">
        <is>
          <t>오송읍</t>
        </is>
      </c>
      <c r="G4440" s="3" t="inlineStr">
        <is>
          <t>봉산리</t>
        </is>
      </c>
      <c r="H4440" s="3" t="inlineStr">
        <is>
          <t>제1종일반주거지역</t>
        </is>
      </c>
      <c r="I4440" s="3" t="inlineStr">
        <is>
          <t>대</t>
        </is>
      </c>
      <c r="J4440" s="3" t="inlineStr">
        <is>
          <t>오송읍</t>
        </is>
      </c>
    </row>
    <row r="4441">
      <c r="A4441" s="3" t="n">
        <v>2025</v>
      </c>
      <c r="B4441" s="4" t="n">
        <v>32000</v>
      </c>
      <c r="C4441" s="4" t="n">
        <v>287.1</v>
      </c>
      <c r="D4441" s="4" t="n">
        <v>86.84775</v>
      </c>
      <c r="E4441" s="5" t="n">
        <v>368.5</v>
      </c>
      <c r="F4441" s="3" t="inlineStr">
        <is>
          <t>오송읍</t>
        </is>
      </c>
      <c r="G4441" s="3" t="inlineStr">
        <is>
          <t>봉산리</t>
        </is>
      </c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오송읍</t>
        </is>
      </c>
    </row>
    <row r="4442">
      <c r="A4442" s="3" t="n">
        <v>2025</v>
      </c>
      <c r="B4442" s="4" t="n">
        <v>55000</v>
      </c>
      <c r="C4442" s="4" t="n">
        <v>3306</v>
      </c>
      <c r="D4442" s="4" t="n">
        <v>1000.065</v>
      </c>
      <c r="E4442" s="5" t="n">
        <v>55</v>
      </c>
      <c r="F4442" s="3" t="inlineStr">
        <is>
          <t>오송읍</t>
        </is>
      </c>
      <c r="G4442" s="3" t="inlineStr">
        <is>
          <t>서평리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2025</v>
      </c>
      <c r="B4443" s="4" t="n">
        <v>30000</v>
      </c>
      <c r="C4443" s="4" t="n">
        <v>1653</v>
      </c>
      <c r="D4443" s="4" t="n">
        <v>500.0325</v>
      </c>
      <c r="E4443" s="5" t="n">
        <v>60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생산관리지역</t>
        </is>
      </c>
      <c r="I4443" s="3" t="inlineStr">
        <is>
          <t>전</t>
        </is>
      </c>
      <c r="J4443" s="3" t="inlineStr">
        <is>
          <t>오송읍</t>
        </is>
      </c>
    </row>
    <row r="4444">
      <c r="A4444" s="3" t="n">
        <v>2025</v>
      </c>
      <c r="B4444" s="4" t="n">
        <v>10000</v>
      </c>
      <c r="C4444" s="4" t="n">
        <v>340</v>
      </c>
      <c r="D4444" s="4" t="n">
        <v>102.85</v>
      </c>
      <c r="E4444" s="5" t="n">
        <v>97.2</v>
      </c>
      <c r="F4444" s="3" t="inlineStr">
        <is>
          <t>강내면</t>
        </is>
      </c>
      <c r="G4444" s="3" t="inlineStr">
        <is>
          <t>다락리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2025</v>
      </c>
      <c r="B4445" s="4" t="n">
        <v>28992</v>
      </c>
      <c r="C4445" s="4" t="n">
        <v>1997</v>
      </c>
      <c r="D4445" s="4" t="n">
        <v>604.0925</v>
      </c>
      <c r="E4445" s="5" t="n">
        <v>48</v>
      </c>
      <c r="F4445" s="3" t="inlineStr">
        <is>
          <t>오송읍</t>
        </is>
      </c>
      <c r="G4445" s="3" t="inlineStr">
        <is>
          <t>호계리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28944</v>
      </c>
      <c r="C4446" s="4" t="n">
        <v>1993</v>
      </c>
      <c r="D4446" s="4" t="n">
        <v>602.8824999999999</v>
      </c>
      <c r="E4446" s="5" t="n">
        <v>48</v>
      </c>
      <c r="F4446" s="3" t="inlineStr">
        <is>
          <t>오송읍</t>
        </is>
      </c>
      <c r="G4446" s="3" t="inlineStr">
        <is>
          <t>호계리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오송읍</t>
        </is>
      </c>
    </row>
    <row r="4447">
      <c r="A4447" s="3" t="n">
        <v>2025</v>
      </c>
      <c r="B4447" s="4" t="n">
        <v>55000</v>
      </c>
      <c r="C4447" s="4" t="n">
        <v>2340</v>
      </c>
      <c r="D4447" s="4" t="n">
        <v>707.85</v>
      </c>
      <c r="E4447" s="5" t="n">
        <v>77.7</v>
      </c>
      <c r="F4447" s="3" t="inlineStr">
        <is>
          <t>강내면</t>
        </is>
      </c>
      <c r="G4447" s="3" t="inlineStr">
        <is>
          <t>사곡리</t>
        </is>
      </c>
      <c r="H4447" s="3" t="inlineStr">
        <is>
          <t>계획관리지역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2025</v>
      </c>
      <c r="B4448" s="4" t="n">
        <v>61000</v>
      </c>
      <c r="C4448" s="4" t="n">
        <v>1125</v>
      </c>
      <c r="D4448" s="4" t="n">
        <v>340.3125</v>
      </c>
      <c r="E4448" s="5" t="n">
        <v>179.2</v>
      </c>
      <c r="F4448" s="3" t="inlineStr">
        <is>
          <t>강내면</t>
        </is>
      </c>
      <c r="G4448" s="3" t="inlineStr">
        <is>
          <t>탑연리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2022</v>
      </c>
      <c r="B4449" s="4" t="n">
        <v>10000</v>
      </c>
      <c r="C4449" s="4" t="n">
        <v>1603</v>
      </c>
      <c r="D4449" s="4" t="n">
        <v>484.9075</v>
      </c>
      <c r="E4449" s="5" t="n">
        <v>20.6</v>
      </c>
      <c r="F4449" s="3" t="inlineStr">
        <is>
          <t>강내면</t>
        </is>
      </c>
      <c r="G4449" s="3" t="inlineStr">
        <is>
          <t>사곡리</t>
        </is>
      </c>
      <c r="H4449" s="3" t="inlineStr">
        <is>
          <t>생산관리지역</t>
        </is>
      </c>
      <c r="I4449" s="3" t="inlineStr">
        <is>
          <t>전</t>
        </is>
      </c>
      <c r="J4449" s="3" t="inlineStr">
        <is>
          <t>강내면</t>
        </is>
      </c>
    </row>
    <row r="4450">
      <c r="A4450" s="3" t="n">
        <v>2022</v>
      </c>
      <c r="B4450" s="4" t="n">
        <v>23500</v>
      </c>
      <c r="C4450" s="4" t="n">
        <v>2366</v>
      </c>
      <c r="D4450" s="4" t="n">
        <v>715.715</v>
      </c>
      <c r="E4450" s="5" t="n">
        <v>32.8</v>
      </c>
      <c r="F4450" s="3" t="inlineStr">
        <is>
          <t>강내면</t>
        </is>
      </c>
      <c r="G4450" s="3" t="inlineStr">
        <is>
          <t>궁현리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강내면</t>
        </is>
      </c>
    </row>
    <row r="4451">
      <c r="A4451" s="3" t="n">
        <v>2022</v>
      </c>
      <c r="B4451" s="4" t="n">
        <v>32000</v>
      </c>
      <c r="C4451" s="4" t="n">
        <v>270.1</v>
      </c>
      <c r="D4451" s="4" t="n">
        <v>81.70525000000001</v>
      </c>
      <c r="E4451" s="5" t="n">
        <v>391.7</v>
      </c>
      <c r="F4451" s="3" t="inlineStr">
        <is>
          <t>오송읍</t>
        </is>
      </c>
      <c r="G4451" s="3" t="inlineStr">
        <is>
          <t>봉산리</t>
        </is>
      </c>
      <c r="H4451" s="3" t="inlineStr">
        <is>
          <t>제1종일반주거지역</t>
        </is>
      </c>
      <c r="I4451" s="3" t="inlineStr">
        <is>
          <t>대</t>
        </is>
      </c>
      <c r="J4451" s="3" t="inlineStr">
        <is>
          <t>오송읍</t>
        </is>
      </c>
    </row>
    <row r="4452">
      <c r="A4452" s="3" t="n">
        <v>2022</v>
      </c>
      <c r="B4452" s="4" t="n">
        <v>51400</v>
      </c>
      <c r="C4452" s="4" t="n">
        <v>1566</v>
      </c>
      <c r="D4452" s="4" t="n">
        <v>473.715</v>
      </c>
      <c r="E4452" s="5" t="n">
        <v>108.5</v>
      </c>
      <c r="F4452" s="3" t="inlineStr">
        <is>
          <t>오송읍</t>
        </is>
      </c>
      <c r="G4452" s="3" t="inlineStr">
        <is>
          <t>정중리</t>
        </is>
      </c>
      <c r="H4452" s="3" t="inlineStr">
        <is>
          <t>생산관리지역</t>
        </is>
      </c>
      <c r="I4452" s="3" t="inlineStr">
        <is>
          <t>전</t>
        </is>
      </c>
      <c r="J4452" s="3" t="inlineStr">
        <is>
          <t>오송읍</t>
        </is>
      </c>
    </row>
    <row r="4453">
      <c r="A4453" s="3" t="n">
        <v>2022</v>
      </c>
      <c r="B4453" s="4" t="n">
        <v>41500</v>
      </c>
      <c r="C4453" s="4" t="n">
        <v>394</v>
      </c>
      <c r="D4453" s="4" t="n">
        <v>119.185</v>
      </c>
      <c r="E4453" s="5" t="n">
        <v>348.2</v>
      </c>
      <c r="F4453" s="3" t="inlineStr">
        <is>
          <t>강내면</t>
        </is>
      </c>
      <c r="G4453" s="3" t="inlineStr">
        <is>
          <t>탑연리</t>
        </is>
      </c>
      <c r="H4453" s="3" t="inlineStr">
        <is>
          <t>제2종일반주거지역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2022</v>
      </c>
      <c r="B4454" s="4" t="n">
        <v>1640</v>
      </c>
      <c r="C4454" s="4" t="n">
        <v>81</v>
      </c>
      <c r="D4454" s="4" t="n">
        <v>24.5025</v>
      </c>
      <c r="E4454" s="5" t="n">
        <v>66.90000000000001</v>
      </c>
      <c r="F4454" s="3" t="inlineStr">
        <is>
          <t>오송읍</t>
        </is>
      </c>
      <c r="G4454" s="3" t="inlineStr">
        <is>
          <t>공북리</t>
        </is>
      </c>
      <c r="H4454" s="3" t="inlineStr">
        <is>
          <t>계획관리지역</t>
        </is>
      </c>
      <c r="I4454" s="3" t="inlineStr">
        <is>
          <t>잡종지</t>
        </is>
      </c>
      <c r="J4454" s="3" t="inlineStr">
        <is>
          <t>오송읍</t>
        </is>
      </c>
    </row>
    <row r="4455">
      <c r="A4455" s="3" t="n">
        <v>2022</v>
      </c>
      <c r="B4455" s="4" t="n">
        <v>35000</v>
      </c>
      <c r="C4455" s="4" t="n">
        <v>271.1</v>
      </c>
      <c r="D4455" s="4" t="n">
        <v>82.00775</v>
      </c>
      <c r="E4455" s="5" t="n">
        <v>426.8</v>
      </c>
      <c r="F4455" s="3" t="inlineStr">
        <is>
          <t>오송읍</t>
        </is>
      </c>
      <c r="G4455" s="3" t="inlineStr">
        <is>
          <t>봉산리</t>
        </is>
      </c>
      <c r="H4455" s="3" t="inlineStr">
        <is>
          <t>제1종일반주거지역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2022</v>
      </c>
      <c r="B4456" s="4" t="n">
        <v>669</v>
      </c>
      <c r="C4456" s="4" t="n">
        <v>38</v>
      </c>
      <c r="D4456" s="4" t="n">
        <v>11.495</v>
      </c>
      <c r="E4456" s="5" t="n">
        <v>58.2</v>
      </c>
      <c r="F4456" s="3" t="inlineStr">
        <is>
          <t>오송읍</t>
        </is>
      </c>
      <c r="G4456" s="3" t="inlineStr">
        <is>
          <t>연제리</t>
        </is>
      </c>
      <c r="H4456" s="3" t="inlineStr">
        <is>
          <t>계획관리지역</t>
        </is>
      </c>
      <c r="I4456" s="3" t="inlineStr">
        <is>
          <t>과수원</t>
        </is>
      </c>
      <c r="J4456" s="3" t="inlineStr">
        <is>
          <t>오송읍</t>
        </is>
      </c>
    </row>
    <row r="4457">
      <c r="A4457" s="3" t="n">
        <v>2022</v>
      </c>
      <c r="B4457" s="4" t="n">
        <v>25500</v>
      </c>
      <c r="C4457" s="4" t="n">
        <v>246.9</v>
      </c>
      <c r="D4457" s="4" t="n">
        <v>74.68725000000001</v>
      </c>
      <c r="E4457" s="5" t="n">
        <v>341.4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제1종일반주거지역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2022</v>
      </c>
      <c r="B4458" s="4" t="n">
        <v>108000</v>
      </c>
      <c r="C4458" s="4" t="n">
        <v>1555</v>
      </c>
      <c r="D4458" s="4" t="n">
        <v>470.3875</v>
      </c>
      <c r="E4458" s="5" t="n">
        <v>229.6</v>
      </c>
      <c r="F4458" s="3" t="inlineStr">
        <is>
          <t>오송읍</t>
        </is>
      </c>
      <c r="G4458" s="3" t="inlineStr">
        <is>
          <t>궁평리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오송읍</t>
        </is>
      </c>
    </row>
    <row r="4459">
      <c r="A4459" s="3" t="n">
        <v>2022</v>
      </c>
      <c r="B4459" s="4" t="n">
        <v>50000</v>
      </c>
      <c r="C4459" s="4" t="n">
        <v>3712</v>
      </c>
      <c r="D4459" s="4" t="n">
        <v>1122.88</v>
      </c>
      <c r="E4459" s="5" t="n">
        <v>44.5</v>
      </c>
      <c r="F4459" s="3" t="inlineStr">
        <is>
          <t>오송읍</t>
        </is>
      </c>
      <c r="G4459" s="3" t="inlineStr">
        <is>
          <t>오송리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오송읍</t>
        </is>
      </c>
    </row>
    <row r="4460">
      <c r="A4460" s="3" t="n">
        <v>2022</v>
      </c>
      <c r="B4460" s="4" t="n">
        <v>2350</v>
      </c>
      <c r="C4460" s="4" t="n">
        <v>311</v>
      </c>
      <c r="D4460" s="4" t="n">
        <v>94.0775</v>
      </c>
      <c r="E4460" s="5" t="n">
        <v>25</v>
      </c>
      <c r="F4460" s="3" t="inlineStr">
        <is>
          <t>오송읍</t>
        </is>
      </c>
      <c r="G4460" s="3" t="inlineStr">
        <is>
          <t>상봉리</t>
        </is>
      </c>
      <c r="H4460" s="3" t="inlineStr">
        <is>
          <t>생산관리지역</t>
        </is>
      </c>
      <c r="I4460" s="3" t="inlineStr">
        <is>
          <t>답</t>
        </is>
      </c>
      <c r="J4460" s="3" t="inlineStr">
        <is>
          <t>오송읍</t>
        </is>
      </c>
    </row>
    <row r="4461">
      <c r="A4461" s="3" t="n">
        <v>2022</v>
      </c>
      <c r="B4461" s="4" t="n">
        <v>568300</v>
      </c>
      <c r="C4461" s="4" t="n">
        <v>1019.6</v>
      </c>
      <c r="D4461" s="4" t="n">
        <v>308.429</v>
      </c>
      <c r="E4461" s="5" t="n">
        <v>1842.6</v>
      </c>
      <c r="F4461" s="3" t="inlineStr">
        <is>
          <t>오송읍</t>
        </is>
      </c>
      <c r="G4461" s="3" t="inlineStr">
        <is>
          <t>봉산리</t>
        </is>
      </c>
      <c r="H4461" s="3" t="inlineStr">
        <is>
          <t>일반상업지역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1000</v>
      </c>
      <c r="C4462" s="4" t="n">
        <v>66</v>
      </c>
      <c r="D4462" s="4" t="n">
        <v>19.965</v>
      </c>
      <c r="E4462" s="5" t="n">
        <v>50.1</v>
      </c>
      <c r="F4462" s="3" t="inlineStr">
        <is>
          <t>강내면</t>
        </is>
      </c>
      <c r="G4462" s="3" t="inlineStr">
        <is>
          <t>궁현리</t>
        </is>
      </c>
      <c r="H4462" s="3" t="inlineStr">
        <is>
          <t>농림지역</t>
        </is>
      </c>
      <c r="I4462" s="3" t="inlineStr">
        <is>
          <t>도로</t>
        </is>
      </c>
      <c r="J4462" s="3" t="inlineStr">
        <is>
          <t>강내면</t>
        </is>
      </c>
    </row>
    <row r="4463">
      <c r="A4463" s="3" t="n">
        <v>2022</v>
      </c>
      <c r="B4463" s="4" t="n">
        <v>11650</v>
      </c>
      <c r="C4463" s="4" t="n">
        <v>505</v>
      </c>
      <c r="D4463" s="4" t="n">
        <v>152.7625</v>
      </c>
      <c r="E4463" s="5" t="n">
        <v>76.3</v>
      </c>
      <c r="F4463" s="3" t="inlineStr">
        <is>
          <t>강내면</t>
        </is>
      </c>
      <c r="G4463" s="3" t="inlineStr">
        <is>
          <t>궁현리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강내면</t>
        </is>
      </c>
    </row>
    <row r="4464">
      <c r="A4464" s="3" t="n">
        <v>2022</v>
      </c>
      <c r="B4464" s="4" t="n">
        <v>4850</v>
      </c>
      <c r="C4464" s="4" t="n">
        <v>465</v>
      </c>
      <c r="D4464" s="4" t="n">
        <v>140.6625</v>
      </c>
      <c r="E4464" s="5" t="n">
        <v>34.5</v>
      </c>
      <c r="F4464" s="3" t="inlineStr">
        <is>
          <t>강내면</t>
        </is>
      </c>
      <c r="G4464" s="3" t="inlineStr">
        <is>
          <t>궁현리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강내면</t>
        </is>
      </c>
    </row>
    <row r="4465">
      <c r="A4465" s="3" t="n">
        <v>2023</v>
      </c>
      <c r="B4465" s="4" t="n">
        <v>3008</v>
      </c>
      <c r="C4465" s="4" t="n">
        <v>280</v>
      </c>
      <c r="D4465" s="4" t="n">
        <v>84.7</v>
      </c>
      <c r="E4465" s="5" t="n">
        <v>35.5</v>
      </c>
      <c r="F4465" s="3" t="inlineStr">
        <is>
          <t>강내면</t>
        </is>
      </c>
      <c r="G4465" s="3" t="inlineStr">
        <is>
          <t>저산리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2023</v>
      </c>
      <c r="B4466" s="4" t="n">
        <v>4501</v>
      </c>
      <c r="C4466" s="4" t="n">
        <v>419</v>
      </c>
      <c r="D4466" s="4" t="n">
        <v>126.7475</v>
      </c>
      <c r="E4466" s="5" t="n">
        <v>35.5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2023</v>
      </c>
      <c r="B4467" s="4" t="n">
        <v>1686</v>
      </c>
      <c r="C4467" s="4" t="n">
        <v>157</v>
      </c>
      <c r="D4467" s="4" t="n">
        <v>47.4925</v>
      </c>
      <c r="E4467" s="5" t="n">
        <v>35.5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2023</v>
      </c>
      <c r="B4468" s="4" t="n">
        <v>450</v>
      </c>
      <c r="C4468" s="4" t="n">
        <v>10</v>
      </c>
      <c r="D4468" s="4" t="n">
        <v>3.025</v>
      </c>
      <c r="E4468" s="5" t="n">
        <v>148.8</v>
      </c>
      <c r="F4468" s="3" t="inlineStr">
        <is>
          <t>강내면</t>
        </is>
      </c>
      <c r="G4468" s="3" t="inlineStr">
        <is>
          <t>석화리</t>
        </is>
      </c>
      <c r="H4468" s="3" t="inlineStr">
        <is>
          <t>자연녹지지역</t>
        </is>
      </c>
      <c r="I4468" s="3" t="inlineStr">
        <is>
          <t>대</t>
        </is>
      </c>
      <c r="J4468" s="3" t="inlineStr">
        <is>
          <t>강내면</t>
        </is>
      </c>
    </row>
    <row r="4469">
      <c r="A4469" s="3" t="n">
        <v>2023</v>
      </c>
      <c r="B4469" s="4" t="n">
        <v>6015</v>
      </c>
      <c r="C4469" s="4" t="n">
        <v>560</v>
      </c>
      <c r="D4469" s="4" t="n">
        <v>169.4</v>
      </c>
      <c r="E4469" s="5" t="n">
        <v>35.5</v>
      </c>
      <c r="F4469" s="3" t="inlineStr">
        <is>
          <t>강내면</t>
        </is>
      </c>
      <c r="G4469" s="3" t="inlineStr">
        <is>
          <t>저산리</t>
        </is>
      </c>
      <c r="H4469" s="3" t="inlineStr">
        <is>
          <t>보전관리지역</t>
        </is>
      </c>
      <c r="I4469" s="3" t="inlineStr">
        <is>
          <t>임야</t>
        </is>
      </c>
      <c r="J4469" s="3" t="inlineStr">
        <is>
          <t>강내면</t>
        </is>
      </c>
    </row>
    <row r="4470">
      <c r="A4470" s="3" t="n">
        <v>2023</v>
      </c>
      <c r="B4470" s="4" t="n">
        <v>14040</v>
      </c>
      <c r="C4470" s="4" t="n">
        <v>1307</v>
      </c>
      <c r="D4470" s="4" t="n">
        <v>395.3675</v>
      </c>
      <c r="E4470" s="5" t="n">
        <v>35.5</v>
      </c>
      <c r="F4470" s="3" t="inlineStr">
        <is>
          <t>강내면</t>
        </is>
      </c>
      <c r="G4470" s="3" t="inlineStr">
        <is>
          <t>저산리</t>
        </is>
      </c>
      <c r="H4470" s="3" t="inlineStr">
        <is>
          <t>보전관리지역</t>
        </is>
      </c>
      <c r="I4470" s="3" t="inlineStr">
        <is>
          <t>임야</t>
        </is>
      </c>
      <c r="J4470" s="3" t="inlineStr">
        <is>
          <t>강내면</t>
        </is>
      </c>
    </row>
    <row r="4471">
      <c r="A4471" s="3" t="n">
        <v>2023</v>
      </c>
      <c r="B4471" s="4" t="n">
        <v>7670</v>
      </c>
      <c r="C4471" s="4" t="n">
        <v>714</v>
      </c>
      <c r="D4471" s="4" t="n">
        <v>215.985</v>
      </c>
      <c r="E4471" s="5" t="n">
        <v>35.5</v>
      </c>
      <c r="F4471" s="3" t="inlineStr">
        <is>
          <t>강내면</t>
        </is>
      </c>
      <c r="G4471" s="3" t="inlineStr">
        <is>
          <t>저산리</t>
        </is>
      </c>
      <c r="H4471" s="3" t="inlineStr">
        <is>
          <t>보전관리지역</t>
        </is>
      </c>
      <c r="I4471" s="3" t="inlineStr">
        <is>
          <t>임야</t>
        </is>
      </c>
      <c r="J4471" s="3" t="inlineStr">
        <is>
          <t>강내면</t>
        </is>
      </c>
    </row>
    <row r="4472">
      <c r="A4472" s="3" t="n">
        <v>2023</v>
      </c>
      <c r="B4472" s="4" t="n">
        <v>6698</v>
      </c>
      <c r="C4472" s="4" t="n">
        <v>651</v>
      </c>
      <c r="D4472" s="4" t="n">
        <v>196.9275</v>
      </c>
      <c r="E4472" s="5" t="n">
        <v>34</v>
      </c>
      <c r="F4472" s="3" t="inlineStr">
        <is>
          <t>강내면</t>
        </is>
      </c>
      <c r="G4472" s="3" t="inlineStr">
        <is>
          <t>저산리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2023</v>
      </c>
      <c r="B4473" s="4" t="n">
        <v>24350</v>
      </c>
      <c r="C4473" s="4" t="n">
        <v>1747</v>
      </c>
      <c r="D4473" s="4" t="n">
        <v>528.4675</v>
      </c>
      <c r="E4473" s="5" t="n">
        <v>46.1</v>
      </c>
      <c r="F4473" s="3" t="inlineStr">
        <is>
          <t>오송읍</t>
        </is>
      </c>
      <c r="G4473" s="3" t="inlineStr">
        <is>
          <t>상봉리</t>
        </is>
      </c>
      <c r="H4473" s="3" t="inlineStr">
        <is>
          <t>농림지역</t>
        </is>
      </c>
      <c r="I4473" s="3" t="inlineStr">
        <is>
          <t>과수원</t>
        </is>
      </c>
      <c r="J4473" s="3" t="inlineStr">
        <is>
          <t>오송읍</t>
        </is>
      </c>
    </row>
    <row r="4474">
      <c r="A4474" s="3" t="n">
        <v>2023</v>
      </c>
      <c r="B4474" s="4" t="n">
        <v>11150</v>
      </c>
      <c r="C4474" s="4" t="n">
        <v>800</v>
      </c>
      <c r="D4474" s="4" t="n">
        <v>242</v>
      </c>
      <c r="E4474" s="5" t="n">
        <v>46.1</v>
      </c>
      <c r="F4474" s="3" t="inlineStr">
        <is>
          <t>오송읍</t>
        </is>
      </c>
      <c r="G4474" s="3" t="inlineStr">
        <is>
          <t>상봉리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23580</v>
      </c>
      <c r="C4475" s="4" t="n">
        <v>1298</v>
      </c>
      <c r="D4475" s="4" t="n">
        <v>392.645</v>
      </c>
      <c r="E4475" s="5" t="n">
        <v>60.1</v>
      </c>
      <c r="F4475" s="3" t="inlineStr">
        <is>
          <t>강내면</t>
        </is>
      </c>
      <c r="G4475" s="3" t="inlineStr">
        <is>
          <t>사곡리</t>
        </is>
      </c>
      <c r="H4475" s="3" t="inlineStr">
        <is>
          <t>보전관리지역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2023</v>
      </c>
      <c r="B4476" s="4" t="n">
        <v>11940</v>
      </c>
      <c r="C4476" s="4" t="n">
        <v>1315</v>
      </c>
      <c r="D4476" s="4" t="n">
        <v>397.7875</v>
      </c>
      <c r="E4476" s="5" t="n">
        <v>30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용도미지정</t>
        </is>
      </c>
      <c r="I4476" s="3" t="inlineStr">
        <is>
          <t>임야</t>
        </is>
      </c>
      <c r="J4476" s="3" t="inlineStr">
        <is>
          <t>강내면</t>
        </is>
      </c>
    </row>
    <row r="4477">
      <c r="A4477" s="3" t="n">
        <v>2023</v>
      </c>
      <c r="B4477" s="4" t="n">
        <v>2700</v>
      </c>
      <c r="C4477" s="4" t="n">
        <v>297</v>
      </c>
      <c r="D4477" s="4" t="n">
        <v>89.8425</v>
      </c>
      <c r="E4477" s="5" t="n">
        <v>30.1</v>
      </c>
      <c r="F4477" s="3" t="inlineStr">
        <is>
          <t>강내면</t>
        </is>
      </c>
      <c r="G4477" s="3" t="inlineStr">
        <is>
          <t>사곡리</t>
        </is>
      </c>
      <c r="H4477" s="3" t="inlineStr">
        <is>
          <t>용도미지정</t>
        </is>
      </c>
      <c r="I4477" s="3" t="inlineStr">
        <is>
          <t>임야</t>
        </is>
      </c>
      <c r="J4477" s="3" t="inlineStr">
        <is>
          <t>강내면</t>
        </is>
      </c>
    </row>
    <row r="4478">
      <c r="A4478" s="3" t="n">
        <v>2023</v>
      </c>
      <c r="B4478" s="4" t="n">
        <v>12600</v>
      </c>
      <c r="C4478" s="4" t="n">
        <v>409</v>
      </c>
      <c r="D4478" s="4" t="n">
        <v>123.7225</v>
      </c>
      <c r="E4478" s="5" t="n">
        <v>101.8</v>
      </c>
      <c r="F4478" s="3" t="inlineStr">
        <is>
          <t>강내면</t>
        </is>
      </c>
      <c r="G4478" s="3" t="inlineStr">
        <is>
          <t>다락리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강내면</t>
        </is>
      </c>
    </row>
    <row r="4479">
      <c r="A4479" s="3" t="n">
        <v>2023</v>
      </c>
      <c r="B4479" s="4" t="n">
        <v>31534</v>
      </c>
      <c r="C4479" s="4" t="n">
        <v>891</v>
      </c>
      <c r="D4479" s="4" t="n">
        <v>269.5275</v>
      </c>
      <c r="E4479" s="5" t="n">
        <v>117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2023</v>
      </c>
      <c r="B4480" s="4" t="n">
        <v>7000</v>
      </c>
      <c r="C4480" s="4" t="n">
        <v>330</v>
      </c>
      <c r="D4480" s="4" t="n">
        <v>99.825</v>
      </c>
      <c r="E4480" s="5" t="n">
        <v>70.09999999999999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2023</v>
      </c>
      <c r="B4481" s="4" t="n">
        <v>410</v>
      </c>
      <c r="C4481" s="4" t="n">
        <v>28</v>
      </c>
      <c r="D4481" s="4" t="n">
        <v>8.469999999999999</v>
      </c>
      <c r="E4481" s="5" t="n">
        <v>48.4</v>
      </c>
      <c r="F4481" s="3" t="inlineStr">
        <is>
          <t>강내면</t>
        </is>
      </c>
      <c r="G4481" s="3" t="inlineStr">
        <is>
          <t>사인리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2023</v>
      </c>
      <c r="B4482" s="4" t="n">
        <v>228</v>
      </c>
      <c r="C4482" s="4" t="n">
        <v>7</v>
      </c>
      <c r="D4482" s="4" t="n">
        <v>2.1175</v>
      </c>
      <c r="E4482" s="5" t="n">
        <v>107.7</v>
      </c>
      <c r="F4482" s="3" t="inlineStr">
        <is>
          <t>강내면</t>
        </is>
      </c>
      <c r="G4482" s="3" t="inlineStr">
        <is>
          <t>산단리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2023</v>
      </c>
      <c r="B4483" s="4" t="n">
        <v>30000</v>
      </c>
      <c r="C4483" s="4" t="n">
        <v>1200</v>
      </c>
      <c r="D4483" s="4" t="n">
        <v>363</v>
      </c>
      <c r="E4483" s="5" t="n">
        <v>82.59999999999999</v>
      </c>
      <c r="F4483" s="3" t="inlineStr">
        <is>
          <t>강내면</t>
        </is>
      </c>
      <c r="G4483" s="3" t="inlineStr">
        <is>
          <t>태성리</t>
        </is>
      </c>
      <c r="H4483" s="3" t="inlineStr">
        <is>
          <t>계획관리지역</t>
        </is>
      </c>
      <c r="I4483" s="3" t="inlineStr">
        <is>
          <t>공장용지</t>
        </is>
      </c>
      <c r="J4483" s="3" t="inlineStr">
        <is>
          <t>강내면</t>
        </is>
      </c>
    </row>
    <row r="4484">
      <c r="A4484" s="3" t="n">
        <v>2023</v>
      </c>
      <c r="B4484" s="4" t="n">
        <v>22000</v>
      </c>
      <c r="C4484" s="4" t="n">
        <v>823</v>
      </c>
      <c r="D4484" s="4" t="n">
        <v>248.9575</v>
      </c>
      <c r="E4484" s="5" t="n">
        <v>88.40000000000001</v>
      </c>
      <c r="F4484" s="3" t="inlineStr">
        <is>
          <t>강내면</t>
        </is>
      </c>
      <c r="G4484" s="3" t="inlineStr">
        <is>
          <t>저산리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강내면</t>
        </is>
      </c>
    </row>
    <row r="4485">
      <c r="A4485" s="3" t="n">
        <v>2024</v>
      </c>
      <c r="B4485" s="4" t="n">
        <v>5768</v>
      </c>
      <c r="C4485" s="4" t="n">
        <v>4603</v>
      </c>
      <c r="D4485" s="4" t="n">
        <v>1392.4075</v>
      </c>
      <c r="E4485" s="5" t="n">
        <v>4.1</v>
      </c>
      <c r="F4485" s="3" t="inlineStr">
        <is>
          <t>현도면</t>
        </is>
      </c>
      <c r="G4485" s="3" t="inlineStr">
        <is>
          <t>우록리</t>
        </is>
      </c>
      <c r="H4485" s="3" t="inlineStr">
        <is>
          <t>기타</t>
        </is>
      </c>
      <c r="I4485" s="3" t="inlineStr">
        <is>
          <t>대</t>
        </is>
      </c>
      <c r="J4485" s="3" t="inlineStr">
        <is>
          <t>현도면</t>
        </is>
      </c>
    </row>
    <row r="4486">
      <c r="A4486" s="3" t="n">
        <v>2024</v>
      </c>
      <c r="B4486" s="4" t="n">
        <v>13840</v>
      </c>
      <c r="C4486" s="4" t="n">
        <v>11449</v>
      </c>
      <c r="D4486" s="4" t="n">
        <v>3463.3225</v>
      </c>
      <c r="E4486" s="5" t="n">
        <v>4</v>
      </c>
      <c r="F4486" s="3" t="inlineStr">
        <is>
          <t>현도면</t>
        </is>
      </c>
      <c r="G4486" s="3" t="inlineStr">
        <is>
          <t>우록리</t>
        </is>
      </c>
      <c r="H4486" s="3" t="inlineStr">
        <is>
          <t>기타</t>
        </is>
      </c>
      <c r="I4486" s="3" t="inlineStr">
        <is>
          <t>대</t>
        </is>
      </c>
      <c r="J4486" s="3" t="inlineStr">
        <is>
          <t>현도면</t>
        </is>
      </c>
    </row>
    <row r="4487">
      <c r="A4487" s="3" t="n">
        <v>2024</v>
      </c>
      <c r="B4487" s="4" t="n">
        <v>1910</v>
      </c>
      <c r="C4487" s="4" t="n">
        <v>136</v>
      </c>
      <c r="D4487" s="4" t="n">
        <v>41.14</v>
      </c>
      <c r="E4487" s="5" t="n">
        <v>46.4</v>
      </c>
      <c r="F4487" s="3" t="inlineStr">
        <is>
          <t>남이면</t>
        </is>
      </c>
      <c r="G4487" s="3" t="inlineStr">
        <is>
          <t>구미리</t>
        </is>
      </c>
      <c r="H4487" s="3" t="inlineStr">
        <is>
          <t>기타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2026</v>
      </c>
      <c r="B4488" s="4" t="n">
        <v>27500</v>
      </c>
      <c r="C4488" s="4" t="n">
        <v>260.7</v>
      </c>
      <c r="D4488" s="4" t="n">
        <v>78.86175</v>
      </c>
      <c r="E4488" s="5" t="n">
        <v>348.7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2026</v>
      </c>
      <c r="B4489" s="4" t="n">
        <v>9900</v>
      </c>
      <c r="C4489" s="4" t="n">
        <v>353</v>
      </c>
      <c r="D4489" s="4" t="n">
        <v>106.7825</v>
      </c>
      <c r="E4489" s="5" t="n">
        <v>92.7</v>
      </c>
      <c r="F4489" s="3" t="inlineStr">
        <is>
          <t>강내면</t>
        </is>
      </c>
      <c r="G4489" s="3" t="inlineStr">
        <is>
          <t>태성리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강내면</t>
        </is>
      </c>
    </row>
    <row r="4490">
      <c r="A4490" s="3" t="n">
        <v>2026</v>
      </c>
      <c r="B4490" s="4" t="n">
        <v>46800</v>
      </c>
      <c r="C4490" s="4" t="n">
        <v>4555.2</v>
      </c>
      <c r="D4490" s="4" t="n">
        <v>1377.948</v>
      </c>
      <c r="E4490" s="5" t="n">
        <v>34</v>
      </c>
      <c r="F4490" s="3" t="inlineStr">
        <is>
          <t>강내면</t>
        </is>
      </c>
      <c r="G4490" s="3" t="inlineStr">
        <is>
          <t>저산리</t>
        </is>
      </c>
      <c r="H4490" s="3" t="inlineStr">
        <is>
          <t>농림지역</t>
        </is>
      </c>
      <c r="I4490" s="3" t="inlineStr">
        <is>
          <t>답</t>
        </is>
      </c>
      <c r="J4490" s="3" t="inlineStr">
        <is>
          <t>강내면</t>
        </is>
      </c>
    </row>
    <row r="4491">
      <c r="A4491" s="3" t="n">
        <v>2022</v>
      </c>
      <c r="B4491" s="4" t="n">
        <v>188873</v>
      </c>
      <c r="C4491" s="4" t="n">
        <v>1592</v>
      </c>
      <c r="D4491" s="4" t="n">
        <v>481.58</v>
      </c>
      <c r="E4491" s="5" t="n">
        <v>392.2</v>
      </c>
      <c r="F4491" s="3" t="inlineStr">
        <is>
          <t>장군면</t>
        </is>
      </c>
      <c r="G4491" s="3" t="inlineStr">
        <is>
          <t>금암리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장군면</t>
        </is>
      </c>
    </row>
    <row r="4492">
      <c r="A4492" s="3" t="n">
        <v>2024</v>
      </c>
      <c r="B4492" s="4" t="n">
        <v>1200</v>
      </c>
      <c r="C4492" s="4" t="n">
        <v>74</v>
      </c>
      <c r="D4492" s="4" t="n">
        <v>22.385</v>
      </c>
      <c r="E4492" s="5" t="n">
        <v>53.6</v>
      </c>
      <c r="F4492" s="3" t="inlineStr">
        <is>
          <t>소정면</t>
        </is>
      </c>
      <c r="G4492" s="3" t="inlineStr">
        <is>
          <t>대곡리</t>
        </is>
      </c>
      <c r="H4492" s="3" t="inlineStr">
        <is>
          <t>계획관리지역</t>
        </is>
      </c>
      <c r="I4492" s="3" t="inlineStr">
        <is>
          <t>대</t>
        </is>
      </c>
      <c r="J4492" s="3" t="inlineStr">
        <is>
          <t>소정면</t>
        </is>
      </c>
    </row>
    <row r="4493">
      <c r="A4493" s="3" t="n">
        <v>2025</v>
      </c>
      <c r="B4493" s="4" t="n">
        <v>21564</v>
      </c>
      <c r="C4493" s="4" t="n">
        <v>135</v>
      </c>
      <c r="D4493" s="4" t="n">
        <v>40.8375</v>
      </c>
      <c r="E4493" s="5" t="n">
        <v>528</v>
      </c>
      <c r="F4493" s="3" t="inlineStr">
        <is>
          <t>금남면</t>
        </is>
      </c>
      <c r="G4493" s="3" t="inlineStr">
        <is>
          <t>용포리</t>
        </is>
      </c>
      <c r="H4493" s="3" t="inlineStr">
        <is>
          <t>제2종일반주거지역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2025</v>
      </c>
      <c r="B4494" s="4" t="n">
        <v>20000</v>
      </c>
      <c r="C4494" s="4" t="n">
        <v>3245</v>
      </c>
      <c r="D4494" s="4" t="n">
        <v>981.6125</v>
      </c>
      <c r="E4494" s="5" t="n">
        <v>20.4</v>
      </c>
      <c r="F4494" s="3" t="inlineStr">
        <is>
          <t>장군면</t>
        </is>
      </c>
      <c r="G4494" s="3" t="inlineStr">
        <is>
          <t>금암리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장군면</t>
        </is>
      </c>
    </row>
    <row r="4495">
      <c r="A4495" s="3" t="n">
        <v>2026</v>
      </c>
      <c r="B4495" s="4" t="n">
        <v>23074</v>
      </c>
      <c r="C4495" s="4" t="n">
        <v>678</v>
      </c>
      <c r="D4495" s="4" t="n">
        <v>205.095</v>
      </c>
      <c r="E4495" s="5" t="n">
        <v>112.5</v>
      </c>
      <c r="F4495" s="3" t="inlineStr">
        <is>
          <t>전의면</t>
        </is>
      </c>
      <c r="G4495" s="3" t="inlineStr">
        <is>
          <t>유천리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전의면</t>
        </is>
      </c>
    </row>
    <row r="4496">
      <c r="A4496" s="3" t="n">
        <v>2025</v>
      </c>
      <c r="B4496" s="4" t="n">
        <v>40100</v>
      </c>
      <c r="C4496" s="4" t="n">
        <v>737</v>
      </c>
      <c r="D4496" s="4" t="n">
        <v>222.9425</v>
      </c>
      <c r="E4496" s="5" t="n">
        <v>179.9</v>
      </c>
      <c r="F4496" s="3" t="inlineStr">
        <is>
          <t>장군면</t>
        </is>
      </c>
      <c r="G4496" s="3" t="inlineStr">
        <is>
          <t>금암리</t>
        </is>
      </c>
      <c r="H4496" s="3" t="inlineStr">
        <is>
          <t>계획관리지역</t>
        </is>
      </c>
      <c r="I4496" s="3" t="inlineStr">
        <is>
          <t>대</t>
        </is>
      </c>
      <c r="J4496" s="3" t="inlineStr">
        <is>
          <t>장군면</t>
        </is>
      </c>
    </row>
    <row r="4497">
      <c r="A4497" s="3" t="n">
        <v>2025</v>
      </c>
      <c r="B4497" s="4" t="n">
        <v>14200</v>
      </c>
      <c r="C4497" s="4" t="n">
        <v>196</v>
      </c>
      <c r="D4497" s="4" t="n">
        <v>59.29</v>
      </c>
      <c r="E4497" s="5" t="n">
        <v>239.5</v>
      </c>
      <c r="F4497" s="3" t="inlineStr">
        <is>
          <t>연동면</t>
        </is>
      </c>
      <c r="G4497" s="3" t="inlineStr">
        <is>
          <t>명학리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연동면</t>
        </is>
      </c>
    </row>
    <row r="4498">
      <c r="A4498" s="3" t="n">
        <v>2025</v>
      </c>
      <c r="B4498" s="4" t="n">
        <v>600</v>
      </c>
      <c r="C4498" s="4" t="n">
        <v>950</v>
      </c>
      <c r="D4498" s="4" t="n">
        <v>287.375</v>
      </c>
      <c r="E4498" s="5" t="n">
        <v>2.1</v>
      </c>
      <c r="F4498" s="3" t="inlineStr">
        <is>
          <t>전동면</t>
        </is>
      </c>
      <c r="G4498" s="3" t="inlineStr">
        <is>
          <t>청송리</t>
        </is>
      </c>
      <c r="H4498" s="3" t="inlineStr">
        <is>
          <t>농림지역</t>
        </is>
      </c>
      <c r="I4498" s="3" t="inlineStr">
        <is>
          <t>임야</t>
        </is>
      </c>
      <c r="J4498" s="3" t="inlineStr">
        <is>
          <t>전동면</t>
        </is>
      </c>
    </row>
    <row r="4499">
      <c r="A4499" s="3" t="n">
        <v>2025</v>
      </c>
      <c r="B4499" s="4" t="n">
        <v>58000</v>
      </c>
      <c r="C4499" s="4" t="n">
        <v>368.7</v>
      </c>
      <c r="D4499" s="4" t="n">
        <v>111.53175</v>
      </c>
      <c r="E4499" s="5" t="n">
        <v>520</v>
      </c>
      <c r="F4499" s="3" t="inlineStr">
        <is>
          <t>아름동</t>
        </is>
      </c>
      <c r="G4499" s="3" t="inlineStr"/>
      <c r="H4499" s="3" t="inlineStr">
        <is>
          <t>제1종전용주거지역</t>
        </is>
      </c>
      <c r="I4499" s="3" t="inlineStr">
        <is>
          <t>대</t>
        </is>
      </c>
      <c r="J4499" s="3" t="inlineStr">
        <is>
          <t>아름동</t>
        </is>
      </c>
    </row>
    <row r="4500">
      <c r="A4500" s="3" t="n">
        <v>2025</v>
      </c>
      <c r="B4500" s="4" t="n">
        <v>13500</v>
      </c>
      <c r="C4500" s="4" t="n">
        <v>1409</v>
      </c>
      <c r="D4500" s="4" t="n">
        <v>426.2225</v>
      </c>
      <c r="E4500" s="5" t="n">
        <v>31.7</v>
      </c>
      <c r="F4500" s="3" t="inlineStr">
        <is>
          <t>연동면</t>
        </is>
      </c>
      <c r="G4500" s="3" t="inlineStr">
        <is>
          <t>응암리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연동면</t>
        </is>
      </c>
    </row>
    <row r="4501">
      <c r="A4501" s="3" t="n">
        <v>2025</v>
      </c>
      <c r="B4501" s="4" t="n">
        <v>4200</v>
      </c>
      <c r="C4501" s="4" t="n">
        <v>302</v>
      </c>
      <c r="D4501" s="4" t="n">
        <v>91.355</v>
      </c>
      <c r="E4501" s="5" t="n">
        <v>46</v>
      </c>
      <c r="F4501" s="3" t="inlineStr">
        <is>
          <t>전동면</t>
        </is>
      </c>
      <c r="G4501" s="3" t="inlineStr">
        <is>
          <t>청람리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2025</v>
      </c>
      <c r="B4502" s="4" t="n">
        <v>30000</v>
      </c>
      <c r="C4502" s="4" t="n">
        <v>657</v>
      </c>
      <c r="D4502" s="4" t="n">
        <v>198.7425</v>
      </c>
      <c r="E4502" s="5" t="n">
        <v>150.9</v>
      </c>
      <c r="F4502" s="3" t="inlineStr">
        <is>
          <t>장군면</t>
        </is>
      </c>
      <c r="G4502" s="3" t="inlineStr">
        <is>
          <t>금암리</t>
        </is>
      </c>
      <c r="H4502" s="3" t="inlineStr">
        <is>
          <t>보전관리지역</t>
        </is>
      </c>
      <c r="I4502" s="3" t="inlineStr">
        <is>
          <t>임야</t>
        </is>
      </c>
      <c r="J4502" s="3" t="inlineStr">
        <is>
          <t>장군면</t>
        </is>
      </c>
    </row>
    <row r="4503">
      <c r="A4503" s="3" t="n">
        <v>2025</v>
      </c>
      <c r="B4503" s="4" t="n">
        <v>14552</v>
      </c>
      <c r="C4503" s="4" t="n">
        <v>624</v>
      </c>
      <c r="D4503" s="4" t="n">
        <v>188.76</v>
      </c>
      <c r="E4503" s="5" t="n">
        <v>77.09999999999999</v>
      </c>
      <c r="F4503" s="3" t="inlineStr">
        <is>
          <t>장군면</t>
        </is>
      </c>
      <c r="G4503" s="3" t="inlineStr">
        <is>
          <t>금암리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장군면</t>
        </is>
      </c>
    </row>
    <row r="4504">
      <c r="A4504" s="3" t="n">
        <v>2025</v>
      </c>
      <c r="B4504" s="4" t="n">
        <v>5000</v>
      </c>
      <c r="C4504" s="4" t="n">
        <v>714</v>
      </c>
      <c r="D4504" s="4" t="n">
        <v>215.985</v>
      </c>
      <c r="E4504" s="5" t="n">
        <v>23.1</v>
      </c>
      <c r="F4504" s="3" t="inlineStr">
        <is>
          <t>전의면</t>
        </is>
      </c>
      <c r="G4504" s="3" t="inlineStr">
        <is>
          <t>원성리</t>
        </is>
      </c>
      <c r="H4504" s="3" t="inlineStr">
        <is>
          <t>보전관리지역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2025</v>
      </c>
      <c r="B4505" s="4" t="n">
        <v>4000</v>
      </c>
      <c r="C4505" s="4" t="n">
        <v>330</v>
      </c>
      <c r="D4505" s="4" t="n">
        <v>99.825</v>
      </c>
      <c r="E4505" s="5" t="n">
        <v>40.1</v>
      </c>
      <c r="F4505" s="3" t="inlineStr">
        <is>
          <t>금남면</t>
        </is>
      </c>
      <c r="G4505" s="3" t="inlineStr">
        <is>
          <t>남곡리</t>
        </is>
      </c>
      <c r="H4505" s="3" t="inlineStr">
        <is>
          <t>개발제한구역</t>
        </is>
      </c>
      <c r="I4505" s="3" t="inlineStr">
        <is>
          <t>묘지</t>
        </is>
      </c>
      <c r="J4505" s="3" t="inlineStr">
        <is>
          <t>금남면</t>
        </is>
      </c>
    </row>
    <row r="4506">
      <c r="A4506" s="3" t="n">
        <v>2025</v>
      </c>
      <c r="B4506" s="4" t="n">
        <v>1373</v>
      </c>
      <c r="C4506" s="4" t="n">
        <v>8</v>
      </c>
      <c r="D4506" s="4" t="n">
        <v>2.42</v>
      </c>
      <c r="E4506" s="5" t="n">
        <v>567.4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제2종일반주거지역</t>
        </is>
      </c>
      <c r="I4506" s="3" t="inlineStr">
        <is>
          <t>대</t>
        </is>
      </c>
      <c r="J4506" s="3" t="inlineStr">
        <is>
          <t>조치원읍</t>
        </is>
      </c>
    </row>
    <row r="4507">
      <c r="A4507" s="3" t="n">
        <v>2025</v>
      </c>
      <c r="B4507" s="4" t="n">
        <v>515</v>
      </c>
      <c r="C4507" s="4" t="n">
        <v>3</v>
      </c>
      <c r="D4507" s="4" t="n">
        <v>0.9075</v>
      </c>
      <c r="E4507" s="5" t="n">
        <v>567.5</v>
      </c>
      <c r="F4507" s="3" t="inlineStr">
        <is>
          <t>조치원읍</t>
        </is>
      </c>
      <c r="G4507" s="3" t="inlineStr">
        <is>
          <t>침산리</t>
        </is>
      </c>
      <c r="H4507" s="3" t="inlineStr">
        <is>
          <t>제2종일반주거지역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2025</v>
      </c>
      <c r="B4508" s="4" t="n">
        <v>1202</v>
      </c>
      <c r="C4508" s="4" t="n">
        <v>7</v>
      </c>
      <c r="D4508" s="4" t="n">
        <v>2.1175</v>
      </c>
      <c r="E4508" s="5" t="n">
        <v>567.7</v>
      </c>
      <c r="F4508" s="3" t="inlineStr">
        <is>
          <t>조치원읍</t>
        </is>
      </c>
      <c r="G4508" s="3" t="inlineStr">
        <is>
          <t>침산리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2025</v>
      </c>
      <c r="B4509" s="4" t="n">
        <v>1450</v>
      </c>
      <c r="C4509" s="4" t="n">
        <v>489</v>
      </c>
      <c r="D4509" s="4" t="n">
        <v>147.9225</v>
      </c>
      <c r="E4509" s="5" t="n">
        <v>9.800000000000001</v>
      </c>
      <c r="F4509" s="3" t="inlineStr">
        <is>
          <t>전동면</t>
        </is>
      </c>
      <c r="G4509" s="3" t="inlineStr">
        <is>
          <t>청람리</t>
        </is>
      </c>
      <c r="H4509" s="3" t="inlineStr">
        <is>
          <t>생산관리지역</t>
        </is>
      </c>
      <c r="I4509" s="3" t="inlineStr">
        <is>
          <t>전</t>
        </is>
      </c>
      <c r="J4509" s="3" t="inlineStr">
        <is>
          <t>전동면</t>
        </is>
      </c>
    </row>
    <row r="4510">
      <c r="A4510" s="3" t="n">
        <v>2025</v>
      </c>
      <c r="B4510" s="4" t="n">
        <v>30000</v>
      </c>
      <c r="C4510" s="4" t="n">
        <v>2015.9</v>
      </c>
      <c r="D4510" s="4" t="n">
        <v>609.80975</v>
      </c>
      <c r="E4510" s="5" t="n">
        <v>49.2</v>
      </c>
      <c r="F4510" s="3" t="inlineStr">
        <is>
          <t>장군면</t>
        </is>
      </c>
      <c r="G4510" s="3" t="inlineStr">
        <is>
          <t>태산리</t>
        </is>
      </c>
      <c r="H4510" s="3" t="inlineStr">
        <is>
          <t>농림지역</t>
        </is>
      </c>
      <c r="I4510" s="3" t="inlineStr">
        <is>
          <t>답</t>
        </is>
      </c>
      <c r="J4510" s="3" t="inlineStr">
        <is>
          <t>장군면</t>
        </is>
      </c>
    </row>
    <row r="4511">
      <c r="A4511" s="3" t="n">
        <v>2025</v>
      </c>
      <c r="B4511" s="4" t="n">
        <v>30000</v>
      </c>
      <c r="C4511" s="4" t="n">
        <v>2015.9</v>
      </c>
      <c r="D4511" s="4" t="n">
        <v>609.80975</v>
      </c>
      <c r="E4511" s="5" t="n">
        <v>49.2</v>
      </c>
      <c r="F4511" s="3" t="inlineStr">
        <is>
          <t>장군면</t>
        </is>
      </c>
      <c r="G4511" s="3" t="inlineStr">
        <is>
          <t>태산리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장군면</t>
        </is>
      </c>
    </row>
    <row r="4512">
      <c r="A4512" s="3" t="n">
        <v>2025</v>
      </c>
      <c r="B4512" s="4" t="n">
        <v>7000</v>
      </c>
      <c r="C4512" s="4" t="n">
        <v>662.2</v>
      </c>
      <c r="D4512" s="4" t="n">
        <v>200.3155</v>
      </c>
      <c r="E4512" s="5" t="n">
        <v>34.9</v>
      </c>
      <c r="F4512" s="3" t="inlineStr">
        <is>
          <t>전의면</t>
        </is>
      </c>
      <c r="G4512" s="3" t="inlineStr">
        <is>
          <t>신정리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전의면</t>
        </is>
      </c>
    </row>
    <row r="4513">
      <c r="A4513" s="3" t="n">
        <v>2025</v>
      </c>
      <c r="B4513" s="4" t="n">
        <v>42121</v>
      </c>
      <c r="C4513" s="4" t="n">
        <v>1907</v>
      </c>
      <c r="D4513" s="4" t="n">
        <v>576.8674999999999</v>
      </c>
      <c r="E4513" s="5" t="n">
        <v>73</v>
      </c>
      <c r="F4513" s="3" t="inlineStr">
        <is>
          <t>장군면</t>
        </is>
      </c>
      <c r="G4513" s="3" t="inlineStr">
        <is>
          <t>금암리</t>
        </is>
      </c>
      <c r="H4513" s="3" t="inlineStr">
        <is>
          <t>농림지역</t>
        </is>
      </c>
      <c r="I4513" s="3" t="inlineStr">
        <is>
          <t>임야</t>
        </is>
      </c>
      <c r="J4513" s="3" t="inlineStr">
        <is>
          <t>장군면</t>
        </is>
      </c>
    </row>
    <row r="4514">
      <c r="A4514" s="3" t="n">
        <v>2025</v>
      </c>
      <c r="B4514" s="4" t="n">
        <v>3200</v>
      </c>
      <c r="C4514" s="4" t="n">
        <v>17</v>
      </c>
      <c r="D4514" s="4" t="n">
        <v>5.1425</v>
      </c>
      <c r="E4514" s="5" t="n">
        <v>622.3</v>
      </c>
      <c r="F4514" s="3" t="inlineStr">
        <is>
          <t>부강면</t>
        </is>
      </c>
      <c r="G4514" s="3" t="inlineStr">
        <is>
          <t>부강리</t>
        </is>
      </c>
      <c r="H4514" s="3" t="inlineStr">
        <is>
          <t>제2종일반주거지역</t>
        </is>
      </c>
      <c r="I4514" s="3" t="inlineStr">
        <is>
          <t>대</t>
        </is>
      </c>
      <c r="J4514" s="3" t="inlineStr">
        <is>
          <t>부강면</t>
        </is>
      </c>
    </row>
    <row r="4515">
      <c r="A4515" s="3" t="n">
        <v>2025</v>
      </c>
      <c r="B4515" s="4" t="n">
        <v>184101</v>
      </c>
      <c r="C4515" s="4" t="n">
        <v>8335</v>
      </c>
      <c r="D4515" s="4" t="n">
        <v>2521.3375</v>
      </c>
      <c r="E4515" s="5" t="n">
        <v>73</v>
      </c>
      <c r="F4515" s="3" t="inlineStr">
        <is>
          <t>장군면</t>
        </is>
      </c>
      <c r="G4515" s="3" t="inlineStr">
        <is>
          <t>금암리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장군면</t>
        </is>
      </c>
    </row>
    <row r="4516">
      <c r="A4516" s="3" t="n">
        <v>2025</v>
      </c>
      <c r="B4516" s="4" t="n">
        <v>2821</v>
      </c>
      <c r="C4516" s="4" t="n">
        <v>499</v>
      </c>
      <c r="D4516" s="4" t="n">
        <v>150.9475</v>
      </c>
      <c r="E4516" s="5" t="n">
        <v>18.7</v>
      </c>
      <c r="F4516" s="3" t="inlineStr">
        <is>
          <t>금남면</t>
        </is>
      </c>
      <c r="G4516" s="3" t="inlineStr">
        <is>
          <t>성강리</t>
        </is>
      </c>
      <c r="H4516" s="3" t="inlineStr">
        <is>
          <t>계획관리지역</t>
        </is>
      </c>
      <c r="I4516" s="3" t="inlineStr">
        <is>
          <t>대</t>
        </is>
      </c>
      <c r="J4516" s="3" t="inlineStr">
        <is>
          <t>금남면</t>
        </is>
      </c>
    </row>
    <row r="4517">
      <c r="A4517" s="3" t="n">
        <v>2025</v>
      </c>
      <c r="B4517" s="4" t="n">
        <v>2300</v>
      </c>
      <c r="C4517" s="4" t="n">
        <v>426</v>
      </c>
      <c r="D4517" s="4" t="n">
        <v>128.865</v>
      </c>
      <c r="E4517" s="5" t="n">
        <v>17.8</v>
      </c>
      <c r="F4517" s="3" t="inlineStr">
        <is>
          <t>금남면</t>
        </is>
      </c>
      <c r="G4517" s="3" t="inlineStr">
        <is>
          <t>성강리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금남면</t>
        </is>
      </c>
    </row>
    <row r="4518">
      <c r="A4518" s="3" t="n">
        <v>2025</v>
      </c>
      <c r="B4518" s="4" t="n">
        <v>5200</v>
      </c>
      <c r="C4518" s="4" t="n">
        <v>963</v>
      </c>
      <c r="D4518" s="4" t="n">
        <v>291.3075</v>
      </c>
      <c r="E4518" s="5" t="n">
        <v>17.9</v>
      </c>
      <c r="F4518" s="3" t="inlineStr">
        <is>
          <t>금남면</t>
        </is>
      </c>
      <c r="G4518" s="3" t="inlineStr">
        <is>
          <t>성강리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금남면</t>
        </is>
      </c>
    </row>
    <row r="4519">
      <c r="A4519" s="3" t="n">
        <v>2022</v>
      </c>
      <c r="B4519" s="4" t="n">
        <v>6500</v>
      </c>
      <c r="C4519" s="4" t="n">
        <v>545</v>
      </c>
      <c r="D4519" s="4" t="n">
        <v>164.8625</v>
      </c>
      <c r="E4519" s="5" t="n">
        <v>39.4</v>
      </c>
      <c r="F4519" s="3" t="inlineStr">
        <is>
          <t>강내면</t>
        </is>
      </c>
      <c r="G4519" s="3" t="inlineStr">
        <is>
          <t>궁현리</t>
        </is>
      </c>
      <c r="H4519" s="3" t="inlineStr">
        <is>
          <t>계획관리지역</t>
        </is>
      </c>
      <c r="I4519" s="3" t="inlineStr">
        <is>
          <t>전</t>
        </is>
      </c>
      <c r="J4519" s="3" t="inlineStr">
        <is>
          <t>강내면</t>
        </is>
      </c>
    </row>
    <row r="4520">
      <c r="A4520" s="3" t="n">
        <v>2022</v>
      </c>
      <c r="B4520" s="4" t="n">
        <v>6700</v>
      </c>
      <c r="C4520" s="4" t="n">
        <v>555</v>
      </c>
      <c r="D4520" s="4" t="n">
        <v>167.8875</v>
      </c>
      <c r="E4520" s="5" t="n">
        <v>39.9</v>
      </c>
      <c r="F4520" s="3" t="inlineStr">
        <is>
          <t>강내면</t>
        </is>
      </c>
      <c r="G4520" s="3" t="inlineStr">
        <is>
          <t>궁현리</t>
        </is>
      </c>
      <c r="H4520" s="3" t="inlineStr">
        <is>
          <t>계획관리지역</t>
        </is>
      </c>
      <c r="I4520" s="3" t="inlineStr">
        <is>
          <t>임야</t>
        </is>
      </c>
      <c r="J4520" s="3" t="inlineStr">
        <is>
          <t>강내면</t>
        </is>
      </c>
    </row>
    <row r="4521">
      <c r="A4521" s="3" t="n">
        <v>2022</v>
      </c>
      <c r="B4521" s="4" t="n">
        <v>27000</v>
      </c>
      <c r="C4521" s="4" t="n">
        <v>2250</v>
      </c>
      <c r="D4521" s="4" t="n">
        <v>680.625</v>
      </c>
      <c r="E4521" s="5" t="n">
        <v>39.7</v>
      </c>
      <c r="F4521" s="3" t="inlineStr">
        <is>
          <t>강내면</t>
        </is>
      </c>
      <c r="G4521" s="3" t="inlineStr">
        <is>
          <t>궁현리</t>
        </is>
      </c>
      <c r="H4521" s="3" t="inlineStr">
        <is>
          <t>계획관리지역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150000</v>
      </c>
      <c r="C4522" s="4" t="n">
        <v>819.4</v>
      </c>
      <c r="D4522" s="4" t="n">
        <v>247.8685</v>
      </c>
      <c r="E4522" s="5" t="n">
        <v>605.2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오송읍</t>
        </is>
      </c>
    </row>
    <row r="4523">
      <c r="A4523" s="3" t="n">
        <v>2022</v>
      </c>
      <c r="B4523" s="4" t="n">
        <v>25000</v>
      </c>
      <c r="C4523" s="4" t="n">
        <v>592</v>
      </c>
      <c r="D4523" s="4" t="n">
        <v>179.08</v>
      </c>
      <c r="E4523" s="5" t="n">
        <v>139.6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보전관리지역</t>
        </is>
      </c>
      <c r="I4523" s="3" t="inlineStr">
        <is>
          <t>임야</t>
        </is>
      </c>
      <c r="J4523" s="3" t="inlineStr">
        <is>
          <t>오송읍</t>
        </is>
      </c>
    </row>
    <row r="4524">
      <c r="A4524" s="3" t="n">
        <v>2022</v>
      </c>
      <c r="B4524" s="4" t="n">
        <v>8500</v>
      </c>
      <c r="C4524" s="4" t="n">
        <v>68</v>
      </c>
      <c r="D4524" s="4" t="n">
        <v>20.57</v>
      </c>
      <c r="E4524" s="5" t="n">
        <v>413.2</v>
      </c>
      <c r="F4524" s="3" t="inlineStr">
        <is>
          <t>오송읍</t>
        </is>
      </c>
      <c r="G4524" s="3" t="inlineStr">
        <is>
          <t>봉산리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오송읍</t>
        </is>
      </c>
    </row>
    <row r="4525">
      <c r="A4525" s="3" t="n">
        <v>2022</v>
      </c>
      <c r="B4525" s="4" t="n">
        <v>35500</v>
      </c>
      <c r="C4525" s="4" t="n">
        <v>1920</v>
      </c>
      <c r="D4525" s="4" t="n">
        <v>580.8</v>
      </c>
      <c r="E4525" s="5" t="n">
        <v>61.1</v>
      </c>
      <c r="F4525" s="3" t="inlineStr">
        <is>
          <t>강내면</t>
        </is>
      </c>
      <c r="G4525" s="3" t="inlineStr">
        <is>
          <t>산단리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2022</v>
      </c>
      <c r="B4526" s="4" t="n">
        <v>4500</v>
      </c>
      <c r="C4526" s="4" t="n">
        <v>245</v>
      </c>
      <c r="D4526" s="4" t="n">
        <v>74.1125</v>
      </c>
      <c r="E4526" s="5" t="n">
        <v>60.7</v>
      </c>
      <c r="F4526" s="3" t="inlineStr">
        <is>
          <t>강내면</t>
        </is>
      </c>
      <c r="G4526" s="3" t="inlineStr">
        <is>
          <t>산단리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88540</v>
      </c>
      <c r="C4527" s="4" t="n">
        <v>1541</v>
      </c>
      <c r="D4527" s="4" t="n">
        <v>466.1525</v>
      </c>
      <c r="E4527" s="5" t="n">
        <v>189.9</v>
      </c>
      <c r="F4527" s="3" t="inlineStr">
        <is>
          <t>강내면</t>
        </is>
      </c>
      <c r="G4527" s="3" t="inlineStr">
        <is>
          <t>탑연리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2022</v>
      </c>
      <c r="B4528" s="4" t="n">
        <v>10500</v>
      </c>
      <c r="C4528" s="4" t="n">
        <v>347</v>
      </c>
      <c r="D4528" s="4" t="n">
        <v>104.9675</v>
      </c>
      <c r="E4528" s="5" t="n">
        <v>100</v>
      </c>
      <c r="F4528" s="3" t="inlineStr">
        <is>
          <t>강내면</t>
        </is>
      </c>
      <c r="G4528" s="3" t="inlineStr">
        <is>
          <t>저산리</t>
        </is>
      </c>
      <c r="H4528" s="3" t="inlineStr">
        <is>
          <t>계획관리지역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2022</v>
      </c>
      <c r="B4529" s="4" t="n">
        <v>68000</v>
      </c>
      <c r="C4529" s="4" t="n">
        <v>1699</v>
      </c>
      <c r="D4529" s="4" t="n">
        <v>513.9475</v>
      </c>
      <c r="E4529" s="5" t="n">
        <v>132.3</v>
      </c>
      <c r="F4529" s="3" t="inlineStr">
        <is>
          <t>강내면</t>
        </is>
      </c>
      <c r="G4529" s="3" t="inlineStr">
        <is>
          <t>저산리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2022</v>
      </c>
      <c r="B4530" s="4" t="n">
        <v>40000</v>
      </c>
      <c r="C4530" s="4" t="n">
        <v>641</v>
      </c>
      <c r="D4530" s="4" t="n">
        <v>193.9025</v>
      </c>
      <c r="E4530" s="5" t="n">
        <v>206.3</v>
      </c>
      <c r="F4530" s="3" t="inlineStr">
        <is>
          <t>강내면</t>
        </is>
      </c>
      <c r="G4530" s="3" t="inlineStr">
        <is>
          <t>탑연리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2022</v>
      </c>
      <c r="B4531" s="4" t="n">
        <v>9100</v>
      </c>
      <c r="C4531" s="4" t="n">
        <v>149</v>
      </c>
      <c r="D4531" s="4" t="n">
        <v>45.0725</v>
      </c>
      <c r="E4531" s="5" t="n">
        <v>201.9</v>
      </c>
      <c r="F4531" s="3" t="inlineStr">
        <is>
          <t>강내면</t>
        </is>
      </c>
      <c r="G4531" s="3" t="inlineStr">
        <is>
          <t>월탄리</t>
        </is>
      </c>
      <c r="H4531" s="3" t="inlineStr">
        <is>
          <t>계획관리지역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49300</v>
      </c>
      <c r="C4532" s="4" t="n">
        <v>816</v>
      </c>
      <c r="D4532" s="4" t="n">
        <v>246.84</v>
      </c>
      <c r="E4532" s="5" t="n">
        <v>199.7</v>
      </c>
      <c r="F4532" s="3" t="inlineStr">
        <is>
          <t>강내면</t>
        </is>
      </c>
      <c r="G4532" s="3" t="inlineStr">
        <is>
          <t>월탄리</t>
        </is>
      </c>
      <c r="H4532" s="3" t="inlineStr">
        <is>
          <t>계획관리지역</t>
        </is>
      </c>
      <c r="I4532" s="3" t="inlineStr">
        <is>
          <t>대</t>
        </is>
      </c>
      <c r="J4532" s="3" t="inlineStr">
        <is>
          <t>강내면</t>
        </is>
      </c>
    </row>
    <row r="4533">
      <c r="A4533" s="3" t="n">
        <v>2022</v>
      </c>
      <c r="B4533" s="4" t="n">
        <v>23900</v>
      </c>
      <c r="C4533" s="4" t="n">
        <v>1217</v>
      </c>
      <c r="D4533" s="4" t="n">
        <v>368.1425</v>
      </c>
      <c r="E4533" s="5" t="n">
        <v>64.90000000000001</v>
      </c>
      <c r="F4533" s="3" t="inlineStr">
        <is>
          <t>오송읍</t>
        </is>
      </c>
      <c r="G4533" s="3" t="inlineStr">
        <is>
          <t>호계리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46400</v>
      </c>
      <c r="C4534" s="4" t="n">
        <v>1927</v>
      </c>
      <c r="D4534" s="4" t="n">
        <v>582.9175</v>
      </c>
      <c r="E4534" s="5" t="n">
        <v>79.59999999999999</v>
      </c>
      <c r="F4534" s="3" t="inlineStr">
        <is>
          <t>오송읍</t>
        </is>
      </c>
      <c r="G4534" s="3" t="inlineStr">
        <is>
          <t>호계리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13800</v>
      </c>
      <c r="C4535" s="4" t="n">
        <v>685</v>
      </c>
      <c r="D4535" s="4" t="n">
        <v>207.2125</v>
      </c>
      <c r="E4535" s="5" t="n">
        <v>66.59999999999999</v>
      </c>
      <c r="F4535" s="3" t="inlineStr">
        <is>
          <t>강내면</t>
        </is>
      </c>
      <c r="G4535" s="3" t="inlineStr">
        <is>
          <t>태성리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2022</v>
      </c>
      <c r="B4536" s="4" t="n">
        <v>10100</v>
      </c>
      <c r="C4536" s="4" t="n">
        <v>522</v>
      </c>
      <c r="D4536" s="4" t="n">
        <v>157.905</v>
      </c>
      <c r="E4536" s="5" t="n">
        <v>64</v>
      </c>
      <c r="F4536" s="3" t="inlineStr">
        <is>
          <t>강내면</t>
        </is>
      </c>
      <c r="G4536" s="3" t="inlineStr">
        <is>
          <t>산단리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강내면</t>
        </is>
      </c>
    </row>
    <row r="4537">
      <c r="A4537" s="3" t="n">
        <v>2022</v>
      </c>
      <c r="B4537" s="4" t="n">
        <v>53496</v>
      </c>
      <c r="C4537" s="4" t="n">
        <v>1159</v>
      </c>
      <c r="D4537" s="4" t="n">
        <v>350.5975</v>
      </c>
      <c r="E4537" s="5" t="n">
        <v>152.6</v>
      </c>
      <c r="F4537" s="3" t="inlineStr">
        <is>
          <t>남이면</t>
        </is>
      </c>
      <c r="G4537" s="3" t="inlineStr">
        <is>
          <t>부용외천리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남이면</t>
        </is>
      </c>
    </row>
    <row r="4538">
      <c r="A4538" s="3" t="n">
        <v>2022</v>
      </c>
      <c r="B4538" s="4" t="n">
        <v>167497</v>
      </c>
      <c r="C4538" s="4" t="n">
        <v>3634</v>
      </c>
      <c r="D4538" s="4" t="n">
        <v>1099.285</v>
      </c>
      <c r="E4538" s="5" t="n">
        <v>152.4</v>
      </c>
      <c r="F4538" s="3" t="inlineStr">
        <is>
          <t>남이면</t>
        </is>
      </c>
      <c r="G4538" s="3" t="inlineStr">
        <is>
          <t>부용외천리</t>
        </is>
      </c>
      <c r="H4538" s="3" t="inlineStr">
        <is>
          <t>계획관리지역</t>
        </is>
      </c>
      <c r="I4538" s="3" t="inlineStr">
        <is>
          <t>임야</t>
        </is>
      </c>
      <c r="J4538" s="3" t="inlineStr">
        <is>
          <t>남이면</t>
        </is>
      </c>
    </row>
    <row r="4539">
      <c r="A4539" s="3" t="n">
        <v>2022</v>
      </c>
      <c r="B4539" s="4" t="n">
        <v>39931</v>
      </c>
      <c r="C4539" s="4" t="n">
        <v>867</v>
      </c>
      <c r="D4539" s="4" t="n">
        <v>262.2675</v>
      </c>
      <c r="E4539" s="5" t="n">
        <v>152.3</v>
      </c>
      <c r="F4539" s="3" t="inlineStr">
        <is>
          <t>남이면</t>
        </is>
      </c>
      <c r="G4539" s="3" t="inlineStr">
        <is>
          <t>부용외천리</t>
        </is>
      </c>
      <c r="H4539" s="3" t="inlineStr">
        <is>
          <t>계획관리지역</t>
        </is>
      </c>
      <c r="I4539" s="3" t="inlineStr">
        <is>
          <t>도로</t>
        </is>
      </c>
      <c r="J4539" s="3" t="inlineStr">
        <is>
          <t>남이면</t>
        </is>
      </c>
    </row>
    <row r="4540">
      <c r="A4540" s="3" t="n">
        <v>2022</v>
      </c>
      <c r="B4540" s="4" t="n">
        <v>34292</v>
      </c>
      <c r="C4540" s="4" t="n">
        <v>745</v>
      </c>
      <c r="D4540" s="4" t="n">
        <v>225.3625</v>
      </c>
      <c r="E4540" s="5" t="n">
        <v>152.2</v>
      </c>
      <c r="F4540" s="3" t="inlineStr">
        <is>
          <t>남이면</t>
        </is>
      </c>
      <c r="G4540" s="3" t="inlineStr">
        <is>
          <t>부용외천리</t>
        </is>
      </c>
      <c r="H4540" s="3" t="inlineStr">
        <is>
          <t>계획관리지역</t>
        </is>
      </c>
      <c r="I4540" s="3" t="inlineStr">
        <is>
          <t>임야</t>
        </is>
      </c>
      <c r="J4540" s="3" t="inlineStr">
        <is>
          <t>남이면</t>
        </is>
      </c>
    </row>
    <row r="4541">
      <c r="A4541" s="3" t="n">
        <v>2022</v>
      </c>
      <c r="B4541" s="4" t="n">
        <v>14784</v>
      </c>
      <c r="C4541" s="4" t="n">
        <v>319</v>
      </c>
      <c r="D4541" s="4" t="n">
        <v>96.4975</v>
      </c>
      <c r="E4541" s="5" t="n">
        <v>153.2</v>
      </c>
      <c r="F4541" s="3" t="inlineStr">
        <is>
          <t>남이면</t>
        </is>
      </c>
      <c r="G4541" s="3" t="inlineStr">
        <is>
          <t>부용외천리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남이면</t>
        </is>
      </c>
    </row>
    <row r="4542">
      <c r="A4542" s="3" t="n">
        <v>2022</v>
      </c>
      <c r="B4542" s="4" t="n">
        <v>25360</v>
      </c>
      <c r="C4542" s="4" t="n">
        <v>2737</v>
      </c>
      <c r="D4542" s="4" t="n">
        <v>827.9425</v>
      </c>
      <c r="E4542" s="5" t="n">
        <v>30.6</v>
      </c>
      <c r="F4542" s="3" t="inlineStr">
        <is>
          <t>남이면</t>
        </is>
      </c>
      <c r="G4542" s="3" t="inlineStr">
        <is>
          <t>가좌리</t>
        </is>
      </c>
      <c r="H4542" s="3" t="inlineStr">
        <is>
          <t>자연녹지지역</t>
        </is>
      </c>
      <c r="I4542" s="3" t="inlineStr">
        <is>
          <t>답</t>
        </is>
      </c>
      <c r="J4542" s="3" t="inlineStr">
        <is>
          <t>남이면</t>
        </is>
      </c>
    </row>
    <row r="4543">
      <c r="A4543" s="3" t="n">
        <v>2022</v>
      </c>
      <c r="B4543" s="4" t="n">
        <v>9640</v>
      </c>
      <c r="C4543" s="4" t="n">
        <v>1041</v>
      </c>
      <c r="D4543" s="4" t="n">
        <v>314.9025</v>
      </c>
      <c r="E4543" s="5" t="n">
        <v>30.6</v>
      </c>
      <c r="F4543" s="3" t="inlineStr">
        <is>
          <t>남이면</t>
        </is>
      </c>
      <c r="G4543" s="3" t="inlineStr">
        <is>
          <t>가좌리</t>
        </is>
      </c>
      <c r="H4543" s="3" t="inlineStr">
        <is>
          <t>자연녹지지역</t>
        </is>
      </c>
      <c r="I4543" s="3" t="inlineStr">
        <is>
          <t>답</t>
        </is>
      </c>
      <c r="J4543" s="3" t="inlineStr">
        <is>
          <t>남이면</t>
        </is>
      </c>
    </row>
    <row r="4544">
      <c r="A4544" s="3" t="n">
        <v>2022</v>
      </c>
      <c r="B4544" s="4" t="n">
        <v>3251</v>
      </c>
      <c r="C4544" s="4" t="n">
        <v>84</v>
      </c>
      <c r="D4544" s="4" t="n">
        <v>25.41</v>
      </c>
      <c r="E4544" s="5" t="n">
        <v>127.9</v>
      </c>
      <c r="F4544" s="3" t="inlineStr">
        <is>
          <t>남이면</t>
        </is>
      </c>
      <c r="G4544" s="3" t="inlineStr">
        <is>
          <t>부용외천리</t>
        </is>
      </c>
      <c r="H4544" s="3" t="inlineStr">
        <is>
          <t>용도미지정</t>
        </is>
      </c>
      <c r="I4544" s="3" t="inlineStr">
        <is>
          <t>임야</t>
        </is>
      </c>
      <c r="J4544" s="3" t="inlineStr">
        <is>
          <t>남이면</t>
        </is>
      </c>
    </row>
    <row r="4545">
      <c r="A4545" s="3" t="n">
        <v>2022</v>
      </c>
      <c r="B4545" s="4" t="n">
        <v>650</v>
      </c>
      <c r="C4545" s="4" t="n">
        <v>54</v>
      </c>
      <c r="D4545" s="4" t="n">
        <v>16.335</v>
      </c>
      <c r="E4545" s="5" t="n">
        <v>39.8</v>
      </c>
      <c r="F4545" s="3" t="inlineStr">
        <is>
          <t>남이면</t>
        </is>
      </c>
      <c r="G4545" s="3" t="inlineStr">
        <is>
          <t>수대리</t>
        </is>
      </c>
      <c r="H4545" s="3" t="inlineStr">
        <is>
          <t>보전녹지지역</t>
        </is>
      </c>
      <c r="I4545" s="3" t="inlineStr">
        <is>
          <t>도로</t>
        </is>
      </c>
      <c r="J4545" s="3" t="inlineStr">
        <is>
          <t>남이면</t>
        </is>
      </c>
    </row>
    <row r="4546">
      <c r="A4546" s="3" t="n">
        <v>2022</v>
      </c>
      <c r="B4546" s="4" t="n">
        <v>37000</v>
      </c>
      <c r="C4546" s="4" t="n">
        <v>1390</v>
      </c>
      <c r="D4546" s="4" t="n">
        <v>420.475</v>
      </c>
      <c r="E4546" s="5" t="n">
        <v>88</v>
      </c>
      <c r="F4546" s="3" t="inlineStr">
        <is>
          <t>남이면</t>
        </is>
      </c>
      <c r="G4546" s="3" t="inlineStr">
        <is>
          <t>외천리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남이면</t>
        </is>
      </c>
    </row>
    <row r="4547">
      <c r="A4547" s="3" t="n">
        <v>2022</v>
      </c>
      <c r="B4547" s="4" t="n">
        <v>60000</v>
      </c>
      <c r="C4547" s="4" t="n">
        <v>6354</v>
      </c>
      <c r="D4547" s="4" t="n">
        <v>1922.085</v>
      </c>
      <c r="E4547" s="5" t="n">
        <v>31.2</v>
      </c>
      <c r="F4547" s="3" t="inlineStr">
        <is>
          <t>남이면</t>
        </is>
      </c>
      <c r="G4547" s="3" t="inlineStr">
        <is>
          <t>가좌리</t>
        </is>
      </c>
      <c r="H4547" s="3" t="inlineStr">
        <is>
          <t>자연녹지지역</t>
        </is>
      </c>
      <c r="I4547" s="3" t="inlineStr">
        <is>
          <t>답</t>
        </is>
      </c>
      <c r="J4547" s="3" t="inlineStr">
        <is>
          <t>남이면</t>
        </is>
      </c>
    </row>
    <row r="4548">
      <c r="A4548" s="3" t="n">
        <v>2022</v>
      </c>
      <c r="B4548" s="4" t="n">
        <v>1575</v>
      </c>
      <c r="C4548" s="4" t="n">
        <v>347</v>
      </c>
      <c r="D4548" s="4" t="n">
        <v>104.9675</v>
      </c>
      <c r="E4548" s="5" t="n">
        <v>15</v>
      </c>
      <c r="F4548" s="3" t="inlineStr">
        <is>
          <t>현도면</t>
        </is>
      </c>
      <c r="G4548" s="3" t="inlineStr">
        <is>
          <t>우록리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현도면</t>
        </is>
      </c>
    </row>
    <row r="4549">
      <c r="A4549" s="3" t="n">
        <v>2022</v>
      </c>
      <c r="B4549" s="4" t="n">
        <v>1665</v>
      </c>
      <c r="C4549" s="4" t="n">
        <v>367</v>
      </c>
      <c r="D4549" s="4" t="n">
        <v>111.0175</v>
      </c>
      <c r="E4549" s="5" t="n">
        <v>15</v>
      </c>
      <c r="F4549" s="3" t="inlineStr">
        <is>
          <t>현도면</t>
        </is>
      </c>
      <c r="G4549" s="3" t="inlineStr">
        <is>
          <t>우록리</t>
        </is>
      </c>
      <c r="H4549" s="3" t="inlineStr">
        <is>
          <t>농림지역</t>
        </is>
      </c>
      <c r="I4549" s="3" t="inlineStr">
        <is>
          <t>답</t>
        </is>
      </c>
      <c r="J4549" s="3" t="inlineStr">
        <is>
          <t>현도면</t>
        </is>
      </c>
    </row>
    <row r="4550">
      <c r="A4550" s="3" t="n">
        <v>2022</v>
      </c>
      <c r="B4550" s="4" t="n">
        <v>405</v>
      </c>
      <c r="C4550" s="4" t="n">
        <v>88</v>
      </c>
      <c r="D4550" s="4" t="n">
        <v>26.62</v>
      </c>
      <c r="E4550" s="5" t="n">
        <v>15.2</v>
      </c>
      <c r="F4550" s="3" t="inlineStr">
        <is>
          <t>현도면</t>
        </is>
      </c>
      <c r="G4550" s="3" t="inlineStr">
        <is>
          <t>우록리</t>
        </is>
      </c>
      <c r="H4550" s="3" t="inlineStr">
        <is>
          <t>농림지역</t>
        </is>
      </c>
      <c r="I4550" s="3" t="inlineStr">
        <is>
          <t>답</t>
        </is>
      </c>
      <c r="J4550" s="3" t="inlineStr">
        <is>
          <t>현도면</t>
        </is>
      </c>
    </row>
    <row r="4551">
      <c r="A4551" s="3" t="n">
        <v>2022</v>
      </c>
      <c r="B4551" s="4" t="n">
        <v>2500</v>
      </c>
      <c r="C4551" s="4" t="n">
        <v>83</v>
      </c>
      <c r="D4551" s="4" t="n">
        <v>25.1075</v>
      </c>
      <c r="E4551" s="5" t="n">
        <v>99.59999999999999</v>
      </c>
      <c r="F4551" s="3" t="inlineStr">
        <is>
          <t>남이면</t>
        </is>
      </c>
      <c r="G4551" s="3" t="inlineStr">
        <is>
          <t>양촌리</t>
        </is>
      </c>
      <c r="H4551" s="3" t="inlineStr">
        <is>
          <t>자연녹지지역</t>
        </is>
      </c>
      <c r="I4551" s="3" t="inlineStr">
        <is>
          <t>전</t>
        </is>
      </c>
      <c r="J4551" s="3" t="inlineStr">
        <is>
          <t>남이면</t>
        </is>
      </c>
    </row>
    <row r="4552">
      <c r="A4552" s="3" t="n">
        <v>2022</v>
      </c>
      <c r="B4552" s="4" t="n">
        <v>51300</v>
      </c>
      <c r="C4552" s="4" t="n">
        <v>879</v>
      </c>
      <c r="D4552" s="4" t="n">
        <v>265.8975</v>
      </c>
      <c r="E4552" s="5" t="n">
        <v>192.9</v>
      </c>
      <c r="F4552" s="3" t="inlineStr">
        <is>
          <t>남이면</t>
        </is>
      </c>
      <c r="G4552" s="3" t="inlineStr">
        <is>
          <t>부용외천리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남이면</t>
        </is>
      </c>
    </row>
    <row r="4553">
      <c r="A4553" s="3" t="n">
        <v>2022</v>
      </c>
      <c r="B4553" s="4" t="n">
        <v>1700</v>
      </c>
      <c r="C4553" s="4" t="n">
        <v>29</v>
      </c>
      <c r="D4553" s="4" t="n">
        <v>8.772499999999999</v>
      </c>
      <c r="E4553" s="5" t="n">
        <v>193.8</v>
      </c>
      <c r="F4553" s="3" t="inlineStr">
        <is>
          <t>남이면</t>
        </is>
      </c>
      <c r="G4553" s="3" t="inlineStr">
        <is>
          <t>부용외천리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2022</v>
      </c>
      <c r="B4554" s="4" t="n">
        <v>10200</v>
      </c>
      <c r="C4554" s="4" t="n">
        <v>506</v>
      </c>
      <c r="D4554" s="4" t="n">
        <v>153.065</v>
      </c>
      <c r="E4554" s="5" t="n">
        <v>66.59999999999999</v>
      </c>
      <c r="F4554" s="3" t="inlineStr">
        <is>
          <t>현도면</t>
        </is>
      </c>
      <c r="G4554" s="3" t="inlineStr">
        <is>
          <t>죽전리</t>
        </is>
      </c>
      <c r="H4554" s="3" t="inlineStr">
        <is>
          <t>계획관리지역</t>
        </is>
      </c>
      <c r="I4554" s="3" t="inlineStr">
        <is>
          <t>전</t>
        </is>
      </c>
      <c r="J4554" s="3" t="inlineStr">
        <is>
          <t>현도면</t>
        </is>
      </c>
    </row>
    <row r="4555">
      <c r="A4555" s="3" t="n">
        <v>2022</v>
      </c>
      <c r="B4555" s="4" t="n">
        <v>21000</v>
      </c>
      <c r="C4555" s="4" t="n">
        <v>694</v>
      </c>
      <c r="D4555" s="4" t="n">
        <v>209.935</v>
      </c>
      <c r="E4555" s="5" t="n">
        <v>100</v>
      </c>
      <c r="F4555" s="3" t="inlineStr">
        <is>
          <t>현도면</t>
        </is>
      </c>
      <c r="G4555" s="3" t="inlineStr">
        <is>
          <t>선동리</t>
        </is>
      </c>
      <c r="H4555" s="3" t="inlineStr">
        <is>
          <t>제1종일반주거지역</t>
        </is>
      </c>
      <c r="I4555" s="3" t="inlineStr">
        <is>
          <t>전</t>
        </is>
      </c>
      <c r="J4555" s="3" t="inlineStr">
        <is>
          <t>현도면</t>
        </is>
      </c>
    </row>
    <row r="4556">
      <c r="A4556" s="3" t="n">
        <v>2022</v>
      </c>
      <c r="B4556" s="4" t="n">
        <v>500</v>
      </c>
      <c r="C4556" s="4" t="n">
        <v>53</v>
      </c>
      <c r="D4556" s="4" t="n">
        <v>16.0325</v>
      </c>
      <c r="E4556" s="5" t="n">
        <v>31.2</v>
      </c>
      <c r="F4556" s="3" t="inlineStr">
        <is>
          <t>남이면</t>
        </is>
      </c>
      <c r="G4556" s="3" t="inlineStr">
        <is>
          <t>양촌리</t>
        </is>
      </c>
      <c r="H4556" s="3" t="inlineStr">
        <is>
          <t>자연녹지지역</t>
        </is>
      </c>
      <c r="I4556" s="3" t="inlineStr">
        <is>
          <t>도로</t>
        </is>
      </c>
      <c r="J4556" s="3" t="inlineStr">
        <is>
          <t>남이면</t>
        </is>
      </c>
    </row>
    <row r="4557">
      <c r="A4557" s="3" t="n">
        <v>2022</v>
      </c>
      <c r="B4557" s="4" t="n">
        <v>11750</v>
      </c>
      <c r="C4557" s="4" t="n">
        <v>779</v>
      </c>
      <c r="D4557" s="4" t="n">
        <v>235.6475</v>
      </c>
      <c r="E4557" s="5" t="n">
        <v>49.9</v>
      </c>
      <c r="F4557" s="3" t="inlineStr">
        <is>
          <t>현도면</t>
        </is>
      </c>
      <c r="G4557" s="3" t="inlineStr">
        <is>
          <t>노산리</t>
        </is>
      </c>
      <c r="H4557" s="3" t="inlineStr">
        <is>
          <t>제1종일반주거지역</t>
        </is>
      </c>
      <c r="I4557" s="3" t="inlineStr">
        <is>
          <t>답</t>
        </is>
      </c>
      <c r="J4557" s="3" t="inlineStr">
        <is>
          <t>현도면</t>
        </is>
      </c>
    </row>
    <row r="4558">
      <c r="A4558" s="3" t="n">
        <v>2022</v>
      </c>
      <c r="B4558" s="4" t="n">
        <v>3000</v>
      </c>
      <c r="C4558" s="4" t="n">
        <v>585</v>
      </c>
      <c r="D4558" s="4" t="n">
        <v>176.9625</v>
      </c>
      <c r="E4558" s="5" t="n">
        <v>17</v>
      </c>
      <c r="F4558" s="3" t="inlineStr">
        <is>
          <t>남이면</t>
        </is>
      </c>
      <c r="G4558" s="3" t="inlineStr">
        <is>
          <t>산막리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남이면</t>
        </is>
      </c>
    </row>
    <row r="4559">
      <c r="A4559" s="3" t="n">
        <v>2022</v>
      </c>
      <c r="B4559" s="4" t="n">
        <v>3500</v>
      </c>
      <c r="C4559" s="4" t="n">
        <v>2380</v>
      </c>
      <c r="D4559" s="4" t="n">
        <v>719.9499999999999</v>
      </c>
      <c r="E4559" s="5" t="n">
        <v>4.9</v>
      </c>
      <c r="F4559" s="3" t="inlineStr">
        <is>
          <t>남이면</t>
        </is>
      </c>
      <c r="G4559" s="3" t="inlineStr">
        <is>
          <t>부용외천리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2022</v>
      </c>
      <c r="B4560" s="4" t="n">
        <v>3800</v>
      </c>
      <c r="C4560" s="4" t="n">
        <v>317</v>
      </c>
      <c r="D4560" s="4" t="n">
        <v>95.8925</v>
      </c>
      <c r="E4560" s="5" t="n">
        <v>39.6</v>
      </c>
      <c r="F4560" s="3" t="inlineStr">
        <is>
          <t>남이면</t>
        </is>
      </c>
      <c r="G4560" s="3" t="inlineStr">
        <is>
          <t>양촌리</t>
        </is>
      </c>
      <c r="H4560" s="3" t="inlineStr">
        <is>
          <t>자연녹지지역</t>
        </is>
      </c>
      <c r="I4560" s="3" t="inlineStr">
        <is>
          <t>전</t>
        </is>
      </c>
      <c r="J4560" s="3" t="inlineStr">
        <is>
          <t>남이면</t>
        </is>
      </c>
    </row>
    <row r="4561">
      <c r="A4561" s="3" t="n">
        <v>2022</v>
      </c>
      <c r="B4561" s="4" t="n">
        <v>112800</v>
      </c>
      <c r="C4561" s="4" t="n">
        <v>3962</v>
      </c>
      <c r="D4561" s="4" t="n">
        <v>1198.505</v>
      </c>
      <c r="E4561" s="5" t="n">
        <v>94.09999999999999</v>
      </c>
      <c r="F4561" s="3" t="inlineStr">
        <is>
          <t>남이면</t>
        </is>
      </c>
      <c r="G4561" s="3" t="inlineStr">
        <is>
          <t>구암리</t>
        </is>
      </c>
      <c r="H4561" s="3" t="inlineStr">
        <is>
          <t>자연녹지지역</t>
        </is>
      </c>
      <c r="I4561" s="3" t="inlineStr">
        <is>
          <t>답</t>
        </is>
      </c>
      <c r="J4561" s="3" t="inlineStr">
        <is>
          <t>남이면</t>
        </is>
      </c>
    </row>
    <row r="4562">
      <c r="A4562" s="3" t="n">
        <v>2023</v>
      </c>
      <c r="B4562" s="4" t="n">
        <v>26500</v>
      </c>
      <c r="C4562" s="4" t="n">
        <v>1689</v>
      </c>
      <c r="D4562" s="4" t="n">
        <v>510.9225</v>
      </c>
      <c r="E4562" s="5" t="n">
        <v>51.9</v>
      </c>
      <c r="F4562" s="3" t="inlineStr">
        <is>
          <t>남이면</t>
        </is>
      </c>
      <c r="G4562" s="3" t="inlineStr">
        <is>
          <t>부용외천리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남이면</t>
        </is>
      </c>
    </row>
    <row r="4563">
      <c r="A4563" s="3" t="n">
        <v>2023</v>
      </c>
      <c r="B4563" s="4" t="n">
        <v>8775</v>
      </c>
      <c r="C4563" s="4" t="n">
        <v>5804</v>
      </c>
      <c r="D4563" s="4" t="n">
        <v>1755.71</v>
      </c>
      <c r="E4563" s="5" t="n">
        <v>5</v>
      </c>
      <c r="F4563" s="3" t="inlineStr">
        <is>
          <t>현도면</t>
        </is>
      </c>
      <c r="G4563" s="3" t="inlineStr">
        <is>
          <t>매봉리</t>
        </is>
      </c>
      <c r="H4563" s="3" t="inlineStr">
        <is>
          <t>개발제한구역</t>
        </is>
      </c>
      <c r="I4563" s="3" t="inlineStr">
        <is>
          <t>임야</t>
        </is>
      </c>
      <c r="J4563" s="3" t="inlineStr">
        <is>
          <t>현도면</t>
        </is>
      </c>
    </row>
    <row r="4564">
      <c r="A4564" s="3" t="n">
        <v>2023</v>
      </c>
      <c r="B4564" s="4" t="n">
        <v>18200</v>
      </c>
      <c r="C4564" s="4" t="n">
        <v>430</v>
      </c>
      <c r="D4564" s="4" t="n">
        <v>130.075</v>
      </c>
      <c r="E4564" s="5" t="n">
        <v>139.9</v>
      </c>
      <c r="F4564" s="3" t="inlineStr">
        <is>
          <t>남이면</t>
        </is>
      </c>
      <c r="G4564" s="3" t="inlineStr">
        <is>
          <t>가좌리</t>
        </is>
      </c>
      <c r="H4564" s="3" t="inlineStr">
        <is>
          <t>자연녹지지역</t>
        </is>
      </c>
      <c r="I4564" s="3" t="inlineStr">
        <is>
          <t>답</t>
        </is>
      </c>
      <c r="J4564" s="3" t="inlineStr">
        <is>
          <t>남이면</t>
        </is>
      </c>
    </row>
    <row r="4565">
      <c r="A4565" s="3" t="n">
        <v>2023</v>
      </c>
      <c r="B4565" s="4" t="n">
        <v>248100</v>
      </c>
      <c r="C4565" s="4" t="n">
        <v>5468</v>
      </c>
      <c r="D4565" s="4" t="n">
        <v>1654.07</v>
      </c>
      <c r="E4565" s="5" t="n">
        <v>150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2023</v>
      </c>
      <c r="B4566" s="4" t="n">
        <v>136500</v>
      </c>
      <c r="C4566" s="4" t="n">
        <v>3008</v>
      </c>
      <c r="D4566" s="4" t="n">
        <v>909.92</v>
      </c>
      <c r="E4566" s="5" t="n">
        <v>150</v>
      </c>
      <c r="F4566" s="3" t="inlineStr">
        <is>
          <t>강내면</t>
        </is>
      </c>
      <c r="G4566" s="3" t="inlineStr">
        <is>
          <t>궁현리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강내면</t>
        </is>
      </c>
    </row>
    <row r="4567">
      <c r="A4567" s="3" t="n">
        <v>2023</v>
      </c>
      <c r="B4567" s="4" t="n">
        <v>169650</v>
      </c>
      <c r="C4567" s="4" t="n">
        <v>3738</v>
      </c>
      <c r="D4567" s="4" t="n">
        <v>1130.745</v>
      </c>
      <c r="E4567" s="5" t="n">
        <v>150</v>
      </c>
      <c r="F4567" s="3" t="inlineStr">
        <is>
          <t>강내면</t>
        </is>
      </c>
      <c r="G4567" s="3" t="inlineStr">
        <is>
          <t>궁현리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2023</v>
      </c>
      <c r="B4568" s="4" t="n">
        <v>7000</v>
      </c>
      <c r="C4568" s="4" t="n">
        <v>72</v>
      </c>
      <c r="D4568" s="4" t="n">
        <v>21.78</v>
      </c>
      <c r="E4568" s="5" t="n">
        <v>321.4</v>
      </c>
      <c r="F4568" s="3" t="inlineStr">
        <is>
          <t>오송읍</t>
        </is>
      </c>
      <c r="G4568" s="3" t="inlineStr">
        <is>
          <t>오송리</t>
        </is>
      </c>
      <c r="H4568" s="3" t="inlineStr">
        <is>
          <t>계획관리지역</t>
        </is>
      </c>
      <c r="I4568" s="3" t="inlineStr">
        <is>
          <t>대</t>
        </is>
      </c>
      <c r="J4568" s="3" t="inlineStr">
        <is>
          <t>오송읍</t>
        </is>
      </c>
    </row>
    <row r="4569">
      <c r="A4569" s="3" t="n">
        <v>2023</v>
      </c>
      <c r="B4569" s="4" t="n">
        <v>7000</v>
      </c>
      <c r="C4569" s="4" t="n">
        <v>72</v>
      </c>
      <c r="D4569" s="4" t="n">
        <v>21.78</v>
      </c>
      <c r="E4569" s="5" t="n">
        <v>321.4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2023</v>
      </c>
      <c r="B4570" s="4" t="n">
        <v>25000</v>
      </c>
      <c r="C4570" s="4" t="n">
        <v>508</v>
      </c>
      <c r="D4570" s="4" t="n">
        <v>153.67</v>
      </c>
      <c r="E4570" s="5" t="n">
        <v>162.7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강내면</t>
        </is>
      </c>
    </row>
    <row r="4571">
      <c r="A4571" s="3" t="n">
        <v>2023</v>
      </c>
      <c r="B4571" s="4" t="n">
        <v>30000</v>
      </c>
      <c r="C4571" s="4" t="n">
        <v>800</v>
      </c>
      <c r="D4571" s="4" t="n">
        <v>242</v>
      </c>
      <c r="E4571" s="5" t="n">
        <v>124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2023</v>
      </c>
      <c r="B4572" s="4" t="n">
        <v>12000</v>
      </c>
      <c r="C4572" s="4" t="n">
        <v>356</v>
      </c>
      <c r="D4572" s="4" t="n">
        <v>107.69</v>
      </c>
      <c r="E4572" s="5" t="n">
        <v>111.4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대</t>
        </is>
      </c>
      <c r="J4572" s="3" t="inlineStr">
        <is>
          <t>강내면</t>
        </is>
      </c>
    </row>
    <row r="4573">
      <c r="A4573" s="3" t="n">
        <v>2023</v>
      </c>
      <c r="B4573" s="4" t="n">
        <v>248100</v>
      </c>
      <c r="C4573" s="4" t="n">
        <v>5468</v>
      </c>
      <c r="D4573" s="4" t="n">
        <v>1654.07</v>
      </c>
      <c r="E4573" s="5" t="n">
        <v>150</v>
      </c>
      <c r="F4573" s="3" t="inlineStr">
        <is>
          <t>강내면</t>
        </is>
      </c>
      <c r="G4573" s="3" t="inlineStr">
        <is>
          <t>궁현리</t>
        </is>
      </c>
      <c r="H4573" s="3" t="inlineStr">
        <is>
          <t>계획관리지역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136500</v>
      </c>
      <c r="C4574" s="4" t="n">
        <v>3008</v>
      </c>
      <c r="D4574" s="4" t="n">
        <v>909.92</v>
      </c>
      <c r="E4574" s="5" t="n">
        <v>150</v>
      </c>
      <c r="F4574" s="3" t="inlineStr">
        <is>
          <t>강내면</t>
        </is>
      </c>
      <c r="G4574" s="3" t="inlineStr">
        <is>
          <t>궁현리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강내면</t>
        </is>
      </c>
    </row>
    <row r="4575">
      <c r="A4575" s="3" t="n">
        <v>2023</v>
      </c>
      <c r="B4575" s="4" t="n">
        <v>169650</v>
      </c>
      <c r="C4575" s="4" t="n">
        <v>3738</v>
      </c>
      <c r="D4575" s="4" t="n">
        <v>1130.745</v>
      </c>
      <c r="E4575" s="5" t="n">
        <v>150</v>
      </c>
      <c r="F4575" s="3" t="inlineStr">
        <is>
          <t>강내면</t>
        </is>
      </c>
      <c r="G4575" s="3" t="inlineStr">
        <is>
          <t>궁현리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50400</v>
      </c>
      <c r="C4576" s="4" t="n">
        <v>1111</v>
      </c>
      <c r="D4576" s="4" t="n">
        <v>336.0775</v>
      </c>
      <c r="E4576" s="5" t="n">
        <v>150</v>
      </c>
      <c r="F4576" s="3" t="inlineStr">
        <is>
          <t>강내면</t>
        </is>
      </c>
      <c r="G4576" s="3" t="inlineStr">
        <is>
          <t>궁현리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27000</v>
      </c>
      <c r="C4577" s="4" t="n">
        <v>2635</v>
      </c>
      <c r="D4577" s="4" t="n">
        <v>797.0875</v>
      </c>
      <c r="E4577" s="5" t="n">
        <v>33.9</v>
      </c>
      <c r="F4577" s="3" t="inlineStr">
        <is>
          <t>오송읍</t>
        </is>
      </c>
      <c r="G4577" s="3" t="inlineStr">
        <is>
          <t>서평리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오송읍</t>
        </is>
      </c>
    </row>
    <row r="4578">
      <c r="A4578" s="3" t="n">
        <v>2023</v>
      </c>
      <c r="B4578" s="4" t="n">
        <v>41000</v>
      </c>
      <c r="C4578" s="4" t="n">
        <v>2243</v>
      </c>
      <c r="D4578" s="4" t="n">
        <v>678.5074999999999</v>
      </c>
      <c r="E4578" s="5" t="n">
        <v>60.4</v>
      </c>
      <c r="F4578" s="3" t="inlineStr">
        <is>
          <t>강내면</t>
        </is>
      </c>
      <c r="G4578" s="3" t="inlineStr">
        <is>
          <t>사곡리</t>
        </is>
      </c>
      <c r="H4578" s="3" t="inlineStr">
        <is>
          <t>용도미지정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2023</v>
      </c>
      <c r="B4579" s="4" t="n">
        <v>23800</v>
      </c>
      <c r="C4579" s="4" t="n">
        <v>1300</v>
      </c>
      <c r="D4579" s="4" t="n">
        <v>393.25</v>
      </c>
      <c r="E4579" s="5" t="n">
        <v>60.5</v>
      </c>
      <c r="F4579" s="3" t="inlineStr">
        <is>
          <t>강내면</t>
        </is>
      </c>
      <c r="G4579" s="3" t="inlineStr">
        <is>
          <t>태성리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2023</v>
      </c>
      <c r="B4580" s="4" t="n">
        <v>3700</v>
      </c>
      <c r="C4580" s="4" t="n">
        <v>197</v>
      </c>
      <c r="D4580" s="4" t="n">
        <v>59.5925</v>
      </c>
      <c r="E4580" s="5" t="n">
        <v>62.1</v>
      </c>
      <c r="F4580" s="3" t="inlineStr">
        <is>
          <t>강내면</t>
        </is>
      </c>
      <c r="G4580" s="3" t="inlineStr">
        <is>
          <t>태성리</t>
        </is>
      </c>
      <c r="H4580" s="3" t="inlineStr">
        <is>
          <t>계획관리지역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33500</v>
      </c>
      <c r="C4581" s="4" t="n">
        <v>318</v>
      </c>
      <c r="D4581" s="4" t="n">
        <v>96.19499999999999</v>
      </c>
      <c r="E4581" s="5" t="n">
        <v>348.3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2023</v>
      </c>
      <c r="B4582" s="4" t="n">
        <v>6500</v>
      </c>
      <c r="C4582" s="4" t="n">
        <v>64</v>
      </c>
      <c r="D4582" s="4" t="n">
        <v>19.36</v>
      </c>
      <c r="E4582" s="5" t="n">
        <v>335.7</v>
      </c>
      <c r="F4582" s="3" t="inlineStr">
        <is>
          <t>오송읍</t>
        </is>
      </c>
      <c r="G4582" s="3" t="inlineStr">
        <is>
          <t>오송리</t>
        </is>
      </c>
      <c r="H4582" s="3" t="inlineStr">
        <is>
          <t>계획관리지역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2023</v>
      </c>
      <c r="B4583" s="4" t="n">
        <v>7550</v>
      </c>
      <c r="C4583" s="4" t="n">
        <v>1000</v>
      </c>
      <c r="D4583" s="4" t="n">
        <v>302.5</v>
      </c>
      <c r="E4583" s="5" t="n">
        <v>25</v>
      </c>
      <c r="F4583" s="3" t="inlineStr">
        <is>
          <t>강내면</t>
        </is>
      </c>
      <c r="G4583" s="3" t="inlineStr">
        <is>
          <t>궁현리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2023</v>
      </c>
      <c r="B4584" s="4" t="n">
        <v>3750</v>
      </c>
      <c r="C4584" s="4" t="n">
        <v>495</v>
      </c>
      <c r="D4584" s="4" t="n">
        <v>149.7375</v>
      </c>
      <c r="E4584" s="5" t="n">
        <v>25</v>
      </c>
      <c r="F4584" s="3" t="inlineStr">
        <is>
          <t>강내면</t>
        </is>
      </c>
      <c r="G4584" s="3" t="inlineStr">
        <is>
          <t>궁현리</t>
        </is>
      </c>
      <c r="H4584" s="3" t="inlineStr">
        <is>
          <t>계획관리지역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2023</v>
      </c>
      <c r="B4585" s="4" t="n">
        <v>1900</v>
      </c>
      <c r="C4585" s="4" t="n">
        <v>125</v>
      </c>
      <c r="D4585" s="4" t="n">
        <v>37.8125</v>
      </c>
      <c r="E4585" s="5" t="n">
        <v>50.2</v>
      </c>
      <c r="F4585" s="3" t="inlineStr">
        <is>
          <t>강내면</t>
        </is>
      </c>
      <c r="G4585" s="3" t="inlineStr">
        <is>
          <t>궁현리</t>
        </is>
      </c>
      <c r="H4585" s="3" t="inlineStr">
        <is>
          <t>용도미지정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2023</v>
      </c>
      <c r="B4586" s="4" t="n">
        <v>8000</v>
      </c>
      <c r="C4586" s="4" t="n">
        <v>542</v>
      </c>
      <c r="D4586" s="4" t="n">
        <v>163.955</v>
      </c>
      <c r="E4586" s="5" t="n">
        <v>48.8</v>
      </c>
      <c r="F4586" s="3" t="inlineStr">
        <is>
          <t>남이면</t>
        </is>
      </c>
      <c r="G4586" s="3" t="inlineStr">
        <is>
          <t>문동리</t>
        </is>
      </c>
      <c r="H4586" s="3" t="inlineStr">
        <is>
          <t>자연녹지지역</t>
        </is>
      </c>
      <c r="I4586" s="3" t="inlineStr">
        <is>
          <t>임야</t>
        </is>
      </c>
      <c r="J4586" s="3" t="inlineStr">
        <is>
          <t>남이면</t>
        </is>
      </c>
    </row>
    <row r="4587">
      <c r="A4587" s="3" t="n">
        <v>2024</v>
      </c>
      <c r="B4587" s="4" t="n">
        <v>94372</v>
      </c>
      <c r="C4587" s="4" t="n">
        <v>1730</v>
      </c>
      <c r="D4587" s="4" t="n">
        <v>523.3249999999999</v>
      </c>
      <c r="E4587" s="5" t="n">
        <v>180.3</v>
      </c>
      <c r="F4587" s="3" t="inlineStr">
        <is>
          <t>남이면</t>
        </is>
      </c>
      <c r="G4587" s="3" t="inlineStr">
        <is>
          <t>부용외천리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남이면</t>
        </is>
      </c>
    </row>
    <row r="4588">
      <c r="A4588" s="3" t="n">
        <v>2025</v>
      </c>
      <c r="B4588" s="4" t="n">
        <v>30374</v>
      </c>
      <c r="C4588" s="4" t="n">
        <v>2049</v>
      </c>
      <c r="D4588" s="4" t="n">
        <v>619.8225</v>
      </c>
      <c r="E4588" s="5" t="n">
        <v>49</v>
      </c>
      <c r="F4588" s="3" t="inlineStr">
        <is>
          <t>남이면</t>
        </is>
      </c>
      <c r="G4588" s="3" t="inlineStr">
        <is>
          <t>가좌리</t>
        </is>
      </c>
      <c r="H4588" s="3" t="inlineStr">
        <is>
          <t>자연녹지지역</t>
        </is>
      </c>
      <c r="I4588" s="3" t="inlineStr">
        <is>
          <t>전</t>
        </is>
      </c>
      <c r="J4588" s="3" t="inlineStr">
        <is>
          <t>남이면</t>
        </is>
      </c>
    </row>
    <row r="4589">
      <c r="A4589" s="3" t="n">
        <v>2025</v>
      </c>
      <c r="B4589" s="4" t="n">
        <v>4121</v>
      </c>
      <c r="C4589" s="4" t="n">
        <v>278</v>
      </c>
      <c r="D4589" s="4" t="n">
        <v>84.095</v>
      </c>
      <c r="E4589" s="5" t="n">
        <v>49</v>
      </c>
      <c r="F4589" s="3" t="inlineStr">
        <is>
          <t>남이면</t>
        </is>
      </c>
      <c r="G4589" s="3" t="inlineStr">
        <is>
          <t>가좌리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남이면</t>
        </is>
      </c>
    </row>
    <row r="4590">
      <c r="A4590" s="3" t="n">
        <v>2023</v>
      </c>
      <c r="B4590" s="4" t="n">
        <v>1100</v>
      </c>
      <c r="C4590" s="4" t="n">
        <v>73</v>
      </c>
      <c r="D4590" s="4" t="n">
        <v>22.0825</v>
      </c>
      <c r="E4590" s="5" t="n">
        <v>49.8</v>
      </c>
      <c r="F4590" s="3" t="inlineStr">
        <is>
          <t>강내면</t>
        </is>
      </c>
      <c r="G4590" s="3" t="inlineStr">
        <is>
          <t>궁현리</t>
        </is>
      </c>
      <c r="H4590" s="3" t="inlineStr">
        <is>
          <t>용도미지정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82626</v>
      </c>
      <c r="C4591" s="4" t="n">
        <v>1630</v>
      </c>
      <c r="D4591" s="4" t="n">
        <v>493.075</v>
      </c>
      <c r="E4591" s="5" t="n">
        <v>167.6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철도용지</t>
        </is>
      </c>
      <c r="J4591" s="3" t="inlineStr">
        <is>
          <t>오송읍</t>
        </is>
      </c>
    </row>
    <row r="4592">
      <c r="A4592" s="3" t="n">
        <v>2025</v>
      </c>
      <c r="B4592" s="4" t="n">
        <v>30636</v>
      </c>
      <c r="C4592" s="4" t="n">
        <v>273.8</v>
      </c>
      <c r="D4592" s="4" t="n">
        <v>82.8245</v>
      </c>
      <c r="E4592" s="5" t="n">
        <v>369.9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2025</v>
      </c>
      <c r="B4593" s="4" t="n">
        <v>1570</v>
      </c>
      <c r="C4593" s="4" t="n">
        <v>103</v>
      </c>
      <c r="D4593" s="4" t="n">
        <v>31.1575</v>
      </c>
      <c r="E4593" s="5" t="n">
        <v>50.4</v>
      </c>
      <c r="F4593" s="3" t="inlineStr">
        <is>
          <t>강내면</t>
        </is>
      </c>
      <c r="G4593" s="3" t="inlineStr">
        <is>
          <t>탑연리</t>
        </is>
      </c>
      <c r="H4593" s="3" t="inlineStr">
        <is>
          <t>자연녹지지역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2025</v>
      </c>
      <c r="B4594" s="4" t="n">
        <v>45600</v>
      </c>
      <c r="C4594" s="4" t="n">
        <v>3353</v>
      </c>
      <c r="D4594" s="4" t="n">
        <v>1014.2825</v>
      </c>
      <c r="E4594" s="5" t="n">
        <v>45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자연녹지지역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2025</v>
      </c>
      <c r="B4595" s="4" t="n">
        <v>21500</v>
      </c>
      <c r="C4595" s="4" t="n">
        <v>1884</v>
      </c>
      <c r="D4595" s="4" t="n">
        <v>569.91</v>
      </c>
      <c r="E4595" s="5" t="n">
        <v>37.7</v>
      </c>
      <c r="F4595" s="3" t="inlineStr">
        <is>
          <t>강내면</t>
        </is>
      </c>
      <c r="G4595" s="3" t="inlineStr">
        <is>
          <t>탑연리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2025</v>
      </c>
      <c r="B4596" s="4" t="n">
        <v>76</v>
      </c>
      <c r="C4596" s="4" t="n">
        <v>7</v>
      </c>
      <c r="D4596" s="4" t="n">
        <v>2.1175</v>
      </c>
      <c r="E4596" s="5" t="n">
        <v>35.9</v>
      </c>
      <c r="F4596" s="3" t="inlineStr">
        <is>
          <t>강내면</t>
        </is>
      </c>
      <c r="G4596" s="3" t="inlineStr">
        <is>
          <t>학천리</t>
        </is>
      </c>
      <c r="H4596" s="3" t="inlineStr">
        <is>
          <t>생산녹지지역</t>
        </is>
      </c>
      <c r="I4596" s="3" t="inlineStr">
        <is>
          <t>답</t>
        </is>
      </c>
      <c r="J4596" s="3" t="inlineStr">
        <is>
          <t>강내면</t>
        </is>
      </c>
    </row>
    <row r="4597">
      <c r="A4597" s="3" t="n">
        <v>2025</v>
      </c>
      <c r="B4597" s="4" t="n">
        <v>700</v>
      </c>
      <c r="C4597" s="4" t="n">
        <v>26</v>
      </c>
      <c r="D4597" s="4" t="n">
        <v>7.865</v>
      </c>
      <c r="E4597" s="5" t="n">
        <v>89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2023</v>
      </c>
      <c r="B4598" s="4" t="n">
        <v>3120</v>
      </c>
      <c r="C4598" s="4" t="n">
        <v>170</v>
      </c>
      <c r="D4598" s="4" t="n">
        <v>51.425</v>
      </c>
      <c r="E4598" s="5" t="n">
        <v>60.7</v>
      </c>
      <c r="F4598" s="3" t="inlineStr">
        <is>
          <t>현도면</t>
        </is>
      </c>
      <c r="G4598" s="3" t="inlineStr">
        <is>
          <t>하석리</t>
        </is>
      </c>
      <c r="H4598" s="3" t="inlineStr">
        <is>
          <t>자연녹지지역</t>
        </is>
      </c>
      <c r="I4598" s="3" t="inlineStr">
        <is>
          <t>대</t>
        </is>
      </c>
      <c r="J4598" s="3" t="inlineStr">
        <is>
          <t>현도면</t>
        </is>
      </c>
    </row>
    <row r="4599">
      <c r="A4599" s="3" t="n">
        <v>2023</v>
      </c>
      <c r="B4599" s="4" t="n">
        <v>470</v>
      </c>
      <c r="C4599" s="4" t="n">
        <v>26</v>
      </c>
      <c r="D4599" s="4" t="n">
        <v>7.865</v>
      </c>
      <c r="E4599" s="5" t="n">
        <v>59.8</v>
      </c>
      <c r="F4599" s="3" t="inlineStr">
        <is>
          <t>현도면</t>
        </is>
      </c>
      <c r="G4599" s="3" t="inlineStr">
        <is>
          <t>하석리</t>
        </is>
      </c>
      <c r="H4599" s="3" t="inlineStr">
        <is>
          <t>자연녹지지역</t>
        </is>
      </c>
      <c r="I4599" s="3" t="inlineStr">
        <is>
          <t>대</t>
        </is>
      </c>
      <c r="J4599" s="3" t="inlineStr">
        <is>
          <t>현도면</t>
        </is>
      </c>
    </row>
    <row r="4600">
      <c r="A4600" s="3" t="n">
        <v>2023</v>
      </c>
      <c r="B4600" s="4" t="n">
        <v>27248</v>
      </c>
      <c r="C4600" s="4" t="n">
        <v>1571</v>
      </c>
      <c r="D4600" s="4" t="n">
        <v>475.2275</v>
      </c>
      <c r="E4600" s="5" t="n">
        <v>57.3</v>
      </c>
      <c r="F4600" s="3" t="inlineStr">
        <is>
          <t>남이면</t>
        </is>
      </c>
      <c r="G4600" s="3" t="inlineStr">
        <is>
          <t>대련리</t>
        </is>
      </c>
      <c r="H4600" s="3" t="inlineStr">
        <is>
          <t>자연녹지지역</t>
        </is>
      </c>
      <c r="I4600" s="3" t="inlineStr">
        <is>
          <t>답</t>
        </is>
      </c>
      <c r="J4600" s="3" t="inlineStr">
        <is>
          <t>남이면</t>
        </is>
      </c>
    </row>
    <row r="4601">
      <c r="A4601" s="3" t="n">
        <v>2023</v>
      </c>
      <c r="B4601" s="4" t="n">
        <v>3382</v>
      </c>
      <c r="C4601" s="4" t="n">
        <v>195</v>
      </c>
      <c r="D4601" s="4" t="n">
        <v>58.9875</v>
      </c>
      <c r="E4601" s="5" t="n">
        <v>57.3</v>
      </c>
      <c r="F4601" s="3" t="inlineStr">
        <is>
          <t>남이면</t>
        </is>
      </c>
      <c r="G4601" s="3" t="inlineStr">
        <is>
          <t>대련리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49630</v>
      </c>
      <c r="C4602" s="4" t="n">
        <v>4935</v>
      </c>
      <c r="D4602" s="4" t="n">
        <v>1492.8375</v>
      </c>
      <c r="E4602" s="5" t="n">
        <v>33.2</v>
      </c>
      <c r="F4602" s="3" t="inlineStr">
        <is>
          <t>남이면</t>
        </is>
      </c>
      <c r="G4602" s="3" t="inlineStr">
        <is>
          <t>갈원리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남이면</t>
        </is>
      </c>
    </row>
    <row r="4603">
      <c r="A4603" s="3" t="n">
        <v>2023</v>
      </c>
      <c r="B4603" s="4" t="n">
        <v>370</v>
      </c>
      <c r="C4603" s="4" t="n">
        <v>94</v>
      </c>
      <c r="D4603" s="4" t="n">
        <v>28.435</v>
      </c>
      <c r="E4603" s="5" t="n">
        <v>13</v>
      </c>
      <c r="F4603" s="3" t="inlineStr">
        <is>
          <t>남이면</t>
        </is>
      </c>
      <c r="G4603" s="3" t="inlineStr">
        <is>
          <t>갈원리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남이면</t>
        </is>
      </c>
    </row>
    <row r="4604">
      <c r="A4604" s="3" t="n">
        <v>2023</v>
      </c>
      <c r="B4604" s="4" t="n">
        <v>222000</v>
      </c>
      <c r="C4604" s="4" t="n">
        <v>5704</v>
      </c>
      <c r="D4604" s="4" t="n">
        <v>1725.46</v>
      </c>
      <c r="E4604" s="5" t="n">
        <v>128.7</v>
      </c>
      <c r="F4604" s="3" t="inlineStr">
        <is>
          <t>현도면</t>
        </is>
      </c>
      <c r="G4604" s="3" t="inlineStr">
        <is>
          <t>달계리</t>
        </is>
      </c>
      <c r="H4604" s="3" t="inlineStr">
        <is>
          <t>제1종일반주거지역</t>
        </is>
      </c>
      <c r="I4604" s="3" t="inlineStr">
        <is>
          <t>답</t>
        </is>
      </c>
      <c r="J4604" s="3" t="inlineStr">
        <is>
          <t>현도면</t>
        </is>
      </c>
    </row>
    <row r="4605">
      <c r="A4605" s="3" t="n">
        <v>2023</v>
      </c>
      <c r="B4605" s="4" t="n">
        <v>17000</v>
      </c>
      <c r="C4605" s="4" t="n">
        <v>396</v>
      </c>
      <c r="D4605" s="4" t="n">
        <v>119.79</v>
      </c>
      <c r="E4605" s="5" t="n">
        <v>141.9</v>
      </c>
      <c r="F4605" s="3" t="inlineStr">
        <is>
          <t>남이면</t>
        </is>
      </c>
      <c r="G4605" s="3" t="inlineStr">
        <is>
          <t>석판리</t>
        </is>
      </c>
      <c r="H4605" s="3" t="inlineStr">
        <is>
          <t>자연녹지지역</t>
        </is>
      </c>
      <c r="I4605" s="3" t="inlineStr">
        <is>
          <t>전</t>
        </is>
      </c>
      <c r="J4605" s="3" t="inlineStr">
        <is>
          <t>남이면</t>
        </is>
      </c>
    </row>
    <row r="4606">
      <c r="A4606" s="3" t="n">
        <v>2023</v>
      </c>
      <c r="B4606" s="4" t="n">
        <v>74160</v>
      </c>
      <c r="C4606" s="4" t="n">
        <v>4638</v>
      </c>
      <c r="D4606" s="4" t="n">
        <v>1402.995</v>
      </c>
      <c r="E4606" s="5" t="n">
        <v>52.9</v>
      </c>
      <c r="F4606" s="3" t="inlineStr">
        <is>
          <t>남이면</t>
        </is>
      </c>
      <c r="G4606" s="3" t="inlineStr">
        <is>
          <t>가좌리</t>
        </is>
      </c>
      <c r="H4606" s="3" t="inlineStr">
        <is>
          <t>보전녹지지역</t>
        </is>
      </c>
      <c r="I4606" s="3" t="inlineStr">
        <is>
          <t>임야</t>
        </is>
      </c>
      <c r="J4606" s="3" t="inlineStr">
        <is>
          <t>남이면</t>
        </is>
      </c>
    </row>
    <row r="4607">
      <c r="A4607" s="3" t="n">
        <v>2023</v>
      </c>
      <c r="B4607" s="4" t="n">
        <v>840</v>
      </c>
      <c r="C4607" s="4" t="n">
        <v>55</v>
      </c>
      <c r="D4607" s="4" t="n">
        <v>16.6375</v>
      </c>
      <c r="E4607" s="5" t="n">
        <v>50.5</v>
      </c>
      <c r="F4607" s="3" t="inlineStr">
        <is>
          <t>남이면</t>
        </is>
      </c>
      <c r="G4607" s="3" t="inlineStr">
        <is>
          <t>가좌리</t>
        </is>
      </c>
      <c r="H4607" s="3" t="inlineStr">
        <is>
          <t>보전녹지지역</t>
        </is>
      </c>
      <c r="I4607" s="3" t="inlineStr">
        <is>
          <t>임야</t>
        </is>
      </c>
      <c r="J4607" s="3" t="inlineStr">
        <is>
          <t>남이면</t>
        </is>
      </c>
    </row>
    <row r="4608">
      <c r="A4608" s="3" t="n">
        <v>2023</v>
      </c>
      <c r="B4608" s="4" t="n">
        <v>86000</v>
      </c>
      <c r="C4608" s="4" t="n">
        <v>1170.6</v>
      </c>
      <c r="D4608" s="4" t="n">
        <v>354.1065</v>
      </c>
      <c r="E4608" s="5" t="n">
        <v>242.9</v>
      </c>
      <c r="F4608" s="3" t="inlineStr">
        <is>
          <t>남이면</t>
        </is>
      </c>
      <c r="G4608" s="3" t="inlineStr">
        <is>
          <t>가마리</t>
        </is>
      </c>
      <c r="H4608" s="3" t="inlineStr">
        <is>
          <t>자연녹지지역</t>
        </is>
      </c>
      <c r="I4608" s="3" t="inlineStr">
        <is>
          <t>답</t>
        </is>
      </c>
      <c r="J4608" s="3" t="inlineStr">
        <is>
          <t>남이면</t>
        </is>
      </c>
    </row>
    <row r="4609">
      <c r="A4609" s="3" t="n">
        <v>2023</v>
      </c>
      <c r="B4609" s="4" t="n">
        <v>57465</v>
      </c>
      <c r="C4609" s="4" t="n">
        <v>3592</v>
      </c>
      <c r="D4609" s="4" t="n">
        <v>1086.58</v>
      </c>
      <c r="E4609" s="5" t="n">
        <v>52.9</v>
      </c>
      <c r="F4609" s="3" t="inlineStr">
        <is>
          <t>남이면</t>
        </is>
      </c>
      <c r="G4609" s="3" t="inlineStr">
        <is>
          <t>가좌리</t>
        </is>
      </c>
      <c r="H4609" s="3" t="inlineStr">
        <is>
          <t>보전녹지지역</t>
        </is>
      </c>
      <c r="I4609" s="3" t="inlineStr">
        <is>
          <t>임야</t>
        </is>
      </c>
      <c r="J4609" s="3" t="inlineStr">
        <is>
          <t>남이면</t>
        </is>
      </c>
    </row>
    <row r="4610">
      <c r="A4610" s="3" t="n">
        <v>2023</v>
      </c>
      <c r="B4610" s="4" t="n">
        <v>2035</v>
      </c>
      <c r="C4610" s="4" t="n">
        <v>124</v>
      </c>
      <c r="D4610" s="4" t="n">
        <v>37.51</v>
      </c>
      <c r="E4610" s="5" t="n">
        <v>54.3</v>
      </c>
      <c r="F4610" s="3" t="inlineStr">
        <is>
          <t>남이면</t>
        </is>
      </c>
      <c r="G4610" s="3" t="inlineStr">
        <is>
          <t>가좌리</t>
        </is>
      </c>
      <c r="H4610" s="3" t="inlineStr">
        <is>
          <t>보전녹지지역</t>
        </is>
      </c>
      <c r="I4610" s="3" t="inlineStr">
        <is>
          <t>임야</t>
        </is>
      </c>
      <c r="J4610" s="3" t="inlineStr">
        <is>
          <t>남이면</t>
        </is>
      </c>
    </row>
    <row r="4611">
      <c r="A4611" s="3" t="n">
        <v>2023</v>
      </c>
      <c r="B4611" s="4" t="n">
        <v>17300</v>
      </c>
      <c r="C4611" s="4" t="n">
        <v>2142</v>
      </c>
      <c r="D4611" s="4" t="n">
        <v>647.9549999999999</v>
      </c>
      <c r="E4611" s="5" t="n">
        <v>26.7</v>
      </c>
      <c r="F4611" s="3" t="inlineStr">
        <is>
          <t>현도면</t>
        </is>
      </c>
      <c r="G4611" s="3" t="inlineStr">
        <is>
          <t>시동리</t>
        </is>
      </c>
      <c r="H4611" s="3" t="inlineStr">
        <is>
          <t>개발제한구역</t>
        </is>
      </c>
      <c r="I4611" s="3" t="inlineStr">
        <is>
          <t>전</t>
        </is>
      </c>
      <c r="J4611" s="3" t="inlineStr">
        <is>
          <t>현도면</t>
        </is>
      </c>
    </row>
    <row r="4612">
      <c r="A4612" s="3" t="n">
        <v>2023</v>
      </c>
      <c r="B4612" s="4" t="n">
        <v>29000</v>
      </c>
      <c r="C4612" s="4" t="n">
        <v>15980</v>
      </c>
      <c r="D4612" s="4" t="n">
        <v>4833.95</v>
      </c>
      <c r="E4612" s="5" t="n">
        <v>6</v>
      </c>
      <c r="F4612" s="3" t="inlineStr">
        <is>
          <t>남이면</t>
        </is>
      </c>
      <c r="G4612" s="3" t="inlineStr">
        <is>
          <t>팔봉리</t>
        </is>
      </c>
      <c r="H4612" s="3" t="inlineStr">
        <is>
          <t>보전녹지지역</t>
        </is>
      </c>
      <c r="I4612" s="3" t="inlineStr">
        <is>
          <t>임야</t>
        </is>
      </c>
      <c r="J4612" s="3" t="inlineStr">
        <is>
          <t>남이면</t>
        </is>
      </c>
    </row>
    <row r="4613">
      <c r="A4613" s="3" t="n">
        <v>2023</v>
      </c>
      <c r="B4613" s="4" t="n">
        <v>15426</v>
      </c>
      <c r="C4613" s="4" t="n">
        <v>405</v>
      </c>
      <c r="D4613" s="4" t="n">
        <v>122.5125</v>
      </c>
      <c r="E4613" s="5" t="n">
        <v>125.9</v>
      </c>
      <c r="F4613" s="3" t="inlineStr">
        <is>
          <t>남이면</t>
        </is>
      </c>
      <c r="G4613" s="3" t="inlineStr">
        <is>
          <t>구암리</t>
        </is>
      </c>
      <c r="H4613" s="3" t="inlineStr">
        <is>
          <t>보전녹지지역</t>
        </is>
      </c>
      <c r="I4613" s="3" t="inlineStr">
        <is>
          <t>임야</t>
        </is>
      </c>
      <c r="J4613" s="3" t="inlineStr">
        <is>
          <t>남이면</t>
        </is>
      </c>
    </row>
    <row r="4614">
      <c r="A4614" s="3" t="n">
        <v>2023</v>
      </c>
      <c r="B4614" s="4" t="n">
        <v>11880</v>
      </c>
      <c r="C4614" s="4" t="n">
        <v>560</v>
      </c>
      <c r="D4614" s="4" t="n">
        <v>169.4</v>
      </c>
      <c r="E4614" s="5" t="n">
        <v>70.09999999999999</v>
      </c>
      <c r="F4614" s="3" t="inlineStr">
        <is>
          <t>남이면</t>
        </is>
      </c>
      <c r="G4614" s="3" t="inlineStr">
        <is>
          <t>팔봉리</t>
        </is>
      </c>
      <c r="H4614" s="3" t="inlineStr">
        <is>
          <t>자연녹지지역</t>
        </is>
      </c>
      <c r="I4614" s="3" t="inlineStr">
        <is>
          <t>전</t>
        </is>
      </c>
      <c r="J4614" s="3" t="inlineStr">
        <is>
          <t>남이면</t>
        </is>
      </c>
    </row>
    <row r="4615">
      <c r="A4615" s="3" t="n">
        <v>2023</v>
      </c>
      <c r="B4615" s="4" t="n">
        <v>26549</v>
      </c>
      <c r="C4615" s="4" t="n">
        <v>834</v>
      </c>
      <c r="D4615" s="4" t="n">
        <v>252.285</v>
      </c>
      <c r="E4615" s="5" t="n">
        <v>105.2</v>
      </c>
      <c r="F4615" s="3" t="inlineStr">
        <is>
          <t>남이면</t>
        </is>
      </c>
      <c r="G4615" s="3" t="inlineStr">
        <is>
          <t>구암리</t>
        </is>
      </c>
      <c r="H4615" s="3" t="inlineStr">
        <is>
          <t>보전녹지지역</t>
        </is>
      </c>
      <c r="I4615" s="3" t="inlineStr">
        <is>
          <t>임야</t>
        </is>
      </c>
      <c r="J4615" s="3" t="inlineStr">
        <is>
          <t>남이면</t>
        </is>
      </c>
    </row>
    <row r="4616">
      <c r="A4616" s="3" t="n">
        <v>2023</v>
      </c>
      <c r="B4616" s="4" t="n">
        <v>13159</v>
      </c>
      <c r="C4616" s="4" t="n">
        <v>404</v>
      </c>
      <c r="D4616" s="4" t="n">
        <v>122.21</v>
      </c>
      <c r="E4616" s="5" t="n">
        <v>107.7</v>
      </c>
      <c r="F4616" s="3" t="inlineStr">
        <is>
          <t>남이면</t>
        </is>
      </c>
      <c r="G4616" s="3" t="inlineStr">
        <is>
          <t>구암리</t>
        </is>
      </c>
      <c r="H4616" s="3" t="inlineStr">
        <is>
          <t>보전녹지지역</t>
        </is>
      </c>
      <c r="I4616" s="3" t="inlineStr">
        <is>
          <t>임야</t>
        </is>
      </c>
      <c r="J4616" s="3" t="inlineStr">
        <is>
          <t>남이면</t>
        </is>
      </c>
    </row>
    <row r="4617">
      <c r="A4617" s="3" t="n">
        <v>2023</v>
      </c>
      <c r="B4617" s="4" t="n">
        <v>18928</v>
      </c>
      <c r="C4617" s="4" t="n">
        <v>576</v>
      </c>
      <c r="D4617" s="4" t="n">
        <v>174.24</v>
      </c>
      <c r="E4617" s="5" t="n">
        <v>108.6</v>
      </c>
      <c r="F4617" s="3" t="inlineStr">
        <is>
          <t>남이면</t>
        </is>
      </c>
      <c r="G4617" s="3" t="inlineStr">
        <is>
          <t>구암리</t>
        </is>
      </c>
      <c r="H4617" s="3" t="inlineStr">
        <is>
          <t>보전녹지지역</t>
        </is>
      </c>
      <c r="I4617" s="3" t="inlineStr">
        <is>
          <t>임야</t>
        </is>
      </c>
      <c r="J4617" s="3" t="inlineStr">
        <is>
          <t>남이면</t>
        </is>
      </c>
    </row>
    <row r="4618">
      <c r="A4618" s="3" t="n">
        <v>2023</v>
      </c>
      <c r="B4618" s="4" t="n">
        <v>20012</v>
      </c>
      <c r="C4618" s="4" t="n">
        <v>627</v>
      </c>
      <c r="D4618" s="4" t="n">
        <v>189.6675</v>
      </c>
      <c r="E4618" s="5" t="n">
        <v>105.5</v>
      </c>
      <c r="F4618" s="3" t="inlineStr">
        <is>
          <t>남이면</t>
        </is>
      </c>
      <c r="G4618" s="3" t="inlineStr">
        <is>
          <t>구암리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남이면</t>
        </is>
      </c>
    </row>
    <row r="4619">
      <c r="A4619" s="3" t="n">
        <v>2023</v>
      </c>
      <c r="B4619" s="4" t="n">
        <v>15008</v>
      </c>
      <c r="C4619" s="4" t="n">
        <v>396</v>
      </c>
      <c r="D4619" s="4" t="n">
        <v>119.79</v>
      </c>
      <c r="E4619" s="5" t="n">
        <v>125.3</v>
      </c>
      <c r="F4619" s="3" t="inlineStr">
        <is>
          <t>남이면</t>
        </is>
      </c>
      <c r="G4619" s="3" t="inlineStr">
        <is>
          <t>구암리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남이면</t>
        </is>
      </c>
    </row>
    <row r="4620">
      <c r="A4620" s="3" t="n">
        <v>2023</v>
      </c>
      <c r="B4620" s="4" t="n">
        <v>16926</v>
      </c>
      <c r="C4620" s="4" t="n">
        <v>516</v>
      </c>
      <c r="D4620" s="4" t="n">
        <v>156.09</v>
      </c>
      <c r="E4620" s="5" t="n">
        <v>108.4</v>
      </c>
      <c r="F4620" s="3" t="inlineStr">
        <is>
          <t>남이면</t>
        </is>
      </c>
      <c r="G4620" s="3" t="inlineStr">
        <is>
          <t>구암리</t>
        </is>
      </c>
      <c r="H4620" s="3" t="inlineStr">
        <is>
          <t>보전녹지지역</t>
        </is>
      </c>
      <c r="I4620" s="3" t="inlineStr">
        <is>
          <t>임야</t>
        </is>
      </c>
      <c r="J4620" s="3" t="inlineStr">
        <is>
          <t>남이면</t>
        </is>
      </c>
    </row>
    <row r="4621">
      <c r="A4621" s="3" t="n">
        <v>2023</v>
      </c>
      <c r="B4621" s="4" t="n">
        <v>16676</v>
      </c>
      <c r="C4621" s="4" t="n">
        <v>506</v>
      </c>
      <c r="D4621" s="4" t="n">
        <v>153.065</v>
      </c>
      <c r="E4621" s="5" t="n">
        <v>108.9</v>
      </c>
      <c r="F4621" s="3" t="inlineStr">
        <is>
          <t>남이면</t>
        </is>
      </c>
      <c r="G4621" s="3" t="inlineStr">
        <is>
          <t>구암리</t>
        </is>
      </c>
      <c r="H4621" s="3" t="inlineStr">
        <is>
          <t>보전녹지지역</t>
        </is>
      </c>
      <c r="I4621" s="3" t="inlineStr">
        <is>
          <t>임야</t>
        </is>
      </c>
      <c r="J4621" s="3" t="inlineStr">
        <is>
          <t>남이면</t>
        </is>
      </c>
    </row>
    <row r="4622">
      <c r="A4622" s="3" t="n">
        <v>2023</v>
      </c>
      <c r="B4622" s="4" t="n">
        <v>13591</v>
      </c>
      <c r="C4622" s="4" t="n">
        <v>413</v>
      </c>
      <c r="D4622" s="4" t="n">
        <v>124.9325</v>
      </c>
      <c r="E4622" s="5" t="n">
        <v>108.8</v>
      </c>
      <c r="F4622" s="3" t="inlineStr">
        <is>
          <t>남이면</t>
        </is>
      </c>
      <c r="G4622" s="3" t="inlineStr">
        <is>
          <t>구암리</t>
        </is>
      </c>
      <c r="H4622" s="3" t="inlineStr">
        <is>
          <t>보전녹지지역</t>
        </is>
      </c>
      <c r="I4622" s="3" t="inlineStr">
        <is>
          <t>임야</t>
        </is>
      </c>
      <c r="J4622" s="3" t="inlineStr">
        <is>
          <t>남이면</t>
        </is>
      </c>
    </row>
    <row r="4623">
      <c r="A4623" s="3" t="n">
        <v>2023</v>
      </c>
      <c r="B4623" s="4" t="n">
        <v>13174</v>
      </c>
      <c r="C4623" s="4" t="n">
        <v>396</v>
      </c>
      <c r="D4623" s="4" t="n">
        <v>119.79</v>
      </c>
      <c r="E4623" s="5" t="n">
        <v>110</v>
      </c>
      <c r="F4623" s="3" t="inlineStr">
        <is>
          <t>남이면</t>
        </is>
      </c>
      <c r="G4623" s="3" t="inlineStr">
        <is>
          <t>구암리</t>
        </is>
      </c>
      <c r="H4623" s="3" t="inlineStr">
        <is>
          <t>보전녹지지역</t>
        </is>
      </c>
      <c r="I4623" s="3" t="inlineStr">
        <is>
          <t>임야</t>
        </is>
      </c>
      <c r="J4623" s="3" t="inlineStr">
        <is>
          <t>남이면</t>
        </is>
      </c>
    </row>
    <row r="4624">
      <c r="A4624" s="3" t="n">
        <v>2023</v>
      </c>
      <c r="B4624" s="4" t="n">
        <v>15008</v>
      </c>
      <c r="C4624" s="4" t="n">
        <v>396</v>
      </c>
      <c r="D4624" s="4" t="n">
        <v>119.79</v>
      </c>
      <c r="E4624" s="5" t="n">
        <v>125.3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보전녹지지역</t>
        </is>
      </c>
      <c r="I4624" s="3" t="inlineStr">
        <is>
          <t>임야</t>
        </is>
      </c>
      <c r="J4624" s="3" t="inlineStr">
        <is>
          <t>남이면</t>
        </is>
      </c>
    </row>
    <row r="4625">
      <c r="A4625" s="3" t="n">
        <v>2022</v>
      </c>
      <c r="B4625" s="4" t="n">
        <v>67320</v>
      </c>
      <c r="C4625" s="4" t="n">
        <v>1309</v>
      </c>
      <c r="D4625" s="4" t="n">
        <v>395.9725</v>
      </c>
      <c r="E4625" s="5" t="n">
        <v>170</v>
      </c>
      <c r="F4625" s="3" t="inlineStr">
        <is>
          <t>오송읍</t>
        </is>
      </c>
      <c r="G4625" s="3" t="inlineStr">
        <is>
          <t>궁평리</t>
        </is>
      </c>
      <c r="H4625" s="3" t="inlineStr">
        <is>
          <t>농림지역</t>
        </is>
      </c>
      <c r="I4625" s="3" t="inlineStr">
        <is>
          <t>답</t>
        </is>
      </c>
      <c r="J4625" s="3" t="inlineStr">
        <is>
          <t>오송읍</t>
        </is>
      </c>
    </row>
    <row r="4626">
      <c r="A4626" s="3" t="n">
        <v>2022</v>
      </c>
      <c r="B4626" s="4" t="n">
        <v>40700</v>
      </c>
      <c r="C4626" s="4" t="n">
        <v>1498</v>
      </c>
      <c r="D4626" s="4" t="n">
        <v>453.145</v>
      </c>
      <c r="E4626" s="5" t="n">
        <v>89.8</v>
      </c>
      <c r="F4626" s="3" t="inlineStr">
        <is>
          <t>강내면</t>
        </is>
      </c>
      <c r="G4626" s="3" t="inlineStr">
        <is>
          <t>태성리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1300</v>
      </c>
      <c r="C4627" s="4" t="n">
        <v>49</v>
      </c>
      <c r="D4627" s="4" t="n">
        <v>14.8225</v>
      </c>
      <c r="E4627" s="5" t="n">
        <v>87.7</v>
      </c>
      <c r="F4627" s="3" t="inlineStr">
        <is>
          <t>강내면</t>
        </is>
      </c>
      <c r="G4627" s="3" t="inlineStr">
        <is>
          <t>태성리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52000</v>
      </c>
      <c r="C4628" s="4" t="n">
        <v>1910</v>
      </c>
      <c r="D4628" s="4" t="n">
        <v>577.775</v>
      </c>
      <c r="E4628" s="5" t="n">
        <v>90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59800</v>
      </c>
      <c r="C4629" s="4" t="n">
        <v>247.7</v>
      </c>
      <c r="D4629" s="4" t="n">
        <v>74.92925</v>
      </c>
      <c r="E4629" s="5" t="n">
        <v>798.1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2022</v>
      </c>
      <c r="B4630" s="4" t="n">
        <v>46255</v>
      </c>
      <c r="C4630" s="4" t="n">
        <v>2781</v>
      </c>
      <c r="D4630" s="4" t="n">
        <v>841.2524999999999</v>
      </c>
      <c r="E4630" s="5" t="n">
        <v>55</v>
      </c>
      <c r="F4630" s="3" t="inlineStr">
        <is>
          <t>오송읍</t>
        </is>
      </c>
      <c r="G4630" s="3" t="inlineStr">
        <is>
          <t>정중리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4345</v>
      </c>
      <c r="C4631" s="4" t="n">
        <v>260</v>
      </c>
      <c r="D4631" s="4" t="n">
        <v>78.64999999999999</v>
      </c>
      <c r="E4631" s="5" t="n">
        <v>55.2</v>
      </c>
      <c r="F4631" s="3" t="inlineStr">
        <is>
          <t>오송읍</t>
        </is>
      </c>
      <c r="G4631" s="3" t="inlineStr">
        <is>
          <t>정중리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13400</v>
      </c>
      <c r="C4632" s="4" t="n">
        <v>807</v>
      </c>
      <c r="D4632" s="4" t="n">
        <v>244.1175</v>
      </c>
      <c r="E4632" s="5" t="n">
        <v>54.9</v>
      </c>
      <c r="F4632" s="3" t="inlineStr">
        <is>
          <t>오송읍</t>
        </is>
      </c>
      <c r="G4632" s="3" t="inlineStr">
        <is>
          <t>정중리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오송읍</t>
        </is>
      </c>
    </row>
    <row r="4633">
      <c r="A4633" s="3" t="n">
        <v>2022</v>
      </c>
      <c r="B4633" s="4" t="n">
        <v>8000</v>
      </c>
      <c r="C4633" s="4" t="n">
        <v>447</v>
      </c>
      <c r="D4633" s="4" t="n">
        <v>135.2175</v>
      </c>
      <c r="E4633" s="5" t="n">
        <v>59.2</v>
      </c>
      <c r="F4633" s="3" t="inlineStr">
        <is>
          <t>강내면</t>
        </is>
      </c>
      <c r="G4633" s="3" t="inlineStr">
        <is>
          <t>저산리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2022</v>
      </c>
      <c r="B4634" s="4" t="n">
        <v>465</v>
      </c>
      <c r="C4634" s="4" t="n">
        <v>25</v>
      </c>
      <c r="D4634" s="4" t="n">
        <v>7.5625</v>
      </c>
      <c r="E4634" s="5" t="n">
        <v>61.5</v>
      </c>
      <c r="F4634" s="3" t="inlineStr">
        <is>
          <t>강내면</t>
        </is>
      </c>
      <c r="G4634" s="3" t="inlineStr">
        <is>
          <t>저산리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강내면</t>
        </is>
      </c>
    </row>
    <row r="4635">
      <c r="A4635" s="3" t="n">
        <v>2022</v>
      </c>
      <c r="B4635" s="4" t="n">
        <v>975</v>
      </c>
      <c r="C4635" s="4" t="n">
        <v>56</v>
      </c>
      <c r="D4635" s="4" t="n">
        <v>16.94</v>
      </c>
      <c r="E4635" s="5" t="n">
        <v>57.6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도로</t>
        </is>
      </c>
      <c r="J4635" s="3" t="inlineStr">
        <is>
          <t>강내면</t>
        </is>
      </c>
    </row>
    <row r="4636">
      <c r="A4636" s="3" t="n">
        <v>2022</v>
      </c>
      <c r="B4636" s="4" t="n">
        <v>28000</v>
      </c>
      <c r="C4636" s="4" t="n">
        <v>279.9</v>
      </c>
      <c r="D4636" s="4" t="n">
        <v>84.66974999999999</v>
      </c>
      <c r="E4636" s="5" t="n">
        <v>330.7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58000</v>
      </c>
      <c r="C4637" s="4" t="n">
        <v>4075</v>
      </c>
      <c r="D4637" s="4" t="n">
        <v>1232.6875</v>
      </c>
      <c r="E4637" s="5" t="n">
        <v>47.1</v>
      </c>
      <c r="F4637" s="3" t="inlineStr">
        <is>
          <t>강내면</t>
        </is>
      </c>
      <c r="G4637" s="3" t="inlineStr">
        <is>
          <t>궁현리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2022</v>
      </c>
      <c r="B4638" s="4" t="n">
        <v>57860</v>
      </c>
      <c r="C4638" s="4" t="n">
        <v>300</v>
      </c>
      <c r="D4638" s="4" t="n">
        <v>90.75</v>
      </c>
      <c r="E4638" s="5" t="n">
        <v>637.6</v>
      </c>
      <c r="F4638" s="3" t="inlineStr">
        <is>
          <t>오송읍</t>
        </is>
      </c>
      <c r="G4638" s="3" t="inlineStr">
        <is>
          <t>오송리</t>
        </is>
      </c>
      <c r="H4638" s="3" t="inlineStr">
        <is>
          <t>제1종일반주거지역</t>
        </is>
      </c>
      <c r="I4638" s="3" t="inlineStr">
        <is>
          <t>대</t>
        </is>
      </c>
      <c r="J4638" s="3" t="inlineStr">
        <is>
          <t>오송읍</t>
        </is>
      </c>
    </row>
    <row r="4639">
      <c r="A4639" s="3" t="n">
        <v>2022</v>
      </c>
      <c r="B4639" s="4" t="n">
        <v>15000</v>
      </c>
      <c r="C4639" s="4" t="n">
        <v>180</v>
      </c>
      <c r="D4639" s="4" t="n">
        <v>54.45</v>
      </c>
      <c r="E4639" s="5" t="n">
        <v>275.5</v>
      </c>
      <c r="F4639" s="3" t="inlineStr">
        <is>
          <t>오송읍</t>
        </is>
      </c>
      <c r="G4639" s="3" t="inlineStr">
        <is>
          <t>오송리</t>
        </is>
      </c>
      <c r="H4639" s="3" t="inlineStr">
        <is>
          <t>계획관리지역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23660</v>
      </c>
      <c r="C4640" s="4" t="n">
        <v>554</v>
      </c>
      <c r="D4640" s="4" t="n">
        <v>167.585</v>
      </c>
      <c r="E4640" s="5" t="n">
        <v>141.2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2023</v>
      </c>
      <c r="B4641" s="4" t="n">
        <v>13200</v>
      </c>
      <c r="C4641" s="4" t="n">
        <v>1484</v>
      </c>
      <c r="D4641" s="4" t="n">
        <v>448.91</v>
      </c>
      <c r="E4641" s="5" t="n">
        <v>29.4</v>
      </c>
      <c r="F4641" s="3" t="inlineStr">
        <is>
          <t>남이면</t>
        </is>
      </c>
      <c r="G4641" s="3" t="inlineStr">
        <is>
          <t>문동리</t>
        </is>
      </c>
      <c r="H4641" s="3" t="inlineStr">
        <is>
          <t>자연환경보전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2023</v>
      </c>
      <c r="B4642" s="4" t="n">
        <v>800</v>
      </c>
      <c r="C4642" s="4" t="n">
        <v>99</v>
      </c>
      <c r="D4642" s="4" t="n">
        <v>29.9475</v>
      </c>
      <c r="E4642" s="5" t="n">
        <v>26.7</v>
      </c>
      <c r="F4642" s="3" t="inlineStr">
        <is>
          <t>남이면</t>
        </is>
      </c>
      <c r="G4642" s="3" t="inlineStr">
        <is>
          <t>문동리</t>
        </is>
      </c>
      <c r="H4642" s="3" t="inlineStr">
        <is>
          <t>자연환경보전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2023</v>
      </c>
      <c r="B4643" s="4" t="n">
        <v>3600</v>
      </c>
      <c r="C4643" s="4" t="n">
        <v>243</v>
      </c>
      <c r="D4643" s="4" t="n">
        <v>73.50749999999999</v>
      </c>
      <c r="E4643" s="5" t="n">
        <v>49</v>
      </c>
      <c r="F4643" s="3" t="inlineStr">
        <is>
          <t>현도면</t>
        </is>
      </c>
      <c r="G4643" s="3" t="inlineStr">
        <is>
          <t>우록리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현도면</t>
        </is>
      </c>
    </row>
    <row r="4644">
      <c r="A4644" s="3" t="n">
        <v>2023</v>
      </c>
      <c r="B4644" s="4" t="n">
        <v>26718</v>
      </c>
      <c r="C4644" s="4" t="n">
        <v>1722</v>
      </c>
      <c r="D4644" s="4" t="n">
        <v>520.905</v>
      </c>
      <c r="E4644" s="5" t="n">
        <v>51.3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남이면</t>
        </is>
      </c>
    </row>
    <row r="4645">
      <c r="A4645" s="3" t="n">
        <v>2023</v>
      </c>
      <c r="B4645" s="4" t="n">
        <v>16200</v>
      </c>
      <c r="C4645" s="4" t="n">
        <v>1409</v>
      </c>
      <c r="D4645" s="4" t="n">
        <v>426.2225</v>
      </c>
      <c r="E4645" s="5" t="n">
        <v>38</v>
      </c>
      <c r="F4645" s="3" t="inlineStr">
        <is>
          <t>현도면</t>
        </is>
      </c>
      <c r="G4645" s="3" t="inlineStr">
        <is>
          <t>중척리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현도면</t>
        </is>
      </c>
    </row>
    <row r="4646">
      <c r="A4646" s="3" t="n">
        <v>2023</v>
      </c>
      <c r="B4646" s="4" t="n">
        <v>5980</v>
      </c>
      <c r="C4646" s="4" t="n">
        <v>666</v>
      </c>
      <c r="D4646" s="4" t="n">
        <v>201.465</v>
      </c>
      <c r="E4646" s="5" t="n">
        <v>29.7</v>
      </c>
      <c r="F4646" s="3" t="inlineStr">
        <is>
          <t>남이면</t>
        </is>
      </c>
      <c r="G4646" s="3" t="inlineStr">
        <is>
          <t>문동리</t>
        </is>
      </c>
      <c r="H4646" s="3" t="inlineStr">
        <is>
          <t>보전녹지지역</t>
        </is>
      </c>
      <c r="I4646" s="3" t="inlineStr">
        <is>
          <t>임야</t>
        </is>
      </c>
      <c r="J4646" s="3" t="inlineStr">
        <is>
          <t>남이면</t>
        </is>
      </c>
    </row>
    <row r="4647">
      <c r="A4647" s="3" t="n">
        <v>2023</v>
      </c>
      <c r="B4647" s="4" t="n">
        <v>28000</v>
      </c>
      <c r="C4647" s="4" t="n">
        <v>869</v>
      </c>
      <c r="D4647" s="4" t="n">
        <v>262.8725</v>
      </c>
      <c r="E4647" s="5" t="n">
        <v>106.5</v>
      </c>
      <c r="F4647" s="3" t="inlineStr">
        <is>
          <t>남이면</t>
        </is>
      </c>
      <c r="G4647" s="3" t="inlineStr">
        <is>
          <t>석판리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2023</v>
      </c>
      <c r="B4648" s="4" t="n">
        <v>5100</v>
      </c>
      <c r="C4648" s="4" t="n">
        <v>506</v>
      </c>
      <c r="D4648" s="4" t="n">
        <v>153.065</v>
      </c>
      <c r="E4648" s="5" t="n">
        <v>33.3</v>
      </c>
      <c r="F4648" s="3" t="inlineStr">
        <is>
          <t>현도면</t>
        </is>
      </c>
      <c r="G4648" s="3" t="inlineStr">
        <is>
          <t>시목리</t>
        </is>
      </c>
      <c r="H4648" s="3" t="inlineStr">
        <is>
          <t>개발제한구역</t>
        </is>
      </c>
      <c r="I4648" s="3" t="inlineStr">
        <is>
          <t>답</t>
        </is>
      </c>
      <c r="J4648" s="3" t="inlineStr">
        <is>
          <t>현도면</t>
        </is>
      </c>
    </row>
    <row r="4649">
      <c r="A4649" s="3" t="n">
        <v>2023</v>
      </c>
      <c r="B4649" s="4" t="n">
        <v>5925</v>
      </c>
      <c r="C4649" s="4" t="n">
        <v>337</v>
      </c>
      <c r="D4649" s="4" t="n">
        <v>101.9425</v>
      </c>
      <c r="E4649" s="5" t="n">
        <v>58.1</v>
      </c>
      <c r="F4649" s="3" t="inlineStr">
        <is>
          <t>남이면</t>
        </is>
      </c>
      <c r="G4649" s="3" t="inlineStr">
        <is>
          <t>부용외천리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2023</v>
      </c>
      <c r="B4650" s="4" t="n">
        <v>28000</v>
      </c>
      <c r="C4650" s="4" t="n">
        <v>1366</v>
      </c>
      <c r="D4650" s="4" t="n">
        <v>413.215</v>
      </c>
      <c r="E4650" s="5" t="n">
        <v>67.8</v>
      </c>
      <c r="F4650" s="3" t="inlineStr">
        <is>
          <t>남이면</t>
        </is>
      </c>
      <c r="G4650" s="3" t="inlineStr">
        <is>
          <t>구미리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2023</v>
      </c>
      <c r="B4651" s="4" t="n">
        <v>17528</v>
      </c>
      <c r="C4651" s="4" t="n">
        <v>1220</v>
      </c>
      <c r="D4651" s="4" t="n">
        <v>369.05</v>
      </c>
      <c r="E4651" s="5" t="n">
        <v>47.5</v>
      </c>
      <c r="F4651" s="3" t="inlineStr">
        <is>
          <t>남이면</t>
        </is>
      </c>
      <c r="G4651" s="3" t="inlineStr">
        <is>
          <t>팔봉리</t>
        </is>
      </c>
      <c r="H4651" s="3" t="inlineStr">
        <is>
          <t>보전녹지지역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2023</v>
      </c>
      <c r="B4652" s="4" t="n">
        <v>21400</v>
      </c>
      <c r="C4652" s="4" t="n">
        <v>1910</v>
      </c>
      <c r="D4652" s="4" t="n">
        <v>577.775</v>
      </c>
      <c r="E4652" s="5" t="n">
        <v>37</v>
      </c>
      <c r="F4652" s="3" t="inlineStr">
        <is>
          <t>남이면</t>
        </is>
      </c>
      <c r="G4652" s="3" t="inlineStr">
        <is>
          <t>양촌리</t>
        </is>
      </c>
      <c r="H4652" s="3" t="inlineStr">
        <is>
          <t>보전녹지지역</t>
        </is>
      </c>
      <c r="I4652" s="3" t="inlineStr">
        <is>
          <t>임야</t>
        </is>
      </c>
      <c r="J4652" s="3" t="inlineStr">
        <is>
          <t>남이면</t>
        </is>
      </c>
    </row>
    <row r="4653">
      <c r="A4653" s="3" t="n">
        <v>2023</v>
      </c>
      <c r="B4653" s="4" t="n">
        <v>21400</v>
      </c>
      <c r="C4653" s="4" t="n">
        <v>1910</v>
      </c>
      <c r="D4653" s="4" t="n">
        <v>577.775</v>
      </c>
      <c r="E4653" s="5" t="n">
        <v>37</v>
      </c>
      <c r="F4653" s="3" t="inlineStr">
        <is>
          <t>남이면</t>
        </is>
      </c>
      <c r="G4653" s="3" t="inlineStr">
        <is>
          <t>양촌리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2023</v>
      </c>
      <c r="B4654" s="4" t="n">
        <v>5300</v>
      </c>
      <c r="C4654" s="4" t="n">
        <v>478</v>
      </c>
      <c r="D4654" s="4" t="n">
        <v>144.595</v>
      </c>
      <c r="E4654" s="5" t="n">
        <v>36.7</v>
      </c>
      <c r="F4654" s="3" t="inlineStr">
        <is>
          <t>남이면</t>
        </is>
      </c>
      <c r="G4654" s="3" t="inlineStr">
        <is>
          <t>양촌리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2023</v>
      </c>
      <c r="B4655" s="4" t="n">
        <v>14000</v>
      </c>
      <c r="C4655" s="4" t="n">
        <v>1408</v>
      </c>
      <c r="D4655" s="4" t="n">
        <v>425.92</v>
      </c>
      <c r="E4655" s="5" t="n">
        <v>32.9</v>
      </c>
      <c r="F4655" s="3" t="inlineStr">
        <is>
          <t>현도면</t>
        </is>
      </c>
      <c r="G4655" s="3" t="inlineStr">
        <is>
          <t>중척리</t>
        </is>
      </c>
      <c r="H4655" s="3" t="inlineStr">
        <is>
          <t>개발제한구역</t>
        </is>
      </c>
      <c r="I4655" s="3" t="inlineStr">
        <is>
          <t>전</t>
        </is>
      </c>
      <c r="J4655" s="3" t="inlineStr">
        <is>
          <t>현도면</t>
        </is>
      </c>
    </row>
    <row r="4656">
      <c r="A4656" s="3" t="n">
        <v>2023</v>
      </c>
      <c r="B4656" s="4" t="n">
        <v>37100</v>
      </c>
      <c r="C4656" s="4" t="n">
        <v>1227</v>
      </c>
      <c r="D4656" s="4" t="n">
        <v>371.1675</v>
      </c>
      <c r="E4656" s="5" t="n">
        <v>100</v>
      </c>
      <c r="F4656" s="3" t="inlineStr">
        <is>
          <t>강내면</t>
        </is>
      </c>
      <c r="G4656" s="3" t="inlineStr">
        <is>
          <t>태성리</t>
        </is>
      </c>
      <c r="H4656" s="3" t="inlineStr">
        <is>
          <t>계획관리지역</t>
        </is>
      </c>
      <c r="I4656" s="3" t="inlineStr">
        <is>
          <t>임야</t>
        </is>
      </c>
      <c r="J4656" s="3" t="inlineStr">
        <is>
          <t>강내면</t>
        </is>
      </c>
    </row>
    <row r="4657">
      <c r="A4657" s="3" t="n">
        <v>2023</v>
      </c>
      <c r="B4657" s="4" t="n">
        <v>2300</v>
      </c>
      <c r="C4657" s="4" t="n">
        <v>77</v>
      </c>
      <c r="D4657" s="4" t="n">
        <v>23.2925</v>
      </c>
      <c r="E4657" s="5" t="n">
        <v>98.7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임야</t>
        </is>
      </c>
      <c r="J4657" s="3" t="inlineStr">
        <is>
          <t>강내면</t>
        </is>
      </c>
    </row>
    <row r="4658">
      <c r="A4658" s="3" t="n">
        <v>2023</v>
      </c>
      <c r="B4658" s="4" t="n">
        <v>37100</v>
      </c>
      <c r="C4658" s="4" t="n">
        <v>1227</v>
      </c>
      <c r="D4658" s="4" t="n">
        <v>371.1675</v>
      </c>
      <c r="E4658" s="5" t="n">
        <v>100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2023</v>
      </c>
      <c r="B4659" s="4" t="n">
        <v>2300</v>
      </c>
      <c r="C4659" s="4" t="n">
        <v>77</v>
      </c>
      <c r="D4659" s="4" t="n">
        <v>23.2925</v>
      </c>
      <c r="E4659" s="5" t="n">
        <v>98.7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임야</t>
        </is>
      </c>
      <c r="J4659" s="3" t="inlineStr">
        <is>
          <t>강내면</t>
        </is>
      </c>
    </row>
    <row r="4660">
      <c r="A4660" s="3" t="n">
        <v>2023</v>
      </c>
      <c r="B4660" s="4" t="n">
        <v>220000</v>
      </c>
      <c r="C4660" s="4" t="n">
        <v>925.4</v>
      </c>
      <c r="D4660" s="4" t="n">
        <v>279.9335</v>
      </c>
      <c r="E4660" s="5" t="n">
        <v>785.9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일반상업지역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2023</v>
      </c>
      <c r="B4661" s="4" t="n">
        <v>160000</v>
      </c>
      <c r="C4661" s="4" t="n">
        <v>34909</v>
      </c>
      <c r="D4661" s="4" t="n">
        <v>10559.9725</v>
      </c>
      <c r="E4661" s="5" t="n">
        <v>15.2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오송읍</t>
        </is>
      </c>
    </row>
    <row r="4662">
      <c r="A4662" s="3" t="n">
        <v>2023</v>
      </c>
      <c r="B4662" s="4" t="n">
        <v>7700</v>
      </c>
      <c r="C4662" s="4" t="n">
        <v>294</v>
      </c>
      <c r="D4662" s="4" t="n">
        <v>88.935</v>
      </c>
      <c r="E4662" s="5" t="n">
        <v>86.59999999999999</v>
      </c>
      <c r="F4662" s="3" t="inlineStr">
        <is>
          <t>강내면</t>
        </is>
      </c>
      <c r="G4662" s="3" t="inlineStr">
        <is>
          <t>사곡리</t>
        </is>
      </c>
      <c r="H4662" s="3" t="inlineStr">
        <is>
          <t>보전관리지역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1540</v>
      </c>
      <c r="C4663" s="4" t="n">
        <v>637</v>
      </c>
      <c r="D4663" s="4" t="n">
        <v>192.6925</v>
      </c>
      <c r="E4663" s="5" t="n">
        <v>8</v>
      </c>
      <c r="F4663" s="3" t="inlineStr">
        <is>
          <t>강내면</t>
        </is>
      </c>
      <c r="G4663" s="3" t="inlineStr">
        <is>
          <t>저산리</t>
        </is>
      </c>
      <c r="H4663" s="3" t="inlineStr">
        <is>
          <t>보전관리지역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2023</v>
      </c>
      <c r="B4664" s="4" t="n">
        <v>17000</v>
      </c>
      <c r="C4664" s="4" t="n">
        <v>1192</v>
      </c>
      <c r="D4664" s="4" t="n">
        <v>360.58</v>
      </c>
      <c r="E4664" s="5" t="n">
        <v>47.1</v>
      </c>
      <c r="F4664" s="3" t="inlineStr">
        <is>
          <t>오송읍</t>
        </is>
      </c>
      <c r="G4664" s="3" t="inlineStr">
        <is>
          <t>호계리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2023</v>
      </c>
      <c r="B4665" s="4" t="n">
        <v>103000</v>
      </c>
      <c r="C4665" s="4" t="n">
        <v>2273</v>
      </c>
      <c r="D4665" s="4" t="n">
        <v>687.5825</v>
      </c>
      <c r="E4665" s="5" t="n">
        <v>149.8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임야</t>
        </is>
      </c>
      <c r="J4665" s="3" t="inlineStr">
        <is>
          <t>강내면</t>
        </is>
      </c>
    </row>
    <row r="4666">
      <c r="A4666" s="3" t="n">
        <v>2023</v>
      </c>
      <c r="B4666" s="4" t="n">
        <v>19481</v>
      </c>
      <c r="C4666" s="4" t="n">
        <v>454</v>
      </c>
      <c r="D4666" s="4" t="n">
        <v>137.335</v>
      </c>
      <c r="E4666" s="5" t="n">
        <v>141.9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보전관리지역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2023</v>
      </c>
      <c r="B4667" s="4" t="n">
        <v>14240</v>
      </c>
      <c r="C4667" s="4" t="n">
        <v>627</v>
      </c>
      <c r="D4667" s="4" t="n">
        <v>189.6675</v>
      </c>
      <c r="E4667" s="5" t="n">
        <v>75.09999999999999</v>
      </c>
      <c r="F4667" s="3" t="inlineStr">
        <is>
          <t>오송읍</t>
        </is>
      </c>
      <c r="G4667" s="3" t="inlineStr">
        <is>
          <t>정중리</t>
        </is>
      </c>
      <c r="H4667" s="3" t="inlineStr">
        <is>
          <t>생산관리지역</t>
        </is>
      </c>
      <c r="I4667" s="3" t="inlineStr">
        <is>
          <t>전</t>
        </is>
      </c>
      <c r="J4667" s="3" t="inlineStr">
        <is>
          <t>오송읍</t>
        </is>
      </c>
    </row>
    <row r="4668">
      <c r="A4668" s="3" t="n">
        <v>2023</v>
      </c>
      <c r="B4668" s="4" t="n">
        <v>13680</v>
      </c>
      <c r="C4668" s="4" t="n">
        <v>602</v>
      </c>
      <c r="D4668" s="4" t="n">
        <v>182.105</v>
      </c>
      <c r="E4668" s="5" t="n">
        <v>75.09999999999999</v>
      </c>
      <c r="F4668" s="3" t="inlineStr">
        <is>
          <t>오송읍</t>
        </is>
      </c>
      <c r="G4668" s="3" t="inlineStr">
        <is>
          <t>정중리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오송읍</t>
        </is>
      </c>
    </row>
    <row r="4669">
      <c r="A4669" s="3" t="n">
        <v>2026</v>
      </c>
      <c r="B4669" s="4" t="n">
        <v>6740</v>
      </c>
      <c r="C4669" s="4" t="n">
        <v>253</v>
      </c>
      <c r="D4669" s="4" t="n">
        <v>76.5325</v>
      </c>
      <c r="E4669" s="5" t="n">
        <v>88.09999999999999</v>
      </c>
      <c r="F4669" s="3" t="inlineStr">
        <is>
          <t>강내면</t>
        </is>
      </c>
      <c r="G4669" s="3" t="inlineStr">
        <is>
          <t>산단리</t>
        </is>
      </c>
      <c r="H4669" s="3" t="inlineStr">
        <is>
          <t>계획관리지역</t>
        </is>
      </c>
      <c r="I4669" s="3" t="inlineStr">
        <is>
          <t>공장용지</t>
        </is>
      </c>
      <c r="J4669" s="3" t="inlineStr">
        <is>
          <t>강내면</t>
        </is>
      </c>
    </row>
    <row r="4670">
      <c r="A4670" s="3" t="n">
        <v>2026</v>
      </c>
      <c r="B4670" s="4" t="n">
        <v>10337</v>
      </c>
      <c r="C4670" s="4" t="n">
        <v>1895</v>
      </c>
      <c r="D4670" s="4" t="n">
        <v>573.2375</v>
      </c>
      <c r="E4670" s="5" t="n">
        <v>18</v>
      </c>
      <c r="F4670" s="3" t="inlineStr">
        <is>
          <t>강내면</t>
        </is>
      </c>
      <c r="G4670" s="3" t="inlineStr">
        <is>
          <t>산단리</t>
        </is>
      </c>
      <c r="H4670" s="3" t="inlineStr">
        <is>
          <t>계획관리지역</t>
        </is>
      </c>
      <c r="I4670" s="3" t="inlineStr">
        <is>
          <t>도로</t>
        </is>
      </c>
      <c r="J4670" s="3" t="inlineStr">
        <is>
          <t>강내면</t>
        </is>
      </c>
    </row>
    <row r="4671">
      <c r="A4671" s="3" t="n">
        <v>2026</v>
      </c>
      <c r="B4671" s="4" t="n">
        <v>639</v>
      </c>
      <c r="C4671" s="4" t="n">
        <v>1119</v>
      </c>
      <c r="D4671" s="4" t="n">
        <v>338.4975</v>
      </c>
      <c r="E4671" s="5" t="n">
        <v>1.9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도로</t>
        </is>
      </c>
      <c r="J4671" s="3" t="inlineStr">
        <is>
          <t>강내면</t>
        </is>
      </c>
    </row>
    <row r="4672">
      <c r="A4672" s="3" t="n">
        <v>2026</v>
      </c>
      <c r="B4672" s="4" t="n">
        <v>10000</v>
      </c>
      <c r="C4672" s="4" t="n">
        <v>625</v>
      </c>
      <c r="D4672" s="4" t="n">
        <v>189.0625</v>
      </c>
      <c r="E4672" s="5" t="n">
        <v>52.9</v>
      </c>
      <c r="F4672" s="3" t="inlineStr">
        <is>
          <t>강내면</t>
        </is>
      </c>
      <c r="G4672" s="3" t="inlineStr">
        <is>
          <t>사곡리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2026</v>
      </c>
      <c r="B4673" s="4" t="n">
        <v>2000</v>
      </c>
      <c r="C4673" s="4" t="n">
        <v>12</v>
      </c>
      <c r="D4673" s="4" t="n">
        <v>3.63</v>
      </c>
      <c r="E4673" s="5" t="n">
        <v>551</v>
      </c>
      <c r="F4673" s="3" t="inlineStr">
        <is>
          <t>오송읍</t>
        </is>
      </c>
      <c r="G4673" s="3" t="inlineStr">
        <is>
          <t>오송리</t>
        </is>
      </c>
      <c r="H4673" s="3" t="inlineStr">
        <is>
          <t>준주거지역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1298</v>
      </c>
      <c r="C4674" s="4" t="n">
        <v>197</v>
      </c>
      <c r="D4674" s="4" t="n">
        <v>59.5925</v>
      </c>
      <c r="E4674" s="5" t="n">
        <v>21.8</v>
      </c>
      <c r="F4674" s="3" t="inlineStr">
        <is>
          <t>강내면</t>
        </is>
      </c>
      <c r="G4674" s="3" t="inlineStr">
        <is>
          <t>궁현리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강내면</t>
        </is>
      </c>
    </row>
    <row r="4675">
      <c r="A4675" s="3" t="n">
        <v>2026</v>
      </c>
      <c r="B4675" s="4" t="n">
        <v>1298</v>
      </c>
      <c r="C4675" s="4" t="n">
        <v>197</v>
      </c>
      <c r="D4675" s="4" t="n">
        <v>59.5925</v>
      </c>
      <c r="E4675" s="5" t="n">
        <v>21.8</v>
      </c>
      <c r="F4675" s="3" t="inlineStr">
        <is>
          <t>강내면</t>
        </is>
      </c>
      <c r="G4675" s="3" t="inlineStr">
        <is>
          <t>궁현리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강내면</t>
        </is>
      </c>
    </row>
    <row r="4676">
      <c r="A4676" s="3" t="n">
        <v>2025</v>
      </c>
      <c r="B4676" s="4" t="n">
        <v>24000</v>
      </c>
      <c r="C4676" s="4" t="n">
        <v>1371</v>
      </c>
      <c r="D4676" s="4" t="n">
        <v>414.7275</v>
      </c>
      <c r="E4676" s="5" t="n">
        <v>57.9</v>
      </c>
      <c r="F4676" s="3" t="inlineStr">
        <is>
          <t>금남면</t>
        </is>
      </c>
      <c r="G4676" s="3" t="inlineStr">
        <is>
          <t>원봉리</t>
        </is>
      </c>
      <c r="H4676" s="3" t="inlineStr">
        <is>
          <t>보전관리지역</t>
        </is>
      </c>
      <c r="I4676" s="3" t="inlineStr">
        <is>
          <t>대</t>
        </is>
      </c>
      <c r="J4676" s="3" t="inlineStr">
        <is>
          <t>금남면</t>
        </is>
      </c>
    </row>
    <row r="4677">
      <c r="A4677" s="3" t="n">
        <v>2025</v>
      </c>
      <c r="B4677" s="4" t="n">
        <v>16000</v>
      </c>
      <c r="C4677" s="4" t="n">
        <v>5233</v>
      </c>
      <c r="D4677" s="4" t="n">
        <v>1582.9825</v>
      </c>
      <c r="E4677" s="5" t="n">
        <v>10.1</v>
      </c>
      <c r="F4677" s="3" t="inlineStr">
        <is>
          <t>금남면</t>
        </is>
      </c>
      <c r="G4677" s="3" t="inlineStr">
        <is>
          <t>원봉리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2025</v>
      </c>
      <c r="B4678" s="4" t="n">
        <v>33000</v>
      </c>
      <c r="C4678" s="4" t="n">
        <v>1389</v>
      </c>
      <c r="D4678" s="4" t="n">
        <v>420.1725</v>
      </c>
      <c r="E4678" s="5" t="n">
        <v>78.5</v>
      </c>
      <c r="F4678" s="3" t="inlineStr">
        <is>
          <t>금남면</t>
        </is>
      </c>
      <c r="G4678" s="3" t="inlineStr">
        <is>
          <t>국곡리</t>
        </is>
      </c>
      <c r="H4678" s="3" t="inlineStr">
        <is>
          <t>보전관리지역</t>
        </is>
      </c>
      <c r="I4678" s="3" t="inlineStr">
        <is>
          <t>답</t>
        </is>
      </c>
      <c r="J4678" s="3" t="inlineStr">
        <is>
          <t>금남면</t>
        </is>
      </c>
    </row>
    <row r="4679">
      <c r="A4679" s="3" t="n">
        <v>2025</v>
      </c>
      <c r="B4679" s="4" t="n">
        <v>36479</v>
      </c>
      <c r="C4679" s="4" t="n">
        <v>4729.4</v>
      </c>
      <c r="D4679" s="4" t="n">
        <v>1430.6435</v>
      </c>
      <c r="E4679" s="5" t="n">
        <v>25.5</v>
      </c>
      <c r="F4679" s="3" t="inlineStr">
        <is>
          <t>연서면</t>
        </is>
      </c>
      <c r="G4679" s="3" t="inlineStr">
        <is>
          <t>봉암리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연서면</t>
        </is>
      </c>
    </row>
    <row r="4680">
      <c r="A4680" s="3" t="n">
        <v>2025</v>
      </c>
      <c r="B4680" s="4" t="n">
        <v>117000</v>
      </c>
      <c r="C4680" s="4" t="n">
        <v>710</v>
      </c>
      <c r="D4680" s="4" t="n">
        <v>214.775</v>
      </c>
      <c r="E4680" s="5" t="n">
        <v>544.8</v>
      </c>
      <c r="F4680" s="3" t="inlineStr">
        <is>
          <t>부강면</t>
        </is>
      </c>
      <c r="G4680" s="3" t="inlineStr">
        <is>
          <t>부강리</t>
        </is>
      </c>
      <c r="H4680" s="3" t="inlineStr">
        <is>
          <t>일반상업지역</t>
        </is>
      </c>
      <c r="I4680" s="3" t="inlineStr">
        <is>
          <t>대</t>
        </is>
      </c>
      <c r="J4680" s="3" t="inlineStr">
        <is>
          <t>부강면</t>
        </is>
      </c>
    </row>
    <row r="4681">
      <c r="A4681" s="3" t="n">
        <v>2025</v>
      </c>
      <c r="B4681" s="4" t="n">
        <v>2000</v>
      </c>
      <c r="C4681" s="4" t="n">
        <v>79</v>
      </c>
      <c r="D4681" s="4" t="n">
        <v>23.8975</v>
      </c>
      <c r="E4681" s="5" t="n">
        <v>83.7</v>
      </c>
      <c r="F4681" s="3" t="inlineStr">
        <is>
          <t>금남면</t>
        </is>
      </c>
      <c r="G4681" s="3" t="inlineStr">
        <is>
          <t>국곡리</t>
        </is>
      </c>
      <c r="H4681" s="3" t="inlineStr">
        <is>
          <t>보전관리지역</t>
        </is>
      </c>
      <c r="I4681" s="3" t="inlineStr">
        <is>
          <t>대</t>
        </is>
      </c>
      <c r="J4681" s="3" t="inlineStr">
        <is>
          <t>금남면</t>
        </is>
      </c>
    </row>
    <row r="4682">
      <c r="A4682" s="3" t="n">
        <v>2025</v>
      </c>
      <c r="B4682" s="4" t="n">
        <v>5400</v>
      </c>
      <c r="C4682" s="4" t="n">
        <v>314</v>
      </c>
      <c r="D4682" s="4" t="n">
        <v>94.985</v>
      </c>
      <c r="E4682" s="5" t="n">
        <v>56.9</v>
      </c>
      <c r="F4682" s="3" t="inlineStr">
        <is>
          <t>전동면</t>
        </is>
      </c>
      <c r="G4682" s="3" t="inlineStr">
        <is>
          <t>심중리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전동면</t>
        </is>
      </c>
    </row>
    <row r="4683">
      <c r="A4683" s="3" t="n">
        <v>2025</v>
      </c>
      <c r="B4683" s="4" t="n">
        <v>6400</v>
      </c>
      <c r="C4683" s="4" t="n">
        <v>333</v>
      </c>
      <c r="D4683" s="4" t="n">
        <v>100.7325</v>
      </c>
      <c r="E4683" s="5" t="n">
        <v>63.5</v>
      </c>
      <c r="F4683" s="3" t="inlineStr">
        <is>
          <t>연서면</t>
        </is>
      </c>
      <c r="G4683" s="3" t="inlineStr">
        <is>
          <t>와촌리</t>
        </is>
      </c>
      <c r="H4683" s="3" t="inlineStr">
        <is>
          <t>계획관리지역</t>
        </is>
      </c>
      <c r="I4683" s="3" t="inlineStr">
        <is>
          <t>과수원</t>
        </is>
      </c>
      <c r="J4683" s="3" t="inlineStr">
        <is>
          <t>연서면</t>
        </is>
      </c>
    </row>
    <row r="4684">
      <c r="A4684" s="3" t="n">
        <v>2026</v>
      </c>
      <c r="B4684" s="4" t="n">
        <v>42183</v>
      </c>
      <c r="C4684" s="4" t="n">
        <v>450</v>
      </c>
      <c r="D4684" s="4" t="n">
        <v>136.125</v>
      </c>
      <c r="E4684" s="5" t="n">
        <v>309.9</v>
      </c>
      <c r="F4684" s="3" t="inlineStr">
        <is>
          <t>장군면</t>
        </is>
      </c>
      <c r="G4684" s="3" t="inlineStr">
        <is>
          <t>대교리</t>
        </is>
      </c>
      <c r="H4684" s="3" t="inlineStr">
        <is>
          <t>보전관리지역</t>
        </is>
      </c>
      <c r="I4684" s="3" t="inlineStr">
        <is>
          <t>대</t>
        </is>
      </c>
      <c r="J4684" s="3" t="inlineStr">
        <is>
          <t>장군면</t>
        </is>
      </c>
    </row>
    <row r="4685">
      <c r="A4685" s="3" t="n">
        <v>2026</v>
      </c>
      <c r="B4685" s="4" t="n">
        <v>41188</v>
      </c>
      <c r="C4685" s="4" t="n">
        <v>500</v>
      </c>
      <c r="D4685" s="4" t="n">
        <v>151.25</v>
      </c>
      <c r="E4685" s="5" t="n">
        <v>272.3</v>
      </c>
      <c r="F4685" s="3" t="inlineStr">
        <is>
          <t>장군면</t>
        </is>
      </c>
      <c r="G4685" s="3" t="inlineStr">
        <is>
          <t>대교리</t>
        </is>
      </c>
      <c r="H4685" s="3" t="inlineStr">
        <is>
          <t>보전관리지역</t>
        </is>
      </c>
      <c r="I4685" s="3" t="inlineStr">
        <is>
          <t>대</t>
        </is>
      </c>
      <c r="J4685" s="3" t="inlineStr">
        <is>
          <t>장군면</t>
        </is>
      </c>
    </row>
    <row r="4686">
      <c r="A4686" s="3" t="n">
        <v>2026</v>
      </c>
      <c r="B4686" s="4" t="n">
        <v>47276</v>
      </c>
      <c r="C4686" s="4" t="n">
        <v>500</v>
      </c>
      <c r="D4686" s="4" t="n">
        <v>151.25</v>
      </c>
      <c r="E4686" s="5" t="n">
        <v>312.6</v>
      </c>
      <c r="F4686" s="3" t="inlineStr">
        <is>
          <t>장군면</t>
        </is>
      </c>
      <c r="G4686" s="3" t="inlineStr">
        <is>
          <t>대교리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장군면</t>
        </is>
      </c>
    </row>
    <row r="4687">
      <c r="A4687" s="3" t="n">
        <v>2026</v>
      </c>
      <c r="B4687" s="4" t="n">
        <v>37069</v>
      </c>
      <c r="C4687" s="4" t="n">
        <v>450</v>
      </c>
      <c r="D4687" s="4" t="n">
        <v>136.125</v>
      </c>
      <c r="E4687" s="5" t="n">
        <v>272.3</v>
      </c>
      <c r="F4687" s="3" t="inlineStr">
        <is>
          <t>장군면</t>
        </is>
      </c>
      <c r="G4687" s="3" t="inlineStr">
        <is>
          <t>대교리</t>
        </is>
      </c>
      <c r="H4687" s="3" t="inlineStr">
        <is>
          <t>보전관리지역</t>
        </is>
      </c>
      <c r="I4687" s="3" t="inlineStr">
        <is>
          <t>대</t>
        </is>
      </c>
      <c r="J4687" s="3" t="inlineStr">
        <is>
          <t>장군면</t>
        </is>
      </c>
    </row>
    <row r="4688">
      <c r="A4688" s="3" t="n">
        <v>2023</v>
      </c>
      <c r="B4688" s="4" t="n">
        <v>6840</v>
      </c>
      <c r="C4688" s="4" t="n">
        <v>301</v>
      </c>
      <c r="D4688" s="4" t="n">
        <v>91.05249999999999</v>
      </c>
      <c r="E4688" s="5" t="n">
        <v>75.09999999999999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전</t>
        </is>
      </c>
      <c r="J4688" s="3" t="inlineStr">
        <is>
          <t>오송읍</t>
        </is>
      </c>
    </row>
    <row r="4689">
      <c r="A4689" s="3" t="n">
        <v>2025</v>
      </c>
      <c r="B4689" s="4" t="n">
        <v>15000</v>
      </c>
      <c r="C4689" s="4" t="n">
        <v>365</v>
      </c>
      <c r="D4689" s="4" t="n">
        <v>110.4125</v>
      </c>
      <c r="E4689" s="5" t="n">
        <v>135.9</v>
      </c>
      <c r="F4689" s="3" t="inlineStr">
        <is>
          <t>오송읍</t>
        </is>
      </c>
      <c r="G4689" s="3" t="inlineStr">
        <is>
          <t>공북리</t>
        </is>
      </c>
      <c r="H4689" s="3" t="inlineStr">
        <is>
          <t>계획관리지역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24400</v>
      </c>
      <c r="C4690" s="4" t="n">
        <v>1375</v>
      </c>
      <c r="D4690" s="4" t="n">
        <v>415.9375</v>
      </c>
      <c r="E4690" s="5" t="n">
        <v>58.7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600</v>
      </c>
      <c r="C4691" s="4" t="n">
        <v>40</v>
      </c>
      <c r="D4691" s="4" t="n">
        <v>12.1</v>
      </c>
      <c r="E4691" s="5" t="n">
        <v>49.6</v>
      </c>
      <c r="F4691" s="3" t="inlineStr">
        <is>
          <t>오송읍</t>
        </is>
      </c>
      <c r="G4691" s="3" t="inlineStr">
        <is>
          <t>서평리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2025</v>
      </c>
      <c r="B4692" s="4" t="n">
        <v>4500</v>
      </c>
      <c r="C4692" s="4" t="n">
        <v>150</v>
      </c>
      <c r="D4692" s="4" t="n">
        <v>45.375</v>
      </c>
      <c r="E4692" s="5" t="n">
        <v>99.2</v>
      </c>
      <c r="F4692" s="3" t="inlineStr">
        <is>
          <t>오송읍</t>
        </is>
      </c>
      <c r="G4692" s="3" t="inlineStr">
        <is>
          <t>정중리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오송읍</t>
        </is>
      </c>
    </row>
    <row r="4693">
      <c r="A4693" s="3" t="n">
        <v>2025</v>
      </c>
      <c r="B4693" s="4" t="n">
        <v>25065</v>
      </c>
      <c r="C4693" s="4" t="n">
        <v>532</v>
      </c>
      <c r="D4693" s="4" t="n">
        <v>160.93</v>
      </c>
      <c r="E4693" s="5" t="n">
        <v>155.8</v>
      </c>
      <c r="F4693" s="3" t="inlineStr">
        <is>
          <t>강내면</t>
        </is>
      </c>
      <c r="G4693" s="3" t="inlineStr">
        <is>
          <t>사곡리</t>
        </is>
      </c>
      <c r="H4693" s="3" t="inlineStr">
        <is>
          <t>보전관리지역</t>
        </is>
      </c>
      <c r="I4693" s="3" t="inlineStr">
        <is>
          <t>대</t>
        </is>
      </c>
      <c r="J4693" s="3" t="inlineStr">
        <is>
          <t>강내면</t>
        </is>
      </c>
    </row>
    <row r="4694">
      <c r="A4694" s="3" t="n">
        <v>2025</v>
      </c>
      <c r="B4694" s="4" t="n">
        <v>58890</v>
      </c>
      <c r="C4694" s="4" t="n">
        <v>2995</v>
      </c>
      <c r="D4694" s="4" t="n">
        <v>905.9875</v>
      </c>
      <c r="E4694" s="5" t="n">
        <v>65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전</t>
        </is>
      </c>
      <c r="J4694" s="3" t="inlineStr">
        <is>
          <t>오송읍</t>
        </is>
      </c>
    </row>
    <row r="4695">
      <c r="A4695" s="3" t="n">
        <v>2025</v>
      </c>
      <c r="B4695" s="4" t="n">
        <v>82800</v>
      </c>
      <c r="C4695" s="4" t="n">
        <v>4215</v>
      </c>
      <c r="D4695" s="4" t="n">
        <v>1275.0375</v>
      </c>
      <c r="E4695" s="5" t="n">
        <v>64.90000000000001</v>
      </c>
      <c r="F4695" s="3" t="inlineStr">
        <is>
          <t>오송읍</t>
        </is>
      </c>
      <c r="G4695" s="3" t="inlineStr">
        <is>
          <t>서평리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25000</v>
      </c>
      <c r="C4696" s="4" t="n">
        <v>240.6</v>
      </c>
      <c r="D4696" s="4" t="n">
        <v>72.78149999999999</v>
      </c>
      <c r="E4696" s="5" t="n">
        <v>343.5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2025</v>
      </c>
      <c r="B4697" s="4" t="n">
        <v>9000</v>
      </c>
      <c r="C4697" s="4" t="n">
        <v>399</v>
      </c>
      <c r="D4697" s="4" t="n">
        <v>120.6975</v>
      </c>
      <c r="E4697" s="5" t="n">
        <v>74.59999999999999</v>
      </c>
      <c r="F4697" s="3" t="inlineStr">
        <is>
          <t>강내면</t>
        </is>
      </c>
      <c r="G4697" s="3" t="inlineStr">
        <is>
          <t>저산리</t>
        </is>
      </c>
      <c r="H4697" s="3" t="inlineStr">
        <is>
          <t>계획관리지역</t>
        </is>
      </c>
      <c r="I4697" s="3" t="inlineStr">
        <is>
          <t>대</t>
        </is>
      </c>
      <c r="J4697" s="3" t="inlineStr">
        <is>
          <t>강내면</t>
        </is>
      </c>
    </row>
    <row r="4698">
      <c r="A4698" s="3" t="n">
        <v>2022</v>
      </c>
      <c r="B4698" s="4" t="n">
        <v>17800</v>
      </c>
      <c r="C4698" s="4" t="n">
        <v>492</v>
      </c>
      <c r="D4698" s="4" t="n">
        <v>148.83</v>
      </c>
      <c r="E4698" s="5" t="n">
        <v>119.6</v>
      </c>
      <c r="F4698" s="3" t="inlineStr">
        <is>
          <t>강내면</t>
        </is>
      </c>
      <c r="G4698" s="3" t="inlineStr">
        <is>
          <t>사곡리</t>
        </is>
      </c>
      <c r="H4698" s="3" t="inlineStr">
        <is>
          <t>보전관리지역</t>
        </is>
      </c>
      <c r="I4698" s="3" t="inlineStr">
        <is>
          <t>임야</t>
        </is>
      </c>
      <c r="J4698" s="3" t="inlineStr">
        <is>
          <t>강내면</t>
        </is>
      </c>
    </row>
    <row r="4699">
      <c r="A4699" s="3" t="n">
        <v>2022</v>
      </c>
      <c r="B4699" s="4" t="n">
        <v>115000</v>
      </c>
      <c r="C4699" s="4" t="n">
        <v>2757</v>
      </c>
      <c r="D4699" s="4" t="n">
        <v>833.9924999999999</v>
      </c>
      <c r="E4699" s="5" t="n">
        <v>137.9</v>
      </c>
      <c r="F4699" s="3" t="inlineStr">
        <is>
          <t>강내면</t>
        </is>
      </c>
      <c r="G4699" s="3" t="inlineStr">
        <is>
          <t>탑연리</t>
        </is>
      </c>
      <c r="H4699" s="3" t="inlineStr">
        <is>
          <t>자연녹지지역</t>
        </is>
      </c>
      <c r="I4699" s="3" t="inlineStr">
        <is>
          <t>전</t>
        </is>
      </c>
      <c r="J4699" s="3" t="inlineStr">
        <is>
          <t>강내면</t>
        </is>
      </c>
    </row>
    <row r="4700">
      <c r="A4700" s="3" t="n">
        <v>2022</v>
      </c>
      <c r="B4700" s="4" t="n">
        <v>33500</v>
      </c>
      <c r="C4700" s="4" t="n">
        <v>267.7</v>
      </c>
      <c r="D4700" s="4" t="n">
        <v>80.97924999999999</v>
      </c>
      <c r="E4700" s="5" t="n">
        <v>413.7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100000</v>
      </c>
      <c r="C4701" s="4" t="n">
        <v>6427</v>
      </c>
      <c r="D4701" s="4" t="n">
        <v>1944.1675</v>
      </c>
      <c r="E4701" s="5" t="n">
        <v>51.4</v>
      </c>
      <c r="F4701" s="3" t="inlineStr">
        <is>
          <t>강내면</t>
        </is>
      </c>
      <c r="G4701" s="3" t="inlineStr">
        <is>
          <t>저산리</t>
        </is>
      </c>
      <c r="H4701" s="3" t="inlineStr">
        <is>
          <t>보전관리지역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37000</v>
      </c>
      <c r="C4702" s="4" t="n">
        <v>1230</v>
      </c>
      <c r="D4702" s="4" t="n">
        <v>372.075</v>
      </c>
      <c r="E4702" s="5" t="n">
        <v>99.40000000000001</v>
      </c>
      <c r="F4702" s="3" t="inlineStr">
        <is>
          <t>오송읍</t>
        </is>
      </c>
      <c r="G4702" s="3" t="inlineStr">
        <is>
          <t>공북리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오송읍</t>
        </is>
      </c>
    </row>
    <row r="4703">
      <c r="A4703" s="3" t="n">
        <v>2022</v>
      </c>
      <c r="B4703" s="4" t="n">
        <v>37000</v>
      </c>
      <c r="C4703" s="4" t="n">
        <v>1121</v>
      </c>
      <c r="D4703" s="4" t="n">
        <v>339.1025</v>
      </c>
      <c r="E4703" s="5" t="n">
        <v>109.1</v>
      </c>
      <c r="F4703" s="3" t="inlineStr">
        <is>
          <t>강내면</t>
        </is>
      </c>
      <c r="G4703" s="3" t="inlineStr">
        <is>
          <t>월곡리</t>
        </is>
      </c>
      <c r="H4703" s="3" t="inlineStr">
        <is>
          <t>제2종일반주거지역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35000</v>
      </c>
      <c r="C4704" s="4" t="n">
        <v>260</v>
      </c>
      <c r="D4704" s="4" t="n">
        <v>78.64999999999999</v>
      </c>
      <c r="E4704" s="5" t="n">
        <v>445</v>
      </c>
      <c r="F4704" s="3" t="inlineStr">
        <is>
          <t>오송읍</t>
        </is>
      </c>
      <c r="G4704" s="3" t="inlineStr">
        <is>
          <t>봉산리</t>
        </is>
      </c>
      <c r="H4704" s="3" t="inlineStr">
        <is>
          <t>제1종일반주거지역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2022</v>
      </c>
      <c r="B4705" s="4" t="n">
        <v>4800</v>
      </c>
      <c r="C4705" s="4" t="n">
        <v>932</v>
      </c>
      <c r="D4705" s="4" t="n">
        <v>281.93</v>
      </c>
      <c r="E4705" s="5" t="n">
        <v>17</v>
      </c>
      <c r="F4705" s="3" t="inlineStr">
        <is>
          <t>강내면</t>
        </is>
      </c>
      <c r="G4705" s="3" t="inlineStr">
        <is>
          <t>당곡리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강내면</t>
        </is>
      </c>
    </row>
    <row r="4706">
      <c r="A4706" s="3" t="n">
        <v>2022</v>
      </c>
      <c r="B4706" s="4" t="n">
        <v>900</v>
      </c>
      <c r="C4706" s="4" t="n">
        <v>307</v>
      </c>
      <c r="D4706" s="4" t="n">
        <v>92.86749999999999</v>
      </c>
      <c r="E4706" s="5" t="n">
        <v>9.699999999999999</v>
      </c>
      <c r="F4706" s="3" t="inlineStr">
        <is>
          <t>강내면</t>
        </is>
      </c>
      <c r="G4706" s="3" t="inlineStr">
        <is>
          <t>산단리</t>
        </is>
      </c>
      <c r="H4706" s="3" t="inlineStr">
        <is>
          <t>계획관리지역</t>
        </is>
      </c>
      <c r="I4706" s="3" t="inlineStr">
        <is>
          <t>도로</t>
        </is>
      </c>
      <c r="J4706" s="3" t="inlineStr">
        <is>
          <t>강내면</t>
        </is>
      </c>
    </row>
    <row r="4707">
      <c r="A4707" s="3" t="n">
        <v>2022</v>
      </c>
      <c r="B4707" s="4" t="n">
        <v>30000</v>
      </c>
      <c r="C4707" s="4" t="n">
        <v>265.1</v>
      </c>
      <c r="D4707" s="4" t="n">
        <v>80.19275</v>
      </c>
      <c r="E4707" s="5" t="n">
        <v>374.1</v>
      </c>
      <c r="F4707" s="3" t="inlineStr">
        <is>
          <t>오송읍</t>
        </is>
      </c>
      <c r="G4707" s="3" t="inlineStr">
        <is>
          <t>봉산리</t>
        </is>
      </c>
      <c r="H4707" s="3" t="inlineStr">
        <is>
          <t>제1종일반주거지역</t>
        </is>
      </c>
      <c r="I4707" s="3" t="inlineStr">
        <is>
          <t>대</t>
        </is>
      </c>
      <c r="J4707" s="3" t="inlineStr">
        <is>
          <t>오송읍</t>
        </is>
      </c>
    </row>
    <row r="4708">
      <c r="A4708" s="3" t="n">
        <v>2023</v>
      </c>
      <c r="B4708" s="4" t="n">
        <v>6840</v>
      </c>
      <c r="C4708" s="4" t="n">
        <v>301</v>
      </c>
      <c r="D4708" s="4" t="n">
        <v>91.05249999999999</v>
      </c>
      <c r="E4708" s="5" t="n">
        <v>75.09999999999999</v>
      </c>
      <c r="F4708" s="3" t="inlineStr">
        <is>
          <t>오송읍</t>
        </is>
      </c>
      <c r="G4708" s="3" t="inlineStr">
        <is>
          <t>정중리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2023</v>
      </c>
      <c r="B4709" s="4" t="n">
        <v>32000</v>
      </c>
      <c r="C4709" s="4" t="n">
        <v>276.5</v>
      </c>
      <c r="D4709" s="4" t="n">
        <v>83.64125</v>
      </c>
      <c r="E4709" s="5" t="n">
        <v>382.6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2023</v>
      </c>
      <c r="B4710" s="4" t="n">
        <v>1050</v>
      </c>
      <c r="C4710" s="4" t="n">
        <v>26</v>
      </c>
      <c r="D4710" s="4" t="n">
        <v>7.865</v>
      </c>
      <c r="E4710" s="5" t="n">
        <v>133.5</v>
      </c>
      <c r="F4710" s="3" t="inlineStr">
        <is>
          <t>오송읍</t>
        </is>
      </c>
      <c r="G4710" s="3" t="inlineStr">
        <is>
          <t>쌍청리</t>
        </is>
      </c>
      <c r="H4710" s="3" t="inlineStr">
        <is>
          <t>계획관리지역</t>
        </is>
      </c>
      <c r="I4710" s="3" t="inlineStr">
        <is>
          <t>구거</t>
        </is>
      </c>
      <c r="J4710" s="3" t="inlineStr">
        <is>
          <t>오송읍</t>
        </is>
      </c>
    </row>
    <row r="4711">
      <c r="A4711" s="3" t="n">
        <v>2023</v>
      </c>
      <c r="B4711" s="4" t="n">
        <v>10500</v>
      </c>
      <c r="C4711" s="4" t="n">
        <v>807</v>
      </c>
      <c r="D4711" s="4" t="n">
        <v>244.1175</v>
      </c>
      <c r="E4711" s="5" t="n">
        <v>43</v>
      </c>
      <c r="F4711" s="3" t="inlineStr">
        <is>
          <t>강내면</t>
        </is>
      </c>
      <c r="G4711" s="3" t="inlineStr">
        <is>
          <t>석화리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강내면</t>
        </is>
      </c>
    </row>
    <row r="4712">
      <c r="A4712" s="3" t="n">
        <v>2023</v>
      </c>
      <c r="B4712" s="4" t="n">
        <v>5779</v>
      </c>
      <c r="C4712" s="4" t="n">
        <v>252</v>
      </c>
      <c r="D4712" s="4" t="n">
        <v>76.23</v>
      </c>
      <c r="E4712" s="5" t="n">
        <v>75.8</v>
      </c>
      <c r="F4712" s="3" t="inlineStr">
        <is>
          <t>강내면</t>
        </is>
      </c>
      <c r="G4712" s="3" t="inlineStr">
        <is>
          <t>궁현리</t>
        </is>
      </c>
      <c r="H4712" s="3" t="inlineStr">
        <is>
          <t>용도미지정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458</v>
      </c>
      <c r="C4713" s="4" t="n">
        <v>20</v>
      </c>
      <c r="D4713" s="4" t="n">
        <v>6.05</v>
      </c>
      <c r="E4713" s="5" t="n">
        <v>75.7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용도미지정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252</v>
      </c>
      <c r="C4714" s="4" t="n">
        <v>11</v>
      </c>
      <c r="D4714" s="4" t="n">
        <v>3.3275</v>
      </c>
      <c r="E4714" s="5" t="n">
        <v>75.7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용도미지정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5985</v>
      </c>
      <c r="C4715" s="4" t="n">
        <v>261</v>
      </c>
      <c r="D4715" s="4" t="n">
        <v>78.9525</v>
      </c>
      <c r="E4715" s="5" t="n">
        <v>75.8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용도미지정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2023</v>
      </c>
      <c r="B4716" s="4" t="n">
        <v>79000</v>
      </c>
      <c r="C4716" s="4" t="n">
        <v>3494</v>
      </c>
      <c r="D4716" s="4" t="n">
        <v>1056.935</v>
      </c>
      <c r="E4716" s="5" t="n">
        <v>74.7</v>
      </c>
      <c r="F4716" s="3" t="inlineStr">
        <is>
          <t>오송읍</t>
        </is>
      </c>
      <c r="G4716" s="3" t="inlineStr">
        <is>
          <t>궁평리</t>
        </is>
      </c>
      <c r="H4716" s="3" t="inlineStr">
        <is>
          <t>농림지역</t>
        </is>
      </c>
      <c r="I4716" s="3" t="inlineStr">
        <is>
          <t>전</t>
        </is>
      </c>
      <c r="J4716" s="3" t="inlineStr">
        <is>
          <t>오송읍</t>
        </is>
      </c>
    </row>
    <row r="4717">
      <c r="A4717" s="3" t="n">
        <v>2023</v>
      </c>
      <c r="B4717" s="4" t="n">
        <v>30000</v>
      </c>
      <c r="C4717" s="4" t="n">
        <v>241</v>
      </c>
      <c r="D4717" s="4" t="n">
        <v>72.9025</v>
      </c>
      <c r="E4717" s="5" t="n">
        <v>411.5</v>
      </c>
      <c r="F4717" s="3" t="inlineStr">
        <is>
          <t>오송읍</t>
        </is>
      </c>
      <c r="G4717" s="3" t="inlineStr">
        <is>
          <t>봉산리</t>
        </is>
      </c>
      <c r="H4717" s="3" t="inlineStr">
        <is>
          <t>제1종일반주거지역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28000</v>
      </c>
      <c r="C4718" s="4" t="n">
        <v>307</v>
      </c>
      <c r="D4718" s="4" t="n">
        <v>92.86749999999999</v>
      </c>
      <c r="E4718" s="5" t="n">
        <v>301.5</v>
      </c>
      <c r="F4718" s="3" t="inlineStr">
        <is>
          <t>오송읍</t>
        </is>
      </c>
      <c r="G4718" s="3" t="inlineStr">
        <is>
          <t>궁평리</t>
        </is>
      </c>
      <c r="H4718" s="3" t="inlineStr">
        <is>
          <t>일반상업지역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2024</v>
      </c>
      <c r="B4719" s="4" t="n">
        <v>102400</v>
      </c>
      <c r="C4719" s="4" t="n">
        <v>932</v>
      </c>
      <c r="D4719" s="4" t="n">
        <v>281.93</v>
      </c>
      <c r="E4719" s="5" t="n">
        <v>363.2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계획관리지역</t>
        </is>
      </c>
      <c r="I4719" s="3" t="inlineStr">
        <is>
          <t>잡종지</t>
        </is>
      </c>
      <c r="J4719" s="3" t="inlineStr">
        <is>
          <t>오송읍</t>
        </is>
      </c>
    </row>
    <row r="4720">
      <c r="A4720" s="3" t="n">
        <v>2024</v>
      </c>
      <c r="B4720" s="4" t="n">
        <v>90240</v>
      </c>
      <c r="C4720" s="4" t="n">
        <v>932</v>
      </c>
      <c r="D4720" s="4" t="n">
        <v>281.93</v>
      </c>
      <c r="E4720" s="5" t="n">
        <v>320.1</v>
      </c>
      <c r="F4720" s="3" t="inlineStr">
        <is>
          <t>오송읍</t>
        </is>
      </c>
      <c r="G4720" s="3" t="inlineStr">
        <is>
          <t>궁평리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오송읍</t>
        </is>
      </c>
    </row>
    <row r="4721">
      <c r="A4721" s="3" t="n">
        <v>2024</v>
      </c>
      <c r="B4721" s="4" t="n">
        <v>12160</v>
      </c>
      <c r="C4721" s="4" t="n">
        <v>126</v>
      </c>
      <c r="D4721" s="4" t="n">
        <v>38.115</v>
      </c>
      <c r="E4721" s="5" t="n">
        <v>319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계획관리지역</t>
        </is>
      </c>
      <c r="I4721" s="3" t="inlineStr">
        <is>
          <t>잡종지</t>
        </is>
      </c>
      <c r="J4721" s="3" t="inlineStr">
        <is>
          <t>오송읍</t>
        </is>
      </c>
    </row>
    <row r="4722">
      <c r="A4722" s="3" t="n">
        <v>2026</v>
      </c>
      <c r="B4722" s="4" t="n">
        <v>62000</v>
      </c>
      <c r="C4722" s="4" t="n">
        <v>11008</v>
      </c>
      <c r="D4722" s="4" t="n">
        <v>3329.92</v>
      </c>
      <c r="E4722" s="5" t="n">
        <v>18.6</v>
      </c>
      <c r="F4722" s="3" t="inlineStr">
        <is>
          <t>조치원읍</t>
        </is>
      </c>
      <c r="G4722" s="3" t="inlineStr">
        <is>
          <t>신안리</t>
        </is>
      </c>
      <c r="H4722" s="3" t="inlineStr">
        <is>
          <t>자연녹지지역</t>
        </is>
      </c>
      <c r="I4722" s="3" t="inlineStr">
        <is>
          <t>임야</t>
        </is>
      </c>
      <c r="J4722" s="3" t="inlineStr">
        <is>
          <t>조치원읍</t>
        </is>
      </c>
    </row>
    <row r="4723">
      <c r="A4723" s="3" t="n">
        <v>2026</v>
      </c>
      <c r="B4723" s="4" t="n">
        <v>1070</v>
      </c>
      <c r="C4723" s="4" t="n">
        <v>221</v>
      </c>
      <c r="D4723" s="4" t="n">
        <v>66.85249999999999</v>
      </c>
      <c r="E4723" s="5" t="n">
        <v>16</v>
      </c>
      <c r="F4723" s="3" t="inlineStr">
        <is>
          <t>전의면</t>
        </is>
      </c>
      <c r="G4723" s="3" t="inlineStr">
        <is>
          <t>신정리</t>
        </is>
      </c>
      <c r="H4723" s="3" t="inlineStr">
        <is>
          <t>보전관리지역</t>
        </is>
      </c>
      <c r="I4723" s="3" t="inlineStr">
        <is>
          <t>전</t>
        </is>
      </c>
      <c r="J4723" s="3" t="inlineStr">
        <is>
          <t>전의면</t>
        </is>
      </c>
    </row>
    <row r="4724">
      <c r="A4724" s="3" t="n">
        <v>2026</v>
      </c>
      <c r="B4724" s="4" t="n">
        <v>10000</v>
      </c>
      <c r="C4724" s="4" t="n">
        <v>2777</v>
      </c>
      <c r="D4724" s="4" t="n">
        <v>840.0425</v>
      </c>
      <c r="E4724" s="5" t="n">
        <v>11.9</v>
      </c>
      <c r="F4724" s="3" t="inlineStr">
        <is>
          <t>전의면</t>
        </is>
      </c>
      <c r="G4724" s="3" t="inlineStr">
        <is>
          <t>신정리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전의면</t>
        </is>
      </c>
    </row>
    <row r="4725">
      <c r="A4725" s="3" t="n">
        <v>2026</v>
      </c>
      <c r="B4725" s="4" t="n">
        <v>251450</v>
      </c>
      <c r="C4725" s="4" t="n">
        <v>6610.6</v>
      </c>
      <c r="D4725" s="4" t="n">
        <v>1999.7065</v>
      </c>
      <c r="E4725" s="5" t="n">
        <v>125.7</v>
      </c>
      <c r="F4725" s="3" t="inlineStr">
        <is>
          <t>전동면</t>
        </is>
      </c>
      <c r="G4725" s="3" t="inlineStr">
        <is>
          <t>심중리</t>
        </is>
      </c>
      <c r="H4725" s="3" t="inlineStr">
        <is>
          <t>일반공업지역</t>
        </is>
      </c>
      <c r="I4725" s="3" t="inlineStr">
        <is>
          <t>공장용지</t>
        </is>
      </c>
      <c r="J4725" s="3" t="inlineStr">
        <is>
          <t>전동면</t>
        </is>
      </c>
    </row>
    <row r="4726">
      <c r="A4726" s="3" t="n">
        <v>2026</v>
      </c>
      <c r="B4726" s="4" t="n">
        <v>25200</v>
      </c>
      <c r="C4726" s="4" t="n">
        <v>418</v>
      </c>
      <c r="D4726" s="4" t="n">
        <v>126.445</v>
      </c>
      <c r="E4726" s="5" t="n">
        <v>199.3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38000</v>
      </c>
      <c r="C4727" s="4" t="n">
        <v>308.7</v>
      </c>
      <c r="D4727" s="4" t="n">
        <v>93.38175</v>
      </c>
      <c r="E4727" s="5" t="n">
        <v>406.9</v>
      </c>
      <c r="F4727" s="3" t="inlineStr">
        <is>
          <t>집현동</t>
        </is>
      </c>
      <c r="G4727" s="3" t="inlineStr"/>
      <c r="H4727" s="3" t="inlineStr">
        <is>
          <t>제1종전용주거지역</t>
        </is>
      </c>
      <c r="I4727" s="3" t="inlineStr">
        <is>
          <t>대</t>
        </is>
      </c>
      <c r="J4727" s="3" t="inlineStr">
        <is>
          <t>집현동</t>
        </is>
      </c>
    </row>
    <row r="4728">
      <c r="A4728" s="3" t="n">
        <v>2026</v>
      </c>
      <c r="B4728" s="4" t="n">
        <v>60000</v>
      </c>
      <c r="C4728" s="4" t="n">
        <v>1266</v>
      </c>
      <c r="D4728" s="4" t="n">
        <v>382.965</v>
      </c>
      <c r="E4728" s="5" t="n">
        <v>156.7</v>
      </c>
      <c r="F4728" s="3" t="inlineStr">
        <is>
          <t>금남면</t>
        </is>
      </c>
      <c r="G4728" s="3" t="inlineStr">
        <is>
          <t>영곡리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금남면</t>
        </is>
      </c>
    </row>
    <row r="4729">
      <c r="A4729" s="3" t="n">
        <v>2026</v>
      </c>
      <c r="B4729" s="4" t="n">
        <v>2000</v>
      </c>
      <c r="C4729" s="4" t="n">
        <v>324</v>
      </c>
      <c r="D4729" s="4" t="n">
        <v>98.00999999999999</v>
      </c>
      <c r="E4729" s="5" t="n">
        <v>20.4</v>
      </c>
      <c r="F4729" s="3" t="inlineStr">
        <is>
          <t>금남면</t>
        </is>
      </c>
      <c r="G4729" s="3" t="inlineStr">
        <is>
          <t>영대리</t>
        </is>
      </c>
      <c r="H4729" s="3" t="inlineStr">
        <is>
          <t>개발제한구역</t>
        </is>
      </c>
      <c r="I4729" s="3" t="inlineStr">
        <is>
          <t>전</t>
        </is>
      </c>
      <c r="J4729" s="3" t="inlineStr">
        <is>
          <t>금남면</t>
        </is>
      </c>
    </row>
    <row r="4730">
      <c r="A4730" s="3" t="n">
        <v>2026</v>
      </c>
      <c r="B4730" s="4" t="n">
        <v>200</v>
      </c>
      <c r="C4730" s="4" t="n">
        <v>271</v>
      </c>
      <c r="D4730" s="4" t="n">
        <v>81.97749999999999</v>
      </c>
      <c r="E4730" s="5" t="n">
        <v>2.4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장군면</t>
        </is>
      </c>
    </row>
    <row r="4731">
      <c r="A4731" s="3" t="n">
        <v>2026</v>
      </c>
      <c r="B4731" s="4" t="n">
        <v>33000</v>
      </c>
      <c r="C4731" s="4" t="n">
        <v>3967</v>
      </c>
      <c r="D4731" s="4" t="n">
        <v>1200.0175</v>
      </c>
      <c r="E4731" s="5" t="n">
        <v>27.5</v>
      </c>
      <c r="F4731" s="3" t="inlineStr">
        <is>
          <t>금남면</t>
        </is>
      </c>
      <c r="G4731" s="3" t="inlineStr">
        <is>
          <t>발산리</t>
        </is>
      </c>
      <c r="H4731" s="3" t="inlineStr">
        <is>
          <t>개발제한구역</t>
        </is>
      </c>
      <c r="I4731" s="3" t="inlineStr">
        <is>
          <t>임야</t>
        </is>
      </c>
      <c r="J4731" s="3" t="inlineStr">
        <is>
          <t>금남면</t>
        </is>
      </c>
    </row>
    <row r="4732">
      <c r="A4732" s="3" t="n">
        <v>2026</v>
      </c>
      <c r="B4732" s="4" t="n">
        <v>48000</v>
      </c>
      <c r="C4732" s="4" t="n">
        <v>580</v>
      </c>
      <c r="D4732" s="4" t="n">
        <v>175.45</v>
      </c>
      <c r="E4732" s="5" t="n">
        <v>273.6</v>
      </c>
      <c r="F4732" s="3" t="inlineStr">
        <is>
          <t>금남면</t>
        </is>
      </c>
      <c r="G4732" s="3" t="inlineStr">
        <is>
          <t>황용리</t>
        </is>
      </c>
      <c r="H4732" s="3" t="inlineStr">
        <is>
          <t>생산관리지역</t>
        </is>
      </c>
      <c r="I4732" s="3" t="inlineStr">
        <is>
          <t>답</t>
        </is>
      </c>
      <c r="J4732" s="3" t="inlineStr">
        <is>
          <t>금남면</t>
        </is>
      </c>
    </row>
    <row r="4733">
      <c r="A4733" s="3" t="n">
        <v>2026</v>
      </c>
      <c r="B4733" s="4" t="n">
        <v>24323</v>
      </c>
      <c r="C4733" s="4" t="n">
        <v>485</v>
      </c>
      <c r="D4733" s="4" t="n">
        <v>146.7125</v>
      </c>
      <c r="E4733" s="5" t="n">
        <v>165.8</v>
      </c>
      <c r="F4733" s="3" t="inlineStr">
        <is>
          <t>금남면</t>
        </is>
      </c>
      <c r="G4733" s="3" t="inlineStr">
        <is>
          <t>두만리</t>
        </is>
      </c>
      <c r="H4733" s="3" t="inlineStr">
        <is>
          <t>생산관리지역</t>
        </is>
      </c>
      <c r="I4733" s="3" t="inlineStr">
        <is>
          <t>전</t>
        </is>
      </c>
      <c r="J4733" s="3" t="inlineStr">
        <is>
          <t>금남면</t>
        </is>
      </c>
    </row>
    <row r="4734">
      <c r="A4734" s="3" t="n">
        <v>2024</v>
      </c>
      <c r="B4734" s="4" t="n">
        <v>45000</v>
      </c>
      <c r="C4734" s="4" t="n">
        <v>769</v>
      </c>
      <c r="D4734" s="4" t="n">
        <v>232.6225</v>
      </c>
      <c r="E4734" s="5" t="n">
        <v>193.4</v>
      </c>
      <c r="F4734" s="3" t="inlineStr">
        <is>
          <t>연서면</t>
        </is>
      </c>
      <c r="G4734" s="3" t="inlineStr">
        <is>
          <t>와촌리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연서면</t>
        </is>
      </c>
    </row>
    <row r="4735">
      <c r="A4735" s="3" t="n">
        <v>2024</v>
      </c>
      <c r="B4735" s="4" t="n">
        <v>5000</v>
      </c>
      <c r="C4735" s="4" t="n">
        <v>119</v>
      </c>
      <c r="D4735" s="4" t="n">
        <v>35.9975</v>
      </c>
      <c r="E4735" s="5" t="n">
        <v>138.9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생산관리지역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2024</v>
      </c>
      <c r="B4736" s="4" t="n">
        <v>6350</v>
      </c>
      <c r="C4736" s="4" t="n">
        <v>350</v>
      </c>
      <c r="D4736" s="4" t="n">
        <v>105.875</v>
      </c>
      <c r="E4736" s="5" t="n">
        <v>60</v>
      </c>
      <c r="F4736" s="3" t="inlineStr">
        <is>
          <t>금남면</t>
        </is>
      </c>
      <c r="G4736" s="3" t="inlineStr">
        <is>
          <t>원봉리</t>
        </is>
      </c>
      <c r="H4736" s="3" t="inlineStr">
        <is>
          <t>보전관리지역</t>
        </is>
      </c>
      <c r="I4736" s="3" t="inlineStr">
        <is>
          <t>과수원</t>
        </is>
      </c>
      <c r="J4736" s="3" t="inlineStr">
        <is>
          <t>금남면</t>
        </is>
      </c>
    </row>
    <row r="4737">
      <c r="A4737" s="3" t="n">
        <v>2024</v>
      </c>
      <c r="B4737" s="4" t="n">
        <v>55500</v>
      </c>
      <c r="C4737" s="4" t="n">
        <v>415.6</v>
      </c>
      <c r="D4737" s="4" t="n">
        <v>125.719</v>
      </c>
      <c r="E4737" s="5" t="n">
        <v>441.5</v>
      </c>
      <c r="F4737" s="3" t="inlineStr">
        <is>
          <t>조치원읍</t>
        </is>
      </c>
      <c r="G4737" s="3" t="inlineStr">
        <is>
          <t>서창리</t>
        </is>
      </c>
      <c r="H4737" s="3" t="inlineStr">
        <is>
          <t>제2종일반주거지역</t>
        </is>
      </c>
      <c r="I4737" s="3" t="inlineStr">
        <is>
          <t>대</t>
        </is>
      </c>
      <c r="J4737" s="3" t="inlineStr">
        <is>
          <t>조치원읍</t>
        </is>
      </c>
    </row>
    <row r="4738">
      <c r="A4738" s="3" t="n">
        <v>2024</v>
      </c>
      <c r="B4738" s="4" t="n">
        <v>37500</v>
      </c>
      <c r="C4738" s="4" t="n">
        <v>1766</v>
      </c>
      <c r="D4738" s="4" t="n">
        <v>534.215</v>
      </c>
      <c r="E4738" s="5" t="n">
        <v>70.2</v>
      </c>
      <c r="F4738" s="3" t="inlineStr">
        <is>
          <t>금남면</t>
        </is>
      </c>
      <c r="G4738" s="3" t="inlineStr">
        <is>
          <t>황용리</t>
        </is>
      </c>
      <c r="H4738" s="3" t="inlineStr">
        <is>
          <t>계획관리지역</t>
        </is>
      </c>
      <c r="I4738" s="3" t="inlineStr">
        <is>
          <t>답</t>
        </is>
      </c>
      <c r="J4738" s="3" t="inlineStr">
        <is>
          <t>금남면</t>
        </is>
      </c>
    </row>
    <row r="4739">
      <c r="A4739" s="3" t="n">
        <v>2024</v>
      </c>
      <c r="B4739" s="4" t="n">
        <v>30000</v>
      </c>
      <c r="C4739" s="4" t="n">
        <v>497</v>
      </c>
      <c r="D4739" s="4" t="n">
        <v>150.3425</v>
      </c>
      <c r="E4739" s="5" t="n">
        <v>199.5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임야</t>
        </is>
      </c>
      <c r="J4739" s="3" t="inlineStr">
        <is>
          <t>연기면</t>
        </is>
      </c>
    </row>
    <row r="4740">
      <c r="A4740" s="3" t="n">
        <v>2024</v>
      </c>
      <c r="B4740" s="4" t="n">
        <v>1425</v>
      </c>
      <c r="C4740" s="4" t="n">
        <v>10</v>
      </c>
      <c r="D4740" s="4" t="n">
        <v>3.025</v>
      </c>
      <c r="E4740" s="5" t="n">
        <v>471.1</v>
      </c>
      <c r="F4740" s="3" t="inlineStr">
        <is>
          <t>금남면</t>
        </is>
      </c>
      <c r="G4740" s="3" t="inlineStr">
        <is>
          <t>황용리</t>
        </is>
      </c>
      <c r="H4740" s="3" t="inlineStr">
        <is>
          <t>계획관리지역</t>
        </is>
      </c>
      <c r="I4740" s="3" t="inlineStr">
        <is>
          <t>대</t>
        </is>
      </c>
      <c r="J4740" s="3" t="inlineStr">
        <is>
          <t>금남면</t>
        </is>
      </c>
    </row>
    <row r="4741">
      <c r="A4741" s="3" t="n">
        <v>2024</v>
      </c>
      <c r="B4741" s="4" t="n">
        <v>50000</v>
      </c>
      <c r="C4741" s="4" t="n">
        <v>896</v>
      </c>
      <c r="D4741" s="4" t="n">
        <v>271.04</v>
      </c>
      <c r="E4741" s="5" t="n">
        <v>184.5</v>
      </c>
      <c r="F4741" s="3" t="inlineStr">
        <is>
          <t>부강면</t>
        </is>
      </c>
      <c r="G4741" s="3" t="inlineStr">
        <is>
          <t>산수리</t>
        </is>
      </c>
      <c r="H4741" s="3" t="inlineStr">
        <is>
          <t>계획관리지역</t>
        </is>
      </c>
      <c r="I4741" s="3" t="inlineStr">
        <is>
          <t>공장용지</t>
        </is>
      </c>
      <c r="J4741" s="3" t="inlineStr">
        <is>
          <t>부강면</t>
        </is>
      </c>
    </row>
    <row r="4742">
      <c r="A4742" s="3" t="n">
        <v>2024</v>
      </c>
      <c r="B4742" s="4" t="n">
        <v>41800</v>
      </c>
      <c r="C4742" s="4" t="n">
        <v>1063</v>
      </c>
      <c r="D4742" s="4" t="n">
        <v>321.5575</v>
      </c>
      <c r="E4742" s="5" t="n">
        <v>130</v>
      </c>
      <c r="F4742" s="3" t="inlineStr">
        <is>
          <t>장군면</t>
        </is>
      </c>
      <c r="G4742" s="3" t="inlineStr">
        <is>
          <t>하봉리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장군면</t>
        </is>
      </c>
    </row>
    <row r="4743">
      <c r="A4743" s="3" t="n">
        <v>2024</v>
      </c>
      <c r="B4743" s="4" t="n">
        <v>45000</v>
      </c>
      <c r="C4743" s="4" t="n">
        <v>690</v>
      </c>
      <c r="D4743" s="4" t="n">
        <v>208.725</v>
      </c>
      <c r="E4743" s="5" t="n">
        <v>215.6</v>
      </c>
      <c r="F4743" s="3" t="inlineStr">
        <is>
          <t>부강면</t>
        </is>
      </c>
      <c r="G4743" s="3" t="inlineStr">
        <is>
          <t>부강리</t>
        </is>
      </c>
      <c r="H4743" s="3" t="inlineStr">
        <is>
          <t>제2종일반주거지역</t>
        </is>
      </c>
      <c r="I4743" s="3" t="inlineStr">
        <is>
          <t>대</t>
        </is>
      </c>
      <c r="J4743" s="3" t="inlineStr">
        <is>
          <t>부강면</t>
        </is>
      </c>
    </row>
    <row r="4744">
      <c r="A4744" s="3" t="n">
        <v>2024</v>
      </c>
      <c r="B4744" s="4" t="n">
        <v>300</v>
      </c>
      <c r="C4744" s="4" t="n">
        <v>7</v>
      </c>
      <c r="D4744" s="4" t="n">
        <v>2.1175</v>
      </c>
      <c r="E4744" s="5" t="n">
        <v>141.7</v>
      </c>
      <c r="F4744" s="3" t="inlineStr">
        <is>
          <t>조치원읍</t>
        </is>
      </c>
      <c r="G4744" s="3" t="inlineStr">
        <is>
          <t>평리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조치원읍</t>
        </is>
      </c>
    </row>
    <row r="4745">
      <c r="A4745" s="3" t="n">
        <v>2024</v>
      </c>
      <c r="B4745" s="4" t="n">
        <v>150000</v>
      </c>
      <c r="C4745" s="4" t="n">
        <v>6616.8</v>
      </c>
      <c r="D4745" s="4" t="n">
        <v>2001.582</v>
      </c>
      <c r="E4745" s="5" t="n">
        <v>74.90000000000001</v>
      </c>
      <c r="F4745" s="3" t="inlineStr">
        <is>
          <t>연서면</t>
        </is>
      </c>
      <c r="G4745" s="3" t="inlineStr">
        <is>
          <t>쌍전리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연서면</t>
        </is>
      </c>
    </row>
    <row r="4746">
      <c r="A4746" s="3" t="n">
        <v>2024</v>
      </c>
      <c r="B4746" s="4" t="n">
        <v>13500</v>
      </c>
      <c r="C4746" s="4" t="n">
        <v>997</v>
      </c>
      <c r="D4746" s="4" t="n">
        <v>301.5925</v>
      </c>
      <c r="E4746" s="5" t="n">
        <v>44.8</v>
      </c>
      <c r="F4746" s="3" t="inlineStr">
        <is>
          <t>금남면</t>
        </is>
      </c>
      <c r="G4746" s="3" t="inlineStr">
        <is>
          <t>신촌리</t>
        </is>
      </c>
      <c r="H4746" s="3" t="inlineStr">
        <is>
          <t>개발제한구역</t>
        </is>
      </c>
      <c r="I4746" s="3" t="inlineStr">
        <is>
          <t>임야</t>
        </is>
      </c>
      <c r="J4746" s="3" t="inlineStr">
        <is>
          <t>금남면</t>
        </is>
      </c>
    </row>
    <row r="4747">
      <c r="A4747" s="3" t="n">
        <v>2024</v>
      </c>
      <c r="B4747" s="4" t="n">
        <v>399981</v>
      </c>
      <c r="C4747" s="4" t="n">
        <v>8264.1</v>
      </c>
      <c r="D4747" s="4" t="n">
        <v>2499.89025</v>
      </c>
      <c r="E4747" s="5" t="n">
        <v>160</v>
      </c>
      <c r="F4747" s="3" t="inlineStr">
        <is>
          <t>전동면</t>
        </is>
      </c>
      <c r="G4747" s="3" t="inlineStr">
        <is>
          <t>심중리</t>
        </is>
      </c>
      <c r="H4747" s="3" t="inlineStr">
        <is>
          <t>준공업지역</t>
        </is>
      </c>
      <c r="I4747" s="3" t="inlineStr">
        <is>
          <t>공장용지</t>
        </is>
      </c>
      <c r="J4747" s="3" t="inlineStr">
        <is>
          <t>전동면</t>
        </is>
      </c>
    </row>
    <row r="4748">
      <c r="A4748" s="3" t="n">
        <v>2024</v>
      </c>
      <c r="B4748" s="4" t="n">
        <v>55000</v>
      </c>
      <c r="C4748" s="4" t="n">
        <v>4046</v>
      </c>
      <c r="D4748" s="4" t="n">
        <v>1223.915</v>
      </c>
      <c r="E4748" s="5" t="n">
        <v>44.9</v>
      </c>
      <c r="F4748" s="3" t="inlineStr">
        <is>
          <t>전동면</t>
        </is>
      </c>
      <c r="G4748" s="3" t="inlineStr">
        <is>
          <t>송성리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전동면</t>
        </is>
      </c>
    </row>
    <row r="4749">
      <c r="A4749" s="3" t="n">
        <v>2024</v>
      </c>
      <c r="B4749" s="4" t="n">
        <v>43000</v>
      </c>
      <c r="C4749" s="4" t="n">
        <v>33553</v>
      </c>
      <c r="D4749" s="4" t="n">
        <v>10149.7825</v>
      </c>
      <c r="E4749" s="5" t="n">
        <v>4.2</v>
      </c>
      <c r="F4749" s="3" t="inlineStr">
        <is>
          <t>전의면</t>
        </is>
      </c>
      <c r="G4749" s="3" t="inlineStr">
        <is>
          <t>다방리</t>
        </is>
      </c>
      <c r="H4749" s="3" t="inlineStr">
        <is>
          <t>생산관리지역</t>
        </is>
      </c>
      <c r="I4749" s="3" t="inlineStr">
        <is>
          <t>임야</t>
        </is>
      </c>
      <c r="J4749" s="3" t="inlineStr">
        <is>
          <t>전의면</t>
        </is>
      </c>
    </row>
    <row r="4750">
      <c r="A4750" s="3" t="n">
        <v>2022</v>
      </c>
      <c r="B4750" s="4" t="n">
        <v>235</v>
      </c>
      <c r="C4750" s="4" t="n">
        <v>12</v>
      </c>
      <c r="D4750" s="4" t="n">
        <v>3.63</v>
      </c>
      <c r="E4750" s="5" t="n">
        <v>64.7</v>
      </c>
      <c r="F4750" s="3" t="inlineStr">
        <is>
          <t>강내면</t>
        </is>
      </c>
      <c r="G4750" s="3" t="inlineStr">
        <is>
          <t>탑연리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강내면</t>
        </is>
      </c>
    </row>
    <row r="4751">
      <c r="A4751" s="3" t="n">
        <v>2022</v>
      </c>
      <c r="B4751" s="4" t="n">
        <v>55000</v>
      </c>
      <c r="C4751" s="4" t="n">
        <v>286.8</v>
      </c>
      <c r="D4751" s="4" t="n">
        <v>86.75700000000001</v>
      </c>
      <c r="E4751" s="5" t="n">
        <v>634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2022</v>
      </c>
      <c r="B4752" s="4" t="n">
        <v>6040</v>
      </c>
      <c r="C4752" s="4" t="n">
        <v>1000</v>
      </c>
      <c r="D4752" s="4" t="n">
        <v>302.5</v>
      </c>
      <c r="E4752" s="5" t="n">
        <v>20</v>
      </c>
      <c r="F4752" s="3" t="inlineStr">
        <is>
          <t>오송읍</t>
        </is>
      </c>
      <c r="G4752" s="3" t="inlineStr">
        <is>
          <t>연제리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2022</v>
      </c>
      <c r="B4753" s="4" t="n">
        <v>32000</v>
      </c>
      <c r="C4753" s="4" t="n">
        <v>267.6</v>
      </c>
      <c r="D4753" s="4" t="n">
        <v>80.949</v>
      </c>
      <c r="E4753" s="5" t="n">
        <v>395.3</v>
      </c>
      <c r="F4753" s="3" t="inlineStr">
        <is>
          <t>오송읍</t>
        </is>
      </c>
      <c r="G4753" s="3" t="inlineStr">
        <is>
          <t>봉산리</t>
        </is>
      </c>
      <c r="H4753" s="3" t="inlineStr">
        <is>
          <t>제1종일반주거지역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2022</v>
      </c>
      <c r="B4754" s="4" t="n">
        <v>2000</v>
      </c>
      <c r="C4754" s="4" t="n">
        <v>168</v>
      </c>
      <c r="D4754" s="4" t="n">
        <v>50.82</v>
      </c>
      <c r="E4754" s="5" t="n">
        <v>39.4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37000</v>
      </c>
      <c r="C4755" s="4" t="n">
        <v>271.8</v>
      </c>
      <c r="D4755" s="4" t="n">
        <v>82.2195</v>
      </c>
      <c r="E4755" s="5" t="n">
        <v>450</v>
      </c>
      <c r="F4755" s="3" t="inlineStr">
        <is>
          <t>오송읍</t>
        </is>
      </c>
      <c r="G4755" s="3" t="inlineStr">
        <is>
          <t>봉산리</t>
        </is>
      </c>
      <c r="H4755" s="3" t="inlineStr">
        <is>
          <t>제1종일반주거지역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2022</v>
      </c>
      <c r="B4756" s="4" t="n">
        <v>9000</v>
      </c>
      <c r="C4756" s="4" t="n">
        <v>1164</v>
      </c>
      <c r="D4756" s="4" t="n">
        <v>352.11</v>
      </c>
      <c r="E4756" s="5" t="n">
        <v>25.6</v>
      </c>
      <c r="F4756" s="3" t="inlineStr">
        <is>
          <t>강내면</t>
        </is>
      </c>
      <c r="G4756" s="3" t="inlineStr">
        <is>
          <t>다락리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3000</v>
      </c>
      <c r="C4757" s="4" t="n">
        <v>34</v>
      </c>
      <c r="D4757" s="4" t="n">
        <v>10.285</v>
      </c>
      <c r="E4757" s="5" t="n">
        <v>291.7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계획관리지역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2022</v>
      </c>
      <c r="B4758" s="4" t="n">
        <v>500</v>
      </c>
      <c r="C4758" s="4" t="n">
        <v>2</v>
      </c>
      <c r="D4758" s="4" t="n">
        <v>0.605</v>
      </c>
      <c r="E4758" s="5" t="n">
        <v>826.4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2024</v>
      </c>
      <c r="B4759" s="4" t="n">
        <v>102400</v>
      </c>
      <c r="C4759" s="4" t="n">
        <v>932</v>
      </c>
      <c r="D4759" s="4" t="n">
        <v>281.93</v>
      </c>
      <c r="E4759" s="5" t="n">
        <v>363.2</v>
      </c>
      <c r="F4759" s="3" t="inlineStr">
        <is>
          <t>오송읍</t>
        </is>
      </c>
      <c r="G4759" s="3" t="inlineStr">
        <is>
          <t>궁평리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2024</v>
      </c>
      <c r="B4760" s="4" t="n">
        <v>13997</v>
      </c>
      <c r="C4760" s="4" t="n">
        <v>607</v>
      </c>
      <c r="D4760" s="4" t="n">
        <v>183.6175</v>
      </c>
      <c r="E4760" s="5" t="n">
        <v>76.2</v>
      </c>
      <c r="F4760" s="3" t="inlineStr">
        <is>
          <t>강내면</t>
        </is>
      </c>
      <c r="G4760" s="3" t="inlineStr">
        <is>
          <t>월곡리</t>
        </is>
      </c>
      <c r="H4760" s="3" t="inlineStr">
        <is>
          <t>자연녹지지역</t>
        </is>
      </c>
      <c r="I4760" s="3" t="inlineStr">
        <is>
          <t>대</t>
        </is>
      </c>
      <c r="J4760" s="3" t="inlineStr">
        <is>
          <t>강내면</t>
        </is>
      </c>
    </row>
    <row r="4761">
      <c r="A4761" s="3" t="n">
        <v>2024</v>
      </c>
      <c r="B4761" s="4" t="n">
        <v>1568</v>
      </c>
      <c r="C4761" s="4" t="n">
        <v>66</v>
      </c>
      <c r="D4761" s="4" t="n">
        <v>19.965</v>
      </c>
      <c r="E4761" s="5" t="n">
        <v>78.5</v>
      </c>
      <c r="F4761" s="3" t="inlineStr">
        <is>
          <t>강내면</t>
        </is>
      </c>
      <c r="G4761" s="3" t="inlineStr">
        <is>
          <t>월곡리</t>
        </is>
      </c>
      <c r="H4761" s="3" t="inlineStr">
        <is>
          <t>자연녹지지역</t>
        </is>
      </c>
      <c r="I4761" s="3" t="inlineStr">
        <is>
          <t>대</t>
        </is>
      </c>
      <c r="J4761" s="3" t="inlineStr">
        <is>
          <t>강내면</t>
        </is>
      </c>
    </row>
    <row r="4762">
      <c r="A4762" s="3" t="n">
        <v>2024</v>
      </c>
      <c r="B4762" s="4" t="n">
        <v>26590</v>
      </c>
      <c r="C4762" s="4" t="n">
        <v>1956</v>
      </c>
      <c r="D4762" s="4" t="n">
        <v>591.6899999999999</v>
      </c>
      <c r="E4762" s="5" t="n">
        <v>44.9</v>
      </c>
      <c r="F4762" s="3" t="inlineStr">
        <is>
          <t>강내면</t>
        </is>
      </c>
      <c r="G4762" s="3" t="inlineStr">
        <is>
          <t>사곡리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강내면</t>
        </is>
      </c>
    </row>
    <row r="4763">
      <c r="A4763" s="3" t="n">
        <v>2023</v>
      </c>
      <c r="B4763" s="4" t="n">
        <v>9060</v>
      </c>
      <c r="C4763" s="4" t="n">
        <v>40</v>
      </c>
      <c r="D4763" s="4" t="n">
        <v>12.1</v>
      </c>
      <c r="E4763" s="5" t="n">
        <v>748.8</v>
      </c>
      <c r="F4763" s="3" t="inlineStr">
        <is>
          <t>전의면</t>
        </is>
      </c>
      <c r="G4763" s="3" t="inlineStr">
        <is>
          <t>읍내리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전의면</t>
        </is>
      </c>
    </row>
    <row r="4764">
      <c r="A4764" s="3" t="n">
        <v>2023</v>
      </c>
      <c r="B4764" s="4" t="n">
        <v>11652</v>
      </c>
      <c r="C4764" s="4" t="n">
        <v>321</v>
      </c>
      <c r="D4764" s="4" t="n">
        <v>97.10249999999999</v>
      </c>
      <c r="E4764" s="5" t="n">
        <v>120</v>
      </c>
      <c r="F4764" s="3" t="inlineStr">
        <is>
          <t>장군면</t>
        </is>
      </c>
      <c r="G4764" s="3" t="inlineStr">
        <is>
          <t>송문리</t>
        </is>
      </c>
      <c r="H4764" s="3" t="inlineStr">
        <is>
          <t>보전관리지역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2023</v>
      </c>
      <c r="B4765" s="4" t="n">
        <v>3485</v>
      </c>
      <c r="C4765" s="4" t="n">
        <v>96</v>
      </c>
      <c r="D4765" s="4" t="n">
        <v>29.04</v>
      </c>
      <c r="E4765" s="5" t="n">
        <v>120</v>
      </c>
      <c r="F4765" s="3" t="inlineStr">
        <is>
          <t>장군면</t>
        </is>
      </c>
      <c r="G4765" s="3" t="inlineStr">
        <is>
          <t>송문리</t>
        </is>
      </c>
      <c r="H4765" s="3" t="inlineStr">
        <is>
          <t>보전관리지역</t>
        </is>
      </c>
      <c r="I4765" s="3" t="inlineStr">
        <is>
          <t>임야</t>
        </is>
      </c>
      <c r="J4765" s="3" t="inlineStr">
        <is>
          <t>장군면</t>
        </is>
      </c>
    </row>
    <row r="4766">
      <c r="A4766" s="3" t="n">
        <v>2023</v>
      </c>
      <c r="B4766" s="4" t="n">
        <v>18571</v>
      </c>
      <c r="C4766" s="4" t="n">
        <v>1653</v>
      </c>
      <c r="D4766" s="4" t="n">
        <v>500.0325</v>
      </c>
      <c r="E4766" s="5" t="n">
        <v>37.1</v>
      </c>
      <c r="F4766" s="3" t="inlineStr">
        <is>
          <t>소정면</t>
        </is>
      </c>
      <c r="G4766" s="3" t="inlineStr">
        <is>
          <t>대곡리</t>
        </is>
      </c>
      <c r="H4766" s="3" t="inlineStr">
        <is>
          <t>보전관리지역</t>
        </is>
      </c>
      <c r="I4766" s="3" t="inlineStr">
        <is>
          <t>임야</t>
        </is>
      </c>
      <c r="J4766" s="3" t="inlineStr">
        <is>
          <t>소정면</t>
        </is>
      </c>
    </row>
    <row r="4767">
      <c r="A4767" s="3" t="n">
        <v>2023</v>
      </c>
      <c r="B4767" s="4" t="n">
        <v>15000</v>
      </c>
      <c r="C4767" s="4" t="n">
        <v>144</v>
      </c>
      <c r="D4767" s="4" t="n">
        <v>43.56</v>
      </c>
      <c r="E4767" s="5" t="n">
        <v>344.4</v>
      </c>
      <c r="F4767" s="3" t="inlineStr">
        <is>
          <t>전의면</t>
        </is>
      </c>
      <c r="G4767" s="3" t="inlineStr">
        <is>
          <t>동교리</t>
        </is>
      </c>
      <c r="H4767" s="3" t="inlineStr">
        <is>
          <t>자연녹지지역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2023</v>
      </c>
      <c r="B4768" s="4" t="n">
        <v>40000</v>
      </c>
      <c r="C4768" s="4" t="n">
        <v>4003</v>
      </c>
      <c r="D4768" s="4" t="n">
        <v>1210.9075</v>
      </c>
      <c r="E4768" s="5" t="n">
        <v>33</v>
      </c>
      <c r="F4768" s="3" t="inlineStr">
        <is>
          <t>장군면</t>
        </is>
      </c>
      <c r="G4768" s="3" t="inlineStr">
        <is>
          <t>평기리</t>
        </is>
      </c>
      <c r="H4768" s="3" t="inlineStr">
        <is>
          <t>농림지역</t>
        </is>
      </c>
      <c r="I4768" s="3" t="inlineStr">
        <is>
          <t>답</t>
        </is>
      </c>
      <c r="J4768" s="3" t="inlineStr">
        <is>
          <t>장군면</t>
        </is>
      </c>
    </row>
    <row r="4769">
      <c r="A4769" s="3" t="n">
        <v>2023</v>
      </c>
      <c r="B4769" s="4" t="n">
        <v>24000</v>
      </c>
      <c r="C4769" s="4" t="n">
        <v>1793</v>
      </c>
      <c r="D4769" s="4" t="n">
        <v>542.3824999999999</v>
      </c>
      <c r="E4769" s="5" t="n">
        <v>44.2</v>
      </c>
      <c r="F4769" s="3" t="inlineStr">
        <is>
          <t>금남면</t>
        </is>
      </c>
      <c r="G4769" s="3" t="inlineStr">
        <is>
          <t>황용리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2023</v>
      </c>
      <c r="B4770" s="4" t="n">
        <v>9500</v>
      </c>
      <c r="C4770" s="4" t="n">
        <v>820</v>
      </c>
      <c r="D4770" s="4" t="n">
        <v>248.05</v>
      </c>
      <c r="E4770" s="5" t="n">
        <v>38.3</v>
      </c>
      <c r="F4770" s="3" t="inlineStr">
        <is>
          <t>부강면</t>
        </is>
      </c>
      <c r="G4770" s="3" t="inlineStr">
        <is>
          <t>문곡리</t>
        </is>
      </c>
      <c r="H4770" s="3" t="inlineStr">
        <is>
          <t>계획관리지역</t>
        </is>
      </c>
      <c r="I4770" s="3" t="inlineStr">
        <is>
          <t>답</t>
        </is>
      </c>
      <c r="J4770" s="3" t="inlineStr">
        <is>
          <t>부강면</t>
        </is>
      </c>
    </row>
    <row r="4771">
      <c r="A4771" s="3" t="n">
        <v>2023</v>
      </c>
      <c r="B4771" s="4" t="n">
        <v>2000</v>
      </c>
      <c r="C4771" s="4" t="n">
        <v>123</v>
      </c>
      <c r="D4771" s="4" t="n">
        <v>37.2075</v>
      </c>
      <c r="E4771" s="5" t="n">
        <v>53.8</v>
      </c>
      <c r="F4771" s="3" t="inlineStr">
        <is>
          <t>전동면</t>
        </is>
      </c>
      <c r="G4771" s="3" t="inlineStr">
        <is>
          <t>노장리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전동면</t>
        </is>
      </c>
    </row>
    <row r="4772">
      <c r="A4772" s="3" t="n">
        <v>2022</v>
      </c>
      <c r="B4772" s="4" t="n">
        <v>146282</v>
      </c>
      <c r="C4772" s="4" t="n">
        <v>1233</v>
      </c>
      <c r="D4772" s="4" t="n">
        <v>372.9825</v>
      </c>
      <c r="E4772" s="5" t="n">
        <v>392.2</v>
      </c>
      <c r="F4772" s="3" t="inlineStr">
        <is>
          <t>장군면</t>
        </is>
      </c>
      <c r="G4772" s="3" t="inlineStr">
        <is>
          <t>금암리</t>
        </is>
      </c>
      <c r="H4772" s="3" t="inlineStr">
        <is>
          <t>계획관리지역</t>
        </is>
      </c>
      <c r="I4772" s="3" t="inlineStr">
        <is>
          <t>답</t>
        </is>
      </c>
      <c r="J4772" s="3" t="inlineStr">
        <is>
          <t>장군면</t>
        </is>
      </c>
    </row>
    <row r="4773">
      <c r="A4773" s="3" t="n">
        <v>2022</v>
      </c>
      <c r="B4773" s="4" t="n">
        <v>19575</v>
      </c>
      <c r="C4773" s="4" t="n">
        <v>165</v>
      </c>
      <c r="D4773" s="4" t="n">
        <v>49.9125</v>
      </c>
      <c r="E4773" s="5" t="n">
        <v>392.2</v>
      </c>
      <c r="F4773" s="3" t="inlineStr">
        <is>
          <t>장군면</t>
        </is>
      </c>
      <c r="G4773" s="3" t="inlineStr">
        <is>
          <t>금암리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장군면</t>
        </is>
      </c>
    </row>
    <row r="4774">
      <c r="A4774" s="3" t="n">
        <v>2022</v>
      </c>
      <c r="B4774" s="4" t="n">
        <v>22304</v>
      </c>
      <c r="C4774" s="4" t="n">
        <v>188</v>
      </c>
      <c r="D4774" s="4" t="n">
        <v>56.87</v>
      </c>
      <c r="E4774" s="5" t="n">
        <v>392.2</v>
      </c>
      <c r="F4774" s="3" t="inlineStr">
        <is>
          <t>장군면</t>
        </is>
      </c>
      <c r="G4774" s="3" t="inlineStr">
        <is>
          <t>금암리</t>
        </is>
      </c>
      <c r="H4774" s="3" t="inlineStr">
        <is>
          <t>계획관리지역</t>
        </is>
      </c>
      <c r="I4774" s="3" t="inlineStr">
        <is>
          <t>전</t>
        </is>
      </c>
      <c r="J4774" s="3" t="inlineStr">
        <is>
          <t>장군면</t>
        </is>
      </c>
    </row>
    <row r="4775">
      <c r="A4775" s="3" t="n">
        <v>2022</v>
      </c>
      <c r="B4775" s="4" t="n">
        <v>2966</v>
      </c>
      <c r="C4775" s="4" t="n">
        <v>25</v>
      </c>
      <c r="D4775" s="4" t="n">
        <v>7.5625</v>
      </c>
      <c r="E4775" s="5" t="n">
        <v>392.2</v>
      </c>
      <c r="F4775" s="3" t="inlineStr">
        <is>
          <t>장군면</t>
        </is>
      </c>
      <c r="G4775" s="3" t="inlineStr">
        <is>
          <t>금암리</t>
        </is>
      </c>
      <c r="H4775" s="3" t="inlineStr">
        <is>
          <t>계획관리지역</t>
        </is>
      </c>
      <c r="I4775" s="3" t="inlineStr">
        <is>
          <t>전</t>
        </is>
      </c>
      <c r="J4775" s="3" t="inlineStr">
        <is>
          <t>장군면</t>
        </is>
      </c>
    </row>
    <row r="4776">
      <c r="A4776" s="3" t="n">
        <v>2022</v>
      </c>
      <c r="B4776" s="4" t="n">
        <v>60000</v>
      </c>
      <c r="C4776" s="4" t="n">
        <v>2661</v>
      </c>
      <c r="D4776" s="4" t="n">
        <v>804.9525</v>
      </c>
      <c r="E4776" s="5" t="n">
        <v>74.5</v>
      </c>
      <c r="F4776" s="3" t="inlineStr">
        <is>
          <t>전동면</t>
        </is>
      </c>
      <c r="G4776" s="3" t="inlineStr">
        <is>
          <t>청송리</t>
        </is>
      </c>
      <c r="H4776" s="3" t="inlineStr">
        <is>
          <t>계획관리지역</t>
        </is>
      </c>
      <c r="I4776" s="3" t="inlineStr">
        <is>
          <t>잡종지</t>
        </is>
      </c>
      <c r="J4776" s="3" t="inlineStr">
        <is>
          <t>전동면</t>
        </is>
      </c>
    </row>
    <row r="4777">
      <c r="A4777" s="3" t="n">
        <v>2022</v>
      </c>
      <c r="B4777" s="4" t="n">
        <v>40000</v>
      </c>
      <c r="C4777" s="4" t="n">
        <v>2522</v>
      </c>
      <c r="D4777" s="4" t="n">
        <v>762.905</v>
      </c>
      <c r="E4777" s="5" t="n">
        <v>52.4</v>
      </c>
      <c r="F4777" s="3" t="inlineStr">
        <is>
          <t>전동면</t>
        </is>
      </c>
      <c r="G4777" s="3" t="inlineStr">
        <is>
          <t>청송리</t>
        </is>
      </c>
      <c r="H4777" s="3" t="inlineStr">
        <is>
          <t>농림지역</t>
        </is>
      </c>
      <c r="I4777" s="3" t="inlineStr">
        <is>
          <t>주차장</t>
        </is>
      </c>
      <c r="J4777" s="3" t="inlineStr">
        <is>
          <t>전동면</t>
        </is>
      </c>
    </row>
    <row r="4778">
      <c r="A4778" s="3" t="n">
        <v>2022</v>
      </c>
      <c r="B4778" s="4" t="n">
        <v>63700</v>
      </c>
      <c r="C4778" s="4" t="n">
        <v>3500</v>
      </c>
      <c r="D4778" s="4" t="n">
        <v>1058.75</v>
      </c>
      <c r="E4778" s="5" t="n">
        <v>60.2</v>
      </c>
      <c r="F4778" s="3" t="inlineStr">
        <is>
          <t>전동면</t>
        </is>
      </c>
      <c r="G4778" s="3" t="inlineStr">
        <is>
          <t>청송리</t>
        </is>
      </c>
      <c r="H4778" s="3" t="inlineStr">
        <is>
          <t>농림지역</t>
        </is>
      </c>
      <c r="I4778" s="3" t="inlineStr">
        <is>
          <t>잡종지</t>
        </is>
      </c>
      <c r="J4778" s="3" t="inlineStr">
        <is>
          <t>전동면</t>
        </is>
      </c>
    </row>
    <row r="4779">
      <c r="A4779" s="3" t="n">
        <v>2022</v>
      </c>
      <c r="B4779" s="4" t="n">
        <v>32600</v>
      </c>
      <c r="C4779" s="4" t="n">
        <v>1078</v>
      </c>
      <c r="D4779" s="4" t="n">
        <v>326.095</v>
      </c>
      <c r="E4779" s="5" t="n">
        <v>100</v>
      </c>
      <c r="F4779" s="3" t="inlineStr">
        <is>
          <t>연서면</t>
        </is>
      </c>
      <c r="G4779" s="3" t="inlineStr">
        <is>
          <t>신대리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연서면</t>
        </is>
      </c>
    </row>
    <row r="4780">
      <c r="A4780" s="3" t="n">
        <v>2022</v>
      </c>
      <c r="B4780" s="4" t="n">
        <v>22400</v>
      </c>
      <c r="C4780" s="4" t="n">
        <v>739</v>
      </c>
      <c r="D4780" s="4" t="n">
        <v>223.5475</v>
      </c>
      <c r="E4780" s="5" t="n">
        <v>100.2</v>
      </c>
      <c r="F4780" s="3" t="inlineStr">
        <is>
          <t>연서면</t>
        </is>
      </c>
      <c r="G4780" s="3" t="inlineStr">
        <is>
          <t>신대리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연서면</t>
        </is>
      </c>
    </row>
    <row r="4781">
      <c r="A4781" s="3" t="n">
        <v>2022</v>
      </c>
      <c r="B4781" s="4" t="n">
        <v>13350</v>
      </c>
      <c r="C4781" s="4" t="n">
        <v>833</v>
      </c>
      <c r="D4781" s="4" t="n">
        <v>251.9825</v>
      </c>
      <c r="E4781" s="5" t="n">
        <v>53</v>
      </c>
      <c r="F4781" s="3" t="inlineStr">
        <is>
          <t>부강면</t>
        </is>
      </c>
      <c r="G4781" s="3" t="inlineStr">
        <is>
          <t>문곡리</t>
        </is>
      </c>
      <c r="H4781" s="3" t="inlineStr">
        <is>
          <t>생산관리지역</t>
        </is>
      </c>
      <c r="I4781" s="3" t="inlineStr">
        <is>
          <t>답</t>
        </is>
      </c>
      <c r="J4781" s="3" t="inlineStr">
        <is>
          <t>부강면</t>
        </is>
      </c>
    </row>
    <row r="4782">
      <c r="A4782" s="3" t="n">
        <v>2022</v>
      </c>
      <c r="B4782" s="4" t="n">
        <v>8000</v>
      </c>
      <c r="C4782" s="4" t="n">
        <v>562</v>
      </c>
      <c r="D4782" s="4" t="n">
        <v>170.005</v>
      </c>
      <c r="E4782" s="5" t="n">
        <v>47.1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전동면</t>
        </is>
      </c>
    </row>
    <row r="4783">
      <c r="A4783" s="3" t="n">
        <v>2022</v>
      </c>
      <c r="B4783" s="4" t="n">
        <v>25000</v>
      </c>
      <c r="C4783" s="4" t="n">
        <v>2450</v>
      </c>
      <c r="D4783" s="4" t="n">
        <v>741.125</v>
      </c>
      <c r="E4783" s="5" t="n">
        <v>33.7</v>
      </c>
      <c r="F4783" s="3" t="inlineStr">
        <is>
          <t>전동면</t>
        </is>
      </c>
      <c r="G4783" s="3" t="inlineStr">
        <is>
          <t>청송리</t>
        </is>
      </c>
      <c r="H4783" s="3" t="inlineStr">
        <is>
          <t>계획관리지역</t>
        </is>
      </c>
      <c r="I4783" s="3" t="inlineStr">
        <is>
          <t>전</t>
        </is>
      </c>
      <c r="J4783" s="3" t="inlineStr">
        <is>
          <t>전동면</t>
        </is>
      </c>
    </row>
    <row r="4784">
      <c r="A4784" s="3" t="n">
        <v>2022</v>
      </c>
      <c r="B4784" s="4" t="n">
        <v>2200</v>
      </c>
      <c r="C4784" s="4" t="n">
        <v>400</v>
      </c>
      <c r="D4784" s="4" t="n">
        <v>121</v>
      </c>
      <c r="E4784" s="5" t="n">
        <v>18.2</v>
      </c>
      <c r="F4784" s="3" t="inlineStr">
        <is>
          <t>전동면</t>
        </is>
      </c>
      <c r="G4784" s="3" t="inlineStr">
        <is>
          <t>청송리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전동면</t>
        </is>
      </c>
    </row>
    <row r="4785">
      <c r="A4785" s="3" t="n">
        <v>2022</v>
      </c>
      <c r="B4785" s="4" t="n">
        <v>32800</v>
      </c>
      <c r="C4785" s="4" t="n">
        <v>1028</v>
      </c>
      <c r="D4785" s="4" t="n">
        <v>310.97</v>
      </c>
      <c r="E4785" s="5" t="n">
        <v>105.5</v>
      </c>
      <c r="F4785" s="3" t="inlineStr">
        <is>
          <t>전동면</t>
        </is>
      </c>
      <c r="G4785" s="3" t="inlineStr">
        <is>
          <t>청송리</t>
        </is>
      </c>
      <c r="H4785" s="3" t="inlineStr">
        <is>
          <t>계획관리지역</t>
        </is>
      </c>
      <c r="I4785" s="3" t="inlineStr">
        <is>
          <t>공장용지</t>
        </is>
      </c>
      <c r="J4785" s="3" t="inlineStr">
        <is>
          <t>전동면</t>
        </is>
      </c>
    </row>
    <row r="4786">
      <c r="A4786" s="3" t="n">
        <v>2022</v>
      </c>
      <c r="B4786" s="4" t="n">
        <v>400</v>
      </c>
      <c r="C4786" s="4" t="n">
        <v>100</v>
      </c>
      <c r="D4786" s="4" t="n">
        <v>30.25</v>
      </c>
      <c r="E4786" s="5" t="n">
        <v>13.2</v>
      </c>
      <c r="F4786" s="3" t="inlineStr">
        <is>
          <t>전동면</t>
        </is>
      </c>
      <c r="G4786" s="3" t="inlineStr">
        <is>
          <t>청송리</t>
        </is>
      </c>
      <c r="H4786" s="3" t="inlineStr">
        <is>
          <t>계획관리지역</t>
        </is>
      </c>
      <c r="I4786" s="3" t="inlineStr">
        <is>
          <t>묘지</t>
        </is>
      </c>
      <c r="J4786" s="3" t="inlineStr">
        <is>
          <t>전동면</t>
        </is>
      </c>
    </row>
    <row r="4787">
      <c r="A4787" s="3" t="n">
        <v>2022</v>
      </c>
      <c r="B4787" s="4" t="n">
        <v>1800</v>
      </c>
      <c r="C4787" s="4" t="n">
        <v>261</v>
      </c>
      <c r="D4787" s="4" t="n">
        <v>78.9525</v>
      </c>
      <c r="E4787" s="5" t="n">
        <v>22.8</v>
      </c>
      <c r="F4787" s="3" t="inlineStr">
        <is>
          <t>전동면</t>
        </is>
      </c>
      <c r="G4787" s="3" t="inlineStr">
        <is>
          <t>청송리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2022</v>
      </c>
      <c r="B4788" s="4" t="n">
        <v>900</v>
      </c>
      <c r="C4788" s="4" t="n">
        <v>216</v>
      </c>
      <c r="D4788" s="4" t="n">
        <v>65.34</v>
      </c>
      <c r="E4788" s="5" t="n">
        <v>13.8</v>
      </c>
      <c r="F4788" s="3" t="inlineStr">
        <is>
          <t>전동면</t>
        </is>
      </c>
      <c r="G4788" s="3" t="inlineStr">
        <is>
          <t>청송리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전동면</t>
        </is>
      </c>
    </row>
    <row r="4789">
      <c r="A4789" s="3" t="n">
        <v>2022</v>
      </c>
      <c r="B4789" s="4" t="n">
        <v>8900</v>
      </c>
      <c r="C4789" s="4" t="n">
        <v>2127</v>
      </c>
      <c r="D4789" s="4" t="n">
        <v>643.4175</v>
      </c>
      <c r="E4789" s="5" t="n">
        <v>13.8</v>
      </c>
      <c r="F4789" s="3" t="inlineStr">
        <is>
          <t>전동면</t>
        </is>
      </c>
      <c r="G4789" s="3" t="inlineStr">
        <is>
          <t>청송리</t>
        </is>
      </c>
      <c r="H4789" s="3" t="inlineStr">
        <is>
          <t>농림지역</t>
        </is>
      </c>
      <c r="I4789" s="3" t="inlineStr">
        <is>
          <t>도로</t>
        </is>
      </c>
      <c r="J4789" s="3" t="inlineStr">
        <is>
          <t>전동면</t>
        </is>
      </c>
    </row>
    <row r="4790">
      <c r="A4790" s="3" t="n">
        <v>2022</v>
      </c>
      <c r="B4790" s="4" t="n">
        <v>1500</v>
      </c>
      <c r="C4790" s="4" t="n">
        <v>361</v>
      </c>
      <c r="D4790" s="4" t="n">
        <v>109.2025</v>
      </c>
      <c r="E4790" s="5" t="n">
        <v>13.7</v>
      </c>
      <c r="F4790" s="3" t="inlineStr">
        <is>
          <t>전동면</t>
        </is>
      </c>
      <c r="G4790" s="3" t="inlineStr">
        <is>
          <t>청송리</t>
        </is>
      </c>
      <c r="H4790" s="3" t="inlineStr">
        <is>
          <t>농림지역</t>
        </is>
      </c>
      <c r="I4790" s="3" t="inlineStr">
        <is>
          <t>도로</t>
        </is>
      </c>
      <c r="J4790" s="3" t="inlineStr">
        <is>
          <t>전동면</t>
        </is>
      </c>
    </row>
    <row r="4791">
      <c r="A4791" s="3" t="n">
        <v>2022</v>
      </c>
      <c r="B4791" s="4" t="n">
        <v>200</v>
      </c>
      <c r="C4791" s="4" t="n">
        <v>35</v>
      </c>
      <c r="D4791" s="4" t="n">
        <v>10.5875</v>
      </c>
      <c r="E4791" s="5" t="n">
        <v>18.9</v>
      </c>
      <c r="F4791" s="3" t="inlineStr">
        <is>
          <t>전동면</t>
        </is>
      </c>
      <c r="G4791" s="3" t="inlineStr">
        <is>
          <t>청송리</t>
        </is>
      </c>
      <c r="H4791" s="3" t="inlineStr">
        <is>
          <t>농림지역</t>
        </is>
      </c>
      <c r="I4791" s="3" t="inlineStr">
        <is>
          <t>도로</t>
        </is>
      </c>
      <c r="J4791" s="3" t="inlineStr">
        <is>
          <t>전동면</t>
        </is>
      </c>
    </row>
    <row r="4792">
      <c r="A4792" s="3" t="n">
        <v>2022</v>
      </c>
      <c r="B4792" s="4" t="n">
        <v>12200</v>
      </c>
      <c r="C4792" s="4" t="n">
        <v>2479</v>
      </c>
      <c r="D4792" s="4" t="n">
        <v>749.8974999999999</v>
      </c>
      <c r="E4792" s="5" t="n">
        <v>16.3</v>
      </c>
      <c r="F4792" s="3" t="inlineStr">
        <is>
          <t>전동면</t>
        </is>
      </c>
      <c r="G4792" s="3" t="inlineStr">
        <is>
          <t>청송리</t>
        </is>
      </c>
      <c r="H4792" s="3" t="inlineStr">
        <is>
          <t>계획관리지역</t>
        </is>
      </c>
      <c r="I4792" s="3" t="inlineStr">
        <is>
          <t>임야</t>
        </is>
      </c>
      <c r="J4792" s="3" t="inlineStr">
        <is>
          <t>전동면</t>
        </is>
      </c>
    </row>
    <row r="4793">
      <c r="A4793" s="3" t="n">
        <v>2022</v>
      </c>
      <c r="B4793" s="4" t="n">
        <v>11900</v>
      </c>
      <c r="C4793" s="4" t="n">
        <v>3966</v>
      </c>
      <c r="D4793" s="4" t="n">
        <v>1199.715</v>
      </c>
      <c r="E4793" s="5" t="n">
        <v>9.9</v>
      </c>
      <c r="F4793" s="3" t="inlineStr">
        <is>
          <t>전동면</t>
        </is>
      </c>
      <c r="G4793" s="3" t="inlineStr">
        <is>
          <t>청송리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전동면</t>
        </is>
      </c>
    </row>
    <row r="4794">
      <c r="A4794" s="3" t="n">
        <v>2022</v>
      </c>
      <c r="B4794" s="4" t="n">
        <v>12000</v>
      </c>
      <c r="C4794" s="4" t="n">
        <v>1947</v>
      </c>
      <c r="D4794" s="4" t="n">
        <v>588.9675</v>
      </c>
      <c r="E4794" s="5" t="n">
        <v>20.4</v>
      </c>
      <c r="F4794" s="3" t="inlineStr">
        <is>
          <t>전의면</t>
        </is>
      </c>
      <c r="G4794" s="3" t="inlineStr">
        <is>
          <t>신정리</t>
        </is>
      </c>
      <c r="H4794" s="3" t="inlineStr">
        <is>
          <t>생산관리지역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2022</v>
      </c>
      <c r="B4795" s="4" t="n">
        <v>1000</v>
      </c>
      <c r="C4795" s="4" t="n">
        <v>278</v>
      </c>
      <c r="D4795" s="4" t="n">
        <v>84.095</v>
      </c>
      <c r="E4795" s="5" t="n">
        <v>11.9</v>
      </c>
      <c r="F4795" s="3" t="inlineStr">
        <is>
          <t>전의면</t>
        </is>
      </c>
      <c r="G4795" s="3" t="inlineStr">
        <is>
          <t>신정리</t>
        </is>
      </c>
      <c r="H4795" s="3" t="inlineStr">
        <is>
          <t>생산관리지역</t>
        </is>
      </c>
      <c r="I4795" s="3" t="inlineStr">
        <is>
          <t>도로</t>
        </is>
      </c>
      <c r="J4795" s="3" t="inlineStr">
        <is>
          <t>전의면</t>
        </is>
      </c>
    </row>
    <row r="4796">
      <c r="A4796" s="3" t="n">
        <v>2022</v>
      </c>
      <c r="B4796" s="4" t="n">
        <v>9300</v>
      </c>
      <c r="C4796" s="4" t="n">
        <v>774</v>
      </c>
      <c r="D4796" s="4" t="n">
        <v>234.135</v>
      </c>
      <c r="E4796" s="5" t="n">
        <v>39.7</v>
      </c>
      <c r="F4796" s="3" t="inlineStr">
        <is>
          <t>금남면</t>
        </is>
      </c>
      <c r="G4796" s="3" t="inlineStr">
        <is>
          <t>영대리</t>
        </is>
      </c>
      <c r="H4796" s="3" t="inlineStr">
        <is>
          <t>개발제한구역</t>
        </is>
      </c>
      <c r="I4796" s="3" t="inlineStr">
        <is>
          <t>전</t>
        </is>
      </c>
      <c r="J4796" s="3" t="inlineStr">
        <is>
          <t>금남면</t>
        </is>
      </c>
    </row>
    <row r="4797">
      <c r="A4797" s="3" t="n">
        <v>2022</v>
      </c>
      <c r="B4797" s="4" t="n">
        <v>140000</v>
      </c>
      <c r="C4797" s="4" t="n">
        <v>11901</v>
      </c>
      <c r="D4797" s="4" t="n">
        <v>3600.0525</v>
      </c>
      <c r="E4797" s="5" t="n">
        <v>38.9</v>
      </c>
      <c r="F4797" s="3" t="inlineStr">
        <is>
          <t>연서면</t>
        </is>
      </c>
      <c r="G4797" s="3" t="inlineStr">
        <is>
          <t>신대리</t>
        </is>
      </c>
      <c r="H4797" s="3" t="inlineStr">
        <is>
          <t>보전관리지역</t>
        </is>
      </c>
      <c r="I4797" s="3" t="inlineStr">
        <is>
          <t>임야</t>
        </is>
      </c>
      <c r="J4797" s="3" t="inlineStr">
        <is>
          <t>연서면</t>
        </is>
      </c>
    </row>
    <row r="4798">
      <c r="A4798" s="3" t="n">
        <v>2022</v>
      </c>
      <c r="B4798" s="4" t="n">
        <v>17300</v>
      </c>
      <c r="C4798" s="4" t="n">
        <v>991</v>
      </c>
      <c r="D4798" s="4" t="n">
        <v>299.7775</v>
      </c>
      <c r="E4798" s="5" t="n">
        <v>57.7</v>
      </c>
      <c r="F4798" s="3" t="inlineStr">
        <is>
          <t>전동면</t>
        </is>
      </c>
      <c r="G4798" s="3" t="inlineStr">
        <is>
          <t>청송리</t>
        </is>
      </c>
      <c r="H4798" s="3" t="inlineStr">
        <is>
          <t>계획관리지역</t>
        </is>
      </c>
      <c r="I4798" s="3" t="inlineStr">
        <is>
          <t>전</t>
        </is>
      </c>
      <c r="J4798" s="3" t="inlineStr">
        <is>
          <t>전동면</t>
        </is>
      </c>
    </row>
    <row r="4799">
      <c r="A4799" s="3" t="n">
        <v>2022</v>
      </c>
      <c r="B4799" s="4" t="n">
        <v>18939</v>
      </c>
      <c r="C4799" s="4" t="n">
        <v>320</v>
      </c>
      <c r="D4799" s="4" t="n">
        <v>96.8</v>
      </c>
      <c r="E4799" s="5" t="n">
        <v>195.7</v>
      </c>
      <c r="F4799" s="3" t="inlineStr">
        <is>
          <t>전의면</t>
        </is>
      </c>
      <c r="G4799" s="3" t="inlineStr">
        <is>
          <t>읍내리</t>
        </is>
      </c>
      <c r="H4799" s="3" t="inlineStr">
        <is>
          <t>계획관리지역</t>
        </is>
      </c>
      <c r="I4799" s="3" t="inlineStr">
        <is>
          <t>전</t>
        </is>
      </c>
      <c r="J4799" s="3" t="inlineStr">
        <is>
          <t>전의면</t>
        </is>
      </c>
    </row>
    <row r="4800">
      <c r="A4800" s="3" t="n">
        <v>2024</v>
      </c>
      <c r="B4800" s="4" t="n">
        <v>48750</v>
      </c>
      <c r="C4800" s="4" t="n">
        <v>2148</v>
      </c>
      <c r="D4800" s="4" t="n">
        <v>649.77</v>
      </c>
      <c r="E4800" s="5" t="n">
        <v>75</v>
      </c>
      <c r="F4800" s="3" t="inlineStr">
        <is>
          <t>조치원읍</t>
        </is>
      </c>
      <c r="G4800" s="3" t="inlineStr">
        <is>
          <t>신안리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조치원읍</t>
        </is>
      </c>
    </row>
    <row r="4801">
      <c r="A4801" s="3" t="n">
        <v>2024</v>
      </c>
      <c r="B4801" s="4" t="n">
        <v>23500</v>
      </c>
      <c r="C4801" s="4" t="n">
        <v>233</v>
      </c>
      <c r="D4801" s="4" t="n">
        <v>70.4825</v>
      </c>
      <c r="E4801" s="5" t="n">
        <v>333.4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제1종일반주거지역</t>
        </is>
      </c>
      <c r="I4801" s="3" t="inlineStr">
        <is>
          <t>대</t>
        </is>
      </c>
      <c r="J4801" s="3" t="inlineStr">
        <is>
          <t>오송읍</t>
        </is>
      </c>
    </row>
    <row r="4802">
      <c r="A4802" s="3" t="n">
        <v>2026</v>
      </c>
      <c r="B4802" s="4" t="n">
        <v>24951</v>
      </c>
      <c r="C4802" s="4" t="n">
        <v>480.9</v>
      </c>
      <c r="D4802" s="4" t="n">
        <v>145.47225</v>
      </c>
      <c r="E4802" s="5" t="n">
        <v>171.5</v>
      </c>
      <c r="F4802" s="3" t="inlineStr">
        <is>
          <t>강내면</t>
        </is>
      </c>
      <c r="G4802" s="3" t="inlineStr">
        <is>
          <t>사곡리</t>
        </is>
      </c>
      <c r="H4802" s="3" t="inlineStr">
        <is>
          <t>보전관리지역</t>
        </is>
      </c>
      <c r="I4802" s="3" t="inlineStr">
        <is>
          <t>대</t>
        </is>
      </c>
      <c r="J4802" s="3" t="inlineStr">
        <is>
          <t>강내면</t>
        </is>
      </c>
    </row>
    <row r="4803">
      <c r="A4803" s="3" t="n">
        <v>2026</v>
      </c>
      <c r="B4803" s="4" t="n">
        <v>9600</v>
      </c>
      <c r="C4803" s="4" t="n">
        <v>750</v>
      </c>
      <c r="D4803" s="4" t="n">
        <v>226.875</v>
      </c>
      <c r="E4803" s="5" t="n">
        <v>42.3</v>
      </c>
      <c r="F4803" s="3" t="inlineStr">
        <is>
          <t>부강면</t>
        </is>
      </c>
      <c r="G4803" s="3" t="inlineStr">
        <is>
          <t>문곡리</t>
        </is>
      </c>
      <c r="H4803" s="3" t="inlineStr">
        <is>
          <t>계획관리지역</t>
        </is>
      </c>
      <c r="I4803" s="3" t="inlineStr">
        <is>
          <t>전</t>
        </is>
      </c>
      <c r="J4803" s="3" t="inlineStr">
        <is>
          <t>부강면</t>
        </is>
      </c>
    </row>
    <row r="4804">
      <c r="A4804" s="3" t="n">
        <v>2026</v>
      </c>
      <c r="B4804" s="4" t="n">
        <v>15400</v>
      </c>
      <c r="C4804" s="4" t="n">
        <v>1157</v>
      </c>
      <c r="D4804" s="4" t="n">
        <v>349.9925</v>
      </c>
      <c r="E4804" s="5" t="n">
        <v>44</v>
      </c>
      <c r="F4804" s="3" t="inlineStr">
        <is>
          <t>부강면</t>
        </is>
      </c>
      <c r="G4804" s="3" t="inlineStr">
        <is>
          <t>문곡리</t>
        </is>
      </c>
      <c r="H4804" s="3" t="inlineStr">
        <is>
          <t>계획관리지역</t>
        </is>
      </c>
      <c r="I4804" s="3" t="inlineStr">
        <is>
          <t>전</t>
        </is>
      </c>
      <c r="J4804" s="3" t="inlineStr">
        <is>
          <t>부강면</t>
        </is>
      </c>
    </row>
    <row r="4805">
      <c r="A4805" s="3" t="n">
        <v>2026</v>
      </c>
      <c r="B4805" s="4" t="n">
        <v>12280</v>
      </c>
      <c r="C4805" s="4" t="n">
        <v>424</v>
      </c>
      <c r="D4805" s="4" t="n">
        <v>128.26</v>
      </c>
      <c r="E4805" s="5" t="n">
        <v>95.7</v>
      </c>
      <c r="F4805" s="3" t="inlineStr">
        <is>
          <t>금남면</t>
        </is>
      </c>
      <c r="G4805" s="3" t="inlineStr">
        <is>
          <t>도남리</t>
        </is>
      </c>
      <c r="H4805" s="3" t="inlineStr">
        <is>
          <t>보전관리지역</t>
        </is>
      </c>
      <c r="I4805" s="3" t="inlineStr">
        <is>
          <t>답</t>
        </is>
      </c>
      <c r="J4805" s="3" t="inlineStr">
        <is>
          <t>금남면</t>
        </is>
      </c>
    </row>
    <row r="4806">
      <c r="A4806" s="3" t="n">
        <v>2026</v>
      </c>
      <c r="B4806" s="4" t="n">
        <v>7840</v>
      </c>
      <c r="C4806" s="4" t="n">
        <v>265</v>
      </c>
      <c r="D4806" s="4" t="n">
        <v>80.16249999999999</v>
      </c>
      <c r="E4806" s="5" t="n">
        <v>97.8</v>
      </c>
      <c r="F4806" s="3" t="inlineStr">
        <is>
          <t>금남면</t>
        </is>
      </c>
      <c r="G4806" s="3" t="inlineStr">
        <is>
          <t>도남리</t>
        </is>
      </c>
      <c r="H4806" s="3" t="inlineStr">
        <is>
          <t>보전관리지역</t>
        </is>
      </c>
      <c r="I4806" s="3" t="inlineStr">
        <is>
          <t>답</t>
        </is>
      </c>
      <c r="J4806" s="3" t="inlineStr">
        <is>
          <t>금남면</t>
        </is>
      </c>
    </row>
    <row r="4807">
      <c r="A4807" s="3" t="n">
        <v>2026</v>
      </c>
      <c r="B4807" s="4" t="n">
        <v>11000</v>
      </c>
      <c r="C4807" s="4" t="n">
        <v>364</v>
      </c>
      <c r="D4807" s="4" t="n">
        <v>110.11</v>
      </c>
      <c r="E4807" s="5" t="n">
        <v>99.90000000000001</v>
      </c>
      <c r="F4807" s="3" t="inlineStr">
        <is>
          <t>금남면</t>
        </is>
      </c>
      <c r="G4807" s="3" t="inlineStr">
        <is>
          <t>도남리</t>
        </is>
      </c>
      <c r="H4807" s="3" t="inlineStr">
        <is>
          <t>보전관리지역</t>
        </is>
      </c>
      <c r="I4807" s="3" t="inlineStr">
        <is>
          <t>답</t>
        </is>
      </c>
      <c r="J4807" s="3" t="inlineStr">
        <is>
          <t>금남면</t>
        </is>
      </c>
    </row>
    <row r="4808">
      <c r="A4808" s="3" t="n">
        <v>2022</v>
      </c>
      <c r="B4808" s="4" t="n">
        <v>190</v>
      </c>
      <c r="C4808" s="4" t="n">
        <v>7</v>
      </c>
      <c r="D4808" s="4" t="n">
        <v>2.1175</v>
      </c>
      <c r="E4808" s="5" t="n">
        <v>89.7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7500</v>
      </c>
      <c r="C4809" s="4" t="n">
        <v>80</v>
      </c>
      <c r="D4809" s="4" t="n">
        <v>24.2</v>
      </c>
      <c r="E4809" s="5" t="n">
        <v>309.9</v>
      </c>
      <c r="F4809" s="3" t="inlineStr">
        <is>
          <t>오송읍</t>
        </is>
      </c>
      <c r="G4809" s="3" t="inlineStr">
        <is>
          <t>오송리</t>
        </is>
      </c>
      <c r="H4809" s="3" t="inlineStr">
        <is>
          <t>제2종일반주거지역</t>
        </is>
      </c>
      <c r="I4809" s="3" t="inlineStr">
        <is>
          <t>창고용지</t>
        </is>
      </c>
      <c r="J4809" s="3" t="inlineStr">
        <is>
          <t>오송읍</t>
        </is>
      </c>
    </row>
    <row r="4810">
      <c r="A4810" s="3" t="n">
        <v>2022</v>
      </c>
      <c r="B4810" s="4" t="n">
        <v>40000</v>
      </c>
      <c r="C4810" s="4" t="n">
        <v>226.2</v>
      </c>
      <c r="D4810" s="4" t="n">
        <v>68.4255</v>
      </c>
      <c r="E4810" s="5" t="n">
        <v>584.6</v>
      </c>
      <c r="F4810" s="3" t="inlineStr">
        <is>
          <t>오송읍</t>
        </is>
      </c>
      <c r="G4810" s="3" t="inlineStr">
        <is>
          <t>만수리</t>
        </is>
      </c>
      <c r="H4810" s="3" t="inlineStr">
        <is>
          <t>제1종일반주거지역</t>
        </is>
      </c>
      <c r="I4810" s="3" t="inlineStr">
        <is>
          <t>대</t>
        </is>
      </c>
      <c r="J4810" s="3" t="inlineStr">
        <is>
          <t>오송읍</t>
        </is>
      </c>
    </row>
    <row r="4811">
      <c r="A4811" s="3" t="n">
        <v>2022</v>
      </c>
      <c r="B4811" s="4" t="n">
        <v>37000</v>
      </c>
      <c r="C4811" s="4" t="n">
        <v>226.2</v>
      </c>
      <c r="D4811" s="4" t="n">
        <v>68.4255</v>
      </c>
      <c r="E4811" s="5" t="n">
        <v>540.7</v>
      </c>
      <c r="F4811" s="3" t="inlineStr">
        <is>
          <t>오송읍</t>
        </is>
      </c>
      <c r="G4811" s="3" t="inlineStr">
        <is>
          <t>만수리</t>
        </is>
      </c>
      <c r="H4811" s="3" t="inlineStr">
        <is>
          <t>제1종일반주거지역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41500</v>
      </c>
      <c r="C4812" s="4" t="n">
        <v>247</v>
      </c>
      <c r="D4812" s="4" t="n">
        <v>74.7175</v>
      </c>
      <c r="E4812" s="5" t="n">
        <v>555.4</v>
      </c>
      <c r="F4812" s="3" t="inlineStr">
        <is>
          <t>오송읍</t>
        </is>
      </c>
      <c r="G4812" s="3" t="inlineStr">
        <is>
          <t>봉산리</t>
        </is>
      </c>
      <c r="H4812" s="3" t="inlineStr">
        <is>
          <t>제1종일반주거지역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2022</v>
      </c>
      <c r="B4813" s="4" t="n">
        <v>30000</v>
      </c>
      <c r="C4813" s="4" t="n">
        <v>1336</v>
      </c>
      <c r="D4813" s="4" t="n">
        <v>404.14</v>
      </c>
      <c r="E4813" s="5" t="n">
        <v>74.2</v>
      </c>
      <c r="F4813" s="3" t="inlineStr">
        <is>
          <t>오송읍</t>
        </is>
      </c>
      <c r="G4813" s="3" t="inlineStr">
        <is>
          <t>호계리</t>
        </is>
      </c>
      <c r="H4813" s="3" t="inlineStr">
        <is>
          <t>계획관리지역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2022</v>
      </c>
      <c r="B4814" s="4" t="n">
        <v>2400</v>
      </c>
      <c r="C4814" s="4" t="n">
        <v>178</v>
      </c>
      <c r="D4814" s="4" t="n">
        <v>53.845</v>
      </c>
      <c r="E4814" s="5" t="n">
        <v>44.6</v>
      </c>
      <c r="F4814" s="3" t="inlineStr">
        <is>
          <t>오송읍</t>
        </is>
      </c>
      <c r="G4814" s="3" t="inlineStr">
        <is>
          <t>연제리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2022</v>
      </c>
      <c r="B4815" s="4" t="n">
        <v>200</v>
      </c>
      <c r="C4815" s="4" t="n">
        <v>9</v>
      </c>
      <c r="D4815" s="4" t="n">
        <v>2.7225</v>
      </c>
      <c r="E4815" s="5" t="n">
        <v>73.5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도로</t>
        </is>
      </c>
      <c r="J4815" s="3" t="inlineStr">
        <is>
          <t>오송읍</t>
        </is>
      </c>
    </row>
    <row r="4816">
      <c r="A4816" s="3" t="n">
        <v>2022</v>
      </c>
      <c r="B4816" s="4" t="n">
        <v>28960</v>
      </c>
      <c r="C4816" s="4" t="n">
        <v>1707</v>
      </c>
      <c r="D4816" s="4" t="n">
        <v>516.3674999999999</v>
      </c>
      <c r="E4816" s="5" t="n">
        <v>56.1</v>
      </c>
      <c r="F4816" s="3" t="inlineStr">
        <is>
          <t>강내면</t>
        </is>
      </c>
      <c r="G4816" s="3" t="inlineStr">
        <is>
          <t>연정리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강내면</t>
        </is>
      </c>
    </row>
    <row r="4817">
      <c r="A4817" s="3" t="n">
        <v>2022</v>
      </c>
      <c r="B4817" s="4" t="n">
        <v>61059</v>
      </c>
      <c r="C4817" s="4" t="n">
        <v>660</v>
      </c>
      <c r="D4817" s="4" t="n">
        <v>199.65</v>
      </c>
      <c r="E4817" s="5" t="n">
        <v>305.8</v>
      </c>
      <c r="F4817" s="3" t="inlineStr">
        <is>
          <t>오송읍</t>
        </is>
      </c>
      <c r="G4817" s="3" t="inlineStr">
        <is>
          <t>궁평리</t>
        </is>
      </c>
      <c r="H4817" s="3" t="inlineStr">
        <is>
          <t>일반상업지역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1378</v>
      </c>
      <c r="C4818" s="4" t="n">
        <v>69</v>
      </c>
      <c r="D4818" s="4" t="n">
        <v>20.8725</v>
      </c>
      <c r="E4818" s="5" t="n">
        <v>66</v>
      </c>
      <c r="F4818" s="3" t="inlineStr">
        <is>
          <t>오송읍</t>
        </is>
      </c>
      <c r="G4818" s="3" t="inlineStr">
        <is>
          <t>궁평리</t>
        </is>
      </c>
      <c r="H4818" s="3" t="inlineStr">
        <is>
          <t>일반상업지역</t>
        </is>
      </c>
      <c r="I4818" s="3" t="inlineStr">
        <is>
          <t>전</t>
        </is>
      </c>
      <c r="J4818" s="3" t="inlineStr">
        <is>
          <t>오송읍</t>
        </is>
      </c>
    </row>
    <row r="4819">
      <c r="A4819" s="3" t="n">
        <v>2022</v>
      </c>
      <c r="B4819" s="4" t="n">
        <v>65000</v>
      </c>
      <c r="C4819" s="4" t="n">
        <v>650</v>
      </c>
      <c r="D4819" s="4" t="n">
        <v>196.625</v>
      </c>
      <c r="E4819" s="5" t="n">
        <v>330.6</v>
      </c>
      <c r="F4819" s="3" t="inlineStr">
        <is>
          <t>오송읍</t>
        </is>
      </c>
      <c r="G4819" s="3" t="inlineStr">
        <is>
          <t>오송리</t>
        </is>
      </c>
      <c r="H4819" s="3" t="inlineStr">
        <is>
          <t>준주거지역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17000</v>
      </c>
      <c r="C4820" s="4" t="n">
        <v>1326</v>
      </c>
      <c r="D4820" s="4" t="n">
        <v>401.115</v>
      </c>
      <c r="E4820" s="5" t="n">
        <v>42.4</v>
      </c>
      <c r="F4820" s="3" t="inlineStr">
        <is>
          <t>강내면</t>
        </is>
      </c>
      <c r="G4820" s="3" t="inlineStr">
        <is>
          <t>사곡리</t>
        </is>
      </c>
      <c r="H4820" s="3" t="inlineStr">
        <is>
          <t>생산관리지역</t>
        </is>
      </c>
      <c r="I4820" s="3" t="inlineStr">
        <is>
          <t>전</t>
        </is>
      </c>
      <c r="J4820" s="3" t="inlineStr">
        <is>
          <t>강내면</t>
        </is>
      </c>
    </row>
    <row r="4821">
      <c r="A4821" s="3" t="n">
        <v>2022</v>
      </c>
      <c r="B4821" s="4" t="n">
        <v>20000</v>
      </c>
      <c r="C4821" s="4" t="n">
        <v>530</v>
      </c>
      <c r="D4821" s="4" t="n">
        <v>160.325</v>
      </c>
      <c r="E4821" s="5" t="n">
        <v>124.7</v>
      </c>
      <c r="F4821" s="3" t="inlineStr">
        <is>
          <t>강내면</t>
        </is>
      </c>
      <c r="G4821" s="3" t="inlineStr">
        <is>
          <t>석화리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19000</v>
      </c>
      <c r="C4822" s="4" t="n">
        <v>575</v>
      </c>
      <c r="D4822" s="4" t="n">
        <v>173.9375</v>
      </c>
      <c r="E4822" s="5" t="n">
        <v>109.2</v>
      </c>
      <c r="F4822" s="3" t="inlineStr">
        <is>
          <t>강내면</t>
        </is>
      </c>
      <c r="G4822" s="3" t="inlineStr">
        <is>
          <t>석화리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2022</v>
      </c>
      <c r="B4823" s="4" t="n">
        <v>49000</v>
      </c>
      <c r="C4823" s="4" t="n">
        <v>1402</v>
      </c>
      <c r="D4823" s="4" t="n">
        <v>424.105</v>
      </c>
      <c r="E4823" s="5" t="n">
        <v>115.5</v>
      </c>
      <c r="F4823" s="3" t="inlineStr">
        <is>
          <t>강내면</t>
        </is>
      </c>
      <c r="G4823" s="3" t="inlineStr">
        <is>
          <t>석화리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7000</v>
      </c>
      <c r="C4824" s="4" t="n">
        <v>202</v>
      </c>
      <c r="D4824" s="4" t="n">
        <v>61.105</v>
      </c>
      <c r="E4824" s="5" t="n">
        <v>114.6</v>
      </c>
      <c r="F4824" s="3" t="inlineStr">
        <is>
          <t>강내면</t>
        </is>
      </c>
      <c r="G4824" s="3" t="inlineStr">
        <is>
          <t>석화리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34000</v>
      </c>
      <c r="C4825" s="4" t="n">
        <v>552.4</v>
      </c>
      <c r="D4825" s="4" t="n">
        <v>167.101</v>
      </c>
      <c r="E4825" s="5" t="n">
        <v>203.5</v>
      </c>
      <c r="F4825" s="3" t="inlineStr">
        <is>
          <t>강내면</t>
        </is>
      </c>
      <c r="G4825" s="3" t="inlineStr">
        <is>
          <t>사곡리</t>
        </is>
      </c>
      <c r="H4825" s="3" t="inlineStr">
        <is>
          <t>보전관리지역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2022</v>
      </c>
      <c r="B4826" s="4" t="n">
        <v>18000</v>
      </c>
      <c r="C4826" s="4" t="n">
        <v>1983</v>
      </c>
      <c r="D4826" s="4" t="n">
        <v>599.8575</v>
      </c>
      <c r="E4826" s="5" t="n">
        <v>30</v>
      </c>
      <c r="F4826" s="3" t="inlineStr">
        <is>
          <t>오송읍</t>
        </is>
      </c>
      <c r="G4826" s="3" t="inlineStr">
        <is>
          <t>공북리</t>
        </is>
      </c>
      <c r="H4826" s="3" t="inlineStr">
        <is>
          <t>보전관리지역</t>
        </is>
      </c>
      <c r="I4826" s="3" t="inlineStr">
        <is>
          <t>임야</t>
        </is>
      </c>
      <c r="J4826" s="3" t="inlineStr">
        <is>
          <t>오송읍</t>
        </is>
      </c>
    </row>
    <row r="4827">
      <c r="A4827" s="3" t="n">
        <v>2022</v>
      </c>
      <c r="B4827" s="4" t="n">
        <v>18000</v>
      </c>
      <c r="C4827" s="4" t="n">
        <v>2281</v>
      </c>
      <c r="D4827" s="4" t="n">
        <v>690.0024999999999</v>
      </c>
      <c r="E4827" s="5" t="n">
        <v>26.1</v>
      </c>
      <c r="F4827" s="3" t="inlineStr">
        <is>
          <t>오송읍</t>
        </is>
      </c>
      <c r="G4827" s="3" t="inlineStr">
        <is>
          <t>공북리</t>
        </is>
      </c>
      <c r="H4827" s="3" t="inlineStr">
        <is>
          <t>보전관리지역</t>
        </is>
      </c>
      <c r="I4827" s="3" t="inlineStr">
        <is>
          <t>임야</t>
        </is>
      </c>
      <c r="J4827" s="3" t="inlineStr">
        <is>
          <t>오송읍</t>
        </is>
      </c>
    </row>
    <row r="4828">
      <c r="A4828" s="3" t="n">
        <v>2022</v>
      </c>
      <c r="B4828" s="4" t="n">
        <v>13500</v>
      </c>
      <c r="C4828" s="4" t="n">
        <v>1056</v>
      </c>
      <c r="D4828" s="4" t="n">
        <v>319.44</v>
      </c>
      <c r="E4828" s="5" t="n">
        <v>42.3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오송읍</t>
        </is>
      </c>
    </row>
    <row r="4829">
      <c r="A4829" s="3" t="n">
        <v>2024</v>
      </c>
      <c r="B4829" s="4" t="n">
        <v>26590</v>
      </c>
      <c r="C4829" s="4" t="n">
        <v>1956</v>
      </c>
      <c r="D4829" s="4" t="n">
        <v>591.6899999999999</v>
      </c>
      <c r="E4829" s="5" t="n">
        <v>44.9</v>
      </c>
      <c r="F4829" s="3" t="inlineStr">
        <is>
          <t>강내면</t>
        </is>
      </c>
      <c r="G4829" s="3" t="inlineStr">
        <is>
          <t>사곡리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2024</v>
      </c>
      <c r="B4830" s="4" t="n">
        <v>83760</v>
      </c>
      <c r="C4830" s="4" t="n">
        <v>2309</v>
      </c>
      <c r="D4830" s="4" t="n">
        <v>698.4725</v>
      </c>
      <c r="E4830" s="5" t="n">
        <v>119.9</v>
      </c>
      <c r="F4830" s="3" t="inlineStr">
        <is>
          <t>강내면</t>
        </is>
      </c>
      <c r="G4830" s="3" t="inlineStr">
        <is>
          <t>다락리</t>
        </is>
      </c>
      <c r="H4830" s="3" t="inlineStr">
        <is>
          <t>계획관리지역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60000</v>
      </c>
      <c r="C4831" s="4" t="n">
        <v>1806</v>
      </c>
      <c r="D4831" s="4" t="n">
        <v>546.3149999999999</v>
      </c>
      <c r="E4831" s="5" t="n">
        <v>109.8</v>
      </c>
      <c r="F4831" s="3" t="inlineStr">
        <is>
          <t>오송읍</t>
        </is>
      </c>
      <c r="G4831" s="3" t="inlineStr">
        <is>
          <t>쌍청리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2024</v>
      </c>
      <c r="B4832" s="4" t="n">
        <v>29600</v>
      </c>
      <c r="C4832" s="4" t="n">
        <v>612</v>
      </c>
      <c r="D4832" s="4" t="n">
        <v>185.13</v>
      </c>
      <c r="E4832" s="5" t="n">
        <v>159.9</v>
      </c>
      <c r="F4832" s="3" t="inlineStr">
        <is>
          <t>강내면</t>
        </is>
      </c>
      <c r="G4832" s="3" t="inlineStr">
        <is>
          <t>석화리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강내면</t>
        </is>
      </c>
    </row>
    <row r="4833">
      <c r="A4833" s="3" t="n">
        <v>2024</v>
      </c>
      <c r="B4833" s="4" t="n">
        <v>7910</v>
      </c>
      <c r="C4833" s="4" t="n">
        <v>1440</v>
      </c>
      <c r="D4833" s="4" t="n">
        <v>435.6</v>
      </c>
      <c r="E4833" s="5" t="n">
        <v>18.2</v>
      </c>
      <c r="F4833" s="3" t="inlineStr">
        <is>
          <t>강내면</t>
        </is>
      </c>
      <c r="G4833" s="3" t="inlineStr">
        <is>
          <t>산단리</t>
        </is>
      </c>
      <c r="H4833" s="3" t="inlineStr">
        <is>
          <t>계획관리지역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2024</v>
      </c>
      <c r="B4834" s="4" t="n">
        <v>6590</v>
      </c>
      <c r="C4834" s="4" t="n">
        <v>1200</v>
      </c>
      <c r="D4834" s="4" t="n">
        <v>363</v>
      </c>
      <c r="E4834" s="5" t="n">
        <v>18.2</v>
      </c>
      <c r="F4834" s="3" t="inlineStr">
        <is>
          <t>강내면</t>
        </is>
      </c>
      <c r="G4834" s="3" t="inlineStr">
        <is>
          <t>산단리</t>
        </is>
      </c>
      <c r="H4834" s="3" t="inlineStr">
        <is>
          <t>계획관리지역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2024</v>
      </c>
      <c r="B4835" s="4" t="n">
        <v>8500</v>
      </c>
      <c r="C4835" s="4" t="n">
        <v>1545</v>
      </c>
      <c r="D4835" s="4" t="n">
        <v>467.3625</v>
      </c>
      <c r="E4835" s="5" t="n">
        <v>18.2</v>
      </c>
      <c r="F4835" s="3" t="inlineStr">
        <is>
          <t>강내면</t>
        </is>
      </c>
      <c r="G4835" s="3" t="inlineStr">
        <is>
          <t>산단리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2024</v>
      </c>
      <c r="B4836" s="4" t="n">
        <v>9000</v>
      </c>
      <c r="C4836" s="4" t="n">
        <v>39</v>
      </c>
      <c r="D4836" s="4" t="n">
        <v>11.7975</v>
      </c>
      <c r="E4836" s="5" t="n">
        <v>762.9</v>
      </c>
      <c r="F4836" s="3" t="inlineStr">
        <is>
          <t>강내면</t>
        </is>
      </c>
      <c r="G4836" s="3" t="inlineStr">
        <is>
          <t>탑연리</t>
        </is>
      </c>
      <c r="H4836" s="3" t="inlineStr">
        <is>
          <t>제2종일반주거지역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32000</v>
      </c>
      <c r="C4837" s="4" t="n">
        <v>240.5</v>
      </c>
      <c r="D4837" s="4" t="n">
        <v>72.75125</v>
      </c>
      <c r="E4837" s="5" t="n">
        <v>439.9</v>
      </c>
      <c r="F4837" s="3" t="inlineStr">
        <is>
          <t>오송읍</t>
        </is>
      </c>
      <c r="G4837" s="3" t="inlineStr">
        <is>
          <t>봉산리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2024</v>
      </c>
      <c r="B4838" s="4" t="n">
        <v>24254</v>
      </c>
      <c r="C4838" s="4" t="n">
        <v>422</v>
      </c>
      <c r="D4838" s="4" t="n">
        <v>127.655</v>
      </c>
      <c r="E4838" s="5" t="n">
        <v>190</v>
      </c>
      <c r="F4838" s="3" t="inlineStr">
        <is>
          <t>오송읍</t>
        </is>
      </c>
      <c r="G4838" s="3" t="inlineStr">
        <is>
          <t>정중리</t>
        </is>
      </c>
      <c r="H4838" s="3" t="inlineStr">
        <is>
          <t>계획관리지역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2024</v>
      </c>
      <c r="B4839" s="4" t="n">
        <v>4227</v>
      </c>
      <c r="C4839" s="4" t="n">
        <v>350</v>
      </c>
      <c r="D4839" s="4" t="n">
        <v>105.875</v>
      </c>
      <c r="E4839" s="5" t="n">
        <v>39.9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3333</v>
      </c>
      <c r="C4840" s="4" t="n">
        <v>276</v>
      </c>
      <c r="D4840" s="4" t="n">
        <v>83.48999999999999</v>
      </c>
      <c r="E4840" s="5" t="n">
        <v>39.9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10000</v>
      </c>
      <c r="C4841" s="4" t="n">
        <v>777</v>
      </c>
      <c r="D4841" s="4" t="n">
        <v>235.0425</v>
      </c>
      <c r="E4841" s="5" t="n">
        <v>42.5</v>
      </c>
      <c r="F4841" s="3" t="inlineStr">
        <is>
          <t>강내면</t>
        </is>
      </c>
      <c r="G4841" s="3" t="inlineStr">
        <is>
          <t>월탄리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</v>
      </c>
      <c r="C4842" s="4" t="n">
        <v>45</v>
      </c>
      <c r="D4842" s="4" t="n">
        <v>13.6125</v>
      </c>
      <c r="E4842" s="5" t="n">
        <v>146.9</v>
      </c>
      <c r="F4842" s="3" t="inlineStr">
        <is>
          <t>오송읍</t>
        </is>
      </c>
      <c r="G4842" s="3" t="inlineStr">
        <is>
          <t>궁평리</t>
        </is>
      </c>
      <c r="H4842" s="3" t="inlineStr">
        <is>
          <t>농림지역</t>
        </is>
      </c>
      <c r="I4842" s="3" t="inlineStr">
        <is>
          <t>과수원</t>
        </is>
      </c>
      <c r="J4842" s="3" t="inlineStr">
        <is>
          <t>오송읍</t>
        </is>
      </c>
    </row>
    <row r="4843">
      <c r="A4843" s="3" t="n">
        <v>2026</v>
      </c>
      <c r="B4843" s="4" t="n">
        <v>1129</v>
      </c>
      <c r="C4843" s="4" t="n">
        <v>350</v>
      </c>
      <c r="D4843" s="4" t="n">
        <v>105.875</v>
      </c>
      <c r="E4843" s="5" t="n">
        <v>10.7</v>
      </c>
      <c r="F4843" s="3" t="inlineStr">
        <is>
          <t>전동면</t>
        </is>
      </c>
      <c r="G4843" s="3" t="inlineStr">
        <is>
          <t>노장리</t>
        </is>
      </c>
      <c r="H4843" s="3" t="inlineStr">
        <is>
          <t>계획관리지역</t>
        </is>
      </c>
      <c r="I4843" s="3" t="inlineStr">
        <is>
          <t>임야</t>
        </is>
      </c>
      <c r="J4843" s="3" t="inlineStr">
        <is>
          <t>전동면</t>
        </is>
      </c>
    </row>
    <row r="4844">
      <c r="A4844" s="3" t="n">
        <v>2026</v>
      </c>
      <c r="B4844" s="4" t="n">
        <v>37069</v>
      </c>
      <c r="C4844" s="4" t="n">
        <v>450</v>
      </c>
      <c r="D4844" s="4" t="n">
        <v>136.125</v>
      </c>
      <c r="E4844" s="5" t="n">
        <v>272.3</v>
      </c>
      <c r="F4844" s="3" t="inlineStr">
        <is>
          <t>장군면</t>
        </is>
      </c>
      <c r="G4844" s="3" t="inlineStr">
        <is>
          <t>대교리</t>
        </is>
      </c>
      <c r="H4844" s="3" t="inlineStr">
        <is>
          <t>보전관리지역</t>
        </is>
      </c>
      <c r="I4844" s="3" t="inlineStr">
        <is>
          <t>대</t>
        </is>
      </c>
      <c r="J4844" s="3" t="inlineStr">
        <is>
          <t>장군면</t>
        </is>
      </c>
    </row>
    <row r="4845">
      <c r="A4845" s="3" t="n">
        <v>2026</v>
      </c>
      <c r="B4845" s="4" t="n">
        <v>53874</v>
      </c>
      <c r="C4845" s="4" t="n">
        <v>545</v>
      </c>
      <c r="D4845" s="4" t="n">
        <v>164.8625</v>
      </c>
      <c r="E4845" s="5" t="n">
        <v>326.8</v>
      </c>
      <c r="F4845" s="3" t="inlineStr">
        <is>
          <t>장군면</t>
        </is>
      </c>
      <c r="G4845" s="3" t="inlineStr">
        <is>
          <t>대교리</t>
        </is>
      </c>
      <c r="H4845" s="3" t="inlineStr">
        <is>
          <t>보전관리지역</t>
        </is>
      </c>
      <c r="I4845" s="3" t="inlineStr">
        <is>
          <t>대</t>
        </is>
      </c>
      <c r="J4845" s="3" t="inlineStr">
        <is>
          <t>장군면</t>
        </is>
      </c>
    </row>
    <row r="4846">
      <c r="A4846" s="3" t="n">
        <v>2026</v>
      </c>
      <c r="B4846" s="4" t="n">
        <v>41738</v>
      </c>
      <c r="C4846" s="4" t="n">
        <v>450</v>
      </c>
      <c r="D4846" s="4" t="n">
        <v>136.125</v>
      </c>
      <c r="E4846" s="5" t="n">
        <v>306.6</v>
      </c>
      <c r="F4846" s="3" t="inlineStr">
        <is>
          <t>장군면</t>
        </is>
      </c>
      <c r="G4846" s="3" t="inlineStr">
        <is>
          <t>대교리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장군면</t>
        </is>
      </c>
    </row>
    <row r="4847">
      <c r="A4847" s="3" t="n">
        <v>2026</v>
      </c>
      <c r="B4847" s="4" t="n">
        <v>11000</v>
      </c>
      <c r="C4847" s="4" t="n">
        <v>945</v>
      </c>
      <c r="D4847" s="4" t="n">
        <v>285.8625</v>
      </c>
      <c r="E4847" s="5" t="n">
        <v>38.5</v>
      </c>
      <c r="F4847" s="3" t="inlineStr">
        <is>
          <t>부강면</t>
        </is>
      </c>
      <c r="G4847" s="3" t="inlineStr">
        <is>
          <t>등곡리</t>
        </is>
      </c>
      <c r="H4847" s="3" t="inlineStr">
        <is>
          <t>계획관리지역</t>
        </is>
      </c>
      <c r="I4847" s="3" t="inlineStr">
        <is>
          <t>전</t>
        </is>
      </c>
      <c r="J4847" s="3" t="inlineStr">
        <is>
          <t>부강면</t>
        </is>
      </c>
    </row>
    <row r="4848">
      <c r="A4848" s="3" t="n">
        <v>2026</v>
      </c>
      <c r="B4848" s="4" t="n">
        <v>59200</v>
      </c>
      <c r="C4848" s="4" t="n">
        <v>2646</v>
      </c>
      <c r="D4848" s="4" t="n">
        <v>800.415</v>
      </c>
      <c r="E4848" s="5" t="n">
        <v>74</v>
      </c>
      <c r="F4848" s="3" t="inlineStr">
        <is>
          <t>연동면</t>
        </is>
      </c>
      <c r="G4848" s="3" t="inlineStr">
        <is>
          <t>송용리</t>
        </is>
      </c>
      <c r="H4848" s="3" t="inlineStr">
        <is>
          <t>농림지역</t>
        </is>
      </c>
      <c r="I4848" s="3" t="inlineStr">
        <is>
          <t>답</t>
        </is>
      </c>
      <c r="J4848" s="3" t="inlineStr">
        <is>
          <t>연동면</t>
        </is>
      </c>
    </row>
    <row r="4849">
      <c r="A4849" s="3" t="n">
        <v>2026</v>
      </c>
      <c r="B4849" s="4" t="n">
        <v>41000</v>
      </c>
      <c r="C4849" s="4" t="n">
        <v>1108</v>
      </c>
      <c r="D4849" s="4" t="n">
        <v>335.17</v>
      </c>
      <c r="E4849" s="5" t="n">
        <v>122.3</v>
      </c>
      <c r="F4849" s="3" t="inlineStr">
        <is>
          <t>연서면</t>
        </is>
      </c>
      <c r="G4849" s="3" t="inlineStr">
        <is>
          <t>성제리</t>
        </is>
      </c>
      <c r="H4849" s="3" t="inlineStr">
        <is>
          <t>자연녹지지역</t>
        </is>
      </c>
      <c r="I4849" s="3" t="inlineStr">
        <is>
          <t>대</t>
        </is>
      </c>
      <c r="J4849" s="3" t="inlineStr">
        <is>
          <t>연서면</t>
        </is>
      </c>
    </row>
    <row r="4850">
      <c r="A4850" s="3" t="n">
        <v>2026</v>
      </c>
      <c r="B4850" s="4" t="n">
        <v>10800</v>
      </c>
      <c r="C4850" s="4" t="n">
        <v>893</v>
      </c>
      <c r="D4850" s="4" t="n">
        <v>270.1325</v>
      </c>
      <c r="E4850" s="5" t="n">
        <v>40</v>
      </c>
      <c r="F4850" s="3" t="inlineStr">
        <is>
          <t>연동면</t>
        </is>
      </c>
      <c r="G4850" s="3" t="inlineStr">
        <is>
          <t>명학리</t>
        </is>
      </c>
      <c r="H4850" s="3" t="inlineStr">
        <is>
          <t>계획관리지역</t>
        </is>
      </c>
      <c r="I4850" s="3" t="inlineStr">
        <is>
          <t>임야</t>
        </is>
      </c>
      <c r="J4850" s="3" t="inlineStr">
        <is>
          <t>연동면</t>
        </is>
      </c>
    </row>
    <row r="4851">
      <c r="A4851" s="3" t="n">
        <v>2026</v>
      </c>
      <c r="B4851" s="4" t="n">
        <v>35000</v>
      </c>
      <c r="C4851" s="4" t="n">
        <v>362</v>
      </c>
      <c r="D4851" s="4" t="n">
        <v>109.505</v>
      </c>
      <c r="E4851" s="5" t="n">
        <v>319.6</v>
      </c>
      <c r="F4851" s="3" t="inlineStr">
        <is>
          <t>장군면</t>
        </is>
      </c>
      <c r="G4851" s="3" t="inlineStr">
        <is>
          <t>봉안리</t>
        </is>
      </c>
      <c r="H4851" s="3" t="inlineStr">
        <is>
          <t>계획관리지역</t>
        </is>
      </c>
      <c r="I4851" s="3" t="inlineStr">
        <is>
          <t>대</t>
        </is>
      </c>
      <c r="J4851" s="3" t="inlineStr">
        <is>
          <t>장군면</t>
        </is>
      </c>
    </row>
    <row r="4852">
      <c r="A4852" s="3" t="n">
        <v>2026</v>
      </c>
      <c r="B4852" s="4" t="n">
        <v>65300</v>
      </c>
      <c r="C4852" s="4" t="n">
        <v>2921.4</v>
      </c>
      <c r="D4852" s="4" t="n">
        <v>883.7235000000001</v>
      </c>
      <c r="E4852" s="5" t="n">
        <v>73.90000000000001</v>
      </c>
      <c r="F4852" s="3" t="inlineStr">
        <is>
          <t>연동면</t>
        </is>
      </c>
      <c r="G4852" s="3" t="inlineStr">
        <is>
          <t>송용리</t>
        </is>
      </c>
      <c r="H4852" s="3" t="inlineStr">
        <is>
          <t>농림지역</t>
        </is>
      </c>
      <c r="I4852" s="3" t="inlineStr">
        <is>
          <t>답</t>
        </is>
      </c>
      <c r="J4852" s="3" t="inlineStr">
        <is>
          <t>연동면</t>
        </is>
      </c>
    </row>
    <row r="4853">
      <c r="A4853" s="3" t="n">
        <v>2026</v>
      </c>
      <c r="B4853" s="4" t="n">
        <v>30000</v>
      </c>
      <c r="C4853" s="4" t="n">
        <v>1045</v>
      </c>
      <c r="D4853" s="4" t="n">
        <v>316.1125</v>
      </c>
      <c r="E4853" s="5" t="n">
        <v>94.90000000000001</v>
      </c>
      <c r="F4853" s="3" t="inlineStr">
        <is>
          <t>전의면</t>
        </is>
      </c>
      <c r="G4853" s="3" t="inlineStr">
        <is>
          <t>유천리</t>
        </is>
      </c>
      <c r="H4853" s="3" t="inlineStr">
        <is>
          <t>계획관리지역</t>
        </is>
      </c>
      <c r="I4853" s="3" t="inlineStr">
        <is>
          <t>주차장</t>
        </is>
      </c>
      <c r="J4853" s="3" t="inlineStr">
        <is>
          <t>전의면</t>
        </is>
      </c>
    </row>
    <row r="4854">
      <c r="A4854" s="3" t="n">
        <v>2026</v>
      </c>
      <c r="B4854" s="4" t="n">
        <v>107600</v>
      </c>
      <c r="C4854" s="4" t="n">
        <v>2152</v>
      </c>
      <c r="D4854" s="4" t="n">
        <v>650.98</v>
      </c>
      <c r="E4854" s="5" t="n">
        <v>165.3</v>
      </c>
      <c r="F4854" s="3" t="inlineStr">
        <is>
          <t>연서면</t>
        </is>
      </c>
      <c r="G4854" s="3" t="inlineStr">
        <is>
          <t>성제리</t>
        </is>
      </c>
      <c r="H4854" s="3" t="inlineStr">
        <is>
          <t>자연녹지지역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2026</v>
      </c>
      <c r="B4855" s="4" t="n">
        <v>285956</v>
      </c>
      <c r="C4855" s="4" t="n">
        <v>6809</v>
      </c>
      <c r="D4855" s="4" t="n">
        <v>2059.7225</v>
      </c>
      <c r="E4855" s="5" t="n">
        <v>138.8</v>
      </c>
      <c r="F4855" s="3" t="inlineStr">
        <is>
          <t>연서면</t>
        </is>
      </c>
      <c r="G4855" s="3" t="inlineStr">
        <is>
          <t>성제리</t>
        </is>
      </c>
      <c r="H4855" s="3" t="inlineStr">
        <is>
          <t>자연녹지지역</t>
        </is>
      </c>
      <c r="I4855" s="3" t="inlineStr">
        <is>
          <t>임야</t>
        </is>
      </c>
      <c r="J4855" s="3" t="inlineStr">
        <is>
          <t>연서면</t>
        </is>
      </c>
    </row>
    <row r="4856">
      <c r="A4856" s="3" t="n">
        <v>2026</v>
      </c>
      <c r="B4856" s="4" t="n">
        <v>51545</v>
      </c>
      <c r="C4856" s="4" t="n">
        <v>845</v>
      </c>
      <c r="D4856" s="4" t="n">
        <v>255.6125</v>
      </c>
      <c r="E4856" s="5" t="n">
        <v>201.7</v>
      </c>
      <c r="F4856" s="3" t="inlineStr">
        <is>
          <t>연서면</t>
        </is>
      </c>
      <c r="G4856" s="3" t="inlineStr">
        <is>
          <t>성제리</t>
        </is>
      </c>
      <c r="H4856" s="3" t="inlineStr">
        <is>
          <t>자연녹지지역</t>
        </is>
      </c>
      <c r="I4856" s="3" t="inlineStr">
        <is>
          <t>전</t>
        </is>
      </c>
      <c r="J4856" s="3" t="inlineStr">
        <is>
          <t>연서면</t>
        </is>
      </c>
    </row>
    <row r="4857">
      <c r="A4857" s="3" t="n">
        <v>2026</v>
      </c>
      <c r="B4857" s="4" t="n">
        <v>4074</v>
      </c>
      <c r="C4857" s="4" t="n">
        <v>97</v>
      </c>
      <c r="D4857" s="4" t="n">
        <v>29.3425</v>
      </c>
      <c r="E4857" s="5" t="n">
        <v>138.8</v>
      </c>
      <c r="F4857" s="3" t="inlineStr">
        <is>
          <t>연서면</t>
        </is>
      </c>
      <c r="G4857" s="3" t="inlineStr">
        <is>
          <t>성제리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2026</v>
      </c>
      <c r="B4858" s="4" t="n">
        <v>825</v>
      </c>
      <c r="C4858" s="4" t="n">
        <v>15</v>
      </c>
      <c r="D4858" s="4" t="n">
        <v>4.5375</v>
      </c>
      <c r="E4858" s="5" t="n">
        <v>181.8</v>
      </c>
      <c r="F4858" s="3" t="inlineStr">
        <is>
          <t>연서면</t>
        </is>
      </c>
      <c r="G4858" s="3" t="inlineStr">
        <is>
          <t>성제리</t>
        </is>
      </c>
      <c r="H4858" s="3" t="inlineStr">
        <is>
          <t>자연녹지지역</t>
        </is>
      </c>
      <c r="I4858" s="3" t="inlineStr">
        <is>
          <t>전</t>
        </is>
      </c>
      <c r="J4858" s="3" t="inlineStr">
        <is>
          <t>연서면</t>
        </is>
      </c>
    </row>
    <row r="4859">
      <c r="A4859" s="3" t="n">
        <v>2026</v>
      </c>
      <c r="B4859" s="4" t="n">
        <v>5000</v>
      </c>
      <c r="C4859" s="4" t="n">
        <v>81</v>
      </c>
      <c r="D4859" s="4" t="n">
        <v>24.5025</v>
      </c>
      <c r="E4859" s="5" t="n">
        <v>204.1</v>
      </c>
      <c r="F4859" s="3" t="inlineStr">
        <is>
          <t>연서면</t>
        </is>
      </c>
      <c r="G4859" s="3" t="inlineStr">
        <is>
          <t>월하리</t>
        </is>
      </c>
      <c r="H4859" s="3" t="inlineStr">
        <is>
          <t>자연녹지지역</t>
        </is>
      </c>
      <c r="I4859" s="3" t="inlineStr">
        <is>
          <t>답</t>
        </is>
      </c>
      <c r="J4859" s="3" t="inlineStr">
        <is>
          <t>연서면</t>
        </is>
      </c>
    </row>
    <row r="4860">
      <c r="A4860" s="3" t="n">
        <v>2026</v>
      </c>
      <c r="B4860" s="4" t="n">
        <v>14000</v>
      </c>
      <c r="C4860" s="4" t="n">
        <v>132</v>
      </c>
      <c r="D4860" s="4" t="n">
        <v>39.93</v>
      </c>
      <c r="E4860" s="5" t="n">
        <v>350.6</v>
      </c>
      <c r="F4860" s="3" t="inlineStr">
        <is>
          <t>금남면</t>
        </is>
      </c>
      <c r="G4860" s="3" t="inlineStr">
        <is>
          <t>용포리</t>
        </is>
      </c>
      <c r="H4860" s="3" t="inlineStr">
        <is>
          <t>제2종일반주거지역</t>
        </is>
      </c>
      <c r="I4860" s="3" t="inlineStr">
        <is>
          <t>대</t>
        </is>
      </c>
      <c r="J4860" s="3" t="inlineStr">
        <is>
          <t>금남면</t>
        </is>
      </c>
    </row>
    <row r="4861">
      <c r="A4861" s="3" t="n">
        <v>2024</v>
      </c>
      <c r="B4861" s="4" t="n">
        <v>2700</v>
      </c>
      <c r="C4861" s="4" t="n">
        <v>297</v>
      </c>
      <c r="D4861" s="4" t="n">
        <v>89.8425</v>
      </c>
      <c r="E4861" s="5" t="n">
        <v>30.1</v>
      </c>
      <c r="F4861" s="3" t="inlineStr">
        <is>
          <t>강내면</t>
        </is>
      </c>
      <c r="G4861" s="3" t="inlineStr">
        <is>
          <t>사곡리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강내면</t>
        </is>
      </c>
    </row>
    <row r="4862">
      <c r="A4862" s="3" t="n">
        <v>2025</v>
      </c>
      <c r="B4862" s="4" t="n">
        <v>18000</v>
      </c>
      <c r="C4862" s="4" t="n">
        <v>833</v>
      </c>
      <c r="D4862" s="4" t="n">
        <v>251.9825</v>
      </c>
      <c r="E4862" s="5" t="n">
        <v>71.40000000000001</v>
      </c>
      <c r="F4862" s="3" t="inlineStr">
        <is>
          <t>강내면</t>
        </is>
      </c>
      <c r="G4862" s="3" t="inlineStr">
        <is>
          <t>태성리</t>
        </is>
      </c>
      <c r="H4862" s="3" t="inlineStr">
        <is>
          <t>계획관리지역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2025</v>
      </c>
      <c r="B4863" s="4" t="n">
        <v>7000</v>
      </c>
      <c r="C4863" s="4" t="n">
        <v>221</v>
      </c>
      <c r="D4863" s="4" t="n">
        <v>66.85249999999999</v>
      </c>
      <c r="E4863" s="5" t="n">
        <v>104.7</v>
      </c>
      <c r="F4863" s="3" t="inlineStr">
        <is>
          <t>강내면</t>
        </is>
      </c>
      <c r="G4863" s="3" t="inlineStr">
        <is>
          <t>사곡리</t>
        </is>
      </c>
      <c r="H4863" s="3" t="inlineStr">
        <is>
          <t>계획관리지역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2025</v>
      </c>
      <c r="B4864" s="4" t="n">
        <v>65000</v>
      </c>
      <c r="C4864" s="4" t="n">
        <v>3412</v>
      </c>
      <c r="D4864" s="4" t="n">
        <v>1032.13</v>
      </c>
      <c r="E4864" s="5" t="n">
        <v>63</v>
      </c>
      <c r="F4864" s="3" t="inlineStr">
        <is>
          <t>오송읍</t>
        </is>
      </c>
      <c r="G4864" s="3" t="inlineStr">
        <is>
          <t>서평리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2025</v>
      </c>
      <c r="B4865" s="4" t="n">
        <v>33700</v>
      </c>
      <c r="C4865" s="4" t="n">
        <v>7339</v>
      </c>
      <c r="D4865" s="4" t="n">
        <v>2220.0475</v>
      </c>
      <c r="E4865" s="5" t="n">
        <v>15.2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생산관리지역</t>
        </is>
      </c>
      <c r="I4865" s="3" t="inlineStr">
        <is>
          <t>임야</t>
        </is>
      </c>
      <c r="J4865" s="3" t="inlineStr">
        <is>
          <t>오송읍</t>
        </is>
      </c>
    </row>
    <row r="4866">
      <c r="A4866" s="3" t="n">
        <v>2025</v>
      </c>
      <c r="B4866" s="4" t="n">
        <v>774</v>
      </c>
      <c r="C4866" s="4" t="n">
        <v>36</v>
      </c>
      <c r="D4866" s="4" t="n">
        <v>10.89</v>
      </c>
      <c r="E4866" s="5" t="n">
        <v>71.09999999999999</v>
      </c>
      <c r="F4866" s="3" t="inlineStr">
        <is>
          <t>강내면</t>
        </is>
      </c>
      <c r="G4866" s="3" t="inlineStr">
        <is>
          <t>황탄리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강내면</t>
        </is>
      </c>
    </row>
    <row r="4867">
      <c r="A4867" s="3" t="n">
        <v>2025</v>
      </c>
      <c r="B4867" s="4" t="n">
        <v>36742</v>
      </c>
      <c r="C4867" s="4" t="n">
        <v>1514</v>
      </c>
      <c r="D4867" s="4" t="n">
        <v>457.985</v>
      </c>
      <c r="E4867" s="5" t="n">
        <v>80.2</v>
      </c>
      <c r="F4867" s="3" t="inlineStr">
        <is>
          <t>강내면</t>
        </is>
      </c>
      <c r="G4867" s="3" t="inlineStr">
        <is>
          <t>황탄리</t>
        </is>
      </c>
      <c r="H4867" s="3" t="inlineStr">
        <is>
          <t>농림지역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2025</v>
      </c>
      <c r="B4868" s="4" t="n">
        <v>6164</v>
      </c>
      <c r="C4868" s="4" t="n">
        <v>254</v>
      </c>
      <c r="D4868" s="4" t="n">
        <v>76.83499999999999</v>
      </c>
      <c r="E4868" s="5" t="n">
        <v>80.2</v>
      </c>
      <c r="F4868" s="3" t="inlineStr">
        <is>
          <t>강내면</t>
        </is>
      </c>
      <c r="G4868" s="3" t="inlineStr">
        <is>
          <t>황탄리</t>
        </is>
      </c>
      <c r="H4868" s="3" t="inlineStr">
        <is>
          <t>농림지역</t>
        </is>
      </c>
      <c r="I4868" s="3" t="inlineStr">
        <is>
          <t>전</t>
        </is>
      </c>
      <c r="J4868" s="3" t="inlineStr">
        <is>
          <t>강내면</t>
        </is>
      </c>
    </row>
    <row r="4869">
      <c r="A4869" s="3" t="n">
        <v>2025</v>
      </c>
      <c r="B4869" s="4" t="n">
        <v>30500</v>
      </c>
      <c r="C4869" s="4" t="n">
        <v>2119</v>
      </c>
      <c r="D4869" s="4" t="n">
        <v>640.9974999999999</v>
      </c>
      <c r="E4869" s="5" t="n">
        <v>47.6</v>
      </c>
      <c r="F4869" s="3" t="inlineStr">
        <is>
          <t>강내면</t>
        </is>
      </c>
      <c r="G4869" s="3" t="inlineStr">
        <is>
          <t>월탄리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175000</v>
      </c>
      <c r="C4870" s="4" t="n">
        <v>57917</v>
      </c>
      <c r="D4870" s="4" t="n">
        <v>17519.8925</v>
      </c>
      <c r="E4870" s="5" t="n">
        <v>10</v>
      </c>
      <c r="F4870" s="3" t="inlineStr">
        <is>
          <t>오송읍</t>
        </is>
      </c>
      <c r="G4870" s="3" t="inlineStr">
        <is>
          <t>상정리</t>
        </is>
      </c>
      <c r="H4870" s="3" t="inlineStr">
        <is>
          <t>생산관리지역</t>
        </is>
      </c>
      <c r="I4870" s="3" t="inlineStr">
        <is>
          <t>임야</t>
        </is>
      </c>
      <c r="J4870" s="3" t="inlineStr">
        <is>
          <t>오송읍</t>
        </is>
      </c>
    </row>
    <row r="4871">
      <c r="A4871" s="3" t="n">
        <v>2025</v>
      </c>
      <c r="B4871" s="4" t="n">
        <v>9000</v>
      </c>
      <c r="C4871" s="4" t="n">
        <v>165</v>
      </c>
      <c r="D4871" s="4" t="n">
        <v>49.9125</v>
      </c>
      <c r="E4871" s="5" t="n">
        <v>180.3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2025</v>
      </c>
      <c r="B4872" s="4" t="n">
        <v>7000</v>
      </c>
      <c r="C4872" s="4" t="n">
        <v>128</v>
      </c>
      <c r="D4872" s="4" t="n">
        <v>38.72</v>
      </c>
      <c r="E4872" s="5" t="n">
        <v>180.8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전</t>
        </is>
      </c>
      <c r="J4872" s="3" t="inlineStr">
        <is>
          <t>오송읍</t>
        </is>
      </c>
    </row>
    <row r="4873">
      <c r="A4873" s="3" t="n">
        <v>2025</v>
      </c>
      <c r="B4873" s="4" t="n">
        <v>17000</v>
      </c>
      <c r="C4873" s="4" t="n">
        <v>141</v>
      </c>
      <c r="D4873" s="4" t="n">
        <v>42.6525</v>
      </c>
      <c r="E4873" s="5" t="n">
        <v>398.6</v>
      </c>
      <c r="F4873" s="3" t="inlineStr">
        <is>
          <t>오송읍</t>
        </is>
      </c>
      <c r="G4873" s="3" t="inlineStr">
        <is>
          <t>쌍청리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2025</v>
      </c>
      <c r="B4874" s="4" t="n">
        <v>35000</v>
      </c>
      <c r="C4874" s="4" t="n">
        <v>1170</v>
      </c>
      <c r="D4874" s="4" t="n">
        <v>353.925</v>
      </c>
      <c r="E4874" s="5" t="n">
        <v>98.90000000000001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2023</v>
      </c>
      <c r="B4875" s="4" t="n">
        <v>6765</v>
      </c>
      <c r="C4875" s="4" t="n">
        <v>486</v>
      </c>
      <c r="D4875" s="4" t="n">
        <v>147.015</v>
      </c>
      <c r="E4875" s="5" t="n">
        <v>46</v>
      </c>
      <c r="F4875" s="3" t="inlineStr">
        <is>
          <t>현도면</t>
        </is>
      </c>
      <c r="G4875" s="3" t="inlineStr">
        <is>
          <t>죽전리</t>
        </is>
      </c>
      <c r="H4875" s="3" t="inlineStr">
        <is>
          <t>개발제한구역</t>
        </is>
      </c>
      <c r="I4875" s="3" t="inlineStr">
        <is>
          <t>전</t>
        </is>
      </c>
      <c r="J4875" s="3" t="inlineStr">
        <is>
          <t>현도면</t>
        </is>
      </c>
    </row>
    <row r="4876">
      <c r="A4876" s="3" t="n">
        <v>2025</v>
      </c>
      <c r="B4876" s="4" t="n">
        <v>256</v>
      </c>
      <c r="C4876" s="4" t="n">
        <v>13</v>
      </c>
      <c r="D4876" s="4" t="n">
        <v>3.9325</v>
      </c>
      <c r="E4876" s="5" t="n">
        <v>65.09999999999999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2025</v>
      </c>
      <c r="B4877" s="4" t="n">
        <v>32596</v>
      </c>
      <c r="C4877" s="4" t="n">
        <v>1755</v>
      </c>
      <c r="D4877" s="4" t="n">
        <v>530.8874999999999</v>
      </c>
      <c r="E4877" s="5" t="n">
        <v>61.4</v>
      </c>
      <c r="F4877" s="3" t="inlineStr">
        <is>
          <t>남이면</t>
        </is>
      </c>
      <c r="G4877" s="3" t="inlineStr">
        <is>
          <t>부용외천리</t>
        </is>
      </c>
      <c r="H4877" s="3" t="inlineStr">
        <is>
          <t>계획관리지역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2025</v>
      </c>
      <c r="B4878" s="4" t="n">
        <v>6197</v>
      </c>
      <c r="C4878" s="4" t="n">
        <v>251</v>
      </c>
      <c r="D4878" s="4" t="n">
        <v>75.92749999999999</v>
      </c>
      <c r="E4878" s="5" t="n">
        <v>81.59999999999999</v>
      </c>
      <c r="F4878" s="3" t="inlineStr">
        <is>
          <t>남이면</t>
        </is>
      </c>
      <c r="G4878" s="3" t="inlineStr">
        <is>
          <t>부용외천리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2025</v>
      </c>
      <c r="B4879" s="4" t="n">
        <v>40000</v>
      </c>
      <c r="C4879" s="4" t="n">
        <v>39967</v>
      </c>
      <c r="D4879" s="4" t="n">
        <v>12090.0175</v>
      </c>
      <c r="E4879" s="5" t="n">
        <v>3.3</v>
      </c>
      <c r="F4879" s="3" t="inlineStr">
        <is>
          <t>현도면</t>
        </is>
      </c>
      <c r="G4879" s="3" t="inlineStr">
        <is>
          <t>죽암리</t>
        </is>
      </c>
      <c r="H4879" s="3" t="inlineStr">
        <is>
          <t>농림지역</t>
        </is>
      </c>
      <c r="I4879" s="3" t="inlineStr">
        <is>
          <t>임야</t>
        </is>
      </c>
      <c r="J4879" s="3" t="inlineStr">
        <is>
          <t>현도면</t>
        </is>
      </c>
    </row>
    <row r="4880">
      <c r="A4880" s="3" t="n">
        <v>2025</v>
      </c>
      <c r="B4880" s="4" t="n">
        <v>28500</v>
      </c>
      <c r="C4880" s="4" t="n">
        <v>1464</v>
      </c>
      <c r="D4880" s="4" t="n">
        <v>442.86</v>
      </c>
      <c r="E4880" s="5" t="n">
        <v>64.40000000000001</v>
      </c>
      <c r="F4880" s="3" t="inlineStr">
        <is>
          <t>남이면</t>
        </is>
      </c>
      <c r="G4880" s="3" t="inlineStr">
        <is>
          <t>팔봉리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2025</v>
      </c>
      <c r="B4881" s="4" t="n">
        <v>5300</v>
      </c>
      <c r="C4881" s="4" t="n">
        <v>350</v>
      </c>
      <c r="D4881" s="4" t="n">
        <v>105.875</v>
      </c>
      <c r="E4881" s="5" t="n">
        <v>50.1</v>
      </c>
      <c r="F4881" s="3" t="inlineStr">
        <is>
          <t>현도면</t>
        </is>
      </c>
      <c r="G4881" s="3" t="inlineStr">
        <is>
          <t>시동리</t>
        </is>
      </c>
      <c r="H4881" s="3" t="inlineStr">
        <is>
          <t>생산관리지역</t>
        </is>
      </c>
      <c r="I4881" s="3" t="inlineStr">
        <is>
          <t>답</t>
        </is>
      </c>
      <c r="J4881" s="3" t="inlineStr">
        <is>
          <t>현도면</t>
        </is>
      </c>
    </row>
    <row r="4882">
      <c r="A4882" s="3" t="n">
        <v>2025</v>
      </c>
      <c r="B4882" s="4" t="n">
        <v>10500</v>
      </c>
      <c r="C4882" s="4" t="n">
        <v>349</v>
      </c>
      <c r="D4882" s="4" t="n">
        <v>105.5725</v>
      </c>
      <c r="E4882" s="5" t="n">
        <v>99.5</v>
      </c>
      <c r="F4882" s="3" t="inlineStr">
        <is>
          <t>남이면</t>
        </is>
      </c>
      <c r="G4882" s="3" t="inlineStr">
        <is>
          <t>가마리</t>
        </is>
      </c>
      <c r="H4882" s="3" t="inlineStr">
        <is>
          <t>자연녹지지역</t>
        </is>
      </c>
      <c r="I4882" s="3" t="inlineStr">
        <is>
          <t>대</t>
        </is>
      </c>
      <c r="J4882" s="3" t="inlineStr">
        <is>
          <t>남이면</t>
        </is>
      </c>
    </row>
    <row r="4883">
      <c r="A4883" s="3" t="n">
        <v>2025</v>
      </c>
      <c r="B4883" s="4" t="n">
        <v>46000</v>
      </c>
      <c r="C4883" s="4" t="n">
        <v>1020</v>
      </c>
      <c r="D4883" s="4" t="n">
        <v>308.55</v>
      </c>
      <c r="E4883" s="5" t="n">
        <v>149.1</v>
      </c>
      <c r="F4883" s="3" t="inlineStr">
        <is>
          <t>현도면</t>
        </is>
      </c>
      <c r="G4883" s="3" t="inlineStr">
        <is>
          <t>상삼리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현도면</t>
        </is>
      </c>
    </row>
    <row r="4884">
      <c r="A4884" s="3" t="n">
        <v>2025</v>
      </c>
      <c r="B4884" s="4" t="n">
        <v>600</v>
      </c>
      <c r="C4884" s="4" t="n">
        <v>84</v>
      </c>
      <c r="D4884" s="4" t="n">
        <v>25.41</v>
      </c>
      <c r="E4884" s="5" t="n">
        <v>23.6</v>
      </c>
      <c r="F4884" s="3" t="inlineStr">
        <is>
          <t>남이면</t>
        </is>
      </c>
      <c r="G4884" s="3" t="inlineStr">
        <is>
          <t>척북리</t>
        </is>
      </c>
      <c r="H4884" s="3" t="inlineStr">
        <is>
          <t>농림지역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2025</v>
      </c>
      <c r="B4885" s="4" t="n">
        <v>7400</v>
      </c>
      <c r="C4885" s="4" t="n">
        <v>825</v>
      </c>
      <c r="D4885" s="4" t="n">
        <v>249.5625</v>
      </c>
      <c r="E4885" s="5" t="n">
        <v>29.7</v>
      </c>
      <c r="F4885" s="3" t="inlineStr">
        <is>
          <t>남이면</t>
        </is>
      </c>
      <c r="G4885" s="3" t="inlineStr">
        <is>
          <t>척북리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2025</v>
      </c>
      <c r="B4886" s="4" t="n">
        <v>50000</v>
      </c>
      <c r="C4886" s="4" t="n">
        <v>1825</v>
      </c>
      <c r="D4886" s="4" t="n">
        <v>552.0625</v>
      </c>
      <c r="E4886" s="5" t="n">
        <v>90.59999999999999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답</t>
        </is>
      </c>
      <c r="J4886" s="3" t="inlineStr">
        <is>
          <t>남이면</t>
        </is>
      </c>
    </row>
    <row r="4887">
      <c r="A4887" s="3" t="n">
        <v>2025</v>
      </c>
      <c r="B4887" s="4" t="n">
        <v>45000</v>
      </c>
      <c r="C4887" s="4" t="n">
        <v>1653</v>
      </c>
      <c r="D4887" s="4" t="n">
        <v>500.0325</v>
      </c>
      <c r="E4887" s="5" t="n">
        <v>90</v>
      </c>
      <c r="F4887" s="3" t="inlineStr">
        <is>
          <t>남이면</t>
        </is>
      </c>
      <c r="G4887" s="3" t="inlineStr">
        <is>
          <t>석실리</t>
        </is>
      </c>
      <c r="H4887" s="3" t="inlineStr">
        <is>
          <t>자연녹지지역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2025</v>
      </c>
      <c r="B4888" s="4" t="n">
        <v>35000</v>
      </c>
      <c r="C4888" s="4" t="n">
        <v>240.5</v>
      </c>
      <c r="D4888" s="4" t="n">
        <v>72.75125</v>
      </c>
      <c r="E4888" s="5" t="n">
        <v>481.1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2025</v>
      </c>
      <c r="B4889" s="4" t="n">
        <v>55000</v>
      </c>
      <c r="C4889" s="4" t="n">
        <v>290.8</v>
      </c>
      <c r="D4889" s="4" t="n">
        <v>87.967</v>
      </c>
      <c r="E4889" s="5" t="n">
        <v>625.2</v>
      </c>
      <c r="F4889" s="3" t="inlineStr">
        <is>
          <t>오송읍</t>
        </is>
      </c>
      <c r="G4889" s="3" t="inlineStr">
        <is>
          <t>봉산리</t>
        </is>
      </c>
      <c r="H4889" s="3" t="inlineStr">
        <is>
          <t>제1종일반주거지역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2025</v>
      </c>
      <c r="B4890" s="4" t="n">
        <v>35000</v>
      </c>
      <c r="C4890" s="4" t="n">
        <v>267.6</v>
      </c>
      <c r="D4890" s="4" t="n">
        <v>80.949</v>
      </c>
      <c r="E4890" s="5" t="n">
        <v>432.4</v>
      </c>
      <c r="F4890" s="3" t="inlineStr">
        <is>
          <t>오송읍</t>
        </is>
      </c>
      <c r="G4890" s="3" t="inlineStr">
        <is>
          <t>봉산리</t>
        </is>
      </c>
      <c r="H4890" s="3" t="inlineStr">
        <is>
          <t>제1종일반주거지역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32427</v>
      </c>
      <c r="C4891" s="4" t="n">
        <v>573</v>
      </c>
      <c r="D4891" s="4" t="n">
        <v>173.3325</v>
      </c>
      <c r="E4891" s="5" t="n">
        <v>187.1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계획관리지역</t>
        </is>
      </c>
      <c r="I4891" s="3" t="inlineStr">
        <is>
          <t>대</t>
        </is>
      </c>
      <c r="J4891" s="3" t="inlineStr">
        <is>
          <t>강내면</t>
        </is>
      </c>
    </row>
    <row r="4892">
      <c r="A4892" s="3" t="n">
        <v>2025</v>
      </c>
      <c r="B4892" s="4" t="n">
        <v>16000</v>
      </c>
      <c r="C4892" s="4" t="n">
        <v>754</v>
      </c>
      <c r="D4892" s="4" t="n">
        <v>228.085</v>
      </c>
      <c r="E4892" s="5" t="n">
        <v>70.09999999999999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오송읍</t>
        </is>
      </c>
    </row>
    <row r="4893">
      <c r="A4893" s="3" t="n">
        <v>2025</v>
      </c>
      <c r="B4893" s="4" t="n">
        <v>18600</v>
      </c>
      <c r="C4893" s="4" t="n">
        <v>879</v>
      </c>
      <c r="D4893" s="4" t="n">
        <v>265.8975</v>
      </c>
      <c r="E4893" s="5" t="n">
        <v>70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1300</v>
      </c>
      <c r="C4894" s="4" t="n">
        <v>60</v>
      </c>
      <c r="D4894" s="4" t="n">
        <v>18.15</v>
      </c>
      <c r="E4894" s="5" t="n">
        <v>71.59999999999999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오송읍</t>
        </is>
      </c>
    </row>
    <row r="4895">
      <c r="A4895" s="3" t="n">
        <v>2025</v>
      </c>
      <c r="B4895" s="4" t="n">
        <v>11100</v>
      </c>
      <c r="C4895" s="4" t="n">
        <v>529</v>
      </c>
      <c r="D4895" s="4" t="n">
        <v>160.0225</v>
      </c>
      <c r="E4895" s="5" t="n">
        <v>69.40000000000001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오송읍</t>
        </is>
      </c>
    </row>
    <row r="4896">
      <c r="A4896" s="3" t="n">
        <v>2026</v>
      </c>
      <c r="B4896" s="4" t="n">
        <v>26000</v>
      </c>
      <c r="C4896" s="4" t="n">
        <v>1322</v>
      </c>
      <c r="D4896" s="4" t="n">
        <v>399.905</v>
      </c>
      <c r="E4896" s="5" t="n">
        <v>65</v>
      </c>
      <c r="F4896" s="3" t="inlineStr">
        <is>
          <t>연동면</t>
        </is>
      </c>
      <c r="G4896" s="3" t="inlineStr">
        <is>
          <t>명학리</t>
        </is>
      </c>
      <c r="H4896" s="3" t="inlineStr">
        <is>
          <t>계획관리지역</t>
        </is>
      </c>
      <c r="I4896" s="3" t="inlineStr">
        <is>
          <t>전</t>
        </is>
      </c>
      <c r="J4896" s="3" t="inlineStr">
        <is>
          <t>연동면</t>
        </is>
      </c>
    </row>
    <row r="4897">
      <c r="A4897" s="3" t="n">
        <v>2026</v>
      </c>
      <c r="B4897" s="4" t="n">
        <v>900</v>
      </c>
      <c r="C4897" s="4" t="n">
        <v>367</v>
      </c>
      <c r="D4897" s="4" t="n">
        <v>111.0175</v>
      </c>
      <c r="E4897" s="5" t="n">
        <v>8.1</v>
      </c>
      <c r="F4897" s="3" t="inlineStr">
        <is>
          <t>장군면</t>
        </is>
      </c>
      <c r="G4897" s="3" t="inlineStr">
        <is>
          <t>은용리</t>
        </is>
      </c>
      <c r="H4897" s="3" t="inlineStr">
        <is>
          <t>보전관리지역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2026</v>
      </c>
      <c r="B4898" s="4" t="n">
        <v>27000</v>
      </c>
      <c r="C4898" s="4" t="n">
        <v>510</v>
      </c>
      <c r="D4898" s="4" t="n">
        <v>154.275</v>
      </c>
      <c r="E4898" s="5" t="n">
        <v>175</v>
      </c>
      <c r="F4898" s="3" t="inlineStr">
        <is>
          <t>금남면</t>
        </is>
      </c>
      <c r="G4898" s="3" t="inlineStr">
        <is>
          <t>성강리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금남면</t>
        </is>
      </c>
    </row>
    <row r="4899">
      <c r="A4899" s="3" t="n">
        <v>2026</v>
      </c>
      <c r="B4899" s="4" t="n">
        <v>50000</v>
      </c>
      <c r="C4899" s="4" t="n">
        <v>1621</v>
      </c>
      <c r="D4899" s="4" t="n">
        <v>490.3525</v>
      </c>
      <c r="E4899" s="5" t="n">
        <v>102</v>
      </c>
      <c r="F4899" s="3" t="inlineStr">
        <is>
          <t>금남면</t>
        </is>
      </c>
      <c r="G4899" s="3" t="inlineStr">
        <is>
          <t>원봉리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금남면</t>
        </is>
      </c>
    </row>
    <row r="4900">
      <c r="A4900" s="3" t="n">
        <v>2026</v>
      </c>
      <c r="B4900" s="4" t="n">
        <v>2082</v>
      </c>
      <c r="C4900" s="4" t="n">
        <v>337</v>
      </c>
      <c r="D4900" s="4" t="n">
        <v>101.9425</v>
      </c>
      <c r="E4900" s="5" t="n">
        <v>20.4</v>
      </c>
      <c r="F4900" s="3" t="inlineStr">
        <is>
          <t>전의면</t>
        </is>
      </c>
      <c r="G4900" s="3" t="inlineStr">
        <is>
          <t>신방리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전의면</t>
        </is>
      </c>
    </row>
    <row r="4901">
      <c r="A4901" s="3" t="n">
        <v>2026</v>
      </c>
      <c r="B4901" s="4" t="n">
        <v>18</v>
      </c>
      <c r="C4901" s="4" t="n">
        <v>3</v>
      </c>
      <c r="D4901" s="4" t="n">
        <v>0.9075</v>
      </c>
      <c r="E4901" s="5" t="n">
        <v>19.8</v>
      </c>
      <c r="F4901" s="3" t="inlineStr">
        <is>
          <t>전의면</t>
        </is>
      </c>
      <c r="G4901" s="3" t="inlineStr">
        <is>
          <t>신방리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전의면</t>
        </is>
      </c>
    </row>
    <row r="4902">
      <c r="A4902" s="3" t="n">
        <v>2026</v>
      </c>
      <c r="B4902" s="4" t="n">
        <v>10700</v>
      </c>
      <c r="C4902" s="4" t="n">
        <v>1110</v>
      </c>
      <c r="D4902" s="4" t="n">
        <v>335.775</v>
      </c>
      <c r="E4902" s="5" t="n">
        <v>31.9</v>
      </c>
      <c r="F4902" s="3" t="inlineStr">
        <is>
          <t>전동면</t>
        </is>
      </c>
      <c r="G4902" s="3" t="inlineStr">
        <is>
          <t>보덕리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전동면</t>
        </is>
      </c>
    </row>
    <row r="4903">
      <c r="A4903" s="3" t="n">
        <v>2026</v>
      </c>
      <c r="B4903" s="4" t="n">
        <v>10000</v>
      </c>
      <c r="C4903" s="4" t="n">
        <v>420</v>
      </c>
      <c r="D4903" s="4" t="n">
        <v>127.05</v>
      </c>
      <c r="E4903" s="5" t="n">
        <v>78.7</v>
      </c>
      <c r="F4903" s="3" t="inlineStr">
        <is>
          <t>부강면</t>
        </is>
      </c>
      <c r="G4903" s="3" t="inlineStr">
        <is>
          <t>금호리</t>
        </is>
      </c>
      <c r="H4903" s="3" t="inlineStr">
        <is>
          <t>계획관리지역</t>
        </is>
      </c>
      <c r="I4903" s="3" t="inlineStr">
        <is>
          <t>대</t>
        </is>
      </c>
      <c r="J4903" s="3" t="inlineStr">
        <is>
          <t>부강면</t>
        </is>
      </c>
    </row>
    <row r="4904">
      <c r="A4904" s="3" t="n">
        <v>2026</v>
      </c>
      <c r="B4904" s="4" t="n">
        <v>3040</v>
      </c>
      <c r="C4904" s="4" t="n">
        <v>1005</v>
      </c>
      <c r="D4904" s="4" t="n">
        <v>304.0125</v>
      </c>
      <c r="E4904" s="5" t="n">
        <v>10</v>
      </c>
      <c r="F4904" s="3" t="inlineStr">
        <is>
          <t>금남면</t>
        </is>
      </c>
      <c r="G4904" s="3" t="inlineStr">
        <is>
          <t>남곡리</t>
        </is>
      </c>
      <c r="H4904" s="3" t="inlineStr">
        <is>
          <t>개발제한구역</t>
        </is>
      </c>
      <c r="I4904" s="3" t="inlineStr">
        <is>
          <t>답</t>
        </is>
      </c>
      <c r="J4904" s="3" t="inlineStr">
        <is>
          <t>금남면</t>
        </is>
      </c>
    </row>
    <row r="4905">
      <c r="A4905" s="3" t="n">
        <v>2026</v>
      </c>
      <c r="B4905" s="4" t="n">
        <v>5743</v>
      </c>
      <c r="C4905" s="4" t="n">
        <v>668</v>
      </c>
      <c r="D4905" s="4" t="n">
        <v>202.07</v>
      </c>
      <c r="E4905" s="5" t="n">
        <v>28.4</v>
      </c>
      <c r="F4905" s="3" t="inlineStr">
        <is>
          <t>전의면</t>
        </is>
      </c>
      <c r="G4905" s="3" t="inlineStr">
        <is>
          <t>유천리</t>
        </is>
      </c>
      <c r="H4905" s="3" t="inlineStr">
        <is>
          <t>계획관리지역</t>
        </is>
      </c>
      <c r="I4905" s="3" t="inlineStr">
        <is>
          <t>잡종지</t>
        </is>
      </c>
      <c r="J4905" s="3" t="inlineStr">
        <is>
          <t>전의면</t>
        </is>
      </c>
    </row>
    <row r="4906">
      <c r="A4906" s="3" t="n">
        <v>2026</v>
      </c>
      <c r="B4906" s="4" t="n">
        <v>1865</v>
      </c>
      <c r="C4906" s="4" t="n">
        <v>217</v>
      </c>
      <c r="D4906" s="4" t="n">
        <v>65.6425</v>
      </c>
      <c r="E4906" s="5" t="n">
        <v>28.4</v>
      </c>
      <c r="F4906" s="3" t="inlineStr">
        <is>
          <t>전의면</t>
        </is>
      </c>
      <c r="G4906" s="3" t="inlineStr">
        <is>
          <t>유천리</t>
        </is>
      </c>
      <c r="H4906" s="3" t="inlineStr">
        <is>
          <t>계획관리지역</t>
        </is>
      </c>
      <c r="I4906" s="3" t="inlineStr">
        <is>
          <t>잡종지</t>
        </is>
      </c>
      <c r="J4906" s="3" t="inlineStr">
        <is>
          <t>전의면</t>
        </is>
      </c>
    </row>
    <row r="4907">
      <c r="A4907" s="3" t="n">
        <v>2022</v>
      </c>
      <c r="B4907" s="4" t="n">
        <v>5100</v>
      </c>
      <c r="C4907" s="4" t="n">
        <v>436</v>
      </c>
      <c r="D4907" s="4" t="n">
        <v>131.89</v>
      </c>
      <c r="E4907" s="5" t="n">
        <v>38.7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16100</v>
      </c>
      <c r="C4908" s="4" t="n">
        <v>1369</v>
      </c>
      <c r="D4908" s="4" t="n">
        <v>414.1225</v>
      </c>
      <c r="E4908" s="5" t="n">
        <v>38.9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생산녹지지역</t>
        </is>
      </c>
      <c r="I4908" s="3" t="inlineStr">
        <is>
          <t>답</t>
        </is>
      </c>
      <c r="J4908" s="3" t="inlineStr">
        <is>
          <t>강내면</t>
        </is>
      </c>
    </row>
    <row r="4909">
      <c r="A4909" s="3" t="n">
        <v>2022</v>
      </c>
      <c r="B4909" s="4" t="n">
        <v>11500</v>
      </c>
      <c r="C4909" s="4" t="n">
        <v>982</v>
      </c>
      <c r="D4909" s="4" t="n">
        <v>297.055</v>
      </c>
      <c r="E4909" s="5" t="n">
        <v>38.7</v>
      </c>
      <c r="F4909" s="3" t="inlineStr">
        <is>
          <t>강내면</t>
        </is>
      </c>
      <c r="G4909" s="3" t="inlineStr">
        <is>
          <t>학천리</t>
        </is>
      </c>
      <c r="H4909" s="3" t="inlineStr">
        <is>
          <t>생산녹지지역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2022</v>
      </c>
      <c r="B4910" s="4" t="n">
        <v>56564</v>
      </c>
      <c r="C4910" s="4" t="n">
        <v>1100</v>
      </c>
      <c r="D4910" s="4" t="n">
        <v>332.75</v>
      </c>
      <c r="E4910" s="5" t="n">
        <v>170</v>
      </c>
      <c r="F4910" s="3" t="inlineStr">
        <is>
          <t>오송읍</t>
        </is>
      </c>
      <c r="G4910" s="3" t="inlineStr">
        <is>
          <t>궁평리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2022</v>
      </c>
      <c r="B4911" s="4" t="n">
        <v>51525</v>
      </c>
      <c r="C4911" s="4" t="n">
        <v>1002</v>
      </c>
      <c r="D4911" s="4" t="n">
        <v>303.105</v>
      </c>
      <c r="E4911" s="5" t="n">
        <v>170</v>
      </c>
      <c r="F4911" s="3" t="inlineStr">
        <is>
          <t>오송읍</t>
        </is>
      </c>
      <c r="G4911" s="3" t="inlineStr">
        <is>
          <t>궁평리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오송읍</t>
        </is>
      </c>
    </row>
    <row r="4912">
      <c r="A4912" s="3" t="n">
        <v>2022</v>
      </c>
      <c r="B4912" s="4" t="n">
        <v>33000</v>
      </c>
      <c r="C4912" s="4" t="n">
        <v>258.6</v>
      </c>
      <c r="D4912" s="4" t="n">
        <v>78.2265</v>
      </c>
      <c r="E4912" s="5" t="n">
        <v>421.9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2022</v>
      </c>
      <c r="B4913" s="4" t="n">
        <v>33000</v>
      </c>
      <c r="C4913" s="4" t="n">
        <v>2196</v>
      </c>
      <c r="D4913" s="4" t="n">
        <v>664.29</v>
      </c>
      <c r="E4913" s="5" t="n">
        <v>49.7</v>
      </c>
      <c r="F4913" s="3" t="inlineStr">
        <is>
          <t>강내면</t>
        </is>
      </c>
      <c r="G4913" s="3" t="inlineStr">
        <is>
          <t>궁현리</t>
        </is>
      </c>
      <c r="H4913" s="3" t="inlineStr">
        <is>
          <t>계획관리지역</t>
        </is>
      </c>
      <c r="I4913" s="3" t="inlineStr">
        <is>
          <t>전</t>
        </is>
      </c>
      <c r="J4913" s="3" t="inlineStr">
        <is>
          <t>강내면</t>
        </is>
      </c>
    </row>
    <row r="4914">
      <c r="A4914" s="3" t="n">
        <v>2022</v>
      </c>
      <c r="B4914" s="4" t="n">
        <v>5518</v>
      </c>
      <c r="C4914" s="4" t="n">
        <v>570</v>
      </c>
      <c r="D4914" s="4" t="n">
        <v>172.425</v>
      </c>
      <c r="E4914" s="5" t="n">
        <v>32</v>
      </c>
      <c r="F4914" s="3" t="inlineStr">
        <is>
          <t>강내면</t>
        </is>
      </c>
      <c r="G4914" s="3" t="inlineStr">
        <is>
          <t>다락리</t>
        </is>
      </c>
      <c r="H4914" s="3" t="inlineStr">
        <is>
          <t>일반공업지역</t>
        </is>
      </c>
      <c r="I4914" s="3" t="inlineStr">
        <is>
          <t>구거</t>
        </is>
      </c>
      <c r="J4914" s="3" t="inlineStr">
        <is>
          <t>강내면</t>
        </is>
      </c>
    </row>
    <row r="4915">
      <c r="A4915" s="3" t="n">
        <v>2022</v>
      </c>
      <c r="B4915" s="4" t="n">
        <v>25950</v>
      </c>
      <c r="C4915" s="4" t="n">
        <v>573</v>
      </c>
      <c r="D4915" s="4" t="n">
        <v>173.3325</v>
      </c>
      <c r="E4915" s="5" t="n">
        <v>149.7</v>
      </c>
      <c r="F4915" s="3" t="inlineStr">
        <is>
          <t>강내면</t>
        </is>
      </c>
      <c r="G4915" s="3" t="inlineStr">
        <is>
          <t>월탄리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52300</v>
      </c>
      <c r="C4916" s="4" t="n">
        <v>2036</v>
      </c>
      <c r="D4916" s="4" t="n">
        <v>615.89</v>
      </c>
      <c r="E4916" s="5" t="n">
        <v>84.90000000000001</v>
      </c>
      <c r="F4916" s="3" t="inlineStr">
        <is>
          <t>오송읍</t>
        </is>
      </c>
      <c r="G4916" s="3" t="inlineStr">
        <is>
          <t>궁평리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2022</v>
      </c>
      <c r="B4917" s="4" t="n">
        <v>7000</v>
      </c>
      <c r="C4917" s="4" t="n">
        <v>491</v>
      </c>
      <c r="D4917" s="4" t="n">
        <v>148.5275</v>
      </c>
      <c r="E4917" s="5" t="n">
        <v>47.1</v>
      </c>
      <c r="F4917" s="3" t="inlineStr">
        <is>
          <t>강내면</t>
        </is>
      </c>
      <c r="G4917" s="3" t="inlineStr">
        <is>
          <t>다락리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강내면</t>
        </is>
      </c>
    </row>
    <row r="4918">
      <c r="A4918" s="3" t="n">
        <v>2022</v>
      </c>
      <c r="B4918" s="4" t="n">
        <v>17285</v>
      </c>
      <c r="C4918" s="4" t="n">
        <v>477</v>
      </c>
      <c r="D4918" s="4" t="n">
        <v>144.2925</v>
      </c>
      <c r="E4918" s="5" t="n">
        <v>119.8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강내면</t>
        </is>
      </c>
    </row>
    <row r="4919">
      <c r="A4919" s="3" t="n">
        <v>2022</v>
      </c>
      <c r="B4919" s="4" t="n">
        <v>63100</v>
      </c>
      <c r="C4919" s="4" t="n">
        <v>2675</v>
      </c>
      <c r="D4919" s="4" t="n">
        <v>809.1875</v>
      </c>
      <c r="E4919" s="5" t="n">
        <v>78</v>
      </c>
      <c r="F4919" s="3" t="inlineStr">
        <is>
          <t>강내면</t>
        </is>
      </c>
      <c r="G4919" s="3" t="inlineStr">
        <is>
          <t>궁현리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강내면</t>
        </is>
      </c>
    </row>
    <row r="4920">
      <c r="A4920" s="3" t="n">
        <v>2022</v>
      </c>
      <c r="B4920" s="4" t="n">
        <v>30000</v>
      </c>
      <c r="C4920" s="4" t="n">
        <v>240.8</v>
      </c>
      <c r="D4920" s="4" t="n">
        <v>72.842</v>
      </c>
      <c r="E4920" s="5" t="n">
        <v>411.9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2022</v>
      </c>
      <c r="B4921" s="4" t="n">
        <v>600</v>
      </c>
      <c r="C4921" s="4" t="n">
        <v>3</v>
      </c>
      <c r="D4921" s="4" t="n">
        <v>0.9075</v>
      </c>
      <c r="E4921" s="5" t="n">
        <v>661.2</v>
      </c>
      <c r="F4921" s="3" t="inlineStr">
        <is>
          <t>오송읍</t>
        </is>
      </c>
      <c r="G4921" s="3" t="inlineStr">
        <is>
          <t>궁평리</t>
        </is>
      </c>
      <c r="H4921" s="3" t="inlineStr">
        <is>
          <t>일반상업지역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2024</v>
      </c>
      <c r="B4922" s="4" t="n">
        <v>20000</v>
      </c>
      <c r="C4922" s="4" t="n">
        <v>455</v>
      </c>
      <c r="D4922" s="4" t="n">
        <v>137.6375</v>
      </c>
      <c r="E4922" s="5" t="n">
        <v>145.3</v>
      </c>
      <c r="F4922" s="3" t="inlineStr">
        <is>
          <t>강내면</t>
        </is>
      </c>
      <c r="G4922" s="3" t="inlineStr">
        <is>
          <t>저산리</t>
        </is>
      </c>
      <c r="H4922" s="3" t="inlineStr">
        <is>
          <t>계획관리지역</t>
        </is>
      </c>
      <c r="I4922" s="3" t="inlineStr">
        <is>
          <t>전</t>
        </is>
      </c>
      <c r="J4922" s="3" t="inlineStr">
        <is>
          <t>강내면</t>
        </is>
      </c>
    </row>
    <row r="4923">
      <c r="A4923" s="3" t="n">
        <v>2024</v>
      </c>
      <c r="B4923" s="4" t="n">
        <v>19000</v>
      </c>
      <c r="C4923" s="4" t="n">
        <v>575</v>
      </c>
      <c r="D4923" s="4" t="n">
        <v>173.9375</v>
      </c>
      <c r="E4923" s="5" t="n">
        <v>109.2</v>
      </c>
      <c r="F4923" s="3" t="inlineStr">
        <is>
          <t>오송읍</t>
        </is>
      </c>
      <c r="G4923" s="3" t="inlineStr">
        <is>
          <t>쌍청리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오송읍</t>
        </is>
      </c>
    </row>
    <row r="4924">
      <c r="A4924" s="3" t="n">
        <v>2024</v>
      </c>
      <c r="B4924" s="4" t="n">
        <v>9000</v>
      </c>
      <c r="C4924" s="4" t="n">
        <v>460</v>
      </c>
      <c r="D4924" s="4" t="n">
        <v>139.15</v>
      </c>
      <c r="E4924" s="5" t="n">
        <v>64.7</v>
      </c>
      <c r="F4924" s="3" t="inlineStr">
        <is>
          <t>오송읍</t>
        </is>
      </c>
      <c r="G4924" s="3" t="inlineStr">
        <is>
          <t>쌍청리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오송읍</t>
        </is>
      </c>
    </row>
    <row r="4925">
      <c r="A4925" s="3" t="n">
        <v>2024</v>
      </c>
      <c r="B4925" s="4" t="n">
        <v>2900</v>
      </c>
      <c r="C4925" s="4" t="n">
        <v>184</v>
      </c>
      <c r="D4925" s="4" t="n">
        <v>55.66</v>
      </c>
      <c r="E4925" s="5" t="n">
        <v>52.1</v>
      </c>
      <c r="F4925" s="3" t="inlineStr">
        <is>
          <t>오송읍</t>
        </is>
      </c>
      <c r="G4925" s="3" t="inlineStr">
        <is>
          <t>쌍청리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2024</v>
      </c>
      <c r="B4926" s="4" t="n">
        <v>1000</v>
      </c>
      <c r="C4926" s="4" t="n">
        <v>70</v>
      </c>
      <c r="D4926" s="4" t="n">
        <v>21.175</v>
      </c>
      <c r="E4926" s="5" t="n">
        <v>47.2</v>
      </c>
      <c r="F4926" s="3" t="inlineStr">
        <is>
          <t>오송읍</t>
        </is>
      </c>
      <c r="G4926" s="3" t="inlineStr">
        <is>
          <t>쌍청리</t>
        </is>
      </c>
      <c r="H4926" s="3" t="inlineStr">
        <is>
          <t>계획관리지역</t>
        </is>
      </c>
      <c r="I4926" s="3" t="inlineStr">
        <is>
          <t>임야</t>
        </is>
      </c>
      <c r="J4926" s="3" t="inlineStr">
        <is>
          <t>오송읍</t>
        </is>
      </c>
    </row>
    <row r="4927">
      <c r="A4927" s="3" t="n">
        <v>2024</v>
      </c>
      <c r="B4927" s="4" t="n">
        <v>16100</v>
      </c>
      <c r="C4927" s="4" t="n">
        <v>580</v>
      </c>
      <c r="D4927" s="4" t="n">
        <v>175.45</v>
      </c>
      <c r="E4927" s="5" t="n">
        <v>91.8</v>
      </c>
      <c r="F4927" s="3" t="inlineStr">
        <is>
          <t>강내면</t>
        </is>
      </c>
      <c r="G4927" s="3" t="inlineStr">
        <is>
          <t>태성리</t>
        </is>
      </c>
      <c r="H4927" s="3" t="inlineStr">
        <is>
          <t>계획관리지역</t>
        </is>
      </c>
      <c r="I4927" s="3" t="inlineStr">
        <is>
          <t>대</t>
        </is>
      </c>
      <c r="J4927" s="3" t="inlineStr">
        <is>
          <t>강내면</t>
        </is>
      </c>
    </row>
    <row r="4928">
      <c r="A4928" s="3" t="n">
        <v>2024</v>
      </c>
      <c r="B4928" s="4" t="n">
        <v>26100</v>
      </c>
      <c r="C4928" s="4" t="n">
        <v>864</v>
      </c>
      <c r="D4928" s="4" t="n">
        <v>261.36</v>
      </c>
      <c r="E4928" s="5" t="n">
        <v>99.90000000000001</v>
      </c>
      <c r="F4928" s="3" t="inlineStr">
        <is>
          <t>오송읍</t>
        </is>
      </c>
      <c r="G4928" s="3" t="inlineStr">
        <is>
          <t>쌍청리</t>
        </is>
      </c>
      <c r="H4928" s="3" t="inlineStr">
        <is>
          <t>기타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6900</v>
      </c>
      <c r="C4929" s="4" t="n">
        <v>456</v>
      </c>
      <c r="D4929" s="4" t="n">
        <v>137.94</v>
      </c>
      <c r="E4929" s="5" t="n">
        <v>50</v>
      </c>
      <c r="F4929" s="3" t="inlineStr">
        <is>
          <t>강내면</t>
        </is>
      </c>
      <c r="G4929" s="3" t="inlineStr">
        <is>
          <t>황탄리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20000</v>
      </c>
      <c r="C4930" s="4" t="n">
        <v>449</v>
      </c>
      <c r="D4930" s="4" t="n">
        <v>135.8225</v>
      </c>
      <c r="E4930" s="5" t="n">
        <v>147.3</v>
      </c>
      <c r="F4930" s="3" t="inlineStr">
        <is>
          <t>강내면</t>
        </is>
      </c>
      <c r="G4930" s="3" t="inlineStr">
        <is>
          <t>월탄리</t>
        </is>
      </c>
      <c r="H4930" s="3" t="inlineStr">
        <is>
          <t>계획관리지역</t>
        </is>
      </c>
      <c r="I4930" s="3" t="inlineStr">
        <is>
          <t>대</t>
        </is>
      </c>
      <c r="J4930" s="3" t="inlineStr">
        <is>
          <t>강내면</t>
        </is>
      </c>
    </row>
    <row r="4931">
      <c r="A4931" s="3" t="n">
        <v>2024</v>
      </c>
      <c r="B4931" s="4" t="n">
        <v>35453</v>
      </c>
      <c r="C4931" s="4" t="n">
        <v>293</v>
      </c>
      <c r="D4931" s="4" t="n">
        <v>88.63249999999999</v>
      </c>
      <c r="E4931" s="5" t="n">
        <v>400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잡종지</t>
        </is>
      </c>
      <c r="J4931" s="3" t="inlineStr">
        <is>
          <t>오송읍</t>
        </is>
      </c>
    </row>
    <row r="4932">
      <c r="A4932" s="3" t="n">
        <v>2025</v>
      </c>
      <c r="B4932" s="4" t="n">
        <v>34408</v>
      </c>
      <c r="C4932" s="4" t="n">
        <v>451</v>
      </c>
      <c r="D4932" s="4" t="n">
        <v>136.4275</v>
      </c>
      <c r="E4932" s="5" t="n">
        <v>252.2</v>
      </c>
      <c r="F4932" s="3" t="inlineStr">
        <is>
          <t>장군면</t>
        </is>
      </c>
      <c r="G4932" s="3" t="inlineStr">
        <is>
          <t>산학리</t>
        </is>
      </c>
      <c r="H4932" s="3" t="inlineStr">
        <is>
          <t>보전관리지역</t>
        </is>
      </c>
      <c r="I4932" s="3" t="inlineStr">
        <is>
          <t>대</t>
        </is>
      </c>
      <c r="J4932" s="3" t="inlineStr">
        <is>
          <t>장군면</t>
        </is>
      </c>
    </row>
    <row r="4933">
      <c r="A4933" s="3" t="n">
        <v>2025</v>
      </c>
      <c r="B4933" s="4" t="n">
        <v>8000</v>
      </c>
      <c r="C4933" s="4" t="n">
        <v>116</v>
      </c>
      <c r="D4933" s="4" t="n">
        <v>35.09</v>
      </c>
      <c r="E4933" s="5" t="n">
        <v>228</v>
      </c>
      <c r="F4933" s="3" t="inlineStr">
        <is>
          <t>장군면</t>
        </is>
      </c>
      <c r="G4933" s="3" t="inlineStr">
        <is>
          <t>송문리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장군면</t>
        </is>
      </c>
    </row>
    <row r="4934">
      <c r="A4934" s="3" t="n">
        <v>2025</v>
      </c>
      <c r="B4934" s="4" t="n">
        <v>9840</v>
      </c>
      <c r="C4934" s="4" t="n">
        <v>1627</v>
      </c>
      <c r="D4934" s="4" t="n">
        <v>492.1675</v>
      </c>
      <c r="E4934" s="5" t="n">
        <v>20</v>
      </c>
      <c r="F4934" s="3" t="inlineStr">
        <is>
          <t>전의면</t>
        </is>
      </c>
      <c r="G4934" s="3" t="inlineStr">
        <is>
          <t>다방리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전의면</t>
        </is>
      </c>
    </row>
    <row r="4935">
      <c r="A4935" s="3" t="n">
        <v>2025</v>
      </c>
      <c r="B4935" s="4" t="n">
        <v>2540</v>
      </c>
      <c r="C4935" s="4" t="n">
        <v>7</v>
      </c>
      <c r="D4935" s="4" t="n">
        <v>2.1175</v>
      </c>
      <c r="E4935" s="5" t="n">
        <v>1199.5</v>
      </c>
      <c r="F4935" s="3" t="inlineStr">
        <is>
          <t>조치원읍</t>
        </is>
      </c>
      <c r="G4935" s="3" t="inlineStr">
        <is>
          <t>명리</t>
        </is>
      </c>
      <c r="H4935" s="3" t="inlineStr">
        <is>
          <t>일반상업지역</t>
        </is>
      </c>
      <c r="I4935" s="3" t="inlineStr">
        <is>
          <t>대</t>
        </is>
      </c>
      <c r="J4935" s="3" t="inlineStr">
        <is>
          <t>조치원읍</t>
        </is>
      </c>
    </row>
    <row r="4936">
      <c r="A4936" s="3" t="n">
        <v>2025</v>
      </c>
      <c r="B4936" s="4" t="n">
        <v>1100</v>
      </c>
      <c r="C4936" s="4" t="n">
        <v>73</v>
      </c>
      <c r="D4936" s="4" t="n">
        <v>22.0825</v>
      </c>
      <c r="E4936" s="5" t="n">
        <v>49.8</v>
      </c>
      <c r="F4936" s="3" t="inlineStr">
        <is>
          <t>장군면</t>
        </is>
      </c>
      <c r="G4936" s="3" t="inlineStr">
        <is>
          <t>금암리</t>
        </is>
      </c>
      <c r="H4936" s="3" t="inlineStr">
        <is>
          <t>계획관리지역</t>
        </is>
      </c>
      <c r="I4936" s="3" t="inlineStr">
        <is>
          <t>하천</t>
        </is>
      </c>
      <c r="J4936" s="3" t="inlineStr">
        <is>
          <t>장군면</t>
        </is>
      </c>
    </row>
    <row r="4937">
      <c r="A4937" s="3" t="n">
        <v>2025</v>
      </c>
      <c r="B4937" s="4" t="n">
        <v>37027</v>
      </c>
      <c r="C4937" s="4" t="n">
        <v>814</v>
      </c>
      <c r="D4937" s="4" t="n">
        <v>246.235</v>
      </c>
      <c r="E4937" s="5" t="n">
        <v>150.4</v>
      </c>
      <c r="F4937" s="3" t="inlineStr">
        <is>
          <t>장군면</t>
        </is>
      </c>
      <c r="G4937" s="3" t="inlineStr">
        <is>
          <t>도계리</t>
        </is>
      </c>
      <c r="H4937" s="3" t="inlineStr">
        <is>
          <t>보전관리지역</t>
        </is>
      </c>
      <c r="I4937" s="3" t="inlineStr">
        <is>
          <t>임야</t>
        </is>
      </c>
      <c r="J4937" s="3" t="inlineStr">
        <is>
          <t>장군면</t>
        </is>
      </c>
    </row>
    <row r="4938">
      <c r="A4938" s="3" t="n">
        <v>2025</v>
      </c>
      <c r="B4938" s="4" t="n">
        <v>1534</v>
      </c>
      <c r="C4938" s="4" t="n">
        <v>392</v>
      </c>
      <c r="D4938" s="4" t="n">
        <v>118.58</v>
      </c>
      <c r="E4938" s="5" t="n">
        <v>12.9</v>
      </c>
      <c r="F4938" s="3" t="inlineStr">
        <is>
          <t>금남면</t>
        </is>
      </c>
      <c r="G4938" s="3" t="inlineStr">
        <is>
          <t>남곡리</t>
        </is>
      </c>
      <c r="H4938" s="3" t="inlineStr">
        <is>
          <t>개발제한구역</t>
        </is>
      </c>
      <c r="I4938" s="3" t="inlineStr">
        <is>
          <t>임야</t>
        </is>
      </c>
      <c r="J4938" s="3" t="inlineStr">
        <is>
          <t>금남면</t>
        </is>
      </c>
    </row>
    <row r="4939">
      <c r="A4939" s="3" t="n">
        <v>2025</v>
      </c>
      <c r="B4939" s="4" t="n">
        <v>23161</v>
      </c>
      <c r="C4939" s="4" t="n">
        <v>883</v>
      </c>
      <c r="D4939" s="4" t="n">
        <v>267.1075</v>
      </c>
      <c r="E4939" s="5" t="n">
        <v>86.7</v>
      </c>
      <c r="F4939" s="3" t="inlineStr">
        <is>
          <t>조치원읍</t>
        </is>
      </c>
      <c r="G4939" s="3" t="inlineStr">
        <is>
          <t>신안리</t>
        </is>
      </c>
      <c r="H4939" s="3" t="inlineStr">
        <is>
          <t>제2종일반주거지역</t>
        </is>
      </c>
      <c r="I4939" s="3" t="inlineStr">
        <is>
          <t>대</t>
        </is>
      </c>
      <c r="J4939" s="3" t="inlineStr">
        <is>
          <t>조치원읍</t>
        </is>
      </c>
    </row>
    <row r="4940">
      <c r="A4940" s="3" t="n">
        <v>2025</v>
      </c>
      <c r="B4940" s="4" t="n">
        <v>3751</v>
      </c>
      <c r="C4940" s="4" t="n">
        <v>143</v>
      </c>
      <c r="D4940" s="4" t="n">
        <v>43.2575</v>
      </c>
      <c r="E4940" s="5" t="n">
        <v>86.7</v>
      </c>
      <c r="F4940" s="3" t="inlineStr">
        <is>
          <t>조치원읍</t>
        </is>
      </c>
      <c r="G4940" s="3" t="inlineStr">
        <is>
          <t>신안리</t>
        </is>
      </c>
      <c r="H4940" s="3" t="inlineStr">
        <is>
          <t>자연녹지지역</t>
        </is>
      </c>
      <c r="I4940" s="3" t="inlineStr">
        <is>
          <t>대</t>
        </is>
      </c>
      <c r="J4940" s="3" t="inlineStr">
        <is>
          <t>조치원읍</t>
        </is>
      </c>
    </row>
    <row r="4941">
      <c r="A4941" s="3" t="n">
        <v>2025</v>
      </c>
      <c r="B4941" s="4" t="n">
        <v>136472</v>
      </c>
      <c r="C4941" s="4" t="n">
        <v>5203</v>
      </c>
      <c r="D4941" s="4" t="n">
        <v>1573.9075</v>
      </c>
      <c r="E4941" s="5" t="n">
        <v>86.7</v>
      </c>
      <c r="F4941" s="3" t="inlineStr">
        <is>
          <t>조치원읍</t>
        </is>
      </c>
      <c r="G4941" s="3" t="inlineStr">
        <is>
          <t>신안리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조치원읍</t>
        </is>
      </c>
    </row>
    <row r="4942">
      <c r="A4942" s="3" t="n">
        <v>2025</v>
      </c>
      <c r="B4942" s="4" t="n">
        <v>40393</v>
      </c>
      <c r="C4942" s="4" t="n">
        <v>1540</v>
      </c>
      <c r="D4942" s="4" t="n">
        <v>465.85</v>
      </c>
      <c r="E4942" s="5" t="n">
        <v>86.7</v>
      </c>
      <c r="F4942" s="3" t="inlineStr">
        <is>
          <t>조치원읍</t>
        </is>
      </c>
      <c r="G4942" s="3" t="inlineStr">
        <is>
          <t>신안리</t>
        </is>
      </c>
      <c r="H4942" s="3" t="inlineStr">
        <is>
          <t>자연녹지지역</t>
        </is>
      </c>
      <c r="I4942" s="3" t="inlineStr">
        <is>
          <t>대</t>
        </is>
      </c>
      <c r="J4942" s="3" t="inlineStr">
        <is>
          <t>조치원읍</t>
        </is>
      </c>
    </row>
    <row r="4943">
      <c r="A4943" s="3" t="n">
        <v>2025</v>
      </c>
      <c r="B4943" s="4" t="n">
        <v>14400</v>
      </c>
      <c r="C4943" s="4" t="n">
        <v>549</v>
      </c>
      <c r="D4943" s="4" t="n">
        <v>166.0725</v>
      </c>
      <c r="E4943" s="5" t="n">
        <v>86.7</v>
      </c>
      <c r="F4943" s="3" t="inlineStr">
        <is>
          <t>조치원읍</t>
        </is>
      </c>
      <c r="G4943" s="3" t="inlineStr">
        <is>
          <t>신안리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조치원읍</t>
        </is>
      </c>
    </row>
    <row r="4944">
      <c r="A4944" s="3" t="n">
        <v>2025</v>
      </c>
      <c r="B4944" s="4" t="n">
        <v>15447</v>
      </c>
      <c r="C4944" s="4" t="n">
        <v>3146</v>
      </c>
      <c r="D4944" s="4" t="n">
        <v>951.665</v>
      </c>
      <c r="E4944" s="5" t="n">
        <v>16.2</v>
      </c>
      <c r="F4944" s="3" t="inlineStr">
        <is>
          <t>전동면</t>
        </is>
      </c>
      <c r="G4944" s="3" t="inlineStr">
        <is>
          <t>봉대리</t>
        </is>
      </c>
      <c r="H4944" s="3" t="inlineStr">
        <is>
          <t>생산관리지역</t>
        </is>
      </c>
      <c r="I4944" s="3" t="inlineStr">
        <is>
          <t>잡종지</t>
        </is>
      </c>
      <c r="J4944" s="3" t="inlineStr">
        <is>
          <t>전동면</t>
        </is>
      </c>
    </row>
    <row r="4945">
      <c r="A4945" s="3" t="n">
        <v>2025</v>
      </c>
      <c r="B4945" s="4" t="n">
        <v>2347</v>
      </c>
      <c r="C4945" s="4" t="n">
        <v>478</v>
      </c>
      <c r="D4945" s="4" t="n">
        <v>144.595</v>
      </c>
      <c r="E4945" s="5" t="n">
        <v>16.2</v>
      </c>
      <c r="F4945" s="3" t="inlineStr">
        <is>
          <t>전동면</t>
        </is>
      </c>
      <c r="G4945" s="3" t="inlineStr">
        <is>
          <t>봉대리</t>
        </is>
      </c>
      <c r="H4945" s="3" t="inlineStr">
        <is>
          <t>생산관리지역</t>
        </is>
      </c>
      <c r="I4945" s="3" t="inlineStr">
        <is>
          <t>잡종지</t>
        </is>
      </c>
      <c r="J4945" s="3" t="inlineStr">
        <is>
          <t>전동면</t>
        </is>
      </c>
    </row>
    <row r="4946">
      <c r="A4946" s="3" t="n">
        <v>2025</v>
      </c>
      <c r="B4946" s="4" t="n">
        <v>638</v>
      </c>
      <c r="C4946" s="4" t="n">
        <v>130</v>
      </c>
      <c r="D4946" s="4" t="n">
        <v>39.325</v>
      </c>
      <c r="E4946" s="5" t="n">
        <v>16.2</v>
      </c>
      <c r="F4946" s="3" t="inlineStr">
        <is>
          <t>전동면</t>
        </is>
      </c>
      <c r="G4946" s="3" t="inlineStr">
        <is>
          <t>봉대리</t>
        </is>
      </c>
      <c r="H4946" s="3" t="inlineStr">
        <is>
          <t>생산관리지역</t>
        </is>
      </c>
      <c r="I4946" s="3" t="inlineStr">
        <is>
          <t>도로</t>
        </is>
      </c>
      <c r="J4946" s="3" t="inlineStr">
        <is>
          <t>전동면</t>
        </is>
      </c>
    </row>
    <row r="4947">
      <c r="A4947" s="3" t="n">
        <v>2025</v>
      </c>
      <c r="B4947" s="4" t="n">
        <v>39</v>
      </c>
      <c r="C4947" s="4" t="n">
        <v>8</v>
      </c>
      <c r="D4947" s="4" t="n">
        <v>2.42</v>
      </c>
      <c r="E4947" s="5" t="n">
        <v>16.1</v>
      </c>
      <c r="F4947" s="3" t="inlineStr">
        <is>
          <t>전동면</t>
        </is>
      </c>
      <c r="G4947" s="3" t="inlineStr">
        <is>
          <t>봉대리</t>
        </is>
      </c>
      <c r="H4947" s="3" t="inlineStr">
        <is>
          <t>생산관리지역</t>
        </is>
      </c>
      <c r="I4947" s="3" t="inlineStr">
        <is>
          <t>도로</t>
        </is>
      </c>
      <c r="J4947" s="3" t="inlineStr">
        <is>
          <t>전동면</t>
        </is>
      </c>
    </row>
    <row r="4948">
      <c r="A4948" s="3" t="n">
        <v>2025</v>
      </c>
      <c r="B4948" s="4" t="n">
        <v>2401</v>
      </c>
      <c r="C4948" s="4" t="n">
        <v>489</v>
      </c>
      <c r="D4948" s="4" t="n">
        <v>147.9225</v>
      </c>
      <c r="E4948" s="5" t="n">
        <v>16.2</v>
      </c>
      <c r="F4948" s="3" t="inlineStr">
        <is>
          <t>전동면</t>
        </is>
      </c>
      <c r="G4948" s="3" t="inlineStr">
        <is>
          <t>봉대리</t>
        </is>
      </c>
      <c r="H4948" s="3" t="inlineStr">
        <is>
          <t>생산관리지역</t>
        </is>
      </c>
      <c r="I4948" s="3" t="inlineStr">
        <is>
          <t>잡종지</t>
        </is>
      </c>
      <c r="J4948" s="3" t="inlineStr">
        <is>
          <t>전동면</t>
        </is>
      </c>
    </row>
    <row r="4949">
      <c r="A4949" s="3" t="n">
        <v>2025</v>
      </c>
      <c r="B4949" s="4" t="n">
        <v>57800</v>
      </c>
      <c r="C4949" s="4" t="n">
        <v>767</v>
      </c>
      <c r="D4949" s="4" t="n">
        <v>232.0175</v>
      </c>
      <c r="E4949" s="5" t="n">
        <v>249.1</v>
      </c>
      <c r="F4949" s="3" t="inlineStr">
        <is>
          <t>장군면</t>
        </is>
      </c>
      <c r="G4949" s="3" t="inlineStr">
        <is>
          <t>대교리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장군면</t>
        </is>
      </c>
    </row>
    <row r="4950">
      <c r="A4950" s="3" t="n">
        <v>2025</v>
      </c>
      <c r="B4950" s="4" t="n">
        <v>68840</v>
      </c>
      <c r="C4950" s="4" t="n">
        <v>1137</v>
      </c>
      <c r="D4950" s="4" t="n">
        <v>343.9425</v>
      </c>
      <c r="E4950" s="5" t="n">
        <v>200.1</v>
      </c>
      <c r="F4950" s="3" t="inlineStr">
        <is>
          <t>장군면</t>
        </is>
      </c>
      <c r="G4950" s="3" t="inlineStr">
        <is>
          <t>대교리</t>
        </is>
      </c>
      <c r="H4950" s="3" t="inlineStr">
        <is>
          <t>보전관리지역</t>
        </is>
      </c>
      <c r="I4950" s="3" t="inlineStr">
        <is>
          <t>임야</t>
        </is>
      </c>
      <c r="J4950" s="3" t="inlineStr">
        <is>
          <t>장군면</t>
        </is>
      </c>
    </row>
    <row r="4951">
      <c r="A4951" s="3" t="n">
        <v>2024</v>
      </c>
      <c r="B4951" s="4" t="n">
        <v>18000</v>
      </c>
      <c r="C4951" s="4" t="n">
        <v>549</v>
      </c>
      <c r="D4951" s="4" t="n">
        <v>166.0725</v>
      </c>
      <c r="E4951" s="5" t="n">
        <v>108.4</v>
      </c>
      <c r="F4951" s="3" t="inlineStr">
        <is>
          <t>장군면</t>
        </is>
      </c>
      <c r="G4951" s="3" t="inlineStr">
        <is>
          <t>은용리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장군면</t>
        </is>
      </c>
    </row>
    <row r="4952">
      <c r="A4952" s="3" t="n">
        <v>2024</v>
      </c>
      <c r="B4952" s="4" t="n">
        <v>22230</v>
      </c>
      <c r="C4952" s="4" t="n">
        <v>1132</v>
      </c>
      <c r="D4952" s="4" t="n">
        <v>342.43</v>
      </c>
      <c r="E4952" s="5" t="n">
        <v>64.90000000000001</v>
      </c>
      <c r="F4952" s="3" t="inlineStr">
        <is>
          <t>부강면</t>
        </is>
      </c>
      <c r="G4952" s="3" t="inlineStr">
        <is>
          <t>갈산리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부강면</t>
        </is>
      </c>
    </row>
    <row r="4953">
      <c r="A4953" s="3" t="n">
        <v>2024</v>
      </c>
      <c r="B4953" s="4" t="n">
        <v>12100</v>
      </c>
      <c r="C4953" s="4" t="n">
        <v>113</v>
      </c>
      <c r="D4953" s="4" t="n">
        <v>34.1825</v>
      </c>
      <c r="E4953" s="5" t="n">
        <v>354</v>
      </c>
      <c r="F4953" s="3" t="inlineStr">
        <is>
          <t>조치원읍</t>
        </is>
      </c>
      <c r="G4953" s="3" t="inlineStr">
        <is>
          <t>번암리</t>
        </is>
      </c>
      <c r="H4953" s="3" t="inlineStr">
        <is>
          <t>제2종일반주거지역</t>
        </is>
      </c>
      <c r="I4953" s="3" t="inlineStr">
        <is>
          <t>전</t>
        </is>
      </c>
      <c r="J4953" s="3" t="inlineStr">
        <is>
          <t>조치원읍</t>
        </is>
      </c>
    </row>
    <row r="4954">
      <c r="A4954" s="3" t="n">
        <v>2024</v>
      </c>
      <c r="B4954" s="4" t="n">
        <v>60000</v>
      </c>
      <c r="C4954" s="4" t="n">
        <v>32826</v>
      </c>
      <c r="D4954" s="4" t="n">
        <v>9929.865</v>
      </c>
      <c r="E4954" s="5" t="n">
        <v>6</v>
      </c>
      <c r="F4954" s="3" t="inlineStr">
        <is>
          <t>연서면</t>
        </is>
      </c>
      <c r="G4954" s="3" t="inlineStr">
        <is>
          <t>기룡리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연서면</t>
        </is>
      </c>
    </row>
    <row r="4955">
      <c r="A4955" s="3" t="n">
        <v>2024</v>
      </c>
      <c r="B4955" s="4" t="n">
        <v>52000</v>
      </c>
      <c r="C4955" s="4" t="n">
        <v>2149</v>
      </c>
      <c r="D4955" s="4" t="n">
        <v>650.0725</v>
      </c>
      <c r="E4955" s="5" t="n">
        <v>80</v>
      </c>
      <c r="F4955" s="3" t="inlineStr">
        <is>
          <t>연서면</t>
        </is>
      </c>
      <c r="G4955" s="3" t="inlineStr">
        <is>
          <t>국촌리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연서면</t>
        </is>
      </c>
    </row>
    <row r="4956">
      <c r="A4956" s="3" t="n">
        <v>2024</v>
      </c>
      <c r="B4956" s="4" t="n">
        <v>40000</v>
      </c>
      <c r="C4956" s="4" t="n">
        <v>2513.7</v>
      </c>
      <c r="D4956" s="4" t="n">
        <v>760.3942499999999</v>
      </c>
      <c r="E4956" s="5" t="n">
        <v>52.6</v>
      </c>
      <c r="F4956" s="3" t="inlineStr">
        <is>
          <t>장군면</t>
        </is>
      </c>
      <c r="G4956" s="3" t="inlineStr">
        <is>
          <t>송문리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9800</v>
      </c>
      <c r="C4957" s="4" t="n">
        <v>463</v>
      </c>
      <c r="D4957" s="4" t="n">
        <v>140.0575</v>
      </c>
      <c r="E4957" s="5" t="n">
        <v>70</v>
      </c>
      <c r="F4957" s="3" t="inlineStr">
        <is>
          <t>금남면</t>
        </is>
      </c>
      <c r="G4957" s="3" t="inlineStr">
        <is>
          <t>국곡리</t>
        </is>
      </c>
      <c r="H4957" s="3" t="inlineStr">
        <is>
          <t>보전관리지역</t>
        </is>
      </c>
      <c r="I4957" s="3" t="inlineStr">
        <is>
          <t>전</t>
        </is>
      </c>
      <c r="J4957" s="3" t="inlineStr">
        <is>
          <t>금남면</t>
        </is>
      </c>
    </row>
    <row r="4958">
      <c r="A4958" s="3" t="n">
        <v>2024</v>
      </c>
      <c r="B4958" s="4" t="n">
        <v>6800</v>
      </c>
      <c r="C4958" s="4" t="n">
        <v>799</v>
      </c>
      <c r="D4958" s="4" t="n">
        <v>241.6975</v>
      </c>
      <c r="E4958" s="5" t="n">
        <v>28.1</v>
      </c>
      <c r="F4958" s="3" t="inlineStr">
        <is>
          <t>연서면</t>
        </is>
      </c>
      <c r="G4958" s="3" t="inlineStr">
        <is>
          <t>청라리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연서면</t>
        </is>
      </c>
    </row>
    <row r="4959">
      <c r="A4959" s="3" t="n">
        <v>2024</v>
      </c>
      <c r="B4959" s="4" t="n">
        <v>3200</v>
      </c>
      <c r="C4959" s="4" t="n">
        <v>372</v>
      </c>
      <c r="D4959" s="4" t="n">
        <v>112.53</v>
      </c>
      <c r="E4959" s="5" t="n">
        <v>28.4</v>
      </c>
      <c r="F4959" s="3" t="inlineStr">
        <is>
          <t>연서면</t>
        </is>
      </c>
      <c r="G4959" s="3" t="inlineStr">
        <is>
          <t>청라리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연서면</t>
        </is>
      </c>
    </row>
    <row r="4960">
      <c r="A4960" s="3" t="n">
        <v>2024</v>
      </c>
      <c r="B4960" s="4" t="n">
        <v>3542</v>
      </c>
      <c r="C4960" s="4" t="n">
        <v>1064</v>
      </c>
      <c r="D4960" s="4" t="n">
        <v>321.86</v>
      </c>
      <c r="E4960" s="5" t="n">
        <v>11</v>
      </c>
      <c r="F4960" s="3" t="inlineStr">
        <is>
          <t>전의면</t>
        </is>
      </c>
      <c r="G4960" s="3" t="inlineStr">
        <is>
          <t>관정리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전의면</t>
        </is>
      </c>
    </row>
    <row r="4961">
      <c r="A4961" s="3" t="n">
        <v>2023</v>
      </c>
      <c r="B4961" s="4" t="n">
        <v>7400</v>
      </c>
      <c r="C4961" s="4" t="n">
        <v>569</v>
      </c>
      <c r="D4961" s="4" t="n">
        <v>172.1225</v>
      </c>
      <c r="E4961" s="5" t="n">
        <v>43</v>
      </c>
      <c r="F4961" s="3" t="inlineStr">
        <is>
          <t>전동면</t>
        </is>
      </c>
      <c r="G4961" s="3" t="inlineStr">
        <is>
          <t>노장리</t>
        </is>
      </c>
      <c r="H4961" s="3" t="inlineStr">
        <is>
          <t>계획관리지역</t>
        </is>
      </c>
      <c r="I4961" s="3" t="inlineStr">
        <is>
          <t>임야</t>
        </is>
      </c>
      <c r="J4961" s="3" t="inlineStr">
        <is>
          <t>전동면</t>
        </is>
      </c>
    </row>
    <row r="4962">
      <c r="A4962" s="3" t="n">
        <v>2023</v>
      </c>
      <c r="B4962" s="4" t="n">
        <v>10600</v>
      </c>
      <c r="C4962" s="4" t="n">
        <v>19612</v>
      </c>
      <c r="D4962" s="4" t="n">
        <v>5932.63</v>
      </c>
      <c r="E4962" s="5" t="n">
        <v>1.8</v>
      </c>
      <c r="F4962" s="3" t="inlineStr">
        <is>
          <t>전동면</t>
        </is>
      </c>
      <c r="G4962" s="3" t="inlineStr">
        <is>
          <t>노장리</t>
        </is>
      </c>
      <c r="H4962" s="3" t="inlineStr">
        <is>
          <t>농림지역</t>
        </is>
      </c>
      <c r="I4962" s="3" t="inlineStr">
        <is>
          <t>임야</t>
        </is>
      </c>
      <c r="J4962" s="3" t="inlineStr">
        <is>
          <t>전동면</t>
        </is>
      </c>
    </row>
    <row r="4963">
      <c r="A4963" s="3" t="n">
        <v>2023</v>
      </c>
      <c r="B4963" s="4" t="n">
        <v>6000</v>
      </c>
      <c r="C4963" s="4" t="n">
        <v>1309</v>
      </c>
      <c r="D4963" s="4" t="n">
        <v>395.9725</v>
      </c>
      <c r="E4963" s="5" t="n">
        <v>15.2</v>
      </c>
      <c r="F4963" s="3" t="inlineStr">
        <is>
          <t>부강면</t>
        </is>
      </c>
      <c r="G4963" s="3" t="inlineStr">
        <is>
          <t>행산리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부강면</t>
        </is>
      </c>
    </row>
    <row r="4964">
      <c r="A4964" s="3" t="n">
        <v>2023</v>
      </c>
      <c r="B4964" s="4" t="n">
        <v>5500</v>
      </c>
      <c r="C4964" s="4" t="n">
        <v>820</v>
      </c>
      <c r="D4964" s="4" t="n">
        <v>248.05</v>
      </c>
      <c r="E4964" s="5" t="n">
        <v>22.2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답</t>
        </is>
      </c>
      <c r="J4964" s="3" t="inlineStr">
        <is>
          <t>소정면</t>
        </is>
      </c>
    </row>
    <row r="4965">
      <c r="A4965" s="3" t="n">
        <v>2023</v>
      </c>
      <c r="B4965" s="4" t="n">
        <v>48000</v>
      </c>
      <c r="C4965" s="4" t="n">
        <v>1360</v>
      </c>
      <c r="D4965" s="4" t="n">
        <v>411.4</v>
      </c>
      <c r="E4965" s="5" t="n">
        <v>116.7</v>
      </c>
      <c r="F4965" s="3" t="inlineStr">
        <is>
          <t>연동면</t>
        </is>
      </c>
      <c r="G4965" s="3" t="inlineStr">
        <is>
          <t>문주리</t>
        </is>
      </c>
      <c r="H4965" s="3" t="inlineStr">
        <is>
          <t>계획관리지역</t>
        </is>
      </c>
      <c r="I4965" s="3" t="inlineStr">
        <is>
          <t>답</t>
        </is>
      </c>
      <c r="J4965" s="3" t="inlineStr">
        <is>
          <t>연동면</t>
        </is>
      </c>
    </row>
    <row r="4966">
      <c r="A4966" s="3" t="n">
        <v>2023</v>
      </c>
      <c r="B4966" s="4" t="n">
        <v>8032</v>
      </c>
      <c r="C4966" s="4" t="n">
        <v>177</v>
      </c>
      <c r="D4966" s="4" t="n">
        <v>53.5425</v>
      </c>
      <c r="E4966" s="5" t="n">
        <v>150</v>
      </c>
      <c r="F4966" s="3" t="inlineStr">
        <is>
          <t>전의면</t>
        </is>
      </c>
      <c r="G4966" s="3" t="inlineStr">
        <is>
          <t>서정리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전의면</t>
        </is>
      </c>
    </row>
    <row r="4967">
      <c r="A4967" s="3" t="n">
        <v>2023</v>
      </c>
      <c r="B4967" s="4" t="n">
        <v>9076</v>
      </c>
      <c r="C4967" s="4" t="n">
        <v>200</v>
      </c>
      <c r="D4967" s="4" t="n">
        <v>60.5</v>
      </c>
      <c r="E4967" s="5" t="n">
        <v>150</v>
      </c>
      <c r="F4967" s="3" t="inlineStr">
        <is>
          <t>전의면</t>
        </is>
      </c>
      <c r="G4967" s="3" t="inlineStr">
        <is>
          <t>서정리</t>
        </is>
      </c>
      <c r="H4967" s="3" t="inlineStr">
        <is>
          <t>계획관리지역</t>
        </is>
      </c>
      <c r="I4967" s="3" t="inlineStr">
        <is>
          <t>대</t>
        </is>
      </c>
      <c r="J4967" s="3" t="inlineStr">
        <is>
          <t>전의면</t>
        </is>
      </c>
    </row>
    <row r="4968">
      <c r="A4968" s="3" t="n">
        <v>2023</v>
      </c>
      <c r="B4968" s="4" t="n">
        <v>5582</v>
      </c>
      <c r="C4968" s="4" t="n">
        <v>123</v>
      </c>
      <c r="D4968" s="4" t="n">
        <v>37.2075</v>
      </c>
      <c r="E4968" s="5" t="n">
        <v>150</v>
      </c>
      <c r="F4968" s="3" t="inlineStr">
        <is>
          <t>전의면</t>
        </is>
      </c>
      <c r="G4968" s="3" t="inlineStr">
        <is>
          <t>서정리</t>
        </is>
      </c>
      <c r="H4968" s="3" t="inlineStr">
        <is>
          <t>계획관리지역</t>
        </is>
      </c>
      <c r="I4968" s="3" t="inlineStr">
        <is>
          <t>대</t>
        </is>
      </c>
      <c r="J4968" s="3" t="inlineStr">
        <is>
          <t>전의면</t>
        </is>
      </c>
    </row>
    <row r="4969">
      <c r="A4969" s="3" t="n">
        <v>2023</v>
      </c>
      <c r="B4969" s="4" t="n">
        <v>28200</v>
      </c>
      <c r="C4969" s="4" t="n">
        <v>425</v>
      </c>
      <c r="D4969" s="4" t="n">
        <v>128.5625</v>
      </c>
      <c r="E4969" s="5" t="n">
        <v>219.3</v>
      </c>
      <c r="F4969" s="3" t="inlineStr">
        <is>
          <t>장군면</t>
        </is>
      </c>
      <c r="G4969" s="3" t="inlineStr">
        <is>
          <t>송문리</t>
        </is>
      </c>
      <c r="H4969" s="3" t="inlineStr">
        <is>
          <t>계획관리지역</t>
        </is>
      </c>
      <c r="I4969" s="3" t="inlineStr">
        <is>
          <t>임야</t>
        </is>
      </c>
      <c r="J4969" s="3" t="inlineStr">
        <is>
          <t>장군면</t>
        </is>
      </c>
    </row>
    <row r="4970">
      <c r="A4970" s="3" t="n">
        <v>2023</v>
      </c>
      <c r="B4970" s="4" t="n">
        <v>38770</v>
      </c>
      <c r="C4970" s="4" t="n">
        <v>1831</v>
      </c>
      <c r="D4970" s="4" t="n">
        <v>553.8774999999999</v>
      </c>
      <c r="E4970" s="5" t="n">
        <v>70</v>
      </c>
      <c r="F4970" s="3" t="inlineStr">
        <is>
          <t>장군면</t>
        </is>
      </c>
      <c r="G4970" s="3" t="inlineStr">
        <is>
          <t>송학리</t>
        </is>
      </c>
      <c r="H4970" s="3" t="inlineStr">
        <is>
          <t>보전관리지역</t>
        </is>
      </c>
      <c r="I4970" s="3" t="inlineStr">
        <is>
          <t>임야</t>
        </is>
      </c>
      <c r="J4970" s="3" t="inlineStr">
        <is>
          <t>장군면</t>
        </is>
      </c>
    </row>
    <row r="4971">
      <c r="A4971" s="3" t="n">
        <v>2023</v>
      </c>
      <c r="B4971" s="4" t="n">
        <v>30703</v>
      </c>
      <c r="C4971" s="4" t="n">
        <v>565</v>
      </c>
      <c r="D4971" s="4" t="n">
        <v>170.9125</v>
      </c>
      <c r="E4971" s="5" t="n">
        <v>179.6</v>
      </c>
      <c r="F4971" s="3" t="inlineStr">
        <is>
          <t>장군면</t>
        </is>
      </c>
      <c r="G4971" s="3" t="inlineStr">
        <is>
          <t>대교리</t>
        </is>
      </c>
      <c r="H4971" s="3" t="inlineStr">
        <is>
          <t>보전관리지역</t>
        </is>
      </c>
      <c r="I4971" s="3" t="inlineStr">
        <is>
          <t>임야</t>
        </is>
      </c>
      <c r="J4971" s="3" t="inlineStr">
        <is>
          <t>장군면</t>
        </is>
      </c>
    </row>
    <row r="4972">
      <c r="A4972" s="3" t="n">
        <v>2023</v>
      </c>
      <c r="B4972" s="4" t="n">
        <v>26681</v>
      </c>
      <c r="C4972" s="4" t="n">
        <v>491</v>
      </c>
      <c r="D4972" s="4" t="n">
        <v>148.5275</v>
      </c>
      <c r="E4972" s="5" t="n">
        <v>179.6</v>
      </c>
      <c r="F4972" s="3" t="inlineStr">
        <is>
          <t>장군면</t>
        </is>
      </c>
      <c r="G4972" s="3" t="inlineStr">
        <is>
          <t>대교리</t>
        </is>
      </c>
      <c r="H4972" s="3" t="inlineStr">
        <is>
          <t>보전관리지역</t>
        </is>
      </c>
      <c r="I4972" s="3" t="inlineStr">
        <is>
          <t>임야</t>
        </is>
      </c>
      <c r="J4972" s="3" t="inlineStr">
        <is>
          <t>장군면</t>
        </is>
      </c>
    </row>
    <row r="4973">
      <c r="A4973" s="3" t="n">
        <v>2023</v>
      </c>
      <c r="B4973" s="4" t="n">
        <v>26681</v>
      </c>
      <c r="C4973" s="4" t="n">
        <v>491</v>
      </c>
      <c r="D4973" s="4" t="n">
        <v>148.5275</v>
      </c>
      <c r="E4973" s="5" t="n">
        <v>179.6</v>
      </c>
      <c r="F4973" s="3" t="inlineStr">
        <is>
          <t>장군면</t>
        </is>
      </c>
      <c r="G4973" s="3" t="inlineStr">
        <is>
          <t>대교리</t>
        </is>
      </c>
      <c r="H4973" s="3" t="inlineStr">
        <is>
          <t>보전관리지역</t>
        </is>
      </c>
      <c r="I4973" s="3" t="inlineStr">
        <is>
          <t>임야</t>
        </is>
      </c>
      <c r="J4973" s="3" t="inlineStr">
        <is>
          <t>장군면</t>
        </is>
      </c>
    </row>
    <row r="4974">
      <c r="A4974" s="3" t="n">
        <v>2023</v>
      </c>
      <c r="B4974" s="4" t="n">
        <v>25758</v>
      </c>
      <c r="C4974" s="4" t="n">
        <v>474</v>
      </c>
      <c r="D4974" s="4" t="n">
        <v>143.385</v>
      </c>
      <c r="E4974" s="5" t="n">
        <v>179.6</v>
      </c>
      <c r="F4974" s="3" t="inlineStr">
        <is>
          <t>장군면</t>
        </is>
      </c>
      <c r="G4974" s="3" t="inlineStr">
        <is>
          <t>대교리</t>
        </is>
      </c>
      <c r="H4974" s="3" t="inlineStr">
        <is>
          <t>보전관리지역</t>
        </is>
      </c>
      <c r="I4974" s="3" t="inlineStr">
        <is>
          <t>임야</t>
        </is>
      </c>
      <c r="J4974" s="3" t="inlineStr">
        <is>
          <t>장군면</t>
        </is>
      </c>
    </row>
    <row r="4975">
      <c r="A4975" s="3" t="n">
        <v>2023</v>
      </c>
      <c r="B4975" s="4" t="n">
        <v>26627</v>
      </c>
      <c r="C4975" s="4" t="n">
        <v>490</v>
      </c>
      <c r="D4975" s="4" t="n">
        <v>148.225</v>
      </c>
      <c r="E4975" s="5" t="n">
        <v>179.6</v>
      </c>
      <c r="F4975" s="3" t="inlineStr">
        <is>
          <t>장군면</t>
        </is>
      </c>
      <c r="G4975" s="3" t="inlineStr">
        <is>
          <t>대교리</t>
        </is>
      </c>
      <c r="H4975" s="3" t="inlineStr">
        <is>
          <t>보전관리지역</t>
        </is>
      </c>
      <c r="I4975" s="3" t="inlineStr">
        <is>
          <t>임야</t>
        </is>
      </c>
      <c r="J4975" s="3" t="inlineStr">
        <is>
          <t>장군면</t>
        </is>
      </c>
    </row>
    <row r="4976">
      <c r="A4976" s="3" t="n">
        <v>2023</v>
      </c>
      <c r="B4976" s="4" t="n">
        <v>26790</v>
      </c>
      <c r="C4976" s="4" t="n">
        <v>493</v>
      </c>
      <c r="D4976" s="4" t="n">
        <v>149.1325</v>
      </c>
      <c r="E4976" s="5" t="n">
        <v>179.6</v>
      </c>
      <c r="F4976" s="3" t="inlineStr">
        <is>
          <t>장군면</t>
        </is>
      </c>
      <c r="G4976" s="3" t="inlineStr">
        <is>
          <t>대교리</t>
        </is>
      </c>
      <c r="H4976" s="3" t="inlineStr">
        <is>
          <t>보전관리지역</t>
        </is>
      </c>
      <c r="I4976" s="3" t="inlineStr">
        <is>
          <t>임야</t>
        </is>
      </c>
      <c r="J4976" s="3" t="inlineStr">
        <is>
          <t>장군면</t>
        </is>
      </c>
    </row>
    <row r="4977">
      <c r="A4977" s="3" t="n">
        <v>2023</v>
      </c>
      <c r="B4977" s="4" t="n">
        <v>25540</v>
      </c>
      <c r="C4977" s="4" t="n">
        <v>470</v>
      </c>
      <c r="D4977" s="4" t="n">
        <v>142.175</v>
      </c>
      <c r="E4977" s="5" t="n">
        <v>179.6</v>
      </c>
      <c r="F4977" s="3" t="inlineStr">
        <is>
          <t>장군면</t>
        </is>
      </c>
      <c r="G4977" s="3" t="inlineStr">
        <is>
          <t>대교리</t>
        </is>
      </c>
      <c r="H4977" s="3" t="inlineStr">
        <is>
          <t>보전관리지역</t>
        </is>
      </c>
      <c r="I4977" s="3" t="inlineStr">
        <is>
          <t>임야</t>
        </is>
      </c>
      <c r="J4977" s="3" t="inlineStr">
        <is>
          <t>장군면</t>
        </is>
      </c>
    </row>
    <row r="4978">
      <c r="A4978" s="3" t="n">
        <v>2023</v>
      </c>
      <c r="B4978" s="4" t="n">
        <v>27333</v>
      </c>
      <c r="C4978" s="4" t="n">
        <v>503</v>
      </c>
      <c r="D4978" s="4" t="n">
        <v>152.1575</v>
      </c>
      <c r="E4978" s="5" t="n">
        <v>179.6</v>
      </c>
      <c r="F4978" s="3" t="inlineStr">
        <is>
          <t>장군면</t>
        </is>
      </c>
      <c r="G4978" s="3" t="inlineStr">
        <is>
          <t>대교리</t>
        </is>
      </c>
      <c r="H4978" s="3" t="inlineStr">
        <is>
          <t>보전관리지역</t>
        </is>
      </c>
      <c r="I4978" s="3" t="inlineStr">
        <is>
          <t>임야</t>
        </is>
      </c>
      <c r="J4978" s="3" t="inlineStr">
        <is>
          <t>장군면</t>
        </is>
      </c>
    </row>
    <row r="4979">
      <c r="A4979" s="3" t="n">
        <v>2023</v>
      </c>
      <c r="B4979" s="4" t="n">
        <v>5054</v>
      </c>
      <c r="C4979" s="4" t="n">
        <v>93</v>
      </c>
      <c r="D4979" s="4" t="n">
        <v>28.1325</v>
      </c>
      <c r="E4979" s="5" t="n">
        <v>179.6</v>
      </c>
      <c r="F4979" s="3" t="inlineStr">
        <is>
          <t>장군면</t>
        </is>
      </c>
      <c r="G4979" s="3" t="inlineStr">
        <is>
          <t>대교리</t>
        </is>
      </c>
      <c r="H4979" s="3" t="inlineStr">
        <is>
          <t>보전관리지역</t>
        </is>
      </c>
      <c r="I4979" s="3" t="inlineStr">
        <is>
          <t>임야</t>
        </is>
      </c>
      <c r="J4979" s="3" t="inlineStr">
        <is>
          <t>장군면</t>
        </is>
      </c>
    </row>
    <row r="4980">
      <c r="A4980" s="3" t="n">
        <v>2022</v>
      </c>
      <c r="B4980" s="4" t="n">
        <v>10816</v>
      </c>
      <c r="C4980" s="4" t="n">
        <v>278</v>
      </c>
      <c r="D4980" s="4" t="n">
        <v>84.095</v>
      </c>
      <c r="E4980" s="5" t="n">
        <v>128.6</v>
      </c>
      <c r="F4980" s="3" t="inlineStr">
        <is>
          <t>전의면</t>
        </is>
      </c>
      <c r="G4980" s="3" t="inlineStr">
        <is>
          <t>읍내리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20640</v>
      </c>
      <c r="C4981" s="4" t="n">
        <v>332</v>
      </c>
      <c r="D4981" s="4" t="n">
        <v>100.43</v>
      </c>
      <c r="E4981" s="5" t="n">
        <v>205.5</v>
      </c>
      <c r="F4981" s="3" t="inlineStr">
        <is>
          <t>전의면</t>
        </is>
      </c>
      <c r="G4981" s="3" t="inlineStr">
        <is>
          <t>읍내리</t>
        </is>
      </c>
      <c r="H4981" s="3" t="inlineStr">
        <is>
          <t>계획관리지역</t>
        </is>
      </c>
      <c r="I4981" s="3" t="inlineStr">
        <is>
          <t>전</t>
        </is>
      </c>
      <c r="J4981" s="3" t="inlineStr">
        <is>
          <t>전의면</t>
        </is>
      </c>
    </row>
    <row r="4982">
      <c r="A4982" s="3" t="n">
        <v>2022</v>
      </c>
      <c r="B4982" s="4" t="n">
        <v>597503</v>
      </c>
      <c r="C4982" s="4" t="n">
        <v>11971</v>
      </c>
      <c r="D4982" s="4" t="n">
        <v>3621.2275</v>
      </c>
      <c r="E4982" s="5" t="n">
        <v>165</v>
      </c>
      <c r="F4982" s="3" t="inlineStr">
        <is>
          <t>소정면</t>
        </is>
      </c>
      <c r="G4982" s="3" t="inlineStr">
        <is>
          <t>고등리</t>
        </is>
      </c>
      <c r="H4982" s="3" t="inlineStr">
        <is>
          <t>일반공업지역</t>
        </is>
      </c>
      <c r="I4982" s="3" t="inlineStr">
        <is>
          <t>대</t>
        </is>
      </c>
      <c r="J4982" s="3" t="inlineStr">
        <is>
          <t>소정면</t>
        </is>
      </c>
    </row>
    <row r="4983">
      <c r="A4983" s="3" t="n">
        <v>2022</v>
      </c>
      <c r="B4983" s="4" t="n">
        <v>31112</v>
      </c>
      <c r="C4983" s="4" t="n">
        <v>1753</v>
      </c>
      <c r="D4983" s="4" t="n">
        <v>530.2825</v>
      </c>
      <c r="E4983" s="5" t="n">
        <v>58.7</v>
      </c>
      <c r="F4983" s="3" t="inlineStr">
        <is>
          <t>부강면</t>
        </is>
      </c>
      <c r="G4983" s="3" t="inlineStr">
        <is>
          <t>등곡리</t>
        </is>
      </c>
      <c r="H4983" s="3" t="inlineStr">
        <is>
          <t>보전관리지역</t>
        </is>
      </c>
      <c r="I4983" s="3" t="inlineStr">
        <is>
          <t>임야</t>
        </is>
      </c>
      <c r="J4983" s="3" t="inlineStr">
        <is>
          <t>부강면</t>
        </is>
      </c>
    </row>
    <row r="4984">
      <c r="A4984" s="3" t="n">
        <v>2022</v>
      </c>
      <c r="B4984" s="4" t="n">
        <v>8520</v>
      </c>
      <c r="C4984" s="4" t="n">
        <v>1753</v>
      </c>
      <c r="D4984" s="4" t="n">
        <v>530.2825</v>
      </c>
      <c r="E4984" s="5" t="n">
        <v>16.1</v>
      </c>
      <c r="F4984" s="3" t="inlineStr">
        <is>
          <t>부강면</t>
        </is>
      </c>
      <c r="G4984" s="3" t="inlineStr">
        <is>
          <t>등곡리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부강면</t>
        </is>
      </c>
    </row>
    <row r="4985">
      <c r="A4985" s="3" t="n">
        <v>2022</v>
      </c>
      <c r="B4985" s="4" t="n">
        <v>300000</v>
      </c>
      <c r="C4985" s="4" t="n">
        <v>3224</v>
      </c>
      <c r="D4985" s="4" t="n">
        <v>975.26</v>
      </c>
      <c r="E4985" s="5" t="n">
        <v>307.6</v>
      </c>
      <c r="F4985" s="3" t="inlineStr">
        <is>
          <t>부강면</t>
        </is>
      </c>
      <c r="G4985" s="3" t="inlineStr">
        <is>
          <t>부강리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2022</v>
      </c>
      <c r="B4986" s="4" t="n">
        <v>84000</v>
      </c>
      <c r="C4986" s="4" t="n">
        <v>330</v>
      </c>
      <c r="D4986" s="4" t="n">
        <v>99.825</v>
      </c>
      <c r="E4986" s="5" t="n">
        <v>841.5</v>
      </c>
      <c r="F4986" s="3" t="inlineStr">
        <is>
          <t>아름동</t>
        </is>
      </c>
      <c r="G4986" s="3" t="inlineStr"/>
      <c r="H4986" s="3" t="inlineStr">
        <is>
          <t>제1종전용주거지역</t>
        </is>
      </c>
      <c r="I4986" s="3" t="inlineStr">
        <is>
          <t>대</t>
        </is>
      </c>
      <c r="J4986" s="3" t="inlineStr">
        <is>
          <t>아름동</t>
        </is>
      </c>
    </row>
    <row r="4987">
      <c r="A4987" s="3" t="n">
        <v>2022</v>
      </c>
      <c r="B4987" s="4" t="n">
        <v>1200</v>
      </c>
      <c r="C4987" s="4" t="n">
        <v>47</v>
      </c>
      <c r="D4987" s="4" t="n">
        <v>14.2175</v>
      </c>
      <c r="E4987" s="5" t="n">
        <v>84.40000000000001</v>
      </c>
      <c r="F4987" s="3" t="inlineStr">
        <is>
          <t>연동면</t>
        </is>
      </c>
      <c r="G4987" s="3" t="inlineStr">
        <is>
          <t>송용리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연동면</t>
        </is>
      </c>
    </row>
    <row r="4988">
      <c r="A4988" s="3" t="n">
        <v>2022</v>
      </c>
      <c r="B4988" s="4" t="n">
        <v>1500</v>
      </c>
      <c r="C4988" s="4" t="n">
        <v>7</v>
      </c>
      <c r="D4988" s="4" t="n">
        <v>2.1175</v>
      </c>
      <c r="E4988" s="5" t="n">
        <v>708.4</v>
      </c>
      <c r="F4988" s="3" t="inlineStr">
        <is>
          <t>오송읍</t>
        </is>
      </c>
      <c r="G4988" s="3" t="inlineStr">
        <is>
          <t>봉산리</t>
        </is>
      </c>
      <c r="H4988" s="3" t="inlineStr">
        <is>
          <t>계획관리지역</t>
        </is>
      </c>
      <c r="I4988" s="3" t="inlineStr">
        <is>
          <t>도로</t>
        </is>
      </c>
      <c r="J4988" s="3" t="inlineStr">
        <is>
          <t>오송읍</t>
        </is>
      </c>
    </row>
    <row r="4989">
      <c r="A4989" s="3" t="n">
        <v>2024</v>
      </c>
      <c r="B4989" s="4" t="n">
        <v>20900</v>
      </c>
      <c r="C4989" s="4" t="n">
        <v>1276</v>
      </c>
      <c r="D4989" s="4" t="n">
        <v>385.99</v>
      </c>
      <c r="E4989" s="5" t="n">
        <v>54.1</v>
      </c>
      <c r="F4989" s="3" t="inlineStr">
        <is>
          <t>남이면</t>
        </is>
      </c>
      <c r="G4989" s="3" t="inlineStr">
        <is>
          <t>사동리</t>
        </is>
      </c>
      <c r="H4989" s="3" t="inlineStr">
        <is>
          <t>생산관리지역</t>
        </is>
      </c>
      <c r="I4989" s="3" t="inlineStr">
        <is>
          <t>전</t>
        </is>
      </c>
      <c r="J4989" s="3" t="inlineStr">
        <is>
          <t>남이면</t>
        </is>
      </c>
    </row>
    <row r="4990">
      <c r="A4990" s="3" t="n">
        <v>2024</v>
      </c>
      <c r="B4990" s="4" t="n">
        <v>23000</v>
      </c>
      <c r="C4990" s="4" t="n">
        <v>557</v>
      </c>
      <c r="D4990" s="4" t="n">
        <v>168.4925</v>
      </c>
      <c r="E4990" s="5" t="n">
        <v>136.5</v>
      </c>
      <c r="F4990" s="3" t="inlineStr">
        <is>
          <t>남이면</t>
        </is>
      </c>
      <c r="G4990" s="3" t="inlineStr">
        <is>
          <t>척북리</t>
        </is>
      </c>
      <c r="H4990" s="3" t="inlineStr">
        <is>
          <t>계획관리지역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2024</v>
      </c>
      <c r="B4991" s="4" t="n">
        <v>38000</v>
      </c>
      <c r="C4991" s="4" t="n">
        <v>1322</v>
      </c>
      <c r="D4991" s="4" t="n">
        <v>399.905</v>
      </c>
      <c r="E4991" s="5" t="n">
        <v>95</v>
      </c>
      <c r="F4991" s="3" t="inlineStr">
        <is>
          <t>남이면</t>
        </is>
      </c>
      <c r="G4991" s="3" t="inlineStr">
        <is>
          <t>팔봉리</t>
        </is>
      </c>
      <c r="H4991" s="3" t="inlineStr">
        <is>
          <t>자연녹지지역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2024</v>
      </c>
      <c r="B4992" s="4" t="n">
        <v>11598</v>
      </c>
      <c r="C4992" s="4" t="n">
        <v>417</v>
      </c>
      <c r="D4992" s="4" t="n">
        <v>126.1425</v>
      </c>
      <c r="E4992" s="5" t="n">
        <v>91.90000000000001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2024</v>
      </c>
      <c r="B4993" s="4" t="n">
        <v>4005</v>
      </c>
      <c r="C4993" s="4" t="n">
        <v>144</v>
      </c>
      <c r="D4993" s="4" t="n">
        <v>43.56</v>
      </c>
      <c r="E4993" s="5" t="n">
        <v>91.90000000000001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2024</v>
      </c>
      <c r="B4994" s="4" t="n">
        <v>360</v>
      </c>
      <c r="C4994" s="4" t="n">
        <v>54</v>
      </c>
      <c r="D4994" s="4" t="n">
        <v>16.335</v>
      </c>
      <c r="E4994" s="5" t="n">
        <v>22</v>
      </c>
      <c r="F4994" s="3" t="inlineStr">
        <is>
          <t>남이면</t>
        </is>
      </c>
      <c r="G4994" s="3" t="inlineStr">
        <is>
          <t>문동리</t>
        </is>
      </c>
      <c r="H4994" s="3" t="inlineStr">
        <is>
          <t>자연환경보전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7000</v>
      </c>
      <c r="C4995" s="4" t="n">
        <v>912</v>
      </c>
      <c r="D4995" s="4" t="n">
        <v>275.88</v>
      </c>
      <c r="E4995" s="5" t="n">
        <v>25.4</v>
      </c>
      <c r="F4995" s="3" t="inlineStr">
        <is>
          <t>현도면</t>
        </is>
      </c>
      <c r="G4995" s="3" t="inlineStr">
        <is>
          <t>노산리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현도면</t>
        </is>
      </c>
    </row>
    <row r="4996">
      <c r="A4996" s="3" t="n">
        <v>2023</v>
      </c>
      <c r="B4996" s="4" t="n">
        <v>34235</v>
      </c>
      <c r="C4996" s="4" t="n">
        <v>1613</v>
      </c>
      <c r="D4996" s="4" t="n">
        <v>487.9325</v>
      </c>
      <c r="E4996" s="5" t="n">
        <v>70.2</v>
      </c>
      <c r="F4996" s="3" t="inlineStr">
        <is>
          <t>현도면</t>
        </is>
      </c>
      <c r="G4996" s="3" t="inlineStr">
        <is>
          <t>죽전리</t>
        </is>
      </c>
      <c r="H4996" s="3" t="inlineStr">
        <is>
          <t>개발제한구역</t>
        </is>
      </c>
      <c r="I4996" s="3" t="inlineStr">
        <is>
          <t>전</t>
        </is>
      </c>
      <c r="J4996" s="3" t="inlineStr">
        <is>
          <t>현도면</t>
        </is>
      </c>
    </row>
    <row r="4997">
      <c r="A4997" s="3" t="n">
        <v>2023</v>
      </c>
      <c r="B4997" s="4" t="n">
        <v>2700</v>
      </c>
      <c r="C4997" s="4" t="n">
        <v>159</v>
      </c>
      <c r="D4997" s="4" t="n">
        <v>48.0975</v>
      </c>
      <c r="E4997" s="5" t="n">
        <v>56.1</v>
      </c>
      <c r="F4997" s="3" t="inlineStr">
        <is>
          <t>현도면</t>
        </is>
      </c>
      <c r="G4997" s="3" t="inlineStr">
        <is>
          <t>우록리</t>
        </is>
      </c>
      <c r="H4997" s="3" t="inlineStr">
        <is>
          <t>계획관리지역</t>
        </is>
      </c>
      <c r="I4997" s="3" t="inlineStr">
        <is>
          <t>대</t>
        </is>
      </c>
      <c r="J4997" s="3" t="inlineStr">
        <is>
          <t>현도면</t>
        </is>
      </c>
    </row>
    <row r="4998">
      <c r="A4998" s="3" t="n">
        <v>2023</v>
      </c>
      <c r="B4998" s="4" t="n">
        <v>4300</v>
      </c>
      <c r="C4998" s="4" t="n">
        <v>246</v>
      </c>
      <c r="D4998" s="4" t="n">
        <v>74.41499999999999</v>
      </c>
      <c r="E4998" s="5" t="n">
        <v>57.8</v>
      </c>
      <c r="F4998" s="3" t="inlineStr">
        <is>
          <t>현도면</t>
        </is>
      </c>
      <c r="G4998" s="3" t="inlineStr">
        <is>
          <t>우록리</t>
        </is>
      </c>
      <c r="H4998" s="3" t="inlineStr">
        <is>
          <t>계획관리지역</t>
        </is>
      </c>
      <c r="I4998" s="3" t="inlineStr">
        <is>
          <t>대</t>
        </is>
      </c>
      <c r="J4998" s="3" t="inlineStr">
        <is>
          <t>현도면</t>
        </is>
      </c>
    </row>
    <row r="4999">
      <c r="A4999" s="3" t="n">
        <v>2023</v>
      </c>
      <c r="B4999" s="4" t="n">
        <v>25380</v>
      </c>
      <c r="C4999" s="4" t="n">
        <v>17851</v>
      </c>
      <c r="D4999" s="4" t="n">
        <v>5399.9275</v>
      </c>
      <c r="E4999" s="5" t="n">
        <v>4.7</v>
      </c>
      <c r="F4999" s="3" t="inlineStr">
        <is>
          <t>현도면</t>
        </is>
      </c>
      <c r="G4999" s="3" t="inlineStr">
        <is>
          <t>죽암리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현도면</t>
        </is>
      </c>
    </row>
    <row r="5000">
      <c r="A5000" s="3" t="n">
        <v>2023</v>
      </c>
      <c r="B5000" s="4" t="n">
        <v>15500</v>
      </c>
      <c r="C5000" s="4" t="n">
        <v>432</v>
      </c>
      <c r="D5000" s="4" t="n">
        <v>130.68</v>
      </c>
      <c r="E5000" s="5" t="n">
        <v>118.6</v>
      </c>
      <c r="F5000" s="3" t="inlineStr">
        <is>
          <t>남이면</t>
        </is>
      </c>
      <c r="G5000" s="3" t="inlineStr">
        <is>
          <t>팔봉리</t>
        </is>
      </c>
      <c r="H5000" s="3" t="inlineStr">
        <is>
          <t>자연녹지지역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25470</v>
      </c>
      <c r="C5001" s="4" t="n">
        <v>421</v>
      </c>
      <c r="D5001" s="4" t="n">
        <v>127.3525</v>
      </c>
      <c r="E5001" s="5" t="n">
        <v>200</v>
      </c>
      <c r="F5001" s="3" t="inlineStr">
        <is>
          <t>현도면</t>
        </is>
      </c>
      <c r="G5001" s="3" t="inlineStr">
        <is>
          <t>양지리</t>
        </is>
      </c>
      <c r="H5001" s="3" t="inlineStr">
        <is>
          <t>자연녹지지역</t>
        </is>
      </c>
      <c r="I5001" s="3" t="inlineStr">
        <is>
          <t>대</t>
        </is>
      </c>
      <c r="J5001" s="3" t="inlineStr">
        <is>
          <t>현도면</t>
        </is>
      </c>
    </row>
    <row r="5002">
      <c r="A5002" s="3" t="n">
        <v>2023</v>
      </c>
      <c r="B5002" s="4" t="n">
        <v>106092</v>
      </c>
      <c r="C5002" s="4" t="n">
        <v>2480</v>
      </c>
      <c r="D5002" s="4" t="n">
        <v>750.1999999999999</v>
      </c>
      <c r="E5002" s="5" t="n">
        <v>141.4</v>
      </c>
      <c r="F5002" s="3" t="inlineStr">
        <is>
          <t>현도면</t>
        </is>
      </c>
      <c r="G5002" s="3" t="inlineStr">
        <is>
          <t>양지리</t>
        </is>
      </c>
      <c r="H5002" s="3" t="inlineStr">
        <is>
          <t>자연녹지지역</t>
        </is>
      </c>
      <c r="I5002" s="3" t="inlineStr">
        <is>
          <t>답</t>
        </is>
      </c>
      <c r="J5002" s="3" t="inlineStr">
        <is>
          <t>현도면</t>
        </is>
      </c>
    </row>
    <row r="5003">
      <c r="A5003" s="3" t="n">
        <v>2023</v>
      </c>
      <c r="B5003" s="4" t="n">
        <v>8438</v>
      </c>
      <c r="C5003" s="4" t="n">
        <v>797</v>
      </c>
      <c r="D5003" s="4" t="n">
        <v>241.0925</v>
      </c>
      <c r="E5003" s="5" t="n">
        <v>35</v>
      </c>
      <c r="F5003" s="3" t="inlineStr">
        <is>
          <t>현도면</t>
        </is>
      </c>
      <c r="G5003" s="3" t="inlineStr">
        <is>
          <t>양지리</t>
        </is>
      </c>
      <c r="H5003" s="3" t="inlineStr">
        <is>
          <t>개발제한구역</t>
        </is>
      </c>
      <c r="I5003" s="3" t="inlineStr">
        <is>
          <t>전</t>
        </is>
      </c>
      <c r="J5003" s="3" t="inlineStr">
        <is>
          <t>현도면</t>
        </is>
      </c>
    </row>
    <row r="5004">
      <c r="A5004" s="3" t="n">
        <v>2023</v>
      </c>
      <c r="B5004" s="4" t="n">
        <v>100000</v>
      </c>
      <c r="C5004" s="4" t="n">
        <v>3235</v>
      </c>
      <c r="D5004" s="4" t="n">
        <v>978.5875</v>
      </c>
      <c r="E5004" s="5" t="n">
        <v>102.2</v>
      </c>
      <c r="F5004" s="3" t="inlineStr">
        <is>
          <t>남이면</t>
        </is>
      </c>
      <c r="G5004" s="3" t="inlineStr">
        <is>
          <t>석실리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8000</v>
      </c>
      <c r="C5005" s="4" t="n">
        <v>310</v>
      </c>
      <c r="D5005" s="4" t="n">
        <v>93.77499999999999</v>
      </c>
      <c r="E5005" s="5" t="n">
        <v>85.3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대</t>
        </is>
      </c>
      <c r="J5005" s="3" t="inlineStr">
        <is>
          <t>남이면</t>
        </is>
      </c>
    </row>
    <row r="5006">
      <c r="A5006" s="3" t="n">
        <v>2023</v>
      </c>
      <c r="B5006" s="4" t="n">
        <v>2000</v>
      </c>
      <c r="C5006" s="4" t="n">
        <v>76</v>
      </c>
      <c r="D5006" s="4" t="n">
        <v>22.99</v>
      </c>
      <c r="E5006" s="5" t="n">
        <v>87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3350</v>
      </c>
      <c r="C5007" s="4" t="n">
        <v>912</v>
      </c>
      <c r="D5007" s="4" t="n">
        <v>275.88</v>
      </c>
      <c r="E5007" s="5" t="n">
        <v>12.1</v>
      </c>
      <c r="F5007" s="3" t="inlineStr">
        <is>
          <t>남이면</t>
        </is>
      </c>
      <c r="G5007" s="3" t="inlineStr">
        <is>
          <t>척산리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26400</v>
      </c>
      <c r="C5008" s="4" t="n">
        <v>3967</v>
      </c>
      <c r="D5008" s="4" t="n">
        <v>1200.0175</v>
      </c>
      <c r="E5008" s="5" t="n">
        <v>22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보전녹지지역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128788</v>
      </c>
      <c r="C5009" s="4" t="n">
        <v>48379</v>
      </c>
      <c r="D5009" s="4" t="n">
        <v>14634.6475</v>
      </c>
      <c r="E5009" s="5" t="n">
        <v>8.800000000000001</v>
      </c>
      <c r="F5009" s="3" t="inlineStr">
        <is>
          <t>현도면</t>
        </is>
      </c>
      <c r="G5009" s="3" t="inlineStr">
        <is>
          <t>달계리</t>
        </is>
      </c>
      <c r="H5009" s="3" t="inlineStr">
        <is>
          <t>개발제한구역</t>
        </is>
      </c>
      <c r="I5009" s="3" t="inlineStr">
        <is>
          <t>임야</t>
        </is>
      </c>
      <c r="J5009" s="3" t="inlineStr">
        <is>
          <t>현도면</t>
        </is>
      </c>
    </row>
    <row r="5010">
      <c r="A5010" s="3" t="n">
        <v>2023</v>
      </c>
      <c r="B5010" s="4" t="n">
        <v>25000</v>
      </c>
      <c r="C5010" s="4" t="n">
        <v>1061</v>
      </c>
      <c r="D5010" s="4" t="n">
        <v>320.9525</v>
      </c>
      <c r="E5010" s="5" t="n">
        <v>77.90000000000001</v>
      </c>
      <c r="F5010" s="3" t="inlineStr">
        <is>
          <t>현도면</t>
        </is>
      </c>
      <c r="G5010" s="3" t="inlineStr">
        <is>
          <t>우록리</t>
        </is>
      </c>
      <c r="H5010" s="3" t="inlineStr">
        <is>
          <t>생산관리지역</t>
        </is>
      </c>
      <c r="I5010" s="3" t="inlineStr">
        <is>
          <t>답</t>
        </is>
      </c>
      <c r="J5010" s="3" t="inlineStr">
        <is>
          <t>현도면</t>
        </is>
      </c>
    </row>
    <row r="5011">
      <c r="A5011" s="3" t="n">
        <v>2023</v>
      </c>
      <c r="B5011" s="4" t="n">
        <v>6100</v>
      </c>
      <c r="C5011" s="4" t="n">
        <v>1028</v>
      </c>
      <c r="D5011" s="4" t="n">
        <v>310.97</v>
      </c>
      <c r="E5011" s="5" t="n">
        <v>19.6</v>
      </c>
      <c r="F5011" s="3" t="inlineStr">
        <is>
          <t>현도면</t>
        </is>
      </c>
      <c r="G5011" s="3" t="inlineStr">
        <is>
          <t>시목리</t>
        </is>
      </c>
      <c r="H5011" s="3" t="inlineStr">
        <is>
          <t>개발제한구역</t>
        </is>
      </c>
      <c r="I5011" s="3" t="inlineStr">
        <is>
          <t>전</t>
        </is>
      </c>
      <c r="J5011" s="3" t="inlineStr">
        <is>
          <t>현도면</t>
        </is>
      </c>
    </row>
    <row r="5012">
      <c r="A5012" s="3" t="n">
        <v>2023</v>
      </c>
      <c r="B5012" s="4" t="n">
        <v>48500</v>
      </c>
      <c r="C5012" s="4" t="n">
        <v>1653</v>
      </c>
      <c r="D5012" s="4" t="n">
        <v>500.0325</v>
      </c>
      <c r="E5012" s="5" t="n">
        <v>97</v>
      </c>
      <c r="F5012" s="3" t="inlineStr">
        <is>
          <t>남이면</t>
        </is>
      </c>
      <c r="G5012" s="3" t="inlineStr">
        <is>
          <t>척북리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20210</v>
      </c>
      <c r="C5013" s="4" t="n">
        <v>498</v>
      </c>
      <c r="D5013" s="4" t="n">
        <v>150.645</v>
      </c>
      <c r="E5013" s="5" t="n">
        <v>134.2</v>
      </c>
      <c r="F5013" s="3" t="inlineStr">
        <is>
          <t>남이면</t>
        </is>
      </c>
      <c r="G5013" s="3" t="inlineStr">
        <is>
          <t>가마리</t>
        </is>
      </c>
      <c r="H5013" s="3" t="inlineStr">
        <is>
          <t>자연녹지지역</t>
        </is>
      </c>
      <c r="I5013" s="3" t="inlineStr">
        <is>
          <t>답</t>
        </is>
      </c>
      <c r="J5013" s="3" t="inlineStr">
        <is>
          <t>남이면</t>
        </is>
      </c>
    </row>
    <row r="5014">
      <c r="A5014" s="3" t="n">
        <v>2023</v>
      </c>
      <c r="B5014" s="4" t="n">
        <v>41920</v>
      </c>
      <c r="C5014" s="4" t="n">
        <v>1033</v>
      </c>
      <c r="D5014" s="4" t="n">
        <v>312.4825</v>
      </c>
      <c r="E5014" s="5" t="n">
        <v>134.2</v>
      </c>
      <c r="F5014" s="3" t="inlineStr">
        <is>
          <t>남이면</t>
        </is>
      </c>
      <c r="G5014" s="3" t="inlineStr">
        <is>
          <t>가마리</t>
        </is>
      </c>
      <c r="H5014" s="3" t="inlineStr">
        <is>
          <t>자연녹지지역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1870</v>
      </c>
      <c r="C5015" s="4" t="n">
        <v>46</v>
      </c>
      <c r="D5015" s="4" t="n">
        <v>13.915</v>
      </c>
      <c r="E5015" s="5" t="n">
        <v>134.4</v>
      </c>
      <c r="F5015" s="3" t="inlineStr">
        <is>
          <t>남이면</t>
        </is>
      </c>
      <c r="G5015" s="3" t="inlineStr">
        <is>
          <t>가마리</t>
        </is>
      </c>
      <c r="H5015" s="3" t="inlineStr">
        <is>
          <t>자연녹지지역</t>
        </is>
      </c>
      <c r="I5015" s="3" t="inlineStr">
        <is>
          <t>답</t>
        </is>
      </c>
      <c r="J5015" s="3" t="inlineStr">
        <is>
          <t>남이면</t>
        </is>
      </c>
    </row>
    <row r="5016">
      <c r="A5016" s="3" t="n">
        <v>2023</v>
      </c>
      <c r="B5016" s="4" t="n">
        <v>622</v>
      </c>
      <c r="C5016" s="4" t="n">
        <v>17</v>
      </c>
      <c r="D5016" s="4" t="n">
        <v>5.1425</v>
      </c>
      <c r="E5016" s="5" t="n">
        <v>121</v>
      </c>
      <c r="F5016" s="3" t="inlineStr">
        <is>
          <t>남이면</t>
        </is>
      </c>
      <c r="G5016" s="3" t="inlineStr">
        <is>
          <t>수대리</t>
        </is>
      </c>
      <c r="H5016" s="3" t="inlineStr">
        <is>
          <t>자연녹지지역</t>
        </is>
      </c>
      <c r="I5016" s="3" t="inlineStr">
        <is>
          <t>대</t>
        </is>
      </c>
      <c r="J5016" s="3" t="inlineStr">
        <is>
          <t>남이면</t>
        </is>
      </c>
    </row>
    <row r="5017">
      <c r="A5017" s="3" t="n">
        <v>2023</v>
      </c>
      <c r="B5017" s="4" t="n">
        <v>4158</v>
      </c>
      <c r="C5017" s="4" t="n">
        <v>235</v>
      </c>
      <c r="D5017" s="4" t="n">
        <v>71.08749999999999</v>
      </c>
      <c r="E5017" s="5" t="n">
        <v>58.5</v>
      </c>
      <c r="F5017" s="3" t="inlineStr">
        <is>
          <t>남이면</t>
        </is>
      </c>
      <c r="G5017" s="3" t="inlineStr">
        <is>
          <t>사동리</t>
        </is>
      </c>
      <c r="H5017" s="3" t="inlineStr">
        <is>
          <t>생산관리지역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2024</v>
      </c>
      <c r="B5018" s="4" t="n">
        <v>870000</v>
      </c>
      <c r="C5018" s="4" t="n">
        <v>250810</v>
      </c>
      <c r="D5018" s="4" t="n">
        <v>75870.02499999999</v>
      </c>
      <c r="E5018" s="5" t="n">
        <v>11.5</v>
      </c>
      <c r="F5018" s="3" t="inlineStr">
        <is>
          <t>장군면</t>
        </is>
      </c>
      <c r="G5018" s="3" t="inlineStr">
        <is>
          <t>은용리</t>
        </is>
      </c>
      <c r="H5018" s="3" t="inlineStr">
        <is>
          <t>보전관리지역</t>
        </is>
      </c>
      <c r="I5018" s="3" t="inlineStr">
        <is>
          <t>임야</t>
        </is>
      </c>
      <c r="J5018" s="3" t="inlineStr">
        <is>
          <t>장군면</t>
        </is>
      </c>
    </row>
    <row r="5019">
      <c r="A5019" s="3" t="n">
        <v>2025</v>
      </c>
      <c r="B5019" s="4" t="n">
        <v>3000</v>
      </c>
      <c r="C5019" s="4" t="n">
        <v>332</v>
      </c>
      <c r="D5019" s="4" t="n">
        <v>100.43</v>
      </c>
      <c r="E5019" s="5" t="n">
        <v>29.9</v>
      </c>
      <c r="F5019" s="3" t="inlineStr">
        <is>
          <t>장군면</t>
        </is>
      </c>
      <c r="G5019" s="3" t="inlineStr">
        <is>
          <t>평기리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장군면</t>
        </is>
      </c>
    </row>
    <row r="5020">
      <c r="A5020" s="3" t="n">
        <v>2025</v>
      </c>
      <c r="B5020" s="4" t="n">
        <v>10000</v>
      </c>
      <c r="C5020" s="4" t="n">
        <v>330</v>
      </c>
      <c r="D5020" s="4" t="n">
        <v>99.825</v>
      </c>
      <c r="E5020" s="5" t="n">
        <v>100.2</v>
      </c>
      <c r="F5020" s="3" t="inlineStr">
        <is>
          <t>부강면</t>
        </is>
      </c>
      <c r="G5020" s="3" t="inlineStr">
        <is>
          <t>노호리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부강면</t>
        </is>
      </c>
    </row>
    <row r="5021">
      <c r="A5021" s="3" t="n">
        <v>2025</v>
      </c>
      <c r="B5021" s="4" t="n">
        <v>30900</v>
      </c>
      <c r="C5021" s="4" t="n">
        <v>603</v>
      </c>
      <c r="D5021" s="4" t="n">
        <v>182.4075</v>
      </c>
      <c r="E5021" s="5" t="n">
        <v>169.4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2025</v>
      </c>
      <c r="B5022" s="4" t="n">
        <v>32000</v>
      </c>
      <c r="C5022" s="4" t="n">
        <v>2704</v>
      </c>
      <c r="D5022" s="4" t="n">
        <v>817.9599999999999</v>
      </c>
      <c r="E5022" s="5" t="n">
        <v>39.1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2025</v>
      </c>
      <c r="B5023" s="4" t="n">
        <v>17000</v>
      </c>
      <c r="C5023" s="4" t="n">
        <v>2266</v>
      </c>
      <c r="D5023" s="4" t="n">
        <v>685.465</v>
      </c>
      <c r="E5023" s="5" t="n">
        <v>24.8</v>
      </c>
      <c r="F5023" s="3" t="inlineStr">
        <is>
          <t>금남면</t>
        </is>
      </c>
      <c r="G5023" s="3" t="inlineStr">
        <is>
          <t>부용리</t>
        </is>
      </c>
      <c r="H5023" s="3" t="inlineStr">
        <is>
          <t>개발제한구역</t>
        </is>
      </c>
      <c r="I5023" s="3" t="inlineStr">
        <is>
          <t>임야</t>
        </is>
      </c>
      <c r="J5023" s="3" t="inlineStr">
        <is>
          <t>금남면</t>
        </is>
      </c>
    </row>
    <row r="5024">
      <c r="A5024" s="3" t="n">
        <v>2025</v>
      </c>
      <c r="B5024" s="4" t="n">
        <v>20929</v>
      </c>
      <c r="C5024" s="4" t="n">
        <v>533</v>
      </c>
      <c r="D5024" s="4" t="n">
        <v>161.2325</v>
      </c>
      <c r="E5024" s="5" t="n">
        <v>129.8</v>
      </c>
      <c r="F5024" s="3" t="inlineStr">
        <is>
          <t>전의면</t>
        </is>
      </c>
      <c r="G5024" s="3" t="inlineStr">
        <is>
          <t>서정리</t>
        </is>
      </c>
      <c r="H5024" s="3" t="inlineStr">
        <is>
          <t>계획관리지역</t>
        </is>
      </c>
      <c r="I5024" s="3" t="inlineStr">
        <is>
          <t>대</t>
        </is>
      </c>
      <c r="J5024" s="3" t="inlineStr">
        <is>
          <t>전의면</t>
        </is>
      </c>
    </row>
    <row r="5025">
      <c r="A5025" s="3" t="n">
        <v>2025</v>
      </c>
      <c r="B5025" s="4" t="n">
        <v>2500</v>
      </c>
      <c r="C5025" s="4" t="n">
        <v>1651</v>
      </c>
      <c r="D5025" s="4" t="n">
        <v>499.4275</v>
      </c>
      <c r="E5025" s="5" t="n">
        <v>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보전관리지역</t>
        </is>
      </c>
      <c r="I5025" s="3" t="inlineStr">
        <is>
          <t>임야</t>
        </is>
      </c>
      <c r="J5025" s="3" t="inlineStr">
        <is>
          <t>전동면</t>
        </is>
      </c>
    </row>
    <row r="5026">
      <c r="A5026" s="3" t="n">
        <v>2025</v>
      </c>
      <c r="B5026" s="4" t="n">
        <v>10500</v>
      </c>
      <c r="C5026" s="4" t="n">
        <v>2435</v>
      </c>
      <c r="D5026" s="4" t="n">
        <v>736.5875</v>
      </c>
      <c r="E5026" s="5" t="n">
        <v>14.3</v>
      </c>
      <c r="F5026" s="3" t="inlineStr">
        <is>
          <t>전의면</t>
        </is>
      </c>
      <c r="G5026" s="3" t="inlineStr">
        <is>
          <t>신정리</t>
        </is>
      </c>
      <c r="H5026" s="3" t="inlineStr">
        <is>
          <t>계획관리지역</t>
        </is>
      </c>
      <c r="I5026" s="3" t="inlineStr">
        <is>
          <t>임야</t>
        </is>
      </c>
      <c r="J5026" s="3" t="inlineStr">
        <is>
          <t>전의면</t>
        </is>
      </c>
    </row>
    <row r="5027">
      <c r="A5027" s="3" t="n">
        <v>2025</v>
      </c>
      <c r="B5027" s="4" t="n">
        <v>41200</v>
      </c>
      <c r="C5027" s="4" t="n">
        <v>3911</v>
      </c>
      <c r="D5027" s="4" t="n">
        <v>1183.0775</v>
      </c>
      <c r="E5027" s="5" t="n">
        <v>34.8</v>
      </c>
      <c r="F5027" s="3" t="inlineStr">
        <is>
          <t>연서면</t>
        </is>
      </c>
      <c r="G5027" s="3" t="inlineStr">
        <is>
          <t>기룡리</t>
        </is>
      </c>
      <c r="H5027" s="3" t="inlineStr">
        <is>
          <t>생산관리지역</t>
        </is>
      </c>
      <c r="I5027" s="3" t="inlineStr">
        <is>
          <t>답</t>
        </is>
      </c>
      <c r="J5027" s="3" t="inlineStr">
        <is>
          <t>연서면</t>
        </is>
      </c>
    </row>
    <row r="5028">
      <c r="A5028" s="3" t="n">
        <v>2025</v>
      </c>
      <c r="B5028" s="4" t="n">
        <v>1800</v>
      </c>
      <c r="C5028" s="4" t="n">
        <v>169</v>
      </c>
      <c r="D5028" s="4" t="n">
        <v>51.1225</v>
      </c>
      <c r="E5028" s="5" t="n">
        <v>35.2</v>
      </c>
      <c r="F5028" s="3" t="inlineStr">
        <is>
          <t>연서면</t>
        </is>
      </c>
      <c r="G5028" s="3" t="inlineStr">
        <is>
          <t>기룡리</t>
        </is>
      </c>
      <c r="H5028" s="3" t="inlineStr">
        <is>
          <t>생산관리지역</t>
        </is>
      </c>
      <c r="I5028" s="3" t="inlineStr">
        <is>
          <t>답</t>
        </is>
      </c>
      <c r="J5028" s="3" t="inlineStr">
        <is>
          <t>연서면</t>
        </is>
      </c>
    </row>
    <row r="5029">
      <c r="A5029" s="3" t="n">
        <v>2025</v>
      </c>
      <c r="B5029" s="4" t="n">
        <v>8582</v>
      </c>
      <c r="C5029" s="4" t="n">
        <v>947</v>
      </c>
      <c r="D5029" s="4" t="n">
        <v>286.4675</v>
      </c>
      <c r="E5029" s="5" t="n">
        <v>30</v>
      </c>
      <c r="F5029" s="3" t="inlineStr">
        <is>
          <t>전의면</t>
        </is>
      </c>
      <c r="G5029" s="3" t="inlineStr">
        <is>
          <t>유천리</t>
        </is>
      </c>
      <c r="H5029" s="3" t="inlineStr">
        <is>
          <t>계획관리지역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2022</v>
      </c>
      <c r="B5030" s="4" t="n">
        <v>203000</v>
      </c>
      <c r="C5030" s="4" t="n">
        <v>1523</v>
      </c>
      <c r="D5030" s="4" t="n">
        <v>460.7075</v>
      </c>
      <c r="E5030" s="5" t="n">
        <v>440.6</v>
      </c>
      <c r="F5030" s="3" t="inlineStr">
        <is>
          <t>부강면</t>
        </is>
      </c>
      <c r="G5030" s="3" t="inlineStr">
        <is>
          <t>부강리</t>
        </is>
      </c>
      <c r="H5030" s="3" t="inlineStr">
        <is>
          <t>일반공업지역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2022</v>
      </c>
      <c r="B5031" s="4" t="n">
        <v>300</v>
      </c>
      <c r="C5031" s="4" t="n">
        <v>61</v>
      </c>
      <c r="D5031" s="4" t="n">
        <v>18.4525</v>
      </c>
      <c r="E5031" s="5" t="n">
        <v>16.3</v>
      </c>
      <c r="F5031" s="3" t="inlineStr">
        <is>
          <t>전동면</t>
        </is>
      </c>
      <c r="G5031" s="3" t="inlineStr">
        <is>
          <t>봉대리</t>
        </is>
      </c>
      <c r="H5031" s="3" t="inlineStr">
        <is>
          <t>농림지역</t>
        </is>
      </c>
      <c r="I5031" s="3" t="inlineStr">
        <is>
          <t>임야</t>
        </is>
      </c>
      <c r="J5031" s="3" t="inlineStr">
        <is>
          <t>전동면</t>
        </is>
      </c>
    </row>
    <row r="5032">
      <c r="A5032" s="3" t="n">
        <v>2022</v>
      </c>
      <c r="B5032" s="4" t="n">
        <v>17787</v>
      </c>
      <c r="C5032" s="4" t="n">
        <v>490</v>
      </c>
      <c r="D5032" s="4" t="n">
        <v>148.225</v>
      </c>
      <c r="E5032" s="5" t="n">
        <v>120</v>
      </c>
      <c r="F5032" s="3" t="inlineStr">
        <is>
          <t>연서면</t>
        </is>
      </c>
      <c r="G5032" s="3" t="inlineStr">
        <is>
          <t>쌍류리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연서면</t>
        </is>
      </c>
    </row>
    <row r="5033">
      <c r="A5033" s="3" t="n">
        <v>2022</v>
      </c>
      <c r="B5033" s="4" t="n">
        <v>81000</v>
      </c>
      <c r="C5033" s="4" t="n">
        <v>1786</v>
      </c>
      <c r="D5033" s="4" t="n">
        <v>540.265</v>
      </c>
      <c r="E5033" s="5" t="n">
        <v>149.9</v>
      </c>
      <c r="F5033" s="3" t="inlineStr">
        <is>
          <t>장군면</t>
        </is>
      </c>
      <c r="G5033" s="3" t="inlineStr">
        <is>
          <t>송정리</t>
        </is>
      </c>
      <c r="H5033" s="3" t="inlineStr">
        <is>
          <t>보전관리지역</t>
        </is>
      </c>
      <c r="I5033" s="3" t="inlineStr">
        <is>
          <t>임야</t>
        </is>
      </c>
      <c r="J5033" s="3" t="inlineStr">
        <is>
          <t>장군면</t>
        </is>
      </c>
    </row>
    <row r="5034">
      <c r="A5034" s="3" t="n">
        <v>2022</v>
      </c>
      <c r="B5034" s="4" t="n">
        <v>6300</v>
      </c>
      <c r="C5034" s="4" t="n">
        <v>232</v>
      </c>
      <c r="D5034" s="4" t="n">
        <v>70.17999999999999</v>
      </c>
      <c r="E5034" s="5" t="n">
        <v>89.8</v>
      </c>
      <c r="F5034" s="3" t="inlineStr">
        <is>
          <t>장군면</t>
        </is>
      </c>
      <c r="G5034" s="3" t="inlineStr">
        <is>
          <t>송정리</t>
        </is>
      </c>
      <c r="H5034" s="3" t="inlineStr">
        <is>
          <t>보전관리지역</t>
        </is>
      </c>
      <c r="I5034" s="3" t="inlineStr">
        <is>
          <t>임야</t>
        </is>
      </c>
      <c r="J5034" s="3" t="inlineStr">
        <is>
          <t>장군면</t>
        </is>
      </c>
    </row>
    <row r="5035">
      <c r="A5035" s="3" t="n">
        <v>2022</v>
      </c>
      <c r="B5035" s="4" t="n">
        <v>44000</v>
      </c>
      <c r="C5035" s="4" t="n">
        <v>1137</v>
      </c>
      <c r="D5035" s="4" t="n">
        <v>343.9425</v>
      </c>
      <c r="E5035" s="5" t="n">
        <v>127.9</v>
      </c>
      <c r="F5035" s="3" t="inlineStr">
        <is>
          <t>금남면</t>
        </is>
      </c>
      <c r="G5035" s="3" t="inlineStr">
        <is>
          <t>국곡리</t>
        </is>
      </c>
      <c r="H5035" s="3" t="inlineStr">
        <is>
          <t>생산관리지역</t>
        </is>
      </c>
      <c r="I5035" s="3" t="inlineStr">
        <is>
          <t>임야</t>
        </is>
      </c>
      <c r="J5035" s="3" t="inlineStr">
        <is>
          <t>금남면</t>
        </is>
      </c>
    </row>
    <row r="5036">
      <c r="A5036" s="3" t="n">
        <v>2022</v>
      </c>
      <c r="B5036" s="4" t="n">
        <v>10500</v>
      </c>
      <c r="C5036" s="4" t="n">
        <v>635</v>
      </c>
      <c r="D5036" s="4" t="n">
        <v>192.0875</v>
      </c>
      <c r="E5036" s="5" t="n">
        <v>54.7</v>
      </c>
      <c r="F5036" s="3" t="inlineStr">
        <is>
          <t>전의면</t>
        </is>
      </c>
      <c r="G5036" s="3" t="inlineStr">
        <is>
          <t>달전리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전의면</t>
        </is>
      </c>
    </row>
    <row r="5037">
      <c r="A5037" s="3" t="n">
        <v>2022</v>
      </c>
      <c r="B5037" s="4" t="n">
        <v>30000</v>
      </c>
      <c r="C5037" s="4" t="n">
        <v>236</v>
      </c>
      <c r="D5037" s="4" t="n">
        <v>71.39</v>
      </c>
      <c r="E5037" s="5" t="n">
        <v>420.2</v>
      </c>
      <c r="F5037" s="3" t="inlineStr">
        <is>
          <t>장군면</t>
        </is>
      </c>
      <c r="G5037" s="3" t="inlineStr">
        <is>
          <t>봉안리</t>
        </is>
      </c>
      <c r="H5037" s="3" t="inlineStr">
        <is>
          <t>보전관리지역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2022</v>
      </c>
      <c r="B5038" s="4" t="n">
        <v>800</v>
      </c>
      <c r="C5038" s="4" t="n">
        <v>6</v>
      </c>
      <c r="D5038" s="4" t="n">
        <v>1.815</v>
      </c>
      <c r="E5038" s="5" t="n">
        <v>440.8</v>
      </c>
      <c r="F5038" s="3" t="inlineStr">
        <is>
          <t>장군면</t>
        </is>
      </c>
      <c r="G5038" s="3" t="inlineStr">
        <is>
          <t>봉안리</t>
        </is>
      </c>
      <c r="H5038" s="3" t="inlineStr">
        <is>
          <t>보전관리지역</t>
        </is>
      </c>
      <c r="I5038" s="3" t="inlineStr">
        <is>
          <t>임야</t>
        </is>
      </c>
      <c r="J5038" s="3" t="inlineStr">
        <is>
          <t>장군면</t>
        </is>
      </c>
    </row>
    <row r="5039">
      <c r="A5039" s="3" t="n">
        <v>2022</v>
      </c>
      <c r="B5039" s="4" t="n">
        <v>20200</v>
      </c>
      <c r="C5039" s="4" t="n">
        <v>158</v>
      </c>
      <c r="D5039" s="4" t="n">
        <v>47.795</v>
      </c>
      <c r="E5039" s="5" t="n">
        <v>422.6</v>
      </c>
      <c r="F5039" s="3" t="inlineStr">
        <is>
          <t>장군면</t>
        </is>
      </c>
      <c r="G5039" s="3" t="inlineStr">
        <is>
          <t>봉안리</t>
        </is>
      </c>
      <c r="H5039" s="3" t="inlineStr">
        <is>
          <t>보전관리지역</t>
        </is>
      </c>
      <c r="I5039" s="3" t="inlineStr">
        <is>
          <t>임야</t>
        </is>
      </c>
      <c r="J5039" s="3" t="inlineStr">
        <is>
          <t>장군면</t>
        </is>
      </c>
    </row>
    <row r="5040">
      <c r="A5040" s="3" t="n">
        <v>2022</v>
      </c>
      <c r="B5040" s="4" t="n">
        <v>5943</v>
      </c>
      <c r="C5040" s="4" t="n">
        <v>355</v>
      </c>
      <c r="D5040" s="4" t="n">
        <v>107.3875</v>
      </c>
      <c r="E5040" s="5" t="n">
        <v>55.3</v>
      </c>
      <c r="F5040" s="3" t="inlineStr">
        <is>
          <t>연서면</t>
        </is>
      </c>
      <c r="G5040" s="3" t="inlineStr">
        <is>
          <t>신대리</t>
        </is>
      </c>
      <c r="H5040" s="3" t="inlineStr">
        <is>
          <t>계획관리지역</t>
        </is>
      </c>
      <c r="I5040" s="3" t="inlineStr">
        <is>
          <t>대</t>
        </is>
      </c>
      <c r="J5040" s="3" t="inlineStr">
        <is>
          <t>연서면</t>
        </is>
      </c>
    </row>
    <row r="5041">
      <c r="A5041" s="3" t="n">
        <v>2022</v>
      </c>
      <c r="B5041" s="4" t="n">
        <v>39000</v>
      </c>
      <c r="C5041" s="4" t="n">
        <v>1000</v>
      </c>
      <c r="D5041" s="4" t="n">
        <v>302.5</v>
      </c>
      <c r="E5041" s="5" t="n">
        <v>128.9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장군면</t>
        </is>
      </c>
    </row>
    <row r="5042">
      <c r="A5042" s="3" t="n">
        <v>2026</v>
      </c>
      <c r="B5042" s="4" t="n">
        <v>42272</v>
      </c>
      <c r="C5042" s="4" t="n">
        <v>450</v>
      </c>
      <c r="D5042" s="4" t="n">
        <v>136.125</v>
      </c>
      <c r="E5042" s="5" t="n">
        <v>310.5</v>
      </c>
      <c r="F5042" s="3" t="inlineStr">
        <is>
          <t>장군면</t>
        </is>
      </c>
      <c r="G5042" s="3" t="inlineStr">
        <is>
          <t>대교리</t>
        </is>
      </c>
      <c r="H5042" s="3" t="inlineStr">
        <is>
          <t>보전관리지역</t>
        </is>
      </c>
      <c r="I5042" s="3" t="inlineStr">
        <is>
          <t>대</t>
        </is>
      </c>
      <c r="J5042" s="3" t="inlineStr">
        <is>
          <t>장군면</t>
        </is>
      </c>
    </row>
    <row r="5043">
      <c r="A5043" s="3" t="n">
        <v>2026</v>
      </c>
      <c r="B5043" s="4" t="n">
        <v>42629</v>
      </c>
      <c r="C5043" s="4" t="n">
        <v>450</v>
      </c>
      <c r="D5043" s="4" t="n">
        <v>136.125</v>
      </c>
      <c r="E5043" s="5" t="n">
        <v>313.2</v>
      </c>
      <c r="F5043" s="3" t="inlineStr">
        <is>
          <t>장군면</t>
        </is>
      </c>
      <c r="G5043" s="3" t="inlineStr">
        <is>
          <t>대교리</t>
        </is>
      </c>
      <c r="H5043" s="3" t="inlineStr">
        <is>
          <t>보전관리지역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42406</v>
      </c>
      <c r="C5044" s="4" t="n">
        <v>450</v>
      </c>
      <c r="D5044" s="4" t="n">
        <v>136.125</v>
      </c>
      <c r="E5044" s="5" t="n">
        <v>311.5</v>
      </c>
      <c r="F5044" s="3" t="inlineStr">
        <is>
          <t>장군면</t>
        </is>
      </c>
      <c r="G5044" s="3" t="inlineStr">
        <is>
          <t>대교리</t>
        </is>
      </c>
      <c r="H5044" s="3" t="inlineStr">
        <is>
          <t>보전관리지역</t>
        </is>
      </c>
      <c r="I5044" s="3" t="inlineStr">
        <is>
          <t>대</t>
        </is>
      </c>
      <c r="J5044" s="3" t="inlineStr">
        <is>
          <t>장군면</t>
        </is>
      </c>
    </row>
    <row r="5045">
      <c r="A5045" s="3" t="n">
        <v>2026</v>
      </c>
      <c r="B5045" s="4" t="n">
        <v>150</v>
      </c>
      <c r="C5045" s="4" t="n">
        <v>19</v>
      </c>
      <c r="D5045" s="4" t="n">
        <v>5.7475</v>
      </c>
      <c r="E5045" s="5" t="n">
        <v>26.1</v>
      </c>
      <c r="F5045" s="3" t="inlineStr">
        <is>
          <t>연서면</t>
        </is>
      </c>
      <c r="G5045" s="3" t="inlineStr">
        <is>
          <t>용암리</t>
        </is>
      </c>
      <c r="H5045" s="3" t="inlineStr">
        <is>
          <t>농림지역</t>
        </is>
      </c>
      <c r="I5045" s="3" t="inlineStr">
        <is>
          <t>과수원</t>
        </is>
      </c>
      <c r="J5045" s="3" t="inlineStr">
        <is>
          <t>연서면</t>
        </is>
      </c>
    </row>
    <row r="5046">
      <c r="A5046" s="3" t="n">
        <v>2026</v>
      </c>
      <c r="B5046" s="4" t="n">
        <v>2350</v>
      </c>
      <c r="C5046" s="4" t="n">
        <v>297</v>
      </c>
      <c r="D5046" s="4" t="n">
        <v>89.8425</v>
      </c>
      <c r="E5046" s="5" t="n">
        <v>26.2</v>
      </c>
      <c r="F5046" s="3" t="inlineStr">
        <is>
          <t>연서면</t>
        </is>
      </c>
      <c r="G5046" s="3" t="inlineStr">
        <is>
          <t>용암리</t>
        </is>
      </c>
      <c r="H5046" s="3" t="inlineStr">
        <is>
          <t>농림지역</t>
        </is>
      </c>
      <c r="I5046" s="3" t="inlineStr">
        <is>
          <t>과수원</t>
        </is>
      </c>
      <c r="J5046" s="3" t="inlineStr">
        <is>
          <t>연서면</t>
        </is>
      </c>
    </row>
    <row r="5047">
      <c r="A5047" s="3" t="n">
        <v>2026</v>
      </c>
      <c r="B5047" s="4" t="n">
        <v>500</v>
      </c>
      <c r="C5047" s="4" t="n">
        <v>60</v>
      </c>
      <c r="D5047" s="4" t="n">
        <v>18.15</v>
      </c>
      <c r="E5047" s="5" t="n">
        <v>27.5</v>
      </c>
      <c r="F5047" s="3" t="inlineStr">
        <is>
          <t>연서면</t>
        </is>
      </c>
      <c r="G5047" s="3" t="inlineStr">
        <is>
          <t>용암리</t>
        </is>
      </c>
      <c r="H5047" s="3" t="inlineStr">
        <is>
          <t>농림지역</t>
        </is>
      </c>
      <c r="I5047" s="3" t="inlineStr">
        <is>
          <t>도로</t>
        </is>
      </c>
      <c r="J5047" s="3" t="inlineStr">
        <is>
          <t>연서면</t>
        </is>
      </c>
    </row>
    <row r="5048">
      <c r="A5048" s="3" t="n">
        <v>2026</v>
      </c>
      <c r="B5048" s="4" t="n">
        <v>35000</v>
      </c>
      <c r="C5048" s="4" t="n">
        <v>262.4</v>
      </c>
      <c r="D5048" s="4" t="n">
        <v>79.37599999999999</v>
      </c>
      <c r="E5048" s="5" t="n">
        <v>440.9</v>
      </c>
      <c r="F5048" s="3" t="inlineStr">
        <is>
          <t>집현동</t>
        </is>
      </c>
      <c r="G5048" s="3" t="inlineStr"/>
      <c r="H5048" s="3" t="inlineStr">
        <is>
          <t>제1종전용주거지역</t>
        </is>
      </c>
      <c r="I5048" s="3" t="inlineStr">
        <is>
          <t>대</t>
        </is>
      </c>
      <c r="J5048" s="3" t="inlineStr">
        <is>
          <t>집현동</t>
        </is>
      </c>
    </row>
    <row r="5049">
      <c r="A5049" s="3" t="n">
        <v>2026</v>
      </c>
      <c r="B5049" s="4" t="n">
        <v>125000</v>
      </c>
      <c r="C5049" s="4" t="n">
        <v>411</v>
      </c>
      <c r="D5049" s="4" t="n">
        <v>124.3275</v>
      </c>
      <c r="E5049" s="5" t="n">
        <v>1005.4</v>
      </c>
      <c r="F5049" s="3" t="inlineStr">
        <is>
          <t>해밀동</t>
        </is>
      </c>
      <c r="G5049" s="3" t="inlineStr"/>
      <c r="H5049" s="3" t="inlineStr">
        <is>
          <t>제2종일반주거지역</t>
        </is>
      </c>
      <c r="I5049" s="3" t="inlineStr">
        <is>
          <t>대</t>
        </is>
      </c>
      <c r="J5049" s="3" t="inlineStr">
        <is>
          <t>해밀동</t>
        </is>
      </c>
    </row>
    <row r="5050">
      <c r="A5050" s="3" t="n">
        <v>2026</v>
      </c>
      <c r="B5050" s="4" t="n">
        <v>12900</v>
      </c>
      <c r="C5050" s="4" t="n">
        <v>493</v>
      </c>
      <c r="D5050" s="4" t="n">
        <v>149.1325</v>
      </c>
      <c r="E5050" s="5" t="n">
        <v>86.5</v>
      </c>
      <c r="F5050" s="3" t="inlineStr">
        <is>
          <t>금남면</t>
        </is>
      </c>
      <c r="G5050" s="3" t="inlineStr">
        <is>
          <t>도남리</t>
        </is>
      </c>
      <c r="H5050" s="3" t="inlineStr">
        <is>
          <t>계획관리지역</t>
        </is>
      </c>
      <c r="I5050" s="3" t="inlineStr">
        <is>
          <t>전</t>
        </is>
      </c>
      <c r="J5050" s="3" t="inlineStr">
        <is>
          <t>금남면</t>
        </is>
      </c>
    </row>
    <row r="5051">
      <c r="A5051" s="3" t="n">
        <v>2026</v>
      </c>
      <c r="B5051" s="4" t="n">
        <v>125220</v>
      </c>
      <c r="C5051" s="4" t="n">
        <v>10348</v>
      </c>
      <c r="D5051" s="4" t="n">
        <v>3130.27</v>
      </c>
      <c r="E5051" s="5" t="n">
        <v>40</v>
      </c>
      <c r="F5051" s="3" t="inlineStr">
        <is>
          <t>연서면</t>
        </is>
      </c>
      <c r="G5051" s="3" t="inlineStr">
        <is>
          <t>쌍류리</t>
        </is>
      </c>
      <c r="H5051" s="3" t="inlineStr">
        <is>
          <t>생산관리지역</t>
        </is>
      </c>
      <c r="I5051" s="3" t="inlineStr">
        <is>
          <t>과수원</t>
        </is>
      </c>
      <c r="J5051" s="3" t="inlineStr">
        <is>
          <t>연서면</t>
        </is>
      </c>
    </row>
    <row r="5052">
      <c r="A5052" s="3" t="n">
        <v>2026</v>
      </c>
      <c r="B5052" s="4" t="n">
        <v>5000</v>
      </c>
      <c r="C5052" s="4" t="n">
        <v>201.1</v>
      </c>
      <c r="D5052" s="4" t="n">
        <v>60.83275</v>
      </c>
      <c r="E5052" s="5" t="n">
        <v>82.2</v>
      </c>
      <c r="F5052" s="3" t="inlineStr">
        <is>
          <t>연서면</t>
        </is>
      </c>
      <c r="G5052" s="3" t="inlineStr">
        <is>
          <t>청라리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연서면</t>
        </is>
      </c>
    </row>
    <row r="5053">
      <c r="A5053" s="3" t="n">
        <v>2026</v>
      </c>
      <c r="B5053" s="4" t="n">
        <v>24000</v>
      </c>
      <c r="C5053" s="4" t="n">
        <v>1579.9</v>
      </c>
      <c r="D5053" s="4" t="n">
        <v>477.91975</v>
      </c>
      <c r="E5053" s="5" t="n">
        <v>50.2</v>
      </c>
      <c r="F5053" s="3" t="inlineStr">
        <is>
          <t>장군면</t>
        </is>
      </c>
      <c r="G5053" s="3" t="inlineStr">
        <is>
          <t>용암리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장군면</t>
        </is>
      </c>
    </row>
    <row r="5054">
      <c r="A5054" s="3" t="n">
        <v>2026</v>
      </c>
      <c r="B5054" s="4" t="n">
        <v>11200</v>
      </c>
      <c r="C5054" s="4" t="n">
        <v>185</v>
      </c>
      <c r="D5054" s="4" t="n">
        <v>55.9625</v>
      </c>
      <c r="E5054" s="5" t="n">
        <v>200.1</v>
      </c>
      <c r="F5054" s="3" t="inlineStr">
        <is>
          <t>장군면</t>
        </is>
      </c>
      <c r="G5054" s="3" t="inlineStr">
        <is>
          <t>평기리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장군면</t>
        </is>
      </c>
    </row>
    <row r="5055">
      <c r="A5055" s="3" t="n">
        <v>2026</v>
      </c>
      <c r="B5055" s="4" t="n">
        <v>13000</v>
      </c>
      <c r="C5055" s="4" t="n">
        <v>420</v>
      </c>
      <c r="D5055" s="4" t="n">
        <v>127.05</v>
      </c>
      <c r="E5055" s="5" t="n">
        <v>102.3</v>
      </c>
      <c r="F5055" s="3" t="inlineStr">
        <is>
          <t>장군면</t>
        </is>
      </c>
      <c r="G5055" s="3" t="inlineStr">
        <is>
          <t>평기리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장군면</t>
        </is>
      </c>
    </row>
    <row r="5056">
      <c r="A5056" s="3" t="n">
        <v>2026</v>
      </c>
      <c r="B5056" s="4" t="n">
        <v>7800</v>
      </c>
      <c r="C5056" s="4" t="n">
        <v>129</v>
      </c>
      <c r="D5056" s="4" t="n">
        <v>39.0225</v>
      </c>
      <c r="E5056" s="5" t="n">
        <v>199.9</v>
      </c>
      <c r="F5056" s="3" t="inlineStr">
        <is>
          <t>장군면</t>
        </is>
      </c>
      <c r="G5056" s="3" t="inlineStr">
        <is>
          <t>평기리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장군면</t>
        </is>
      </c>
    </row>
    <row r="5057">
      <c r="A5057" s="3" t="n">
        <v>2026</v>
      </c>
      <c r="B5057" s="4" t="n">
        <v>4573</v>
      </c>
      <c r="C5057" s="4" t="n">
        <v>532</v>
      </c>
      <c r="D5057" s="4" t="n">
        <v>160.93</v>
      </c>
      <c r="E5057" s="5" t="n">
        <v>28.4</v>
      </c>
      <c r="F5057" s="3" t="inlineStr">
        <is>
          <t>전의면</t>
        </is>
      </c>
      <c r="G5057" s="3" t="inlineStr">
        <is>
          <t>유천리</t>
        </is>
      </c>
      <c r="H5057" s="3" t="inlineStr">
        <is>
          <t>계획관리지역</t>
        </is>
      </c>
      <c r="I5057" s="3" t="inlineStr">
        <is>
          <t>잡종지</t>
        </is>
      </c>
      <c r="J5057" s="3" t="inlineStr">
        <is>
          <t>전의면</t>
        </is>
      </c>
    </row>
    <row r="5058">
      <c r="A5058" s="3" t="n">
        <v>2026</v>
      </c>
      <c r="B5058" s="4" t="n">
        <v>2054</v>
      </c>
      <c r="C5058" s="4" t="n">
        <v>126</v>
      </c>
      <c r="D5058" s="4" t="n">
        <v>38.115</v>
      </c>
      <c r="E5058" s="5" t="n">
        <v>53.9</v>
      </c>
      <c r="F5058" s="3" t="inlineStr">
        <is>
          <t>장군면</t>
        </is>
      </c>
      <c r="G5058" s="3" t="inlineStr">
        <is>
          <t>하봉리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장군면</t>
        </is>
      </c>
    </row>
    <row r="5059">
      <c r="A5059" s="3" t="n">
        <v>2026</v>
      </c>
      <c r="B5059" s="4" t="n">
        <v>52000</v>
      </c>
      <c r="C5059" s="4" t="n">
        <v>335</v>
      </c>
      <c r="D5059" s="4" t="n">
        <v>101.3375</v>
      </c>
      <c r="E5059" s="5" t="n">
        <v>513.1</v>
      </c>
      <c r="F5059" s="3" t="inlineStr">
        <is>
          <t>아름동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아름동</t>
        </is>
      </c>
    </row>
    <row r="5060">
      <c r="A5060" s="3" t="n">
        <v>2026</v>
      </c>
      <c r="B5060" s="4" t="n">
        <v>53000</v>
      </c>
      <c r="C5060" s="4" t="n">
        <v>348</v>
      </c>
      <c r="D5060" s="4" t="n">
        <v>105.27</v>
      </c>
      <c r="E5060" s="5" t="n">
        <v>503.5</v>
      </c>
      <c r="F5060" s="3" t="inlineStr">
        <is>
          <t>아름동</t>
        </is>
      </c>
      <c r="G5060" s="3" t="inlineStr"/>
      <c r="H5060" s="3" t="inlineStr">
        <is>
          <t>제1종전용주거지역</t>
        </is>
      </c>
      <c r="I5060" s="3" t="inlineStr">
        <is>
          <t>대</t>
        </is>
      </c>
      <c r="J5060" s="3" t="inlineStr">
        <is>
          <t>아름동</t>
        </is>
      </c>
    </row>
    <row r="5061">
      <c r="A5061" s="3" t="n">
        <v>2026</v>
      </c>
      <c r="B5061" s="4" t="n">
        <v>3150</v>
      </c>
      <c r="C5061" s="4" t="n">
        <v>172</v>
      </c>
      <c r="D5061" s="4" t="n">
        <v>52.03</v>
      </c>
      <c r="E5061" s="5" t="n">
        <v>60.5</v>
      </c>
      <c r="F5061" s="3" t="inlineStr">
        <is>
          <t>전동면</t>
        </is>
      </c>
      <c r="G5061" s="3" t="inlineStr">
        <is>
          <t>송곡리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전동면</t>
        </is>
      </c>
    </row>
    <row r="5062">
      <c r="A5062" s="3" t="n">
        <v>2026</v>
      </c>
      <c r="B5062" s="4" t="n">
        <v>40563</v>
      </c>
      <c r="C5062" s="4" t="n">
        <v>2438</v>
      </c>
      <c r="D5062" s="4" t="n">
        <v>737.495</v>
      </c>
      <c r="E5062" s="5" t="n">
        <v>55</v>
      </c>
      <c r="F5062" s="3" t="inlineStr">
        <is>
          <t>연동면</t>
        </is>
      </c>
      <c r="G5062" s="3" t="inlineStr">
        <is>
          <t>명학리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연동면</t>
        </is>
      </c>
    </row>
    <row r="5063">
      <c r="A5063" s="3" t="n">
        <v>2026</v>
      </c>
      <c r="B5063" s="4" t="n">
        <v>40546</v>
      </c>
      <c r="C5063" s="4" t="n">
        <v>2437.3</v>
      </c>
      <c r="D5063" s="4" t="n">
        <v>737.2832500000001</v>
      </c>
      <c r="E5063" s="5" t="n">
        <v>55</v>
      </c>
      <c r="F5063" s="3" t="inlineStr">
        <is>
          <t>연동면</t>
        </is>
      </c>
      <c r="G5063" s="3" t="inlineStr">
        <is>
          <t>명학리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연동면</t>
        </is>
      </c>
    </row>
    <row r="5064">
      <c r="A5064" s="3" t="n">
        <v>2024</v>
      </c>
      <c r="B5064" s="4" t="n">
        <v>1330000</v>
      </c>
      <c r="C5064" s="4" t="n">
        <v>383207</v>
      </c>
      <c r="D5064" s="4" t="n">
        <v>115920.1175</v>
      </c>
      <c r="E5064" s="5" t="n">
        <v>11.5</v>
      </c>
      <c r="F5064" s="3" t="inlineStr">
        <is>
          <t>장군면</t>
        </is>
      </c>
      <c r="G5064" s="3" t="inlineStr">
        <is>
          <t>은용리</t>
        </is>
      </c>
      <c r="H5064" s="3" t="inlineStr">
        <is>
          <t>생산관리지역</t>
        </is>
      </c>
      <c r="I5064" s="3" t="inlineStr">
        <is>
          <t>임야</t>
        </is>
      </c>
      <c r="J5064" s="3" t="inlineStr">
        <is>
          <t>장군면</t>
        </is>
      </c>
    </row>
    <row r="5065">
      <c r="A5065" s="3" t="n">
        <v>2024</v>
      </c>
      <c r="B5065" s="4" t="n">
        <v>440000</v>
      </c>
      <c r="C5065" s="4" t="n">
        <v>125554</v>
      </c>
      <c r="D5065" s="4" t="n">
        <v>37980.085</v>
      </c>
      <c r="E5065" s="5" t="n">
        <v>11.6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장군면</t>
        </is>
      </c>
    </row>
    <row r="5066">
      <c r="A5066" s="3" t="n">
        <v>2024</v>
      </c>
      <c r="B5066" s="4" t="n">
        <v>67929</v>
      </c>
      <c r="C5066" s="4" t="n">
        <v>1238</v>
      </c>
      <c r="D5066" s="4" t="n">
        <v>374.495</v>
      </c>
      <c r="E5066" s="5" t="n">
        <v>181.4</v>
      </c>
      <c r="F5066" s="3" t="inlineStr">
        <is>
          <t>금남면</t>
        </is>
      </c>
      <c r="G5066" s="3" t="inlineStr">
        <is>
          <t>영곡리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금남면</t>
        </is>
      </c>
    </row>
    <row r="5067">
      <c r="A5067" s="3" t="n">
        <v>2024</v>
      </c>
      <c r="B5067" s="4" t="n">
        <v>14760</v>
      </c>
      <c r="C5067" s="4" t="n">
        <v>1220</v>
      </c>
      <c r="D5067" s="4" t="n">
        <v>369.05</v>
      </c>
      <c r="E5067" s="5" t="n">
        <v>40</v>
      </c>
      <c r="F5067" s="3" t="inlineStr">
        <is>
          <t>전의면</t>
        </is>
      </c>
      <c r="G5067" s="3" t="inlineStr">
        <is>
          <t>다방리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2024</v>
      </c>
      <c r="B5068" s="4" t="n">
        <v>800</v>
      </c>
      <c r="C5068" s="4" t="n">
        <v>131</v>
      </c>
      <c r="D5068" s="4" t="n">
        <v>39.6275</v>
      </c>
      <c r="E5068" s="5" t="n">
        <v>20.2</v>
      </c>
      <c r="F5068" s="3" t="inlineStr">
        <is>
          <t>전의면</t>
        </is>
      </c>
      <c r="G5068" s="3" t="inlineStr">
        <is>
          <t>다방리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2024</v>
      </c>
      <c r="B5069" s="4" t="n">
        <v>1800</v>
      </c>
      <c r="C5069" s="4" t="n">
        <v>56</v>
      </c>
      <c r="D5069" s="4" t="n">
        <v>16.94</v>
      </c>
      <c r="E5069" s="5" t="n">
        <v>106.3</v>
      </c>
      <c r="F5069" s="3" t="inlineStr">
        <is>
          <t>장군면</t>
        </is>
      </c>
      <c r="G5069" s="3" t="inlineStr">
        <is>
          <t>대교리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장군면</t>
        </is>
      </c>
    </row>
    <row r="5070">
      <c r="A5070" s="3" t="n">
        <v>2024</v>
      </c>
      <c r="B5070" s="4" t="n">
        <v>8000</v>
      </c>
      <c r="C5070" s="4" t="n">
        <v>165</v>
      </c>
      <c r="D5070" s="4" t="n">
        <v>49.9125</v>
      </c>
      <c r="E5070" s="5" t="n">
        <v>160.3</v>
      </c>
      <c r="F5070" s="3" t="inlineStr">
        <is>
          <t>장군면</t>
        </is>
      </c>
      <c r="G5070" s="3" t="inlineStr">
        <is>
          <t>금암리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장군면</t>
        </is>
      </c>
    </row>
    <row r="5071">
      <c r="A5071" s="3" t="n">
        <v>2024</v>
      </c>
      <c r="B5071" s="4" t="n">
        <v>22450</v>
      </c>
      <c r="C5071" s="4" t="n">
        <v>190.6</v>
      </c>
      <c r="D5071" s="4" t="n">
        <v>57.65649999999999</v>
      </c>
      <c r="E5071" s="5" t="n">
        <v>389.4</v>
      </c>
      <c r="F5071" s="3" t="inlineStr">
        <is>
          <t>조치원읍</t>
        </is>
      </c>
      <c r="G5071" s="3" t="inlineStr">
        <is>
          <t>남리</t>
        </is>
      </c>
      <c r="H5071" s="3" t="inlineStr">
        <is>
          <t>제2종일반주거지역</t>
        </is>
      </c>
      <c r="I5071" s="3" t="inlineStr">
        <is>
          <t>대</t>
        </is>
      </c>
      <c r="J5071" s="3" t="inlineStr">
        <is>
          <t>조치원읍</t>
        </is>
      </c>
    </row>
    <row r="5072">
      <c r="A5072" s="3" t="n">
        <v>2024</v>
      </c>
      <c r="B5072" s="4" t="n">
        <v>37000</v>
      </c>
      <c r="C5072" s="4" t="n">
        <v>990</v>
      </c>
      <c r="D5072" s="4" t="n">
        <v>299.475</v>
      </c>
      <c r="E5072" s="5" t="n">
        <v>123.5</v>
      </c>
      <c r="F5072" s="3" t="inlineStr">
        <is>
          <t>조치원읍</t>
        </is>
      </c>
      <c r="G5072" s="3" t="inlineStr">
        <is>
          <t>신안리</t>
        </is>
      </c>
      <c r="H5072" s="3" t="inlineStr">
        <is>
          <t>자연녹지지역</t>
        </is>
      </c>
      <c r="I5072" s="3" t="inlineStr">
        <is>
          <t>전</t>
        </is>
      </c>
      <c r="J5072" s="3" t="inlineStr">
        <is>
          <t>조치원읍</t>
        </is>
      </c>
    </row>
    <row r="5073">
      <c r="A5073" s="3" t="n">
        <v>2024</v>
      </c>
      <c r="B5073" s="4" t="n">
        <v>23000</v>
      </c>
      <c r="C5073" s="4" t="n">
        <v>617</v>
      </c>
      <c r="D5073" s="4" t="n">
        <v>186.6425</v>
      </c>
      <c r="E5073" s="5" t="n">
        <v>123.2</v>
      </c>
      <c r="F5073" s="3" t="inlineStr">
        <is>
          <t>조치원읍</t>
        </is>
      </c>
      <c r="G5073" s="3" t="inlineStr">
        <is>
          <t>신안리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조치원읍</t>
        </is>
      </c>
    </row>
    <row r="5074">
      <c r="A5074" s="3" t="n">
        <v>2024</v>
      </c>
      <c r="B5074" s="4" t="n">
        <v>10</v>
      </c>
      <c r="C5074" s="4" t="n">
        <v>1</v>
      </c>
      <c r="D5074" s="4" t="n">
        <v>0.3025</v>
      </c>
      <c r="E5074" s="5" t="n">
        <v>33.1</v>
      </c>
      <c r="F5074" s="3" t="inlineStr">
        <is>
          <t>조치원읍</t>
        </is>
      </c>
      <c r="G5074" s="3" t="inlineStr">
        <is>
          <t>신안리</t>
        </is>
      </c>
      <c r="H5074" s="3" t="inlineStr">
        <is>
          <t>자연녹지지역</t>
        </is>
      </c>
      <c r="I5074" s="3" t="inlineStr">
        <is>
          <t>도로</t>
        </is>
      </c>
      <c r="J5074" s="3" t="inlineStr">
        <is>
          <t>조치원읍</t>
        </is>
      </c>
    </row>
    <row r="5075">
      <c r="A5075" s="3" t="n">
        <v>2024</v>
      </c>
      <c r="B5075" s="4" t="n">
        <v>56000</v>
      </c>
      <c r="C5075" s="4" t="n">
        <v>1409</v>
      </c>
      <c r="D5075" s="4" t="n">
        <v>426.2225</v>
      </c>
      <c r="E5075" s="5" t="n">
        <v>131.4</v>
      </c>
      <c r="F5075" s="3" t="inlineStr">
        <is>
          <t>부강면</t>
        </is>
      </c>
      <c r="G5075" s="3" t="inlineStr">
        <is>
          <t>문곡리</t>
        </is>
      </c>
      <c r="H5075" s="3" t="inlineStr">
        <is>
          <t>계획관리지역</t>
        </is>
      </c>
      <c r="I5075" s="3" t="inlineStr">
        <is>
          <t>전</t>
        </is>
      </c>
      <c r="J5075" s="3" t="inlineStr">
        <is>
          <t>부강면</t>
        </is>
      </c>
    </row>
    <row r="5076">
      <c r="A5076" s="3" t="n">
        <v>2024</v>
      </c>
      <c r="B5076" s="4" t="n">
        <v>16500</v>
      </c>
      <c r="C5076" s="4" t="n">
        <v>236</v>
      </c>
      <c r="D5076" s="4" t="n">
        <v>71.39</v>
      </c>
      <c r="E5076" s="5" t="n">
        <v>231.1</v>
      </c>
      <c r="F5076" s="3" t="inlineStr">
        <is>
          <t>부강면</t>
        </is>
      </c>
      <c r="G5076" s="3" t="inlineStr">
        <is>
          <t>문곡리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부강면</t>
        </is>
      </c>
    </row>
    <row r="5077">
      <c r="A5077" s="3" t="n">
        <v>2024</v>
      </c>
      <c r="B5077" s="4" t="n">
        <v>5650</v>
      </c>
      <c r="C5077" s="4" t="n">
        <v>415</v>
      </c>
      <c r="D5077" s="4" t="n">
        <v>125.5375</v>
      </c>
      <c r="E5077" s="5" t="n">
        <v>45</v>
      </c>
      <c r="F5077" s="3" t="inlineStr">
        <is>
          <t>금남면</t>
        </is>
      </c>
      <c r="G5077" s="3" t="inlineStr">
        <is>
          <t>성강리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40000</v>
      </c>
      <c r="C5078" s="4" t="n">
        <v>232</v>
      </c>
      <c r="D5078" s="4" t="n">
        <v>70.17999999999999</v>
      </c>
      <c r="E5078" s="5" t="n">
        <v>570</v>
      </c>
      <c r="F5078" s="3" t="inlineStr">
        <is>
          <t>조치원읍</t>
        </is>
      </c>
      <c r="G5078" s="3" t="inlineStr">
        <is>
          <t>신안리</t>
        </is>
      </c>
      <c r="H5078" s="3" t="inlineStr">
        <is>
          <t>제2종일반주거지역</t>
        </is>
      </c>
      <c r="I5078" s="3" t="inlineStr">
        <is>
          <t>창고용지</t>
        </is>
      </c>
      <c r="J5078" s="3" t="inlineStr">
        <is>
          <t>조치원읍</t>
        </is>
      </c>
    </row>
    <row r="5079">
      <c r="A5079" s="3" t="n">
        <v>2025</v>
      </c>
      <c r="B5079" s="4" t="n">
        <v>17000</v>
      </c>
      <c r="C5079" s="4" t="n">
        <v>1121</v>
      </c>
      <c r="D5079" s="4" t="n">
        <v>339.1025</v>
      </c>
      <c r="E5079" s="5" t="n">
        <v>50.1</v>
      </c>
      <c r="F5079" s="3" t="inlineStr">
        <is>
          <t>연서면</t>
        </is>
      </c>
      <c r="G5079" s="3" t="inlineStr">
        <is>
          <t>신대리</t>
        </is>
      </c>
      <c r="H5079" s="3" t="inlineStr">
        <is>
          <t>계획관리지역</t>
        </is>
      </c>
      <c r="I5079" s="3" t="inlineStr">
        <is>
          <t>과수원</t>
        </is>
      </c>
      <c r="J5079" s="3" t="inlineStr">
        <is>
          <t>연서면</t>
        </is>
      </c>
    </row>
    <row r="5080">
      <c r="A5080" s="3" t="n">
        <v>2025</v>
      </c>
      <c r="B5080" s="4" t="n">
        <v>6600</v>
      </c>
      <c r="C5080" s="4" t="n">
        <v>73</v>
      </c>
      <c r="D5080" s="4" t="n">
        <v>22.0825</v>
      </c>
      <c r="E5080" s="5" t="n">
        <v>298.9</v>
      </c>
      <c r="F5080" s="3" t="inlineStr">
        <is>
          <t>연서면</t>
        </is>
      </c>
      <c r="G5080" s="3" t="inlineStr">
        <is>
          <t>용암리</t>
        </is>
      </c>
      <c r="H5080" s="3" t="inlineStr">
        <is>
          <t>자연환경보전</t>
        </is>
      </c>
      <c r="I5080" s="3" t="inlineStr">
        <is>
          <t>대</t>
        </is>
      </c>
      <c r="J5080" s="3" t="inlineStr">
        <is>
          <t>연서면</t>
        </is>
      </c>
    </row>
    <row r="5081">
      <c r="A5081" s="3" t="n">
        <v>2025</v>
      </c>
      <c r="B5081" s="4" t="n">
        <v>12669</v>
      </c>
      <c r="C5081" s="4" t="n">
        <v>492</v>
      </c>
      <c r="D5081" s="4" t="n">
        <v>148.83</v>
      </c>
      <c r="E5081" s="5" t="n">
        <v>85.09999999999999</v>
      </c>
      <c r="F5081" s="3" t="inlineStr">
        <is>
          <t>금남면</t>
        </is>
      </c>
      <c r="G5081" s="3" t="inlineStr">
        <is>
          <t>성강리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금남면</t>
        </is>
      </c>
    </row>
    <row r="5082">
      <c r="A5082" s="3" t="n">
        <v>2025</v>
      </c>
      <c r="B5082" s="4" t="n">
        <v>3328</v>
      </c>
      <c r="C5082" s="4" t="n">
        <v>44</v>
      </c>
      <c r="D5082" s="4" t="n">
        <v>13.31</v>
      </c>
      <c r="E5082" s="5" t="n">
        <v>250</v>
      </c>
      <c r="F5082" s="3" t="inlineStr">
        <is>
          <t>연기면</t>
        </is>
      </c>
      <c r="G5082" s="3" t="inlineStr">
        <is>
          <t>눌왕리</t>
        </is>
      </c>
      <c r="H5082" s="3" t="inlineStr">
        <is>
          <t>계획관리지역</t>
        </is>
      </c>
      <c r="I5082" s="3" t="inlineStr">
        <is>
          <t>전</t>
        </is>
      </c>
      <c r="J5082" s="3" t="inlineStr">
        <is>
          <t>연기면</t>
        </is>
      </c>
    </row>
    <row r="5083">
      <c r="A5083" s="3" t="n">
        <v>2025</v>
      </c>
      <c r="B5083" s="4" t="n">
        <v>3328</v>
      </c>
      <c r="C5083" s="4" t="n">
        <v>88</v>
      </c>
      <c r="D5083" s="4" t="n">
        <v>26.62</v>
      </c>
      <c r="E5083" s="5" t="n">
        <v>125</v>
      </c>
      <c r="F5083" s="3" t="inlineStr">
        <is>
          <t>연기면</t>
        </is>
      </c>
      <c r="G5083" s="3" t="inlineStr">
        <is>
          <t>눌왕리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3050</v>
      </c>
      <c r="C5084" s="4" t="n">
        <v>202</v>
      </c>
      <c r="D5084" s="4" t="n">
        <v>61.105</v>
      </c>
      <c r="E5084" s="5" t="n">
        <v>49.9</v>
      </c>
      <c r="F5084" s="3" t="inlineStr">
        <is>
          <t>금남면</t>
        </is>
      </c>
      <c r="G5084" s="3" t="inlineStr">
        <is>
          <t>발산리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금남면</t>
        </is>
      </c>
    </row>
    <row r="5085">
      <c r="A5085" s="3" t="n">
        <v>2025</v>
      </c>
      <c r="B5085" s="4" t="n">
        <v>48500</v>
      </c>
      <c r="C5085" s="4" t="n">
        <v>1656</v>
      </c>
      <c r="D5085" s="4" t="n">
        <v>500.94</v>
      </c>
      <c r="E5085" s="5" t="n">
        <v>96.8</v>
      </c>
      <c r="F5085" s="3" t="inlineStr">
        <is>
          <t>연서면</t>
        </is>
      </c>
      <c r="G5085" s="3" t="inlineStr">
        <is>
          <t>부동리</t>
        </is>
      </c>
      <c r="H5085" s="3" t="inlineStr">
        <is>
          <t>계획관리지역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2025</v>
      </c>
      <c r="B5086" s="4" t="n">
        <v>8500</v>
      </c>
      <c r="C5086" s="4" t="n">
        <v>303</v>
      </c>
      <c r="D5086" s="4" t="n">
        <v>91.6575</v>
      </c>
      <c r="E5086" s="5" t="n">
        <v>92.7</v>
      </c>
      <c r="F5086" s="3" t="inlineStr">
        <is>
          <t>장군면</t>
        </is>
      </c>
      <c r="G5086" s="3" t="inlineStr">
        <is>
          <t>하봉리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장군면</t>
        </is>
      </c>
    </row>
    <row r="5087">
      <c r="A5087" s="3" t="n">
        <v>2025</v>
      </c>
      <c r="B5087" s="4" t="n">
        <v>1800</v>
      </c>
      <c r="C5087" s="4" t="n">
        <v>6</v>
      </c>
      <c r="D5087" s="4" t="n">
        <v>1.815</v>
      </c>
      <c r="E5087" s="5" t="n">
        <v>991.7</v>
      </c>
      <c r="F5087" s="3" t="inlineStr">
        <is>
          <t>조치원읍</t>
        </is>
      </c>
      <c r="G5087" s="3" t="inlineStr">
        <is>
          <t>신안리</t>
        </is>
      </c>
      <c r="H5087" s="3" t="inlineStr">
        <is>
          <t>제2종일반주거지역</t>
        </is>
      </c>
      <c r="I5087" s="3" t="inlineStr">
        <is>
          <t>도로</t>
        </is>
      </c>
      <c r="J5087" s="3" t="inlineStr">
        <is>
          <t>조치원읍</t>
        </is>
      </c>
    </row>
    <row r="5088">
      <c r="A5088" s="3" t="n">
        <v>2025</v>
      </c>
      <c r="B5088" s="4" t="n">
        <v>3100</v>
      </c>
      <c r="C5088" s="4" t="n">
        <v>27</v>
      </c>
      <c r="D5088" s="4" t="n">
        <v>8.1675</v>
      </c>
      <c r="E5088" s="5" t="n">
        <v>379.6</v>
      </c>
      <c r="F5088" s="3" t="inlineStr">
        <is>
          <t>조치원읍</t>
        </is>
      </c>
      <c r="G5088" s="3" t="inlineStr">
        <is>
          <t>신안리</t>
        </is>
      </c>
      <c r="H5088" s="3" t="inlineStr">
        <is>
          <t>제2종일반주거지역</t>
        </is>
      </c>
      <c r="I5088" s="3" t="inlineStr">
        <is>
          <t>도로</t>
        </is>
      </c>
      <c r="J5088" s="3" t="inlineStr">
        <is>
          <t>조치원읍</t>
        </is>
      </c>
    </row>
    <row r="5089">
      <c r="A5089" s="3" t="n">
        <v>2025</v>
      </c>
      <c r="B5089" s="4" t="n">
        <v>33100</v>
      </c>
      <c r="C5089" s="4" t="n">
        <v>271</v>
      </c>
      <c r="D5089" s="4" t="n">
        <v>81.97749999999999</v>
      </c>
      <c r="E5089" s="5" t="n">
        <v>403.8</v>
      </c>
      <c r="F5089" s="3" t="inlineStr">
        <is>
          <t>조치원읍</t>
        </is>
      </c>
      <c r="G5089" s="3" t="inlineStr">
        <is>
          <t>신안리</t>
        </is>
      </c>
      <c r="H5089" s="3" t="inlineStr">
        <is>
          <t>제2종일반주거지역</t>
        </is>
      </c>
      <c r="I5089" s="3" t="inlineStr">
        <is>
          <t>대</t>
        </is>
      </c>
      <c r="J5089" s="3" t="inlineStr">
        <is>
          <t>조치원읍</t>
        </is>
      </c>
    </row>
    <row r="5090">
      <c r="A5090" s="3" t="n">
        <v>2023</v>
      </c>
      <c r="B5090" s="4" t="n">
        <v>34242</v>
      </c>
      <c r="C5090" s="4" t="n">
        <v>878</v>
      </c>
      <c r="D5090" s="4" t="n">
        <v>265.595</v>
      </c>
      <c r="E5090" s="5" t="n">
        <v>128.9</v>
      </c>
      <c r="F5090" s="3" t="inlineStr">
        <is>
          <t>장군면</t>
        </is>
      </c>
      <c r="G5090" s="3" t="inlineStr">
        <is>
          <t>봉안리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장군면</t>
        </is>
      </c>
    </row>
    <row r="5091">
      <c r="A5091" s="3" t="n">
        <v>2023</v>
      </c>
      <c r="B5091" s="4" t="n">
        <v>94000</v>
      </c>
      <c r="C5091" s="4" t="n">
        <v>447</v>
      </c>
      <c r="D5091" s="4" t="n">
        <v>135.2175</v>
      </c>
      <c r="E5091" s="5" t="n">
        <v>695.2</v>
      </c>
      <c r="F5091" s="3" t="inlineStr">
        <is>
          <t>어진동</t>
        </is>
      </c>
      <c r="G5091" s="3" t="inlineStr"/>
      <c r="H5091" s="3" t="inlineStr">
        <is>
          <t>제1종전용주거지역</t>
        </is>
      </c>
      <c r="I5091" s="3" t="inlineStr">
        <is>
          <t>대</t>
        </is>
      </c>
      <c r="J5091" s="3" t="inlineStr">
        <is>
          <t>어진동</t>
        </is>
      </c>
    </row>
    <row r="5092">
      <c r="A5092" s="3" t="n">
        <v>2023</v>
      </c>
      <c r="B5092" s="4" t="n">
        <v>5000</v>
      </c>
      <c r="C5092" s="4" t="n">
        <v>728</v>
      </c>
      <c r="D5092" s="4" t="n">
        <v>220.22</v>
      </c>
      <c r="E5092" s="5" t="n">
        <v>22.7</v>
      </c>
      <c r="F5092" s="3" t="inlineStr">
        <is>
          <t>전동면</t>
        </is>
      </c>
      <c r="G5092" s="3" t="inlineStr">
        <is>
          <t>청람리</t>
        </is>
      </c>
      <c r="H5092" s="3" t="inlineStr">
        <is>
          <t>생산관리지역</t>
        </is>
      </c>
      <c r="I5092" s="3" t="inlineStr">
        <is>
          <t>전</t>
        </is>
      </c>
      <c r="J5092" s="3" t="inlineStr">
        <is>
          <t>전동면</t>
        </is>
      </c>
    </row>
    <row r="5093">
      <c r="A5093" s="3" t="n">
        <v>2023</v>
      </c>
      <c r="B5093" s="4" t="n">
        <v>5000</v>
      </c>
      <c r="C5093" s="4" t="n">
        <v>26</v>
      </c>
      <c r="D5093" s="4" t="n">
        <v>7.865</v>
      </c>
      <c r="E5093" s="5" t="n">
        <v>635.7</v>
      </c>
      <c r="F5093" s="3" t="inlineStr">
        <is>
          <t>금남면</t>
        </is>
      </c>
      <c r="G5093" s="3" t="inlineStr">
        <is>
          <t>용포리</t>
        </is>
      </c>
      <c r="H5093" s="3" t="inlineStr">
        <is>
          <t>제2종일반주거지역</t>
        </is>
      </c>
      <c r="I5093" s="3" t="inlineStr">
        <is>
          <t>도로</t>
        </is>
      </c>
      <c r="J5093" s="3" t="inlineStr">
        <is>
          <t>금남면</t>
        </is>
      </c>
    </row>
    <row r="5094">
      <c r="A5094" s="3" t="n">
        <v>2023</v>
      </c>
      <c r="B5094" s="4" t="n">
        <v>9000</v>
      </c>
      <c r="C5094" s="4" t="n">
        <v>40</v>
      </c>
      <c r="D5094" s="4" t="n">
        <v>12.1</v>
      </c>
      <c r="E5094" s="5" t="n">
        <v>743.8</v>
      </c>
      <c r="F5094" s="3" t="inlineStr">
        <is>
          <t>금남면</t>
        </is>
      </c>
      <c r="G5094" s="3" t="inlineStr">
        <is>
          <t>용포리</t>
        </is>
      </c>
      <c r="H5094" s="3" t="inlineStr">
        <is>
          <t>제2종일반주거지역</t>
        </is>
      </c>
      <c r="I5094" s="3" t="inlineStr">
        <is>
          <t>대</t>
        </is>
      </c>
      <c r="J5094" s="3" t="inlineStr">
        <is>
          <t>금남면</t>
        </is>
      </c>
    </row>
    <row r="5095">
      <c r="A5095" s="3" t="n">
        <v>2023</v>
      </c>
      <c r="B5095" s="4" t="n">
        <v>82600</v>
      </c>
      <c r="C5095" s="4" t="n">
        <v>2732</v>
      </c>
      <c r="D5095" s="4" t="n">
        <v>826.4299999999999</v>
      </c>
      <c r="E5095" s="5" t="n">
        <v>99.90000000000001</v>
      </c>
      <c r="F5095" s="3" t="inlineStr">
        <is>
          <t>부강면</t>
        </is>
      </c>
      <c r="G5095" s="3" t="inlineStr">
        <is>
          <t>노호리</t>
        </is>
      </c>
      <c r="H5095" s="3" t="inlineStr">
        <is>
          <t>계획관리지역</t>
        </is>
      </c>
      <c r="I5095" s="3" t="inlineStr">
        <is>
          <t>답</t>
        </is>
      </c>
      <c r="J5095" s="3" t="inlineStr">
        <is>
          <t>부강면</t>
        </is>
      </c>
    </row>
    <row r="5096">
      <c r="A5096" s="3" t="n">
        <v>2023</v>
      </c>
      <c r="B5096" s="4" t="n">
        <v>32000</v>
      </c>
      <c r="C5096" s="4" t="n">
        <v>1058</v>
      </c>
      <c r="D5096" s="4" t="n">
        <v>320.045</v>
      </c>
      <c r="E5096" s="5" t="n">
        <v>100</v>
      </c>
      <c r="F5096" s="3" t="inlineStr">
        <is>
          <t>부강면</t>
        </is>
      </c>
      <c r="G5096" s="3" t="inlineStr">
        <is>
          <t>노호리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부강면</t>
        </is>
      </c>
    </row>
    <row r="5097">
      <c r="A5097" s="3" t="n">
        <v>2023</v>
      </c>
      <c r="B5097" s="4" t="n">
        <v>6800</v>
      </c>
      <c r="C5097" s="4" t="n">
        <v>78.8</v>
      </c>
      <c r="D5097" s="4" t="n">
        <v>23.837</v>
      </c>
      <c r="E5097" s="5" t="n">
        <v>285.3</v>
      </c>
      <c r="F5097" s="3" t="inlineStr">
        <is>
          <t>장군면</t>
        </is>
      </c>
      <c r="G5097" s="3" t="inlineStr">
        <is>
          <t>금암리</t>
        </is>
      </c>
      <c r="H5097" s="3" t="inlineStr">
        <is>
          <t>계획관리지역</t>
        </is>
      </c>
      <c r="I5097" s="3" t="inlineStr">
        <is>
          <t>잡종지</t>
        </is>
      </c>
      <c r="J5097" s="3" t="inlineStr">
        <is>
          <t>장군면</t>
        </is>
      </c>
    </row>
    <row r="5098">
      <c r="A5098" s="3" t="n">
        <v>2023</v>
      </c>
      <c r="B5098" s="4" t="n">
        <v>37000</v>
      </c>
      <c r="C5098" s="4" t="n">
        <v>1224</v>
      </c>
      <c r="D5098" s="4" t="n">
        <v>370.26</v>
      </c>
      <c r="E5098" s="5" t="n">
        <v>99.90000000000001</v>
      </c>
      <c r="F5098" s="3" t="inlineStr">
        <is>
          <t>부강면</t>
        </is>
      </c>
      <c r="G5098" s="3" t="inlineStr">
        <is>
          <t>노호리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부강면</t>
        </is>
      </c>
    </row>
    <row r="5099">
      <c r="A5099" s="3" t="n">
        <v>2023</v>
      </c>
      <c r="B5099" s="4" t="n">
        <v>42079</v>
      </c>
      <c r="C5099" s="4" t="n">
        <v>647</v>
      </c>
      <c r="D5099" s="4" t="n">
        <v>195.7175</v>
      </c>
      <c r="E5099" s="5" t="n">
        <v>215</v>
      </c>
      <c r="F5099" s="3" t="inlineStr">
        <is>
          <t>부강면</t>
        </is>
      </c>
      <c r="G5099" s="3" t="inlineStr">
        <is>
          <t>금호리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2023</v>
      </c>
      <c r="B5100" s="4" t="n">
        <v>2994</v>
      </c>
      <c r="C5100" s="4" t="n">
        <v>1653</v>
      </c>
      <c r="D5100" s="4" t="n">
        <v>500.0325</v>
      </c>
      <c r="E5100" s="5" t="n">
        <v>6</v>
      </c>
      <c r="F5100" s="3" t="inlineStr">
        <is>
          <t>소정면</t>
        </is>
      </c>
      <c r="G5100" s="3" t="inlineStr">
        <is>
          <t>대곡리</t>
        </is>
      </c>
      <c r="H5100" s="3" t="inlineStr">
        <is>
          <t>농림지역</t>
        </is>
      </c>
      <c r="I5100" s="3" t="inlineStr">
        <is>
          <t>임야</t>
        </is>
      </c>
      <c r="J5100" s="3" t="inlineStr">
        <is>
          <t>소정면</t>
        </is>
      </c>
    </row>
    <row r="5101">
      <c r="A5101" s="3" t="n">
        <v>2023</v>
      </c>
      <c r="B5101" s="4" t="n">
        <v>32988</v>
      </c>
      <c r="C5101" s="4" t="n">
        <v>725</v>
      </c>
      <c r="D5101" s="4" t="n">
        <v>219.3125</v>
      </c>
      <c r="E5101" s="5" t="n">
        <v>150.4</v>
      </c>
      <c r="F5101" s="3" t="inlineStr">
        <is>
          <t>장군면</t>
        </is>
      </c>
      <c r="G5101" s="3" t="inlineStr">
        <is>
          <t>대교리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장군면</t>
        </is>
      </c>
    </row>
    <row r="5102">
      <c r="A5102" s="3" t="n">
        <v>2023</v>
      </c>
      <c r="B5102" s="4" t="n">
        <v>261690</v>
      </c>
      <c r="C5102" s="4" t="n">
        <v>3300</v>
      </c>
      <c r="D5102" s="4" t="n">
        <v>998.25</v>
      </c>
      <c r="E5102" s="5" t="n">
        <v>262.1</v>
      </c>
      <c r="F5102" s="3" t="inlineStr">
        <is>
          <t>장군면</t>
        </is>
      </c>
      <c r="G5102" s="3" t="inlineStr">
        <is>
          <t>대교리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장군면</t>
        </is>
      </c>
    </row>
    <row r="5103">
      <c r="A5103" s="3" t="n">
        <v>2023</v>
      </c>
      <c r="B5103" s="4" t="n">
        <v>77220</v>
      </c>
      <c r="C5103" s="4" t="n">
        <v>660</v>
      </c>
      <c r="D5103" s="4" t="n">
        <v>199.65</v>
      </c>
      <c r="E5103" s="5" t="n">
        <v>386.8</v>
      </c>
      <c r="F5103" s="3" t="inlineStr">
        <is>
          <t>장군면</t>
        </is>
      </c>
      <c r="G5103" s="3" t="inlineStr">
        <is>
          <t>대교리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장군면</t>
        </is>
      </c>
    </row>
    <row r="5104">
      <c r="A5104" s="3" t="n">
        <v>2022</v>
      </c>
      <c r="B5104" s="4" t="n">
        <v>34380</v>
      </c>
      <c r="C5104" s="4" t="n">
        <v>1263</v>
      </c>
      <c r="D5104" s="4" t="n">
        <v>382.0575</v>
      </c>
      <c r="E5104" s="5" t="n">
        <v>90</v>
      </c>
      <c r="F5104" s="3" t="inlineStr">
        <is>
          <t>금남면</t>
        </is>
      </c>
      <c r="G5104" s="3" t="inlineStr">
        <is>
          <t>성덕리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금남면</t>
        </is>
      </c>
    </row>
    <row r="5105">
      <c r="A5105" s="3" t="n">
        <v>2022</v>
      </c>
      <c r="B5105" s="4" t="n">
        <v>22125</v>
      </c>
      <c r="C5105" s="4" t="n">
        <v>59</v>
      </c>
      <c r="D5105" s="4" t="n">
        <v>17.8475</v>
      </c>
      <c r="E5105" s="5" t="n">
        <v>1239.7</v>
      </c>
      <c r="F5105" s="3" t="inlineStr">
        <is>
          <t>금남면</t>
        </is>
      </c>
      <c r="G5105" s="3" t="inlineStr">
        <is>
          <t>용포리</t>
        </is>
      </c>
      <c r="H5105" s="3" t="inlineStr">
        <is>
          <t>제2종일반주거지역</t>
        </is>
      </c>
      <c r="I5105" s="3" t="inlineStr">
        <is>
          <t>대</t>
        </is>
      </c>
      <c r="J5105" s="3" t="inlineStr">
        <is>
          <t>금남면</t>
        </is>
      </c>
    </row>
    <row r="5106">
      <c r="A5106" s="3" t="n">
        <v>2022</v>
      </c>
      <c r="B5106" s="4" t="n">
        <v>4662</v>
      </c>
      <c r="C5106" s="4" t="n">
        <v>62</v>
      </c>
      <c r="D5106" s="4" t="n">
        <v>18.755</v>
      </c>
      <c r="E5106" s="5" t="n">
        <v>248.6</v>
      </c>
      <c r="F5106" s="3" t="inlineStr">
        <is>
          <t>연서면</t>
        </is>
      </c>
      <c r="G5106" s="3" t="inlineStr">
        <is>
          <t>봉암리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연서면</t>
        </is>
      </c>
    </row>
    <row r="5107">
      <c r="A5107" s="3" t="n">
        <v>2022</v>
      </c>
      <c r="B5107" s="4" t="n">
        <v>6760</v>
      </c>
      <c r="C5107" s="4" t="n">
        <v>172</v>
      </c>
      <c r="D5107" s="4" t="n">
        <v>52.03</v>
      </c>
      <c r="E5107" s="5" t="n">
        <v>129.9</v>
      </c>
      <c r="F5107" s="3" t="inlineStr">
        <is>
          <t>연동면</t>
        </is>
      </c>
      <c r="G5107" s="3" t="inlineStr">
        <is>
          <t>내판리</t>
        </is>
      </c>
      <c r="H5107" s="3" t="inlineStr">
        <is>
          <t>계획관리지역</t>
        </is>
      </c>
      <c r="I5107" s="3" t="inlineStr">
        <is>
          <t>도로</t>
        </is>
      </c>
      <c r="J5107" s="3" t="inlineStr">
        <is>
          <t>연동면</t>
        </is>
      </c>
    </row>
    <row r="5108">
      <c r="A5108" s="3" t="n">
        <v>2022</v>
      </c>
      <c r="B5108" s="4" t="n">
        <v>55557</v>
      </c>
      <c r="C5108" s="4" t="n">
        <v>889</v>
      </c>
      <c r="D5108" s="4" t="n">
        <v>268.9225</v>
      </c>
      <c r="E5108" s="5" t="n">
        <v>206.6</v>
      </c>
      <c r="F5108" s="3" t="inlineStr">
        <is>
          <t>금남면</t>
        </is>
      </c>
      <c r="G5108" s="3" t="inlineStr">
        <is>
          <t>도남리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금남면</t>
        </is>
      </c>
    </row>
    <row r="5109">
      <c r="A5109" s="3" t="n">
        <v>2023</v>
      </c>
      <c r="B5109" s="4" t="n">
        <v>5000</v>
      </c>
      <c r="C5109" s="4" t="n">
        <v>352</v>
      </c>
      <c r="D5109" s="4" t="n">
        <v>106.48</v>
      </c>
      <c r="E5109" s="5" t="n">
        <v>47</v>
      </c>
      <c r="F5109" s="3" t="inlineStr">
        <is>
          <t>전동면</t>
        </is>
      </c>
      <c r="G5109" s="3" t="inlineStr">
        <is>
          <t>심중리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전동면</t>
        </is>
      </c>
    </row>
    <row r="5110">
      <c r="A5110" s="3" t="n">
        <v>2025</v>
      </c>
      <c r="B5110" s="4" t="n">
        <v>20318</v>
      </c>
      <c r="C5110" s="4" t="n">
        <v>2242</v>
      </c>
      <c r="D5110" s="4" t="n">
        <v>678.2049999999999</v>
      </c>
      <c r="E5110" s="5" t="n">
        <v>30</v>
      </c>
      <c r="F5110" s="3" t="inlineStr">
        <is>
          <t>전의면</t>
        </is>
      </c>
      <c r="G5110" s="3" t="inlineStr">
        <is>
          <t>유천리</t>
        </is>
      </c>
      <c r="H5110" s="3" t="inlineStr">
        <is>
          <t>계획관리지역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2026</v>
      </c>
      <c r="B5111" s="4" t="n">
        <v>15000</v>
      </c>
      <c r="C5111" s="4" t="n">
        <v>873</v>
      </c>
      <c r="D5111" s="4" t="n">
        <v>264.0825</v>
      </c>
      <c r="E5111" s="5" t="n">
        <v>56.8</v>
      </c>
      <c r="F5111" s="3" t="inlineStr">
        <is>
          <t>연서면</t>
        </is>
      </c>
      <c r="G5111" s="3" t="inlineStr">
        <is>
          <t>국촌리</t>
        </is>
      </c>
      <c r="H5111" s="3" t="inlineStr">
        <is>
          <t>계획관리지역</t>
        </is>
      </c>
      <c r="I5111" s="3" t="inlineStr">
        <is>
          <t>과수원</t>
        </is>
      </c>
      <c r="J5111" s="3" t="inlineStr">
        <is>
          <t>연서면</t>
        </is>
      </c>
    </row>
    <row r="5112">
      <c r="A5112" s="3" t="n">
        <v>2026</v>
      </c>
      <c r="B5112" s="4" t="n">
        <v>4600</v>
      </c>
      <c r="C5112" s="4" t="n">
        <v>127</v>
      </c>
      <c r="D5112" s="4" t="n">
        <v>38.4175</v>
      </c>
      <c r="E5112" s="5" t="n">
        <v>119.7</v>
      </c>
      <c r="F5112" s="3" t="inlineStr">
        <is>
          <t>장군면</t>
        </is>
      </c>
      <c r="G5112" s="3" t="inlineStr">
        <is>
          <t>태산리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장군면</t>
        </is>
      </c>
    </row>
    <row r="5113">
      <c r="A5113" s="3" t="n">
        <v>2026</v>
      </c>
      <c r="B5113" s="4" t="n">
        <v>17000</v>
      </c>
      <c r="C5113" s="4" t="n">
        <v>595</v>
      </c>
      <c r="D5113" s="4" t="n">
        <v>179.9875</v>
      </c>
      <c r="E5113" s="5" t="n">
        <v>94.5</v>
      </c>
      <c r="F5113" s="3" t="inlineStr">
        <is>
          <t>장군면</t>
        </is>
      </c>
      <c r="G5113" s="3" t="inlineStr">
        <is>
          <t>평기리</t>
        </is>
      </c>
      <c r="H5113" s="3" t="inlineStr">
        <is>
          <t>보전관리지역</t>
        </is>
      </c>
      <c r="I5113" s="3" t="inlineStr">
        <is>
          <t>답</t>
        </is>
      </c>
      <c r="J5113" s="3" t="inlineStr">
        <is>
          <t>장군면</t>
        </is>
      </c>
    </row>
    <row r="5114">
      <c r="A5114" s="3" t="n">
        <v>2026</v>
      </c>
      <c r="B5114" s="4" t="n">
        <v>33000</v>
      </c>
      <c r="C5114" s="4" t="n">
        <v>3719.7</v>
      </c>
      <c r="D5114" s="4" t="n">
        <v>1125.20925</v>
      </c>
      <c r="E5114" s="5" t="n">
        <v>29.3</v>
      </c>
      <c r="F5114" s="3" t="inlineStr">
        <is>
          <t>부강면</t>
        </is>
      </c>
      <c r="G5114" s="3" t="inlineStr">
        <is>
          <t>산수리</t>
        </is>
      </c>
      <c r="H5114" s="3" t="inlineStr">
        <is>
          <t>농림지역</t>
        </is>
      </c>
      <c r="I5114" s="3" t="inlineStr">
        <is>
          <t>답</t>
        </is>
      </c>
      <c r="J5114" s="3" t="inlineStr">
        <is>
          <t>부강면</t>
        </is>
      </c>
    </row>
    <row r="5115">
      <c r="A5115" s="3" t="n">
        <v>2026</v>
      </c>
      <c r="B5115" s="4" t="n">
        <v>11700</v>
      </c>
      <c r="C5115" s="4" t="n">
        <v>733</v>
      </c>
      <c r="D5115" s="4" t="n">
        <v>221.7325</v>
      </c>
      <c r="E5115" s="5" t="n">
        <v>52.8</v>
      </c>
      <c r="F5115" s="3" t="inlineStr">
        <is>
          <t>조치원읍</t>
        </is>
      </c>
      <c r="G5115" s="3" t="inlineStr">
        <is>
          <t>봉산리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조치원읍</t>
        </is>
      </c>
    </row>
    <row r="5116">
      <c r="A5116" s="3" t="n">
        <v>2026</v>
      </c>
      <c r="B5116" s="4" t="n">
        <v>205313</v>
      </c>
      <c r="C5116" s="4" t="n">
        <v>3232</v>
      </c>
      <c r="D5116" s="4" t="n">
        <v>977.6799999999999</v>
      </c>
      <c r="E5116" s="5" t="n">
        <v>210</v>
      </c>
      <c r="F5116" s="3" t="inlineStr">
        <is>
          <t>연서면</t>
        </is>
      </c>
      <c r="G5116" s="3" t="inlineStr">
        <is>
          <t>부동리</t>
        </is>
      </c>
      <c r="H5116" s="3" t="inlineStr">
        <is>
          <t>계획관리지역</t>
        </is>
      </c>
      <c r="I5116" s="3" t="inlineStr">
        <is>
          <t>과수원</t>
        </is>
      </c>
      <c r="J5116" s="3" t="inlineStr">
        <is>
          <t>연서면</t>
        </is>
      </c>
    </row>
    <row r="5117">
      <c r="A5117" s="3" t="n">
        <v>2026</v>
      </c>
      <c r="B5117" s="4" t="n">
        <v>8887</v>
      </c>
      <c r="C5117" s="4" t="n">
        <v>140</v>
      </c>
      <c r="D5117" s="4" t="n">
        <v>42.35</v>
      </c>
      <c r="E5117" s="5" t="n">
        <v>209.8</v>
      </c>
      <c r="F5117" s="3" t="inlineStr">
        <is>
          <t>연서면</t>
        </is>
      </c>
      <c r="G5117" s="3" t="inlineStr">
        <is>
          <t>부동리</t>
        </is>
      </c>
      <c r="H5117" s="3" t="inlineStr">
        <is>
          <t>계획관리지역</t>
        </is>
      </c>
      <c r="I5117" s="3" t="inlineStr">
        <is>
          <t>과수원</t>
        </is>
      </c>
      <c r="J5117" s="3" t="inlineStr">
        <is>
          <t>연서면</t>
        </is>
      </c>
    </row>
    <row r="5118">
      <c r="A5118" s="3" t="n">
        <v>2026</v>
      </c>
      <c r="B5118" s="4" t="n">
        <v>14000</v>
      </c>
      <c r="C5118" s="4" t="n">
        <v>615</v>
      </c>
      <c r="D5118" s="4" t="n">
        <v>186.0375</v>
      </c>
      <c r="E5118" s="5" t="n">
        <v>75.3</v>
      </c>
      <c r="F5118" s="3" t="inlineStr">
        <is>
          <t>조치원읍</t>
        </is>
      </c>
      <c r="G5118" s="3" t="inlineStr">
        <is>
          <t>봉산리</t>
        </is>
      </c>
      <c r="H5118" s="3" t="inlineStr">
        <is>
          <t>자연녹지지역</t>
        </is>
      </c>
      <c r="I5118" s="3" t="inlineStr">
        <is>
          <t>임야</t>
        </is>
      </c>
      <c r="J5118" s="3" t="inlineStr">
        <is>
          <t>조치원읍</t>
        </is>
      </c>
    </row>
    <row r="5119">
      <c r="A5119" s="3" t="n">
        <v>2026</v>
      </c>
      <c r="B5119" s="4" t="n">
        <v>44348</v>
      </c>
      <c r="C5119" s="4" t="n">
        <v>450</v>
      </c>
      <c r="D5119" s="4" t="n">
        <v>136.125</v>
      </c>
      <c r="E5119" s="5" t="n">
        <v>325.8</v>
      </c>
      <c r="F5119" s="3" t="inlineStr">
        <is>
          <t>장군면</t>
        </is>
      </c>
      <c r="G5119" s="3" t="inlineStr">
        <is>
          <t>대교리</t>
        </is>
      </c>
      <c r="H5119" s="3" t="inlineStr">
        <is>
          <t>보전관리지역</t>
        </is>
      </c>
      <c r="I5119" s="3" t="inlineStr">
        <is>
          <t>대</t>
        </is>
      </c>
      <c r="J5119" s="3" t="inlineStr">
        <is>
          <t>장군면</t>
        </is>
      </c>
    </row>
    <row r="5120">
      <c r="A5120" s="3" t="n">
        <v>2026</v>
      </c>
      <c r="B5120" s="4" t="n">
        <v>40762</v>
      </c>
      <c r="C5120" s="4" t="n">
        <v>450</v>
      </c>
      <c r="D5120" s="4" t="n">
        <v>136.125</v>
      </c>
      <c r="E5120" s="5" t="n">
        <v>299.4</v>
      </c>
      <c r="F5120" s="3" t="inlineStr">
        <is>
          <t>장군면</t>
        </is>
      </c>
      <c r="G5120" s="3" t="inlineStr">
        <is>
          <t>대교리</t>
        </is>
      </c>
      <c r="H5120" s="3" t="inlineStr">
        <is>
          <t>보전관리지역</t>
        </is>
      </c>
      <c r="I5120" s="3" t="inlineStr">
        <is>
          <t>대</t>
        </is>
      </c>
      <c r="J5120" s="3" t="inlineStr">
        <is>
          <t>장군면</t>
        </is>
      </c>
    </row>
    <row r="5121">
      <c r="A5121" s="3" t="n">
        <v>2025</v>
      </c>
      <c r="B5121" s="4" t="n">
        <v>100</v>
      </c>
      <c r="C5121" s="4" t="n">
        <v>27</v>
      </c>
      <c r="D5121" s="4" t="n">
        <v>8.1675</v>
      </c>
      <c r="E5121" s="5" t="n">
        <v>12.2</v>
      </c>
      <c r="F5121" s="3" t="inlineStr">
        <is>
          <t>금남면</t>
        </is>
      </c>
      <c r="G5121" s="3" t="inlineStr">
        <is>
          <t>성강리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금남면</t>
        </is>
      </c>
    </row>
    <row r="5122">
      <c r="A5122" s="3" t="n">
        <v>2025</v>
      </c>
      <c r="B5122" s="4" t="n">
        <v>100</v>
      </c>
      <c r="C5122" s="4" t="n">
        <v>27</v>
      </c>
      <c r="D5122" s="4" t="n">
        <v>8.1675</v>
      </c>
      <c r="E5122" s="5" t="n">
        <v>12.2</v>
      </c>
      <c r="F5122" s="3" t="inlineStr">
        <is>
          <t>금남면</t>
        </is>
      </c>
      <c r="G5122" s="3" t="inlineStr">
        <is>
          <t>성강리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금남면</t>
        </is>
      </c>
    </row>
    <row r="5123">
      <c r="A5123" s="3" t="n">
        <v>2025</v>
      </c>
      <c r="B5123" s="4" t="n">
        <v>27000</v>
      </c>
      <c r="C5123" s="4" t="n">
        <v>2069</v>
      </c>
      <c r="D5123" s="4" t="n">
        <v>625.8724999999999</v>
      </c>
      <c r="E5123" s="5" t="n">
        <v>43.1</v>
      </c>
      <c r="F5123" s="3" t="inlineStr">
        <is>
          <t>금남면</t>
        </is>
      </c>
      <c r="G5123" s="3" t="inlineStr">
        <is>
          <t>두만리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금남면</t>
        </is>
      </c>
    </row>
    <row r="5124">
      <c r="A5124" s="3" t="n">
        <v>2025</v>
      </c>
      <c r="B5124" s="4" t="n">
        <v>12000</v>
      </c>
      <c r="C5124" s="4" t="n">
        <v>1164</v>
      </c>
      <c r="D5124" s="4" t="n">
        <v>352.11</v>
      </c>
      <c r="E5124" s="5" t="n">
        <v>34.1</v>
      </c>
      <c r="F5124" s="3" t="inlineStr">
        <is>
          <t>금남면</t>
        </is>
      </c>
      <c r="G5124" s="3" t="inlineStr">
        <is>
          <t>두만리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금남면</t>
        </is>
      </c>
    </row>
    <row r="5125">
      <c r="A5125" s="3" t="n">
        <v>2025</v>
      </c>
      <c r="B5125" s="4" t="n">
        <v>3700</v>
      </c>
      <c r="C5125" s="4" t="n">
        <v>68</v>
      </c>
      <c r="D5125" s="4" t="n">
        <v>20.57</v>
      </c>
      <c r="E5125" s="5" t="n">
        <v>179.9</v>
      </c>
      <c r="F5125" s="3" t="inlineStr">
        <is>
          <t>조치원읍</t>
        </is>
      </c>
      <c r="G5125" s="3" t="inlineStr">
        <is>
          <t>봉산리</t>
        </is>
      </c>
      <c r="H5125" s="3" t="inlineStr">
        <is>
          <t>자연녹지지역</t>
        </is>
      </c>
      <c r="I5125" s="3" t="inlineStr">
        <is>
          <t>답</t>
        </is>
      </c>
      <c r="J5125" s="3" t="inlineStr">
        <is>
          <t>조치원읍</t>
        </is>
      </c>
    </row>
    <row r="5126">
      <c r="A5126" s="3" t="n">
        <v>2025</v>
      </c>
      <c r="B5126" s="4" t="n">
        <v>1200</v>
      </c>
      <c r="C5126" s="4" t="n">
        <v>27</v>
      </c>
      <c r="D5126" s="4" t="n">
        <v>8.1675</v>
      </c>
      <c r="E5126" s="5" t="n">
        <v>146.9</v>
      </c>
      <c r="F5126" s="3" t="inlineStr">
        <is>
          <t>조치원읍</t>
        </is>
      </c>
      <c r="G5126" s="3" t="inlineStr">
        <is>
          <t>봉산리</t>
        </is>
      </c>
      <c r="H5126" s="3" t="inlineStr">
        <is>
          <t>자연녹지지역</t>
        </is>
      </c>
      <c r="I5126" s="3" t="inlineStr">
        <is>
          <t>답</t>
        </is>
      </c>
      <c r="J5126" s="3" t="inlineStr">
        <is>
          <t>조치원읍</t>
        </is>
      </c>
    </row>
    <row r="5127">
      <c r="A5127" s="3" t="n">
        <v>2025</v>
      </c>
      <c r="B5127" s="4" t="n">
        <v>18265</v>
      </c>
      <c r="C5127" s="4" t="n">
        <v>929</v>
      </c>
      <c r="D5127" s="4" t="n">
        <v>281.0225</v>
      </c>
      <c r="E5127" s="5" t="n">
        <v>65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연동면</t>
        </is>
      </c>
    </row>
    <row r="5128">
      <c r="A5128" s="3" t="n">
        <v>2025</v>
      </c>
      <c r="B5128" s="4" t="n">
        <v>3050</v>
      </c>
      <c r="C5128" s="4" t="n">
        <v>202</v>
      </c>
      <c r="D5128" s="4" t="n">
        <v>61.105</v>
      </c>
      <c r="E5128" s="5" t="n">
        <v>49.9</v>
      </c>
      <c r="F5128" s="3" t="inlineStr">
        <is>
          <t>금남면</t>
        </is>
      </c>
      <c r="G5128" s="3" t="inlineStr">
        <is>
          <t>발산리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금남면</t>
        </is>
      </c>
    </row>
    <row r="5129">
      <c r="A5129" s="3" t="n">
        <v>2025</v>
      </c>
      <c r="B5129" s="4" t="n">
        <v>30000</v>
      </c>
      <c r="C5129" s="4" t="n">
        <v>1321</v>
      </c>
      <c r="D5129" s="4" t="n">
        <v>399.6025</v>
      </c>
      <c r="E5129" s="5" t="n">
        <v>75.09999999999999</v>
      </c>
      <c r="F5129" s="3" t="inlineStr">
        <is>
          <t>부강면</t>
        </is>
      </c>
      <c r="G5129" s="3" t="inlineStr">
        <is>
          <t>금호리</t>
        </is>
      </c>
      <c r="H5129" s="3" t="inlineStr">
        <is>
          <t>생산관리지역</t>
        </is>
      </c>
      <c r="I5129" s="3" t="inlineStr">
        <is>
          <t>전</t>
        </is>
      </c>
      <c r="J5129" s="3" t="inlineStr">
        <is>
          <t>부강면</t>
        </is>
      </c>
    </row>
    <row r="5130">
      <c r="A5130" s="3" t="n">
        <v>2025</v>
      </c>
      <c r="B5130" s="4" t="n">
        <v>7122</v>
      </c>
      <c r="C5130" s="4" t="n">
        <v>239</v>
      </c>
      <c r="D5130" s="4" t="n">
        <v>72.2975</v>
      </c>
      <c r="E5130" s="5" t="n">
        <v>98.5</v>
      </c>
      <c r="F5130" s="3" t="inlineStr">
        <is>
          <t>연동면</t>
        </is>
      </c>
      <c r="G5130" s="3" t="inlineStr">
        <is>
          <t>송용리</t>
        </is>
      </c>
      <c r="H5130" s="3" t="inlineStr">
        <is>
          <t>계획관리지역</t>
        </is>
      </c>
      <c r="I5130" s="3" t="inlineStr">
        <is>
          <t>전</t>
        </is>
      </c>
      <c r="J5130" s="3" t="inlineStr">
        <is>
          <t>연동면</t>
        </is>
      </c>
    </row>
    <row r="5131">
      <c r="A5131" s="3" t="n">
        <v>2025</v>
      </c>
      <c r="B5131" s="4" t="n">
        <v>60</v>
      </c>
      <c r="C5131" s="4" t="n">
        <v>2</v>
      </c>
      <c r="D5131" s="4" t="n">
        <v>0.605</v>
      </c>
      <c r="E5131" s="5" t="n">
        <v>99.2</v>
      </c>
      <c r="F5131" s="3" t="inlineStr">
        <is>
          <t>연동면</t>
        </is>
      </c>
      <c r="G5131" s="3" t="inlineStr">
        <is>
          <t>송용리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연동면</t>
        </is>
      </c>
    </row>
    <row r="5132">
      <c r="A5132" s="3" t="n">
        <v>2025</v>
      </c>
      <c r="B5132" s="4" t="n">
        <v>21000</v>
      </c>
      <c r="C5132" s="4" t="n">
        <v>1437</v>
      </c>
      <c r="D5132" s="4" t="n">
        <v>434.6925</v>
      </c>
      <c r="E5132" s="5" t="n">
        <v>48.3</v>
      </c>
      <c r="F5132" s="3" t="inlineStr">
        <is>
          <t>부강면</t>
        </is>
      </c>
      <c r="G5132" s="3" t="inlineStr">
        <is>
          <t>행산리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부강면</t>
        </is>
      </c>
    </row>
    <row r="5133">
      <c r="A5133" s="3" t="n">
        <v>2025</v>
      </c>
      <c r="B5133" s="4" t="n">
        <v>8855</v>
      </c>
      <c r="C5133" s="4" t="n">
        <v>298</v>
      </c>
      <c r="D5133" s="4" t="n">
        <v>90.145</v>
      </c>
      <c r="E5133" s="5" t="n">
        <v>98.2</v>
      </c>
      <c r="F5133" s="3" t="inlineStr">
        <is>
          <t>장군면</t>
        </is>
      </c>
      <c r="G5133" s="3" t="inlineStr">
        <is>
          <t>용암리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80000</v>
      </c>
      <c r="C5134" s="4" t="n">
        <v>8904</v>
      </c>
      <c r="D5134" s="4" t="n">
        <v>2693.46</v>
      </c>
      <c r="E5134" s="5" t="n">
        <v>29.7</v>
      </c>
      <c r="F5134" s="3" t="inlineStr">
        <is>
          <t>장군면</t>
        </is>
      </c>
      <c r="G5134" s="3" t="inlineStr">
        <is>
          <t>용암리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115263</v>
      </c>
      <c r="C5135" s="4" t="n">
        <v>3879</v>
      </c>
      <c r="D5135" s="4" t="n">
        <v>1173.3975</v>
      </c>
      <c r="E5135" s="5" t="n">
        <v>98.2</v>
      </c>
      <c r="F5135" s="3" t="inlineStr">
        <is>
          <t>장군면</t>
        </is>
      </c>
      <c r="G5135" s="3" t="inlineStr">
        <is>
          <t>용암리</t>
        </is>
      </c>
      <c r="H5135" s="3" t="inlineStr">
        <is>
          <t>보전관리지역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22108</v>
      </c>
      <c r="C5136" s="4" t="n">
        <v>744</v>
      </c>
      <c r="D5136" s="4" t="n">
        <v>225.06</v>
      </c>
      <c r="E5136" s="5" t="n">
        <v>98.2</v>
      </c>
      <c r="F5136" s="3" t="inlineStr">
        <is>
          <t>장군면</t>
        </is>
      </c>
      <c r="G5136" s="3" t="inlineStr">
        <is>
          <t>용암리</t>
        </is>
      </c>
      <c r="H5136" s="3" t="inlineStr">
        <is>
          <t>보전관리지역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2051</v>
      </c>
      <c r="C5137" s="4" t="n">
        <v>69</v>
      </c>
      <c r="D5137" s="4" t="n">
        <v>20.8725</v>
      </c>
      <c r="E5137" s="5" t="n">
        <v>98.3</v>
      </c>
      <c r="F5137" s="3" t="inlineStr">
        <is>
          <t>장군면</t>
        </is>
      </c>
      <c r="G5137" s="3" t="inlineStr">
        <is>
          <t>용암리</t>
        </is>
      </c>
      <c r="H5137" s="3" t="inlineStr">
        <is>
          <t>보전관리지역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2025</v>
      </c>
      <c r="B5138" s="4" t="n">
        <v>1723</v>
      </c>
      <c r="C5138" s="4" t="n">
        <v>58</v>
      </c>
      <c r="D5138" s="4" t="n">
        <v>17.545</v>
      </c>
      <c r="E5138" s="5" t="n">
        <v>98.2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2025</v>
      </c>
      <c r="B5139" s="4" t="n">
        <v>13237</v>
      </c>
      <c r="C5139" s="4" t="n">
        <v>797</v>
      </c>
      <c r="D5139" s="4" t="n">
        <v>241.0925</v>
      </c>
      <c r="E5139" s="5" t="n">
        <v>54.9</v>
      </c>
      <c r="F5139" s="3" t="inlineStr">
        <is>
          <t>전의면</t>
        </is>
      </c>
      <c r="G5139" s="3" t="inlineStr">
        <is>
          <t>영당리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전의면</t>
        </is>
      </c>
    </row>
    <row r="5140">
      <c r="A5140" s="3" t="n">
        <v>2025</v>
      </c>
      <c r="B5140" s="4" t="n">
        <v>5763</v>
      </c>
      <c r="C5140" s="4" t="n">
        <v>347</v>
      </c>
      <c r="D5140" s="4" t="n">
        <v>104.9675</v>
      </c>
      <c r="E5140" s="5" t="n">
        <v>54.9</v>
      </c>
      <c r="F5140" s="3" t="inlineStr">
        <is>
          <t>전의면</t>
        </is>
      </c>
      <c r="G5140" s="3" t="inlineStr">
        <is>
          <t>영당리</t>
        </is>
      </c>
      <c r="H5140" s="3" t="inlineStr">
        <is>
          <t>계획관리지역</t>
        </is>
      </c>
      <c r="I5140" s="3" t="inlineStr">
        <is>
          <t>전</t>
        </is>
      </c>
      <c r="J5140" s="3" t="inlineStr">
        <is>
          <t>전의면</t>
        </is>
      </c>
    </row>
    <row r="5141">
      <c r="A5141" s="3" t="n">
        <v>2025</v>
      </c>
      <c r="B5141" s="4" t="n">
        <v>19950</v>
      </c>
      <c r="C5141" s="4" t="n">
        <v>2638</v>
      </c>
      <c r="D5141" s="4" t="n">
        <v>797.995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계획관리지역</t>
        </is>
      </c>
      <c r="I5141" s="3" t="inlineStr">
        <is>
          <t>전</t>
        </is>
      </c>
      <c r="J5141" s="3" t="inlineStr">
        <is>
          <t>전의면</t>
        </is>
      </c>
    </row>
    <row r="5142">
      <c r="A5142" s="3" t="n">
        <v>2025</v>
      </c>
      <c r="B5142" s="4" t="n">
        <v>44756</v>
      </c>
      <c r="C5142" s="4" t="n">
        <v>1018</v>
      </c>
      <c r="D5142" s="4" t="n">
        <v>307.945</v>
      </c>
      <c r="E5142" s="5" t="n">
        <v>145.3</v>
      </c>
      <c r="F5142" s="3" t="inlineStr">
        <is>
          <t>전동면</t>
        </is>
      </c>
      <c r="G5142" s="3" t="inlineStr">
        <is>
          <t>심중리</t>
        </is>
      </c>
      <c r="H5142" s="3" t="inlineStr">
        <is>
          <t>준공업지역</t>
        </is>
      </c>
      <c r="I5142" s="3" t="inlineStr">
        <is>
          <t>공장용지</t>
        </is>
      </c>
      <c r="J5142" s="3" t="inlineStr">
        <is>
          <t>전동면</t>
        </is>
      </c>
    </row>
    <row r="5143">
      <c r="A5143" s="3" t="n">
        <v>2025</v>
      </c>
      <c r="B5143" s="4" t="n">
        <v>65000</v>
      </c>
      <c r="C5143" s="4" t="n">
        <v>287</v>
      </c>
      <c r="D5143" s="4" t="n">
        <v>86.8175</v>
      </c>
      <c r="E5143" s="5" t="n">
        <v>748.7</v>
      </c>
      <c r="F5143" s="3" t="inlineStr">
        <is>
          <t>반곡동</t>
        </is>
      </c>
      <c r="G5143" s="3" t="inlineStr"/>
      <c r="H5143" s="3" t="inlineStr">
        <is>
          <t>제1종전용주거지역</t>
        </is>
      </c>
      <c r="I5143" s="3" t="inlineStr">
        <is>
          <t>대</t>
        </is>
      </c>
      <c r="J5143" s="3" t="inlineStr">
        <is>
          <t>반곡동</t>
        </is>
      </c>
    </row>
    <row r="5144">
      <c r="A5144" s="3" t="n">
        <v>2025</v>
      </c>
      <c r="B5144" s="4" t="n">
        <v>26608</v>
      </c>
      <c r="C5144" s="4" t="n">
        <v>1114</v>
      </c>
      <c r="D5144" s="4" t="n">
        <v>336.985</v>
      </c>
      <c r="E5144" s="5" t="n">
        <v>79</v>
      </c>
      <c r="F5144" s="3" t="inlineStr">
        <is>
          <t>장군면</t>
        </is>
      </c>
      <c r="G5144" s="3" t="inlineStr">
        <is>
          <t>금암리</t>
        </is>
      </c>
      <c r="H5144" s="3" t="inlineStr">
        <is>
          <t>보전관리지역</t>
        </is>
      </c>
      <c r="I5144" s="3" t="inlineStr">
        <is>
          <t>임야</t>
        </is>
      </c>
      <c r="J5144" s="3" t="inlineStr">
        <is>
          <t>장군면</t>
        </is>
      </c>
    </row>
    <row r="5145">
      <c r="A5145" s="3" t="n">
        <v>2025</v>
      </c>
      <c r="B5145" s="4" t="n">
        <v>26608</v>
      </c>
      <c r="C5145" s="4" t="n">
        <v>1114</v>
      </c>
      <c r="D5145" s="4" t="n">
        <v>336.985</v>
      </c>
      <c r="E5145" s="5" t="n">
        <v>79</v>
      </c>
      <c r="F5145" s="3" t="inlineStr">
        <is>
          <t>장군면</t>
        </is>
      </c>
      <c r="G5145" s="3" t="inlineStr">
        <is>
          <t>금암리</t>
        </is>
      </c>
      <c r="H5145" s="3" t="inlineStr">
        <is>
          <t>보전관리지역</t>
        </is>
      </c>
      <c r="I5145" s="3" t="inlineStr">
        <is>
          <t>임야</t>
        </is>
      </c>
      <c r="J5145" s="3" t="inlineStr">
        <is>
          <t>장군면</t>
        </is>
      </c>
    </row>
    <row r="5146">
      <c r="A5146" s="3" t="n">
        <v>2025</v>
      </c>
      <c r="B5146" s="4" t="n">
        <v>8776</v>
      </c>
      <c r="C5146" s="4" t="n">
        <v>1778</v>
      </c>
      <c r="D5146" s="4" t="n">
        <v>537.845</v>
      </c>
      <c r="E5146" s="5" t="n">
        <v>16.3</v>
      </c>
      <c r="F5146" s="3" t="inlineStr">
        <is>
          <t>전의면</t>
        </is>
      </c>
      <c r="G5146" s="3" t="inlineStr">
        <is>
          <t>달전리</t>
        </is>
      </c>
      <c r="H5146" s="3" t="inlineStr">
        <is>
          <t>생산관리지역</t>
        </is>
      </c>
      <c r="I5146" s="3" t="inlineStr">
        <is>
          <t>도로</t>
        </is>
      </c>
      <c r="J5146" s="3" t="inlineStr">
        <is>
          <t>전의면</t>
        </is>
      </c>
    </row>
    <row r="5147">
      <c r="A5147" s="3" t="n">
        <v>2025</v>
      </c>
      <c r="B5147" s="4" t="n">
        <v>65500</v>
      </c>
      <c r="C5147" s="4" t="n">
        <v>1974</v>
      </c>
      <c r="D5147" s="4" t="n">
        <v>597.135</v>
      </c>
      <c r="E5147" s="5" t="n">
        <v>109.7</v>
      </c>
      <c r="F5147" s="3" t="inlineStr">
        <is>
          <t>연기면</t>
        </is>
      </c>
      <c r="G5147" s="3" t="inlineStr">
        <is>
          <t>수산리</t>
        </is>
      </c>
      <c r="H5147" s="3" t="inlineStr">
        <is>
          <t>보전관리지역</t>
        </is>
      </c>
      <c r="I5147" s="3" t="inlineStr">
        <is>
          <t>전</t>
        </is>
      </c>
      <c r="J5147" s="3" t="inlineStr">
        <is>
          <t>연기면</t>
        </is>
      </c>
    </row>
    <row r="5148">
      <c r="A5148" s="3" t="n">
        <v>2025</v>
      </c>
      <c r="B5148" s="4" t="n">
        <v>40500</v>
      </c>
      <c r="C5148" s="4" t="n">
        <v>1220</v>
      </c>
      <c r="D5148" s="4" t="n">
        <v>369.05</v>
      </c>
      <c r="E5148" s="5" t="n">
        <v>109.7</v>
      </c>
      <c r="F5148" s="3" t="inlineStr">
        <is>
          <t>연기면</t>
        </is>
      </c>
      <c r="G5148" s="3" t="inlineStr">
        <is>
          <t>수산리</t>
        </is>
      </c>
      <c r="H5148" s="3" t="inlineStr">
        <is>
          <t>보전관리지역</t>
        </is>
      </c>
      <c r="I5148" s="3" t="inlineStr">
        <is>
          <t>전</t>
        </is>
      </c>
      <c r="J5148" s="3" t="inlineStr">
        <is>
          <t>연기면</t>
        </is>
      </c>
    </row>
    <row r="5149">
      <c r="A5149" s="3" t="n">
        <v>2024</v>
      </c>
      <c r="B5149" s="4" t="n">
        <v>35600</v>
      </c>
      <c r="C5149" s="4" t="n">
        <v>467</v>
      </c>
      <c r="D5149" s="4" t="n">
        <v>141.2675</v>
      </c>
      <c r="E5149" s="5" t="n">
        <v>252</v>
      </c>
      <c r="F5149" s="3" t="inlineStr">
        <is>
          <t>장군면</t>
        </is>
      </c>
      <c r="G5149" s="3" t="inlineStr">
        <is>
          <t>산학리</t>
        </is>
      </c>
      <c r="H5149" s="3" t="inlineStr">
        <is>
          <t>보전관리지역</t>
        </is>
      </c>
      <c r="I5149" s="3" t="inlineStr">
        <is>
          <t>대</t>
        </is>
      </c>
      <c r="J5149" s="3" t="inlineStr">
        <is>
          <t>장군면</t>
        </is>
      </c>
    </row>
    <row r="5150">
      <c r="A5150" s="3" t="n">
        <v>2024</v>
      </c>
      <c r="B5150" s="4" t="n">
        <v>40472</v>
      </c>
      <c r="C5150" s="4" t="n">
        <v>463</v>
      </c>
      <c r="D5150" s="4" t="n">
        <v>140.0575</v>
      </c>
      <c r="E5150" s="5" t="n">
        <v>289</v>
      </c>
      <c r="F5150" s="3" t="inlineStr">
        <is>
          <t>장군면</t>
        </is>
      </c>
      <c r="G5150" s="3" t="inlineStr">
        <is>
          <t>산학리</t>
        </is>
      </c>
      <c r="H5150" s="3" t="inlineStr">
        <is>
          <t>보전관리지역</t>
        </is>
      </c>
      <c r="I5150" s="3" t="inlineStr">
        <is>
          <t>대</t>
        </is>
      </c>
      <c r="J5150" s="3" t="inlineStr">
        <is>
          <t>장군면</t>
        </is>
      </c>
    </row>
    <row r="5151">
      <c r="A5151" s="3" t="n">
        <v>2024</v>
      </c>
      <c r="B5151" s="4" t="n">
        <v>34480</v>
      </c>
      <c r="C5151" s="4" t="n">
        <v>452</v>
      </c>
      <c r="D5151" s="4" t="n">
        <v>136.73</v>
      </c>
      <c r="E5151" s="5" t="n">
        <v>252.2</v>
      </c>
      <c r="F5151" s="3" t="inlineStr">
        <is>
          <t>장군면</t>
        </is>
      </c>
      <c r="G5151" s="3" t="inlineStr">
        <is>
          <t>산학리</t>
        </is>
      </c>
      <c r="H5151" s="3" t="inlineStr">
        <is>
          <t>보전관리지역</t>
        </is>
      </c>
      <c r="I5151" s="3" t="inlineStr">
        <is>
          <t>대</t>
        </is>
      </c>
      <c r="J5151" s="3" t="inlineStr">
        <is>
          <t>장군면</t>
        </is>
      </c>
    </row>
    <row r="5152">
      <c r="A5152" s="3" t="n">
        <v>2024</v>
      </c>
      <c r="B5152" s="4" t="n">
        <v>35000</v>
      </c>
      <c r="C5152" s="4" t="n">
        <v>459</v>
      </c>
      <c r="D5152" s="4" t="n">
        <v>138.8475</v>
      </c>
      <c r="E5152" s="5" t="n">
        <v>252.1</v>
      </c>
      <c r="F5152" s="3" t="inlineStr">
        <is>
          <t>장군면</t>
        </is>
      </c>
      <c r="G5152" s="3" t="inlineStr">
        <is>
          <t>산학리</t>
        </is>
      </c>
      <c r="H5152" s="3" t="inlineStr">
        <is>
          <t>보전관리지역</t>
        </is>
      </c>
      <c r="I5152" s="3" t="inlineStr">
        <is>
          <t>대</t>
        </is>
      </c>
      <c r="J5152" s="3" t="inlineStr">
        <is>
          <t>장군면</t>
        </is>
      </c>
    </row>
    <row r="5153">
      <c r="A5153" s="3" t="n">
        <v>2024</v>
      </c>
      <c r="B5153" s="4" t="n">
        <v>35896</v>
      </c>
      <c r="C5153" s="4" t="n">
        <v>471</v>
      </c>
      <c r="D5153" s="4" t="n">
        <v>142.4775</v>
      </c>
      <c r="E5153" s="5" t="n">
        <v>251.9</v>
      </c>
      <c r="F5153" s="3" t="inlineStr">
        <is>
          <t>장군면</t>
        </is>
      </c>
      <c r="G5153" s="3" t="inlineStr">
        <is>
          <t>산학리</t>
        </is>
      </c>
      <c r="H5153" s="3" t="inlineStr">
        <is>
          <t>보전관리지역</t>
        </is>
      </c>
      <c r="I5153" s="3" t="inlineStr">
        <is>
          <t>대</t>
        </is>
      </c>
      <c r="J5153" s="3" t="inlineStr">
        <is>
          <t>장군면</t>
        </is>
      </c>
    </row>
    <row r="5154">
      <c r="A5154" s="3" t="n">
        <v>2023</v>
      </c>
      <c r="B5154" s="4" t="n">
        <v>2000</v>
      </c>
      <c r="C5154" s="4" t="n">
        <v>716</v>
      </c>
      <c r="D5154" s="4" t="n">
        <v>216.59</v>
      </c>
      <c r="E5154" s="5" t="n">
        <v>9.199999999999999</v>
      </c>
      <c r="F5154" s="3" t="inlineStr">
        <is>
          <t>연기면</t>
        </is>
      </c>
      <c r="G5154" s="3" t="inlineStr">
        <is>
          <t>수산리</t>
        </is>
      </c>
      <c r="H5154" s="3" t="inlineStr">
        <is>
          <t>보전관리지역</t>
        </is>
      </c>
      <c r="I5154" s="3" t="inlineStr">
        <is>
          <t>전</t>
        </is>
      </c>
      <c r="J5154" s="3" t="inlineStr">
        <is>
          <t>연기면</t>
        </is>
      </c>
    </row>
    <row r="5155">
      <c r="A5155" s="3" t="n">
        <v>2023</v>
      </c>
      <c r="B5155" s="4" t="n">
        <v>22581</v>
      </c>
      <c r="C5155" s="4" t="n">
        <v>355</v>
      </c>
      <c r="D5155" s="4" t="n">
        <v>107.3875</v>
      </c>
      <c r="E5155" s="5" t="n">
        <v>210.3</v>
      </c>
      <c r="F5155" s="3" t="inlineStr">
        <is>
          <t>장군면</t>
        </is>
      </c>
      <c r="G5155" s="3" t="inlineStr">
        <is>
          <t>용암리</t>
        </is>
      </c>
      <c r="H5155" s="3" t="inlineStr">
        <is>
          <t>보전관리지역</t>
        </is>
      </c>
      <c r="I5155" s="3" t="inlineStr">
        <is>
          <t>대</t>
        </is>
      </c>
      <c r="J5155" s="3" t="inlineStr">
        <is>
          <t>장군면</t>
        </is>
      </c>
    </row>
    <row r="5156">
      <c r="A5156" s="3" t="n">
        <v>2023</v>
      </c>
      <c r="B5156" s="4" t="n">
        <v>3000</v>
      </c>
      <c r="C5156" s="4" t="n">
        <v>200</v>
      </c>
      <c r="D5156" s="4" t="n">
        <v>60.5</v>
      </c>
      <c r="E5156" s="5" t="n">
        <v>49.6</v>
      </c>
      <c r="F5156" s="3" t="inlineStr">
        <is>
          <t>전동면</t>
        </is>
      </c>
      <c r="G5156" s="3" t="inlineStr">
        <is>
          <t>청송리</t>
        </is>
      </c>
      <c r="H5156" s="3" t="inlineStr">
        <is>
          <t>계획관리지역</t>
        </is>
      </c>
      <c r="I5156" s="3" t="inlineStr">
        <is>
          <t>임야</t>
        </is>
      </c>
      <c r="J5156" s="3" t="inlineStr">
        <is>
          <t>전동면</t>
        </is>
      </c>
    </row>
    <row r="5157">
      <c r="A5157" s="3" t="n">
        <v>2023</v>
      </c>
      <c r="B5157" s="4" t="n">
        <v>4382</v>
      </c>
      <c r="C5157" s="4" t="n">
        <v>626</v>
      </c>
      <c r="D5157" s="4" t="n">
        <v>189.365</v>
      </c>
      <c r="E5157" s="5" t="n">
        <v>23.1</v>
      </c>
      <c r="F5157" s="3" t="inlineStr">
        <is>
          <t>소정면</t>
        </is>
      </c>
      <c r="G5157" s="3" t="inlineStr">
        <is>
          <t>대곡리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소정면</t>
        </is>
      </c>
    </row>
    <row r="5158">
      <c r="A5158" s="3" t="n">
        <v>2023</v>
      </c>
      <c r="B5158" s="4" t="n">
        <v>7733</v>
      </c>
      <c r="C5158" s="4" t="n">
        <v>1074</v>
      </c>
      <c r="D5158" s="4" t="n">
        <v>324.885</v>
      </c>
      <c r="E5158" s="5" t="n">
        <v>23.8</v>
      </c>
      <c r="F5158" s="3" t="inlineStr">
        <is>
          <t>소정면</t>
        </is>
      </c>
      <c r="G5158" s="3" t="inlineStr">
        <is>
          <t>대곡리</t>
        </is>
      </c>
      <c r="H5158" s="3" t="inlineStr">
        <is>
          <t>보전관리지역</t>
        </is>
      </c>
      <c r="I5158" s="3" t="inlineStr">
        <is>
          <t>답</t>
        </is>
      </c>
      <c r="J5158" s="3" t="inlineStr">
        <is>
          <t>소정면</t>
        </is>
      </c>
    </row>
    <row r="5159">
      <c r="A5159" s="3" t="n">
        <v>2023</v>
      </c>
      <c r="B5159" s="4" t="n">
        <v>94926</v>
      </c>
      <c r="C5159" s="4" t="n">
        <v>1728</v>
      </c>
      <c r="D5159" s="4" t="n">
        <v>522.72</v>
      </c>
      <c r="E5159" s="5" t="n">
        <v>181.6</v>
      </c>
      <c r="F5159" s="3" t="inlineStr">
        <is>
          <t>부강면</t>
        </is>
      </c>
      <c r="G5159" s="3" t="inlineStr">
        <is>
          <t>등곡리</t>
        </is>
      </c>
      <c r="H5159" s="3" t="inlineStr">
        <is>
          <t>계획관리지역</t>
        </is>
      </c>
      <c r="I5159" s="3" t="inlineStr">
        <is>
          <t>공장용지</t>
        </is>
      </c>
      <c r="J5159" s="3" t="inlineStr">
        <is>
          <t>부강면</t>
        </is>
      </c>
    </row>
    <row r="5160">
      <c r="A5160" s="3" t="n">
        <v>2023</v>
      </c>
      <c r="B5160" s="4" t="n">
        <v>14762</v>
      </c>
      <c r="C5160" s="4" t="n">
        <v>305</v>
      </c>
      <c r="D5160" s="4" t="n">
        <v>92.2625</v>
      </c>
      <c r="E5160" s="5" t="n">
        <v>160</v>
      </c>
      <c r="F5160" s="3" t="inlineStr">
        <is>
          <t>장군면</t>
        </is>
      </c>
      <c r="G5160" s="3" t="inlineStr">
        <is>
          <t>용암리</t>
        </is>
      </c>
      <c r="H5160" s="3" t="inlineStr">
        <is>
          <t>보전관리지역</t>
        </is>
      </c>
      <c r="I5160" s="3" t="inlineStr">
        <is>
          <t>대</t>
        </is>
      </c>
      <c r="J5160" s="3" t="inlineStr">
        <is>
          <t>장군면</t>
        </is>
      </c>
    </row>
    <row r="5161">
      <c r="A5161" s="3" t="n">
        <v>2023</v>
      </c>
      <c r="B5161" s="4" t="n">
        <v>13794</v>
      </c>
      <c r="C5161" s="4" t="n">
        <v>285</v>
      </c>
      <c r="D5161" s="4" t="n">
        <v>86.21249999999999</v>
      </c>
      <c r="E5161" s="5" t="n">
        <v>160</v>
      </c>
      <c r="F5161" s="3" t="inlineStr">
        <is>
          <t>장군면</t>
        </is>
      </c>
      <c r="G5161" s="3" t="inlineStr">
        <is>
          <t>용암리</t>
        </is>
      </c>
      <c r="H5161" s="3" t="inlineStr">
        <is>
          <t>보전관리지역</t>
        </is>
      </c>
      <c r="I5161" s="3" t="inlineStr">
        <is>
          <t>대</t>
        </is>
      </c>
      <c r="J5161" s="3" t="inlineStr">
        <is>
          <t>장군면</t>
        </is>
      </c>
    </row>
    <row r="5162">
      <c r="A5162" s="3" t="n">
        <v>2023</v>
      </c>
      <c r="B5162" s="4" t="n">
        <v>94</v>
      </c>
      <c r="C5162" s="4" t="n">
        <v>66</v>
      </c>
      <c r="D5162" s="4" t="n">
        <v>19.965</v>
      </c>
      <c r="E5162" s="5" t="n">
        <v>4.7</v>
      </c>
      <c r="F5162" s="3" t="inlineStr">
        <is>
          <t>장군면</t>
        </is>
      </c>
      <c r="G5162" s="3" t="inlineStr">
        <is>
          <t>용암리</t>
        </is>
      </c>
      <c r="H5162" s="3" t="inlineStr">
        <is>
          <t>보전관리지역</t>
        </is>
      </c>
      <c r="I5162" s="3" t="inlineStr">
        <is>
          <t>대</t>
        </is>
      </c>
      <c r="J5162" s="3" t="inlineStr">
        <is>
          <t>장군면</t>
        </is>
      </c>
    </row>
    <row r="5163">
      <c r="A5163" s="3" t="n">
        <v>2023</v>
      </c>
      <c r="B5163" s="4" t="n">
        <v>105000</v>
      </c>
      <c r="C5163" s="4" t="n">
        <v>9917</v>
      </c>
      <c r="D5163" s="4" t="n">
        <v>2999.8925</v>
      </c>
      <c r="E5163" s="5" t="n">
        <v>35</v>
      </c>
      <c r="F5163" s="3" t="inlineStr">
        <is>
          <t>금남면</t>
        </is>
      </c>
      <c r="G5163" s="3" t="inlineStr">
        <is>
          <t>원봉리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2023</v>
      </c>
      <c r="B5164" s="4" t="n">
        <v>123000</v>
      </c>
      <c r="C5164" s="4" t="n">
        <v>9918</v>
      </c>
      <c r="D5164" s="4" t="n">
        <v>3000.195</v>
      </c>
      <c r="E5164" s="5" t="n">
        <v>41</v>
      </c>
      <c r="F5164" s="3" t="inlineStr">
        <is>
          <t>금남면</t>
        </is>
      </c>
      <c r="G5164" s="3" t="inlineStr">
        <is>
          <t>원봉리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2023</v>
      </c>
      <c r="B5165" s="4" t="n">
        <v>29000</v>
      </c>
      <c r="C5165" s="4" t="n">
        <v>1653</v>
      </c>
      <c r="D5165" s="4" t="n">
        <v>500.0325</v>
      </c>
      <c r="E5165" s="5" t="n">
        <v>58</v>
      </c>
      <c r="F5165" s="3" t="inlineStr">
        <is>
          <t>금남면</t>
        </is>
      </c>
      <c r="G5165" s="3" t="inlineStr">
        <is>
          <t>원봉리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금남면</t>
        </is>
      </c>
    </row>
    <row r="5166">
      <c r="A5166" s="3" t="n">
        <v>2023</v>
      </c>
      <c r="B5166" s="4" t="n">
        <v>90200</v>
      </c>
      <c r="C5166" s="4" t="n">
        <v>7273</v>
      </c>
      <c r="D5166" s="4" t="n">
        <v>2200.0825</v>
      </c>
      <c r="E5166" s="5" t="n">
        <v>41</v>
      </c>
      <c r="F5166" s="3" t="inlineStr">
        <is>
          <t>금남면</t>
        </is>
      </c>
      <c r="G5166" s="3" t="inlineStr">
        <is>
          <t>원봉리</t>
        </is>
      </c>
      <c r="H5166" s="3" t="inlineStr">
        <is>
          <t>보전관리지역</t>
        </is>
      </c>
      <c r="I5166" s="3" t="inlineStr">
        <is>
          <t>임야</t>
        </is>
      </c>
      <c r="J5166" s="3" t="inlineStr">
        <is>
          <t>금남면</t>
        </is>
      </c>
    </row>
    <row r="5167">
      <c r="A5167" s="3" t="n">
        <v>2023</v>
      </c>
      <c r="B5167" s="4" t="n">
        <v>43000</v>
      </c>
      <c r="C5167" s="4" t="n">
        <v>303</v>
      </c>
      <c r="D5167" s="4" t="n">
        <v>91.6575</v>
      </c>
      <c r="E5167" s="5" t="n">
        <v>469.1</v>
      </c>
      <c r="F5167" s="3" t="inlineStr">
        <is>
          <t>연동면</t>
        </is>
      </c>
      <c r="G5167" s="3" t="inlineStr">
        <is>
          <t>내판리</t>
        </is>
      </c>
      <c r="H5167" s="3" t="inlineStr">
        <is>
          <t>계획관리지역</t>
        </is>
      </c>
      <c r="I5167" s="3" t="inlineStr">
        <is>
          <t>과수원</t>
        </is>
      </c>
      <c r="J5167" s="3" t="inlineStr">
        <is>
          <t>연동면</t>
        </is>
      </c>
    </row>
    <row r="5168">
      <c r="A5168" s="3" t="n">
        <v>2023</v>
      </c>
      <c r="B5168" s="4" t="n">
        <v>2000</v>
      </c>
      <c r="C5168" s="4" t="n">
        <v>70</v>
      </c>
      <c r="D5168" s="4" t="n">
        <v>21.175</v>
      </c>
      <c r="E5168" s="5" t="n">
        <v>94.5</v>
      </c>
      <c r="F5168" s="3" t="inlineStr">
        <is>
          <t>연서면</t>
        </is>
      </c>
      <c r="G5168" s="3" t="inlineStr">
        <is>
          <t>신대리</t>
        </is>
      </c>
      <c r="H5168" s="3" t="inlineStr">
        <is>
          <t>계획관리지역</t>
        </is>
      </c>
      <c r="I5168" s="3" t="inlineStr">
        <is>
          <t>대</t>
        </is>
      </c>
      <c r="J5168" s="3" t="inlineStr">
        <is>
          <t>연서면</t>
        </is>
      </c>
    </row>
    <row r="5169">
      <c r="A5169" s="3" t="n">
        <v>2023</v>
      </c>
      <c r="B5169" s="4" t="n">
        <v>2461</v>
      </c>
      <c r="C5169" s="4" t="n">
        <v>151</v>
      </c>
      <c r="D5169" s="4" t="n">
        <v>45.6775</v>
      </c>
      <c r="E5169" s="5" t="n">
        <v>53.9</v>
      </c>
      <c r="F5169" s="3" t="inlineStr">
        <is>
          <t>장군면</t>
        </is>
      </c>
      <c r="G5169" s="3" t="inlineStr">
        <is>
          <t>산학리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장군면</t>
        </is>
      </c>
    </row>
    <row r="5170">
      <c r="A5170" s="3" t="n">
        <v>2022</v>
      </c>
      <c r="B5170" s="4" t="n">
        <v>2067</v>
      </c>
      <c r="C5170" s="4" t="n">
        <v>1139</v>
      </c>
      <c r="D5170" s="4" t="n">
        <v>344.5475</v>
      </c>
      <c r="E5170" s="5" t="n">
        <v>6</v>
      </c>
      <c r="F5170" s="3" t="inlineStr">
        <is>
          <t>전의면</t>
        </is>
      </c>
      <c r="G5170" s="3" t="inlineStr">
        <is>
          <t>양곡리</t>
        </is>
      </c>
      <c r="H5170" s="3" t="inlineStr">
        <is>
          <t>보전관리지역</t>
        </is>
      </c>
      <c r="I5170" s="3" t="inlineStr">
        <is>
          <t>전</t>
        </is>
      </c>
      <c r="J5170" s="3" t="inlineStr">
        <is>
          <t>전의면</t>
        </is>
      </c>
    </row>
    <row r="5171">
      <c r="A5171" s="3" t="n">
        <v>2025</v>
      </c>
      <c r="B5171" s="4" t="n">
        <v>29150</v>
      </c>
      <c r="C5171" s="4" t="n">
        <v>289.9</v>
      </c>
      <c r="D5171" s="4" t="n">
        <v>87.69474999999998</v>
      </c>
      <c r="E5171" s="5" t="n">
        <v>332.4</v>
      </c>
      <c r="F5171" s="3" t="inlineStr">
        <is>
          <t>집현동</t>
        </is>
      </c>
      <c r="G5171" s="3" t="inlineStr"/>
      <c r="H5171" s="3" t="inlineStr">
        <is>
          <t>제1종전용주거지역</t>
        </is>
      </c>
      <c r="I5171" s="3" t="inlineStr">
        <is>
          <t>대</t>
        </is>
      </c>
      <c r="J5171" s="3" t="inlineStr">
        <is>
          <t>집현동</t>
        </is>
      </c>
    </row>
    <row r="5172">
      <c r="A5172" s="3" t="n">
        <v>2024</v>
      </c>
      <c r="B5172" s="4" t="n">
        <v>55000</v>
      </c>
      <c r="C5172" s="4" t="n">
        <v>1170</v>
      </c>
      <c r="D5172" s="4" t="n">
        <v>353.925</v>
      </c>
      <c r="E5172" s="5" t="n">
        <v>155.4</v>
      </c>
      <c r="F5172" s="3" t="inlineStr">
        <is>
          <t>장군면</t>
        </is>
      </c>
      <c r="G5172" s="3" t="inlineStr">
        <is>
          <t>하봉리</t>
        </is>
      </c>
      <c r="H5172" s="3" t="inlineStr">
        <is>
          <t>농림지역</t>
        </is>
      </c>
      <c r="I5172" s="3" t="inlineStr">
        <is>
          <t>답</t>
        </is>
      </c>
      <c r="J5172" s="3" t="inlineStr">
        <is>
          <t>장군면</t>
        </is>
      </c>
    </row>
    <row r="5173">
      <c r="A5173" s="3" t="n">
        <v>2024</v>
      </c>
      <c r="B5173" s="4" t="n">
        <v>34032</v>
      </c>
      <c r="C5173" s="4" t="n">
        <v>446</v>
      </c>
      <c r="D5173" s="4" t="n">
        <v>134.915</v>
      </c>
      <c r="E5173" s="5" t="n">
        <v>252.2</v>
      </c>
      <c r="F5173" s="3" t="inlineStr">
        <is>
          <t>장군면</t>
        </is>
      </c>
      <c r="G5173" s="3" t="inlineStr">
        <is>
          <t>산학리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장군면</t>
        </is>
      </c>
    </row>
    <row r="5174">
      <c r="A5174" s="3" t="n">
        <v>2024</v>
      </c>
      <c r="B5174" s="4" t="n">
        <v>35968</v>
      </c>
      <c r="C5174" s="4" t="n">
        <v>472</v>
      </c>
      <c r="D5174" s="4" t="n">
        <v>142.78</v>
      </c>
      <c r="E5174" s="5" t="n">
        <v>251.9</v>
      </c>
      <c r="F5174" s="3" t="inlineStr">
        <is>
          <t>장군면</t>
        </is>
      </c>
      <c r="G5174" s="3" t="inlineStr">
        <is>
          <t>산학리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23550</v>
      </c>
      <c r="C5175" s="4" t="n">
        <v>5190</v>
      </c>
      <c r="D5175" s="4" t="n">
        <v>1569.975</v>
      </c>
      <c r="E5175" s="5" t="n">
        <v>15</v>
      </c>
      <c r="F5175" s="3" t="inlineStr">
        <is>
          <t>전의면</t>
        </is>
      </c>
      <c r="G5175" s="3" t="inlineStr">
        <is>
          <t>다방리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전의면</t>
        </is>
      </c>
    </row>
    <row r="5176">
      <c r="A5176" s="3" t="n">
        <v>2024</v>
      </c>
      <c r="B5176" s="4" t="n">
        <v>8460</v>
      </c>
      <c r="C5176" s="4" t="n">
        <v>2331</v>
      </c>
      <c r="D5176" s="4" t="n">
        <v>705.1274999999999</v>
      </c>
      <c r="E5176" s="5" t="n">
        <v>12</v>
      </c>
      <c r="F5176" s="3" t="inlineStr">
        <is>
          <t>전의면</t>
        </is>
      </c>
      <c r="G5176" s="3" t="inlineStr">
        <is>
          <t>다방리</t>
        </is>
      </c>
      <c r="H5176" s="3" t="inlineStr">
        <is>
          <t>생산관리지역</t>
        </is>
      </c>
      <c r="I5176" s="3" t="inlineStr">
        <is>
          <t>전</t>
        </is>
      </c>
      <c r="J5176" s="3" t="inlineStr">
        <is>
          <t>전의면</t>
        </is>
      </c>
    </row>
    <row r="5177">
      <c r="A5177" s="3" t="n">
        <v>2024</v>
      </c>
      <c r="B5177" s="4" t="n">
        <v>32350</v>
      </c>
      <c r="C5177" s="4" t="n">
        <v>2140</v>
      </c>
      <c r="D5177" s="4" t="n">
        <v>647.35</v>
      </c>
      <c r="E5177" s="5" t="n">
        <v>50</v>
      </c>
      <c r="F5177" s="3" t="inlineStr">
        <is>
          <t>금남면</t>
        </is>
      </c>
      <c r="G5177" s="3" t="inlineStr">
        <is>
          <t>달전리</t>
        </is>
      </c>
      <c r="H5177" s="3" t="inlineStr">
        <is>
          <t>개발제한구역</t>
        </is>
      </c>
      <c r="I5177" s="3" t="inlineStr">
        <is>
          <t>답</t>
        </is>
      </c>
      <c r="J5177" s="3" t="inlineStr">
        <is>
          <t>금남면</t>
        </is>
      </c>
    </row>
    <row r="5178">
      <c r="A5178" s="3" t="n">
        <v>2024</v>
      </c>
      <c r="B5178" s="4" t="n">
        <v>1200</v>
      </c>
      <c r="C5178" s="4" t="n">
        <v>145</v>
      </c>
      <c r="D5178" s="4" t="n">
        <v>43.8625</v>
      </c>
      <c r="E5178" s="5" t="n">
        <v>27.4</v>
      </c>
      <c r="F5178" s="3" t="inlineStr">
        <is>
          <t>장군면</t>
        </is>
      </c>
      <c r="G5178" s="3" t="inlineStr">
        <is>
          <t>송정리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2024</v>
      </c>
      <c r="B5179" s="4" t="n">
        <v>35968</v>
      </c>
      <c r="C5179" s="4" t="n">
        <v>472</v>
      </c>
      <c r="D5179" s="4" t="n">
        <v>142.78</v>
      </c>
      <c r="E5179" s="5" t="n">
        <v>251.9</v>
      </c>
      <c r="F5179" s="3" t="inlineStr">
        <is>
          <t>장군면</t>
        </is>
      </c>
      <c r="G5179" s="3" t="inlineStr">
        <is>
          <t>산학리</t>
        </is>
      </c>
      <c r="H5179" s="3" t="inlineStr">
        <is>
          <t>보전관리지역</t>
        </is>
      </c>
      <c r="I5179" s="3" t="inlineStr">
        <is>
          <t>대</t>
        </is>
      </c>
      <c r="J5179" s="3" t="inlineStr">
        <is>
          <t>장군면</t>
        </is>
      </c>
    </row>
    <row r="5180">
      <c r="A5180" s="3" t="n">
        <v>2023</v>
      </c>
      <c r="B5180" s="4" t="n">
        <v>10943</v>
      </c>
      <c r="C5180" s="4" t="n">
        <v>1044</v>
      </c>
      <c r="D5180" s="4" t="n">
        <v>315.81</v>
      </c>
      <c r="E5180" s="5" t="n">
        <v>34.7</v>
      </c>
      <c r="F5180" s="3" t="inlineStr">
        <is>
          <t>소정면</t>
        </is>
      </c>
      <c r="G5180" s="3" t="inlineStr">
        <is>
          <t>소정리</t>
        </is>
      </c>
      <c r="H5180" s="3" t="inlineStr">
        <is>
          <t>농림지역</t>
        </is>
      </c>
      <c r="I5180" s="3" t="inlineStr">
        <is>
          <t>전</t>
        </is>
      </c>
      <c r="J5180" s="3" t="inlineStr">
        <is>
          <t>소정면</t>
        </is>
      </c>
    </row>
    <row r="5181">
      <c r="A5181" s="3" t="n">
        <v>2023</v>
      </c>
      <c r="B5181" s="4" t="n">
        <v>9057</v>
      </c>
      <c r="C5181" s="4" t="n">
        <v>864</v>
      </c>
      <c r="D5181" s="4" t="n">
        <v>261.36</v>
      </c>
      <c r="E5181" s="5" t="n">
        <v>34.7</v>
      </c>
      <c r="F5181" s="3" t="inlineStr">
        <is>
          <t>소정면</t>
        </is>
      </c>
      <c r="G5181" s="3" t="inlineStr">
        <is>
          <t>소정리</t>
        </is>
      </c>
      <c r="H5181" s="3" t="inlineStr">
        <is>
          <t>농림지역</t>
        </is>
      </c>
      <c r="I5181" s="3" t="inlineStr">
        <is>
          <t>전</t>
        </is>
      </c>
      <c r="J5181" s="3" t="inlineStr">
        <is>
          <t>소정면</t>
        </is>
      </c>
    </row>
    <row r="5182">
      <c r="A5182" s="3" t="n">
        <v>2023</v>
      </c>
      <c r="B5182" s="4" t="n">
        <v>4300</v>
      </c>
      <c r="C5182" s="4" t="n">
        <v>192</v>
      </c>
      <c r="D5182" s="4" t="n">
        <v>58.08</v>
      </c>
      <c r="E5182" s="5" t="n">
        <v>74</v>
      </c>
      <c r="F5182" s="3" t="inlineStr">
        <is>
          <t>금남면</t>
        </is>
      </c>
      <c r="G5182" s="3" t="inlineStr">
        <is>
          <t>원봉리</t>
        </is>
      </c>
      <c r="H5182" s="3" t="inlineStr">
        <is>
          <t>계획관리지역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13085</v>
      </c>
      <c r="C5183" s="4" t="n">
        <v>608</v>
      </c>
      <c r="D5183" s="4" t="n">
        <v>183.92</v>
      </c>
      <c r="E5183" s="5" t="n">
        <v>71.09999999999999</v>
      </c>
      <c r="F5183" s="3" t="inlineStr">
        <is>
          <t>금남면</t>
        </is>
      </c>
      <c r="G5183" s="3" t="inlineStr">
        <is>
          <t>국곡리</t>
        </is>
      </c>
      <c r="H5183" s="3" t="inlineStr">
        <is>
          <t>보전관리지역</t>
        </is>
      </c>
      <c r="I5183" s="3" t="inlineStr">
        <is>
          <t>전</t>
        </is>
      </c>
      <c r="J5183" s="3" t="inlineStr">
        <is>
          <t>금남면</t>
        </is>
      </c>
    </row>
    <row r="5184">
      <c r="A5184" s="3" t="n">
        <v>2023</v>
      </c>
      <c r="B5184" s="4" t="n">
        <v>1915</v>
      </c>
      <c r="C5184" s="4" t="n">
        <v>89</v>
      </c>
      <c r="D5184" s="4" t="n">
        <v>26.9225</v>
      </c>
      <c r="E5184" s="5" t="n">
        <v>71.09999999999999</v>
      </c>
      <c r="F5184" s="3" t="inlineStr">
        <is>
          <t>금남면</t>
        </is>
      </c>
      <c r="G5184" s="3" t="inlineStr">
        <is>
          <t>국곡리</t>
        </is>
      </c>
      <c r="H5184" s="3" t="inlineStr">
        <is>
          <t>보전관리지역</t>
        </is>
      </c>
      <c r="I5184" s="3" t="inlineStr">
        <is>
          <t>답</t>
        </is>
      </c>
      <c r="J5184" s="3" t="inlineStr">
        <is>
          <t>금남면</t>
        </is>
      </c>
    </row>
    <row r="5185">
      <c r="A5185" s="3" t="n">
        <v>2023</v>
      </c>
      <c r="B5185" s="4" t="n">
        <v>80908</v>
      </c>
      <c r="C5185" s="4" t="n">
        <v>6763</v>
      </c>
      <c r="D5185" s="4" t="n">
        <v>2045.8075</v>
      </c>
      <c r="E5185" s="5" t="n">
        <v>39.5</v>
      </c>
      <c r="F5185" s="3" t="inlineStr">
        <is>
          <t>장군면</t>
        </is>
      </c>
      <c r="G5185" s="3" t="inlineStr">
        <is>
          <t>대교리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장군면</t>
        </is>
      </c>
    </row>
    <row r="5186">
      <c r="A5186" s="3" t="n">
        <v>2022</v>
      </c>
      <c r="B5186" s="4" t="n">
        <v>17500</v>
      </c>
      <c r="C5186" s="4" t="n">
        <v>198</v>
      </c>
      <c r="D5186" s="4" t="n">
        <v>59.895</v>
      </c>
      <c r="E5186" s="5" t="n">
        <v>292.2</v>
      </c>
      <c r="F5186" s="3" t="inlineStr">
        <is>
          <t>금남면</t>
        </is>
      </c>
      <c r="G5186" s="3" t="inlineStr">
        <is>
          <t>박산리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19779</v>
      </c>
      <c r="C5187" s="4" t="n">
        <v>2734</v>
      </c>
      <c r="D5187" s="4" t="n">
        <v>827.035</v>
      </c>
      <c r="E5187" s="5" t="n">
        <v>23.9</v>
      </c>
      <c r="F5187" s="3" t="inlineStr">
        <is>
          <t>연동면</t>
        </is>
      </c>
      <c r="G5187" s="3" t="inlineStr">
        <is>
          <t>예양리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2022</v>
      </c>
      <c r="B5188" s="4" t="n">
        <v>66096</v>
      </c>
      <c r="C5188" s="4" t="n">
        <v>9136.5</v>
      </c>
      <c r="D5188" s="4" t="n">
        <v>2763.79125</v>
      </c>
      <c r="E5188" s="5" t="n">
        <v>23.9</v>
      </c>
      <c r="F5188" s="3" t="inlineStr">
        <is>
          <t>연동면</t>
        </is>
      </c>
      <c r="G5188" s="3" t="inlineStr">
        <is>
          <t>예양리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연동면</t>
        </is>
      </c>
    </row>
    <row r="5189">
      <c r="A5189" s="3" t="n">
        <v>2022</v>
      </c>
      <c r="B5189" s="4" t="n">
        <v>12046</v>
      </c>
      <c r="C5189" s="4" t="n">
        <v>1713.8</v>
      </c>
      <c r="D5189" s="4" t="n">
        <v>518.4245</v>
      </c>
      <c r="E5189" s="5" t="n">
        <v>23.2</v>
      </c>
      <c r="F5189" s="3" t="inlineStr">
        <is>
          <t>연동면</t>
        </is>
      </c>
      <c r="G5189" s="3" t="inlineStr">
        <is>
          <t>예양리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연동면</t>
        </is>
      </c>
    </row>
    <row r="5190">
      <c r="A5190" s="3" t="n">
        <v>2022</v>
      </c>
      <c r="B5190" s="4" t="n">
        <v>11752</v>
      </c>
      <c r="C5190" s="4" t="n">
        <v>221</v>
      </c>
      <c r="D5190" s="4" t="n">
        <v>66.85249999999999</v>
      </c>
      <c r="E5190" s="5" t="n">
        <v>175.8</v>
      </c>
      <c r="F5190" s="3" t="inlineStr">
        <is>
          <t>장군면</t>
        </is>
      </c>
      <c r="G5190" s="3" t="inlineStr">
        <is>
          <t>금암리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장군면</t>
        </is>
      </c>
    </row>
    <row r="5191">
      <c r="A5191" s="3" t="n">
        <v>2022</v>
      </c>
      <c r="B5191" s="4" t="n">
        <v>50000</v>
      </c>
      <c r="C5191" s="4" t="n">
        <v>265.6</v>
      </c>
      <c r="D5191" s="4" t="n">
        <v>80.34400000000001</v>
      </c>
      <c r="E5191" s="5" t="n">
        <v>622.3</v>
      </c>
      <c r="F5191" s="3" t="inlineStr">
        <is>
          <t>조치원읍</t>
        </is>
      </c>
      <c r="G5191" s="3" t="inlineStr">
        <is>
          <t>침산리</t>
        </is>
      </c>
      <c r="H5191" s="3" t="inlineStr">
        <is>
          <t>제2종일반주거지역</t>
        </is>
      </c>
      <c r="I5191" s="3" t="inlineStr">
        <is>
          <t>대</t>
        </is>
      </c>
      <c r="J5191" s="3" t="inlineStr">
        <is>
          <t>조치원읍</t>
        </is>
      </c>
    </row>
    <row r="5192">
      <c r="A5192" s="3" t="n">
        <v>2022</v>
      </c>
      <c r="B5192" s="4" t="n">
        <v>16000</v>
      </c>
      <c r="C5192" s="4" t="n">
        <v>6612</v>
      </c>
      <c r="D5192" s="4" t="n">
        <v>2000.13</v>
      </c>
      <c r="E5192" s="5" t="n">
        <v>8</v>
      </c>
      <c r="F5192" s="3" t="inlineStr">
        <is>
          <t>연서면</t>
        </is>
      </c>
      <c r="G5192" s="3" t="inlineStr">
        <is>
          <t>쌍류리</t>
        </is>
      </c>
      <c r="H5192" s="3" t="inlineStr">
        <is>
          <t>농림지역</t>
        </is>
      </c>
      <c r="I5192" s="3" t="inlineStr">
        <is>
          <t>임야</t>
        </is>
      </c>
      <c r="J5192" s="3" t="inlineStr">
        <is>
          <t>연서면</t>
        </is>
      </c>
    </row>
    <row r="5193">
      <c r="A5193" s="3" t="n">
        <v>2022</v>
      </c>
      <c r="B5193" s="4" t="n">
        <v>20000</v>
      </c>
      <c r="C5193" s="4" t="n">
        <v>8265</v>
      </c>
      <c r="D5193" s="4" t="n">
        <v>2500.1625</v>
      </c>
      <c r="E5193" s="5" t="n">
        <v>8</v>
      </c>
      <c r="F5193" s="3" t="inlineStr">
        <is>
          <t>연서면</t>
        </is>
      </c>
      <c r="G5193" s="3" t="inlineStr">
        <is>
          <t>쌍류리</t>
        </is>
      </c>
      <c r="H5193" s="3" t="inlineStr">
        <is>
          <t>농림지역</t>
        </is>
      </c>
      <c r="I5193" s="3" t="inlineStr">
        <is>
          <t>임야</t>
        </is>
      </c>
      <c r="J5193" s="3" t="inlineStr">
        <is>
          <t>연서면</t>
        </is>
      </c>
    </row>
    <row r="5194">
      <c r="A5194" s="3" t="n">
        <v>2022</v>
      </c>
      <c r="B5194" s="4" t="n">
        <v>19080</v>
      </c>
      <c r="C5194" s="4" t="n">
        <v>526</v>
      </c>
      <c r="D5194" s="4" t="n">
        <v>159.115</v>
      </c>
      <c r="E5194" s="5" t="n">
        <v>119.9</v>
      </c>
      <c r="F5194" s="3" t="inlineStr">
        <is>
          <t>연서면</t>
        </is>
      </c>
      <c r="G5194" s="3" t="inlineStr">
        <is>
          <t>쌍류리</t>
        </is>
      </c>
      <c r="H5194" s="3" t="inlineStr">
        <is>
          <t>생산관리지역</t>
        </is>
      </c>
      <c r="I5194" s="3" t="inlineStr">
        <is>
          <t>과수원</t>
        </is>
      </c>
      <c r="J5194" s="3" t="inlineStr">
        <is>
          <t>연서면</t>
        </is>
      </c>
    </row>
    <row r="5195">
      <c r="A5195" s="3" t="n">
        <v>2022</v>
      </c>
      <c r="B5195" s="4" t="n">
        <v>17630</v>
      </c>
      <c r="C5195" s="4" t="n">
        <v>486</v>
      </c>
      <c r="D5195" s="4" t="n">
        <v>147.015</v>
      </c>
      <c r="E5195" s="5" t="n">
        <v>119.9</v>
      </c>
      <c r="F5195" s="3" t="inlineStr">
        <is>
          <t>연서면</t>
        </is>
      </c>
      <c r="G5195" s="3" t="inlineStr">
        <is>
          <t>쌍류리</t>
        </is>
      </c>
      <c r="H5195" s="3" t="inlineStr">
        <is>
          <t>생산관리지역</t>
        </is>
      </c>
      <c r="I5195" s="3" t="inlineStr">
        <is>
          <t>과수원</t>
        </is>
      </c>
      <c r="J5195" s="3" t="inlineStr">
        <is>
          <t>연서면</t>
        </is>
      </c>
    </row>
    <row r="5196">
      <c r="A5196" s="3" t="n">
        <v>2022</v>
      </c>
      <c r="B5196" s="4" t="n">
        <v>22330</v>
      </c>
      <c r="C5196" s="4" t="n">
        <v>615</v>
      </c>
      <c r="D5196" s="4" t="n">
        <v>186.0375</v>
      </c>
      <c r="E5196" s="5" t="n">
        <v>120</v>
      </c>
      <c r="F5196" s="3" t="inlineStr">
        <is>
          <t>연서면</t>
        </is>
      </c>
      <c r="G5196" s="3" t="inlineStr">
        <is>
          <t>쌍류리</t>
        </is>
      </c>
      <c r="H5196" s="3" t="inlineStr">
        <is>
          <t>생산관리지역</t>
        </is>
      </c>
      <c r="I5196" s="3" t="inlineStr">
        <is>
          <t>과수원</t>
        </is>
      </c>
      <c r="J5196" s="3" t="inlineStr">
        <is>
          <t>연서면</t>
        </is>
      </c>
    </row>
    <row r="5197">
      <c r="A5197" s="3" t="n">
        <v>2022</v>
      </c>
      <c r="B5197" s="4" t="n">
        <v>583920</v>
      </c>
      <c r="C5197" s="4" t="n">
        <v>4709</v>
      </c>
      <c r="D5197" s="4" t="n">
        <v>1424.4725</v>
      </c>
      <c r="E5197" s="5" t="n">
        <v>409.9</v>
      </c>
      <c r="F5197" s="3" t="inlineStr">
        <is>
          <t>조치원읍</t>
        </is>
      </c>
      <c r="G5197" s="3" t="inlineStr">
        <is>
          <t>봉산리</t>
        </is>
      </c>
      <c r="H5197" s="3" t="inlineStr">
        <is>
          <t>준주거지역</t>
        </is>
      </c>
      <c r="I5197" s="3" t="inlineStr">
        <is>
          <t>대</t>
        </is>
      </c>
      <c r="J5197" s="3" t="inlineStr">
        <is>
          <t>조치원읍</t>
        </is>
      </c>
    </row>
    <row r="5198">
      <c r="A5198" s="3" t="n">
        <v>2026</v>
      </c>
      <c r="B5198" s="4" t="n">
        <v>38250</v>
      </c>
      <c r="C5198" s="4" t="n">
        <v>294.2</v>
      </c>
      <c r="D5198" s="4" t="n">
        <v>88.99549999999999</v>
      </c>
      <c r="E5198" s="5" t="n">
        <v>429.8</v>
      </c>
      <c r="F5198" s="3" t="inlineStr">
        <is>
          <t>한솔동</t>
        </is>
      </c>
      <c r="G5198" s="3" t="inlineStr"/>
      <c r="H5198" s="3" t="inlineStr">
        <is>
          <t>제1종전용주거지역</t>
        </is>
      </c>
      <c r="I5198" s="3" t="inlineStr">
        <is>
          <t>대</t>
        </is>
      </c>
      <c r="J5198" s="3" t="inlineStr">
        <is>
          <t>한솔동</t>
        </is>
      </c>
    </row>
    <row r="5199">
      <c r="A5199" s="3" t="n">
        <v>2026</v>
      </c>
      <c r="B5199" s="4" t="n">
        <v>49500</v>
      </c>
      <c r="C5199" s="4" t="n">
        <v>319.9</v>
      </c>
      <c r="D5199" s="4" t="n">
        <v>96.76974999999999</v>
      </c>
      <c r="E5199" s="5" t="n">
        <v>511.5</v>
      </c>
      <c r="F5199" s="3" t="inlineStr">
        <is>
          <t>한솔동</t>
        </is>
      </c>
      <c r="G5199" s="3" t="inlineStr"/>
      <c r="H5199" s="3" t="inlineStr">
        <is>
          <t>제1종전용주거지역</t>
        </is>
      </c>
      <c r="I5199" s="3" t="inlineStr">
        <is>
          <t>대</t>
        </is>
      </c>
      <c r="J5199" s="3" t="inlineStr">
        <is>
          <t>한솔동</t>
        </is>
      </c>
    </row>
    <row r="5200">
      <c r="A5200" s="3" t="n">
        <v>2026</v>
      </c>
      <c r="B5200" s="4" t="n">
        <v>9000</v>
      </c>
      <c r="C5200" s="4" t="n">
        <v>1660</v>
      </c>
      <c r="D5200" s="4" t="n">
        <v>502.15</v>
      </c>
      <c r="E5200" s="5" t="n">
        <v>17.9</v>
      </c>
      <c r="F5200" s="3" t="inlineStr">
        <is>
          <t>전의면</t>
        </is>
      </c>
      <c r="G5200" s="3" t="inlineStr">
        <is>
          <t>신방리</t>
        </is>
      </c>
      <c r="H5200" s="3" t="inlineStr">
        <is>
          <t>계획관리지역</t>
        </is>
      </c>
      <c r="I5200" s="3" t="inlineStr">
        <is>
          <t>전</t>
        </is>
      </c>
      <c r="J5200" s="3" t="inlineStr">
        <is>
          <t>전의면</t>
        </is>
      </c>
    </row>
    <row r="5201">
      <c r="A5201" s="3" t="n">
        <v>2026</v>
      </c>
      <c r="B5201" s="4" t="n">
        <v>39000</v>
      </c>
      <c r="C5201" s="4" t="n">
        <v>4959</v>
      </c>
      <c r="D5201" s="4" t="n">
        <v>1500.0975</v>
      </c>
      <c r="E5201" s="5" t="n">
        <v>26</v>
      </c>
      <c r="F5201" s="3" t="inlineStr">
        <is>
          <t>전의면</t>
        </is>
      </c>
      <c r="G5201" s="3" t="inlineStr">
        <is>
          <t>금사리</t>
        </is>
      </c>
      <c r="H5201" s="3" t="inlineStr">
        <is>
          <t>생산관리지역</t>
        </is>
      </c>
      <c r="I5201" s="3" t="inlineStr">
        <is>
          <t>답</t>
        </is>
      </c>
      <c r="J5201" s="3" t="inlineStr">
        <is>
          <t>전의면</t>
        </is>
      </c>
    </row>
    <row r="5202">
      <c r="A5202" s="3" t="n">
        <v>2026</v>
      </c>
      <c r="B5202" s="4" t="n">
        <v>894</v>
      </c>
      <c r="C5202" s="4" t="n">
        <v>985</v>
      </c>
      <c r="D5202" s="4" t="n">
        <v>297.9625</v>
      </c>
      <c r="E5202" s="5" t="n">
        <v>3</v>
      </c>
      <c r="F5202" s="3" t="inlineStr">
        <is>
          <t>전의면</t>
        </is>
      </c>
      <c r="G5202" s="3" t="inlineStr">
        <is>
          <t>다방리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전의면</t>
        </is>
      </c>
    </row>
    <row r="5203">
      <c r="A5203" s="3" t="n">
        <v>2026</v>
      </c>
      <c r="B5203" s="4" t="n">
        <v>252</v>
      </c>
      <c r="C5203" s="4" t="n">
        <v>277</v>
      </c>
      <c r="D5203" s="4" t="n">
        <v>83.7925</v>
      </c>
      <c r="E5203" s="5" t="n">
        <v>3</v>
      </c>
      <c r="F5203" s="3" t="inlineStr">
        <is>
          <t>전의면</t>
        </is>
      </c>
      <c r="G5203" s="3" t="inlineStr">
        <is>
          <t>다방리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전의면</t>
        </is>
      </c>
    </row>
    <row r="5204">
      <c r="A5204" s="3" t="n">
        <v>2023</v>
      </c>
      <c r="B5204" s="4" t="n">
        <v>52500</v>
      </c>
      <c r="C5204" s="4" t="n">
        <v>335</v>
      </c>
      <c r="D5204" s="4" t="n">
        <v>101.3375</v>
      </c>
      <c r="E5204" s="5" t="n">
        <v>518.1</v>
      </c>
      <c r="F5204" s="3" t="inlineStr">
        <is>
          <t>고운동</t>
        </is>
      </c>
      <c r="G5204" s="3" t="inlineStr"/>
      <c r="H5204" s="3" t="inlineStr">
        <is>
          <t>제1종전용주거지역</t>
        </is>
      </c>
      <c r="I5204" s="3" t="inlineStr">
        <is>
          <t>대</t>
        </is>
      </c>
      <c r="J5204" s="3" t="inlineStr">
        <is>
          <t>고운동</t>
        </is>
      </c>
    </row>
    <row r="5205">
      <c r="A5205" s="3" t="n">
        <v>2023</v>
      </c>
      <c r="B5205" s="4" t="n">
        <v>2500</v>
      </c>
      <c r="C5205" s="4" t="n">
        <v>8</v>
      </c>
      <c r="D5205" s="4" t="n">
        <v>2.42</v>
      </c>
      <c r="E5205" s="5" t="n">
        <v>1033.1</v>
      </c>
      <c r="F5205" s="3" t="inlineStr">
        <is>
          <t>조치원읍</t>
        </is>
      </c>
      <c r="G5205" s="3" t="inlineStr">
        <is>
          <t>신안리</t>
        </is>
      </c>
      <c r="H5205" s="3" t="inlineStr">
        <is>
          <t>제2종일반주거지역</t>
        </is>
      </c>
      <c r="I5205" s="3" t="inlineStr">
        <is>
          <t>대</t>
        </is>
      </c>
      <c r="J5205" s="3" t="inlineStr">
        <is>
          <t>조치원읍</t>
        </is>
      </c>
    </row>
    <row r="5206">
      <c r="A5206" s="3" t="n">
        <v>2023</v>
      </c>
      <c r="B5206" s="4" t="n">
        <v>2500</v>
      </c>
      <c r="C5206" s="4" t="n">
        <v>9</v>
      </c>
      <c r="D5206" s="4" t="n">
        <v>2.7225</v>
      </c>
      <c r="E5206" s="5" t="n">
        <v>918.3</v>
      </c>
      <c r="F5206" s="3" t="inlineStr">
        <is>
          <t>조치원읍</t>
        </is>
      </c>
      <c r="G5206" s="3" t="inlineStr">
        <is>
          <t>신안리</t>
        </is>
      </c>
      <c r="H5206" s="3" t="inlineStr">
        <is>
          <t>제2종일반주거지역</t>
        </is>
      </c>
      <c r="I5206" s="3" t="inlineStr">
        <is>
          <t>도로</t>
        </is>
      </c>
      <c r="J5206" s="3" t="inlineStr">
        <is>
          <t>조치원읍</t>
        </is>
      </c>
    </row>
    <row r="5207">
      <c r="A5207" s="3" t="n">
        <v>2023</v>
      </c>
      <c r="B5207" s="4" t="n">
        <v>11624</v>
      </c>
      <c r="C5207" s="4" t="n">
        <v>5724</v>
      </c>
      <c r="D5207" s="4" t="n">
        <v>1731.51</v>
      </c>
      <c r="E5207" s="5" t="n">
        <v>6.7</v>
      </c>
      <c r="F5207" s="3" t="inlineStr">
        <is>
          <t>전의면</t>
        </is>
      </c>
      <c r="G5207" s="3" t="inlineStr">
        <is>
          <t>양곡리</t>
        </is>
      </c>
      <c r="H5207" s="3" t="inlineStr">
        <is>
          <t>보전관리지역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5676</v>
      </c>
      <c r="C5208" s="4" t="n">
        <v>2795</v>
      </c>
      <c r="D5208" s="4" t="n">
        <v>845.4875</v>
      </c>
      <c r="E5208" s="5" t="n">
        <v>6.7</v>
      </c>
      <c r="F5208" s="3" t="inlineStr">
        <is>
          <t>전의면</t>
        </is>
      </c>
      <c r="G5208" s="3" t="inlineStr">
        <is>
          <t>양곡리</t>
        </is>
      </c>
      <c r="H5208" s="3" t="inlineStr">
        <is>
          <t>농림지역</t>
        </is>
      </c>
      <c r="I5208" s="3" t="inlineStr">
        <is>
          <t>임야</t>
        </is>
      </c>
      <c r="J5208" s="3" t="inlineStr">
        <is>
          <t>전의면</t>
        </is>
      </c>
    </row>
    <row r="5209">
      <c r="A5209" s="3" t="n">
        <v>2023</v>
      </c>
      <c r="B5209" s="4" t="n">
        <v>11624</v>
      </c>
      <c r="C5209" s="4" t="n">
        <v>5724</v>
      </c>
      <c r="D5209" s="4" t="n">
        <v>1731.51</v>
      </c>
      <c r="E5209" s="5" t="n">
        <v>6.7</v>
      </c>
      <c r="F5209" s="3" t="inlineStr">
        <is>
          <t>전의면</t>
        </is>
      </c>
      <c r="G5209" s="3" t="inlineStr">
        <is>
          <t>양곡리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전의면</t>
        </is>
      </c>
    </row>
    <row r="5210">
      <c r="A5210" s="3" t="n">
        <v>2023</v>
      </c>
      <c r="B5210" s="4" t="n">
        <v>5676</v>
      </c>
      <c r="C5210" s="4" t="n">
        <v>2795</v>
      </c>
      <c r="D5210" s="4" t="n">
        <v>845.4875</v>
      </c>
      <c r="E5210" s="5" t="n">
        <v>6.7</v>
      </c>
      <c r="F5210" s="3" t="inlineStr">
        <is>
          <t>전의면</t>
        </is>
      </c>
      <c r="G5210" s="3" t="inlineStr">
        <is>
          <t>양곡리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전의면</t>
        </is>
      </c>
    </row>
    <row r="5211">
      <c r="A5211" s="3" t="n">
        <v>2023</v>
      </c>
      <c r="B5211" s="4" t="n">
        <v>750900</v>
      </c>
      <c r="C5211" s="4" t="n">
        <v>12438.3</v>
      </c>
      <c r="D5211" s="4" t="n">
        <v>3762.58575</v>
      </c>
      <c r="E5211" s="5" t="n">
        <v>199.6</v>
      </c>
      <c r="F5211" s="3" t="inlineStr">
        <is>
          <t>전동면</t>
        </is>
      </c>
      <c r="G5211" s="3" t="inlineStr">
        <is>
          <t>심중리</t>
        </is>
      </c>
      <c r="H5211" s="3" t="inlineStr">
        <is>
          <t>일반공업지역</t>
        </is>
      </c>
      <c r="I5211" s="3" t="inlineStr">
        <is>
          <t>공장용지</t>
        </is>
      </c>
      <c r="J5211" s="3" t="inlineStr">
        <is>
          <t>전동면</t>
        </is>
      </c>
    </row>
    <row r="5212">
      <c r="A5212" s="3" t="n">
        <v>2023</v>
      </c>
      <c r="B5212" s="4" t="n">
        <v>126900</v>
      </c>
      <c r="C5212" s="4" t="n">
        <v>1556</v>
      </c>
      <c r="D5212" s="4" t="n">
        <v>470.69</v>
      </c>
      <c r="E5212" s="5" t="n">
        <v>269.6</v>
      </c>
      <c r="F5212" s="3" t="inlineStr">
        <is>
          <t>연서면</t>
        </is>
      </c>
      <c r="G5212" s="3" t="inlineStr">
        <is>
          <t>월하리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연서면</t>
        </is>
      </c>
    </row>
    <row r="5213">
      <c r="A5213" s="3" t="n">
        <v>2023</v>
      </c>
      <c r="B5213" s="4" t="n">
        <v>69000</v>
      </c>
      <c r="C5213" s="4" t="n">
        <v>11948</v>
      </c>
      <c r="D5213" s="4" t="n">
        <v>3614.27</v>
      </c>
      <c r="E5213" s="5" t="n">
        <v>19.1</v>
      </c>
      <c r="F5213" s="3" t="inlineStr">
        <is>
          <t>전동면</t>
        </is>
      </c>
      <c r="G5213" s="3" t="inlineStr">
        <is>
          <t>보덕리</t>
        </is>
      </c>
      <c r="H5213" s="3" t="inlineStr">
        <is>
          <t>농림지역</t>
        </is>
      </c>
      <c r="I5213" s="3" t="inlineStr">
        <is>
          <t>임야</t>
        </is>
      </c>
      <c r="J5213" s="3" t="inlineStr">
        <is>
          <t>전동면</t>
        </is>
      </c>
    </row>
    <row r="5214">
      <c r="A5214" s="3" t="n">
        <v>2023</v>
      </c>
      <c r="B5214" s="4" t="n">
        <v>9000</v>
      </c>
      <c r="C5214" s="4" t="n">
        <v>77</v>
      </c>
      <c r="D5214" s="4" t="n">
        <v>23.2925</v>
      </c>
      <c r="E5214" s="5" t="n">
        <v>386.4</v>
      </c>
      <c r="F5214" s="3" t="inlineStr">
        <is>
          <t>장군면</t>
        </is>
      </c>
      <c r="G5214" s="3" t="inlineStr">
        <is>
          <t>금암리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장군면</t>
        </is>
      </c>
    </row>
    <row r="5215">
      <c r="A5215" s="3" t="n">
        <v>2023</v>
      </c>
      <c r="B5215" s="4" t="n">
        <v>65600</v>
      </c>
      <c r="C5215" s="4" t="n">
        <v>1356</v>
      </c>
      <c r="D5215" s="4" t="n">
        <v>410.19</v>
      </c>
      <c r="E5215" s="5" t="n">
        <v>159.9</v>
      </c>
      <c r="F5215" s="3" t="inlineStr">
        <is>
          <t>전의면</t>
        </is>
      </c>
      <c r="G5215" s="3" t="inlineStr">
        <is>
          <t>영당리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전의면</t>
        </is>
      </c>
    </row>
    <row r="5216">
      <c r="A5216" s="3" t="n">
        <v>2023</v>
      </c>
      <c r="B5216" s="4" t="n">
        <v>13246</v>
      </c>
      <c r="C5216" s="4" t="n">
        <v>370</v>
      </c>
      <c r="D5216" s="4" t="n">
        <v>111.925</v>
      </c>
      <c r="E5216" s="5" t="n">
        <v>118.3</v>
      </c>
      <c r="F5216" s="3" t="inlineStr">
        <is>
          <t>연서면</t>
        </is>
      </c>
      <c r="G5216" s="3" t="inlineStr">
        <is>
          <t>쌍전리</t>
        </is>
      </c>
      <c r="H5216" s="3" t="inlineStr">
        <is>
          <t>계획관리지역</t>
        </is>
      </c>
      <c r="I5216" s="3" t="inlineStr">
        <is>
          <t>구거</t>
        </is>
      </c>
      <c r="J5216" s="3" t="inlineStr">
        <is>
          <t>연서면</t>
        </is>
      </c>
    </row>
    <row r="5217">
      <c r="A5217" s="3" t="n">
        <v>2023</v>
      </c>
      <c r="B5217" s="4" t="n">
        <v>7700</v>
      </c>
      <c r="C5217" s="4" t="n">
        <v>2030</v>
      </c>
      <c r="D5217" s="4" t="n">
        <v>614.0749999999999</v>
      </c>
      <c r="E5217" s="5" t="n">
        <v>12.5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2023</v>
      </c>
      <c r="B5218" s="4" t="n">
        <v>44100</v>
      </c>
      <c r="C5218" s="4" t="n">
        <v>418</v>
      </c>
      <c r="D5218" s="4" t="n">
        <v>126.445</v>
      </c>
      <c r="E5218" s="5" t="n">
        <v>348.8</v>
      </c>
      <c r="F5218" s="3" t="inlineStr">
        <is>
          <t>조치원읍</t>
        </is>
      </c>
      <c r="G5218" s="3" t="inlineStr">
        <is>
          <t>죽림리</t>
        </is>
      </c>
      <c r="H5218" s="3" t="inlineStr">
        <is>
          <t>제2종일반주거지역</t>
        </is>
      </c>
      <c r="I5218" s="3" t="inlineStr">
        <is>
          <t>과수원</t>
        </is>
      </c>
      <c r="J5218" s="3" t="inlineStr">
        <is>
          <t>조치원읍</t>
        </is>
      </c>
    </row>
    <row r="5219">
      <c r="A5219" s="3" t="n">
        <v>2023</v>
      </c>
      <c r="B5219" s="4" t="n">
        <v>30000</v>
      </c>
      <c r="C5219" s="4" t="n">
        <v>2713</v>
      </c>
      <c r="D5219" s="4" t="n">
        <v>820.6825</v>
      </c>
      <c r="E5219" s="5" t="n">
        <v>36.6</v>
      </c>
      <c r="F5219" s="3" t="inlineStr">
        <is>
          <t>장군면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장군면</t>
        </is>
      </c>
    </row>
    <row r="5220">
      <c r="A5220" s="3" t="n">
        <v>2023</v>
      </c>
      <c r="B5220" s="4" t="n">
        <v>33150</v>
      </c>
      <c r="C5220" s="4" t="n">
        <v>732</v>
      </c>
      <c r="D5220" s="4" t="n">
        <v>221.43</v>
      </c>
      <c r="E5220" s="5" t="n">
        <v>149.7</v>
      </c>
      <c r="F5220" s="3" t="inlineStr">
        <is>
          <t>장군면</t>
        </is>
      </c>
      <c r="G5220" s="3" t="inlineStr">
        <is>
          <t>봉안리</t>
        </is>
      </c>
      <c r="H5220" s="3" t="inlineStr">
        <is>
          <t>생산관리지역</t>
        </is>
      </c>
      <c r="I5220" s="3" t="inlineStr">
        <is>
          <t>임야</t>
        </is>
      </c>
      <c r="J5220" s="3" t="inlineStr">
        <is>
          <t>장군면</t>
        </is>
      </c>
    </row>
    <row r="5221">
      <c r="A5221" s="3" t="n">
        <v>2022</v>
      </c>
      <c r="B5221" s="4" t="n">
        <v>558540</v>
      </c>
      <c r="C5221" s="4" t="n">
        <v>4597</v>
      </c>
      <c r="D5221" s="4" t="n">
        <v>1390.5925</v>
      </c>
      <c r="E5221" s="5" t="n">
        <v>401.7</v>
      </c>
      <c r="F5221" s="3" t="inlineStr">
        <is>
          <t>조치원읍</t>
        </is>
      </c>
      <c r="G5221" s="3" t="inlineStr">
        <is>
          <t>봉산리</t>
        </is>
      </c>
      <c r="H5221" s="3" t="inlineStr">
        <is>
          <t>준주거지역</t>
        </is>
      </c>
      <c r="I5221" s="3" t="inlineStr">
        <is>
          <t>대</t>
        </is>
      </c>
      <c r="J5221" s="3" t="inlineStr">
        <is>
          <t>조치원읍</t>
        </is>
      </c>
    </row>
    <row r="5222">
      <c r="A5222" s="3" t="n">
        <v>2022</v>
      </c>
      <c r="B5222" s="4" t="n">
        <v>34560</v>
      </c>
      <c r="C5222" s="4" t="n">
        <v>952</v>
      </c>
      <c r="D5222" s="4" t="n">
        <v>287.98</v>
      </c>
      <c r="E5222" s="5" t="n">
        <v>120</v>
      </c>
      <c r="F5222" s="3" t="inlineStr">
        <is>
          <t>연서면</t>
        </is>
      </c>
      <c r="G5222" s="3" t="inlineStr">
        <is>
          <t>쌍류리</t>
        </is>
      </c>
      <c r="H5222" s="3" t="inlineStr">
        <is>
          <t>생산관리지역</t>
        </is>
      </c>
      <c r="I5222" s="3" t="inlineStr">
        <is>
          <t>과수원</t>
        </is>
      </c>
      <c r="J5222" s="3" t="inlineStr">
        <is>
          <t>연서면</t>
        </is>
      </c>
    </row>
    <row r="5223">
      <c r="A5223" s="3" t="n">
        <v>2022</v>
      </c>
      <c r="B5223" s="4" t="n">
        <v>18010</v>
      </c>
      <c r="C5223" s="4" t="n">
        <v>496</v>
      </c>
      <c r="D5223" s="4" t="n">
        <v>150.04</v>
      </c>
      <c r="E5223" s="5" t="n">
        <v>120</v>
      </c>
      <c r="F5223" s="3" t="inlineStr">
        <is>
          <t>연서면</t>
        </is>
      </c>
      <c r="G5223" s="3" t="inlineStr">
        <is>
          <t>쌍류리</t>
        </is>
      </c>
      <c r="H5223" s="3" t="inlineStr">
        <is>
          <t>생산관리지역</t>
        </is>
      </c>
      <c r="I5223" s="3" t="inlineStr">
        <is>
          <t>과수원</t>
        </is>
      </c>
      <c r="J5223" s="3" t="inlineStr">
        <is>
          <t>연서면</t>
        </is>
      </c>
    </row>
    <row r="5224">
      <c r="A5224" s="3" t="n">
        <v>2022</v>
      </c>
      <c r="B5224" s="4" t="n">
        <v>20150</v>
      </c>
      <c r="C5224" s="4" t="n">
        <v>555</v>
      </c>
      <c r="D5224" s="4" t="n">
        <v>167.8875</v>
      </c>
      <c r="E5224" s="5" t="n">
        <v>120</v>
      </c>
      <c r="F5224" s="3" t="inlineStr">
        <is>
          <t>연서면</t>
        </is>
      </c>
      <c r="G5224" s="3" t="inlineStr">
        <is>
          <t>쌍류리</t>
        </is>
      </c>
      <c r="H5224" s="3" t="inlineStr">
        <is>
          <t>생산관리지역</t>
        </is>
      </c>
      <c r="I5224" s="3" t="inlineStr">
        <is>
          <t>과수원</t>
        </is>
      </c>
      <c r="J5224" s="3" t="inlineStr">
        <is>
          <t>연서면</t>
        </is>
      </c>
    </row>
    <row r="5225">
      <c r="A5225" s="3" t="n">
        <v>2022</v>
      </c>
      <c r="B5225" s="4" t="n">
        <v>1650</v>
      </c>
      <c r="C5225" s="4" t="n">
        <v>44</v>
      </c>
      <c r="D5225" s="4" t="n">
        <v>13.31</v>
      </c>
      <c r="E5225" s="5" t="n">
        <v>124</v>
      </c>
      <c r="F5225" s="3" t="inlineStr">
        <is>
          <t>부강면</t>
        </is>
      </c>
      <c r="G5225" s="3" t="inlineStr">
        <is>
          <t>문곡리</t>
        </is>
      </c>
      <c r="H5225" s="3" t="inlineStr">
        <is>
          <t>계획관리지역</t>
        </is>
      </c>
      <c r="I5225" s="3" t="inlineStr">
        <is>
          <t>대</t>
        </is>
      </c>
      <c r="J5225" s="3" t="inlineStr">
        <is>
          <t>부강면</t>
        </is>
      </c>
    </row>
    <row r="5226">
      <c r="A5226" s="3" t="n">
        <v>2022</v>
      </c>
      <c r="B5226" s="4" t="n">
        <v>1350</v>
      </c>
      <c r="C5226" s="4" t="n">
        <v>30</v>
      </c>
      <c r="D5226" s="4" t="n">
        <v>9.074999999999999</v>
      </c>
      <c r="E5226" s="5" t="n">
        <v>148.8</v>
      </c>
      <c r="F5226" s="3" t="inlineStr">
        <is>
          <t>부강면</t>
        </is>
      </c>
      <c r="G5226" s="3" t="inlineStr">
        <is>
          <t>문곡리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부강면</t>
        </is>
      </c>
    </row>
    <row r="5227">
      <c r="A5227" s="3" t="n">
        <v>2022</v>
      </c>
      <c r="B5227" s="4" t="n">
        <v>29000</v>
      </c>
      <c r="C5227" s="4" t="n">
        <v>432</v>
      </c>
      <c r="D5227" s="4" t="n">
        <v>130.68</v>
      </c>
      <c r="E5227" s="5" t="n">
        <v>221.9</v>
      </c>
      <c r="F5227" s="3" t="inlineStr">
        <is>
          <t>연서면</t>
        </is>
      </c>
      <c r="G5227" s="3" t="inlineStr">
        <is>
          <t>신대리</t>
        </is>
      </c>
      <c r="H5227" s="3" t="inlineStr">
        <is>
          <t>계획관리지역</t>
        </is>
      </c>
      <c r="I5227" s="3" t="inlineStr">
        <is>
          <t>전</t>
        </is>
      </c>
      <c r="J5227" s="3" t="inlineStr">
        <is>
          <t>연서면</t>
        </is>
      </c>
    </row>
    <row r="5228">
      <c r="A5228" s="3" t="n">
        <v>2022</v>
      </c>
      <c r="B5228" s="4" t="n">
        <v>33541</v>
      </c>
      <c r="C5228" s="4" t="n">
        <v>6524</v>
      </c>
      <c r="D5228" s="4" t="n">
        <v>1973.51</v>
      </c>
      <c r="E5228" s="5" t="n">
        <v>17</v>
      </c>
      <c r="F5228" s="3" t="inlineStr">
        <is>
          <t>전동면</t>
        </is>
      </c>
      <c r="G5228" s="3" t="inlineStr">
        <is>
          <t>심중리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전동면</t>
        </is>
      </c>
    </row>
    <row r="5229">
      <c r="A5229" s="3" t="n">
        <v>2022</v>
      </c>
      <c r="B5229" s="4" t="n">
        <v>86459</v>
      </c>
      <c r="C5229" s="4" t="n">
        <v>16759</v>
      </c>
      <c r="D5229" s="4" t="n">
        <v>5069.5975</v>
      </c>
      <c r="E5229" s="5" t="n">
        <v>17.1</v>
      </c>
      <c r="F5229" s="3" t="inlineStr">
        <is>
          <t>전동면</t>
        </is>
      </c>
      <c r="G5229" s="3" t="inlineStr">
        <is>
          <t>심중리</t>
        </is>
      </c>
      <c r="H5229" s="3" t="inlineStr">
        <is>
          <t>계획관리지역</t>
        </is>
      </c>
      <c r="I5229" s="3" t="inlineStr">
        <is>
          <t>임야</t>
        </is>
      </c>
      <c r="J5229" s="3" t="inlineStr">
        <is>
          <t>전동면</t>
        </is>
      </c>
    </row>
    <row r="5230">
      <c r="A5230" s="3" t="n">
        <v>2022</v>
      </c>
      <c r="B5230" s="4" t="n">
        <v>450</v>
      </c>
      <c r="C5230" s="4" t="n">
        <v>5</v>
      </c>
      <c r="D5230" s="4" t="n">
        <v>1.5125</v>
      </c>
      <c r="E5230" s="5" t="n">
        <v>297.5</v>
      </c>
      <c r="F5230" s="3" t="inlineStr">
        <is>
          <t>조치원읍</t>
        </is>
      </c>
      <c r="G5230" s="3" t="inlineStr">
        <is>
          <t>남리</t>
        </is>
      </c>
      <c r="H5230" s="3" t="inlineStr">
        <is>
          <t>제2종일반주거지역</t>
        </is>
      </c>
      <c r="I5230" s="3" t="inlineStr">
        <is>
          <t>대</t>
        </is>
      </c>
      <c r="J5230" s="3" t="inlineStr">
        <is>
          <t>조치원읍</t>
        </is>
      </c>
    </row>
    <row r="5231">
      <c r="A5231" s="3" t="n">
        <v>2022</v>
      </c>
      <c r="B5231" s="4" t="n">
        <v>21447</v>
      </c>
      <c r="C5231" s="4" t="n">
        <v>71</v>
      </c>
      <c r="D5231" s="4" t="n">
        <v>21.4775</v>
      </c>
      <c r="E5231" s="5" t="n">
        <v>998.6</v>
      </c>
      <c r="F5231" s="3" t="inlineStr">
        <is>
          <t>연서면</t>
        </is>
      </c>
      <c r="G5231" s="3" t="inlineStr">
        <is>
          <t>봉암리</t>
        </is>
      </c>
      <c r="H5231" s="3" t="inlineStr">
        <is>
          <t>계획관리지역</t>
        </is>
      </c>
      <c r="I5231" s="3" t="inlineStr">
        <is>
          <t>답</t>
        </is>
      </c>
      <c r="J5231" s="3" t="inlineStr">
        <is>
          <t>연서면</t>
        </is>
      </c>
    </row>
    <row r="5232">
      <c r="A5232" s="3" t="n">
        <v>2022</v>
      </c>
      <c r="B5232" s="4" t="n">
        <v>17820</v>
      </c>
      <c r="C5232" s="4" t="n">
        <v>59</v>
      </c>
      <c r="D5232" s="4" t="n">
        <v>17.8475</v>
      </c>
      <c r="E5232" s="5" t="n">
        <v>998.5</v>
      </c>
      <c r="F5232" s="3" t="inlineStr">
        <is>
          <t>연서면</t>
        </is>
      </c>
      <c r="G5232" s="3" t="inlineStr">
        <is>
          <t>봉암리</t>
        </is>
      </c>
      <c r="H5232" s="3" t="inlineStr">
        <is>
          <t>계획관리지역</t>
        </is>
      </c>
      <c r="I5232" s="3" t="inlineStr">
        <is>
          <t>답</t>
        </is>
      </c>
      <c r="J5232" s="3" t="inlineStr">
        <is>
          <t>연서면</t>
        </is>
      </c>
    </row>
    <row r="5233">
      <c r="A5233" s="3" t="n">
        <v>2022</v>
      </c>
      <c r="B5233" s="4" t="n">
        <v>41076</v>
      </c>
      <c r="C5233" s="4" t="n">
        <v>136</v>
      </c>
      <c r="D5233" s="4" t="n">
        <v>41.14</v>
      </c>
      <c r="E5233" s="5" t="n">
        <v>998.4</v>
      </c>
      <c r="F5233" s="3" t="inlineStr">
        <is>
          <t>연서면</t>
        </is>
      </c>
      <c r="G5233" s="3" t="inlineStr">
        <is>
          <t>봉암리</t>
        </is>
      </c>
      <c r="H5233" s="3" t="inlineStr">
        <is>
          <t>계획관리지역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2022</v>
      </c>
      <c r="B5234" s="4" t="n">
        <v>21747</v>
      </c>
      <c r="C5234" s="4" t="n">
        <v>72</v>
      </c>
      <c r="D5234" s="4" t="n">
        <v>21.78</v>
      </c>
      <c r="E5234" s="5" t="n">
        <v>998.5</v>
      </c>
      <c r="F5234" s="3" t="inlineStr">
        <is>
          <t>연서면</t>
        </is>
      </c>
      <c r="G5234" s="3" t="inlineStr">
        <is>
          <t>봉암리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2022</v>
      </c>
      <c r="B5235" s="4" t="n">
        <v>32922</v>
      </c>
      <c r="C5235" s="4" t="n">
        <v>109</v>
      </c>
      <c r="D5235" s="4" t="n">
        <v>32.9725</v>
      </c>
      <c r="E5235" s="5" t="n">
        <v>998.5</v>
      </c>
      <c r="F5235" s="3" t="inlineStr">
        <is>
          <t>연서면</t>
        </is>
      </c>
      <c r="G5235" s="3" t="inlineStr">
        <is>
          <t>봉암리</t>
        </is>
      </c>
      <c r="H5235" s="3" t="inlineStr">
        <is>
          <t>계획관리지역</t>
        </is>
      </c>
      <c r="I5235" s="3" t="inlineStr">
        <is>
          <t>답</t>
        </is>
      </c>
      <c r="J5235" s="3" t="inlineStr">
        <is>
          <t>연서면</t>
        </is>
      </c>
    </row>
    <row r="5236">
      <c r="A5236" s="3" t="n">
        <v>2022</v>
      </c>
      <c r="B5236" s="4" t="n">
        <v>12988</v>
      </c>
      <c r="C5236" s="4" t="n">
        <v>43</v>
      </c>
      <c r="D5236" s="4" t="n">
        <v>13.0075</v>
      </c>
      <c r="E5236" s="5" t="n">
        <v>998.5</v>
      </c>
      <c r="F5236" s="3" t="inlineStr">
        <is>
          <t>연서면</t>
        </is>
      </c>
      <c r="G5236" s="3" t="inlineStr">
        <is>
          <t>봉암리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연서면</t>
        </is>
      </c>
    </row>
    <row r="5237">
      <c r="A5237" s="3" t="n">
        <v>2022</v>
      </c>
      <c r="B5237" s="4" t="n">
        <v>263120</v>
      </c>
      <c r="C5237" s="4" t="n">
        <v>989</v>
      </c>
      <c r="D5237" s="4" t="n">
        <v>299.1725</v>
      </c>
      <c r="E5237" s="5" t="n">
        <v>879.5</v>
      </c>
      <c r="F5237" s="3" t="inlineStr">
        <is>
          <t>금남면</t>
        </is>
      </c>
      <c r="G5237" s="3" t="inlineStr">
        <is>
          <t>용포리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금남면</t>
        </is>
      </c>
    </row>
    <row r="5238">
      <c r="A5238" s="3" t="n">
        <v>2022</v>
      </c>
      <c r="B5238" s="4" t="n">
        <v>600</v>
      </c>
      <c r="C5238" s="4" t="n">
        <v>6</v>
      </c>
      <c r="D5238" s="4" t="n">
        <v>1.815</v>
      </c>
      <c r="E5238" s="5" t="n">
        <v>330.6</v>
      </c>
      <c r="F5238" s="3" t="inlineStr">
        <is>
          <t>조치원읍</t>
        </is>
      </c>
      <c r="G5238" s="3" t="inlineStr">
        <is>
          <t>신안리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2022</v>
      </c>
      <c r="B5239" s="4" t="n">
        <v>24500</v>
      </c>
      <c r="C5239" s="4" t="n">
        <v>6751</v>
      </c>
      <c r="D5239" s="4" t="n">
        <v>2042.1775</v>
      </c>
      <c r="E5239" s="5" t="n">
        <v>12</v>
      </c>
      <c r="F5239" s="3" t="inlineStr">
        <is>
          <t>전의면</t>
        </is>
      </c>
      <c r="G5239" s="3" t="inlineStr">
        <is>
          <t>유천리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2022</v>
      </c>
      <c r="B5240" s="4" t="n">
        <v>8000</v>
      </c>
      <c r="C5240" s="4" t="n">
        <v>3306</v>
      </c>
      <c r="D5240" s="4" t="n">
        <v>1000.065</v>
      </c>
      <c r="E5240" s="5" t="n">
        <v>8</v>
      </c>
      <c r="F5240" s="3" t="inlineStr">
        <is>
          <t>금남면</t>
        </is>
      </c>
      <c r="G5240" s="3" t="inlineStr">
        <is>
          <t>원봉리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금남면</t>
        </is>
      </c>
    </row>
    <row r="5241">
      <c r="A5241" s="3" t="n">
        <v>2022</v>
      </c>
      <c r="B5241" s="4" t="n">
        <v>21447</v>
      </c>
      <c r="C5241" s="4" t="n">
        <v>71</v>
      </c>
      <c r="D5241" s="4" t="n">
        <v>21.4775</v>
      </c>
      <c r="E5241" s="5" t="n">
        <v>998.6</v>
      </c>
      <c r="F5241" s="3" t="inlineStr">
        <is>
          <t>연서면</t>
        </is>
      </c>
      <c r="G5241" s="3" t="inlineStr">
        <is>
          <t>봉암리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연서면</t>
        </is>
      </c>
    </row>
    <row r="5242">
      <c r="A5242" s="3" t="n">
        <v>2022</v>
      </c>
      <c r="B5242" s="4" t="n">
        <v>17820</v>
      </c>
      <c r="C5242" s="4" t="n">
        <v>59</v>
      </c>
      <c r="D5242" s="4" t="n">
        <v>17.8475</v>
      </c>
      <c r="E5242" s="5" t="n">
        <v>998.5</v>
      </c>
      <c r="F5242" s="3" t="inlineStr">
        <is>
          <t>연서면</t>
        </is>
      </c>
      <c r="G5242" s="3" t="inlineStr">
        <is>
          <t>봉암리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연서면</t>
        </is>
      </c>
    </row>
    <row r="5243">
      <c r="A5243" s="3" t="n">
        <v>2022</v>
      </c>
      <c r="B5243" s="4" t="n">
        <v>41076</v>
      </c>
      <c r="C5243" s="4" t="n">
        <v>136</v>
      </c>
      <c r="D5243" s="4" t="n">
        <v>41.14</v>
      </c>
      <c r="E5243" s="5" t="n">
        <v>998.4</v>
      </c>
      <c r="F5243" s="3" t="inlineStr">
        <is>
          <t>연서면</t>
        </is>
      </c>
      <c r="G5243" s="3" t="inlineStr">
        <is>
          <t>봉암리</t>
        </is>
      </c>
      <c r="H5243" s="3" t="inlineStr">
        <is>
          <t>계획관리지역</t>
        </is>
      </c>
      <c r="I5243" s="3" t="inlineStr">
        <is>
          <t>답</t>
        </is>
      </c>
      <c r="J5243" s="3" t="inlineStr">
        <is>
          <t>연서면</t>
        </is>
      </c>
    </row>
    <row r="5244">
      <c r="A5244" s="3" t="n">
        <v>2022</v>
      </c>
      <c r="B5244" s="4" t="n">
        <v>21747</v>
      </c>
      <c r="C5244" s="4" t="n">
        <v>72</v>
      </c>
      <c r="D5244" s="4" t="n">
        <v>21.78</v>
      </c>
      <c r="E5244" s="5" t="n">
        <v>998.5</v>
      </c>
      <c r="F5244" s="3" t="inlineStr">
        <is>
          <t>연서면</t>
        </is>
      </c>
      <c r="G5244" s="3" t="inlineStr">
        <is>
          <t>봉암리</t>
        </is>
      </c>
      <c r="H5244" s="3" t="inlineStr">
        <is>
          <t>계획관리지역</t>
        </is>
      </c>
      <c r="I5244" s="3" t="inlineStr">
        <is>
          <t>답</t>
        </is>
      </c>
      <c r="J5244" s="3" t="inlineStr">
        <is>
          <t>연서면</t>
        </is>
      </c>
    </row>
    <row r="5245">
      <c r="A5245" s="3" t="n">
        <v>2022</v>
      </c>
      <c r="B5245" s="4" t="n">
        <v>32922</v>
      </c>
      <c r="C5245" s="4" t="n">
        <v>109</v>
      </c>
      <c r="D5245" s="4" t="n">
        <v>32.9725</v>
      </c>
      <c r="E5245" s="5" t="n">
        <v>998.5</v>
      </c>
      <c r="F5245" s="3" t="inlineStr">
        <is>
          <t>연서면</t>
        </is>
      </c>
      <c r="G5245" s="3" t="inlineStr">
        <is>
          <t>봉암리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연서면</t>
        </is>
      </c>
    </row>
    <row r="5246">
      <c r="A5246" s="3" t="n">
        <v>2022</v>
      </c>
      <c r="B5246" s="4" t="n">
        <v>12988</v>
      </c>
      <c r="C5246" s="4" t="n">
        <v>43</v>
      </c>
      <c r="D5246" s="4" t="n">
        <v>13.0075</v>
      </c>
      <c r="E5246" s="5" t="n">
        <v>998.5</v>
      </c>
      <c r="F5246" s="3" t="inlineStr">
        <is>
          <t>연서면</t>
        </is>
      </c>
      <c r="G5246" s="3" t="inlineStr">
        <is>
          <t>봉암리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연서면</t>
        </is>
      </c>
    </row>
    <row r="5247">
      <c r="A5247" s="3" t="n">
        <v>2022</v>
      </c>
      <c r="B5247" s="4" t="n">
        <v>27360</v>
      </c>
      <c r="C5247" s="4" t="n">
        <v>2264</v>
      </c>
      <c r="D5247" s="4" t="n">
        <v>684.86</v>
      </c>
      <c r="E5247" s="5" t="n">
        <v>39.9</v>
      </c>
      <c r="F5247" s="3" t="inlineStr">
        <is>
          <t>장군면</t>
        </is>
      </c>
      <c r="G5247" s="3" t="inlineStr">
        <is>
          <t>송정리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장군면</t>
        </is>
      </c>
    </row>
    <row r="5248">
      <c r="A5248" s="3" t="n">
        <v>2022</v>
      </c>
      <c r="B5248" s="4" t="n">
        <v>134630</v>
      </c>
      <c r="C5248" s="4" t="n">
        <v>2172</v>
      </c>
      <c r="D5248" s="4" t="n">
        <v>657.03</v>
      </c>
      <c r="E5248" s="5" t="n">
        <v>204.9</v>
      </c>
      <c r="F5248" s="3" t="inlineStr">
        <is>
          <t>연서면</t>
        </is>
      </c>
      <c r="G5248" s="3" t="inlineStr">
        <is>
          <t>부동리</t>
        </is>
      </c>
      <c r="H5248" s="3" t="inlineStr">
        <is>
          <t>계획관리지역</t>
        </is>
      </c>
      <c r="I5248" s="3" t="inlineStr">
        <is>
          <t>전</t>
        </is>
      </c>
      <c r="J5248" s="3" t="inlineStr">
        <is>
          <t>연서면</t>
        </is>
      </c>
    </row>
    <row r="5249">
      <c r="A5249" s="3" t="n">
        <v>2026</v>
      </c>
      <c r="B5249" s="4" t="n">
        <v>14850</v>
      </c>
      <c r="C5249" s="4" t="n">
        <v>550</v>
      </c>
      <c r="D5249" s="4" t="n">
        <v>166.375</v>
      </c>
      <c r="E5249" s="5" t="n">
        <v>89.3</v>
      </c>
      <c r="F5249" s="3" t="inlineStr">
        <is>
          <t>전의면</t>
        </is>
      </c>
      <c r="G5249" s="3" t="inlineStr">
        <is>
          <t>서정리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전의면</t>
        </is>
      </c>
    </row>
    <row r="5250">
      <c r="A5250" s="3" t="n">
        <v>2026</v>
      </c>
      <c r="B5250" s="4" t="n">
        <v>32300</v>
      </c>
      <c r="C5250" s="4" t="n">
        <v>704</v>
      </c>
      <c r="D5250" s="4" t="n">
        <v>212.96</v>
      </c>
      <c r="E5250" s="5" t="n">
        <v>151.7</v>
      </c>
      <c r="F5250" s="3" t="inlineStr">
        <is>
          <t>금남면</t>
        </is>
      </c>
      <c r="G5250" s="3" t="inlineStr">
        <is>
          <t>성강리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금남면</t>
        </is>
      </c>
    </row>
    <row r="5251">
      <c r="A5251" s="3" t="n">
        <v>2025</v>
      </c>
      <c r="B5251" s="4" t="n">
        <v>21000</v>
      </c>
      <c r="C5251" s="4" t="n">
        <v>3967</v>
      </c>
      <c r="D5251" s="4" t="n">
        <v>1200.0175</v>
      </c>
      <c r="E5251" s="5" t="n">
        <v>17.5</v>
      </c>
      <c r="F5251" s="3" t="inlineStr">
        <is>
          <t>부강면</t>
        </is>
      </c>
      <c r="G5251" s="3" t="inlineStr">
        <is>
          <t>산수리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부강면</t>
        </is>
      </c>
    </row>
    <row r="5252">
      <c r="A5252" s="3" t="n">
        <v>2025</v>
      </c>
      <c r="B5252" s="4" t="n">
        <v>14800</v>
      </c>
      <c r="C5252" s="4" t="n">
        <v>1969.7</v>
      </c>
      <c r="D5252" s="4" t="n">
        <v>595.83425</v>
      </c>
      <c r="E5252" s="5" t="n">
        <v>24.8</v>
      </c>
      <c r="F5252" s="3" t="inlineStr">
        <is>
          <t>부강면</t>
        </is>
      </c>
      <c r="G5252" s="3" t="inlineStr">
        <is>
          <t>산수리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부강면</t>
        </is>
      </c>
    </row>
    <row r="5253">
      <c r="A5253" s="3" t="n">
        <v>2025</v>
      </c>
      <c r="B5253" s="4" t="n">
        <v>16900</v>
      </c>
      <c r="C5253" s="4" t="n">
        <v>860</v>
      </c>
      <c r="D5253" s="4" t="n">
        <v>260.15</v>
      </c>
      <c r="E5253" s="5" t="n">
        <v>65</v>
      </c>
      <c r="F5253" s="3" t="inlineStr">
        <is>
          <t>연기면</t>
        </is>
      </c>
      <c r="G5253" s="3" t="inlineStr">
        <is>
          <t>눌왕리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연기면</t>
        </is>
      </c>
    </row>
    <row r="5254">
      <c r="A5254" s="3" t="n">
        <v>2025</v>
      </c>
      <c r="B5254" s="4" t="n">
        <v>16900</v>
      </c>
      <c r="C5254" s="4" t="n">
        <v>860</v>
      </c>
      <c r="D5254" s="4" t="n">
        <v>260.15</v>
      </c>
      <c r="E5254" s="5" t="n">
        <v>65</v>
      </c>
      <c r="F5254" s="3" t="inlineStr">
        <is>
          <t>연기면</t>
        </is>
      </c>
      <c r="G5254" s="3" t="inlineStr">
        <is>
          <t>눌왕리</t>
        </is>
      </c>
      <c r="H5254" s="3" t="inlineStr">
        <is>
          <t>보전관리지역</t>
        </is>
      </c>
      <c r="I5254" s="3" t="inlineStr">
        <is>
          <t>임야</t>
        </is>
      </c>
      <c r="J5254" s="3" t="inlineStr">
        <is>
          <t>연기면</t>
        </is>
      </c>
    </row>
    <row r="5255">
      <c r="A5255" s="3" t="n">
        <v>2025</v>
      </c>
      <c r="B5255" s="4" t="n">
        <v>27276</v>
      </c>
      <c r="C5255" s="4" t="n">
        <v>13209</v>
      </c>
      <c r="D5255" s="4" t="n">
        <v>3995.7225</v>
      </c>
      <c r="E5255" s="5" t="n">
        <v>6.8</v>
      </c>
      <c r="F5255" s="3" t="inlineStr">
        <is>
          <t>전의면</t>
        </is>
      </c>
      <c r="G5255" s="3" t="inlineStr">
        <is>
          <t>다방리</t>
        </is>
      </c>
      <c r="H5255" s="3" t="inlineStr">
        <is>
          <t>계획관리지역</t>
        </is>
      </c>
      <c r="I5255" s="3" t="inlineStr">
        <is>
          <t>임야</t>
        </is>
      </c>
      <c r="J5255" s="3" t="inlineStr">
        <is>
          <t>전의면</t>
        </is>
      </c>
    </row>
    <row r="5256">
      <c r="A5256" s="3" t="n">
        <v>2025</v>
      </c>
      <c r="B5256" s="4" t="n">
        <v>27276</v>
      </c>
      <c r="C5256" s="4" t="n">
        <v>13263</v>
      </c>
      <c r="D5256" s="4" t="n">
        <v>4012.0575</v>
      </c>
      <c r="E5256" s="5" t="n">
        <v>6.8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계획관리지역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2025</v>
      </c>
      <c r="B5257" s="4" t="n">
        <v>1665</v>
      </c>
      <c r="C5257" s="4" t="n">
        <v>1101</v>
      </c>
      <c r="D5257" s="4" t="n">
        <v>333.0525</v>
      </c>
      <c r="E5257" s="5" t="n">
        <v>5</v>
      </c>
      <c r="F5257" s="3" t="inlineStr">
        <is>
          <t>전의면</t>
        </is>
      </c>
      <c r="G5257" s="3" t="inlineStr">
        <is>
          <t>다방리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전의면</t>
        </is>
      </c>
    </row>
    <row r="5258">
      <c r="A5258" s="3" t="n">
        <v>2025</v>
      </c>
      <c r="B5258" s="4" t="n">
        <v>2730</v>
      </c>
      <c r="C5258" s="4" t="n">
        <v>129</v>
      </c>
      <c r="D5258" s="4" t="n">
        <v>39.0225</v>
      </c>
      <c r="E5258" s="5" t="n">
        <v>70</v>
      </c>
      <c r="F5258" s="3" t="inlineStr">
        <is>
          <t>전동면</t>
        </is>
      </c>
      <c r="G5258" s="3" t="inlineStr">
        <is>
          <t>석곡리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전동면</t>
        </is>
      </c>
    </row>
    <row r="5259">
      <c r="A5259" s="3" t="n">
        <v>2025</v>
      </c>
      <c r="B5259" s="4" t="n">
        <v>43110</v>
      </c>
      <c r="C5259" s="4" t="n">
        <v>294</v>
      </c>
      <c r="D5259" s="4" t="n">
        <v>88.935</v>
      </c>
      <c r="E5259" s="5" t="n">
        <v>484.7</v>
      </c>
      <c r="F5259" s="3" t="inlineStr">
        <is>
          <t>고운동</t>
        </is>
      </c>
      <c r="G5259" s="3" t="inlineStr"/>
      <c r="H5259" s="3" t="inlineStr">
        <is>
          <t>제1종전용주거지역</t>
        </is>
      </c>
      <c r="I5259" s="3" t="inlineStr">
        <is>
          <t>대</t>
        </is>
      </c>
      <c r="J5259" s="3" t="inlineStr">
        <is>
          <t>고운동</t>
        </is>
      </c>
    </row>
    <row r="5260">
      <c r="A5260" s="3" t="n">
        <v>2025</v>
      </c>
      <c r="B5260" s="4" t="n">
        <v>1890</v>
      </c>
      <c r="C5260" s="4" t="n">
        <v>12.9</v>
      </c>
      <c r="D5260" s="4" t="n">
        <v>3.90225</v>
      </c>
      <c r="E5260" s="5" t="n">
        <v>484.3</v>
      </c>
      <c r="F5260" s="3" t="inlineStr">
        <is>
          <t>고운동</t>
        </is>
      </c>
      <c r="G5260" s="3" t="inlineStr"/>
      <c r="H5260" s="3" t="inlineStr">
        <is>
          <t>제1종전용주거지역</t>
        </is>
      </c>
      <c r="I5260" s="3" t="inlineStr">
        <is>
          <t>주차장</t>
        </is>
      </c>
      <c r="J5260" s="3" t="inlineStr">
        <is>
          <t>고운동</t>
        </is>
      </c>
    </row>
    <row r="5261">
      <c r="A5261" s="3" t="n">
        <v>2025</v>
      </c>
      <c r="B5261" s="4" t="n">
        <v>35000</v>
      </c>
      <c r="C5261" s="4" t="n">
        <v>297.3</v>
      </c>
      <c r="D5261" s="4" t="n">
        <v>89.93325</v>
      </c>
      <c r="E5261" s="5" t="n">
        <v>389.2</v>
      </c>
      <c r="F5261" s="3" t="inlineStr">
        <is>
          <t>다정동</t>
        </is>
      </c>
      <c r="G5261" s="3" t="inlineStr"/>
      <c r="H5261" s="3" t="inlineStr">
        <is>
          <t>제1종전용주거지역</t>
        </is>
      </c>
      <c r="I5261" s="3" t="inlineStr">
        <is>
          <t>대</t>
        </is>
      </c>
      <c r="J5261" s="3" t="inlineStr">
        <is>
          <t>다정동</t>
        </is>
      </c>
    </row>
    <row r="5262">
      <c r="A5262" s="3" t="n">
        <v>2025</v>
      </c>
      <c r="B5262" s="4" t="n">
        <v>12000</v>
      </c>
      <c r="C5262" s="4" t="n">
        <v>3193</v>
      </c>
      <c r="D5262" s="4" t="n">
        <v>965.8824999999999</v>
      </c>
      <c r="E5262" s="5" t="n">
        <v>12.4</v>
      </c>
      <c r="F5262" s="3" t="inlineStr">
        <is>
          <t>전동면</t>
        </is>
      </c>
      <c r="G5262" s="3" t="inlineStr">
        <is>
          <t>송정리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전동면</t>
        </is>
      </c>
    </row>
    <row r="5263">
      <c r="A5263" s="3" t="n">
        <v>2025</v>
      </c>
      <c r="B5263" s="4" t="n">
        <v>17960</v>
      </c>
      <c r="C5263" s="4" t="n">
        <v>2740</v>
      </c>
      <c r="D5263" s="4" t="n">
        <v>828.85</v>
      </c>
      <c r="E5263" s="5" t="n">
        <v>21.7</v>
      </c>
      <c r="F5263" s="3" t="inlineStr">
        <is>
          <t>전동면</t>
        </is>
      </c>
      <c r="G5263" s="3" t="inlineStr">
        <is>
          <t>송정리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전동면</t>
        </is>
      </c>
    </row>
    <row r="5264">
      <c r="A5264" s="3" t="n">
        <v>2025</v>
      </c>
      <c r="B5264" s="4" t="n">
        <v>228</v>
      </c>
      <c r="C5264" s="4" t="n">
        <v>21</v>
      </c>
      <c r="D5264" s="4" t="n">
        <v>6.3525</v>
      </c>
      <c r="E5264" s="5" t="n">
        <v>35.9</v>
      </c>
      <c r="F5264" s="3" t="inlineStr">
        <is>
          <t>조치원읍</t>
        </is>
      </c>
      <c r="G5264" s="3" t="inlineStr">
        <is>
          <t>봉산리</t>
        </is>
      </c>
      <c r="H5264" s="3" t="inlineStr">
        <is>
          <t>자연녹지지역</t>
        </is>
      </c>
      <c r="I5264" s="3" t="inlineStr">
        <is>
          <t>대</t>
        </is>
      </c>
      <c r="J5264" s="3" t="inlineStr">
        <is>
          <t>조치원읍</t>
        </is>
      </c>
    </row>
    <row r="5265">
      <c r="A5265" s="3" t="n">
        <v>2025</v>
      </c>
      <c r="B5265" s="4" t="n">
        <v>45000</v>
      </c>
      <c r="C5265" s="4" t="n">
        <v>43636</v>
      </c>
      <c r="D5265" s="4" t="n">
        <v>13199.89</v>
      </c>
      <c r="E5265" s="5" t="n">
        <v>3.4</v>
      </c>
      <c r="F5265" s="3" t="inlineStr">
        <is>
          <t>금남면</t>
        </is>
      </c>
      <c r="G5265" s="3" t="inlineStr">
        <is>
          <t>대박리</t>
        </is>
      </c>
      <c r="H5265" s="3" t="inlineStr">
        <is>
          <t>농림지역</t>
        </is>
      </c>
      <c r="I5265" s="3" t="inlineStr">
        <is>
          <t>임야</t>
        </is>
      </c>
      <c r="J5265" s="3" t="inlineStr">
        <is>
          <t>금남면</t>
        </is>
      </c>
    </row>
    <row r="5266">
      <c r="A5266" s="3" t="n">
        <v>2025</v>
      </c>
      <c r="B5266" s="4" t="n">
        <v>25000</v>
      </c>
      <c r="C5266" s="4" t="n">
        <v>173</v>
      </c>
      <c r="D5266" s="4" t="n">
        <v>52.3325</v>
      </c>
      <c r="E5266" s="5" t="n">
        <v>477.7</v>
      </c>
      <c r="F5266" s="3" t="inlineStr">
        <is>
          <t>조치원읍</t>
        </is>
      </c>
      <c r="G5266" s="3" t="inlineStr">
        <is>
          <t>신안리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조치원읍</t>
        </is>
      </c>
    </row>
    <row r="5267">
      <c r="A5267" s="3" t="n">
        <v>2025</v>
      </c>
      <c r="B5267" s="4" t="n">
        <v>25000</v>
      </c>
      <c r="C5267" s="4" t="n">
        <v>190</v>
      </c>
      <c r="D5267" s="4" t="n">
        <v>57.475</v>
      </c>
      <c r="E5267" s="5" t="n">
        <v>435</v>
      </c>
      <c r="F5267" s="3" t="inlineStr">
        <is>
          <t>조치원읍</t>
        </is>
      </c>
      <c r="G5267" s="3" t="inlineStr">
        <is>
          <t>신안리</t>
        </is>
      </c>
      <c r="H5267" s="3" t="inlineStr">
        <is>
          <t>제1종일반주거지역</t>
        </is>
      </c>
      <c r="I5267" s="3" t="inlineStr">
        <is>
          <t>대</t>
        </is>
      </c>
      <c r="J5267" s="3" t="inlineStr">
        <is>
          <t>조치원읍</t>
        </is>
      </c>
    </row>
    <row r="5268">
      <c r="A5268" s="3" t="n">
        <v>2025</v>
      </c>
      <c r="B5268" s="4" t="n">
        <v>15500</v>
      </c>
      <c r="C5268" s="4" t="n">
        <v>5800</v>
      </c>
      <c r="D5268" s="4" t="n">
        <v>1754.5</v>
      </c>
      <c r="E5268" s="5" t="n">
        <v>8.800000000000001</v>
      </c>
      <c r="F5268" s="3" t="inlineStr">
        <is>
          <t>전동면</t>
        </is>
      </c>
      <c r="G5268" s="3" t="inlineStr">
        <is>
          <t>송정리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전동면</t>
        </is>
      </c>
    </row>
    <row r="5269">
      <c r="A5269" s="3" t="n">
        <v>2025</v>
      </c>
      <c r="B5269" s="4" t="n">
        <v>15500</v>
      </c>
      <c r="C5269" s="4" t="n">
        <v>5800</v>
      </c>
      <c r="D5269" s="4" t="n">
        <v>1754.5</v>
      </c>
      <c r="E5269" s="5" t="n">
        <v>8.800000000000001</v>
      </c>
      <c r="F5269" s="3" t="inlineStr">
        <is>
          <t>전동면</t>
        </is>
      </c>
      <c r="G5269" s="3" t="inlineStr">
        <is>
          <t>송정리</t>
        </is>
      </c>
      <c r="H5269" s="3" t="inlineStr">
        <is>
          <t>보전관리지역</t>
        </is>
      </c>
      <c r="I5269" s="3" t="inlineStr">
        <is>
          <t>임야</t>
        </is>
      </c>
      <c r="J5269" s="3" t="inlineStr">
        <is>
          <t>전동면</t>
        </is>
      </c>
    </row>
    <row r="5270">
      <c r="A5270" s="3" t="n">
        <v>2025</v>
      </c>
      <c r="B5270" s="4" t="n">
        <v>34000</v>
      </c>
      <c r="C5270" s="4" t="n">
        <v>270.7</v>
      </c>
      <c r="D5270" s="4" t="n">
        <v>81.88674999999999</v>
      </c>
      <c r="E5270" s="5" t="n">
        <v>415.2</v>
      </c>
      <c r="F5270" s="3" t="inlineStr">
        <is>
          <t>아름동</t>
        </is>
      </c>
      <c r="G5270" s="3" t="inlineStr"/>
      <c r="H5270" s="3" t="inlineStr">
        <is>
          <t>제1종전용주거지역</t>
        </is>
      </c>
      <c r="I5270" s="3" t="inlineStr">
        <is>
          <t>대</t>
        </is>
      </c>
      <c r="J5270" s="3" t="inlineStr">
        <is>
          <t>아름동</t>
        </is>
      </c>
    </row>
    <row r="5271">
      <c r="A5271" s="3" t="n">
        <v>2025</v>
      </c>
      <c r="B5271" s="4" t="n">
        <v>83279</v>
      </c>
      <c r="C5271" s="4" t="n">
        <v>2313</v>
      </c>
      <c r="D5271" s="4" t="n">
        <v>699.6825</v>
      </c>
      <c r="E5271" s="5" t="n">
        <v>119</v>
      </c>
      <c r="F5271" s="3" t="inlineStr">
        <is>
          <t>전의면</t>
        </is>
      </c>
      <c r="G5271" s="3" t="inlineStr">
        <is>
          <t>동교리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전의면</t>
        </is>
      </c>
    </row>
    <row r="5272">
      <c r="A5272" s="3" t="n">
        <v>2025</v>
      </c>
      <c r="B5272" s="4" t="n">
        <v>92712</v>
      </c>
      <c r="C5272" s="4" t="n">
        <v>2575</v>
      </c>
      <c r="D5272" s="4" t="n">
        <v>778.9375</v>
      </c>
      <c r="E5272" s="5" t="n">
        <v>119</v>
      </c>
      <c r="F5272" s="3" t="inlineStr">
        <is>
          <t>전의면</t>
        </is>
      </c>
      <c r="G5272" s="3" t="inlineStr">
        <is>
          <t>동교리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전의면</t>
        </is>
      </c>
    </row>
    <row r="5273">
      <c r="A5273" s="3" t="n">
        <v>2025</v>
      </c>
      <c r="B5273" s="4" t="n">
        <v>1010</v>
      </c>
      <c r="C5273" s="4" t="n">
        <v>23</v>
      </c>
      <c r="D5273" s="4" t="n">
        <v>6.9575</v>
      </c>
      <c r="E5273" s="5" t="n">
        <v>145.2</v>
      </c>
      <c r="F5273" s="3" t="inlineStr">
        <is>
          <t>전의면</t>
        </is>
      </c>
      <c r="G5273" s="3" t="inlineStr">
        <is>
          <t>동교리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전의면</t>
        </is>
      </c>
    </row>
    <row r="5274">
      <c r="A5274" s="3" t="n">
        <v>2025</v>
      </c>
      <c r="B5274" s="4" t="n">
        <v>7350</v>
      </c>
      <c r="C5274" s="4" t="n">
        <v>8100</v>
      </c>
      <c r="D5274" s="4" t="n">
        <v>2450.25</v>
      </c>
      <c r="E5274" s="5" t="n">
        <v>3</v>
      </c>
      <c r="F5274" s="3" t="inlineStr">
        <is>
          <t>전의면</t>
        </is>
      </c>
      <c r="G5274" s="3" t="inlineStr">
        <is>
          <t>다방리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전의면</t>
        </is>
      </c>
    </row>
    <row r="5275">
      <c r="A5275" s="3" t="n">
        <v>2023</v>
      </c>
      <c r="B5275" s="4" t="n">
        <v>16842</v>
      </c>
      <c r="C5275" s="4" t="n">
        <v>952</v>
      </c>
      <c r="D5275" s="4" t="n">
        <v>287.98</v>
      </c>
      <c r="E5275" s="5" t="n">
        <v>58.5</v>
      </c>
      <c r="F5275" s="3" t="inlineStr">
        <is>
          <t>남이면</t>
        </is>
      </c>
      <c r="G5275" s="3" t="inlineStr">
        <is>
          <t>사동리</t>
        </is>
      </c>
      <c r="H5275" s="3" t="inlineStr">
        <is>
          <t>생산관리지역</t>
        </is>
      </c>
      <c r="I5275" s="3" t="inlineStr">
        <is>
          <t>답</t>
        </is>
      </c>
      <c r="J5275" s="3" t="inlineStr">
        <is>
          <t>남이면</t>
        </is>
      </c>
    </row>
    <row r="5276">
      <c r="A5276" s="3" t="n">
        <v>2024</v>
      </c>
      <c r="B5276" s="4" t="n">
        <v>3040</v>
      </c>
      <c r="C5276" s="4" t="n">
        <v>265</v>
      </c>
      <c r="D5276" s="4" t="n">
        <v>80.16249999999999</v>
      </c>
      <c r="E5276" s="5" t="n">
        <v>37.9</v>
      </c>
      <c r="F5276" s="3" t="inlineStr">
        <is>
          <t>현도면</t>
        </is>
      </c>
      <c r="G5276" s="3" t="inlineStr">
        <is>
          <t>우록리</t>
        </is>
      </c>
      <c r="H5276" s="3" t="inlineStr">
        <is>
          <t>생산관리지역</t>
        </is>
      </c>
      <c r="I5276" s="3" t="inlineStr">
        <is>
          <t>답</t>
        </is>
      </c>
      <c r="J5276" s="3" t="inlineStr">
        <is>
          <t>현도면</t>
        </is>
      </c>
    </row>
    <row r="5277">
      <c r="A5277" s="3" t="n">
        <v>2025</v>
      </c>
      <c r="B5277" s="4" t="n">
        <v>5134</v>
      </c>
      <c r="C5277" s="4" t="n">
        <v>721</v>
      </c>
      <c r="D5277" s="4" t="n">
        <v>218.1025</v>
      </c>
      <c r="E5277" s="5" t="n">
        <v>23.5</v>
      </c>
      <c r="F5277" s="3" t="inlineStr">
        <is>
          <t>남이면</t>
        </is>
      </c>
      <c r="G5277" s="3" t="inlineStr">
        <is>
          <t>산막리</t>
        </is>
      </c>
      <c r="H5277" s="3" t="inlineStr">
        <is>
          <t>생산관리지역</t>
        </is>
      </c>
      <c r="I5277" s="3" t="inlineStr">
        <is>
          <t>답</t>
        </is>
      </c>
      <c r="J5277" s="3" t="inlineStr">
        <is>
          <t>남이면</t>
        </is>
      </c>
    </row>
    <row r="5278">
      <c r="A5278" s="3" t="n">
        <v>2025</v>
      </c>
      <c r="B5278" s="4" t="n">
        <v>5000</v>
      </c>
      <c r="C5278" s="4" t="n">
        <v>19438</v>
      </c>
      <c r="D5278" s="4" t="n">
        <v>5879.995</v>
      </c>
      <c r="E5278" s="5" t="n">
        <v>0.9</v>
      </c>
      <c r="F5278" s="3" t="inlineStr">
        <is>
          <t>남이면</t>
        </is>
      </c>
      <c r="G5278" s="3" t="inlineStr">
        <is>
          <t>외천리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남이면</t>
        </is>
      </c>
    </row>
    <row r="5279">
      <c r="A5279" s="3" t="n">
        <v>2025</v>
      </c>
      <c r="B5279" s="4" t="n">
        <v>29930</v>
      </c>
      <c r="C5279" s="4" t="n">
        <v>1178</v>
      </c>
      <c r="D5279" s="4" t="n">
        <v>356.345</v>
      </c>
      <c r="E5279" s="5" t="n">
        <v>84</v>
      </c>
      <c r="F5279" s="3" t="inlineStr">
        <is>
          <t>남이면</t>
        </is>
      </c>
      <c r="G5279" s="3" t="inlineStr">
        <is>
          <t>가좌리</t>
        </is>
      </c>
      <c r="H5279" s="3" t="inlineStr">
        <is>
          <t>보전녹지지역</t>
        </is>
      </c>
      <c r="I5279" s="3" t="inlineStr">
        <is>
          <t>임야</t>
        </is>
      </c>
      <c r="J5279" s="3" t="inlineStr">
        <is>
          <t>남이면</t>
        </is>
      </c>
    </row>
    <row r="5280">
      <c r="A5280" s="3" t="n">
        <v>2022</v>
      </c>
      <c r="B5280" s="4" t="n">
        <v>34000</v>
      </c>
      <c r="C5280" s="4" t="n">
        <v>2811</v>
      </c>
      <c r="D5280" s="4" t="n">
        <v>850.3275</v>
      </c>
      <c r="E5280" s="5" t="n">
        <v>40</v>
      </c>
      <c r="F5280" s="3" t="inlineStr">
        <is>
          <t>금남면</t>
        </is>
      </c>
      <c r="G5280" s="3" t="inlineStr">
        <is>
          <t>원봉리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금남면</t>
        </is>
      </c>
    </row>
    <row r="5281">
      <c r="A5281" s="3" t="n">
        <v>2022</v>
      </c>
      <c r="B5281" s="4" t="n">
        <v>263120</v>
      </c>
      <c r="C5281" s="4" t="n">
        <v>989</v>
      </c>
      <c r="D5281" s="4" t="n">
        <v>299.1725</v>
      </c>
      <c r="E5281" s="5" t="n">
        <v>879.5</v>
      </c>
      <c r="F5281" s="3" t="inlineStr">
        <is>
          <t>금남면</t>
        </is>
      </c>
      <c r="G5281" s="3" t="inlineStr">
        <is>
          <t>용포리</t>
        </is>
      </c>
      <c r="H5281" s="3" t="inlineStr">
        <is>
          <t>제2종일반주거지역</t>
        </is>
      </c>
      <c r="I5281" s="3" t="inlineStr">
        <is>
          <t>답</t>
        </is>
      </c>
      <c r="J5281" s="3" t="inlineStr">
        <is>
          <t>금남면</t>
        </is>
      </c>
    </row>
    <row r="5282">
      <c r="A5282" s="3" t="n">
        <v>2022</v>
      </c>
      <c r="B5282" s="4" t="n">
        <v>15000</v>
      </c>
      <c r="C5282" s="4" t="n">
        <v>184</v>
      </c>
      <c r="D5282" s="4" t="n">
        <v>55.66</v>
      </c>
      <c r="E5282" s="5" t="n">
        <v>269.5</v>
      </c>
      <c r="F5282" s="3" t="inlineStr">
        <is>
          <t>금남면</t>
        </is>
      </c>
      <c r="G5282" s="3" t="inlineStr">
        <is>
          <t>대박리</t>
        </is>
      </c>
      <c r="H5282" s="3" t="inlineStr">
        <is>
          <t>보전관리지역</t>
        </is>
      </c>
      <c r="I5282" s="3" t="inlineStr">
        <is>
          <t>임야</t>
        </is>
      </c>
      <c r="J5282" s="3" t="inlineStr">
        <is>
          <t>금남면</t>
        </is>
      </c>
    </row>
    <row r="5283">
      <c r="A5283" s="3" t="n">
        <v>2022</v>
      </c>
      <c r="B5283" s="4" t="n">
        <v>55000</v>
      </c>
      <c r="C5283" s="4" t="n">
        <v>511</v>
      </c>
      <c r="D5283" s="4" t="n">
        <v>154.5775</v>
      </c>
      <c r="E5283" s="5" t="n">
        <v>355.8</v>
      </c>
      <c r="F5283" s="3" t="inlineStr">
        <is>
          <t>금남면</t>
        </is>
      </c>
      <c r="G5283" s="3" t="inlineStr">
        <is>
          <t>대박리</t>
        </is>
      </c>
      <c r="H5283" s="3" t="inlineStr">
        <is>
          <t>보전관리지역</t>
        </is>
      </c>
      <c r="I5283" s="3" t="inlineStr">
        <is>
          <t>답</t>
        </is>
      </c>
      <c r="J5283" s="3" t="inlineStr">
        <is>
          <t>금남면</t>
        </is>
      </c>
    </row>
    <row r="5284">
      <c r="A5284" s="3" t="n">
        <v>2022</v>
      </c>
      <c r="B5284" s="4" t="n">
        <v>8000</v>
      </c>
      <c r="C5284" s="4" t="n">
        <v>3306</v>
      </c>
      <c r="D5284" s="4" t="n">
        <v>1000.065</v>
      </c>
      <c r="E5284" s="5" t="n">
        <v>8</v>
      </c>
      <c r="F5284" s="3" t="inlineStr">
        <is>
          <t>금남면</t>
        </is>
      </c>
      <c r="G5284" s="3" t="inlineStr">
        <is>
          <t>원봉리</t>
        </is>
      </c>
      <c r="H5284" s="3" t="inlineStr">
        <is>
          <t>농림지역</t>
        </is>
      </c>
      <c r="I5284" s="3" t="inlineStr">
        <is>
          <t>임야</t>
        </is>
      </c>
      <c r="J5284" s="3" t="inlineStr">
        <is>
          <t>금남면</t>
        </is>
      </c>
    </row>
    <row r="5285">
      <c r="A5285" s="3" t="n">
        <v>2022</v>
      </c>
      <c r="B5285" s="4" t="n">
        <v>99000</v>
      </c>
      <c r="C5285" s="4" t="n">
        <v>1456</v>
      </c>
      <c r="D5285" s="4" t="n">
        <v>440.44</v>
      </c>
      <c r="E5285" s="5" t="n">
        <v>224.8</v>
      </c>
      <c r="F5285" s="3" t="inlineStr">
        <is>
          <t>금남면</t>
        </is>
      </c>
      <c r="G5285" s="3" t="inlineStr">
        <is>
          <t>용담리</t>
        </is>
      </c>
      <c r="H5285" s="3" t="inlineStr">
        <is>
          <t>개발제한구역</t>
        </is>
      </c>
      <c r="I5285" s="3" t="inlineStr">
        <is>
          <t>대</t>
        </is>
      </c>
      <c r="J5285" s="3" t="inlineStr">
        <is>
          <t>금남면</t>
        </is>
      </c>
    </row>
    <row r="5286">
      <c r="A5286" s="3" t="n">
        <v>2022</v>
      </c>
      <c r="B5286" s="4" t="n">
        <v>814464</v>
      </c>
      <c r="C5286" s="4" t="n">
        <v>20023.5</v>
      </c>
      <c r="D5286" s="4" t="n">
        <v>6057.108749999999</v>
      </c>
      <c r="E5286" s="5" t="n">
        <v>134.5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일반공업지역</t>
        </is>
      </c>
      <c r="I5286" s="3" t="inlineStr">
        <is>
          <t>공장용지</t>
        </is>
      </c>
      <c r="J5286" s="3" t="inlineStr">
        <is>
          <t>전의면</t>
        </is>
      </c>
    </row>
    <row r="5287">
      <c r="A5287" s="3" t="n">
        <v>2022</v>
      </c>
      <c r="B5287" s="4" t="n">
        <v>2200</v>
      </c>
      <c r="C5287" s="4" t="n">
        <v>112</v>
      </c>
      <c r="D5287" s="4" t="n">
        <v>33.88</v>
      </c>
      <c r="E5287" s="5" t="n">
        <v>64.90000000000001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전</t>
        </is>
      </c>
      <c r="J5287" s="3" t="inlineStr">
        <is>
          <t>연서면</t>
        </is>
      </c>
    </row>
    <row r="5288">
      <c r="A5288" s="3" t="n">
        <v>2022</v>
      </c>
      <c r="B5288" s="4" t="n">
        <v>28730</v>
      </c>
      <c r="C5288" s="4" t="n">
        <v>2264</v>
      </c>
      <c r="D5288" s="4" t="n">
        <v>684.86</v>
      </c>
      <c r="E5288" s="5" t="n">
        <v>42</v>
      </c>
      <c r="F5288" s="3" t="inlineStr">
        <is>
          <t>장군면</t>
        </is>
      </c>
      <c r="G5288" s="3" t="inlineStr">
        <is>
          <t>송정리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장군면</t>
        </is>
      </c>
    </row>
    <row r="5289">
      <c r="A5289" s="3" t="n">
        <v>2022</v>
      </c>
      <c r="B5289" s="4" t="n">
        <v>118500</v>
      </c>
      <c r="C5289" s="4" t="n">
        <v>9917</v>
      </c>
      <c r="D5289" s="4" t="n">
        <v>2999.8925</v>
      </c>
      <c r="E5289" s="5" t="n">
        <v>39.5</v>
      </c>
      <c r="F5289" s="3" t="inlineStr">
        <is>
          <t>전의면</t>
        </is>
      </c>
      <c r="G5289" s="3" t="inlineStr">
        <is>
          <t>원성리</t>
        </is>
      </c>
      <c r="H5289" s="3" t="inlineStr">
        <is>
          <t>계획관리지역</t>
        </is>
      </c>
      <c r="I5289" s="3" t="inlineStr">
        <is>
          <t>임야</t>
        </is>
      </c>
      <c r="J5289" s="3" t="inlineStr">
        <is>
          <t>전의면</t>
        </is>
      </c>
    </row>
    <row r="5290">
      <c r="A5290" s="3" t="n">
        <v>2022</v>
      </c>
      <c r="B5290" s="4" t="n">
        <v>2400</v>
      </c>
      <c r="C5290" s="4" t="n">
        <v>198</v>
      </c>
      <c r="D5290" s="4" t="n">
        <v>59.895</v>
      </c>
      <c r="E5290" s="5" t="n">
        <v>40.1</v>
      </c>
      <c r="F5290" s="3" t="inlineStr">
        <is>
          <t>전의면</t>
        </is>
      </c>
      <c r="G5290" s="3" t="inlineStr">
        <is>
          <t>원성리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전의면</t>
        </is>
      </c>
    </row>
    <row r="5291">
      <c r="A5291" s="3" t="n">
        <v>2022</v>
      </c>
      <c r="B5291" s="4" t="n">
        <v>47000</v>
      </c>
      <c r="C5291" s="4" t="n">
        <v>585</v>
      </c>
      <c r="D5291" s="4" t="n">
        <v>176.9625</v>
      </c>
      <c r="E5291" s="5" t="n">
        <v>265.6</v>
      </c>
      <c r="F5291" s="3" t="inlineStr">
        <is>
          <t>연동면</t>
        </is>
      </c>
      <c r="G5291" s="3" t="inlineStr">
        <is>
          <t>문주리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연동면</t>
        </is>
      </c>
    </row>
    <row r="5292">
      <c r="A5292" s="3" t="n">
        <v>2022</v>
      </c>
      <c r="B5292" s="4" t="n">
        <v>77400</v>
      </c>
      <c r="C5292" s="4" t="n">
        <v>854</v>
      </c>
      <c r="D5292" s="4" t="n">
        <v>258.335</v>
      </c>
      <c r="E5292" s="5" t="n">
        <v>299.6</v>
      </c>
      <c r="F5292" s="3" t="inlineStr">
        <is>
          <t>부강면</t>
        </is>
      </c>
      <c r="G5292" s="3" t="inlineStr">
        <is>
          <t>부강리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2022</v>
      </c>
      <c r="B5293" s="4" t="n">
        <v>53000</v>
      </c>
      <c r="C5293" s="4" t="n">
        <v>608</v>
      </c>
      <c r="D5293" s="4" t="n">
        <v>183.92</v>
      </c>
      <c r="E5293" s="5" t="n">
        <v>288.2</v>
      </c>
      <c r="F5293" s="3" t="inlineStr">
        <is>
          <t>연동면</t>
        </is>
      </c>
      <c r="G5293" s="3" t="inlineStr">
        <is>
          <t>문주리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2022</v>
      </c>
      <c r="B5294" s="4" t="n">
        <v>59200</v>
      </c>
      <c r="C5294" s="4" t="n">
        <v>559</v>
      </c>
      <c r="D5294" s="4" t="n">
        <v>169.0975</v>
      </c>
      <c r="E5294" s="5" t="n">
        <v>350.1</v>
      </c>
      <c r="F5294" s="3" t="inlineStr">
        <is>
          <t>장군면</t>
        </is>
      </c>
      <c r="G5294" s="3" t="inlineStr">
        <is>
          <t>봉안리</t>
        </is>
      </c>
      <c r="H5294" s="3" t="inlineStr">
        <is>
          <t>보전관리지역</t>
        </is>
      </c>
      <c r="I5294" s="3" t="inlineStr">
        <is>
          <t>임야</t>
        </is>
      </c>
      <c r="J5294" s="3" t="inlineStr">
        <is>
          <t>장군면</t>
        </is>
      </c>
    </row>
    <row r="5295">
      <c r="A5295" s="3" t="n">
        <v>2022</v>
      </c>
      <c r="B5295" s="4" t="n">
        <v>209600</v>
      </c>
      <c r="C5295" s="4" t="n">
        <v>1980</v>
      </c>
      <c r="D5295" s="4" t="n">
        <v>598.9499999999999</v>
      </c>
      <c r="E5295" s="5" t="n">
        <v>349.9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보전관리지역</t>
        </is>
      </c>
      <c r="I5295" s="3" t="inlineStr">
        <is>
          <t>임야</t>
        </is>
      </c>
      <c r="J5295" s="3" t="inlineStr">
        <is>
          <t>장군면</t>
        </is>
      </c>
    </row>
    <row r="5296">
      <c r="A5296" s="3" t="n">
        <v>2022</v>
      </c>
      <c r="B5296" s="4" t="n">
        <v>54170</v>
      </c>
      <c r="C5296" s="4" t="n">
        <v>1909</v>
      </c>
      <c r="D5296" s="4" t="n">
        <v>577.4725</v>
      </c>
      <c r="E5296" s="5" t="n">
        <v>93.8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보전관리지역</t>
        </is>
      </c>
      <c r="I5296" s="3" t="inlineStr">
        <is>
          <t>임야</t>
        </is>
      </c>
      <c r="J5296" s="3" t="inlineStr">
        <is>
          <t>장군면</t>
        </is>
      </c>
    </row>
    <row r="5297">
      <c r="A5297" s="3" t="n">
        <v>2022</v>
      </c>
      <c r="B5297" s="4" t="n">
        <v>107533</v>
      </c>
      <c r="C5297" s="4" t="n">
        <v>1500</v>
      </c>
      <c r="D5297" s="4" t="n">
        <v>453.75</v>
      </c>
      <c r="E5297" s="5" t="n">
        <v>237</v>
      </c>
      <c r="F5297" s="3" t="inlineStr">
        <is>
          <t>장군면</t>
        </is>
      </c>
      <c r="G5297" s="3" t="inlineStr">
        <is>
          <t>대교리</t>
        </is>
      </c>
      <c r="H5297" s="3" t="inlineStr">
        <is>
          <t>보전관리지역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2026</v>
      </c>
      <c r="B5298" s="4" t="n">
        <v>30000</v>
      </c>
      <c r="C5298" s="4" t="n">
        <v>1612</v>
      </c>
      <c r="D5298" s="4" t="n">
        <v>487.63</v>
      </c>
      <c r="E5298" s="5" t="n">
        <v>61.5</v>
      </c>
      <c r="F5298" s="3" t="inlineStr">
        <is>
          <t>현도면</t>
        </is>
      </c>
      <c r="G5298" s="3" t="inlineStr">
        <is>
          <t>죽전리</t>
        </is>
      </c>
      <c r="H5298" s="3" t="inlineStr">
        <is>
          <t>계획관리지역</t>
        </is>
      </c>
      <c r="I5298" s="3" t="inlineStr">
        <is>
          <t>잡종지</t>
        </is>
      </c>
      <c r="J5298" s="3" t="inlineStr">
        <is>
          <t>현도면</t>
        </is>
      </c>
    </row>
    <row r="5299">
      <c r="A5299" s="3" t="n">
        <v>2026</v>
      </c>
      <c r="B5299" s="4" t="n">
        <v>20490</v>
      </c>
      <c r="C5299" s="4" t="n">
        <v>431</v>
      </c>
      <c r="D5299" s="4" t="n">
        <v>130.3775</v>
      </c>
      <c r="E5299" s="5" t="n">
        <v>157.2</v>
      </c>
      <c r="F5299" s="3" t="inlineStr">
        <is>
          <t>남이면</t>
        </is>
      </c>
      <c r="G5299" s="3" t="inlineStr">
        <is>
          <t>양촌리</t>
        </is>
      </c>
      <c r="H5299" s="3" t="inlineStr">
        <is>
          <t>자연녹지지역</t>
        </is>
      </c>
      <c r="I5299" s="3" t="inlineStr">
        <is>
          <t>전</t>
        </is>
      </c>
      <c r="J5299" s="3" t="inlineStr">
        <is>
          <t>남이면</t>
        </is>
      </c>
    </row>
    <row r="5300">
      <c r="A5300" s="3" t="n">
        <v>2026</v>
      </c>
      <c r="B5300" s="4" t="n">
        <v>13593</v>
      </c>
      <c r="C5300" s="4" t="n">
        <v>587</v>
      </c>
      <c r="D5300" s="4" t="n">
        <v>177.5675</v>
      </c>
      <c r="E5300" s="5" t="n">
        <v>76.59999999999999</v>
      </c>
      <c r="F5300" s="3" t="inlineStr">
        <is>
          <t>남이면</t>
        </is>
      </c>
      <c r="G5300" s="3" t="inlineStr">
        <is>
          <t>가좌리</t>
        </is>
      </c>
      <c r="H5300" s="3" t="inlineStr">
        <is>
          <t>보전녹지지역</t>
        </is>
      </c>
      <c r="I5300" s="3" t="inlineStr">
        <is>
          <t>임야</t>
        </is>
      </c>
      <c r="J5300" s="3" t="inlineStr">
        <is>
          <t>남이면</t>
        </is>
      </c>
    </row>
    <row r="5301">
      <c r="A5301" s="3" t="n">
        <v>2026</v>
      </c>
      <c r="B5301" s="4" t="n">
        <v>44913</v>
      </c>
      <c r="C5301" s="4" t="n">
        <v>785</v>
      </c>
      <c r="D5301" s="4" t="n">
        <v>237.4625</v>
      </c>
      <c r="E5301" s="5" t="n">
        <v>189.1</v>
      </c>
      <c r="F5301" s="3" t="inlineStr">
        <is>
          <t>남이면</t>
        </is>
      </c>
      <c r="G5301" s="3" t="inlineStr">
        <is>
          <t>부용외천리</t>
        </is>
      </c>
      <c r="H5301" s="3" t="inlineStr">
        <is>
          <t>계획관리지역</t>
        </is>
      </c>
      <c r="I5301" s="3" t="inlineStr">
        <is>
          <t>공장용지</t>
        </is>
      </c>
      <c r="J5301" s="3" t="inlineStr">
        <is>
          <t>남이면</t>
        </is>
      </c>
    </row>
    <row r="5302">
      <c r="A5302" s="3" t="n">
        <v>2026</v>
      </c>
      <c r="B5302" s="4" t="n">
        <v>34094</v>
      </c>
      <c r="C5302" s="4" t="n">
        <v>1755</v>
      </c>
      <c r="D5302" s="4" t="n">
        <v>530.8874999999999</v>
      </c>
      <c r="E5302" s="5" t="n">
        <v>64.2</v>
      </c>
      <c r="F5302" s="3" t="inlineStr">
        <is>
          <t>남이면</t>
        </is>
      </c>
      <c r="G5302" s="3" t="inlineStr">
        <is>
          <t>부용외천리</t>
        </is>
      </c>
      <c r="H5302" s="3" t="inlineStr">
        <is>
          <t>보전관리지역</t>
        </is>
      </c>
      <c r="I5302" s="3" t="inlineStr">
        <is>
          <t>전</t>
        </is>
      </c>
      <c r="J5302" s="3" t="inlineStr">
        <is>
          <t>남이면</t>
        </is>
      </c>
    </row>
    <row r="5303">
      <c r="A5303" s="3" t="n">
        <v>2022</v>
      </c>
      <c r="B5303" s="4" t="n">
        <v>25000</v>
      </c>
      <c r="C5303" s="4" t="n">
        <v>1846</v>
      </c>
      <c r="D5303" s="4" t="n">
        <v>558.415</v>
      </c>
      <c r="E5303" s="5" t="n">
        <v>44.8</v>
      </c>
      <c r="F5303" s="3" t="inlineStr">
        <is>
          <t>소정면</t>
        </is>
      </c>
      <c r="G5303" s="3" t="inlineStr">
        <is>
          <t>대곡리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소정면</t>
        </is>
      </c>
    </row>
    <row r="5304">
      <c r="A5304" s="3" t="n">
        <v>2022</v>
      </c>
      <c r="B5304" s="4" t="n">
        <v>16000</v>
      </c>
      <c r="C5304" s="4" t="n">
        <v>1124</v>
      </c>
      <c r="D5304" s="4" t="n">
        <v>340.01</v>
      </c>
      <c r="E5304" s="5" t="n">
        <v>47.1</v>
      </c>
      <c r="F5304" s="3" t="inlineStr">
        <is>
          <t>장군면</t>
        </is>
      </c>
      <c r="G5304" s="3" t="inlineStr">
        <is>
          <t>대교리</t>
        </is>
      </c>
      <c r="H5304" s="3" t="inlineStr">
        <is>
          <t>생산관리지역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2022</v>
      </c>
      <c r="B5305" s="4" t="n">
        <v>23000</v>
      </c>
      <c r="C5305" s="4" t="n">
        <v>1940</v>
      </c>
      <c r="D5305" s="4" t="n">
        <v>586.85</v>
      </c>
      <c r="E5305" s="5" t="n">
        <v>39.2</v>
      </c>
      <c r="F5305" s="3" t="inlineStr">
        <is>
          <t>금남면</t>
        </is>
      </c>
      <c r="G5305" s="3" t="inlineStr">
        <is>
          <t>영치리</t>
        </is>
      </c>
      <c r="H5305" s="3" t="inlineStr">
        <is>
          <t>용도미지정</t>
        </is>
      </c>
      <c r="I5305" s="3" t="inlineStr">
        <is>
          <t>답</t>
        </is>
      </c>
      <c r="J5305" s="3" t="inlineStr">
        <is>
          <t>금남면</t>
        </is>
      </c>
    </row>
    <row r="5306">
      <c r="A5306" s="3" t="n">
        <v>2022</v>
      </c>
      <c r="B5306" s="4" t="n">
        <v>600</v>
      </c>
      <c r="C5306" s="4" t="n">
        <v>6</v>
      </c>
      <c r="D5306" s="4" t="n">
        <v>1.815</v>
      </c>
      <c r="E5306" s="5" t="n">
        <v>330.6</v>
      </c>
      <c r="F5306" s="3" t="inlineStr">
        <is>
          <t>조치원읍</t>
        </is>
      </c>
      <c r="G5306" s="3" t="inlineStr">
        <is>
          <t>신안리</t>
        </is>
      </c>
      <c r="H5306" s="3" t="inlineStr">
        <is>
          <t>제2종일반주거지역</t>
        </is>
      </c>
      <c r="I5306" s="3" t="inlineStr">
        <is>
          <t>도로</t>
        </is>
      </c>
      <c r="J5306" s="3" t="inlineStr">
        <is>
          <t>조치원읍</t>
        </is>
      </c>
    </row>
    <row r="5307">
      <c r="A5307" s="3" t="n">
        <v>2022</v>
      </c>
      <c r="B5307" s="4" t="n">
        <v>1900</v>
      </c>
      <c r="C5307" s="4" t="n">
        <v>27</v>
      </c>
      <c r="D5307" s="4" t="n">
        <v>8.1675</v>
      </c>
      <c r="E5307" s="5" t="n">
        <v>232.6</v>
      </c>
      <c r="F5307" s="3" t="inlineStr">
        <is>
          <t>조치원읍</t>
        </is>
      </c>
      <c r="G5307" s="3" t="inlineStr">
        <is>
          <t>신안리</t>
        </is>
      </c>
      <c r="H5307" s="3" t="inlineStr">
        <is>
          <t>제2종일반주거지역</t>
        </is>
      </c>
      <c r="I5307" s="3" t="inlineStr">
        <is>
          <t>도로</t>
        </is>
      </c>
      <c r="J5307" s="3" t="inlineStr">
        <is>
          <t>조치원읍</t>
        </is>
      </c>
    </row>
    <row r="5308">
      <c r="A5308" s="3" t="n">
        <v>2022</v>
      </c>
      <c r="B5308" s="4" t="n">
        <v>926554</v>
      </c>
      <c r="C5308" s="4" t="n">
        <v>22483</v>
      </c>
      <c r="D5308" s="4" t="n">
        <v>6801.1075</v>
      </c>
      <c r="E5308" s="5" t="n">
        <v>136.2</v>
      </c>
      <c r="F5308" s="3" t="inlineStr">
        <is>
          <t>부강면</t>
        </is>
      </c>
      <c r="G5308" s="3" t="inlineStr">
        <is>
          <t>문곡리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부강면</t>
        </is>
      </c>
    </row>
    <row r="5309">
      <c r="A5309" s="3" t="n">
        <v>2022</v>
      </c>
      <c r="B5309" s="4" t="n">
        <v>15595</v>
      </c>
      <c r="C5309" s="4" t="n">
        <v>4195</v>
      </c>
      <c r="D5309" s="4" t="n">
        <v>1268.9875</v>
      </c>
      <c r="E5309" s="5" t="n">
        <v>12.3</v>
      </c>
      <c r="F5309" s="3" t="inlineStr">
        <is>
          <t>부강면</t>
        </is>
      </c>
      <c r="G5309" s="3" t="inlineStr">
        <is>
          <t>문곡리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부강면</t>
        </is>
      </c>
    </row>
    <row r="5310">
      <c r="A5310" s="3" t="n">
        <v>2022</v>
      </c>
      <c r="B5310" s="4" t="n">
        <v>27500</v>
      </c>
      <c r="C5310" s="4" t="n">
        <v>271</v>
      </c>
      <c r="D5310" s="4" t="n">
        <v>81.97749999999999</v>
      </c>
      <c r="E5310" s="5" t="n">
        <v>335.5</v>
      </c>
      <c r="F5310" s="3" t="inlineStr">
        <is>
          <t>조치원읍</t>
        </is>
      </c>
      <c r="G5310" s="3" t="inlineStr">
        <is>
          <t>신안리</t>
        </is>
      </c>
      <c r="H5310" s="3" t="inlineStr">
        <is>
          <t>제2종일반주거지역</t>
        </is>
      </c>
      <c r="I5310" s="3" t="inlineStr">
        <is>
          <t>대</t>
        </is>
      </c>
      <c r="J5310" s="3" t="inlineStr">
        <is>
          <t>조치원읍</t>
        </is>
      </c>
    </row>
    <row r="5311">
      <c r="A5311" s="3" t="n">
        <v>2022</v>
      </c>
      <c r="B5311" s="4" t="n">
        <v>60000</v>
      </c>
      <c r="C5311" s="4" t="n">
        <v>2661</v>
      </c>
      <c r="D5311" s="4" t="n">
        <v>804.9525</v>
      </c>
      <c r="E5311" s="5" t="n">
        <v>74.5</v>
      </c>
      <c r="F5311" s="3" t="inlineStr">
        <is>
          <t>전동면</t>
        </is>
      </c>
      <c r="G5311" s="3" t="inlineStr">
        <is>
          <t>청송리</t>
        </is>
      </c>
      <c r="H5311" s="3" t="inlineStr">
        <is>
          <t>계획관리지역</t>
        </is>
      </c>
      <c r="I5311" s="3" t="inlineStr">
        <is>
          <t>잡종지</t>
        </is>
      </c>
      <c r="J5311" s="3" t="inlineStr">
        <is>
          <t>전동면</t>
        </is>
      </c>
    </row>
    <row r="5312">
      <c r="A5312" s="3" t="n">
        <v>2025</v>
      </c>
      <c r="B5312" s="4" t="n">
        <v>7000</v>
      </c>
      <c r="C5312" s="4" t="n">
        <v>3306</v>
      </c>
      <c r="D5312" s="4" t="n">
        <v>1000.065</v>
      </c>
      <c r="E5312" s="5" t="n">
        <v>7</v>
      </c>
      <c r="F5312" s="3" t="inlineStr">
        <is>
          <t>전동면</t>
        </is>
      </c>
      <c r="G5312" s="3" t="inlineStr">
        <is>
          <t>송정리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전동면</t>
        </is>
      </c>
    </row>
    <row r="5313">
      <c r="A5313" s="3" t="n">
        <v>2025</v>
      </c>
      <c r="B5313" s="4" t="n">
        <v>65000</v>
      </c>
      <c r="C5313" s="4" t="n">
        <v>960</v>
      </c>
      <c r="D5313" s="4" t="n">
        <v>290.4</v>
      </c>
      <c r="E5313" s="5" t="n">
        <v>223.8</v>
      </c>
      <c r="F5313" s="3" t="inlineStr">
        <is>
          <t>연서면</t>
        </is>
      </c>
      <c r="G5313" s="3" t="inlineStr">
        <is>
          <t>와촌리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연서면</t>
        </is>
      </c>
    </row>
    <row r="5314">
      <c r="A5314" s="3" t="n">
        <v>2025</v>
      </c>
      <c r="B5314" s="4" t="n">
        <v>14000</v>
      </c>
      <c r="C5314" s="4" t="n">
        <v>1034</v>
      </c>
      <c r="D5314" s="4" t="n">
        <v>312.785</v>
      </c>
      <c r="E5314" s="5" t="n">
        <v>44.8</v>
      </c>
      <c r="F5314" s="3" t="inlineStr">
        <is>
          <t>전동면</t>
        </is>
      </c>
      <c r="G5314" s="3" t="inlineStr">
        <is>
          <t>송곡리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전동면</t>
        </is>
      </c>
    </row>
    <row r="5315">
      <c r="A5315" s="3" t="n">
        <v>2025</v>
      </c>
      <c r="B5315" s="4" t="n">
        <v>19500</v>
      </c>
      <c r="C5315" s="4" t="n">
        <v>2466</v>
      </c>
      <c r="D5315" s="4" t="n">
        <v>745.965</v>
      </c>
      <c r="E5315" s="5" t="n">
        <v>26.1</v>
      </c>
      <c r="F5315" s="3" t="inlineStr">
        <is>
          <t>금남면</t>
        </is>
      </c>
      <c r="G5315" s="3" t="inlineStr">
        <is>
          <t>두만리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금남면</t>
        </is>
      </c>
    </row>
    <row r="5316">
      <c r="A5316" s="3" t="n">
        <v>2025</v>
      </c>
      <c r="B5316" s="4" t="n">
        <v>91709</v>
      </c>
      <c r="C5316" s="4" t="n">
        <v>1418.8</v>
      </c>
      <c r="D5316" s="4" t="n">
        <v>429.187</v>
      </c>
      <c r="E5316" s="5" t="n">
        <v>213.7</v>
      </c>
      <c r="F5316" s="3" t="inlineStr">
        <is>
          <t>집현동</t>
        </is>
      </c>
      <c r="G5316" s="3" t="inlineStr"/>
      <c r="H5316" s="3" t="inlineStr">
        <is>
          <t>준주거지역</t>
        </is>
      </c>
      <c r="I5316" s="3" t="inlineStr">
        <is>
          <t>대</t>
        </is>
      </c>
      <c r="J5316" s="3" t="inlineStr">
        <is>
          <t>집현동</t>
        </is>
      </c>
    </row>
    <row r="5317">
      <c r="A5317" s="3" t="n">
        <v>2025</v>
      </c>
      <c r="B5317" s="4" t="n">
        <v>53924</v>
      </c>
      <c r="C5317" s="4" t="n">
        <v>2300.2</v>
      </c>
      <c r="D5317" s="4" t="n">
        <v>695.8104999999999</v>
      </c>
      <c r="E5317" s="5" t="n">
        <v>77.5</v>
      </c>
      <c r="F5317" s="3" t="inlineStr">
        <is>
          <t>금남면</t>
        </is>
      </c>
      <c r="G5317" s="3" t="inlineStr">
        <is>
          <t>부용리</t>
        </is>
      </c>
      <c r="H5317" s="3" t="inlineStr">
        <is>
          <t>개발제한구역</t>
        </is>
      </c>
      <c r="I5317" s="3" t="inlineStr">
        <is>
          <t>답</t>
        </is>
      </c>
      <c r="J5317" s="3" t="inlineStr">
        <is>
          <t>금남면</t>
        </is>
      </c>
    </row>
    <row r="5318">
      <c r="A5318" s="3" t="n">
        <v>2025</v>
      </c>
      <c r="B5318" s="4" t="n">
        <v>23927</v>
      </c>
      <c r="C5318" s="4" t="n">
        <v>508</v>
      </c>
      <c r="D5318" s="4" t="n">
        <v>153.67</v>
      </c>
      <c r="E5318" s="5" t="n">
        <v>155.7</v>
      </c>
      <c r="F5318" s="3" t="inlineStr">
        <is>
          <t>전의면</t>
        </is>
      </c>
      <c r="G5318" s="3" t="inlineStr">
        <is>
          <t>신방리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전의면</t>
        </is>
      </c>
    </row>
    <row r="5319">
      <c r="A5319" s="3" t="n">
        <v>2025</v>
      </c>
      <c r="B5319" s="4" t="n">
        <v>56326</v>
      </c>
      <c r="C5319" s="4" t="n">
        <v>252</v>
      </c>
      <c r="D5319" s="4" t="n">
        <v>76.23</v>
      </c>
      <c r="E5319" s="5" t="n">
        <v>738.9</v>
      </c>
      <c r="F5319" s="3" t="inlineStr">
        <is>
          <t>금남면</t>
        </is>
      </c>
      <c r="G5319" s="3" t="inlineStr">
        <is>
          <t>용포리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금남면</t>
        </is>
      </c>
    </row>
    <row r="5320">
      <c r="A5320" s="3" t="n">
        <v>2025</v>
      </c>
      <c r="B5320" s="4" t="n">
        <v>17000</v>
      </c>
      <c r="C5320" s="4" t="n">
        <v>1156</v>
      </c>
      <c r="D5320" s="4" t="n">
        <v>349.69</v>
      </c>
      <c r="E5320" s="5" t="n">
        <v>48.6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2026</v>
      </c>
      <c r="B5321" s="4" t="n">
        <v>37069</v>
      </c>
      <c r="C5321" s="4" t="n">
        <v>450</v>
      </c>
      <c r="D5321" s="4" t="n">
        <v>136.125</v>
      </c>
      <c r="E5321" s="5" t="n">
        <v>272.3</v>
      </c>
      <c r="F5321" s="3" t="inlineStr">
        <is>
          <t>장군면</t>
        </is>
      </c>
      <c r="G5321" s="3" t="inlineStr">
        <is>
          <t>대교리</t>
        </is>
      </c>
      <c r="H5321" s="3" t="inlineStr">
        <is>
          <t>보전관리지역</t>
        </is>
      </c>
      <c r="I5321" s="3" t="inlineStr">
        <is>
          <t>대</t>
        </is>
      </c>
      <c r="J5321" s="3" t="inlineStr">
        <is>
          <t>장군면</t>
        </is>
      </c>
    </row>
    <row r="5322">
      <c r="A5322" s="3" t="n">
        <v>2026</v>
      </c>
      <c r="B5322" s="4" t="n">
        <v>10800</v>
      </c>
      <c r="C5322" s="4" t="n">
        <v>446</v>
      </c>
      <c r="D5322" s="4" t="n">
        <v>134.915</v>
      </c>
      <c r="E5322" s="5" t="n">
        <v>80.09999999999999</v>
      </c>
      <c r="F5322" s="3" t="inlineStr">
        <is>
          <t>조치원읍</t>
        </is>
      </c>
      <c r="G5322" s="3" t="inlineStr">
        <is>
          <t>신안리</t>
        </is>
      </c>
      <c r="H5322" s="3" t="inlineStr">
        <is>
          <t>보전녹지지역</t>
        </is>
      </c>
      <c r="I5322" s="3" t="inlineStr">
        <is>
          <t>임야</t>
        </is>
      </c>
      <c r="J5322" s="3" t="inlineStr">
        <is>
          <t>조치원읍</t>
        </is>
      </c>
    </row>
    <row r="5323">
      <c r="A5323" s="3" t="n">
        <v>2026</v>
      </c>
      <c r="B5323" s="4" t="n">
        <v>42629</v>
      </c>
      <c r="C5323" s="4" t="n">
        <v>450</v>
      </c>
      <c r="D5323" s="4" t="n">
        <v>136.125</v>
      </c>
      <c r="E5323" s="5" t="n">
        <v>313.2</v>
      </c>
      <c r="F5323" s="3" t="inlineStr">
        <is>
          <t>장군면</t>
        </is>
      </c>
      <c r="G5323" s="3" t="inlineStr">
        <is>
          <t>대교리</t>
        </is>
      </c>
      <c r="H5323" s="3" t="inlineStr">
        <is>
          <t>보전관리지역</t>
        </is>
      </c>
      <c r="I5323" s="3" t="inlineStr">
        <is>
          <t>대</t>
        </is>
      </c>
      <c r="J5323" s="3" t="inlineStr">
        <is>
          <t>장군면</t>
        </is>
      </c>
    </row>
    <row r="5324">
      <c r="A5324" s="3" t="n">
        <v>2026</v>
      </c>
      <c r="B5324" s="4" t="n">
        <v>42624</v>
      </c>
      <c r="C5324" s="4" t="n">
        <v>450</v>
      </c>
      <c r="D5324" s="4" t="n">
        <v>136.125</v>
      </c>
      <c r="E5324" s="5" t="n">
        <v>313.1</v>
      </c>
      <c r="F5324" s="3" t="inlineStr">
        <is>
          <t>장군면</t>
        </is>
      </c>
      <c r="G5324" s="3" t="inlineStr">
        <is>
          <t>대교리</t>
        </is>
      </c>
      <c r="H5324" s="3" t="inlineStr">
        <is>
          <t>보전관리지역</t>
        </is>
      </c>
      <c r="I5324" s="3" t="inlineStr">
        <is>
          <t>대</t>
        </is>
      </c>
      <c r="J5324" s="3" t="inlineStr">
        <is>
          <t>장군면</t>
        </is>
      </c>
    </row>
    <row r="5325">
      <c r="A5325" s="3" t="n">
        <v>2026</v>
      </c>
      <c r="B5325" s="4" t="n">
        <v>50</v>
      </c>
      <c r="C5325" s="4" t="n">
        <v>3</v>
      </c>
      <c r="D5325" s="4" t="n">
        <v>0.9075</v>
      </c>
      <c r="E5325" s="5" t="n">
        <v>55.1</v>
      </c>
      <c r="F5325" s="3" t="inlineStr">
        <is>
          <t>장군면</t>
        </is>
      </c>
      <c r="G5325" s="3" t="inlineStr">
        <is>
          <t>은용리</t>
        </is>
      </c>
      <c r="H5325" s="3" t="inlineStr">
        <is>
          <t>계획관리지역</t>
        </is>
      </c>
      <c r="I5325" s="3" t="inlineStr">
        <is>
          <t>도로</t>
        </is>
      </c>
      <c r="J5325" s="3" t="inlineStr">
        <is>
          <t>장군면</t>
        </is>
      </c>
    </row>
    <row r="5326">
      <c r="A5326" s="3" t="n">
        <v>2026</v>
      </c>
      <c r="B5326" s="4" t="n">
        <v>8784</v>
      </c>
      <c r="C5326" s="4" t="n">
        <v>242</v>
      </c>
      <c r="D5326" s="4" t="n">
        <v>73.205</v>
      </c>
      <c r="E5326" s="5" t="n">
        <v>120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생산관리지역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2026</v>
      </c>
      <c r="B5327" s="4" t="n">
        <v>617</v>
      </c>
      <c r="C5327" s="4" t="n">
        <v>17</v>
      </c>
      <c r="D5327" s="4" t="n">
        <v>5.1425</v>
      </c>
      <c r="E5327" s="5" t="n">
        <v>120</v>
      </c>
      <c r="F5327" s="3" t="inlineStr">
        <is>
          <t>연기면</t>
        </is>
      </c>
      <c r="G5327" s="3" t="inlineStr">
        <is>
          <t>수산리</t>
        </is>
      </c>
      <c r="H5327" s="3" t="inlineStr">
        <is>
          <t>생산관리지역</t>
        </is>
      </c>
      <c r="I5327" s="3" t="inlineStr">
        <is>
          <t>도로</t>
        </is>
      </c>
      <c r="J5327" s="3" t="inlineStr">
        <is>
          <t>연기면</t>
        </is>
      </c>
    </row>
    <row r="5328">
      <c r="A5328" s="3" t="n">
        <v>2026</v>
      </c>
      <c r="B5328" s="4" t="n">
        <v>14000</v>
      </c>
      <c r="C5328" s="4" t="n">
        <v>1157</v>
      </c>
      <c r="D5328" s="4" t="n">
        <v>349.9925</v>
      </c>
      <c r="E5328" s="5" t="n">
        <v>40</v>
      </c>
      <c r="F5328" s="3" t="inlineStr">
        <is>
          <t>전의면</t>
        </is>
      </c>
      <c r="G5328" s="3" t="inlineStr">
        <is>
          <t>다방리</t>
        </is>
      </c>
      <c r="H5328" s="3" t="inlineStr">
        <is>
          <t>생산관리지역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2026</v>
      </c>
      <c r="B5329" s="4" t="n">
        <v>7700</v>
      </c>
      <c r="C5329" s="4" t="n">
        <v>349</v>
      </c>
      <c r="D5329" s="4" t="n">
        <v>105.5725</v>
      </c>
      <c r="E5329" s="5" t="n">
        <v>72.90000000000001</v>
      </c>
      <c r="F5329" s="3" t="inlineStr">
        <is>
          <t>연동면</t>
        </is>
      </c>
      <c r="G5329" s="3" t="inlineStr">
        <is>
          <t>명학리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연동면</t>
        </is>
      </c>
    </row>
    <row r="5330">
      <c r="A5330" s="3" t="n">
        <v>2026</v>
      </c>
      <c r="B5330" s="4" t="n">
        <v>12300</v>
      </c>
      <c r="C5330" s="4" t="n">
        <v>559</v>
      </c>
      <c r="D5330" s="4" t="n">
        <v>169.0975</v>
      </c>
      <c r="E5330" s="5" t="n">
        <v>72.7</v>
      </c>
      <c r="F5330" s="3" t="inlineStr">
        <is>
          <t>연동면</t>
        </is>
      </c>
      <c r="G5330" s="3" t="inlineStr">
        <is>
          <t>명학리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2024</v>
      </c>
      <c r="B5331" s="4" t="n">
        <v>34104</v>
      </c>
      <c r="C5331" s="4" t="n">
        <v>447</v>
      </c>
      <c r="D5331" s="4" t="n">
        <v>135.2175</v>
      </c>
      <c r="E5331" s="5" t="n">
        <v>252.2</v>
      </c>
      <c r="F5331" s="3" t="inlineStr">
        <is>
          <t>장군면</t>
        </is>
      </c>
      <c r="G5331" s="3" t="inlineStr">
        <is>
          <t>산학리</t>
        </is>
      </c>
      <c r="H5331" s="3" t="inlineStr">
        <is>
          <t>보전관리지역</t>
        </is>
      </c>
      <c r="I5331" s="3" t="inlineStr">
        <is>
          <t>대</t>
        </is>
      </c>
      <c r="J5331" s="3" t="inlineStr">
        <is>
          <t>장군면</t>
        </is>
      </c>
    </row>
    <row r="5332">
      <c r="A5332" s="3" t="n">
        <v>2024</v>
      </c>
      <c r="B5332" s="4" t="n">
        <v>35600</v>
      </c>
      <c r="C5332" s="4" t="n">
        <v>467</v>
      </c>
      <c r="D5332" s="4" t="n">
        <v>141.2675</v>
      </c>
      <c r="E5332" s="5" t="n">
        <v>252</v>
      </c>
      <c r="F5332" s="3" t="inlineStr">
        <is>
          <t>장군면</t>
        </is>
      </c>
      <c r="G5332" s="3" t="inlineStr">
        <is>
          <t>산학리</t>
        </is>
      </c>
      <c r="H5332" s="3" t="inlineStr">
        <is>
          <t>보전관리지역</t>
        </is>
      </c>
      <c r="I5332" s="3" t="inlineStr">
        <is>
          <t>대</t>
        </is>
      </c>
      <c r="J5332" s="3" t="inlineStr">
        <is>
          <t>장군면</t>
        </is>
      </c>
    </row>
    <row r="5333">
      <c r="A5333" s="3" t="n">
        <v>2024</v>
      </c>
      <c r="B5333" s="4" t="n">
        <v>35072</v>
      </c>
      <c r="C5333" s="4" t="n">
        <v>460</v>
      </c>
      <c r="D5333" s="4" t="n">
        <v>139.15</v>
      </c>
      <c r="E5333" s="5" t="n">
        <v>252</v>
      </c>
      <c r="F5333" s="3" t="inlineStr">
        <is>
          <t>장군면</t>
        </is>
      </c>
      <c r="G5333" s="3" t="inlineStr">
        <is>
          <t>산학리</t>
        </is>
      </c>
      <c r="H5333" s="3" t="inlineStr">
        <is>
          <t>보전관리지역</t>
        </is>
      </c>
      <c r="I5333" s="3" t="inlineStr">
        <is>
          <t>대</t>
        </is>
      </c>
      <c r="J5333" s="3" t="inlineStr">
        <is>
          <t>장군면</t>
        </is>
      </c>
    </row>
    <row r="5334">
      <c r="A5334" s="3" t="n">
        <v>2024</v>
      </c>
      <c r="B5334" s="4" t="n">
        <v>35224</v>
      </c>
      <c r="C5334" s="4" t="n">
        <v>462</v>
      </c>
      <c r="D5334" s="4" t="n">
        <v>139.755</v>
      </c>
      <c r="E5334" s="5" t="n">
        <v>252</v>
      </c>
      <c r="F5334" s="3" t="inlineStr">
        <is>
          <t>장군면</t>
        </is>
      </c>
      <c r="G5334" s="3" t="inlineStr">
        <is>
          <t>산학리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장군면</t>
        </is>
      </c>
    </row>
    <row r="5335">
      <c r="A5335" s="3" t="n">
        <v>2023</v>
      </c>
      <c r="B5335" s="4" t="n">
        <v>3326</v>
      </c>
      <c r="C5335" s="4" t="n">
        <v>188</v>
      </c>
      <c r="D5335" s="4" t="n">
        <v>56.87</v>
      </c>
      <c r="E5335" s="5" t="n">
        <v>58.5</v>
      </c>
      <c r="F5335" s="3" t="inlineStr">
        <is>
          <t>남이면</t>
        </is>
      </c>
      <c r="G5335" s="3" t="inlineStr">
        <is>
          <t>사동리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남이면</t>
        </is>
      </c>
    </row>
    <row r="5336">
      <c r="A5336" s="3" t="n">
        <v>2023</v>
      </c>
      <c r="B5336" s="4" t="n">
        <v>14737</v>
      </c>
      <c r="C5336" s="4" t="n">
        <v>833</v>
      </c>
      <c r="D5336" s="4" t="n">
        <v>251.9825</v>
      </c>
      <c r="E5336" s="5" t="n">
        <v>58.5</v>
      </c>
      <c r="F5336" s="3" t="inlineStr">
        <is>
          <t>남이면</t>
        </is>
      </c>
      <c r="G5336" s="3" t="inlineStr">
        <is>
          <t>사동리</t>
        </is>
      </c>
      <c r="H5336" s="3" t="inlineStr">
        <is>
          <t>생산관리지역</t>
        </is>
      </c>
      <c r="I5336" s="3" t="inlineStr">
        <is>
          <t>잡종지</t>
        </is>
      </c>
      <c r="J5336" s="3" t="inlineStr">
        <is>
          <t>남이면</t>
        </is>
      </c>
    </row>
    <row r="5337">
      <c r="A5337" s="3" t="n">
        <v>2023</v>
      </c>
      <c r="B5337" s="4" t="n">
        <v>2937</v>
      </c>
      <c r="C5337" s="4" t="n">
        <v>166</v>
      </c>
      <c r="D5337" s="4" t="n">
        <v>50.215</v>
      </c>
      <c r="E5337" s="5" t="n">
        <v>58.5</v>
      </c>
      <c r="F5337" s="3" t="inlineStr">
        <is>
          <t>남이면</t>
        </is>
      </c>
      <c r="G5337" s="3" t="inlineStr">
        <is>
          <t>사동리</t>
        </is>
      </c>
      <c r="H5337" s="3" t="inlineStr">
        <is>
          <t>생산관리지역</t>
        </is>
      </c>
      <c r="I5337" s="3" t="inlineStr">
        <is>
          <t>잡종지</t>
        </is>
      </c>
      <c r="J5337" s="3" t="inlineStr">
        <is>
          <t>남이면</t>
        </is>
      </c>
    </row>
    <row r="5338">
      <c r="A5338" s="3" t="n">
        <v>2023</v>
      </c>
      <c r="B5338" s="4" t="n">
        <v>58350</v>
      </c>
      <c r="C5338" s="4" t="n">
        <v>2573</v>
      </c>
      <c r="D5338" s="4" t="n">
        <v>778.3325</v>
      </c>
      <c r="E5338" s="5" t="n">
        <v>75</v>
      </c>
      <c r="F5338" s="3" t="inlineStr">
        <is>
          <t>현도면</t>
        </is>
      </c>
      <c r="G5338" s="3" t="inlineStr">
        <is>
          <t>죽전리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현도면</t>
        </is>
      </c>
    </row>
    <row r="5339">
      <c r="A5339" s="3" t="n">
        <v>2023</v>
      </c>
      <c r="B5339" s="4" t="n">
        <v>2400</v>
      </c>
      <c r="C5339" s="4" t="n">
        <v>397</v>
      </c>
      <c r="D5339" s="4" t="n">
        <v>120.0925</v>
      </c>
      <c r="E5339" s="5" t="n">
        <v>20</v>
      </c>
      <c r="F5339" s="3" t="inlineStr">
        <is>
          <t>현도면</t>
        </is>
      </c>
      <c r="G5339" s="3" t="inlineStr">
        <is>
          <t>달계리</t>
        </is>
      </c>
      <c r="H5339" s="3" t="inlineStr">
        <is>
          <t>자연녹지지역</t>
        </is>
      </c>
      <c r="I5339" s="3" t="inlineStr">
        <is>
          <t>전</t>
        </is>
      </c>
      <c r="J5339" s="3" t="inlineStr">
        <is>
          <t>현도면</t>
        </is>
      </c>
    </row>
    <row r="5340">
      <c r="A5340" s="3" t="n">
        <v>2023</v>
      </c>
      <c r="B5340" s="4" t="n">
        <v>43485</v>
      </c>
      <c r="C5340" s="4" t="n">
        <v>2301</v>
      </c>
      <c r="D5340" s="4" t="n">
        <v>696.0525</v>
      </c>
      <c r="E5340" s="5" t="n">
        <v>62.5</v>
      </c>
      <c r="F5340" s="3" t="inlineStr">
        <is>
          <t>남이면</t>
        </is>
      </c>
      <c r="G5340" s="3" t="inlineStr">
        <is>
          <t>팔봉리</t>
        </is>
      </c>
      <c r="H5340" s="3" t="inlineStr">
        <is>
          <t>자연녹지지역</t>
        </is>
      </c>
      <c r="I5340" s="3" t="inlineStr">
        <is>
          <t>전</t>
        </is>
      </c>
      <c r="J5340" s="3" t="inlineStr">
        <is>
          <t>남이면</t>
        </is>
      </c>
    </row>
    <row r="5341">
      <c r="A5341" s="3" t="n">
        <v>2023</v>
      </c>
      <c r="B5341" s="4" t="n">
        <v>3515</v>
      </c>
      <c r="C5341" s="4" t="n">
        <v>186</v>
      </c>
      <c r="D5341" s="4" t="n">
        <v>56.265</v>
      </c>
      <c r="E5341" s="5" t="n">
        <v>62.5</v>
      </c>
      <c r="F5341" s="3" t="inlineStr">
        <is>
          <t>남이면</t>
        </is>
      </c>
      <c r="G5341" s="3" t="inlineStr">
        <is>
          <t>팔봉리</t>
        </is>
      </c>
      <c r="H5341" s="3" t="inlineStr">
        <is>
          <t>자연녹지지역</t>
        </is>
      </c>
      <c r="I5341" s="3" t="inlineStr">
        <is>
          <t>묘지</t>
        </is>
      </c>
      <c r="J5341" s="3" t="inlineStr">
        <is>
          <t>남이면</t>
        </is>
      </c>
    </row>
    <row r="5342">
      <c r="A5342" s="3" t="n">
        <v>2023</v>
      </c>
      <c r="B5342" s="4" t="n">
        <v>26369</v>
      </c>
      <c r="C5342" s="4" t="n">
        <v>2301</v>
      </c>
      <c r="D5342" s="4" t="n">
        <v>696.0525</v>
      </c>
      <c r="E5342" s="5" t="n">
        <v>37.9</v>
      </c>
      <c r="F5342" s="3" t="inlineStr">
        <is>
          <t>남이면</t>
        </is>
      </c>
      <c r="G5342" s="3" t="inlineStr">
        <is>
          <t>팔봉리</t>
        </is>
      </c>
      <c r="H5342" s="3" t="inlineStr">
        <is>
          <t>자연녹지지역</t>
        </is>
      </c>
      <c r="I5342" s="3" t="inlineStr">
        <is>
          <t>전</t>
        </is>
      </c>
      <c r="J5342" s="3" t="inlineStr">
        <is>
          <t>남이면</t>
        </is>
      </c>
    </row>
    <row r="5343">
      <c r="A5343" s="3" t="n">
        <v>2023</v>
      </c>
      <c r="B5343" s="4" t="n">
        <v>2131</v>
      </c>
      <c r="C5343" s="4" t="n">
        <v>186</v>
      </c>
      <c r="D5343" s="4" t="n">
        <v>56.265</v>
      </c>
      <c r="E5343" s="5" t="n">
        <v>37.9</v>
      </c>
      <c r="F5343" s="3" t="inlineStr">
        <is>
          <t>남이면</t>
        </is>
      </c>
      <c r="G5343" s="3" t="inlineStr">
        <is>
          <t>팔봉리</t>
        </is>
      </c>
      <c r="H5343" s="3" t="inlineStr">
        <is>
          <t>자연녹지지역</t>
        </is>
      </c>
      <c r="I5343" s="3" t="inlineStr">
        <is>
          <t>묘지</t>
        </is>
      </c>
      <c r="J5343" s="3" t="inlineStr">
        <is>
          <t>남이면</t>
        </is>
      </c>
    </row>
    <row r="5344">
      <c r="A5344" s="3" t="n">
        <v>2023</v>
      </c>
      <c r="B5344" s="4" t="n">
        <v>2300</v>
      </c>
      <c r="C5344" s="4" t="n">
        <v>171</v>
      </c>
      <c r="D5344" s="4" t="n">
        <v>51.7275</v>
      </c>
      <c r="E5344" s="5" t="n">
        <v>44.5</v>
      </c>
      <c r="F5344" s="3" t="inlineStr">
        <is>
          <t>남이면</t>
        </is>
      </c>
      <c r="G5344" s="3" t="inlineStr">
        <is>
          <t>팔봉리</t>
        </is>
      </c>
      <c r="H5344" s="3" t="inlineStr">
        <is>
          <t>자연녹지지역</t>
        </is>
      </c>
      <c r="I5344" s="3" t="inlineStr">
        <is>
          <t>묘지</t>
        </is>
      </c>
      <c r="J5344" s="3" t="inlineStr">
        <is>
          <t>남이면</t>
        </is>
      </c>
    </row>
    <row r="5345">
      <c r="A5345" s="3" t="n">
        <v>2023</v>
      </c>
      <c r="B5345" s="4" t="n">
        <v>41000</v>
      </c>
      <c r="C5345" s="4" t="n">
        <v>3031</v>
      </c>
      <c r="D5345" s="4" t="n">
        <v>916.8774999999999</v>
      </c>
      <c r="E5345" s="5" t="n">
        <v>44.7</v>
      </c>
      <c r="F5345" s="3" t="inlineStr">
        <is>
          <t>남이면</t>
        </is>
      </c>
      <c r="G5345" s="3" t="inlineStr">
        <is>
          <t>팔봉리</t>
        </is>
      </c>
      <c r="H5345" s="3" t="inlineStr">
        <is>
          <t>자연녹지지역</t>
        </is>
      </c>
      <c r="I5345" s="3" t="inlineStr">
        <is>
          <t>답</t>
        </is>
      </c>
      <c r="J5345" s="3" t="inlineStr">
        <is>
          <t>남이면</t>
        </is>
      </c>
    </row>
    <row r="5346">
      <c r="A5346" s="3" t="n">
        <v>2023</v>
      </c>
      <c r="B5346" s="4" t="n">
        <v>58000</v>
      </c>
      <c r="C5346" s="4" t="n">
        <v>3031</v>
      </c>
      <c r="D5346" s="4" t="n">
        <v>916.8774999999999</v>
      </c>
      <c r="E5346" s="5" t="n">
        <v>63.3</v>
      </c>
      <c r="F5346" s="3" t="inlineStr">
        <is>
          <t>남이면</t>
        </is>
      </c>
      <c r="G5346" s="3" t="inlineStr">
        <is>
          <t>팔봉리</t>
        </is>
      </c>
      <c r="H5346" s="3" t="inlineStr">
        <is>
          <t>자연녹지지역</t>
        </is>
      </c>
      <c r="I5346" s="3" t="inlineStr">
        <is>
          <t>답</t>
        </is>
      </c>
      <c r="J5346" s="3" t="inlineStr">
        <is>
          <t>남이면</t>
        </is>
      </c>
    </row>
    <row r="5347">
      <c r="A5347" s="3" t="n">
        <v>2023</v>
      </c>
      <c r="B5347" s="4" t="n">
        <v>31100</v>
      </c>
      <c r="C5347" s="4" t="n">
        <v>2571</v>
      </c>
      <c r="D5347" s="4" t="n">
        <v>777.7275</v>
      </c>
      <c r="E5347" s="5" t="n">
        <v>40</v>
      </c>
      <c r="F5347" s="3" t="inlineStr">
        <is>
          <t>현도면</t>
        </is>
      </c>
      <c r="G5347" s="3" t="inlineStr">
        <is>
          <t>노산리</t>
        </is>
      </c>
      <c r="H5347" s="3" t="inlineStr">
        <is>
          <t>개발제한구역</t>
        </is>
      </c>
      <c r="I5347" s="3" t="inlineStr">
        <is>
          <t>답</t>
        </is>
      </c>
      <c r="J5347" s="3" t="inlineStr">
        <is>
          <t>현도면</t>
        </is>
      </c>
    </row>
    <row r="5348">
      <c r="A5348" s="3" t="n">
        <v>2023</v>
      </c>
      <c r="B5348" s="4" t="n">
        <v>11450</v>
      </c>
      <c r="C5348" s="4" t="n">
        <v>946</v>
      </c>
      <c r="D5348" s="4" t="n">
        <v>286.165</v>
      </c>
      <c r="E5348" s="5" t="n">
        <v>40</v>
      </c>
      <c r="F5348" s="3" t="inlineStr">
        <is>
          <t>현도면</t>
        </is>
      </c>
      <c r="G5348" s="3" t="inlineStr">
        <is>
          <t>노산리</t>
        </is>
      </c>
      <c r="H5348" s="3" t="inlineStr">
        <is>
          <t>개발제한구역</t>
        </is>
      </c>
      <c r="I5348" s="3" t="inlineStr">
        <is>
          <t>답</t>
        </is>
      </c>
      <c r="J5348" s="3" t="inlineStr">
        <is>
          <t>현도면</t>
        </is>
      </c>
    </row>
    <row r="5349">
      <c r="A5349" s="3" t="n">
        <v>2023</v>
      </c>
      <c r="B5349" s="4" t="n">
        <v>2080</v>
      </c>
      <c r="C5349" s="4" t="n">
        <v>171</v>
      </c>
      <c r="D5349" s="4" t="n">
        <v>51.7275</v>
      </c>
      <c r="E5349" s="5" t="n">
        <v>40.2</v>
      </c>
      <c r="F5349" s="3" t="inlineStr">
        <is>
          <t>남이면</t>
        </is>
      </c>
      <c r="G5349" s="3" t="inlineStr">
        <is>
          <t>팔봉리</t>
        </is>
      </c>
      <c r="H5349" s="3" t="inlineStr">
        <is>
          <t>자연녹지지역</t>
        </is>
      </c>
      <c r="I5349" s="3" t="inlineStr">
        <is>
          <t>묘지</t>
        </is>
      </c>
      <c r="J5349" s="3" t="inlineStr">
        <is>
          <t>남이면</t>
        </is>
      </c>
    </row>
    <row r="5350">
      <c r="A5350" s="3" t="n">
        <v>2023</v>
      </c>
      <c r="B5350" s="4" t="n">
        <v>21780</v>
      </c>
      <c r="C5350" s="4" t="n">
        <v>144</v>
      </c>
      <c r="D5350" s="4" t="n">
        <v>43.56</v>
      </c>
      <c r="E5350" s="5" t="n">
        <v>500</v>
      </c>
      <c r="F5350" s="3" t="inlineStr">
        <is>
          <t>남이면</t>
        </is>
      </c>
      <c r="G5350" s="3" t="inlineStr">
        <is>
          <t>가좌리</t>
        </is>
      </c>
      <c r="H5350" s="3" t="inlineStr">
        <is>
          <t>자연녹지지역</t>
        </is>
      </c>
      <c r="I5350" s="3" t="inlineStr">
        <is>
          <t>답</t>
        </is>
      </c>
      <c r="J5350" s="3" t="inlineStr">
        <is>
          <t>남이면</t>
        </is>
      </c>
    </row>
    <row r="5351">
      <c r="A5351" s="3" t="n">
        <v>2023</v>
      </c>
      <c r="B5351" s="4" t="n">
        <v>1064</v>
      </c>
      <c r="C5351" s="4" t="n">
        <v>127</v>
      </c>
      <c r="D5351" s="4" t="n">
        <v>38.4175</v>
      </c>
      <c r="E5351" s="5" t="n">
        <v>27.7</v>
      </c>
      <c r="F5351" s="3" t="inlineStr">
        <is>
          <t>남이면</t>
        </is>
      </c>
      <c r="G5351" s="3" t="inlineStr">
        <is>
          <t>갈원리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남이면</t>
        </is>
      </c>
    </row>
    <row r="5352">
      <c r="A5352" s="3" t="n">
        <v>2023</v>
      </c>
      <c r="B5352" s="4" t="n">
        <v>5600</v>
      </c>
      <c r="C5352" s="4" t="n">
        <v>370</v>
      </c>
      <c r="D5352" s="4" t="n">
        <v>111.925</v>
      </c>
      <c r="E5352" s="5" t="n">
        <v>50</v>
      </c>
      <c r="F5352" s="3" t="inlineStr">
        <is>
          <t>현도면</t>
        </is>
      </c>
      <c r="G5352" s="3" t="inlineStr">
        <is>
          <t>우록리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현도면</t>
        </is>
      </c>
    </row>
    <row r="5353">
      <c r="A5353" s="3" t="n">
        <v>2023</v>
      </c>
      <c r="B5353" s="4" t="n">
        <v>300</v>
      </c>
      <c r="C5353" s="4" t="n">
        <v>10</v>
      </c>
      <c r="D5353" s="4" t="n">
        <v>3.025</v>
      </c>
      <c r="E5353" s="5" t="n">
        <v>99.2</v>
      </c>
      <c r="F5353" s="3" t="inlineStr">
        <is>
          <t>현도면</t>
        </is>
      </c>
      <c r="G5353" s="3" t="inlineStr">
        <is>
          <t>죽전리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현도면</t>
        </is>
      </c>
    </row>
    <row r="5354">
      <c r="A5354" s="3" t="n">
        <v>2023</v>
      </c>
      <c r="B5354" s="4" t="n">
        <v>6052</v>
      </c>
      <c r="C5354" s="4" t="n">
        <v>562</v>
      </c>
      <c r="D5354" s="4" t="n">
        <v>170.005</v>
      </c>
      <c r="E5354" s="5" t="n">
        <v>35.6</v>
      </c>
      <c r="F5354" s="3" t="inlineStr">
        <is>
          <t>현도면</t>
        </is>
      </c>
      <c r="G5354" s="3" t="inlineStr">
        <is>
          <t>우록리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현도면</t>
        </is>
      </c>
    </row>
    <row r="5355">
      <c r="A5355" s="3" t="n">
        <v>2023</v>
      </c>
      <c r="B5355" s="4" t="n">
        <v>1424</v>
      </c>
      <c r="C5355" s="4" t="n">
        <v>131</v>
      </c>
      <c r="D5355" s="4" t="n">
        <v>39.6275</v>
      </c>
      <c r="E5355" s="5" t="n">
        <v>35.9</v>
      </c>
      <c r="F5355" s="3" t="inlineStr">
        <is>
          <t>현도면</t>
        </is>
      </c>
      <c r="G5355" s="3" t="inlineStr">
        <is>
          <t>우록리</t>
        </is>
      </c>
      <c r="H5355" s="3" t="inlineStr">
        <is>
          <t>농림지역</t>
        </is>
      </c>
      <c r="I5355" s="3" t="inlineStr">
        <is>
          <t>전</t>
        </is>
      </c>
      <c r="J5355" s="3" t="inlineStr">
        <is>
          <t>현도면</t>
        </is>
      </c>
    </row>
    <row r="5356">
      <c r="A5356" s="3" t="n">
        <v>2023</v>
      </c>
      <c r="B5356" s="4" t="n">
        <v>2421</v>
      </c>
      <c r="C5356" s="4" t="n">
        <v>225</v>
      </c>
      <c r="D5356" s="4" t="n">
        <v>68.0625</v>
      </c>
      <c r="E5356" s="5" t="n">
        <v>35.6</v>
      </c>
      <c r="F5356" s="3" t="inlineStr">
        <is>
          <t>현도면</t>
        </is>
      </c>
      <c r="G5356" s="3" t="inlineStr">
        <is>
          <t>우록리</t>
        </is>
      </c>
      <c r="H5356" s="3" t="inlineStr">
        <is>
          <t>농림지역</t>
        </is>
      </c>
      <c r="I5356" s="3" t="inlineStr">
        <is>
          <t>전</t>
        </is>
      </c>
      <c r="J5356" s="3" t="inlineStr">
        <is>
          <t>현도면</t>
        </is>
      </c>
    </row>
    <row r="5357">
      <c r="A5357" s="3" t="n">
        <v>2023</v>
      </c>
      <c r="B5357" s="4" t="n">
        <v>1353</v>
      </c>
      <c r="C5357" s="4" t="n">
        <v>127</v>
      </c>
      <c r="D5357" s="4" t="n">
        <v>38.4175</v>
      </c>
      <c r="E5357" s="5" t="n">
        <v>35.2</v>
      </c>
      <c r="F5357" s="3" t="inlineStr">
        <is>
          <t>현도면</t>
        </is>
      </c>
      <c r="G5357" s="3" t="inlineStr">
        <is>
          <t>우록리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현도면</t>
        </is>
      </c>
    </row>
    <row r="5358">
      <c r="A5358" s="3" t="n">
        <v>2023</v>
      </c>
      <c r="B5358" s="4" t="n">
        <v>10650</v>
      </c>
      <c r="C5358" s="4" t="n">
        <v>471</v>
      </c>
      <c r="D5358" s="4" t="n">
        <v>142.4775</v>
      </c>
      <c r="E5358" s="5" t="n">
        <v>74.7</v>
      </c>
      <c r="F5358" s="3" t="inlineStr">
        <is>
          <t>남이면</t>
        </is>
      </c>
      <c r="G5358" s="3" t="inlineStr">
        <is>
          <t>가마리</t>
        </is>
      </c>
      <c r="H5358" s="3" t="inlineStr">
        <is>
          <t>자연녹지지역</t>
        </is>
      </c>
      <c r="I5358" s="3" t="inlineStr">
        <is>
          <t>임야</t>
        </is>
      </c>
      <c r="J5358" s="3" t="inlineStr">
        <is>
          <t>남이면</t>
        </is>
      </c>
    </row>
    <row r="5359">
      <c r="A5359" s="3" t="n">
        <v>2023</v>
      </c>
      <c r="B5359" s="4" t="n">
        <v>2400</v>
      </c>
      <c r="C5359" s="4" t="n">
        <v>100</v>
      </c>
      <c r="D5359" s="4" t="n">
        <v>30.25</v>
      </c>
      <c r="E5359" s="5" t="n">
        <v>79.3</v>
      </c>
      <c r="F5359" s="3" t="inlineStr">
        <is>
          <t>남이면</t>
        </is>
      </c>
      <c r="G5359" s="3" t="inlineStr">
        <is>
          <t>양촌리</t>
        </is>
      </c>
      <c r="H5359" s="3" t="inlineStr">
        <is>
          <t>자연녹지지역</t>
        </is>
      </c>
      <c r="I5359" s="3" t="inlineStr">
        <is>
          <t>전</t>
        </is>
      </c>
      <c r="J5359" s="3" t="inlineStr">
        <is>
          <t>남이면</t>
        </is>
      </c>
    </row>
    <row r="5360">
      <c r="A5360" s="3" t="n">
        <v>2023</v>
      </c>
      <c r="B5360" s="4" t="n">
        <v>31322</v>
      </c>
      <c r="C5360" s="4" t="n">
        <v>1336</v>
      </c>
      <c r="D5360" s="4" t="n">
        <v>404.14</v>
      </c>
      <c r="E5360" s="5" t="n">
        <v>77.5</v>
      </c>
      <c r="F5360" s="3" t="inlineStr">
        <is>
          <t>남이면</t>
        </is>
      </c>
      <c r="G5360" s="3" t="inlineStr">
        <is>
          <t>팔봉리</t>
        </is>
      </c>
      <c r="H5360" s="3" t="inlineStr">
        <is>
          <t>자연녹지지역</t>
        </is>
      </c>
      <c r="I5360" s="3" t="inlineStr">
        <is>
          <t>전</t>
        </is>
      </c>
      <c r="J5360" s="3" t="inlineStr">
        <is>
          <t>남이면</t>
        </is>
      </c>
    </row>
    <row r="5361">
      <c r="A5361" s="3" t="n">
        <v>2023</v>
      </c>
      <c r="B5361" s="4" t="n">
        <v>17348</v>
      </c>
      <c r="C5361" s="4" t="n">
        <v>740</v>
      </c>
      <c r="D5361" s="4" t="n">
        <v>223.85</v>
      </c>
      <c r="E5361" s="5" t="n">
        <v>77.5</v>
      </c>
      <c r="F5361" s="3" t="inlineStr">
        <is>
          <t>남이면</t>
        </is>
      </c>
      <c r="G5361" s="3" t="inlineStr">
        <is>
          <t>팔봉리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남이면</t>
        </is>
      </c>
    </row>
    <row r="5362">
      <c r="A5362" s="3" t="n">
        <v>2023</v>
      </c>
      <c r="B5362" s="4" t="n">
        <v>20160</v>
      </c>
      <c r="C5362" s="4" t="n">
        <v>1388</v>
      </c>
      <c r="D5362" s="4" t="n">
        <v>419.87</v>
      </c>
      <c r="E5362" s="5" t="n">
        <v>48</v>
      </c>
      <c r="F5362" s="3" t="inlineStr">
        <is>
          <t>남이면</t>
        </is>
      </c>
      <c r="G5362" s="3" t="inlineStr">
        <is>
          <t>석판리</t>
        </is>
      </c>
      <c r="H5362" s="3" t="inlineStr">
        <is>
          <t>자연녹지지역</t>
        </is>
      </c>
      <c r="I5362" s="3" t="inlineStr">
        <is>
          <t>임야</t>
        </is>
      </c>
      <c r="J5362" s="3" t="inlineStr">
        <is>
          <t>남이면</t>
        </is>
      </c>
    </row>
    <row r="5363">
      <c r="A5363" s="3" t="n">
        <v>2023</v>
      </c>
      <c r="B5363" s="4" t="n">
        <v>1131</v>
      </c>
      <c r="C5363" s="4" t="n">
        <v>298</v>
      </c>
      <c r="D5363" s="4" t="n">
        <v>90.145</v>
      </c>
      <c r="E5363" s="5" t="n">
        <v>12.5</v>
      </c>
      <c r="F5363" s="3" t="inlineStr">
        <is>
          <t>남이면</t>
        </is>
      </c>
      <c r="G5363" s="3" t="inlineStr">
        <is>
          <t>석판리</t>
        </is>
      </c>
      <c r="H5363" s="3" t="inlineStr">
        <is>
          <t>보전녹지지역</t>
        </is>
      </c>
      <c r="I5363" s="3" t="inlineStr">
        <is>
          <t>임야</t>
        </is>
      </c>
      <c r="J5363" s="3" t="inlineStr">
        <is>
          <t>남이면</t>
        </is>
      </c>
    </row>
    <row r="5364">
      <c r="A5364" s="3" t="n">
        <v>2023</v>
      </c>
      <c r="B5364" s="4" t="n">
        <v>78709</v>
      </c>
      <c r="C5364" s="4" t="n">
        <v>3749</v>
      </c>
      <c r="D5364" s="4" t="n">
        <v>1134.0725</v>
      </c>
      <c r="E5364" s="5" t="n">
        <v>69.40000000000001</v>
      </c>
      <c r="F5364" s="3" t="inlineStr">
        <is>
          <t>남이면</t>
        </is>
      </c>
      <c r="G5364" s="3" t="inlineStr">
        <is>
          <t>석판리</t>
        </is>
      </c>
      <c r="H5364" s="3" t="inlineStr">
        <is>
          <t>자연녹지지역</t>
        </is>
      </c>
      <c r="I5364" s="3" t="inlineStr">
        <is>
          <t>전</t>
        </is>
      </c>
      <c r="J5364" s="3" t="inlineStr">
        <is>
          <t>남이면</t>
        </is>
      </c>
    </row>
    <row r="5365">
      <c r="A5365" s="3" t="n">
        <v>2023</v>
      </c>
      <c r="B5365" s="4" t="n">
        <v>10500</v>
      </c>
      <c r="C5365" s="4" t="n">
        <v>1090</v>
      </c>
      <c r="D5365" s="4" t="n">
        <v>329.725</v>
      </c>
      <c r="E5365" s="5" t="n">
        <v>31.8</v>
      </c>
      <c r="F5365" s="3" t="inlineStr">
        <is>
          <t>현도면</t>
        </is>
      </c>
      <c r="G5365" s="3" t="inlineStr">
        <is>
          <t>시목리</t>
        </is>
      </c>
      <c r="H5365" s="3" t="inlineStr">
        <is>
          <t>개발제한구역</t>
        </is>
      </c>
      <c r="I5365" s="3" t="inlineStr">
        <is>
          <t>답</t>
        </is>
      </c>
      <c r="J5365" s="3" t="inlineStr">
        <is>
          <t>현도면</t>
        </is>
      </c>
    </row>
    <row r="5366">
      <c r="A5366" s="3" t="n">
        <v>2023</v>
      </c>
      <c r="B5366" s="4" t="n">
        <v>9200</v>
      </c>
      <c r="C5366" s="4" t="n">
        <v>366</v>
      </c>
      <c r="D5366" s="4" t="n">
        <v>110.715</v>
      </c>
      <c r="E5366" s="5" t="n">
        <v>83.09999999999999</v>
      </c>
      <c r="F5366" s="3" t="inlineStr">
        <is>
          <t>남이면</t>
        </is>
      </c>
      <c r="G5366" s="3" t="inlineStr">
        <is>
          <t>양촌리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남이면</t>
        </is>
      </c>
    </row>
    <row r="5367">
      <c r="A5367" s="3" t="n">
        <v>2023</v>
      </c>
      <c r="B5367" s="4" t="n">
        <v>10600</v>
      </c>
      <c r="C5367" s="4" t="n">
        <v>422</v>
      </c>
      <c r="D5367" s="4" t="n">
        <v>127.655</v>
      </c>
      <c r="E5367" s="5" t="n">
        <v>83</v>
      </c>
      <c r="F5367" s="3" t="inlineStr">
        <is>
          <t>남이면</t>
        </is>
      </c>
      <c r="G5367" s="3" t="inlineStr">
        <is>
          <t>양촌리</t>
        </is>
      </c>
      <c r="H5367" s="3" t="inlineStr">
        <is>
          <t>자연녹지지역</t>
        </is>
      </c>
      <c r="I5367" s="3" t="inlineStr">
        <is>
          <t>전</t>
        </is>
      </c>
      <c r="J5367" s="3" t="inlineStr">
        <is>
          <t>남이면</t>
        </is>
      </c>
    </row>
    <row r="5368">
      <c r="A5368" s="3" t="n">
        <v>2023</v>
      </c>
      <c r="B5368" s="4" t="n">
        <v>126700</v>
      </c>
      <c r="C5368" s="4" t="n">
        <v>2841</v>
      </c>
      <c r="D5368" s="4" t="n">
        <v>859.4024999999999</v>
      </c>
      <c r="E5368" s="5" t="n">
        <v>147.4</v>
      </c>
      <c r="F5368" s="3" t="inlineStr">
        <is>
          <t>남이면</t>
        </is>
      </c>
      <c r="G5368" s="3" t="inlineStr">
        <is>
          <t>상발리</t>
        </is>
      </c>
      <c r="H5368" s="3" t="inlineStr">
        <is>
          <t>계획관리지역</t>
        </is>
      </c>
      <c r="I5368" s="3" t="inlineStr">
        <is>
          <t>답</t>
        </is>
      </c>
      <c r="J5368" s="3" t="inlineStr">
        <is>
          <t>남이면</t>
        </is>
      </c>
    </row>
    <row r="5369">
      <c r="A5369" s="3" t="n">
        <v>2023</v>
      </c>
      <c r="B5369" s="4" t="n">
        <v>2000</v>
      </c>
      <c r="C5369" s="4" t="n">
        <v>123</v>
      </c>
      <c r="D5369" s="4" t="n">
        <v>37.2075</v>
      </c>
      <c r="E5369" s="5" t="n">
        <v>53.8</v>
      </c>
      <c r="F5369" s="3" t="inlineStr">
        <is>
          <t>전동면</t>
        </is>
      </c>
      <c r="G5369" s="3" t="inlineStr">
        <is>
          <t>노장리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전동면</t>
        </is>
      </c>
    </row>
    <row r="5370">
      <c r="A5370" s="3" t="n">
        <v>2023</v>
      </c>
      <c r="B5370" s="4" t="n">
        <v>8200</v>
      </c>
      <c r="C5370" s="4" t="n">
        <v>286</v>
      </c>
      <c r="D5370" s="4" t="n">
        <v>86.515</v>
      </c>
      <c r="E5370" s="5" t="n">
        <v>94.8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2023</v>
      </c>
      <c r="B5371" s="4" t="n">
        <v>8500</v>
      </c>
      <c r="C5371" s="4" t="n">
        <v>297</v>
      </c>
      <c r="D5371" s="4" t="n">
        <v>89.8425</v>
      </c>
      <c r="E5371" s="5" t="n">
        <v>94.59999999999999</v>
      </c>
      <c r="F5371" s="3" t="inlineStr">
        <is>
          <t>연서면</t>
        </is>
      </c>
      <c r="G5371" s="3" t="inlineStr">
        <is>
          <t>쌍류리</t>
        </is>
      </c>
      <c r="H5371" s="3" t="inlineStr">
        <is>
          <t>생산관리지역</t>
        </is>
      </c>
      <c r="I5371" s="3" t="inlineStr">
        <is>
          <t>답</t>
        </is>
      </c>
      <c r="J5371" s="3" t="inlineStr">
        <is>
          <t>연서면</t>
        </is>
      </c>
    </row>
    <row r="5372">
      <c r="A5372" s="3" t="n">
        <v>2023</v>
      </c>
      <c r="B5372" s="4" t="n">
        <v>50500</v>
      </c>
      <c r="C5372" s="4" t="n">
        <v>1936.9</v>
      </c>
      <c r="D5372" s="4" t="n">
        <v>585.91225</v>
      </c>
      <c r="E5372" s="5" t="n">
        <v>86.2</v>
      </c>
      <c r="F5372" s="3" t="inlineStr">
        <is>
          <t>금남면</t>
        </is>
      </c>
      <c r="G5372" s="3" t="inlineStr">
        <is>
          <t>부용리</t>
        </is>
      </c>
      <c r="H5372" s="3" t="inlineStr">
        <is>
          <t>개발제한구역</t>
        </is>
      </c>
      <c r="I5372" s="3" t="inlineStr">
        <is>
          <t>답</t>
        </is>
      </c>
      <c r="J5372" s="3" t="inlineStr">
        <is>
          <t>금남면</t>
        </is>
      </c>
    </row>
    <row r="5373">
      <c r="A5373" s="3" t="n">
        <v>2023</v>
      </c>
      <c r="B5373" s="4" t="n">
        <v>92000</v>
      </c>
      <c r="C5373" s="4" t="n">
        <v>581</v>
      </c>
      <c r="D5373" s="4" t="n">
        <v>175.7525</v>
      </c>
      <c r="E5373" s="5" t="n">
        <v>523.5</v>
      </c>
      <c r="F5373" s="3" t="inlineStr">
        <is>
          <t>조치원읍</t>
        </is>
      </c>
      <c r="G5373" s="3" t="inlineStr">
        <is>
          <t>번암리</t>
        </is>
      </c>
      <c r="H5373" s="3" t="inlineStr">
        <is>
          <t>제2종일반주거지역</t>
        </is>
      </c>
      <c r="I5373" s="3" t="inlineStr">
        <is>
          <t>과수원</t>
        </is>
      </c>
      <c r="J5373" s="3" t="inlineStr">
        <is>
          <t>조치원읍</t>
        </is>
      </c>
    </row>
    <row r="5374">
      <c r="A5374" s="3" t="n">
        <v>2023</v>
      </c>
      <c r="B5374" s="4" t="n">
        <v>36000</v>
      </c>
      <c r="C5374" s="4" t="n">
        <v>657</v>
      </c>
      <c r="D5374" s="4" t="n">
        <v>198.7425</v>
      </c>
      <c r="E5374" s="5" t="n">
        <v>181.1</v>
      </c>
      <c r="F5374" s="3" t="inlineStr">
        <is>
          <t>부강면</t>
        </is>
      </c>
      <c r="G5374" s="3" t="inlineStr">
        <is>
          <t>노호리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부강면</t>
        </is>
      </c>
    </row>
    <row r="5375">
      <c r="A5375" s="3" t="n">
        <v>2023</v>
      </c>
      <c r="B5375" s="4" t="n">
        <v>20000</v>
      </c>
      <c r="C5375" s="4" t="n">
        <v>566</v>
      </c>
      <c r="D5375" s="4" t="n">
        <v>171.215</v>
      </c>
      <c r="E5375" s="5" t="n">
        <v>116.8</v>
      </c>
      <c r="F5375" s="3" t="inlineStr">
        <is>
          <t>연서면</t>
        </is>
      </c>
      <c r="G5375" s="3" t="inlineStr">
        <is>
          <t>쌍류리</t>
        </is>
      </c>
      <c r="H5375" s="3" t="inlineStr">
        <is>
          <t>생산관리지역</t>
        </is>
      </c>
      <c r="I5375" s="3" t="inlineStr">
        <is>
          <t>답</t>
        </is>
      </c>
      <c r="J5375" s="3" t="inlineStr">
        <is>
          <t>연서면</t>
        </is>
      </c>
    </row>
    <row r="5376">
      <c r="A5376" s="3" t="n">
        <v>2023</v>
      </c>
      <c r="B5376" s="4" t="n">
        <v>46800</v>
      </c>
      <c r="C5376" s="4" t="n">
        <v>1094</v>
      </c>
      <c r="D5376" s="4" t="n">
        <v>330.935</v>
      </c>
      <c r="E5376" s="5" t="n">
        <v>141.4</v>
      </c>
      <c r="F5376" s="3" t="inlineStr">
        <is>
          <t>장군면</t>
        </is>
      </c>
      <c r="G5376" s="3" t="inlineStr">
        <is>
          <t>봉안리</t>
        </is>
      </c>
      <c r="H5376" s="3" t="inlineStr">
        <is>
          <t>생산관리지역</t>
        </is>
      </c>
      <c r="I5376" s="3" t="inlineStr">
        <is>
          <t>임야</t>
        </is>
      </c>
      <c r="J5376" s="3" t="inlineStr">
        <is>
          <t>장군면</t>
        </is>
      </c>
    </row>
    <row r="5377">
      <c r="A5377" s="3" t="n">
        <v>2023</v>
      </c>
      <c r="B5377" s="4" t="n">
        <v>31300</v>
      </c>
      <c r="C5377" s="4" t="n">
        <v>732</v>
      </c>
      <c r="D5377" s="4" t="n">
        <v>221.43</v>
      </c>
      <c r="E5377" s="5" t="n">
        <v>141.4</v>
      </c>
      <c r="F5377" s="3" t="inlineStr">
        <is>
          <t>장군면</t>
        </is>
      </c>
      <c r="G5377" s="3" t="inlineStr">
        <is>
          <t>봉안리</t>
        </is>
      </c>
      <c r="H5377" s="3" t="inlineStr">
        <is>
          <t>생산관리지역</t>
        </is>
      </c>
      <c r="I5377" s="3" t="inlineStr">
        <is>
          <t>임야</t>
        </is>
      </c>
      <c r="J5377" s="3" t="inlineStr">
        <is>
          <t>장군면</t>
        </is>
      </c>
    </row>
    <row r="5378">
      <c r="A5378" s="3" t="n">
        <v>2022</v>
      </c>
      <c r="B5378" s="4" t="n">
        <v>40000</v>
      </c>
      <c r="C5378" s="4" t="n">
        <v>2522</v>
      </c>
      <c r="D5378" s="4" t="n">
        <v>762.905</v>
      </c>
      <c r="E5378" s="5" t="n">
        <v>52.4</v>
      </c>
      <c r="F5378" s="3" t="inlineStr">
        <is>
          <t>전동면</t>
        </is>
      </c>
      <c r="G5378" s="3" t="inlineStr">
        <is>
          <t>청송리</t>
        </is>
      </c>
      <c r="H5378" s="3" t="inlineStr">
        <is>
          <t>농림지역</t>
        </is>
      </c>
      <c r="I5378" s="3" t="inlineStr">
        <is>
          <t>주차장</t>
        </is>
      </c>
      <c r="J5378" s="3" t="inlineStr">
        <is>
          <t>전동면</t>
        </is>
      </c>
    </row>
    <row r="5379">
      <c r="A5379" s="3" t="n">
        <v>2022</v>
      </c>
      <c r="B5379" s="4" t="n">
        <v>63700</v>
      </c>
      <c r="C5379" s="4" t="n">
        <v>3500</v>
      </c>
      <c r="D5379" s="4" t="n">
        <v>1058.75</v>
      </c>
      <c r="E5379" s="5" t="n">
        <v>60.2</v>
      </c>
      <c r="F5379" s="3" t="inlineStr">
        <is>
          <t>전동면</t>
        </is>
      </c>
      <c r="G5379" s="3" t="inlineStr">
        <is>
          <t>청송리</t>
        </is>
      </c>
      <c r="H5379" s="3" t="inlineStr">
        <is>
          <t>농림지역</t>
        </is>
      </c>
      <c r="I5379" s="3" t="inlineStr">
        <is>
          <t>잡종지</t>
        </is>
      </c>
      <c r="J5379" s="3" t="inlineStr">
        <is>
          <t>전동면</t>
        </is>
      </c>
    </row>
    <row r="5380">
      <c r="A5380" s="3" t="n">
        <v>2022</v>
      </c>
      <c r="B5380" s="4" t="n">
        <v>39800</v>
      </c>
      <c r="C5380" s="4" t="n">
        <v>1326</v>
      </c>
      <c r="D5380" s="4" t="n">
        <v>401.115</v>
      </c>
      <c r="E5380" s="5" t="n">
        <v>99.2</v>
      </c>
      <c r="F5380" s="3" t="inlineStr">
        <is>
          <t>전동면</t>
        </is>
      </c>
      <c r="G5380" s="3" t="inlineStr">
        <is>
          <t>청송리</t>
        </is>
      </c>
      <c r="H5380" s="3" t="inlineStr">
        <is>
          <t>계획관리지역</t>
        </is>
      </c>
      <c r="I5380" s="3" t="inlineStr">
        <is>
          <t>잡종지</t>
        </is>
      </c>
      <c r="J5380" s="3" t="inlineStr">
        <is>
          <t>전동면</t>
        </is>
      </c>
    </row>
    <row r="5381">
      <c r="A5381" s="3" t="n">
        <v>2022</v>
      </c>
      <c r="B5381" s="4" t="n">
        <v>17300</v>
      </c>
      <c r="C5381" s="4" t="n">
        <v>991</v>
      </c>
      <c r="D5381" s="4" t="n">
        <v>299.7775</v>
      </c>
      <c r="E5381" s="5" t="n">
        <v>57.7</v>
      </c>
      <c r="F5381" s="3" t="inlineStr">
        <is>
          <t>전동면</t>
        </is>
      </c>
      <c r="G5381" s="3" t="inlineStr">
        <is>
          <t>청송리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전동면</t>
        </is>
      </c>
    </row>
    <row r="5382">
      <c r="A5382" s="3" t="n">
        <v>2022</v>
      </c>
      <c r="B5382" s="4" t="n">
        <v>8000</v>
      </c>
      <c r="C5382" s="4" t="n">
        <v>562</v>
      </c>
      <c r="D5382" s="4" t="n">
        <v>170.005</v>
      </c>
      <c r="E5382" s="5" t="n">
        <v>47.1</v>
      </c>
      <c r="F5382" s="3" t="inlineStr">
        <is>
          <t>전동면</t>
        </is>
      </c>
      <c r="G5382" s="3" t="inlineStr">
        <is>
          <t>청송리</t>
        </is>
      </c>
      <c r="H5382" s="3" t="inlineStr">
        <is>
          <t>계획관리지역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2022</v>
      </c>
      <c r="B5383" s="4" t="n">
        <v>25000</v>
      </c>
      <c r="C5383" s="4" t="n">
        <v>2450</v>
      </c>
      <c r="D5383" s="4" t="n">
        <v>741.125</v>
      </c>
      <c r="E5383" s="5" t="n">
        <v>33.7</v>
      </c>
      <c r="F5383" s="3" t="inlineStr">
        <is>
          <t>전동면</t>
        </is>
      </c>
      <c r="G5383" s="3" t="inlineStr">
        <is>
          <t>청송리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전동면</t>
        </is>
      </c>
    </row>
    <row r="5384">
      <c r="A5384" s="3" t="n">
        <v>2022</v>
      </c>
      <c r="B5384" s="4" t="n">
        <v>2200</v>
      </c>
      <c r="C5384" s="4" t="n">
        <v>400</v>
      </c>
      <c r="D5384" s="4" t="n">
        <v>121</v>
      </c>
      <c r="E5384" s="5" t="n">
        <v>18.2</v>
      </c>
      <c r="F5384" s="3" t="inlineStr">
        <is>
          <t>전동면</t>
        </is>
      </c>
      <c r="G5384" s="3" t="inlineStr">
        <is>
          <t>청송리</t>
        </is>
      </c>
      <c r="H5384" s="3" t="inlineStr">
        <is>
          <t>계획관리지역</t>
        </is>
      </c>
      <c r="I5384" s="3" t="inlineStr">
        <is>
          <t>임야</t>
        </is>
      </c>
      <c r="J5384" s="3" t="inlineStr">
        <is>
          <t>전동면</t>
        </is>
      </c>
    </row>
    <row r="5385">
      <c r="A5385" s="3" t="n">
        <v>2022</v>
      </c>
      <c r="B5385" s="4" t="n">
        <v>32800</v>
      </c>
      <c r="C5385" s="4" t="n">
        <v>1028</v>
      </c>
      <c r="D5385" s="4" t="n">
        <v>310.97</v>
      </c>
      <c r="E5385" s="5" t="n">
        <v>105.5</v>
      </c>
      <c r="F5385" s="3" t="inlineStr">
        <is>
          <t>전동면</t>
        </is>
      </c>
      <c r="G5385" s="3" t="inlineStr">
        <is>
          <t>청송리</t>
        </is>
      </c>
      <c r="H5385" s="3" t="inlineStr">
        <is>
          <t>계획관리지역</t>
        </is>
      </c>
      <c r="I5385" s="3" t="inlineStr">
        <is>
          <t>공장용지</t>
        </is>
      </c>
      <c r="J5385" s="3" t="inlineStr">
        <is>
          <t>전동면</t>
        </is>
      </c>
    </row>
    <row r="5386">
      <c r="A5386" s="3" t="n">
        <v>2022</v>
      </c>
      <c r="B5386" s="4" t="n">
        <v>400</v>
      </c>
      <c r="C5386" s="4" t="n">
        <v>100</v>
      </c>
      <c r="D5386" s="4" t="n">
        <v>30.25</v>
      </c>
      <c r="E5386" s="5" t="n">
        <v>13.2</v>
      </c>
      <c r="F5386" s="3" t="inlineStr">
        <is>
          <t>전동면</t>
        </is>
      </c>
      <c r="G5386" s="3" t="inlineStr">
        <is>
          <t>청송리</t>
        </is>
      </c>
      <c r="H5386" s="3" t="inlineStr">
        <is>
          <t>계획관리지역</t>
        </is>
      </c>
      <c r="I5386" s="3" t="inlineStr">
        <is>
          <t>묘지</t>
        </is>
      </c>
      <c r="J5386" s="3" t="inlineStr">
        <is>
          <t>전동면</t>
        </is>
      </c>
    </row>
    <row r="5387">
      <c r="A5387" s="3" t="n">
        <v>2022</v>
      </c>
      <c r="B5387" s="4" t="n">
        <v>1800</v>
      </c>
      <c r="C5387" s="4" t="n">
        <v>261</v>
      </c>
      <c r="D5387" s="4" t="n">
        <v>78.9525</v>
      </c>
      <c r="E5387" s="5" t="n">
        <v>22.8</v>
      </c>
      <c r="F5387" s="3" t="inlineStr">
        <is>
          <t>전동면</t>
        </is>
      </c>
      <c r="G5387" s="3" t="inlineStr">
        <is>
          <t>청송리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전동면</t>
        </is>
      </c>
    </row>
    <row r="5388">
      <c r="A5388" s="3" t="n">
        <v>2022</v>
      </c>
      <c r="B5388" s="4" t="n">
        <v>900</v>
      </c>
      <c r="C5388" s="4" t="n">
        <v>216</v>
      </c>
      <c r="D5388" s="4" t="n">
        <v>65.34</v>
      </c>
      <c r="E5388" s="5" t="n">
        <v>13.8</v>
      </c>
      <c r="F5388" s="3" t="inlineStr">
        <is>
          <t>전동면</t>
        </is>
      </c>
      <c r="G5388" s="3" t="inlineStr">
        <is>
          <t>청송리</t>
        </is>
      </c>
      <c r="H5388" s="3" t="inlineStr">
        <is>
          <t>농림지역</t>
        </is>
      </c>
      <c r="I5388" s="3" t="inlineStr">
        <is>
          <t>도로</t>
        </is>
      </c>
      <c r="J5388" s="3" t="inlineStr">
        <is>
          <t>전동면</t>
        </is>
      </c>
    </row>
    <row r="5389">
      <c r="A5389" s="3" t="n">
        <v>2022</v>
      </c>
      <c r="B5389" s="4" t="n">
        <v>8900</v>
      </c>
      <c r="C5389" s="4" t="n">
        <v>2127</v>
      </c>
      <c r="D5389" s="4" t="n">
        <v>643.4175</v>
      </c>
      <c r="E5389" s="5" t="n">
        <v>13.8</v>
      </c>
      <c r="F5389" s="3" t="inlineStr">
        <is>
          <t>전동면</t>
        </is>
      </c>
      <c r="G5389" s="3" t="inlineStr">
        <is>
          <t>청송리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전동면</t>
        </is>
      </c>
    </row>
    <row r="5390">
      <c r="A5390" s="3" t="n">
        <v>2022</v>
      </c>
      <c r="B5390" s="4" t="n">
        <v>1500</v>
      </c>
      <c r="C5390" s="4" t="n">
        <v>361</v>
      </c>
      <c r="D5390" s="4" t="n">
        <v>109.2025</v>
      </c>
      <c r="E5390" s="5" t="n">
        <v>13.7</v>
      </c>
      <c r="F5390" s="3" t="inlineStr">
        <is>
          <t>전동면</t>
        </is>
      </c>
      <c r="G5390" s="3" t="inlineStr">
        <is>
          <t>청송리</t>
        </is>
      </c>
      <c r="H5390" s="3" t="inlineStr">
        <is>
          <t>농림지역</t>
        </is>
      </c>
      <c r="I5390" s="3" t="inlineStr">
        <is>
          <t>도로</t>
        </is>
      </c>
      <c r="J5390" s="3" t="inlineStr">
        <is>
          <t>전동면</t>
        </is>
      </c>
    </row>
    <row r="5391">
      <c r="A5391" s="3" t="n">
        <v>2022</v>
      </c>
      <c r="B5391" s="4" t="n">
        <v>200</v>
      </c>
      <c r="C5391" s="4" t="n">
        <v>35</v>
      </c>
      <c r="D5391" s="4" t="n">
        <v>10.5875</v>
      </c>
      <c r="E5391" s="5" t="n">
        <v>18.9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농림지역</t>
        </is>
      </c>
      <c r="I5391" s="3" t="inlineStr">
        <is>
          <t>도로</t>
        </is>
      </c>
      <c r="J5391" s="3" t="inlineStr">
        <is>
          <t>전동면</t>
        </is>
      </c>
    </row>
    <row r="5392">
      <c r="A5392" s="3" t="n">
        <v>2022</v>
      </c>
      <c r="B5392" s="4" t="n">
        <v>12200</v>
      </c>
      <c r="C5392" s="4" t="n">
        <v>2479</v>
      </c>
      <c r="D5392" s="4" t="n">
        <v>749.8974999999999</v>
      </c>
      <c r="E5392" s="5" t="n">
        <v>16.3</v>
      </c>
      <c r="F5392" s="3" t="inlineStr">
        <is>
          <t>전동면</t>
        </is>
      </c>
      <c r="G5392" s="3" t="inlineStr">
        <is>
          <t>청송리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전동면</t>
        </is>
      </c>
    </row>
    <row r="5393">
      <c r="A5393" s="3" t="n">
        <v>2022</v>
      </c>
      <c r="B5393" s="4" t="n">
        <v>11900</v>
      </c>
      <c r="C5393" s="4" t="n">
        <v>3966</v>
      </c>
      <c r="D5393" s="4" t="n">
        <v>1199.715</v>
      </c>
      <c r="E5393" s="5" t="n">
        <v>9.9</v>
      </c>
      <c r="F5393" s="3" t="inlineStr">
        <is>
          <t>전동면</t>
        </is>
      </c>
      <c r="G5393" s="3" t="inlineStr">
        <is>
          <t>청송리</t>
        </is>
      </c>
      <c r="H5393" s="3" t="inlineStr">
        <is>
          <t>계획관리지역</t>
        </is>
      </c>
      <c r="I5393" s="3" t="inlineStr">
        <is>
          <t>임야</t>
        </is>
      </c>
      <c r="J5393" s="3" t="inlineStr">
        <is>
          <t>전동면</t>
        </is>
      </c>
    </row>
    <row r="5394">
      <c r="A5394" s="3" t="n">
        <v>2022</v>
      </c>
      <c r="B5394" s="4" t="n">
        <v>3140</v>
      </c>
      <c r="C5394" s="4" t="n">
        <v>63</v>
      </c>
      <c r="D5394" s="4" t="n">
        <v>19.0575</v>
      </c>
      <c r="E5394" s="5" t="n">
        <v>164.8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11860</v>
      </c>
      <c r="C5395" s="4" t="n">
        <v>238</v>
      </c>
      <c r="D5395" s="4" t="n">
        <v>71.995</v>
      </c>
      <c r="E5395" s="5" t="n">
        <v>164.7</v>
      </c>
      <c r="F5395" s="3" t="inlineStr">
        <is>
          <t>부강면</t>
        </is>
      </c>
      <c r="G5395" s="3" t="inlineStr">
        <is>
          <t>갈산리</t>
        </is>
      </c>
      <c r="H5395" s="3" t="inlineStr">
        <is>
          <t>계획관리지역</t>
        </is>
      </c>
      <c r="I5395" s="3" t="inlineStr">
        <is>
          <t>답</t>
        </is>
      </c>
      <c r="J5395" s="3" t="inlineStr">
        <is>
          <t>부강면</t>
        </is>
      </c>
    </row>
    <row r="5396">
      <c r="A5396" s="3" t="n">
        <v>2022</v>
      </c>
      <c r="B5396" s="4" t="n">
        <v>11920</v>
      </c>
      <c r="C5396" s="4" t="n">
        <v>972</v>
      </c>
      <c r="D5396" s="4" t="n">
        <v>294.03</v>
      </c>
      <c r="E5396" s="5" t="n">
        <v>40.5</v>
      </c>
      <c r="F5396" s="3" t="inlineStr">
        <is>
          <t>부강면</t>
        </is>
      </c>
      <c r="G5396" s="3" t="inlineStr">
        <is>
          <t>갈산리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2022</v>
      </c>
      <c r="B5397" s="4" t="n">
        <v>69400</v>
      </c>
      <c r="C5397" s="4" t="n">
        <v>8155</v>
      </c>
      <c r="D5397" s="4" t="n">
        <v>2466.8875</v>
      </c>
      <c r="E5397" s="5" t="n">
        <v>28.1</v>
      </c>
      <c r="F5397" s="3" t="inlineStr">
        <is>
          <t>부강면</t>
        </is>
      </c>
      <c r="G5397" s="3" t="inlineStr">
        <is>
          <t>갈산리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222180</v>
      </c>
      <c r="C5398" s="4" t="n">
        <v>26695</v>
      </c>
      <c r="D5398" s="4" t="n">
        <v>8075.2375</v>
      </c>
      <c r="E5398" s="5" t="n">
        <v>27.5</v>
      </c>
      <c r="F5398" s="3" t="inlineStr">
        <is>
          <t>부강면</t>
        </is>
      </c>
      <c r="G5398" s="3" t="inlineStr">
        <is>
          <t>갈산리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부강면</t>
        </is>
      </c>
    </row>
    <row r="5399">
      <c r="A5399" s="3" t="n">
        <v>2022</v>
      </c>
      <c r="B5399" s="4" t="n">
        <v>900</v>
      </c>
      <c r="C5399" s="4" t="n">
        <v>100</v>
      </c>
      <c r="D5399" s="4" t="n">
        <v>30.25</v>
      </c>
      <c r="E5399" s="5" t="n">
        <v>29.8</v>
      </c>
      <c r="F5399" s="3" t="inlineStr">
        <is>
          <t>전동면</t>
        </is>
      </c>
      <c r="G5399" s="3" t="inlineStr">
        <is>
          <t>송성리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전동면</t>
        </is>
      </c>
    </row>
    <row r="5400">
      <c r="A5400" s="3" t="n">
        <v>2022</v>
      </c>
      <c r="B5400" s="4" t="n">
        <v>780</v>
      </c>
      <c r="C5400" s="4" t="n">
        <v>9</v>
      </c>
      <c r="D5400" s="4" t="n">
        <v>2.7225</v>
      </c>
      <c r="E5400" s="5" t="n">
        <v>286.5</v>
      </c>
      <c r="F5400" s="3" t="inlineStr">
        <is>
          <t>조치원읍</t>
        </is>
      </c>
      <c r="G5400" s="3" t="inlineStr">
        <is>
          <t>봉산리</t>
        </is>
      </c>
      <c r="H5400" s="3" t="inlineStr">
        <is>
          <t>자연녹지지역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2022</v>
      </c>
      <c r="B5401" s="4" t="n">
        <v>3500</v>
      </c>
      <c r="C5401" s="4" t="n">
        <v>235</v>
      </c>
      <c r="D5401" s="4" t="n">
        <v>71.08749999999999</v>
      </c>
      <c r="E5401" s="5" t="n">
        <v>49.2</v>
      </c>
      <c r="F5401" s="3" t="inlineStr">
        <is>
          <t>전의면</t>
        </is>
      </c>
      <c r="G5401" s="3" t="inlineStr">
        <is>
          <t>달전리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전의면</t>
        </is>
      </c>
    </row>
    <row r="5402">
      <c r="A5402" s="3" t="n">
        <v>2022</v>
      </c>
      <c r="B5402" s="4" t="n">
        <v>31115</v>
      </c>
      <c r="C5402" s="4" t="n">
        <v>1653</v>
      </c>
      <c r="D5402" s="4" t="n">
        <v>500.0325</v>
      </c>
      <c r="E5402" s="5" t="n">
        <v>62.2</v>
      </c>
      <c r="F5402" s="3" t="inlineStr">
        <is>
          <t>전동면</t>
        </is>
      </c>
      <c r="G5402" s="3" t="inlineStr">
        <is>
          <t>노장리</t>
        </is>
      </c>
      <c r="H5402" s="3" t="inlineStr">
        <is>
          <t>농림지역</t>
        </is>
      </c>
      <c r="I5402" s="3" t="inlineStr">
        <is>
          <t>임야</t>
        </is>
      </c>
      <c r="J5402" s="3" t="inlineStr">
        <is>
          <t>전동면</t>
        </is>
      </c>
    </row>
    <row r="5403">
      <c r="A5403" s="3" t="n">
        <v>2025</v>
      </c>
      <c r="B5403" s="4" t="n">
        <v>60000</v>
      </c>
      <c r="C5403" s="4" t="n">
        <v>1812</v>
      </c>
      <c r="D5403" s="4" t="n">
        <v>548.13</v>
      </c>
      <c r="E5403" s="5" t="n">
        <v>109.5</v>
      </c>
      <c r="F5403" s="3" t="inlineStr">
        <is>
          <t>연기면</t>
        </is>
      </c>
      <c r="G5403" s="3" t="inlineStr">
        <is>
          <t>눌왕리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연기면</t>
        </is>
      </c>
    </row>
    <row r="5404">
      <c r="A5404" s="3" t="n">
        <v>2026</v>
      </c>
      <c r="B5404" s="4" t="n">
        <v>65125</v>
      </c>
      <c r="C5404" s="4" t="n">
        <v>1723</v>
      </c>
      <c r="D5404" s="4" t="n">
        <v>521.2075</v>
      </c>
      <c r="E5404" s="5" t="n">
        <v>125</v>
      </c>
      <c r="F5404" s="3" t="inlineStr">
        <is>
          <t>장군면</t>
        </is>
      </c>
      <c r="G5404" s="3" t="inlineStr">
        <is>
          <t>은용리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장군면</t>
        </is>
      </c>
    </row>
    <row r="5405">
      <c r="A5405" s="3" t="n">
        <v>2026</v>
      </c>
      <c r="B5405" s="4" t="n">
        <v>13000</v>
      </c>
      <c r="C5405" s="4" t="n">
        <v>615</v>
      </c>
      <c r="D5405" s="4" t="n">
        <v>186.0375</v>
      </c>
      <c r="E5405" s="5" t="n">
        <v>69.90000000000001</v>
      </c>
      <c r="F5405" s="3" t="inlineStr">
        <is>
          <t>조치원읍</t>
        </is>
      </c>
      <c r="G5405" s="3" t="inlineStr">
        <is>
          <t>봉산리</t>
        </is>
      </c>
      <c r="H5405" s="3" t="inlineStr">
        <is>
          <t>자연녹지지역</t>
        </is>
      </c>
      <c r="I5405" s="3" t="inlineStr">
        <is>
          <t>임야</t>
        </is>
      </c>
      <c r="J5405" s="3" t="inlineStr">
        <is>
          <t>조치원읍</t>
        </is>
      </c>
    </row>
    <row r="5406">
      <c r="A5406" s="3" t="n">
        <v>2025</v>
      </c>
      <c r="B5406" s="4" t="n">
        <v>2572</v>
      </c>
      <c r="C5406" s="4" t="n">
        <v>109</v>
      </c>
      <c r="D5406" s="4" t="n">
        <v>32.9725</v>
      </c>
      <c r="E5406" s="5" t="n">
        <v>78</v>
      </c>
      <c r="F5406" s="3" t="inlineStr">
        <is>
          <t>부강면</t>
        </is>
      </c>
      <c r="G5406" s="3" t="inlineStr">
        <is>
          <t>산수리</t>
        </is>
      </c>
      <c r="H5406" s="3" t="inlineStr">
        <is>
          <t>보전관리지역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2025</v>
      </c>
      <c r="B5407" s="4" t="n">
        <v>10827</v>
      </c>
      <c r="C5407" s="4" t="n">
        <v>374</v>
      </c>
      <c r="D5407" s="4" t="n">
        <v>113.135</v>
      </c>
      <c r="E5407" s="5" t="n">
        <v>95.7</v>
      </c>
      <c r="F5407" s="3" t="inlineStr">
        <is>
          <t>부강면</t>
        </is>
      </c>
      <c r="G5407" s="3" t="inlineStr">
        <is>
          <t>산수리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부강면</t>
        </is>
      </c>
    </row>
    <row r="5408">
      <c r="A5408" s="3" t="n">
        <v>2025</v>
      </c>
      <c r="B5408" s="4" t="n">
        <v>83800</v>
      </c>
      <c r="C5408" s="4" t="n">
        <v>2313</v>
      </c>
      <c r="D5408" s="4" t="n">
        <v>699.6825</v>
      </c>
      <c r="E5408" s="5" t="n">
        <v>119.8</v>
      </c>
      <c r="F5408" s="3" t="inlineStr">
        <is>
          <t>전의면</t>
        </is>
      </c>
      <c r="G5408" s="3" t="inlineStr">
        <is>
          <t>동교리</t>
        </is>
      </c>
      <c r="H5408" s="3" t="inlineStr">
        <is>
          <t>계획관리지역</t>
        </is>
      </c>
      <c r="I5408" s="3" t="inlineStr">
        <is>
          <t>임야</t>
        </is>
      </c>
      <c r="J5408" s="3" t="inlineStr">
        <is>
          <t>전의면</t>
        </is>
      </c>
    </row>
    <row r="5409">
      <c r="A5409" s="3" t="n">
        <v>2025</v>
      </c>
      <c r="B5409" s="4" t="n">
        <v>93200</v>
      </c>
      <c r="C5409" s="4" t="n">
        <v>2575</v>
      </c>
      <c r="D5409" s="4" t="n">
        <v>778.9375</v>
      </c>
      <c r="E5409" s="5" t="n">
        <v>119.7</v>
      </c>
      <c r="F5409" s="3" t="inlineStr">
        <is>
          <t>전의면</t>
        </is>
      </c>
      <c r="G5409" s="3" t="inlineStr">
        <is>
          <t>동교리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전의면</t>
        </is>
      </c>
    </row>
    <row r="5410">
      <c r="A5410" s="3" t="n">
        <v>2025</v>
      </c>
      <c r="B5410" s="4" t="n">
        <v>33000</v>
      </c>
      <c r="C5410" s="4" t="n">
        <v>2448</v>
      </c>
      <c r="D5410" s="4" t="n">
        <v>740.52</v>
      </c>
      <c r="E5410" s="5" t="n">
        <v>44.6</v>
      </c>
      <c r="F5410" s="3" t="inlineStr">
        <is>
          <t>연동면</t>
        </is>
      </c>
      <c r="G5410" s="3" t="inlineStr">
        <is>
          <t>송용리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연동면</t>
        </is>
      </c>
    </row>
    <row r="5411">
      <c r="A5411" s="3" t="n">
        <v>2025</v>
      </c>
      <c r="B5411" s="4" t="n">
        <v>16614</v>
      </c>
      <c r="C5411" s="4" t="n">
        <v>704</v>
      </c>
      <c r="D5411" s="4" t="n">
        <v>212.96</v>
      </c>
      <c r="E5411" s="5" t="n">
        <v>78</v>
      </c>
      <c r="F5411" s="3" t="inlineStr">
        <is>
          <t>부강면</t>
        </is>
      </c>
      <c r="G5411" s="3" t="inlineStr">
        <is>
          <t>산수리</t>
        </is>
      </c>
      <c r="H5411" s="3" t="inlineStr">
        <is>
          <t>보전관리지역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2025</v>
      </c>
      <c r="B5412" s="4" t="n">
        <v>5940</v>
      </c>
      <c r="C5412" s="4" t="n">
        <v>1312</v>
      </c>
      <c r="D5412" s="4" t="n">
        <v>396.88</v>
      </c>
      <c r="E5412" s="5" t="n">
        <v>15</v>
      </c>
      <c r="F5412" s="3" t="inlineStr">
        <is>
          <t>금남면</t>
        </is>
      </c>
      <c r="G5412" s="3" t="inlineStr">
        <is>
          <t>영대리</t>
        </is>
      </c>
      <c r="H5412" s="3" t="inlineStr">
        <is>
          <t>개발제한구역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2025</v>
      </c>
      <c r="B5413" s="4" t="n">
        <v>57500</v>
      </c>
      <c r="C5413" s="4" t="n">
        <v>356.9</v>
      </c>
      <c r="D5413" s="4" t="n">
        <v>107.96225</v>
      </c>
      <c r="E5413" s="5" t="n">
        <v>532.6</v>
      </c>
      <c r="F5413" s="3" t="inlineStr">
        <is>
          <t>고운동</t>
        </is>
      </c>
      <c r="G5413" s="3" t="inlineStr"/>
      <c r="H5413" s="3" t="inlineStr">
        <is>
          <t>제1종전용주거지역</t>
        </is>
      </c>
      <c r="I5413" s="3" t="inlineStr">
        <is>
          <t>대</t>
        </is>
      </c>
      <c r="J5413" s="3" t="inlineStr">
        <is>
          <t>고운동</t>
        </is>
      </c>
    </row>
    <row r="5414">
      <c r="A5414" s="3" t="n">
        <v>2025</v>
      </c>
      <c r="B5414" s="4" t="n">
        <v>3500</v>
      </c>
      <c r="C5414" s="4" t="n">
        <v>1000</v>
      </c>
      <c r="D5414" s="4" t="n">
        <v>302.5</v>
      </c>
      <c r="E5414" s="5" t="n">
        <v>11.6</v>
      </c>
      <c r="F5414" s="3" t="inlineStr">
        <is>
          <t>장군면</t>
        </is>
      </c>
      <c r="G5414" s="3" t="inlineStr">
        <is>
          <t>은용리</t>
        </is>
      </c>
      <c r="H5414" s="3" t="inlineStr">
        <is>
          <t>보전관리지역</t>
        </is>
      </c>
      <c r="I5414" s="3" t="inlineStr">
        <is>
          <t>임야</t>
        </is>
      </c>
      <c r="J5414" s="3" t="inlineStr">
        <is>
          <t>장군면</t>
        </is>
      </c>
    </row>
    <row r="5415">
      <c r="A5415" s="3" t="n">
        <v>2025</v>
      </c>
      <c r="B5415" s="4" t="n">
        <v>5500</v>
      </c>
      <c r="C5415" s="4" t="n">
        <v>1468</v>
      </c>
      <c r="D5415" s="4" t="n">
        <v>444.07</v>
      </c>
      <c r="E5415" s="5" t="n">
        <v>12.4</v>
      </c>
      <c r="F5415" s="3" t="inlineStr">
        <is>
          <t>장군면</t>
        </is>
      </c>
      <c r="G5415" s="3" t="inlineStr">
        <is>
          <t>은용리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장군면</t>
        </is>
      </c>
    </row>
    <row r="5416">
      <c r="A5416" s="3" t="n">
        <v>2025</v>
      </c>
      <c r="B5416" s="4" t="n">
        <v>5000</v>
      </c>
      <c r="C5416" s="4" t="n">
        <v>1655</v>
      </c>
      <c r="D5416" s="4" t="n">
        <v>500.6375</v>
      </c>
      <c r="E5416" s="5" t="n">
        <v>10</v>
      </c>
      <c r="F5416" s="3" t="inlineStr">
        <is>
          <t>장군면</t>
        </is>
      </c>
      <c r="G5416" s="3" t="inlineStr">
        <is>
          <t>은용리</t>
        </is>
      </c>
      <c r="H5416" s="3" t="inlineStr">
        <is>
          <t>보전관리지역</t>
        </is>
      </c>
      <c r="I5416" s="3" t="inlineStr">
        <is>
          <t>임야</t>
        </is>
      </c>
      <c r="J5416" s="3" t="inlineStr">
        <is>
          <t>장군면</t>
        </is>
      </c>
    </row>
    <row r="5417">
      <c r="A5417" s="3" t="n">
        <v>2025</v>
      </c>
      <c r="B5417" s="4" t="n">
        <v>2100</v>
      </c>
      <c r="C5417" s="4" t="n">
        <v>1764</v>
      </c>
      <c r="D5417" s="4" t="n">
        <v>533.61</v>
      </c>
      <c r="E5417" s="5" t="n">
        <v>3.9</v>
      </c>
      <c r="F5417" s="3" t="inlineStr">
        <is>
          <t>장군면</t>
        </is>
      </c>
      <c r="G5417" s="3" t="inlineStr">
        <is>
          <t>은용리</t>
        </is>
      </c>
      <c r="H5417" s="3" t="inlineStr">
        <is>
          <t>보전관리지역</t>
        </is>
      </c>
      <c r="I5417" s="3" t="inlineStr">
        <is>
          <t>임야</t>
        </is>
      </c>
      <c r="J5417" s="3" t="inlineStr">
        <is>
          <t>장군면</t>
        </is>
      </c>
    </row>
    <row r="5418">
      <c r="A5418" s="3" t="n">
        <v>2025</v>
      </c>
      <c r="B5418" s="4" t="n">
        <v>600</v>
      </c>
      <c r="C5418" s="4" t="n">
        <v>618</v>
      </c>
      <c r="D5418" s="4" t="n">
        <v>186.945</v>
      </c>
      <c r="E5418" s="5" t="n">
        <v>3.2</v>
      </c>
      <c r="F5418" s="3" t="inlineStr">
        <is>
          <t>장군면</t>
        </is>
      </c>
      <c r="G5418" s="3" t="inlineStr">
        <is>
          <t>은용리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장군면</t>
        </is>
      </c>
    </row>
    <row r="5419">
      <c r="A5419" s="3" t="n">
        <v>2025</v>
      </c>
      <c r="B5419" s="4" t="n">
        <v>2000</v>
      </c>
      <c r="C5419" s="4" t="n">
        <v>1914</v>
      </c>
      <c r="D5419" s="4" t="n">
        <v>578.985</v>
      </c>
      <c r="E5419" s="5" t="n">
        <v>3.5</v>
      </c>
      <c r="F5419" s="3" t="inlineStr">
        <is>
          <t>장군면</t>
        </is>
      </c>
      <c r="G5419" s="3" t="inlineStr">
        <is>
          <t>은용리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장군면</t>
        </is>
      </c>
    </row>
    <row r="5420">
      <c r="A5420" s="3" t="n">
        <v>2025</v>
      </c>
      <c r="B5420" s="4" t="n">
        <v>2100</v>
      </c>
      <c r="C5420" s="4" t="n">
        <v>1973</v>
      </c>
      <c r="D5420" s="4" t="n">
        <v>596.8325</v>
      </c>
      <c r="E5420" s="5" t="n">
        <v>3.5</v>
      </c>
      <c r="F5420" s="3" t="inlineStr">
        <is>
          <t>장군면</t>
        </is>
      </c>
      <c r="G5420" s="3" t="inlineStr">
        <is>
          <t>은용리</t>
        </is>
      </c>
      <c r="H5420" s="3" t="inlineStr">
        <is>
          <t>농림지역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2025</v>
      </c>
      <c r="B5421" s="4" t="n">
        <v>2000</v>
      </c>
      <c r="C5421" s="4" t="n">
        <v>1974</v>
      </c>
      <c r="D5421" s="4" t="n">
        <v>597.135</v>
      </c>
      <c r="E5421" s="5" t="n">
        <v>3.3</v>
      </c>
      <c r="F5421" s="3" t="inlineStr">
        <is>
          <t>장군면</t>
        </is>
      </c>
      <c r="G5421" s="3" t="inlineStr">
        <is>
          <t>은용리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2025</v>
      </c>
      <c r="B5422" s="4" t="n">
        <v>2300</v>
      </c>
      <c r="C5422" s="4" t="n">
        <v>1964</v>
      </c>
      <c r="D5422" s="4" t="n">
        <v>594.11</v>
      </c>
      <c r="E5422" s="5" t="n">
        <v>3.9</v>
      </c>
      <c r="F5422" s="3" t="inlineStr">
        <is>
          <t>장군면</t>
        </is>
      </c>
      <c r="G5422" s="3" t="inlineStr">
        <is>
          <t>은용리</t>
        </is>
      </c>
      <c r="H5422" s="3" t="inlineStr">
        <is>
          <t>보전관리지역</t>
        </is>
      </c>
      <c r="I5422" s="3" t="inlineStr">
        <is>
          <t>임야</t>
        </is>
      </c>
      <c r="J5422" s="3" t="inlineStr">
        <is>
          <t>장군면</t>
        </is>
      </c>
    </row>
    <row r="5423">
      <c r="A5423" s="3" t="n">
        <v>2025</v>
      </c>
      <c r="B5423" s="4" t="n">
        <v>400</v>
      </c>
      <c r="C5423" s="4" t="n">
        <v>441</v>
      </c>
      <c r="D5423" s="4" t="n">
        <v>133.4025</v>
      </c>
      <c r="E5423" s="5" t="n">
        <v>3</v>
      </c>
      <c r="F5423" s="3" t="inlineStr">
        <is>
          <t>장군면</t>
        </is>
      </c>
      <c r="G5423" s="3" t="inlineStr">
        <is>
          <t>은용리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장군면</t>
        </is>
      </c>
    </row>
    <row r="5424">
      <c r="A5424" s="3" t="n">
        <v>2025</v>
      </c>
      <c r="B5424" s="4" t="n">
        <v>1400</v>
      </c>
      <c r="C5424" s="4" t="n">
        <v>1372</v>
      </c>
      <c r="D5424" s="4" t="n">
        <v>415.03</v>
      </c>
      <c r="E5424" s="5" t="n">
        <v>3.4</v>
      </c>
      <c r="F5424" s="3" t="inlineStr">
        <is>
          <t>장군면</t>
        </is>
      </c>
      <c r="G5424" s="3" t="inlineStr">
        <is>
          <t>은용리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장군면</t>
        </is>
      </c>
    </row>
    <row r="5425">
      <c r="A5425" s="3" t="n">
        <v>2025</v>
      </c>
      <c r="B5425" s="4" t="n">
        <v>1600</v>
      </c>
      <c r="C5425" s="4" t="n">
        <v>1590</v>
      </c>
      <c r="D5425" s="4" t="n">
        <v>480.975</v>
      </c>
      <c r="E5425" s="5" t="n">
        <v>3.3</v>
      </c>
      <c r="F5425" s="3" t="inlineStr">
        <is>
          <t>장군면</t>
        </is>
      </c>
      <c r="G5425" s="3" t="inlineStr">
        <is>
          <t>은용리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장군면</t>
        </is>
      </c>
    </row>
    <row r="5426">
      <c r="A5426" s="3" t="n">
        <v>2025</v>
      </c>
      <c r="B5426" s="4" t="n">
        <v>3300</v>
      </c>
      <c r="C5426" s="4" t="n">
        <v>1518</v>
      </c>
      <c r="D5426" s="4" t="n">
        <v>459.195</v>
      </c>
      <c r="E5426" s="5" t="n">
        <v>7.2</v>
      </c>
      <c r="F5426" s="3" t="inlineStr">
        <is>
          <t>장군면</t>
        </is>
      </c>
      <c r="G5426" s="3" t="inlineStr">
        <is>
          <t>은용리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장군면</t>
        </is>
      </c>
    </row>
    <row r="5427">
      <c r="A5427" s="3" t="n">
        <v>2025</v>
      </c>
      <c r="B5427" s="4" t="n">
        <v>6500</v>
      </c>
      <c r="C5427" s="4" t="n">
        <v>1730</v>
      </c>
      <c r="D5427" s="4" t="n">
        <v>523.3249999999999</v>
      </c>
      <c r="E5427" s="5" t="n">
        <v>12.4</v>
      </c>
      <c r="F5427" s="3" t="inlineStr">
        <is>
          <t>장군면</t>
        </is>
      </c>
      <c r="G5427" s="3" t="inlineStr">
        <is>
          <t>은용리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장군면</t>
        </is>
      </c>
    </row>
    <row r="5428">
      <c r="A5428" s="3" t="n">
        <v>2025</v>
      </c>
      <c r="B5428" s="4" t="n">
        <v>1600</v>
      </c>
      <c r="C5428" s="4" t="n">
        <v>1539</v>
      </c>
      <c r="D5428" s="4" t="n">
        <v>465.5475</v>
      </c>
      <c r="E5428" s="5" t="n">
        <v>3.4</v>
      </c>
      <c r="F5428" s="3" t="inlineStr">
        <is>
          <t>장군면</t>
        </is>
      </c>
      <c r="G5428" s="3" t="inlineStr">
        <is>
          <t>은용리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장군면</t>
        </is>
      </c>
    </row>
    <row r="5429">
      <c r="A5429" s="3" t="n">
        <v>2025</v>
      </c>
      <c r="B5429" s="4" t="n">
        <v>300</v>
      </c>
      <c r="C5429" s="4" t="n">
        <v>294</v>
      </c>
      <c r="D5429" s="4" t="n">
        <v>88.935</v>
      </c>
      <c r="E5429" s="5" t="n">
        <v>3.4</v>
      </c>
      <c r="F5429" s="3" t="inlineStr">
        <is>
          <t>장군면</t>
        </is>
      </c>
      <c r="G5429" s="3" t="inlineStr">
        <is>
          <t>은용리</t>
        </is>
      </c>
      <c r="H5429" s="3" t="inlineStr">
        <is>
          <t>농림지역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1700</v>
      </c>
      <c r="C5430" s="4" t="n">
        <v>924</v>
      </c>
      <c r="D5430" s="4" t="n">
        <v>279.51</v>
      </c>
      <c r="E5430" s="5" t="n">
        <v>6.1</v>
      </c>
      <c r="F5430" s="3" t="inlineStr">
        <is>
          <t>장군면</t>
        </is>
      </c>
      <c r="G5430" s="3" t="inlineStr">
        <is>
          <t>은용리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1900</v>
      </c>
      <c r="C5431" s="4" t="n">
        <v>1815</v>
      </c>
      <c r="D5431" s="4" t="n">
        <v>549.0375</v>
      </c>
      <c r="E5431" s="5" t="n">
        <v>3.5</v>
      </c>
      <c r="F5431" s="3" t="inlineStr">
        <is>
          <t>장군면</t>
        </is>
      </c>
      <c r="G5431" s="3" t="inlineStr">
        <is>
          <t>은용리</t>
        </is>
      </c>
      <c r="H5431" s="3" t="inlineStr">
        <is>
          <t>농림지역</t>
        </is>
      </c>
      <c r="I5431" s="3" t="inlineStr">
        <is>
          <t>임야</t>
        </is>
      </c>
      <c r="J5431" s="3" t="inlineStr">
        <is>
          <t>장군면</t>
        </is>
      </c>
    </row>
    <row r="5432">
      <c r="A5432" s="3" t="n">
        <v>2025</v>
      </c>
      <c r="B5432" s="4" t="n">
        <v>1900</v>
      </c>
      <c r="C5432" s="4" t="n">
        <v>1799</v>
      </c>
      <c r="D5432" s="4" t="n">
        <v>544.1975</v>
      </c>
      <c r="E5432" s="5" t="n">
        <v>3.5</v>
      </c>
      <c r="F5432" s="3" t="inlineStr">
        <is>
          <t>장군면</t>
        </is>
      </c>
      <c r="G5432" s="3" t="inlineStr">
        <is>
          <t>은용리</t>
        </is>
      </c>
      <c r="H5432" s="3" t="inlineStr">
        <is>
          <t>농림지역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3300</v>
      </c>
      <c r="C5433" s="4" t="n">
        <v>1415</v>
      </c>
      <c r="D5433" s="4" t="n">
        <v>428.0375</v>
      </c>
      <c r="E5433" s="5" t="n">
        <v>7.7</v>
      </c>
      <c r="F5433" s="3" t="inlineStr">
        <is>
          <t>장군면</t>
        </is>
      </c>
      <c r="G5433" s="3" t="inlineStr">
        <is>
          <t>은용리</t>
        </is>
      </c>
      <c r="H5433" s="3" t="inlineStr">
        <is>
          <t>보전관리지역</t>
        </is>
      </c>
      <c r="I5433" s="3" t="inlineStr">
        <is>
          <t>임야</t>
        </is>
      </c>
      <c r="J5433" s="3" t="inlineStr">
        <is>
          <t>장군면</t>
        </is>
      </c>
    </row>
    <row r="5434">
      <c r="A5434" s="3" t="n">
        <v>2025</v>
      </c>
      <c r="B5434" s="4" t="n">
        <v>2000</v>
      </c>
      <c r="C5434" s="4" t="n">
        <v>1973</v>
      </c>
      <c r="D5434" s="4" t="n">
        <v>596.8325</v>
      </c>
      <c r="E5434" s="5" t="n">
        <v>3.4</v>
      </c>
      <c r="F5434" s="3" t="inlineStr">
        <is>
          <t>장군면</t>
        </is>
      </c>
      <c r="G5434" s="3" t="inlineStr">
        <is>
          <t>은용리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2025</v>
      </c>
      <c r="B5435" s="4" t="n">
        <v>2000</v>
      </c>
      <c r="C5435" s="4" t="n">
        <v>1982</v>
      </c>
      <c r="D5435" s="4" t="n">
        <v>599.5549999999999</v>
      </c>
      <c r="E5435" s="5" t="n">
        <v>3.3</v>
      </c>
      <c r="F5435" s="3" t="inlineStr">
        <is>
          <t>장군면</t>
        </is>
      </c>
      <c r="G5435" s="3" t="inlineStr">
        <is>
          <t>은용리</t>
        </is>
      </c>
      <c r="H5435" s="3" t="inlineStr">
        <is>
          <t>농림지역</t>
        </is>
      </c>
      <c r="I5435" s="3" t="inlineStr">
        <is>
          <t>임야</t>
        </is>
      </c>
      <c r="J5435" s="3" t="inlineStr">
        <is>
          <t>장군면</t>
        </is>
      </c>
    </row>
    <row r="5436">
      <c r="A5436" s="3" t="n">
        <v>2025</v>
      </c>
      <c r="B5436" s="4" t="n">
        <v>852</v>
      </c>
      <c r="C5436" s="4" t="n">
        <v>2</v>
      </c>
      <c r="D5436" s="4" t="n">
        <v>0.605</v>
      </c>
      <c r="E5436" s="5" t="n">
        <v>1408.3</v>
      </c>
      <c r="F5436" s="3" t="inlineStr">
        <is>
          <t>금남면</t>
        </is>
      </c>
      <c r="G5436" s="3" t="inlineStr">
        <is>
          <t>용포리</t>
        </is>
      </c>
      <c r="H5436" s="3" t="inlineStr">
        <is>
          <t>일반상업지역</t>
        </is>
      </c>
      <c r="I5436" s="3" t="inlineStr">
        <is>
          <t>대</t>
        </is>
      </c>
      <c r="J5436" s="3" t="inlineStr">
        <is>
          <t>금남면</t>
        </is>
      </c>
    </row>
    <row r="5437">
      <c r="A5437" s="3" t="n">
        <v>2025</v>
      </c>
      <c r="B5437" s="4" t="n">
        <v>13974</v>
      </c>
      <c r="C5437" s="4" t="n">
        <v>15400</v>
      </c>
      <c r="D5437" s="4" t="n">
        <v>4658.5</v>
      </c>
      <c r="E5437" s="5" t="n">
        <v>3</v>
      </c>
      <c r="F5437" s="3" t="inlineStr">
        <is>
          <t>전의면</t>
        </is>
      </c>
      <c r="G5437" s="3" t="inlineStr">
        <is>
          <t>다방리</t>
        </is>
      </c>
      <c r="H5437" s="3" t="inlineStr">
        <is>
          <t>농림지역</t>
        </is>
      </c>
      <c r="I5437" s="3" t="inlineStr">
        <is>
          <t>임야</t>
        </is>
      </c>
      <c r="J5437" s="3" t="inlineStr">
        <is>
          <t>전의면</t>
        </is>
      </c>
    </row>
    <row r="5438">
      <c r="A5438" s="3" t="n">
        <v>2025</v>
      </c>
      <c r="B5438" s="4" t="n">
        <v>15565</v>
      </c>
      <c r="C5438" s="4" t="n">
        <v>1716</v>
      </c>
      <c r="D5438" s="4" t="n">
        <v>519.09</v>
      </c>
      <c r="E5438" s="5" t="n">
        <v>30</v>
      </c>
      <c r="F5438" s="3" t="inlineStr">
        <is>
          <t>소정면</t>
        </is>
      </c>
      <c r="G5438" s="3" t="inlineStr">
        <is>
          <t>소정리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소정면</t>
        </is>
      </c>
    </row>
    <row r="5439">
      <c r="A5439" s="3" t="n">
        <v>2025</v>
      </c>
      <c r="B5439" s="4" t="n">
        <v>14485</v>
      </c>
      <c r="C5439" s="4" t="n">
        <v>1597</v>
      </c>
      <c r="D5439" s="4" t="n">
        <v>483.0925</v>
      </c>
      <c r="E5439" s="5" t="n">
        <v>30</v>
      </c>
      <c r="F5439" s="3" t="inlineStr">
        <is>
          <t>소정면</t>
        </is>
      </c>
      <c r="G5439" s="3" t="inlineStr">
        <is>
          <t>소정리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소정면</t>
        </is>
      </c>
    </row>
    <row r="5440">
      <c r="A5440" s="3" t="n">
        <v>2025</v>
      </c>
      <c r="B5440" s="4" t="n">
        <v>1000</v>
      </c>
      <c r="C5440" s="4" t="n">
        <v>140</v>
      </c>
      <c r="D5440" s="4" t="n">
        <v>42.35</v>
      </c>
      <c r="E5440" s="5" t="n">
        <v>23.6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6100</v>
      </c>
      <c r="C5441" s="4" t="n">
        <v>1193</v>
      </c>
      <c r="D5441" s="4" t="n">
        <v>360.8825</v>
      </c>
      <c r="E5441" s="5" t="n">
        <v>16.9</v>
      </c>
      <c r="F5441" s="3" t="inlineStr">
        <is>
          <t>전의면</t>
        </is>
      </c>
      <c r="G5441" s="3" t="inlineStr">
        <is>
          <t>신방리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전의면</t>
        </is>
      </c>
    </row>
    <row r="5442">
      <c r="A5442" s="3" t="n">
        <v>2025</v>
      </c>
      <c r="B5442" s="4" t="n">
        <v>4400</v>
      </c>
      <c r="C5442" s="4" t="n">
        <v>866</v>
      </c>
      <c r="D5442" s="4" t="n">
        <v>261.965</v>
      </c>
      <c r="E5442" s="5" t="n">
        <v>16.8</v>
      </c>
      <c r="F5442" s="3" t="inlineStr">
        <is>
          <t>전의면</t>
        </is>
      </c>
      <c r="G5442" s="3" t="inlineStr">
        <is>
          <t>신방리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전의면</t>
        </is>
      </c>
    </row>
    <row r="5443">
      <c r="A5443" s="3" t="n">
        <v>2025</v>
      </c>
      <c r="B5443" s="4" t="n">
        <v>9500</v>
      </c>
      <c r="C5443" s="4" t="n">
        <v>1150</v>
      </c>
      <c r="D5443" s="4" t="n">
        <v>347.875</v>
      </c>
      <c r="E5443" s="5" t="n">
        <v>27.3</v>
      </c>
      <c r="F5443" s="3" t="inlineStr">
        <is>
          <t>전의면</t>
        </is>
      </c>
      <c r="G5443" s="3" t="inlineStr">
        <is>
          <t>노곡리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전의면</t>
        </is>
      </c>
    </row>
    <row r="5444">
      <c r="A5444" s="3" t="n">
        <v>2025</v>
      </c>
      <c r="B5444" s="4" t="n">
        <v>179</v>
      </c>
      <c r="C5444" s="4" t="n">
        <v>12</v>
      </c>
      <c r="D5444" s="4" t="n">
        <v>3.63</v>
      </c>
      <c r="E5444" s="5" t="n">
        <v>49.3</v>
      </c>
      <c r="F5444" s="3" t="inlineStr">
        <is>
          <t>부강면</t>
        </is>
      </c>
      <c r="G5444" s="3" t="inlineStr">
        <is>
          <t>등곡리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부강면</t>
        </is>
      </c>
    </row>
    <row r="5445">
      <c r="A5445" s="3" t="n">
        <v>2025</v>
      </c>
      <c r="B5445" s="4" t="n">
        <v>209</v>
      </c>
      <c r="C5445" s="4" t="n">
        <v>14</v>
      </c>
      <c r="D5445" s="4" t="n">
        <v>4.234999999999999</v>
      </c>
      <c r="E5445" s="5" t="n">
        <v>49.4</v>
      </c>
      <c r="F5445" s="3" t="inlineStr">
        <is>
          <t>부강면</t>
        </is>
      </c>
      <c r="G5445" s="3" t="inlineStr">
        <is>
          <t>등곡리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2025</v>
      </c>
      <c r="B5446" s="4" t="n">
        <v>1571</v>
      </c>
      <c r="C5446" s="4" t="n">
        <v>105</v>
      </c>
      <c r="D5446" s="4" t="n">
        <v>31.7625</v>
      </c>
      <c r="E5446" s="5" t="n">
        <v>49.5</v>
      </c>
      <c r="F5446" s="3" t="inlineStr">
        <is>
          <t>부강면</t>
        </is>
      </c>
      <c r="G5446" s="3" t="inlineStr">
        <is>
          <t>등곡리</t>
        </is>
      </c>
      <c r="H5446" s="3" t="inlineStr">
        <is>
          <t>계획관리지역</t>
        </is>
      </c>
      <c r="I5446" s="3" t="inlineStr">
        <is>
          <t>공장용지</t>
        </is>
      </c>
      <c r="J5446" s="3" t="inlineStr">
        <is>
          <t>부강면</t>
        </is>
      </c>
    </row>
    <row r="5447">
      <c r="A5447" s="3" t="n">
        <v>2025</v>
      </c>
      <c r="B5447" s="4" t="n">
        <v>299</v>
      </c>
      <c r="C5447" s="4" t="n">
        <v>20</v>
      </c>
      <c r="D5447" s="4" t="n">
        <v>6.05</v>
      </c>
      <c r="E5447" s="5" t="n">
        <v>49.4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공장용지</t>
        </is>
      </c>
      <c r="J5447" s="3" t="inlineStr">
        <is>
          <t>부강면</t>
        </is>
      </c>
    </row>
    <row r="5448">
      <c r="A5448" s="3" t="n">
        <v>2025</v>
      </c>
      <c r="B5448" s="4" t="n">
        <v>823</v>
      </c>
      <c r="C5448" s="4" t="n">
        <v>55</v>
      </c>
      <c r="D5448" s="4" t="n">
        <v>16.6375</v>
      </c>
      <c r="E5448" s="5" t="n">
        <v>49.5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부강면</t>
        </is>
      </c>
    </row>
    <row r="5449">
      <c r="A5449" s="3" t="n">
        <v>2025</v>
      </c>
      <c r="B5449" s="4" t="n">
        <v>419</v>
      </c>
      <c r="C5449" s="4" t="n">
        <v>28</v>
      </c>
      <c r="D5449" s="4" t="n">
        <v>8.469999999999999</v>
      </c>
      <c r="E5449" s="5" t="n">
        <v>49.5</v>
      </c>
      <c r="F5449" s="3" t="inlineStr">
        <is>
          <t>부강면</t>
        </is>
      </c>
      <c r="G5449" s="3" t="inlineStr">
        <is>
          <t>등곡리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16400</v>
      </c>
      <c r="C5450" s="4" t="n">
        <v>403</v>
      </c>
      <c r="D5450" s="4" t="n">
        <v>121.9075</v>
      </c>
      <c r="E5450" s="5" t="n">
        <v>134.5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2025</v>
      </c>
      <c r="B5451" s="4" t="n">
        <v>33600</v>
      </c>
      <c r="C5451" s="4" t="n">
        <v>816</v>
      </c>
      <c r="D5451" s="4" t="n">
        <v>246.84</v>
      </c>
      <c r="E5451" s="5" t="n">
        <v>136.1</v>
      </c>
      <c r="F5451" s="3" t="inlineStr">
        <is>
          <t>부강면</t>
        </is>
      </c>
      <c r="G5451" s="3" t="inlineStr">
        <is>
          <t>금호리</t>
        </is>
      </c>
      <c r="H5451" s="3" t="inlineStr">
        <is>
          <t>생산관리지역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2025</v>
      </c>
      <c r="B5452" s="4" t="n">
        <v>37000</v>
      </c>
      <c r="C5452" s="4" t="n">
        <v>2083</v>
      </c>
      <c r="D5452" s="4" t="n">
        <v>630.1075</v>
      </c>
      <c r="E5452" s="5" t="n">
        <v>58.7</v>
      </c>
      <c r="F5452" s="3" t="inlineStr">
        <is>
          <t>금남면</t>
        </is>
      </c>
      <c r="G5452" s="3" t="inlineStr">
        <is>
          <t>용담리</t>
        </is>
      </c>
      <c r="H5452" s="3" t="inlineStr">
        <is>
          <t>개발제한구역</t>
        </is>
      </c>
      <c r="I5452" s="3" t="inlineStr">
        <is>
          <t>답</t>
        </is>
      </c>
      <c r="J5452" s="3" t="inlineStr">
        <is>
          <t>금남면</t>
        </is>
      </c>
    </row>
    <row r="5453">
      <c r="A5453" s="3" t="n">
        <v>2025</v>
      </c>
      <c r="B5453" s="4" t="n">
        <v>46200</v>
      </c>
      <c r="C5453" s="4" t="n">
        <v>1952</v>
      </c>
      <c r="D5453" s="4" t="n">
        <v>590.48</v>
      </c>
      <c r="E5453" s="5" t="n">
        <v>78.2</v>
      </c>
      <c r="F5453" s="3" t="inlineStr">
        <is>
          <t>전동면</t>
        </is>
      </c>
      <c r="G5453" s="3" t="inlineStr">
        <is>
          <t>송정리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43800</v>
      </c>
      <c r="C5454" s="4" t="n">
        <v>1850</v>
      </c>
      <c r="D5454" s="4" t="n">
        <v>559.625</v>
      </c>
      <c r="E5454" s="5" t="n">
        <v>78.3</v>
      </c>
      <c r="F5454" s="3" t="inlineStr">
        <is>
          <t>전동면</t>
        </is>
      </c>
      <c r="G5454" s="3" t="inlineStr">
        <is>
          <t>송정리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16300</v>
      </c>
      <c r="C5455" s="4" t="n">
        <v>534</v>
      </c>
      <c r="D5455" s="4" t="n">
        <v>161.535</v>
      </c>
      <c r="E5455" s="5" t="n">
        <v>100.9</v>
      </c>
      <c r="F5455" s="3" t="inlineStr">
        <is>
          <t>부강면</t>
        </is>
      </c>
      <c r="G5455" s="3" t="inlineStr">
        <is>
          <t>금호리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2025</v>
      </c>
      <c r="B5456" s="4" t="n">
        <v>73700</v>
      </c>
      <c r="C5456" s="4" t="n">
        <v>2410</v>
      </c>
      <c r="D5456" s="4" t="n">
        <v>729.025</v>
      </c>
      <c r="E5456" s="5" t="n">
        <v>101.1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부강면</t>
        </is>
      </c>
    </row>
    <row r="5457">
      <c r="A5457" s="3" t="n">
        <v>2025</v>
      </c>
      <c r="B5457" s="4" t="n">
        <v>40000</v>
      </c>
      <c r="C5457" s="4" t="n">
        <v>11163</v>
      </c>
      <c r="D5457" s="4" t="n">
        <v>3376.8075</v>
      </c>
      <c r="E5457" s="5" t="n">
        <v>11.8</v>
      </c>
      <c r="F5457" s="3" t="inlineStr">
        <is>
          <t>연서면</t>
        </is>
      </c>
      <c r="G5457" s="3" t="inlineStr">
        <is>
          <t>기룡리</t>
        </is>
      </c>
      <c r="H5457" s="3" t="inlineStr">
        <is>
          <t>생산관리지역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2025</v>
      </c>
      <c r="B5458" s="4" t="n">
        <v>20956</v>
      </c>
      <c r="C5458" s="4" t="n">
        <v>1116</v>
      </c>
      <c r="D5458" s="4" t="n">
        <v>337.59</v>
      </c>
      <c r="E5458" s="5" t="n">
        <v>62.1</v>
      </c>
      <c r="F5458" s="3" t="inlineStr">
        <is>
          <t>소정면</t>
        </is>
      </c>
      <c r="G5458" s="3" t="inlineStr">
        <is>
          <t>대곡리</t>
        </is>
      </c>
      <c r="H5458" s="3" t="inlineStr">
        <is>
          <t>계획관리지역</t>
        </is>
      </c>
      <c r="I5458" s="3" t="inlineStr">
        <is>
          <t>목장용지</t>
        </is>
      </c>
      <c r="J5458" s="3" t="inlineStr">
        <is>
          <t>소정면</t>
        </is>
      </c>
    </row>
    <row r="5459">
      <c r="A5459" s="3" t="n">
        <v>2025</v>
      </c>
      <c r="B5459" s="4" t="n">
        <v>10000</v>
      </c>
      <c r="C5459" s="4" t="n">
        <v>10915</v>
      </c>
      <c r="D5459" s="4" t="n">
        <v>3301.7875</v>
      </c>
      <c r="E5459" s="5" t="n">
        <v>3</v>
      </c>
      <c r="F5459" s="3" t="inlineStr">
        <is>
          <t>조치원읍</t>
        </is>
      </c>
      <c r="G5459" s="3" t="inlineStr">
        <is>
          <t>신안리</t>
        </is>
      </c>
      <c r="H5459" s="3" t="inlineStr">
        <is>
          <t>보전녹지지역</t>
        </is>
      </c>
      <c r="I5459" s="3" t="inlineStr">
        <is>
          <t>임야</t>
        </is>
      </c>
      <c r="J5459" s="3" t="inlineStr">
        <is>
          <t>조치원읍</t>
        </is>
      </c>
    </row>
    <row r="5460">
      <c r="A5460" s="3" t="n">
        <v>2025</v>
      </c>
      <c r="B5460" s="4" t="n">
        <v>34500</v>
      </c>
      <c r="C5460" s="4" t="n">
        <v>538</v>
      </c>
      <c r="D5460" s="4" t="n">
        <v>162.745</v>
      </c>
      <c r="E5460" s="5" t="n">
        <v>212</v>
      </c>
      <c r="F5460" s="3" t="inlineStr">
        <is>
          <t>장군면</t>
        </is>
      </c>
      <c r="G5460" s="3" t="inlineStr">
        <is>
          <t>송문리</t>
        </is>
      </c>
      <c r="H5460" s="3" t="inlineStr">
        <is>
          <t>농림지역</t>
        </is>
      </c>
      <c r="I5460" s="3" t="inlineStr">
        <is>
          <t>잡종지</t>
        </is>
      </c>
      <c r="J5460" s="3" t="inlineStr">
        <is>
          <t>장군면</t>
        </is>
      </c>
    </row>
    <row r="5461">
      <c r="A5461" s="3" t="n">
        <v>2025</v>
      </c>
      <c r="B5461" s="4" t="n">
        <v>16273</v>
      </c>
      <c r="C5461" s="4" t="n">
        <v>280</v>
      </c>
      <c r="D5461" s="4" t="n">
        <v>84.7</v>
      </c>
      <c r="E5461" s="5" t="n">
        <v>192.1</v>
      </c>
      <c r="F5461" s="3" t="inlineStr">
        <is>
          <t>전의면</t>
        </is>
      </c>
      <c r="G5461" s="3" t="inlineStr">
        <is>
          <t>신방리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2025</v>
      </c>
      <c r="B5462" s="4" t="n">
        <v>40000</v>
      </c>
      <c r="C5462" s="4" t="n">
        <v>11163</v>
      </c>
      <c r="D5462" s="4" t="n">
        <v>3376.8075</v>
      </c>
      <c r="E5462" s="5" t="n">
        <v>11.8</v>
      </c>
      <c r="F5462" s="3" t="inlineStr">
        <is>
          <t>연서면</t>
        </is>
      </c>
      <c r="G5462" s="3" t="inlineStr">
        <is>
          <t>기룡리</t>
        </is>
      </c>
      <c r="H5462" s="3" t="inlineStr">
        <is>
          <t>생산관리지역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2025</v>
      </c>
      <c r="B5463" s="4" t="n">
        <v>9996</v>
      </c>
      <c r="C5463" s="4" t="n">
        <v>172</v>
      </c>
      <c r="D5463" s="4" t="n">
        <v>52.03</v>
      </c>
      <c r="E5463" s="5" t="n">
        <v>192.1</v>
      </c>
      <c r="F5463" s="3" t="inlineStr">
        <is>
          <t>전의면</t>
        </is>
      </c>
      <c r="G5463" s="3" t="inlineStr">
        <is>
          <t>신방리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전의면</t>
        </is>
      </c>
    </row>
    <row r="5464">
      <c r="A5464" s="3" t="n">
        <v>2025</v>
      </c>
      <c r="B5464" s="4" t="n">
        <v>26250</v>
      </c>
      <c r="C5464" s="4" t="n">
        <v>451</v>
      </c>
      <c r="D5464" s="4" t="n">
        <v>136.4275</v>
      </c>
      <c r="E5464" s="5" t="n">
        <v>192.4</v>
      </c>
      <c r="F5464" s="3" t="inlineStr">
        <is>
          <t>전의면</t>
        </is>
      </c>
      <c r="G5464" s="3" t="inlineStr">
        <is>
          <t>신방리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2025</v>
      </c>
      <c r="B5465" s="4" t="n">
        <v>223000</v>
      </c>
      <c r="C5465" s="4" t="n">
        <v>8335</v>
      </c>
      <c r="D5465" s="4" t="n">
        <v>2521.3375</v>
      </c>
      <c r="E5465" s="5" t="n">
        <v>88.40000000000001</v>
      </c>
      <c r="F5465" s="3" t="inlineStr">
        <is>
          <t>장군면</t>
        </is>
      </c>
      <c r="G5465" s="3" t="inlineStr">
        <is>
          <t>금암리</t>
        </is>
      </c>
      <c r="H5465" s="3" t="inlineStr">
        <is>
          <t>농림지역</t>
        </is>
      </c>
      <c r="I5465" s="3" t="inlineStr">
        <is>
          <t>임야</t>
        </is>
      </c>
      <c r="J5465" s="3" t="inlineStr">
        <is>
          <t>장군면</t>
        </is>
      </c>
    </row>
    <row r="5466">
      <c r="A5466" s="3" t="n">
        <v>2025</v>
      </c>
      <c r="B5466" s="4" t="n">
        <v>53000</v>
      </c>
      <c r="C5466" s="4" t="n">
        <v>1726</v>
      </c>
      <c r="D5466" s="4" t="n">
        <v>522.115</v>
      </c>
      <c r="E5466" s="5" t="n">
        <v>101.5</v>
      </c>
      <c r="F5466" s="3" t="inlineStr">
        <is>
          <t>연서면</t>
        </is>
      </c>
      <c r="G5466" s="3" t="inlineStr">
        <is>
          <t>봉암리</t>
        </is>
      </c>
      <c r="H5466" s="3" t="inlineStr">
        <is>
          <t>농림지역</t>
        </is>
      </c>
      <c r="I5466" s="3" t="inlineStr">
        <is>
          <t>목장용지</t>
        </is>
      </c>
      <c r="J5466" s="3" t="inlineStr">
        <is>
          <t>연서면</t>
        </is>
      </c>
    </row>
    <row r="5467">
      <c r="A5467" s="3" t="n">
        <v>2024</v>
      </c>
      <c r="B5467" s="4" t="n">
        <v>35896</v>
      </c>
      <c r="C5467" s="4" t="n">
        <v>471</v>
      </c>
      <c r="D5467" s="4" t="n">
        <v>142.4775</v>
      </c>
      <c r="E5467" s="5" t="n">
        <v>251.9</v>
      </c>
      <c r="F5467" s="3" t="inlineStr">
        <is>
          <t>장군면</t>
        </is>
      </c>
      <c r="G5467" s="3" t="inlineStr">
        <is>
          <t>산학리</t>
        </is>
      </c>
      <c r="H5467" s="3" t="inlineStr">
        <is>
          <t>보전관리지역</t>
        </is>
      </c>
      <c r="I5467" s="3" t="inlineStr">
        <is>
          <t>대</t>
        </is>
      </c>
      <c r="J5467" s="3" t="inlineStr">
        <is>
          <t>장군면</t>
        </is>
      </c>
    </row>
    <row r="5468">
      <c r="A5468" s="3" t="n">
        <v>2024</v>
      </c>
      <c r="B5468" s="4" t="n">
        <v>35152</v>
      </c>
      <c r="C5468" s="4" t="n">
        <v>461</v>
      </c>
      <c r="D5468" s="4" t="n">
        <v>139.4525</v>
      </c>
      <c r="E5468" s="5" t="n">
        <v>252.1</v>
      </c>
      <c r="F5468" s="3" t="inlineStr">
        <is>
          <t>장군면</t>
        </is>
      </c>
      <c r="G5468" s="3" t="inlineStr">
        <is>
          <t>산학리</t>
        </is>
      </c>
      <c r="H5468" s="3" t="inlineStr">
        <is>
          <t>보전관리지역</t>
        </is>
      </c>
      <c r="I5468" s="3" t="inlineStr">
        <is>
          <t>대</t>
        </is>
      </c>
      <c r="J5468" s="3" t="inlineStr">
        <is>
          <t>장군면</t>
        </is>
      </c>
    </row>
    <row r="5469">
      <c r="A5469" s="3" t="n">
        <v>2024</v>
      </c>
      <c r="B5469" s="4" t="n">
        <v>34704</v>
      </c>
      <c r="C5469" s="4" t="n">
        <v>455</v>
      </c>
      <c r="D5469" s="4" t="n">
        <v>137.6375</v>
      </c>
      <c r="E5469" s="5" t="n">
        <v>252.1</v>
      </c>
      <c r="F5469" s="3" t="inlineStr">
        <is>
          <t>장군면</t>
        </is>
      </c>
      <c r="G5469" s="3" t="inlineStr">
        <is>
          <t>산학리</t>
        </is>
      </c>
      <c r="H5469" s="3" t="inlineStr">
        <is>
          <t>보전관리지역</t>
        </is>
      </c>
      <c r="I5469" s="3" t="inlineStr">
        <is>
          <t>대</t>
        </is>
      </c>
      <c r="J5469" s="3" t="inlineStr">
        <is>
          <t>장군면</t>
        </is>
      </c>
    </row>
    <row r="5470">
      <c r="A5470" s="3" t="n">
        <v>2024</v>
      </c>
      <c r="B5470" s="4" t="n">
        <v>34776</v>
      </c>
      <c r="C5470" s="4" t="n">
        <v>456</v>
      </c>
      <c r="D5470" s="4" t="n">
        <v>137.94</v>
      </c>
      <c r="E5470" s="5" t="n">
        <v>252.1</v>
      </c>
      <c r="F5470" s="3" t="inlineStr">
        <is>
          <t>장군면</t>
        </is>
      </c>
      <c r="G5470" s="3" t="inlineStr">
        <is>
          <t>산학리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2026</v>
      </c>
      <c r="B5471" s="4" t="n">
        <v>61692</v>
      </c>
      <c r="C5471" s="4" t="n">
        <v>600</v>
      </c>
      <c r="D5471" s="4" t="n">
        <v>181.5</v>
      </c>
      <c r="E5471" s="5" t="n">
        <v>339.9</v>
      </c>
      <c r="F5471" s="3" t="inlineStr">
        <is>
          <t>장군면</t>
        </is>
      </c>
      <c r="G5471" s="3" t="inlineStr">
        <is>
          <t>대교리</t>
        </is>
      </c>
      <c r="H5471" s="3" t="inlineStr">
        <is>
          <t>보전관리지역</t>
        </is>
      </c>
      <c r="I5471" s="3" t="inlineStr">
        <is>
          <t>대</t>
        </is>
      </c>
      <c r="J5471" s="3" t="inlineStr">
        <is>
          <t>장군면</t>
        </is>
      </c>
    </row>
    <row r="5472">
      <c r="A5472" s="3" t="n">
        <v>2026</v>
      </c>
      <c r="B5472" s="4" t="n">
        <v>41188</v>
      </c>
      <c r="C5472" s="4" t="n">
        <v>500</v>
      </c>
      <c r="D5472" s="4" t="n">
        <v>151.25</v>
      </c>
      <c r="E5472" s="5" t="n">
        <v>272.3</v>
      </c>
      <c r="F5472" s="3" t="inlineStr">
        <is>
          <t>장군면</t>
        </is>
      </c>
      <c r="G5472" s="3" t="inlineStr">
        <is>
          <t>대교리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2026</v>
      </c>
      <c r="B5473" s="4" t="n">
        <v>42379</v>
      </c>
      <c r="C5473" s="4" t="n">
        <v>450</v>
      </c>
      <c r="D5473" s="4" t="n">
        <v>136.125</v>
      </c>
      <c r="E5473" s="5" t="n">
        <v>311.3</v>
      </c>
      <c r="F5473" s="3" t="inlineStr">
        <is>
          <t>장군면</t>
        </is>
      </c>
      <c r="G5473" s="3" t="inlineStr">
        <is>
          <t>대교리</t>
        </is>
      </c>
      <c r="H5473" s="3" t="inlineStr">
        <is>
          <t>보전관리지역</t>
        </is>
      </c>
      <c r="I5473" s="3" t="inlineStr">
        <is>
          <t>대</t>
        </is>
      </c>
      <c r="J5473" s="3" t="inlineStr">
        <is>
          <t>장군면</t>
        </is>
      </c>
    </row>
    <row r="5474">
      <c r="A5474" s="3" t="n">
        <v>2026</v>
      </c>
      <c r="B5474" s="4" t="n">
        <v>44100</v>
      </c>
      <c r="C5474" s="4" t="n">
        <v>535</v>
      </c>
      <c r="D5474" s="4" t="n">
        <v>161.8375</v>
      </c>
      <c r="E5474" s="5" t="n">
        <v>272.5</v>
      </c>
      <c r="F5474" s="3" t="inlineStr">
        <is>
          <t>장군면</t>
        </is>
      </c>
      <c r="G5474" s="3" t="inlineStr">
        <is>
          <t>대교리</t>
        </is>
      </c>
      <c r="H5474" s="3" t="inlineStr">
        <is>
          <t>보전관리지역</t>
        </is>
      </c>
      <c r="I5474" s="3" t="inlineStr">
        <is>
          <t>대</t>
        </is>
      </c>
      <c r="J5474" s="3" t="inlineStr">
        <is>
          <t>장군면</t>
        </is>
      </c>
    </row>
    <row r="5475">
      <c r="A5475" s="3" t="n">
        <v>2023</v>
      </c>
      <c r="B5475" s="4" t="n">
        <v>141000</v>
      </c>
      <c r="C5475" s="4" t="n">
        <v>2496</v>
      </c>
      <c r="D5475" s="4" t="n">
        <v>755.04</v>
      </c>
      <c r="E5475" s="5" t="n">
        <v>186.7</v>
      </c>
      <c r="F5475" s="3" t="inlineStr">
        <is>
          <t>연서면</t>
        </is>
      </c>
      <c r="G5475" s="3" t="inlineStr">
        <is>
          <t>신대리</t>
        </is>
      </c>
      <c r="H5475" s="3" t="inlineStr">
        <is>
          <t>보전관리지역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2023</v>
      </c>
      <c r="B5476" s="4" t="n">
        <v>193</v>
      </c>
      <c r="C5476" s="4" t="n">
        <v>157</v>
      </c>
      <c r="D5476" s="4" t="n">
        <v>47.4925</v>
      </c>
      <c r="E5476" s="5" t="n">
        <v>4.1</v>
      </c>
      <c r="F5476" s="3" t="inlineStr">
        <is>
          <t>연서면</t>
        </is>
      </c>
      <c r="G5476" s="3" t="inlineStr">
        <is>
          <t>신대리</t>
        </is>
      </c>
      <c r="H5476" s="3" t="inlineStr">
        <is>
          <t>보전관리지역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2023</v>
      </c>
      <c r="B5477" s="4" t="n">
        <v>16000</v>
      </c>
      <c r="C5477" s="4" t="n">
        <v>19041</v>
      </c>
      <c r="D5477" s="4" t="n">
        <v>5759.9025</v>
      </c>
      <c r="E5477" s="5" t="n">
        <v>2.8</v>
      </c>
      <c r="F5477" s="3" t="inlineStr">
        <is>
          <t>전동면</t>
        </is>
      </c>
      <c r="G5477" s="3" t="inlineStr">
        <is>
          <t>심중리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전동면</t>
        </is>
      </c>
    </row>
    <row r="5478">
      <c r="A5478" s="3" t="n">
        <v>2023</v>
      </c>
      <c r="B5478" s="4" t="n">
        <v>16000</v>
      </c>
      <c r="C5478" s="4" t="n">
        <v>19041</v>
      </c>
      <c r="D5478" s="4" t="n">
        <v>5759.9025</v>
      </c>
      <c r="E5478" s="5" t="n">
        <v>2.8</v>
      </c>
      <c r="F5478" s="3" t="inlineStr">
        <is>
          <t>전동면</t>
        </is>
      </c>
      <c r="G5478" s="3" t="inlineStr">
        <is>
          <t>심중리</t>
        </is>
      </c>
      <c r="H5478" s="3" t="inlineStr">
        <is>
          <t>농림지역</t>
        </is>
      </c>
      <c r="I5478" s="3" t="inlineStr">
        <is>
          <t>임야</t>
        </is>
      </c>
      <c r="J5478" s="3" t="inlineStr">
        <is>
          <t>전동면</t>
        </is>
      </c>
    </row>
    <row r="5479">
      <c r="A5479" s="3" t="n">
        <v>2023</v>
      </c>
      <c r="B5479" s="4" t="n">
        <v>9143</v>
      </c>
      <c r="C5479" s="4" t="n">
        <v>49</v>
      </c>
      <c r="D5479" s="4" t="n">
        <v>14.8225</v>
      </c>
      <c r="E5479" s="5" t="n">
        <v>616.8</v>
      </c>
      <c r="F5479" s="3" t="inlineStr">
        <is>
          <t>금남면</t>
        </is>
      </c>
      <c r="G5479" s="3" t="inlineStr">
        <is>
          <t>용포리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금남면</t>
        </is>
      </c>
    </row>
    <row r="5480">
      <c r="A5480" s="3" t="n">
        <v>2023</v>
      </c>
      <c r="B5480" s="4" t="n">
        <v>55170</v>
      </c>
      <c r="C5480" s="4" t="n">
        <v>3040</v>
      </c>
      <c r="D5480" s="4" t="n">
        <v>919.6</v>
      </c>
      <c r="E5480" s="5" t="n">
        <v>60</v>
      </c>
      <c r="F5480" s="3" t="inlineStr">
        <is>
          <t>연서면</t>
        </is>
      </c>
      <c r="G5480" s="3" t="inlineStr">
        <is>
          <t>고복리</t>
        </is>
      </c>
      <c r="H5480" s="3" t="inlineStr">
        <is>
          <t>농림지역</t>
        </is>
      </c>
      <c r="I5480" s="3" t="inlineStr">
        <is>
          <t>답</t>
        </is>
      </c>
      <c r="J5480" s="3" t="inlineStr">
        <is>
          <t>연서면</t>
        </is>
      </c>
    </row>
    <row r="5481">
      <c r="A5481" s="3" t="n">
        <v>2023</v>
      </c>
      <c r="B5481" s="4" t="n">
        <v>4000</v>
      </c>
      <c r="C5481" s="4" t="n">
        <v>529</v>
      </c>
      <c r="D5481" s="4" t="n">
        <v>160.0225</v>
      </c>
      <c r="E5481" s="5" t="n">
        <v>25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계획관리지역</t>
        </is>
      </c>
      <c r="I5481" s="3" t="inlineStr">
        <is>
          <t>전</t>
        </is>
      </c>
      <c r="J5481" s="3" t="inlineStr">
        <is>
          <t>부강면</t>
        </is>
      </c>
    </row>
    <row r="5482">
      <c r="A5482" s="3" t="n">
        <v>2023</v>
      </c>
      <c r="B5482" s="4" t="n">
        <v>11520</v>
      </c>
      <c r="C5482" s="4" t="n">
        <v>167</v>
      </c>
      <c r="D5482" s="4" t="n">
        <v>50.5175</v>
      </c>
      <c r="E5482" s="5" t="n">
        <v>228</v>
      </c>
      <c r="F5482" s="3" t="inlineStr">
        <is>
          <t>장군면</t>
        </is>
      </c>
      <c r="G5482" s="3" t="inlineStr">
        <is>
          <t>대교리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2023</v>
      </c>
      <c r="B5483" s="4" t="n">
        <v>2480</v>
      </c>
      <c r="C5483" s="4" t="n">
        <v>36</v>
      </c>
      <c r="D5483" s="4" t="n">
        <v>10.89</v>
      </c>
      <c r="E5483" s="5" t="n">
        <v>227.7</v>
      </c>
      <c r="F5483" s="3" t="inlineStr">
        <is>
          <t>장군면</t>
        </is>
      </c>
      <c r="G5483" s="3" t="inlineStr">
        <is>
          <t>대교리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2023</v>
      </c>
      <c r="B5484" s="4" t="n">
        <v>68800</v>
      </c>
      <c r="C5484" s="4" t="n">
        <v>567</v>
      </c>
      <c r="D5484" s="4" t="n">
        <v>171.5175</v>
      </c>
      <c r="E5484" s="5" t="n">
        <v>401.1</v>
      </c>
      <c r="F5484" s="3" t="inlineStr">
        <is>
          <t>조치원읍</t>
        </is>
      </c>
      <c r="G5484" s="3" t="inlineStr">
        <is>
          <t>번암리</t>
        </is>
      </c>
      <c r="H5484" s="3" t="inlineStr">
        <is>
          <t>제2종일반주거지역</t>
        </is>
      </c>
      <c r="I5484" s="3" t="inlineStr">
        <is>
          <t>답</t>
        </is>
      </c>
      <c r="J5484" s="3" t="inlineStr">
        <is>
          <t>조치원읍</t>
        </is>
      </c>
    </row>
    <row r="5485">
      <c r="A5485" s="3" t="n">
        <v>2023</v>
      </c>
      <c r="B5485" s="4" t="n">
        <v>14950</v>
      </c>
      <c r="C5485" s="4" t="n">
        <v>1431</v>
      </c>
      <c r="D5485" s="4" t="n">
        <v>432.8775</v>
      </c>
      <c r="E5485" s="5" t="n">
        <v>34.5</v>
      </c>
      <c r="F5485" s="3" t="inlineStr">
        <is>
          <t>금남면</t>
        </is>
      </c>
      <c r="G5485" s="3" t="inlineStr">
        <is>
          <t>금천리</t>
        </is>
      </c>
      <c r="H5485" s="3" t="inlineStr">
        <is>
          <t>개발제한구역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2022</v>
      </c>
      <c r="B5486" s="4" t="n">
        <v>37377</v>
      </c>
      <c r="C5486" s="4" t="n">
        <v>488</v>
      </c>
      <c r="D5486" s="4" t="n">
        <v>147.62</v>
      </c>
      <c r="E5486" s="5" t="n">
        <v>253.2</v>
      </c>
      <c r="F5486" s="3" t="inlineStr">
        <is>
          <t>장군면</t>
        </is>
      </c>
      <c r="G5486" s="3" t="inlineStr">
        <is>
          <t>은용리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장군면</t>
        </is>
      </c>
    </row>
    <row r="5487">
      <c r="A5487" s="3" t="n">
        <v>2022</v>
      </c>
      <c r="B5487" s="4" t="n">
        <v>23550</v>
      </c>
      <c r="C5487" s="4" t="n">
        <v>520</v>
      </c>
      <c r="D5487" s="4" t="n">
        <v>157.3</v>
      </c>
      <c r="E5487" s="5" t="n">
        <v>149.7</v>
      </c>
      <c r="F5487" s="3" t="inlineStr">
        <is>
          <t>금남면</t>
        </is>
      </c>
      <c r="G5487" s="3" t="inlineStr">
        <is>
          <t>도남리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금남면</t>
        </is>
      </c>
    </row>
    <row r="5488">
      <c r="A5488" s="3" t="n">
        <v>2022</v>
      </c>
      <c r="B5488" s="4" t="n">
        <v>35000</v>
      </c>
      <c r="C5488" s="4" t="n">
        <v>1653</v>
      </c>
      <c r="D5488" s="4" t="n">
        <v>500.0325</v>
      </c>
      <c r="E5488" s="5" t="n">
        <v>70</v>
      </c>
      <c r="F5488" s="3" t="inlineStr">
        <is>
          <t>전동면</t>
        </is>
      </c>
      <c r="G5488" s="3" t="inlineStr">
        <is>
          <t>노장리</t>
        </is>
      </c>
      <c r="H5488" s="3" t="inlineStr">
        <is>
          <t>농림지역</t>
        </is>
      </c>
      <c r="I5488" s="3" t="inlineStr">
        <is>
          <t>임야</t>
        </is>
      </c>
      <c r="J5488" s="3" t="inlineStr">
        <is>
          <t>전동면</t>
        </is>
      </c>
    </row>
    <row r="5489">
      <c r="A5489" s="3" t="n">
        <v>2022</v>
      </c>
      <c r="B5489" s="4" t="n">
        <v>44000</v>
      </c>
      <c r="C5489" s="4" t="n">
        <v>4816</v>
      </c>
      <c r="D5489" s="4" t="n">
        <v>1456.84</v>
      </c>
      <c r="E5489" s="5" t="n">
        <v>30.2</v>
      </c>
      <c r="F5489" s="3" t="inlineStr">
        <is>
          <t>전동면</t>
        </is>
      </c>
      <c r="G5489" s="3" t="inlineStr">
        <is>
          <t>청람리</t>
        </is>
      </c>
      <c r="H5489" s="3" t="inlineStr">
        <is>
          <t>농림지역</t>
        </is>
      </c>
      <c r="I5489" s="3" t="inlineStr">
        <is>
          <t>과수원</t>
        </is>
      </c>
      <c r="J5489" s="3" t="inlineStr">
        <is>
          <t>전동면</t>
        </is>
      </c>
    </row>
    <row r="5490">
      <c r="A5490" s="3" t="n">
        <v>2022</v>
      </c>
      <c r="B5490" s="4" t="n">
        <v>13200</v>
      </c>
      <c r="C5490" s="4" t="n">
        <v>693</v>
      </c>
      <c r="D5490" s="4" t="n">
        <v>209.6325</v>
      </c>
      <c r="E5490" s="5" t="n">
        <v>63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42000</v>
      </c>
      <c r="C5491" s="4" t="n">
        <v>660</v>
      </c>
      <c r="D5491" s="4" t="n">
        <v>199.65</v>
      </c>
      <c r="E5491" s="5" t="n">
        <v>210.4</v>
      </c>
      <c r="F5491" s="3" t="inlineStr">
        <is>
          <t>연기면</t>
        </is>
      </c>
      <c r="G5491" s="3" t="inlineStr">
        <is>
          <t>눌왕리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연기면</t>
        </is>
      </c>
    </row>
    <row r="5492">
      <c r="A5492" s="3" t="n">
        <v>2022</v>
      </c>
      <c r="B5492" s="4" t="n">
        <v>5670</v>
      </c>
      <c r="C5492" s="4" t="n">
        <v>90</v>
      </c>
      <c r="D5492" s="4" t="n">
        <v>27.225</v>
      </c>
      <c r="E5492" s="5" t="n">
        <v>208.3</v>
      </c>
      <c r="F5492" s="3" t="inlineStr">
        <is>
          <t>연기면</t>
        </is>
      </c>
      <c r="G5492" s="3" t="inlineStr">
        <is>
          <t>눌왕리</t>
        </is>
      </c>
      <c r="H5492" s="3" t="inlineStr">
        <is>
          <t>계획관리지역</t>
        </is>
      </c>
      <c r="I5492" s="3" t="inlineStr">
        <is>
          <t>임야</t>
        </is>
      </c>
      <c r="J5492" s="3" t="inlineStr">
        <is>
          <t>연기면</t>
        </is>
      </c>
    </row>
    <row r="5493">
      <c r="A5493" s="3" t="n">
        <v>2022</v>
      </c>
      <c r="B5493" s="4" t="n">
        <v>30000</v>
      </c>
      <c r="C5493" s="4" t="n">
        <v>764</v>
      </c>
      <c r="D5493" s="4" t="n">
        <v>231.11</v>
      </c>
      <c r="E5493" s="5" t="n">
        <v>129.8</v>
      </c>
      <c r="F5493" s="3" t="inlineStr">
        <is>
          <t>장군면</t>
        </is>
      </c>
      <c r="G5493" s="3" t="inlineStr">
        <is>
          <t>하봉리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장군면</t>
        </is>
      </c>
    </row>
    <row r="5494">
      <c r="A5494" s="3" t="n">
        <v>2022</v>
      </c>
      <c r="B5494" s="4" t="n">
        <v>40045</v>
      </c>
      <c r="C5494" s="4" t="n">
        <v>523</v>
      </c>
      <c r="D5494" s="4" t="n">
        <v>158.2075</v>
      </c>
      <c r="E5494" s="5" t="n">
        <v>253.1</v>
      </c>
      <c r="F5494" s="3" t="inlineStr">
        <is>
          <t>금남면</t>
        </is>
      </c>
      <c r="G5494" s="3" t="inlineStr">
        <is>
          <t>성덕리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금남면</t>
        </is>
      </c>
    </row>
    <row r="5495">
      <c r="A5495" s="3" t="n">
        <v>2022</v>
      </c>
      <c r="B5495" s="4" t="n">
        <v>55500</v>
      </c>
      <c r="C5495" s="4" t="n">
        <v>2449.1</v>
      </c>
      <c r="D5495" s="4" t="n">
        <v>740.8527499999999</v>
      </c>
      <c r="E5495" s="5" t="n">
        <v>74.90000000000001</v>
      </c>
      <c r="F5495" s="3" t="inlineStr">
        <is>
          <t>연동면</t>
        </is>
      </c>
      <c r="G5495" s="3" t="inlineStr">
        <is>
          <t>문주리</t>
        </is>
      </c>
      <c r="H5495" s="3" t="inlineStr">
        <is>
          <t>농림지역</t>
        </is>
      </c>
      <c r="I5495" s="3" t="inlineStr">
        <is>
          <t>대</t>
        </is>
      </c>
      <c r="J5495" s="3" t="inlineStr">
        <is>
          <t>연동면</t>
        </is>
      </c>
    </row>
    <row r="5496">
      <c r="A5496" s="3" t="n">
        <v>2022</v>
      </c>
      <c r="B5496" s="4" t="n">
        <v>317</v>
      </c>
      <c r="C5496" s="4" t="n">
        <v>4</v>
      </c>
      <c r="D5496" s="4" t="n">
        <v>1.21</v>
      </c>
      <c r="E5496" s="5" t="n">
        <v>262</v>
      </c>
      <c r="F5496" s="3" t="inlineStr">
        <is>
          <t>조치원읍</t>
        </is>
      </c>
      <c r="G5496" s="3" t="inlineStr">
        <is>
          <t>침산리</t>
        </is>
      </c>
      <c r="H5496" s="3" t="inlineStr">
        <is>
          <t>제1종일반주거지역</t>
        </is>
      </c>
      <c r="I5496" s="3" t="inlineStr">
        <is>
          <t>대</t>
        </is>
      </c>
      <c r="J5496" s="3" t="inlineStr">
        <is>
          <t>조치원읍</t>
        </is>
      </c>
    </row>
    <row r="5497">
      <c r="A5497" s="3" t="n">
        <v>2023</v>
      </c>
      <c r="B5497" s="4" t="n">
        <v>40765</v>
      </c>
      <c r="C5497" s="4" t="n">
        <v>631</v>
      </c>
      <c r="D5497" s="4" t="n">
        <v>190.8775</v>
      </c>
      <c r="E5497" s="5" t="n">
        <v>213.6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연서면</t>
        </is>
      </c>
    </row>
    <row r="5498">
      <c r="A5498" s="3" t="n">
        <v>2025</v>
      </c>
      <c r="B5498" s="4" t="n">
        <v>34000</v>
      </c>
      <c r="C5498" s="4" t="n">
        <v>3554</v>
      </c>
      <c r="D5498" s="4" t="n">
        <v>1075.085</v>
      </c>
      <c r="E5498" s="5" t="n">
        <v>31.6</v>
      </c>
      <c r="F5498" s="3" t="inlineStr">
        <is>
          <t>금남면</t>
        </is>
      </c>
      <c r="G5498" s="3" t="inlineStr">
        <is>
          <t>영대리</t>
        </is>
      </c>
      <c r="H5498" s="3" t="inlineStr">
        <is>
          <t>개발제한구역</t>
        </is>
      </c>
      <c r="I5498" s="3" t="inlineStr">
        <is>
          <t>답</t>
        </is>
      </c>
      <c r="J5498" s="3" t="inlineStr">
        <is>
          <t>금남면</t>
        </is>
      </c>
    </row>
    <row r="5499">
      <c r="A5499" s="3" t="n">
        <v>2025</v>
      </c>
      <c r="B5499" s="4" t="n">
        <v>350000</v>
      </c>
      <c r="C5499" s="4" t="n">
        <v>1554</v>
      </c>
      <c r="D5499" s="4" t="n">
        <v>470.085</v>
      </c>
      <c r="E5499" s="5" t="n">
        <v>744.5</v>
      </c>
      <c r="F5499" s="3" t="inlineStr">
        <is>
          <t>집현동</t>
        </is>
      </c>
      <c r="G5499" s="3" t="inlineStr"/>
      <c r="H5499" s="3" t="inlineStr">
        <is>
          <t>제2종일반주거지역</t>
        </is>
      </c>
      <c r="I5499" s="3" t="inlineStr">
        <is>
          <t>종교용지</t>
        </is>
      </c>
      <c r="J5499" s="3" t="inlineStr">
        <is>
          <t>집현동</t>
        </is>
      </c>
    </row>
    <row r="5500">
      <c r="A5500" s="3" t="n">
        <v>2025</v>
      </c>
      <c r="B5500" s="4" t="n">
        <v>113500</v>
      </c>
      <c r="C5500" s="4" t="n">
        <v>1501</v>
      </c>
      <c r="D5500" s="4" t="n">
        <v>454.0525</v>
      </c>
      <c r="E5500" s="5" t="n">
        <v>250</v>
      </c>
      <c r="F5500" s="3" t="inlineStr">
        <is>
          <t>장군면</t>
        </is>
      </c>
      <c r="G5500" s="3" t="inlineStr">
        <is>
          <t>은용리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장군면</t>
        </is>
      </c>
    </row>
    <row r="5501">
      <c r="A5501" s="3" t="n">
        <v>2025</v>
      </c>
      <c r="B5501" s="4" t="n">
        <v>4000</v>
      </c>
      <c r="C5501" s="4" t="n">
        <v>72</v>
      </c>
      <c r="D5501" s="4" t="n">
        <v>21.78</v>
      </c>
      <c r="E5501" s="5" t="n">
        <v>183.7</v>
      </c>
      <c r="F5501" s="3" t="inlineStr">
        <is>
          <t>금남면</t>
        </is>
      </c>
      <c r="G5501" s="3" t="inlineStr">
        <is>
          <t>용담리</t>
        </is>
      </c>
      <c r="H5501" s="3" t="inlineStr">
        <is>
          <t>개발제한구역</t>
        </is>
      </c>
      <c r="I5501" s="3" t="inlineStr">
        <is>
          <t>전</t>
        </is>
      </c>
      <c r="J5501" s="3" t="inlineStr">
        <is>
          <t>금남면</t>
        </is>
      </c>
    </row>
    <row r="5502">
      <c r="A5502" s="3" t="n">
        <v>2025</v>
      </c>
      <c r="B5502" s="4" t="n">
        <v>2100</v>
      </c>
      <c r="C5502" s="4" t="n">
        <v>2152</v>
      </c>
      <c r="D5502" s="4" t="n">
        <v>650.98</v>
      </c>
      <c r="E5502" s="5" t="n">
        <v>3.2</v>
      </c>
      <c r="F5502" s="3" t="inlineStr">
        <is>
          <t>전의면</t>
        </is>
      </c>
      <c r="G5502" s="3" t="inlineStr">
        <is>
          <t>원성리</t>
        </is>
      </c>
      <c r="H5502" s="3" t="inlineStr">
        <is>
          <t>보전관리지역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2024</v>
      </c>
      <c r="B5503" s="4" t="n">
        <v>35968</v>
      </c>
      <c r="C5503" s="4" t="n">
        <v>472</v>
      </c>
      <c r="D5503" s="4" t="n">
        <v>142.78</v>
      </c>
      <c r="E5503" s="5" t="n">
        <v>251.9</v>
      </c>
      <c r="F5503" s="3" t="inlineStr">
        <is>
          <t>장군면</t>
        </is>
      </c>
      <c r="G5503" s="3" t="inlineStr">
        <is>
          <t>산학리</t>
        </is>
      </c>
      <c r="H5503" s="3" t="inlineStr">
        <is>
          <t>보전관리지역</t>
        </is>
      </c>
      <c r="I5503" s="3" t="inlineStr">
        <is>
          <t>대</t>
        </is>
      </c>
      <c r="J5503" s="3" t="inlineStr">
        <is>
          <t>장군면</t>
        </is>
      </c>
    </row>
    <row r="5504">
      <c r="A5504" s="3" t="n">
        <v>2024</v>
      </c>
      <c r="B5504" s="4" t="n">
        <v>47768</v>
      </c>
      <c r="C5504" s="4" t="n">
        <v>523</v>
      </c>
      <c r="D5504" s="4" t="n">
        <v>158.2075</v>
      </c>
      <c r="E5504" s="5" t="n">
        <v>301.9</v>
      </c>
      <c r="F5504" s="3" t="inlineStr">
        <is>
          <t>장군면</t>
        </is>
      </c>
      <c r="G5504" s="3" t="inlineStr">
        <is>
          <t>산학리</t>
        </is>
      </c>
      <c r="H5504" s="3" t="inlineStr">
        <is>
          <t>보전관리지역</t>
        </is>
      </c>
      <c r="I5504" s="3" t="inlineStr">
        <is>
          <t>대</t>
        </is>
      </c>
      <c r="J5504" s="3" t="inlineStr">
        <is>
          <t>장군면</t>
        </is>
      </c>
    </row>
    <row r="5505">
      <c r="A5505" s="3" t="n">
        <v>2024</v>
      </c>
      <c r="B5505" s="4" t="n">
        <v>15000</v>
      </c>
      <c r="C5505" s="4" t="n">
        <v>100</v>
      </c>
      <c r="D5505" s="4" t="n">
        <v>30.25</v>
      </c>
      <c r="E5505" s="5" t="n">
        <v>495.9</v>
      </c>
      <c r="F5505" s="3" t="inlineStr">
        <is>
          <t>조치원읍</t>
        </is>
      </c>
      <c r="G5505" s="3" t="inlineStr">
        <is>
          <t>죽림리</t>
        </is>
      </c>
      <c r="H5505" s="3" t="inlineStr">
        <is>
          <t>제2종일반주거지역</t>
        </is>
      </c>
      <c r="I5505" s="3" t="inlineStr">
        <is>
          <t>과수원</t>
        </is>
      </c>
      <c r="J5505" s="3" t="inlineStr">
        <is>
          <t>조치원읍</t>
        </is>
      </c>
    </row>
    <row r="5506">
      <c r="A5506" s="3" t="n">
        <v>2024</v>
      </c>
      <c r="B5506" s="4" t="n">
        <v>10</v>
      </c>
      <c r="C5506" s="4" t="n">
        <v>1</v>
      </c>
      <c r="D5506" s="4" t="n">
        <v>0.3025</v>
      </c>
      <c r="E5506" s="5" t="n">
        <v>33.1</v>
      </c>
      <c r="F5506" s="3" t="inlineStr">
        <is>
          <t>조치원읍</t>
        </is>
      </c>
      <c r="G5506" s="3" t="inlineStr">
        <is>
          <t>신안리</t>
        </is>
      </c>
      <c r="H5506" s="3" t="inlineStr">
        <is>
          <t>자연녹지지역</t>
        </is>
      </c>
      <c r="I5506" s="3" t="inlineStr">
        <is>
          <t>도로</t>
        </is>
      </c>
      <c r="J5506" s="3" t="inlineStr">
        <is>
          <t>조치원읍</t>
        </is>
      </c>
    </row>
    <row r="5507">
      <c r="A5507" s="3" t="n">
        <v>2024</v>
      </c>
      <c r="B5507" s="4" t="n">
        <v>67000</v>
      </c>
      <c r="C5507" s="4" t="n">
        <v>661</v>
      </c>
      <c r="D5507" s="4" t="n">
        <v>199.9525</v>
      </c>
      <c r="E5507" s="5" t="n">
        <v>335.1</v>
      </c>
      <c r="F5507" s="3" t="inlineStr">
        <is>
          <t>장군면</t>
        </is>
      </c>
      <c r="G5507" s="3" t="inlineStr">
        <is>
          <t>대교리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장군면</t>
        </is>
      </c>
    </row>
    <row r="5508">
      <c r="A5508" s="3" t="n">
        <v>2024</v>
      </c>
      <c r="B5508" s="4" t="n">
        <v>59000</v>
      </c>
      <c r="C5508" s="4" t="n">
        <v>1098</v>
      </c>
      <c r="D5508" s="4" t="n">
        <v>332.145</v>
      </c>
      <c r="E5508" s="5" t="n">
        <v>177.6</v>
      </c>
      <c r="F5508" s="3" t="inlineStr">
        <is>
          <t>전의면</t>
        </is>
      </c>
      <c r="G5508" s="3" t="inlineStr">
        <is>
          <t>읍내리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전의면</t>
        </is>
      </c>
    </row>
    <row r="5509">
      <c r="A5509" s="3" t="n">
        <v>2024</v>
      </c>
      <c r="B5509" s="4" t="n">
        <v>18500</v>
      </c>
      <c r="C5509" s="4" t="n">
        <v>866</v>
      </c>
      <c r="D5509" s="4" t="n">
        <v>261.965</v>
      </c>
      <c r="E5509" s="5" t="n">
        <v>70.59999999999999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연기면</t>
        </is>
      </c>
    </row>
    <row r="5510">
      <c r="A5510" s="3" t="n">
        <v>2024</v>
      </c>
      <c r="B5510" s="4" t="n">
        <v>45000</v>
      </c>
      <c r="C5510" s="4" t="n">
        <v>364.6</v>
      </c>
      <c r="D5510" s="4" t="n">
        <v>110.2915</v>
      </c>
      <c r="E5510" s="5" t="n">
        <v>408</v>
      </c>
      <c r="F5510" s="3" t="inlineStr">
        <is>
          <t>고운동</t>
        </is>
      </c>
      <c r="G5510" s="3" t="inlineStr"/>
      <c r="H5510" s="3" t="inlineStr">
        <is>
          <t>제1종전용주거지역</t>
        </is>
      </c>
      <c r="I5510" s="3" t="inlineStr">
        <is>
          <t>대</t>
        </is>
      </c>
      <c r="J5510" s="3" t="inlineStr">
        <is>
          <t>고운동</t>
        </is>
      </c>
    </row>
    <row r="5511">
      <c r="A5511" s="3" t="n">
        <v>2023</v>
      </c>
      <c r="B5511" s="4" t="n">
        <v>7235</v>
      </c>
      <c r="C5511" s="4" t="n">
        <v>112</v>
      </c>
      <c r="D5511" s="4" t="n">
        <v>33.88</v>
      </c>
      <c r="E5511" s="5" t="n">
        <v>213.5</v>
      </c>
      <c r="F5511" s="3" t="inlineStr">
        <is>
          <t>연서면</t>
        </is>
      </c>
      <c r="G5511" s="3" t="inlineStr">
        <is>
          <t>국촌리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2023</v>
      </c>
      <c r="B5512" s="4" t="n">
        <v>2000</v>
      </c>
      <c r="C5512" s="4" t="n">
        <v>123</v>
      </c>
      <c r="D5512" s="4" t="n">
        <v>37.2075</v>
      </c>
      <c r="E5512" s="5" t="n">
        <v>53.8</v>
      </c>
      <c r="F5512" s="3" t="inlineStr">
        <is>
          <t>전동면</t>
        </is>
      </c>
      <c r="G5512" s="3" t="inlineStr">
        <is>
          <t>노장리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전동면</t>
        </is>
      </c>
    </row>
    <row r="5513">
      <c r="A5513" s="3" t="n">
        <v>2023</v>
      </c>
      <c r="B5513" s="4" t="n">
        <v>31200</v>
      </c>
      <c r="C5513" s="4" t="n">
        <v>430</v>
      </c>
      <c r="D5513" s="4" t="n">
        <v>130.075</v>
      </c>
      <c r="E5513" s="5" t="n">
        <v>239.9</v>
      </c>
      <c r="F5513" s="3" t="inlineStr">
        <is>
          <t>장군면</t>
        </is>
      </c>
      <c r="G5513" s="3" t="inlineStr">
        <is>
          <t>대교리</t>
        </is>
      </c>
      <c r="H5513" s="3" t="inlineStr">
        <is>
          <t>보전관리지역</t>
        </is>
      </c>
      <c r="I5513" s="3" t="inlineStr">
        <is>
          <t>전</t>
        </is>
      </c>
      <c r="J5513" s="3" t="inlineStr">
        <is>
          <t>장군면</t>
        </is>
      </c>
    </row>
    <row r="5514">
      <c r="A5514" s="3" t="n">
        <v>2023</v>
      </c>
      <c r="B5514" s="4" t="n">
        <v>21500</v>
      </c>
      <c r="C5514" s="4" t="n">
        <v>817</v>
      </c>
      <c r="D5514" s="4" t="n">
        <v>247.1425</v>
      </c>
      <c r="E5514" s="5" t="n">
        <v>87</v>
      </c>
      <c r="F5514" s="3" t="inlineStr">
        <is>
          <t>연서면</t>
        </is>
      </c>
      <c r="G5514" s="3" t="inlineStr">
        <is>
          <t>고복리</t>
        </is>
      </c>
      <c r="H5514" s="3" t="inlineStr">
        <is>
          <t>보전관리지역</t>
        </is>
      </c>
      <c r="I5514" s="3" t="inlineStr">
        <is>
          <t>과수원</t>
        </is>
      </c>
      <c r="J5514" s="3" t="inlineStr">
        <is>
          <t>연서면</t>
        </is>
      </c>
    </row>
    <row r="5515">
      <c r="A5515" s="3" t="n">
        <v>2023</v>
      </c>
      <c r="B5515" s="4" t="n">
        <v>26790</v>
      </c>
      <c r="C5515" s="4" t="n">
        <v>635</v>
      </c>
      <c r="D5515" s="4" t="n">
        <v>192.0875</v>
      </c>
      <c r="E5515" s="5" t="n">
        <v>139.5</v>
      </c>
      <c r="F5515" s="3" t="inlineStr">
        <is>
          <t>연서면</t>
        </is>
      </c>
      <c r="G5515" s="3" t="inlineStr">
        <is>
          <t>고복리</t>
        </is>
      </c>
      <c r="H5515" s="3" t="inlineStr">
        <is>
          <t>보전관리지역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2023</v>
      </c>
      <c r="B5516" s="4" t="n">
        <v>5</v>
      </c>
      <c r="C5516" s="4" t="n">
        <v>1</v>
      </c>
      <c r="D5516" s="4" t="n">
        <v>0.3025</v>
      </c>
      <c r="E5516" s="5" t="n">
        <v>16.5</v>
      </c>
      <c r="F5516" s="3" t="inlineStr">
        <is>
          <t>전의면</t>
        </is>
      </c>
      <c r="G5516" s="3" t="inlineStr">
        <is>
          <t>유천리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전의면</t>
        </is>
      </c>
    </row>
    <row r="5517">
      <c r="A5517" s="3" t="n">
        <v>2023</v>
      </c>
      <c r="B5517" s="4" t="n">
        <v>5100</v>
      </c>
      <c r="C5517" s="4" t="n">
        <v>100</v>
      </c>
      <c r="D5517" s="4" t="n">
        <v>30.25</v>
      </c>
      <c r="E5517" s="5" t="n">
        <v>168.6</v>
      </c>
      <c r="F5517" s="3" t="inlineStr">
        <is>
          <t>장군면</t>
        </is>
      </c>
      <c r="G5517" s="3" t="inlineStr">
        <is>
          <t>봉안리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장군면</t>
        </is>
      </c>
    </row>
    <row r="5518">
      <c r="A5518" s="3" t="n">
        <v>2023</v>
      </c>
      <c r="B5518" s="4" t="n">
        <v>9500</v>
      </c>
      <c r="C5518" s="4" t="n">
        <v>330</v>
      </c>
      <c r="D5518" s="4" t="n">
        <v>99.825</v>
      </c>
      <c r="E5518" s="5" t="n">
        <v>95.2</v>
      </c>
      <c r="F5518" s="3" t="inlineStr">
        <is>
          <t>소정면</t>
        </is>
      </c>
      <c r="G5518" s="3" t="inlineStr">
        <is>
          <t>소정리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소정면</t>
        </is>
      </c>
    </row>
    <row r="5519">
      <c r="A5519" s="3" t="n">
        <v>2023</v>
      </c>
      <c r="B5519" s="4" t="n">
        <v>983</v>
      </c>
      <c r="C5519" s="4" t="n">
        <v>40</v>
      </c>
      <c r="D5519" s="4" t="n">
        <v>12.1</v>
      </c>
      <c r="E5519" s="5" t="n">
        <v>81.2</v>
      </c>
      <c r="F5519" s="3" t="inlineStr">
        <is>
          <t>연서면</t>
        </is>
      </c>
      <c r="G5519" s="3" t="inlineStr">
        <is>
          <t>와촌리</t>
        </is>
      </c>
      <c r="H5519" s="3" t="inlineStr">
        <is>
          <t>계획관리지역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2023</v>
      </c>
      <c r="B5520" s="4" t="n">
        <v>8526</v>
      </c>
      <c r="C5520" s="4" t="n">
        <v>1342</v>
      </c>
      <c r="D5520" s="4" t="n">
        <v>405.955</v>
      </c>
      <c r="E5520" s="5" t="n">
        <v>21</v>
      </c>
      <c r="F5520" s="3" t="inlineStr">
        <is>
          <t>금남면</t>
        </is>
      </c>
      <c r="G5520" s="3" t="inlineStr">
        <is>
          <t>영치리</t>
        </is>
      </c>
      <c r="H5520" s="3" t="inlineStr">
        <is>
          <t>자연녹지지역</t>
        </is>
      </c>
      <c r="I5520" s="3" t="inlineStr">
        <is>
          <t>답</t>
        </is>
      </c>
      <c r="J5520" s="3" t="inlineStr">
        <is>
          <t>금남면</t>
        </is>
      </c>
    </row>
    <row r="5521">
      <c r="A5521" s="3" t="n">
        <v>2023</v>
      </c>
      <c r="B5521" s="4" t="n">
        <v>6300</v>
      </c>
      <c r="C5521" s="4" t="n">
        <v>992</v>
      </c>
      <c r="D5521" s="4" t="n">
        <v>300.08</v>
      </c>
      <c r="E5521" s="5" t="n">
        <v>21</v>
      </c>
      <c r="F5521" s="3" t="inlineStr">
        <is>
          <t>금남면</t>
        </is>
      </c>
      <c r="G5521" s="3" t="inlineStr">
        <is>
          <t>영치리</t>
        </is>
      </c>
      <c r="H5521" s="3" t="inlineStr">
        <is>
          <t>자연녹지지역</t>
        </is>
      </c>
      <c r="I5521" s="3" t="inlineStr">
        <is>
          <t>답</t>
        </is>
      </c>
      <c r="J5521" s="3" t="inlineStr">
        <is>
          <t>금남면</t>
        </is>
      </c>
    </row>
    <row r="5522">
      <c r="A5522" s="3" t="n">
        <v>2023</v>
      </c>
      <c r="B5522" s="4" t="n">
        <v>8799</v>
      </c>
      <c r="C5522" s="4" t="n">
        <v>1385</v>
      </c>
      <c r="D5522" s="4" t="n">
        <v>418.9625</v>
      </c>
      <c r="E5522" s="5" t="n">
        <v>21</v>
      </c>
      <c r="F5522" s="3" t="inlineStr">
        <is>
          <t>금남면</t>
        </is>
      </c>
      <c r="G5522" s="3" t="inlineStr">
        <is>
          <t>영치리</t>
        </is>
      </c>
      <c r="H5522" s="3" t="inlineStr">
        <is>
          <t>자연녹지지역</t>
        </is>
      </c>
      <c r="I5522" s="3" t="inlineStr">
        <is>
          <t>답</t>
        </is>
      </c>
      <c r="J5522" s="3" t="inlineStr">
        <is>
          <t>금남면</t>
        </is>
      </c>
    </row>
    <row r="5523">
      <c r="A5523" s="3" t="n">
        <v>2022</v>
      </c>
      <c r="B5523" s="4" t="n">
        <v>12000</v>
      </c>
      <c r="C5523" s="4" t="n">
        <v>495</v>
      </c>
      <c r="D5523" s="4" t="n">
        <v>149.7375</v>
      </c>
      <c r="E5523" s="5" t="n">
        <v>80.09999999999999</v>
      </c>
      <c r="F5523" s="3" t="inlineStr">
        <is>
          <t>조치원읍</t>
        </is>
      </c>
      <c r="G5523" s="3" t="inlineStr">
        <is>
          <t>번암리</t>
        </is>
      </c>
      <c r="H5523" s="3" t="inlineStr">
        <is>
          <t>일반공업지역</t>
        </is>
      </c>
      <c r="I5523" s="3" t="inlineStr">
        <is>
          <t>임야</t>
        </is>
      </c>
      <c r="J5523" s="3" t="inlineStr">
        <is>
          <t>조치원읍</t>
        </is>
      </c>
    </row>
    <row r="5524">
      <c r="A5524" s="3" t="n">
        <v>2022</v>
      </c>
      <c r="B5524" s="4" t="n">
        <v>17400</v>
      </c>
      <c r="C5524" s="4" t="n">
        <v>344</v>
      </c>
      <c r="D5524" s="4" t="n">
        <v>104.06</v>
      </c>
      <c r="E5524" s="5" t="n">
        <v>167.2</v>
      </c>
      <c r="F5524" s="3" t="inlineStr">
        <is>
          <t>장군면</t>
        </is>
      </c>
      <c r="G5524" s="3" t="inlineStr">
        <is>
          <t>금암리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장군면</t>
        </is>
      </c>
    </row>
    <row r="5525">
      <c r="A5525" s="3" t="n">
        <v>2022</v>
      </c>
      <c r="B5525" s="4" t="n">
        <v>9700</v>
      </c>
      <c r="C5525" s="4" t="n">
        <v>441</v>
      </c>
      <c r="D5525" s="4" t="n">
        <v>133.4025</v>
      </c>
      <c r="E5525" s="5" t="n">
        <v>72.7</v>
      </c>
      <c r="F5525" s="3" t="inlineStr">
        <is>
          <t>소정면</t>
        </is>
      </c>
      <c r="G5525" s="3" t="inlineStr">
        <is>
          <t>대곡리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소정면</t>
        </is>
      </c>
    </row>
    <row r="5526">
      <c r="A5526" s="3" t="n">
        <v>2022</v>
      </c>
      <c r="B5526" s="4" t="n">
        <v>33541</v>
      </c>
      <c r="C5526" s="4" t="n">
        <v>6524</v>
      </c>
      <c r="D5526" s="4" t="n">
        <v>1973.51</v>
      </c>
      <c r="E5526" s="5" t="n">
        <v>17</v>
      </c>
      <c r="F5526" s="3" t="inlineStr">
        <is>
          <t>전동면</t>
        </is>
      </c>
      <c r="G5526" s="3" t="inlineStr">
        <is>
          <t>심중리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전동면</t>
        </is>
      </c>
    </row>
    <row r="5527">
      <c r="A5527" s="3" t="n">
        <v>2022</v>
      </c>
      <c r="B5527" s="4" t="n">
        <v>86459</v>
      </c>
      <c r="C5527" s="4" t="n">
        <v>16759</v>
      </c>
      <c r="D5527" s="4" t="n">
        <v>5069.5975</v>
      </c>
      <c r="E5527" s="5" t="n">
        <v>17.1</v>
      </c>
      <c r="F5527" s="3" t="inlineStr">
        <is>
          <t>전동면</t>
        </is>
      </c>
      <c r="G5527" s="3" t="inlineStr">
        <is>
          <t>심중리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2022</v>
      </c>
      <c r="B5528" s="4" t="n">
        <v>17500</v>
      </c>
      <c r="C5528" s="4" t="n">
        <v>819</v>
      </c>
      <c r="D5528" s="4" t="n">
        <v>247.7475</v>
      </c>
      <c r="E5528" s="5" t="n">
        <v>70.59999999999999</v>
      </c>
      <c r="F5528" s="3" t="inlineStr">
        <is>
          <t>부강면</t>
        </is>
      </c>
      <c r="G5528" s="3" t="inlineStr">
        <is>
          <t>등곡리</t>
        </is>
      </c>
      <c r="H5528" s="3" t="inlineStr">
        <is>
          <t>계획관리지역</t>
        </is>
      </c>
      <c r="I5528" s="3" t="inlineStr">
        <is>
          <t>대</t>
        </is>
      </c>
      <c r="J5528" s="3" t="inlineStr">
        <is>
          <t>부강면</t>
        </is>
      </c>
    </row>
    <row r="5529">
      <c r="A5529" s="3" t="n">
        <v>2022</v>
      </c>
      <c r="B5529" s="4" t="n">
        <v>30000</v>
      </c>
      <c r="C5529" s="4" t="n">
        <v>1473</v>
      </c>
      <c r="D5529" s="4" t="n">
        <v>445.5825</v>
      </c>
      <c r="E5529" s="5" t="n">
        <v>67.3</v>
      </c>
      <c r="F5529" s="3" t="inlineStr">
        <is>
          <t>전동면</t>
        </is>
      </c>
      <c r="G5529" s="3" t="inlineStr">
        <is>
          <t>송성리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전동면</t>
        </is>
      </c>
    </row>
    <row r="5530">
      <c r="A5530" s="3" t="n">
        <v>2022</v>
      </c>
      <c r="B5530" s="4" t="n">
        <v>91000</v>
      </c>
      <c r="C5530" s="4" t="n">
        <v>854</v>
      </c>
      <c r="D5530" s="4" t="n">
        <v>258.335</v>
      </c>
      <c r="E5530" s="5" t="n">
        <v>352.3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계획관리지역</t>
        </is>
      </c>
      <c r="I5530" s="3" t="inlineStr">
        <is>
          <t>공장용지</t>
        </is>
      </c>
      <c r="J5530" s="3" t="inlineStr">
        <is>
          <t>부강면</t>
        </is>
      </c>
    </row>
    <row r="5531">
      <c r="A5531" s="3" t="n">
        <v>2022</v>
      </c>
      <c r="B5531" s="4" t="n">
        <v>27300</v>
      </c>
      <c r="C5531" s="4" t="n">
        <v>2579</v>
      </c>
      <c r="D5531" s="4" t="n">
        <v>780.1474999999999</v>
      </c>
      <c r="E5531" s="5" t="n">
        <v>35</v>
      </c>
      <c r="F5531" s="3" t="inlineStr">
        <is>
          <t>전의면</t>
        </is>
      </c>
      <c r="G5531" s="3" t="inlineStr">
        <is>
          <t>신정리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전의면</t>
        </is>
      </c>
    </row>
    <row r="5532">
      <c r="A5532" s="3" t="n">
        <v>2022</v>
      </c>
      <c r="B5532" s="4" t="n">
        <v>91000</v>
      </c>
      <c r="C5532" s="4" t="n">
        <v>854</v>
      </c>
      <c r="D5532" s="4" t="n">
        <v>258.335</v>
      </c>
      <c r="E5532" s="5" t="n">
        <v>352.3</v>
      </c>
      <c r="F5532" s="3" t="inlineStr">
        <is>
          <t>부강면</t>
        </is>
      </c>
      <c r="G5532" s="3" t="inlineStr">
        <is>
          <t>부강리</t>
        </is>
      </c>
      <c r="H5532" s="3" t="inlineStr">
        <is>
          <t>계획관리지역</t>
        </is>
      </c>
      <c r="I5532" s="3" t="inlineStr">
        <is>
          <t>공장용지</t>
        </is>
      </c>
      <c r="J5532" s="3" t="inlineStr">
        <is>
          <t>부강면</t>
        </is>
      </c>
    </row>
    <row r="5533">
      <c r="A5533" s="3" t="n">
        <v>2022</v>
      </c>
      <c r="B5533" s="4" t="n">
        <v>4700</v>
      </c>
      <c r="C5533" s="4" t="n">
        <v>443</v>
      </c>
      <c r="D5533" s="4" t="n">
        <v>134.0075</v>
      </c>
      <c r="E5533" s="5" t="n">
        <v>35.1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농림지역</t>
        </is>
      </c>
      <c r="I5533" s="3" t="inlineStr">
        <is>
          <t>유지</t>
        </is>
      </c>
      <c r="J5533" s="3" t="inlineStr">
        <is>
          <t>전의면</t>
        </is>
      </c>
    </row>
    <row r="5534">
      <c r="A5534" s="3" t="n">
        <v>2022</v>
      </c>
      <c r="B5534" s="4" t="n">
        <v>20800</v>
      </c>
      <c r="C5534" s="4" t="n">
        <v>272</v>
      </c>
      <c r="D5534" s="4" t="n">
        <v>82.28</v>
      </c>
      <c r="E5534" s="5" t="n">
        <v>252.8</v>
      </c>
      <c r="F5534" s="3" t="inlineStr">
        <is>
          <t>금남면</t>
        </is>
      </c>
      <c r="G5534" s="3" t="inlineStr">
        <is>
          <t>원봉리</t>
        </is>
      </c>
      <c r="H5534" s="3" t="inlineStr">
        <is>
          <t>계획관리지역</t>
        </is>
      </c>
      <c r="I5534" s="3" t="inlineStr">
        <is>
          <t>학교용지</t>
        </is>
      </c>
      <c r="J5534" s="3" t="inlineStr">
        <is>
          <t>금남면</t>
        </is>
      </c>
    </row>
    <row r="5535">
      <c r="A5535" s="3" t="n">
        <v>2022</v>
      </c>
      <c r="B5535" s="4" t="n">
        <v>7400</v>
      </c>
      <c r="C5535" s="4" t="n">
        <v>96</v>
      </c>
      <c r="D5535" s="4" t="n">
        <v>29.04</v>
      </c>
      <c r="E5535" s="5" t="n">
        <v>254.8</v>
      </c>
      <c r="F5535" s="3" t="inlineStr">
        <is>
          <t>금남면</t>
        </is>
      </c>
      <c r="G5535" s="3" t="inlineStr">
        <is>
          <t>원봉리</t>
        </is>
      </c>
      <c r="H5535" s="3" t="inlineStr">
        <is>
          <t>계획관리지역</t>
        </is>
      </c>
      <c r="I5535" s="3" t="inlineStr">
        <is>
          <t>학교용지</t>
        </is>
      </c>
      <c r="J5535" s="3" t="inlineStr">
        <is>
          <t>금남면</t>
        </is>
      </c>
    </row>
    <row r="5536">
      <c r="A5536" s="3" t="n">
        <v>2022</v>
      </c>
      <c r="B5536" s="4" t="n">
        <v>23000</v>
      </c>
      <c r="C5536" s="4" t="n">
        <v>1959</v>
      </c>
      <c r="D5536" s="4" t="n">
        <v>592.5975</v>
      </c>
      <c r="E5536" s="5" t="n">
        <v>38.8</v>
      </c>
      <c r="F5536" s="3" t="inlineStr">
        <is>
          <t>연서면</t>
        </is>
      </c>
      <c r="G5536" s="3" t="inlineStr">
        <is>
          <t>쌍류리</t>
        </is>
      </c>
      <c r="H5536" s="3" t="inlineStr">
        <is>
          <t>생산관리지역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2022</v>
      </c>
      <c r="B5537" s="4" t="n">
        <v>5000</v>
      </c>
      <c r="C5537" s="4" t="n">
        <v>283</v>
      </c>
      <c r="D5537" s="4" t="n">
        <v>85.6075</v>
      </c>
      <c r="E5537" s="5" t="n">
        <v>58.4</v>
      </c>
      <c r="F5537" s="3" t="inlineStr">
        <is>
          <t>부강면</t>
        </is>
      </c>
      <c r="G5537" s="3" t="inlineStr">
        <is>
          <t>금호리</t>
        </is>
      </c>
      <c r="H5537" s="3" t="inlineStr">
        <is>
          <t>계획관리지역</t>
        </is>
      </c>
      <c r="I5537" s="3" t="inlineStr">
        <is>
          <t>임야</t>
        </is>
      </c>
      <c r="J5537" s="3" t="inlineStr">
        <is>
          <t>부강면</t>
        </is>
      </c>
    </row>
    <row r="5538">
      <c r="A5538" s="3" t="n">
        <v>2023</v>
      </c>
      <c r="B5538" s="4" t="n">
        <v>4200</v>
      </c>
      <c r="C5538" s="4" t="n">
        <v>61</v>
      </c>
      <c r="D5538" s="4" t="n">
        <v>18.4525</v>
      </c>
      <c r="E5538" s="5" t="n">
        <v>227.6</v>
      </c>
      <c r="F5538" s="3" t="inlineStr">
        <is>
          <t>장군면</t>
        </is>
      </c>
      <c r="G5538" s="3" t="inlineStr">
        <is>
          <t>대교리</t>
        </is>
      </c>
      <c r="H5538" s="3" t="inlineStr">
        <is>
          <t>계획관리지역</t>
        </is>
      </c>
      <c r="I5538" s="3" t="inlineStr">
        <is>
          <t>대</t>
        </is>
      </c>
      <c r="J5538" s="3" t="inlineStr">
        <is>
          <t>장군면</t>
        </is>
      </c>
    </row>
    <row r="5539">
      <c r="A5539" s="3" t="n">
        <v>2025</v>
      </c>
      <c r="B5539" s="4" t="n">
        <v>16790</v>
      </c>
      <c r="C5539" s="4" t="n">
        <v>1762</v>
      </c>
      <c r="D5539" s="4" t="n">
        <v>533.005</v>
      </c>
      <c r="E5539" s="5" t="n">
        <v>31.5</v>
      </c>
      <c r="F5539" s="3" t="inlineStr">
        <is>
          <t>전의면</t>
        </is>
      </c>
      <c r="G5539" s="3" t="inlineStr">
        <is>
          <t>원성리</t>
        </is>
      </c>
      <c r="H5539" s="3" t="inlineStr">
        <is>
          <t>보전관리지역</t>
        </is>
      </c>
      <c r="I5539" s="3" t="inlineStr">
        <is>
          <t>전</t>
        </is>
      </c>
      <c r="J5539" s="3" t="inlineStr">
        <is>
          <t>전의면</t>
        </is>
      </c>
    </row>
    <row r="5540">
      <c r="A5540" s="3" t="n">
        <v>2025</v>
      </c>
      <c r="B5540" s="4" t="n">
        <v>47850</v>
      </c>
      <c r="C5540" s="4" t="n">
        <v>5273</v>
      </c>
      <c r="D5540" s="4" t="n">
        <v>1595.0825</v>
      </c>
      <c r="E5540" s="5" t="n">
        <v>30</v>
      </c>
      <c r="F5540" s="3" t="inlineStr">
        <is>
          <t>전의면</t>
        </is>
      </c>
      <c r="G5540" s="3" t="inlineStr">
        <is>
          <t>원성리</t>
        </is>
      </c>
      <c r="H5540" s="3" t="inlineStr">
        <is>
          <t>보전관리지역</t>
        </is>
      </c>
      <c r="I5540" s="3" t="inlineStr">
        <is>
          <t>답</t>
        </is>
      </c>
      <c r="J5540" s="3" t="inlineStr">
        <is>
          <t>전의면</t>
        </is>
      </c>
    </row>
    <row r="5541">
      <c r="A5541" s="3" t="n">
        <v>2025</v>
      </c>
      <c r="B5541" s="4" t="n">
        <v>46000</v>
      </c>
      <c r="C5541" s="4" t="n">
        <v>6358</v>
      </c>
      <c r="D5541" s="4" t="n">
        <v>1923.295</v>
      </c>
      <c r="E5541" s="5" t="n">
        <v>23.9</v>
      </c>
      <c r="F5541" s="3" t="inlineStr">
        <is>
          <t>장군면</t>
        </is>
      </c>
      <c r="G5541" s="3" t="inlineStr">
        <is>
          <t>은용리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2025</v>
      </c>
      <c r="B5542" s="4" t="n">
        <v>70000</v>
      </c>
      <c r="C5542" s="4" t="n">
        <v>3328.1</v>
      </c>
      <c r="D5542" s="4" t="n">
        <v>1006.75025</v>
      </c>
      <c r="E5542" s="5" t="n">
        <v>69.5</v>
      </c>
      <c r="F5542" s="3" t="inlineStr">
        <is>
          <t>연서면</t>
        </is>
      </c>
      <c r="G5542" s="3" t="inlineStr">
        <is>
          <t>쌍류리</t>
        </is>
      </c>
      <c r="H5542" s="3" t="inlineStr">
        <is>
          <t>생산관리지역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2025</v>
      </c>
      <c r="B5543" s="4" t="n">
        <v>5300</v>
      </c>
      <c r="C5543" s="4" t="n">
        <v>893</v>
      </c>
      <c r="D5543" s="4" t="n">
        <v>270.1325</v>
      </c>
      <c r="E5543" s="5" t="n">
        <v>19.6</v>
      </c>
      <c r="F5543" s="3" t="inlineStr">
        <is>
          <t>금남면</t>
        </is>
      </c>
      <c r="G5543" s="3" t="inlineStr">
        <is>
          <t>축산리</t>
        </is>
      </c>
      <c r="H5543" s="3" t="inlineStr">
        <is>
          <t>개발제한구역</t>
        </is>
      </c>
      <c r="I5543" s="3" t="inlineStr">
        <is>
          <t>전</t>
        </is>
      </c>
      <c r="J5543" s="3" t="inlineStr">
        <is>
          <t>금남면</t>
        </is>
      </c>
    </row>
    <row r="5544">
      <c r="A5544" s="3" t="n">
        <v>2025</v>
      </c>
      <c r="B5544" s="4" t="n">
        <v>43926</v>
      </c>
      <c r="C5544" s="4" t="n">
        <v>753</v>
      </c>
      <c r="D5544" s="4" t="n">
        <v>227.7825</v>
      </c>
      <c r="E5544" s="5" t="n">
        <v>192.8</v>
      </c>
      <c r="F5544" s="3" t="inlineStr">
        <is>
          <t>연동면</t>
        </is>
      </c>
      <c r="G5544" s="3" t="inlineStr">
        <is>
          <t>내판리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연동면</t>
        </is>
      </c>
    </row>
    <row r="5545">
      <c r="A5545" s="3" t="n">
        <v>2025</v>
      </c>
      <c r="B5545" s="4" t="n">
        <v>12775</v>
      </c>
      <c r="C5545" s="4" t="n">
        <v>219</v>
      </c>
      <c r="D5545" s="4" t="n">
        <v>66.2475</v>
      </c>
      <c r="E5545" s="5" t="n">
        <v>192.8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연동면</t>
        </is>
      </c>
    </row>
    <row r="5546">
      <c r="A5546" s="3" t="n">
        <v>2025</v>
      </c>
      <c r="B5546" s="4" t="n">
        <v>3500</v>
      </c>
      <c r="C5546" s="4" t="n">
        <v>60</v>
      </c>
      <c r="D5546" s="4" t="n">
        <v>18.15</v>
      </c>
      <c r="E5546" s="5" t="n">
        <v>192.8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2025</v>
      </c>
      <c r="B5547" s="4" t="n">
        <v>16000</v>
      </c>
      <c r="C5547" s="4" t="n">
        <v>678</v>
      </c>
      <c r="D5547" s="4" t="n">
        <v>205.095</v>
      </c>
      <c r="E5547" s="5" t="n">
        <v>78</v>
      </c>
      <c r="F5547" s="3" t="inlineStr">
        <is>
          <t>전동면</t>
        </is>
      </c>
      <c r="G5547" s="3" t="inlineStr">
        <is>
          <t>송곡리</t>
        </is>
      </c>
      <c r="H5547" s="3" t="inlineStr">
        <is>
          <t>보전관리지역</t>
        </is>
      </c>
      <c r="I5547" s="3" t="inlineStr">
        <is>
          <t>전</t>
        </is>
      </c>
      <c r="J5547" s="3" t="inlineStr">
        <is>
          <t>전동면</t>
        </is>
      </c>
    </row>
    <row r="5548">
      <c r="A5548" s="3" t="n">
        <v>2025</v>
      </c>
      <c r="B5548" s="4" t="n">
        <v>55000</v>
      </c>
      <c r="C5548" s="4" t="n">
        <v>2180</v>
      </c>
      <c r="D5548" s="4" t="n">
        <v>659.4499999999999</v>
      </c>
      <c r="E5548" s="5" t="n">
        <v>83.40000000000001</v>
      </c>
      <c r="F5548" s="3" t="inlineStr">
        <is>
          <t>연서면</t>
        </is>
      </c>
      <c r="G5548" s="3" t="inlineStr">
        <is>
          <t>성제리</t>
        </is>
      </c>
      <c r="H5548" s="3" t="inlineStr">
        <is>
          <t>농림지역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2025</v>
      </c>
      <c r="B5549" s="4" t="n">
        <v>12000</v>
      </c>
      <c r="C5549" s="4" t="n">
        <v>51</v>
      </c>
      <c r="D5549" s="4" t="n">
        <v>15.4275</v>
      </c>
      <c r="E5549" s="5" t="n">
        <v>777.8</v>
      </c>
      <c r="F5549" s="3" t="inlineStr">
        <is>
          <t>조치원읍</t>
        </is>
      </c>
      <c r="G5549" s="3" t="inlineStr">
        <is>
          <t>신안리</t>
        </is>
      </c>
      <c r="H5549" s="3" t="inlineStr">
        <is>
          <t>제2종일반주거지역</t>
        </is>
      </c>
      <c r="I5549" s="3" t="inlineStr">
        <is>
          <t>대</t>
        </is>
      </c>
      <c r="J5549" s="3" t="inlineStr">
        <is>
          <t>조치원읍</t>
        </is>
      </c>
    </row>
    <row r="5550">
      <c r="A5550" s="3" t="n">
        <v>2025</v>
      </c>
      <c r="B5550" s="4" t="n">
        <v>38000</v>
      </c>
      <c r="C5550" s="4" t="n">
        <v>816</v>
      </c>
      <c r="D5550" s="4" t="n">
        <v>246.84</v>
      </c>
      <c r="E5550" s="5" t="n">
        <v>153.9</v>
      </c>
      <c r="F5550" s="3" t="inlineStr">
        <is>
          <t>장군면</t>
        </is>
      </c>
      <c r="G5550" s="3" t="inlineStr">
        <is>
          <t>은용리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장군면</t>
        </is>
      </c>
    </row>
    <row r="5551">
      <c r="A5551" s="3" t="n">
        <v>2025</v>
      </c>
      <c r="B5551" s="4" t="n">
        <v>39676</v>
      </c>
      <c r="C5551" s="4" t="n">
        <v>480</v>
      </c>
      <c r="D5551" s="4" t="n">
        <v>145.2</v>
      </c>
      <c r="E5551" s="5" t="n">
        <v>273.3</v>
      </c>
      <c r="F5551" s="3" t="inlineStr">
        <is>
          <t>연기면</t>
        </is>
      </c>
      <c r="G5551" s="3" t="inlineStr">
        <is>
          <t>눌왕리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연기면</t>
        </is>
      </c>
    </row>
    <row r="5552">
      <c r="A5552" s="3" t="n">
        <v>2025</v>
      </c>
      <c r="B5552" s="4" t="n">
        <v>3000</v>
      </c>
      <c r="C5552" s="4" t="n">
        <v>366</v>
      </c>
      <c r="D5552" s="4" t="n">
        <v>110.715</v>
      </c>
      <c r="E5552" s="5" t="n">
        <v>27.1</v>
      </c>
      <c r="F5552" s="3" t="inlineStr">
        <is>
          <t>전동면</t>
        </is>
      </c>
      <c r="G5552" s="3" t="inlineStr">
        <is>
          <t>송성리</t>
        </is>
      </c>
      <c r="H5552" s="3" t="inlineStr">
        <is>
          <t>계획관리지역</t>
        </is>
      </c>
      <c r="I5552" s="3" t="inlineStr">
        <is>
          <t>잡종지</t>
        </is>
      </c>
      <c r="J5552" s="3" t="inlineStr">
        <is>
          <t>전동면</t>
        </is>
      </c>
    </row>
    <row r="5553">
      <c r="A5553" s="3" t="n">
        <v>2025</v>
      </c>
      <c r="B5553" s="4" t="n">
        <v>160</v>
      </c>
      <c r="C5553" s="4" t="n">
        <v>21</v>
      </c>
      <c r="D5553" s="4" t="n">
        <v>6.3525</v>
      </c>
      <c r="E5553" s="5" t="n">
        <v>25.2</v>
      </c>
      <c r="F5553" s="3" t="inlineStr">
        <is>
          <t>전동면</t>
        </is>
      </c>
      <c r="G5553" s="3" t="inlineStr">
        <is>
          <t>송성리</t>
        </is>
      </c>
      <c r="H5553" s="3" t="inlineStr">
        <is>
          <t>계획관리지역</t>
        </is>
      </c>
      <c r="I5553" s="3" t="inlineStr">
        <is>
          <t>잡종지</t>
        </is>
      </c>
      <c r="J5553" s="3" t="inlineStr">
        <is>
          <t>전동면</t>
        </is>
      </c>
    </row>
    <row r="5554">
      <c r="A5554" s="3" t="n">
        <v>2025</v>
      </c>
      <c r="B5554" s="4" t="n">
        <v>3640</v>
      </c>
      <c r="C5554" s="4" t="n">
        <v>485</v>
      </c>
      <c r="D5554" s="4" t="n">
        <v>146.7125</v>
      </c>
      <c r="E5554" s="5" t="n">
        <v>24.8</v>
      </c>
      <c r="F5554" s="3" t="inlineStr">
        <is>
          <t>전동면</t>
        </is>
      </c>
      <c r="G5554" s="3" t="inlineStr">
        <is>
          <t>송성리</t>
        </is>
      </c>
      <c r="H5554" s="3" t="inlineStr">
        <is>
          <t>보전관리지역</t>
        </is>
      </c>
      <c r="I5554" s="3" t="inlineStr">
        <is>
          <t>잡종지</t>
        </is>
      </c>
      <c r="J5554" s="3" t="inlineStr">
        <is>
          <t>전동면</t>
        </is>
      </c>
    </row>
    <row r="5555">
      <c r="A5555" s="3" t="n">
        <v>2025</v>
      </c>
      <c r="B5555" s="4" t="n">
        <v>20720</v>
      </c>
      <c r="C5555" s="4" t="n">
        <v>856</v>
      </c>
      <c r="D5555" s="4" t="n">
        <v>258.94</v>
      </c>
      <c r="E5555" s="5" t="n">
        <v>80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농림지역</t>
        </is>
      </c>
      <c r="I5555" s="3" t="inlineStr">
        <is>
          <t>답</t>
        </is>
      </c>
      <c r="J5555" s="3" t="inlineStr">
        <is>
          <t>장군면</t>
        </is>
      </c>
    </row>
    <row r="5556">
      <c r="A5556" s="3" t="n">
        <v>2025</v>
      </c>
      <c r="B5556" s="4" t="n">
        <v>91709</v>
      </c>
      <c r="C5556" s="4" t="n">
        <v>1418.8</v>
      </c>
      <c r="D5556" s="4" t="n">
        <v>429.187</v>
      </c>
      <c r="E5556" s="5" t="n">
        <v>213.7</v>
      </c>
      <c r="F5556" s="3" t="inlineStr">
        <is>
          <t>집현동</t>
        </is>
      </c>
      <c r="G5556" s="3" t="inlineStr"/>
      <c r="H5556" s="3" t="inlineStr">
        <is>
          <t>준주거지역</t>
        </is>
      </c>
      <c r="I5556" s="3" t="inlineStr">
        <is>
          <t>대</t>
        </is>
      </c>
      <c r="J5556" s="3" t="inlineStr">
        <is>
          <t>집현동</t>
        </is>
      </c>
    </row>
    <row r="5557">
      <c r="A5557" s="3" t="n">
        <v>2025</v>
      </c>
      <c r="B5557" s="4" t="n">
        <v>4050</v>
      </c>
      <c r="C5557" s="4" t="n">
        <v>92</v>
      </c>
      <c r="D5557" s="4" t="n">
        <v>27.83</v>
      </c>
      <c r="E5557" s="5" t="n">
        <v>145.5</v>
      </c>
      <c r="F5557" s="3" t="inlineStr">
        <is>
          <t>전의면</t>
        </is>
      </c>
      <c r="G5557" s="3" t="inlineStr">
        <is>
          <t>동교리</t>
        </is>
      </c>
      <c r="H5557" s="3" t="inlineStr">
        <is>
          <t>제1종일반주거지역</t>
        </is>
      </c>
      <c r="I5557" s="3" t="inlineStr">
        <is>
          <t>답</t>
        </is>
      </c>
      <c r="J5557" s="3" t="inlineStr">
        <is>
          <t>전의면</t>
        </is>
      </c>
    </row>
    <row r="5558">
      <c r="A5558" s="3" t="n">
        <v>2025</v>
      </c>
      <c r="B5558" s="4" t="n">
        <v>19000</v>
      </c>
      <c r="C5558" s="4" t="n">
        <v>1815</v>
      </c>
      <c r="D5558" s="4" t="n">
        <v>549.0375</v>
      </c>
      <c r="E5558" s="5" t="n">
        <v>34.6</v>
      </c>
      <c r="F5558" s="3" t="inlineStr">
        <is>
          <t>금남면</t>
        </is>
      </c>
      <c r="G5558" s="3" t="inlineStr">
        <is>
          <t>영치리</t>
        </is>
      </c>
      <c r="H5558" s="3" t="inlineStr">
        <is>
          <t>개발제한구역</t>
        </is>
      </c>
      <c r="I5558" s="3" t="inlineStr">
        <is>
          <t>전</t>
        </is>
      </c>
      <c r="J5558" s="3" t="inlineStr">
        <is>
          <t>금남면</t>
        </is>
      </c>
    </row>
    <row r="5559">
      <c r="A5559" s="3" t="n">
        <v>2025</v>
      </c>
      <c r="B5559" s="4" t="n">
        <v>9200</v>
      </c>
      <c r="C5559" s="4" t="n">
        <v>526</v>
      </c>
      <c r="D5559" s="4" t="n">
        <v>159.115</v>
      </c>
      <c r="E5559" s="5" t="n">
        <v>57.8</v>
      </c>
      <c r="F5559" s="3" t="inlineStr">
        <is>
          <t>금남면</t>
        </is>
      </c>
      <c r="G5559" s="3" t="inlineStr">
        <is>
          <t>도암리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금남면</t>
        </is>
      </c>
    </row>
    <row r="5560">
      <c r="A5560" s="3" t="n">
        <v>2025</v>
      </c>
      <c r="B5560" s="4" t="n">
        <v>53000</v>
      </c>
      <c r="C5560" s="4" t="n">
        <v>3357.6</v>
      </c>
      <c r="D5560" s="4" t="n">
        <v>1015.674</v>
      </c>
      <c r="E5560" s="5" t="n">
        <v>52.2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농림지역</t>
        </is>
      </c>
      <c r="I5560" s="3" t="inlineStr">
        <is>
          <t>답</t>
        </is>
      </c>
      <c r="J5560" s="3" t="inlineStr">
        <is>
          <t>연동면</t>
        </is>
      </c>
    </row>
    <row r="5561">
      <c r="A5561" s="3" t="n">
        <v>2025</v>
      </c>
      <c r="B5561" s="4" t="n">
        <v>23382</v>
      </c>
      <c r="C5561" s="4" t="n">
        <v>101</v>
      </c>
      <c r="D5561" s="4" t="n">
        <v>30.5525</v>
      </c>
      <c r="E5561" s="5" t="n">
        <v>765.3</v>
      </c>
      <c r="F5561" s="3" t="inlineStr">
        <is>
          <t>장군면</t>
        </is>
      </c>
      <c r="G5561" s="3" t="inlineStr">
        <is>
          <t>도계리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장군면</t>
        </is>
      </c>
    </row>
    <row r="5562">
      <c r="A5562" s="3" t="n">
        <v>2025</v>
      </c>
      <c r="B5562" s="4" t="n">
        <v>1852</v>
      </c>
      <c r="C5562" s="4" t="n">
        <v>8</v>
      </c>
      <c r="D5562" s="4" t="n">
        <v>2.42</v>
      </c>
      <c r="E5562" s="5" t="n">
        <v>765.3</v>
      </c>
      <c r="F5562" s="3" t="inlineStr">
        <is>
          <t>장군면</t>
        </is>
      </c>
      <c r="G5562" s="3" t="inlineStr">
        <is>
          <t>도계리</t>
        </is>
      </c>
      <c r="H5562" s="3" t="inlineStr">
        <is>
          <t>계획관리지역</t>
        </is>
      </c>
      <c r="I5562" s="3" t="inlineStr">
        <is>
          <t>대</t>
        </is>
      </c>
      <c r="J5562" s="3" t="inlineStr">
        <is>
          <t>장군면</t>
        </is>
      </c>
    </row>
    <row r="5563">
      <c r="A5563" s="3" t="n">
        <v>2025</v>
      </c>
      <c r="B5563" s="4" t="n">
        <v>9955</v>
      </c>
      <c r="C5563" s="4" t="n">
        <v>43</v>
      </c>
      <c r="D5563" s="4" t="n">
        <v>13.0075</v>
      </c>
      <c r="E5563" s="5" t="n">
        <v>765.3</v>
      </c>
      <c r="F5563" s="3" t="inlineStr">
        <is>
          <t>장군면</t>
        </is>
      </c>
      <c r="G5563" s="3" t="inlineStr">
        <is>
          <t>도계리</t>
        </is>
      </c>
      <c r="H5563" s="3" t="inlineStr">
        <is>
          <t>계획관리지역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2025</v>
      </c>
      <c r="B5564" s="4" t="n">
        <v>22456</v>
      </c>
      <c r="C5564" s="4" t="n">
        <v>97</v>
      </c>
      <c r="D5564" s="4" t="n">
        <v>29.3425</v>
      </c>
      <c r="E5564" s="5" t="n">
        <v>765.3</v>
      </c>
      <c r="F5564" s="3" t="inlineStr">
        <is>
          <t>장군면</t>
        </is>
      </c>
      <c r="G5564" s="3" t="inlineStr">
        <is>
          <t>도계리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장군면</t>
        </is>
      </c>
    </row>
    <row r="5565">
      <c r="A5565" s="3" t="n">
        <v>2025</v>
      </c>
      <c r="B5565" s="4" t="n">
        <v>47000</v>
      </c>
      <c r="C5565" s="4" t="n">
        <v>1742</v>
      </c>
      <c r="D5565" s="4" t="n">
        <v>526.955</v>
      </c>
      <c r="E5565" s="5" t="n">
        <v>89.2</v>
      </c>
      <c r="F5565" s="3" t="inlineStr">
        <is>
          <t>연기면</t>
        </is>
      </c>
      <c r="G5565" s="3" t="inlineStr">
        <is>
          <t>눌왕리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연기면</t>
        </is>
      </c>
    </row>
    <row r="5566">
      <c r="A5566" s="3" t="n">
        <v>2025</v>
      </c>
      <c r="B5566" s="4" t="n">
        <v>3000</v>
      </c>
      <c r="C5566" s="4" t="n">
        <v>242</v>
      </c>
      <c r="D5566" s="4" t="n">
        <v>73.205</v>
      </c>
      <c r="E5566" s="5" t="n">
        <v>41</v>
      </c>
      <c r="F5566" s="3" t="inlineStr">
        <is>
          <t>연서면</t>
        </is>
      </c>
      <c r="G5566" s="3" t="inlineStr">
        <is>
          <t>성제리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35000</v>
      </c>
      <c r="C5567" s="4" t="n">
        <v>1160</v>
      </c>
      <c r="D5567" s="4" t="n">
        <v>350.9</v>
      </c>
      <c r="E5567" s="5" t="n">
        <v>99.7</v>
      </c>
      <c r="F5567" s="3" t="inlineStr">
        <is>
          <t>연서면</t>
        </is>
      </c>
      <c r="G5567" s="3" t="inlineStr">
        <is>
          <t>봉암리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연서면</t>
        </is>
      </c>
    </row>
    <row r="5568">
      <c r="A5568" s="3" t="n">
        <v>2025</v>
      </c>
      <c r="B5568" s="4" t="n">
        <v>10000</v>
      </c>
      <c r="C5568" s="4" t="n">
        <v>525</v>
      </c>
      <c r="D5568" s="4" t="n">
        <v>158.8125</v>
      </c>
      <c r="E5568" s="5" t="n">
        <v>63</v>
      </c>
      <c r="F5568" s="3" t="inlineStr">
        <is>
          <t>금남면</t>
        </is>
      </c>
      <c r="G5568" s="3" t="inlineStr">
        <is>
          <t>원봉리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금남면</t>
        </is>
      </c>
    </row>
    <row r="5569">
      <c r="A5569" s="3" t="n">
        <v>2025</v>
      </c>
      <c r="B5569" s="4" t="n">
        <v>12000</v>
      </c>
      <c r="C5569" s="4" t="n">
        <v>406</v>
      </c>
      <c r="D5569" s="4" t="n">
        <v>122.815</v>
      </c>
      <c r="E5569" s="5" t="n">
        <v>97.7</v>
      </c>
      <c r="F5569" s="3" t="inlineStr">
        <is>
          <t>금남면</t>
        </is>
      </c>
      <c r="G5569" s="3" t="inlineStr">
        <is>
          <t>용포리</t>
        </is>
      </c>
      <c r="H5569" s="3" t="inlineStr">
        <is>
          <t>개발제한구역</t>
        </is>
      </c>
      <c r="I5569" s="3" t="inlineStr">
        <is>
          <t>전</t>
        </is>
      </c>
      <c r="J5569" s="3" t="inlineStr">
        <is>
          <t>금남면</t>
        </is>
      </c>
    </row>
    <row r="5570">
      <c r="A5570" s="3" t="n">
        <v>2025</v>
      </c>
      <c r="B5570" s="4" t="n">
        <v>31674</v>
      </c>
      <c r="C5570" s="4" t="n">
        <v>556</v>
      </c>
      <c r="D5570" s="4" t="n">
        <v>168.19</v>
      </c>
      <c r="E5570" s="5" t="n">
        <v>188.3</v>
      </c>
      <c r="F5570" s="3" t="inlineStr">
        <is>
          <t>전의면</t>
        </is>
      </c>
      <c r="G5570" s="3" t="inlineStr">
        <is>
          <t>신방리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전의면</t>
        </is>
      </c>
    </row>
    <row r="5571">
      <c r="A5571" s="3" t="n">
        <v>2025</v>
      </c>
      <c r="B5571" s="4" t="n">
        <v>27594</v>
      </c>
      <c r="C5571" s="4" t="n">
        <v>451</v>
      </c>
      <c r="D5571" s="4" t="n">
        <v>136.4275</v>
      </c>
      <c r="E5571" s="5" t="n">
        <v>202.3</v>
      </c>
      <c r="F5571" s="3" t="inlineStr">
        <is>
          <t>전의면</t>
        </is>
      </c>
      <c r="G5571" s="3" t="inlineStr">
        <is>
          <t>신방리</t>
        </is>
      </c>
      <c r="H5571" s="3" t="inlineStr">
        <is>
          <t>계획관리지역</t>
        </is>
      </c>
      <c r="I5571" s="3" t="inlineStr">
        <is>
          <t>임야</t>
        </is>
      </c>
      <c r="J5571" s="3" t="inlineStr">
        <is>
          <t>전의면</t>
        </is>
      </c>
    </row>
    <row r="5572">
      <c r="A5572" s="3" t="n">
        <v>2025</v>
      </c>
      <c r="B5572" s="4" t="n">
        <v>4813</v>
      </c>
      <c r="C5572" s="4" t="n">
        <v>139.3</v>
      </c>
      <c r="D5572" s="4" t="n">
        <v>42.13825</v>
      </c>
      <c r="E5572" s="5" t="n">
        <v>114.2</v>
      </c>
      <c r="F5572" s="3" t="inlineStr">
        <is>
          <t>연서면</t>
        </is>
      </c>
      <c r="G5572" s="3" t="inlineStr">
        <is>
          <t>월하리</t>
        </is>
      </c>
      <c r="H5572" s="3" t="inlineStr">
        <is>
          <t>계획관리지역</t>
        </is>
      </c>
      <c r="I5572" s="3" t="inlineStr">
        <is>
          <t>도로</t>
        </is>
      </c>
      <c r="J5572" s="3" t="inlineStr">
        <is>
          <t>연서면</t>
        </is>
      </c>
    </row>
    <row r="5573">
      <c r="A5573" s="3" t="n">
        <v>2024</v>
      </c>
      <c r="B5573" s="4" t="n">
        <v>60000</v>
      </c>
      <c r="C5573" s="4" t="n">
        <v>32826</v>
      </c>
      <c r="D5573" s="4" t="n">
        <v>9929.865</v>
      </c>
      <c r="E5573" s="5" t="n">
        <v>6</v>
      </c>
      <c r="F5573" s="3" t="inlineStr">
        <is>
          <t>연서면</t>
        </is>
      </c>
      <c r="G5573" s="3" t="inlineStr">
        <is>
          <t>기룡리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2024</v>
      </c>
      <c r="B5574" s="4" t="n">
        <v>3136</v>
      </c>
      <c r="C5574" s="4" t="n">
        <v>200</v>
      </c>
      <c r="D5574" s="4" t="n">
        <v>60.5</v>
      </c>
      <c r="E5574" s="5" t="n">
        <v>51.8</v>
      </c>
      <c r="F5574" s="3" t="inlineStr">
        <is>
          <t>장군면</t>
        </is>
      </c>
      <c r="G5574" s="3" t="inlineStr">
        <is>
          <t>하봉리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24360</v>
      </c>
      <c r="C5575" s="4" t="n">
        <v>574</v>
      </c>
      <c r="D5575" s="4" t="n">
        <v>173.635</v>
      </c>
      <c r="E5575" s="5" t="n">
        <v>140.3</v>
      </c>
      <c r="F5575" s="3" t="inlineStr">
        <is>
          <t>연기면</t>
        </is>
      </c>
      <c r="G5575" s="3" t="inlineStr">
        <is>
          <t>눌왕리</t>
        </is>
      </c>
      <c r="H5575" s="3" t="inlineStr">
        <is>
          <t>계획관리지역</t>
        </is>
      </c>
      <c r="I5575" s="3" t="inlineStr">
        <is>
          <t>답</t>
        </is>
      </c>
      <c r="J5575" s="3" t="inlineStr">
        <is>
          <t>연기면</t>
        </is>
      </c>
    </row>
    <row r="5576">
      <c r="A5576" s="3" t="n">
        <v>2024</v>
      </c>
      <c r="B5576" s="4" t="n">
        <v>49500</v>
      </c>
      <c r="C5576" s="4" t="n">
        <v>990</v>
      </c>
      <c r="D5576" s="4" t="n">
        <v>299.475</v>
      </c>
      <c r="E5576" s="5" t="n">
        <v>165.3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조치원읍</t>
        </is>
      </c>
    </row>
    <row r="5577">
      <c r="A5577" s="3" t="n">
        <v>2024</v>
      </c>
      <c r="B5577" s="4" t="n">
        <v>30500</v>
      </c>
      <c r="C5577" s="4" t="n">
        <v>617</v>
      </c>
      <c r="D5577" s="4" t="n">
        <v>186.6425</v>
      </c>
      <c r="E5577" s="5" t="n">
        <v>163.4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자연녹지지역</t>
        </is>
      </c>
      <c r="I5577" s="3" t="inlineStr">
        <is>
          <t>전</t>
        </is>
      </c>
      <c r="J5577" s="3" t="inlineStr">
        <is>
          <t>조치원읍</t>
        </is>
      </c>
    </row>
    <row r="5578">
      <c r="A5578" s="3" t="n">
        <v>2024</v>
      </c>
      <c r="B5578" s="4" t="n">
        <v>10</v>
      </c>
      <c r="C5578" s="4" t="n">
        <v>1</v>
      </c>
      <c r="D5578" s="4" t="n">
        <v>0.3025</v>
      </c>
      <c r="E5578" s="5" t="n">
        <v>33.1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자연녹지지역</t>
        </is>
      </c>
      <c r="I5578" s="3" t="inlineStr">
        <is>
          <t>도로</t>
        </is>
      </c>
      <c r="J5578" s="3" t="inlineStr">
        <is>
          <t>조치원읍</t>
        </is>
      </c>
    </row>
    <row r="5579">
      <c r="A5579" s="3" t="n">
        <v>2024</v>
      </c>
      <c r="B5579" s="4" t="n">
        <v>5000</v>
      </c>
      <c r="C5579" s="4" t="n">
        <v>85</v>
      </c>
      <c r="D5579" s="4" t="n">
        <v>25.7125</v>
      </c>
      <c r="E5579" s="5" t="n">
        <v>194.5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자연녹지지역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2024</v>
      </c>
      <c r="B5580" s="4" t="n">
        <v>8400</v>
      </c>
      <c r="C5580" s="4" t="n">
        <v>556</v>
      </c>
      <c r="D5580" s="4" t="n">
        <v>168.19</v>
      </c>
      <c r="E5580" s="5" t="n">
        <v>49.9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보전관리지역</t>
        </is>
      </c>
      <c r="I5580" s="3" t="inlineStr">
        <is>
          <t>임야</t>
        </is>
      </c>
      <c r="J5580" s="3" t="inlineStr">
        <is>
          <t>부강면</t>
        </is>
      </c>
    </row>
    <row r="5581">
      <c r="A5581" s="3" t="n">
        <v>2024</v>
      </c>
      <c r="B5581" s="4" t="n">
        <v>50</v>
      </c>
      <c r="C5581" s="4" t="n">
        <v>16</v>
      </c>
      <c r="D5581" s="4" t="n">
        <v>4.84</v>
      </c>
      <c r="E5581" s="5" t="n">
        <v>10.3</v>
      </c>
      <c r="F5581" s="3" t="inlineStr">
        <is>
          <t>부강면</t>
        </is>
      </c>
      <c r="G5581" s="3" t="inlineStr">
        <is>
          <t>문곡리</t>
        </is>
      </c>
      <c r="H5581" s="3" t="inlineStr">
        <is>
          <t>보전관리지역</t>
        </is>
      </c>
      <c r="I5581" s="3" t="inlineStr">
        <is>
          <t>임야</t>
        </is>
      </c>
      <c r="J5581" s="3" t="inlineStr">
        <is>
          <t>부강면</t>
        </is>
      </c>
    </row>
    <row r="5582">
      <c r="A5582" s="3" t="n">
        <v>2024</v>
      </c>
      <c r="B5582" s="4" t="n">
        <v>1200</v>
      </c>
      <c r="C5582" s="4" t="n">
        <v>397</v>
      </c>
      <c r="D5582" s="4" t="n">
        <v>120.0925</v>
      </c>
      <c r="E5582" s="5" t="n">
        <v>10</v>
      </c>
      <c r="F5582" s="3" t="inlineStr">
        <is>
          <t>부강면</t>
        </is>
      </c>
      <c r="G5582" s="3" t="inlineStr">
        <is>
          <t>문곡리</t>
        </is>
      </c>
      <c r="H5582" s="3" t="inlineStr">
        <is>
          <t>보전관리지역</t>
        </is>
      </c>
      <c r="I5582" s="3" t="inlineStr">
        <is>
          <t>도로</t>
        </is>
      </c>
      <c r="J5582" s="3" t="inlineStr">
        <is>
          <t>부강면</t>
        </is>
      </c>
    </row>
    <row r="5583">
      <c r="A5583" s="3" t="n">
        <v>2024</v>
      </c>
      <c r="B5583" s="4" t="n">
        <v>1490</v>
      </c>
      <c r="C5583" s="4" t="n">
        <v>985</v>
      </c>
      <c r="D5583" s="4" t="n">
        <v>297.9625</v>
      </c>
      <c r="E5583" s="5" t="n">
        <v>5</v>
      </c>
      <c r="F5583" s="3" t="inlineStr">
        <is>
          <t>전의면</t>
        </is>
      </c>
      <c r="G5583" s="3" t="inlineStr">
        <is>
          <t>다방리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전의면</t>
        </is>
      </c>
    </row>
    <row r="5584">
      <c r="A5584" s="3" t="n">
        <v>2024</v>
      </c>
      <c r="B5584" s="4" t="n">
        <v>420</v>
      </c>
      <c r="C5584" s="4" t="n">
        <v>277</v>
      </c>
      <c r="D5584" s="4" t="n">
        <v>83.7925</v>
      </c>
      <c r="E5584" s="5" t="n">
        <v>5</v>
      </c>
      <c r="F5584" s="3" t="inlineStr">
        <is>
          <t>전의면</t>
        </is>
      </c>
      <c r="G5584" s="3" t="inlineStr">
        <is>
          <t>다방리</t>
        </is>
      </c>
      <c r="H5584" s="3" t="inlineStr">
        <is>
          <t>보전관리지역</t>
        </is>
      </c>
      <c r="I5584" s="3" t="inlineStr">
        <is>
          <t>임야</t>
        </is>
      </c>
      <c r="J5584" s="3" t="inlineStr">
        <is>
          <t>전의면</t>
        </is>
      </c>
    </row>
    <row r="5585">
      <c r="A5585" s="3" t="n">
        <v>2024</v>
      </c>
      <c r="B5585" s="4" t="n">
        <v>20340</v>
      </c>
      <c r="C5585" s="4" t="n">
        <v>22413</v>
      </c>
      <c r="D5585" s="4" t="n">
        <v>6779.9325</v>
      </c>
      <c r="E5585" s="5" t="n">
        <v>3</v>
      </c>
      <c r="F5585" s="3" t="inlineStr">
        <is>
          <t>전의면</t>
        </is>
      </c>
      <c r="G5585" s="3" t="inlineStr">
        <is>
          <t>다방리</t>
        </is>
      </c>
      <c r="H5585" s="3" t="inlineStr">
        <is>
          <t>보전관리지역</t>
        </is>
      </c>
      <c r="I5585" s="3" t="inlineStr">
        <is>
          <t>임야</t>
        </is>
      </c>
      <c r="J5585" s="3" t="inlineStr">
        <is>
          <t>전의면</t>
        </is>
      </c>
    </row>
    <row r="5586">
      <c r="A5586" s="3" t="n">
        <v>2024</v>
      </c>
      <c r="B5586" s="4" t="n">
        <v>17100</v>
      </c>
      <c r="C5586" s="4" t="n">
        <v>18843</v>
      </c>
      <c r="D5586" s="4" t="n">
        <v>5700.0075</v>
      </c>
      <c r="E5586" s="5" t="n">
        <v>3</v>
      </c>
      <c r="F5586" s="3" t="inlineStr">
        <is>
          <t>전의면</t>
        </is>
      </c>
      <c r="G5586" s="3" t="inlineStr">
        <is>
          <t>금사리</t>
        </is>
      </c>
      <c r="H5586" s="3" t="inlineStr">
        <is>
          <t>보전관리지역</t>
        </is>
      </c>
      <c r="I5586" s="3" t="inlineStr">
        <is>
          <t>임야</t>
        </is>
      </c>
      <c r="J5586" s="3" t="inlineStr">
        <is>
          <t>전의면</t>
        </is>
      </c>
    </row>
    <row r="5587">
      <c r="A5587" s="3" t="n">
        <v>2024</v>
      </c>
      <c r="B5587" s="4" t="n">
        <v>4450</v>
      </c>
      <c r="C5587" s="4" t="n">
        <v>816</v>
      </c>
      <c r="D5587" s="4" t="n">
        <v>246.84</v>
      </c>
      <c r="E5587" s="5" t="n">
        <v>18</v>
      </c>
      <c r="F5587" s="3" t="inlineStr">
        <is>
          <t>전의면</t>
        </is>
      </c>
      <c r="G5587" s="3" t="inlineStr">
        <is>
          <t>다방리</t>
        </is>
      </c>
      <c r="H5587" s="3" t="inlineStr">
        <is>
          <t>생산관리지역</t>
        </is>
      </c>
      <c r="I5587" s="3" t="inlineStr">
        <is>
          <t>답</t>
        </is>
      </c>
      <c r="J5587" s="3" t="inlineStr">
        <is>
          <t>전의면</t>
        </is>
      </c>
    </row>
    <row r="5588">
      <c r="A5588" s="3" t="n">
        <v>2024</v>
      </c>
      <c r="B5588" s="4" t="n">
        <v>800</v>
      </c>
      <c r="C5588" s="4" t="n">
        <v>87</v>
      </c>
      <c r="D5588" s="4" t="n">
        <v>26.3175</v>
      </c>
      <c r="E5588" s="5" t="n">
        <v>30.4</v>
      </c>
      <c r="F5588" s="3" t="inlineStr">
        <is>
          <t>소정면</t>
        </is>
      </c>
      <c r="G5588" s="3" t="inlineStr">
        <is>
          <t>대곡리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소정면</t>
        </is>
      </c>
    </row>
    <row r="5589">
      <c r="A5589" s="3" t="n">
        <v>2024</v>
      </c>
      <c r="B5589" s="4" t="n">
        <v>30470</v>
      </c>
      <c r="C5589" s="4" t="n">
        <v>1047</v>
      </c>
      <c r="D5589" s="4" t="n">
        <v>316.7175</v>
      </c>
      <c r="E5589" s="5" t="n">
        <v>96.2</v>
      </c>
      <c r="F5589" s="3" t="inlineStr">
        <is>
          <t>전동면</t>
        </is>
      </c>
      <c r="G5589" s="3" t="inlineStr">
        <is>
          <t>청송리</t>
        </is>
      </c>
      <c r="H5589" s="3" t="inlineStr">
        <is>
          <t>계획관리지역</t>
        </is>
      </c>
      <c r="I5589" s="3" t="inlineStr">
        <is>
          <t>답</t>
        </is>
      </c>
      <c r="J5589" s="3" t="inlineStr">
        <is>
          <t>전동면</t>
        </is>
      </c>
    </row>
    <row r="5590">
      <c r="A5590" s="3" t="n">
        <v>2024</v>
      </c>
      <c r="B5590" s="4" t="n">
        <v>22700</v>
      </c>
      <c r="C5590" s="4" t="n">
        <v>780</v>
      </c>
      <c r="D5590" s="4" t="n">
        <v>235.95</v>
      </c>
      <c r="E5590" s="5" t="n">
        <v>96.2</v>
      </c>
      <c r="F5590" s="3" t="inlineStr">
        <is>
          <t>전동면</t>
        </is>
      </c>
      <c r="G5590" s="3" t="inlineStr">
        <is>
          <t>청송리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전동면</t>
        </is>
      </c>
    </row>
    <row r="5591">
      <c r="A5591" s="3" t="n">
        <v>2024</v>
      </c>
      <c r="B5591" s="4" t="n">
        <v>51831</v>
      </c>
      <c r="C5591" s="4" t="n">
        <v>1781</v>
      </c>
      <c r="D5591" s="4" t="n">
        <v>538.7524999999999</v>
      </c>
      <c r="E5591" s="5" t="n">
        <v>96.2</v>
      </c>
      <c r="F5591" s="3" t="inlineStr">
        <is>
          <t>전동면</t>
        </is>
      </c>
      <c r="G5591" s="3" t="inlineStr">
        <is>
          <t>청송리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전동면</t>
        </is>
      </c>
    </row>
    <row r="5592">
      <c r="A5592" s="3" t="n">
        <v>2024</v>
      </c>
      <c r="B5592" s="4" t="n">
        <v>45000</v>
      </c>
      <c r="C5592" s="4" t="n">
        <v>1577</v>
      </c>
      <c r="D5592" s="4" t="n">
        <v>477.0425</v>
      </c>
      <c r="E5592" s="5" t="n">
        <v>94.3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2024</v>
      </c>
      <c r="B5593" s="4" t="n">
        <v>56810</v>
      </c>
      <c r="C5593" s="4" t="n">
        <v>841</v>
      </c>
      <c r="D5593" s="4" t="n">
        <v>254.4025</v>
      </c>
      <c r="E5593" s="5" t="n">
        <v>223.3</v>
      </c>
      <c r="F5593" s="3" t="inlineStr">
        <is>
          <t>금남면</t>
        </is>
      </c>
      <c r="G5593" s="3" t="inlineStr">
        <is>
          <t>국곡리</t>
        </is>
      </c>
      <c r="H5593" s="3" t="inlineStr">
        <is>
          <t>계획관리지역</t>
        </is>
      </c>
      <c r="I5593" s="3" t="inlineStr">
        <is>
          <t>잡종지</t>
        </is>
      </c>
      <c r="J5593" s="3" t="inlineStr">
        <is>
          <t>금남면</t>
        </is>
      </c>
    </row>
    <row r="5594">
      <c r="A5594" s="3" t="n">
        <v>2024</v>
      </c>
      <c r="B5594" s="4" t="n">
        <v>4432</v>
      </c>
      <c r="C5594" s="4" t="n">
        <v>166</v>
      </c>
      <c r="D5594" s="4" t="n">
        <v>50.215</v>
      </c>
      <c r="E5594" s="5" t="n">
        <v>88.3</v>
      </c>
      <c r="F5594" s="3" t="inlineStr">
        <is>
          <t>전의면</t>
        </is>
      </c>
      <c r="G5594" s="3" t="inlineStr">
        <is>
          <t>읍내리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전의면</t>
        </is>
      </c>
    </row>
    <row r="5595">
      <c r="A5595" s="3" t="n">
        <v>2024</v>
      </c>
      <c r="B5595" s="4" t="n">
        <v>95000</v>
      </c>
      <c r="C5595" s="4" t="n">
        <v>714</v>
      </c>
      <c r="D5595" s="4" t="n">
        <v>215.985</v>
      </c>
      <c r="E5595" s="5" t="n">
        <v>439.8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일반공업지역</t>
        </is>
      </c>
      <c r="I5595" s="3" t="inlineStr">
        <is>
          <t>과수원</t>
        </is>
      </c>
      <c r="J5595" s="3" t="inlineStr">
        <is>
          <t>조치원읍</t>
        </is>
      </c>
    </row>
    <row r="5596">
      <c r="A5596" s="3" t="n">
        <v>2024</v>
      </c>
      <c r="B5596" s="4" t="n">
        <v>1900</v>
      </c>
      <c r="C5596" s="4" t="n">
        <v>227</v>
      </c>
      <c r="D5596" s="4" t="n">
        <v>68.6675</v>
      </c>
      <c r="E5596" s="5" t="n">
        <v>27.7</v>
      </c>
      <c r="F5596" s="3" t="inlineStr">
        <is>
          <t>금남면</t>
        </is>
      </c>
      <c r="G5596" s="3" t="inlineStr">
        <is>
          <t>박산리</t>
        </is>
      </c>
      <c r="H5596" s="3" t="inlineStr">
        <is>
          <t>개발제한구역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2024</v>
      </c>
      <c r="B5597" s="4" t="n">
        <v>36240</v>
      </c>
      <c r="C5597" s="4" t="n">
        <v>1000</v>
      </c>
      <c r="D5597" s="4" t="n">
        <v>302.5</v>
      </c>
      <c r="E5597" s="5" t="n">
        <v>119.8</v>
      </c>
      <c r="F5597" s="3" t="inlineStr">
        <is>
          <t>전의면</t>
        </is>
      </c>
      <c r="G5597" s="3" t="inlineStr">
        <is>
          <t>금사리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전의면</t>
        </is>
      </c>
    </row>
    <row r="5598">
      <c r="A5598" s="3" t="n">
        <v>2024</v>
      </c>
      <c r="B5598" s="4" t="n">
        <v>19000</v>
      </c>
      <c r="C5598" s="4" t="n">
        <v>501</v>
      </c>
      <c r="D5598" s="4" t="n">
        <v>151.5525</v>
      </c>
      <c r="E5598" s="5" t="n">
        <v>125.4</v>
      </c>
      <c r="F5598" s="3" t="inlineStr">
        <is>
          <t>장군면</t>
        </is>
      </c>
      <c r="G5598" s="3" t="inlineStr">
        <is>
          <t>봉안리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2024</v>
      </c>
      <c r="B5599" s="4" t="n">
        <v>48000</v>
      </c>
      <c r="C5599" s="4" t="n">
        <v>2437.7</v>
      </c>
      <c r="D5599" s="4" t="n">
        <v>737.4042499999999</v>
      </c>
      <c r="E5599" s="5" t="n">
        <v>65.09999999999999</v>
      </c>
      <c r="F5599" s="3" t="inlineStr">
        <is>
          <t>연서면</t>
        </is>
      </c>
      <c r="G5599" s="3" t="inlineStr">
        <is>
          <t>쌍전리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2024</v>
      </c>
      <c r="B5600" s="4" t="n">
        <v>9152</v>
      </c>
      <c r="C5600" s="4" t="n">
        <v>208</v>
      </c>
      <c r="D5600" s="4" t="n">
        <v>62.92</v>
      </c>
      <c r="E5600" s="5" t="n">
        <v>145.5</v>
      </c>
      <c r="F5600" s="3" t="inlineStr">
        <is>
          <t>전의면</t>
        </is>
      </c>
      <c r="G5600" s="3" t="inlineStr">
        <is>
          <t>동교리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전의면</t>
        </is>
      </c>
    </row>
    <row r="5601">
      <c r="A5601" s="3" t="n">
        <v>2024</v>
      </c>
      <c r="B5601" s="4" t="n">
        <v>848</v>
      </c>
      <c r="C5601" s="4" t="n">
        <v>56</v>
      </c>
      <c r="D5601" s="4" t="n">
        <v>16.94</v>
      </c>
      <c r="E5601" s="5" t="n">
        <v>50.1</v>
      </c>
      <c r="F5601" s="3" t="inlineStr">
        <is>
          <t>전의면</t>
        </is>
      </c>
      <c r="G5601" s="3" t="inlineStr">
        <is>
          <t>동교리</t>
        </is>
      </c>
      <c r="H5601" s="3" t="inlineStr">
        <is>
          <t>자연녹지지역</t>
        </is>
      </c>
      <c r="I5601" s="3" t="inlineStr">
        <is>
          <t>제방</t>
        </is>
      </c>
      <c r="J5601" s="3" t="inlineStr">
        <is>
          <t>전의면</t>
        </is>
      </c>
    </row>
    <row r="5602">
      <c r="A5602" s="3" t="n">
        <v>2024</v>
      </c>
      <c r="B5602" s="4" t="n">
        <v>21118</v>
      </c>
      <c r="C5602" s="4" t="n">
        <v>598</v>
      </c>
      <c r="D5602" s="4" t="n">
        <v>180.895</v>
      </c>
      <c r="E5602" s="5" t="n">
        <v>116.7</v>
      </c>
      <c r="F5602" s="3" t="inlineStr">
        <is>
          <t>전동면</t>
        </is>
      </c>
      <c r="G5602" s="3" t="inlineStr">
        <is>
          <t>송곡리</t>
        </is>
      </c>
      <c r="H5602" s="3" t="inlineStr">
        <is>
          <t>계획관리지역</t>
        </is>
      </c>
      <c r="I5602" s="3" t="inlineStr">
        <is>
          <t>답</t>
        </is>
      </c>
      <c r="J5602" s="3" t="inlineStr">
        <is>
          <t>전동면</t>
        </is>
      </c>
    </row>
    <row r="5603">
      <c r="A5603" s="3" t="n">
        <v>2023</v>
      </c>
      <c r="B5603" s="4" t="n">
        <v>1365</v>
      </c>
      <c r="C5603" s="4" t="n">
        <v>215</v>
      </c>
      <c r="D5603" s="4" t="n">
        <v>65.03749999999999</v>
      </c>
      <c r="E5603" s="5" t="n">
        <v>21</v>
      </c>
      <c r="F5603" s="3" t="inlineStr">
        <is>
          <t>금남면</t>
        </is>
      </c>
      <c r="G5603" s="3" t="inlineStr">
        <is>
          <t>영치리</t>
        </is>
      </c>
      <c r="H5603" s="3" t="inlineStr">
        <is>
          <t>개발제한구역</t>
        </is>
      </c>
      <c r="I5603" s="3" t="inlineStr">
        <is>
          <t>답</t>
        </is>
      </c>
      <c r="J5603" s="3" t="inlineStr">
        <is>
          <t>금남면</t>
        </is>
      </c>
    </row>
    <row r="5604">
      <c r="A5604" s="3" t="n">
        <v>2023</v>
      </c>
      <c r="B5604" s="4" t="n">
        <v>105</v>
      </c>
      <c r="C5604" s="4" t="n">
        <v>2</v>
      </c>
      <c r="D5604" s="4" t="n">
        <v>0.605</v>
      </c>
      <c r="E5604" s="5" t="n">
        <v>173.6</v>
      </c>
      <c r="F5604" s="3" t="inlineStr">
        <is>
          <t>조치원읍</t>
        </is>
      </c>
      <c r="G5604" s="3" t="inlineStr">
        <is>
          <t>신흥리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2023</v>
      </c>
      <c r="B5605" s="4" t="n">
        <v>1850</v>
      </c>
      <c r="C5605" s="4" t="n">
        <v>661</v>
      </c>
      <c r="D5605" s="4" t="n">
        <v>199.9525</v>
      </c>
      <c r="E5605" s="5" t="n">
        <v>9.300000000000001</v>
      </c>
      <c r="F5605" s="3" t="inlineStr">
        <is>
          <t>부강면</t>
        </is>
      </c>
      <c r="G5605" s="3" t="inlineStr">
        <is>
          <t>노호리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부강면</t>
        </is>
      </c>
    </row>
    <row r="5606">
      <c r="A5606" s="3" t="n">
        <v>2023</v>
      </c>
      <c r="B5606" s="4" t="n">
        <v>44000</v>
      </c>
      <c r="C5606" s="4" t="n">
        <v>6612</v>
      </c>
      <c r="D5606" s="4" t="n">
        <v>2000.13</v>
      </c>
      <c r="E5606" s="5" t="n">
        <v>22</v>
      </c>
      <c r="F5606" s="3" t="inlineStr">
        <is>
          <t>소정면</t>
        </is>
      </c>
      <c r="G5606" s="3" t="inlineStr">
        <is>
          <t>운당리</t>
        </is>
      </c>
      <c r="H5606" s="3" t="inlineStr">
        <is>
          <t>농림지역</t>
        </is>
      </c>
      <c r="I5606" s="3" t="inlineStr">
        <is>
          <t>임야</t>
        </is>
      </c>
      <c r="J5606" s="3" t="inlineStr">
        <is>
          <t>소정면</t>
        </is>
      </c>
    </row>
    <row r="5607">
      <c r="A5607" s="3" t="n">
        <v>2023</v>
      </c>
      <c r="B5607" s="4" t="n">
        <v>33394</v>
      </c>
      <c r="C5607" s="4" t="n">
        <v>583</v>
      </c>
      <c r="D5607" s="4" t="n">
        <v>176.3575</v>
      </c>
      <c r="E5607" s="5" t="n">
        <v>189.4</v>
      </c>
      <c r="F5607" s="3" t="inlineStr">
        <is>
          <t>장군면</t>
        </is>
      </c>
      <c r="G5607" s="3" t="inlineStr">
        <is>
          <t>대교리</t>
        </is>
      </c>
      <c r="H5607" s="3" t="inlineStr">
        <is>
          <t>보전관리지역</t>
        </is>
      </c>
      <c r="I5607" s="3" t="inlineStr">
        <is>
          <t>대</t>
        </is>
      </c>
      <c r="J5607" s="3" t="inlineStr">
        <is>
          <t>장군면</t>
        </is>
      </c>
    </row>
    <row r="5608">
      <c r="A5608" s="3" t="n">
        <v>2023</v>
      </c>
      <c r="B5608" s="4" t="n">
        <v>37518</v>
      </c>
      <c r="C5608" s="4" t="n">
        <v>655</v>
      </c>
      <c r="D5608" s="4" t="n">
        <v>198.1375</v>
      </c>
      <c r="E5608" s="5" t="n">
        <v>189.4</v>
      </c>
      <c r="F5608" s="3" t="inlineStr">
        <is>
          <t>장군면</t>
        </is>
      </c>
      <c r="G5608" s="3" t="inlineStr">
        <is>
          <t>대교리</t>
        </is>
      </c>
      <c r="H5608" s="3" t="inlineStr">
        <is>
          <t>보전관리지역</t>
        </is>
      </c>
      <c r="I5608" s="3" t="inlineStr">
        <is>
          <t>대</t>
        </is>
      </c>
      <c r="J5608" s="3" t="inlineStr">
        <is>
          <t>장군면</t>
        </is>
      </c>
    </row>
    <row r="5609">
      <c r="A5609" s="3" t="n">
        <v>2023</v>
      </c>
      <c r="B5609" s="4" t="n">
        <v>44678</v>
      </c>
      <c r="C5609" s="4" t="n">
        <v>780</v>
      </c>
      <c r="D5609" s="4" t="n">
        <v>235.95</v>
      </c>
      <c r="E5609" s="5" t="n">
        <v>189.4</v>
      </c>
      <c r="F5609" s="3" t="inlineStr">
        <is>
          <t>장군면</t>
        </is>
      </c>
      <c r="G5609" s="3" t="inlineStr">
        <is>
          <t>대교리</t>
        </is>
      </c>
      <c r="H5609" s="3" t="inlineStr">
        <is>
          <t>보전관리지역</t>
        </is>
      </c>
      <c r="I5609" s="3" t="inlineStr">
        <is>
          <t>대</t>
        </is>
      </c>
      <c r="J5609" s="3" t="inlineStr">
        <is>
          <t>장군면</t>
        </is>
      </c>
    </row>
    <row r="5610">
      <c r="A5610" s="3" t="n">
        <v>2022</v>
      </c>
      <c r="B5610" s="4" t="n">
        <v>2300</v>
      </c>
      <c r="C5610" s="4" t="n">
        <v>368</v>
      </c>
      <c r="D5610" s="4" t="n">
        <v>111.32</v>
      </c>
      <c r="E5610" s="5" t="n">
        <v>20.7</v>
      </c>
      <c r="F5610" s="3" t="inlineStr">
        <is>
          <t>부강면</t>
        </is>
      </c>
      <c r="G5610" s="3" t="inlineStr">
        <is>
          <t>금호리</t>
        </is>
      </c>
      <c r="H5610" s="3" t="inlineStr">
        <is>
          <t>계획관리지역</t>
        </is>
      </c>
      <c r="I5610" s="3" t="inlineStr">
        <is>
          <t>임야</t>
        </is>
      </c>
      <c r="J5610" s="3" t="inlineStr">
        <is>
          <t>부강면</t>
        </is>
      </c>
    </row>
    <row r="5611">
      <c r="A5611" s="3" t="n">
        <v>2022</v>
      </c>
      <c r="B5611" s="4" t="n">
        <v>5287</v>
      </c>
      <c r="C5611" s="4" t="n">
        <v>506</v>
      </c>
      <c r="D5611" s="4" t="n">
        <v>153.065</v>
      </c>
      <c r="E5611" s="5" t="n">
        <v>34.5</v>
      </c>
      <c r="F5611" s="3" t="inlineStr">
        <is>
          <t>전의면</t>
        </is>
      </c>
      <c r="G5611" s="3" t="inlineStr">
        <is>
          <t>양곡리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전의면</t>
        </is>
      </c>
    </row>
    <row r="5612">
      <c r="A5612" s="3" t="n">
        <v>2022</v>
      </c>
      <c r="B5612" s="4" t="n">
        <v>1713</v>
      </c>
      <c r="C5612" s="4" t="n">
        <v>164</v>
      </c>
      <c r="D5612" s="4" t="n">
        <v>49.61</v>
      </c>
      <c r="E5612" s="5" t="n">
        <v>34.5</v>
      </c>
      <c r="F5612" s="3" t="inlineStr">
        <is>
          <t>전의면</t>
        </is>
      </c>
      <c r="G5612" s="3" t="inlineStr">
        <is>
          <t>양곡리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전의면</t>
        </is>
      </c>
    </row>
    <row r="5613">
      <c r="A5613" s="3" t="n">
        <v>2022</v>
      </c>
      <c r="B5613" s="4" t="n">
        <v>4200</v>
      </c>
      <c r="C5613" s="4" t="n">
        <v>271</v>
      </c>
      <c r="D5613" s="4" t="n">
        <v>81.97749999999999</v>
      </c>
      <c r="E5613" s="5" t="n">
        <v>51.2</v>
      </c>
      <c r="F5613" s="3" t="inlineStr">
        <is>
          <t>장군면</t>
        </is>
      </c>
      <c r="G5613" s="3" t="inlineStr">
        <is>
          <t>송문리</t>
        </is>
      </c>
      <c r="H5613" s="3" t="inlineStr">
        <is>
          <t>계획관리지역</t>
        </is>
      </c>
      <c r="I5613" s="3" t="inlineStr">
        <is>
          <t>대</t>
        </is>
      </c>
      <c r="J5613" s="3" t="inlineStr">
        <is>
          <t>장군면</t>
        </is>
      </c>
    </row>
    <row r="5614">
      <c r="A5614" s="3" t="n">
        <v>2022</v>
      </c>
      <c r="B5614" s="4" t="n">
        <v>30495</v>
      </c>
      <c r="C5614" s="4" t="n">
        <v>1061</v>
      </c>
      <c r="D5614" s="4" t="n">
        <v>320.9525</v>
      </c>
      <c r="E5614" s="5" t="n">
        <v>95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2022</v>
      </c>
      <c r="B5615" s="4" t="n">
        <v>11000</v>
      </c>
      <c r="C5615" s="4" t="n">
        <v>213</v>
      </c>
      <c r="D5615" s="4" t="n">
        <v>64.4325</v>
      </c>
      <c r="E5615" s="5" t="n">
        <v>170.7</v>
      </c>
      <c r="F5615" s="3" t="inlineStr">
        <is>
          <t>장군면</t>
        </is>
      </c>
      <c r="G5615" s="3" t="inlineStr">
        <is>
          <t>도계리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장군면</t>
        </is>
      </c>
    </row>
    <row r="5616">
      <c r="A5616" s="3" t="n">
        <v>2022</v>
      </c>
      <c r="B5616" s="4" t="n">
        <v>59600</v>
      </c>
      <c r="C5616" s="4" t="n">
        <v>1029</v>
      </c>
      <c r="D5616" s="4" t="n">
        <v>311.2725</v>
      </c>
      <c r="E5616" s="5" t="n">
        <v>191.5</v>
      </c>
      <c r="F5616" s="3" t="inlineStr">
        <is>
          <t>연서면</t>
        </is>
      </c>
      <c r="G5616" s="3" t="inlineStr">
        <is>
          <t>국촌리</t>
        </is>
      </c>
      <c r="H5616" s="3" t="inlineStr">
        <is>
          <t>농림지역</t>
        </is>
      </c>
      <c r="I5616" s="3" t="inlineStr">
        <is>
          <t>임야</t>
        </is>
      </c>
      <c r="J5616" s="3" t="inlineStr">
        <is>
          <t>연서면</t>
        </is>
      </c>
    </row>
    <row r="5617">
      <c r="A5617" s="3" t="n">
        <v>2022</v>
      </c>
      <c r="B5617" s="4" t="n">
        <v>38400</v>
      </c>
      <c r="C5617" s="4" t="n">
        <v>661</v>
      </c>
      <c r="D5617" s="4" t="n">
        <v>199.9525</v>
      </c>
      <c r="E5617" s="5" t="n">
        <v>192</v>
      </c>
      <c r="F5617" s="3" t="inlineStr">
        <is>
          <t>연서면</t>
        </is>
      </c>
      <c r="G5617" s="3" t="inlineStr">
        <is>
          <t>국촌리</t>
        </is>
      </c>
      <c r="H5617" s="3" t="inlineStr">
        <is>
          <t>농림지역</t>
        </is>
      </c>
      <c r="I5617" s="3" t="inlineStr">
        <is>
          <t>임야</t>
        </is>
      </c>
      <c r="J5617" s="3" t="inlineStr">
        <is>
          <t>연서면</t>
        </is>
      </c>
    </row>
    <row r="5618">
      <c r="A5618" s="3" t="n">
        <v>2022</v>
      </c>
      <c r="B5618" s="4" t="n">
        <v>3000</v>
      </c>
      <c r="C5618" s="4" t="n">
        <v>52</v>
      </c>
      <c r="D5618" s="4" t="n">
        <v>15.73</v>
      </c>
      <c r="E5618" s="5" t="n">
        <v>190.7</v>
      </c>
      <c r="F5618" s="3" t="inlineStr">
        <is>
          <t>장군면</t>
        </is>
      </c>
      <c r="G5618" s="3" t="inlineStr">
        <is>
          <t>도계리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장군면</t>
        </is>
      </c>
    </row>
    <row r="5619">
      <c r="A5619" s="3" t="n">
        <v>2022</v>
      </c>
      <c r="B5619" s="4" t="n">
        <v>11000</v>
      </c>
      <c r="C5619" s="4" t="n">
        <v>137</v>
      </c>
      <c r="D5619" s="4" t="n">
        <v>41.4425</v>
      </c>
      <c r="E5619" s="5" t="n">
        <v>265.4</v>
      </c>
      <c r="F5619" s="3" t="inlineStr">
        <is>
          <t>조치원읍</t>
        </is>
      </c>
      <c r="G5619" s="3" t="inlineStr">
        <is>
          <t>죽림리</t>
        </is>
      </c>
      <c r="H5619" s="3" t="inlineStr">
        <is>
          <t>제2종일반주거지역</t>
        </is>
      </c>
      <c r="I5619" s="3" t="inlineStr">
        <is>
          <t>과수원</t>
        </is>
      </c>
      <c r="J5619" s="3" t="inlineStr">
        <is>
          <t>조치원읍</t>
        </is>
      </c>
    </row>
    <row r="5620">
      <c r="A5620" s="3" t="n">
        <v>2022</v>
      </c>
      <c r="B5620" s="4" t="n">
        <v>80</v>
      </c>
      <c r="C5620" s="4" t="n">
        <v>1</v>
      </c>
      <c r="D5620" s="4" t="n">
        <v>0.3025</v>
      </c>
      <c r="E5620" s="5" t="n">
        <v>264.5</v>
      </c>
      <c r="F5620" s="3" t="inlineStr">
        <is>
          <t>조치원읍</t>
        </is>
      </c>
      <c r="G5620" s="3" t="inlineStr">
        <is>
          <t>죽림리</t>
        </is>
      </c>
      <c r="H5620" s="3" t="inlineStr">
        <is>
          <t>제2종일반주거지역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2022</v>
      </c>
      <c r="B5621" s="4" t="n">
        <v>3600</v>
      </c>
      <c r="C5621" s="4" t="n">
        <v>430</v>
      </c>
      <c r="D5621" s="4" t="n">
        <v>130.075</v>
      </c>
      <c r="E5621" s="5" t="n">
        <v>27.7</v>
      </c>
      <c r="F5621" s="3" t="inlineStr">
        <is>
          <t>전의면</t>
        </is>
      </c>
      <c r="G5621" s="3" t="inlineStr">
        <is>
          <t>노곡리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전의면</t>
        </is>
      </c>
    </row>
    <row r="5622">
      <c r="A5622" s="3" t="n">
        <v>2022</v>
      </c>
      <c r="B5622" s="4" t="n">
        <v>36250</v>
      </c>
      <c r="C5622" s="4" t="n">
        <v>827</v>
      </c>
      <c r="D5622" s="4" t="n">
        <v>250.1675</v>
      </c>
      <c r="E5622" s="5" t="n">
        <v>144.9</v>
      </c>
      <c r="F5622" s="3" t="inlineStr">
        <is>
          <t>금남면</t>
        </is>
      </c>
      <c r="G5622" s="3" t="inlineStr">
        <is>
          <t>영곡리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금남면</t>
        </is>
      </c>
    </row>
    <row r="5623">
      <c r="A5623" s="3" t="n">
        <v>2022</v>
      </c>
      <c r="B5623" s="4" t="n">
        <v>30500</v>
      </c>
      <c r="C5623" s="4" t="n">
        <v>1327</v>
      </c>
      <c r="D5623" s="4" t="n">
        <v>401.4175</v>
      </c>
      <c r="E5623" s="5" t="n">
        <v>76</v>
      </c>
      <c r="F5623" s="3" t="inlineStr">
        <is>
          <t>금남면</t>
        </is>
      </c>
      <c r="G5623" s="3" t="inlineStr">
        <is>
          <t>달전리</t>
        </is>
      </c>
      <c r="H5623" s="3" t="inlineStr">
        <is>
          <t>개발제한구역</t>
        </is>
      </c>
      <c r="I5623" s="3" t="inlineStr">
        <is>
          <t>전</t>
        </is>
      </c>
      <c r="J5623" s="3" t="inlineStr">
        <is>
          <t>금남면</t>
        </is>
      </c>
    </row>
    <row r="5624">
      <c r="A5624" s="3" t="n">
        <v>2022</v>
      </c>
      <c r="B5624" s="4" t="n">
        <v>9000</v>
      </c>
      <c r="C5624" s="4" t="n">
        <v>75</v>
      </c>
      <c r="D5624" s="4" t="n">
        <v>22.6875</v>
      </c>
      <c r="E5624" s="5" t="n">
        <v>396.7</v>
      </c>
      <c r="F5624" s="3" t="inlineStr">
        <is>
          <t>장군면</t>
        </is>
      </c>
      <c r="G5624" s="3" t="inlineStr">
        <is>
          <t>봉안리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장군면</t>
        </is>
      </c>
    </row>
    <row r="5625">
      <c r="A5625" s="3" t="n">
        <v>2022</v>
      </c>
      <c r="B5625" s="4" t="n">
        <v>11200</v>
      </c>
      <c r="C5625" s="4" t="n">
        <v>206</v>
      </c>
      <c r="D5625" s="4" t="n">
        <v>62.315</v>
      </c>
      <c r="E5625" s="5" t="n">
        <v>179.7</v>
      </c>
      <c r="F5625" s="3" t="inlineStr">
        <is>
          <t>금남면</t>
        </is>
      </c>
      <c r="G5625" s="3" t="inlineStr">
        <is>
          <t>원봉리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금남면</t>
        </is>
      </c>
    </row>
    <row r="5626">
      <c r="A5626" s="3" t="n">
        <v>2022</v>
      </c>
      <c r="B5626" s="4" t="n">
        <v>243810</v>
      </c>
      <c r="C5626" s="4" t="n">
        <v>3838</v>
      </c>
      <c r="D5626" s="4" t="n">
        <v>1160.995</v>
      </c>
      <c r="E5626" s="5" t="n">
        <v>210</v>
      </c>
      <c r="F5626" s="3" t="inlineStr">
        <is>
          <t>연서면</t>
        </is>
      </c>
      <c r="G5626" s="3" t="inlineStr">
        <is>
          <t>월하리</t>
        </is>
      </c>
      <c r="H5626" s="3" t="inlineStr">
        <is>
          <t>자연녹지지역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50820</v>
      </c>
      <c r="C5627" s="4" t="n">
        <v>799</v>
      </c>
      <c r="D5627" s="4" t="n">
        <v>241.6975</v>
      </c>
      <c r="E5627" s="5" t="n">
        <v>210.3</v>
      </c>
      <c r="F5627" s="3" t="inlineStr">
        <is>
          <t>연서면</t>
        </is>
      </c>
      <c r="G5627" s="3" t="inlineStr">
        <is>
          <t>월하리</t>
        </is>
      </c>
      <c r="H5627" s="3" t="inlineStr">
        <is>
          <t>자연녹지지역</t>
        </is>
      </c>
      <c r="I5627" s="3" t="inlineStr">
        <is>
          <t>답</t>
        </is>
      </c>
      <c r="J5627" s="3" t="inlineStr">
        <is>
          <t>연서면</t>
        </is>
      </c>
    </row>
    <row r="5628">
      <c r="A5628" s="3" t="n">
        <v>2022</v>
      </c>
      <c r="B5628" s="4" t="n">
        <v>2080</v>
      </c>
      <c r="C5628" s="4" t="n">
        <v>53</v>
      </c>
      <c r="D5628" s="4" t="n">
        <v>16.0325</v>
      </c>
      <c r="E5628" s="5" t="n">
        <v>129.7</v>
      </c>
      <c r="F5628" s="3" t="inlineStr">
        <is>
          <t>전동면</t>
        </is>
      </c>
      <c r="G5628" s="3" t="inlineStr">
        <is>
          <t>보덕리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전동면</t>
        </is>
      </c>
    </row>
    <row r="5629">
      <c r="A5629" s="3" t="n">
        <v>2024</v>
      </c>
      <c r="B5629" s="4" t="n">
        <v>38634</v>
      </c>
      <c r="C5629" s="4" t="n">
        <v>1094</v>
      </c>
      <c r="D5629" s="4" t="n">
        <v>330.935</v>
      </c>
      <c r="E5629" s="5" t="n">
        <v>116.7</v>
      </c>
      <c r="F5629" s="3" t="inlineStr">
        <is>
          <t>전동면</t>
        </is>
      </c>
      <c r="G5629" s="3" t="inlineStr">
        <is>
          <t>송곡리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전동면</t>
        </is>
      </c>
    </row>
    <row r="5630">
      <c r="A5630" s="3" t="n">
        <v>2025</v>
      </c>
      <c r="B5630" s="4" t="n">
        <v>44000</v>
      </c>
      <c r="C5630" s="4" t="n">
        <v>813</v>
      </c>
      <c r="D5630" s="4" t="n">
        <v>245.9325</v>
      </c>
      <c r="E5630" s="5" t="n">
        <v>178.9</v>
      </c>
      <c r="F5630" s="3" t="inlineStr">
        <is>
          <t>장군면</t>
        </is>
      </c>
      <c r="G5630" s="3" t="inlineStr">
        <is>
          <t>평기리</t>
        </is>
      </c>
      <c r="H5630" s="3" t="inlineStr">
        <is>
          <t>제1종일반주거지역</t>
        </is>
      </c>
      <c r="I5630" s="3" t="inlineStr">
        <is>
          <t>답</t>
        </is>
      </c>
      <c r="J5630" s="3" t="inlineStr">
        <is>
          <t>장군면</t>
        </is>
      </c>
    </row>
    <row r="5631">
      <c r="A5631" s="3" t="n">
        <v>2025</v>
      </c>
      <c r="B5631" s="4" t="n">
        <v>1728</v>
      </c>
      <c r="C5631" s="4" t="n">
        <v>50</v>
      </c>
      <c r="D5631" s="4" t="n">
        <v>15.125</v>
      </c>
      <c r="E5631" s="5" t="n">
        <v>114.2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연서면</t>
        </is>
      </c>
    </row>
    <row r="5632">
      <c r="A5632" s="3" t="n">
        <v>2026</v>
      </c>
      <c r="B5632" s="4" t="n">
        <v>6500</v>
      </c>
      <c r="C5632" s="4" t="n">
        <v>212</v>
      </c>
      <c r="D5632" s="4" t="n">
        <v>64.13</v>
      </c>
      <c r="E5632" s="5" t="n">
        <v>101.4</v>
      </c>
      <c r="F5632" s="3" t="inlineStr">
        <is>
          <t>전의면</t>
        </is>
      </c>
      <c r="G5632" s="3" t="inlineStr">
        <is>
          <t>읍내리</t>
        </is>
      </c>
      <c r="H5632" s="3" t="inlineStr">
        <is>
          <t>자연녹지지역</t>
        </is>
      </c>
      <c r="I5632" s="3" t="inlineStr">
        <is>
          <t>대</t>
        </is>
      </c>
      <c r="J5632" s="3" t="inlineStr">
        <is>
          <t>전의면</t>
        </is>
      </c>
    </row>
    <row r="5633">
      <c r="A5633" s="3" t="n">
        <v>2025</v>
      </c>
      <c r="B5633" s="4" t="n">
        <v>7652</v>
      </c>
      <c r="C5633" s="4" t="n">
        <v>188</v>
      </c>
      <c r="D5633" s="4" t="n">
        <v>56.87</v>
      </c>
      <c r="E5633" s="5" t="n">
        <v>134.6</v>
      </c>
      <c r="F5633" s="3" t="inlineStr">
        <is>
          <t>전의면</t>
        </is>
      </c>
      <c r="G5633" s="3" t="inlineStr">
        <is>
          <t>영당리</t>
        </is>
      </c>
      <c r="H5633" s="3" t="inlineStr">
        <is>
          <t>계획관리지역</t>
        </is>
      </c>
      <c r="I5633" s="3" t="inlineStr">
        <is>
          <t>공장용지</t>
        </is>
      </c>
      <c r="J5633" s="3" t="inlineStr">
        <is>
          <t>전의면</t>
        </is>
      </c>
    </row>
    <row r="5634">
      <c r="A5634" s="3" t="n">
        <v>2025</v>
      </c>
      <c r="B5634" s="4" t="n">
        <v>15000</v>
      </c>
      <c r="C5634" s="4" t="n">
        <v>522</v>
      </c>
      <c r="D5634" s="4" t="n">
        <v>157.905</v>
      </c>
      <c r="E5634" s="5" t="n">
        <v>95</v>
      </c>
      <c r="F5634" s="3" t="inlineStr">
        <is>
          <t>조치원읍</t>
        </is>
      </c>
      <c r="G5634" s="3" t="inlineStr">
        <is>
          <t>봉산리</t>
        </is>
      </c>
      <c r="H5634" s="3" t="inlineStr">
        <is>
          <t>자연녹지지역</t>
        </is>
      </c>
      <c r="I5634" s="3" t="inlineStr">
        <is>
          <t>대</t>
        </is>
      </c>
      <c r="J5634" s="3" t="inlineStr">
        <is>
          <t>조치원읍</t>
        </is>
      </c>
    </row>
    <row r="5635">
      <c r="A5635" s="3" t="n">
        <v>2025</v>
      </c>
      <c r="B5635" s="4" t="n">
        <v>8187</v>
      </c>
      <c r="C5635" s="4" t="n">
        <v>982</v>
      </c>
      <c r="D5635" s="4" t="n">
        <v>297.055</v>
      </c>
      <c r="E5635" s="5" t="n">
        <v>27.6</v>
      </c>
      <c r="F5635" s="3" t="inlineStr">
        <is>
          <t>전의면</t>
        </is>
      </c>
      <c r="G5635" s="3" t="inlineStr">
        <is>
          <t>원성리</t>
        </is>
      </c>
      <c r="H5635" s="3" t="inlineStr">
        <is>
          <t>농림지역</t>
        </is>
      </c>
      <c r="I5635" s="3" t="inlineStr">
        <is>
          <t>답</t>
        </is>
      </c>
      <c r="J5635" s="3" t="inlineStr">
        <is>
          <t>전의면</t>
        </is>
      </c>
    </row>
    <row r="5636">
      <c r="A5636" s="3" t="n">
        <v>2025</v>
      </c>
      <c r="B5636" s="4" t="n">
        <v>9813</v>
      </c>
      <c r="C5636" s="4" t="n">
        <v>1177</v>
      </c>
      <c r="D5636" s="4" t="n">
        <v>356.0425</v>
      </c>
      <c r="E5636" s="5" t="n">
        <v>27.6</v>
      </c>
      <c r="F5636" s="3" t="inlineStr">
        <is>
          <t>전의면</t>
        </is>
      </c>
      <c r="G5636" s="3" t="inlineStr">
        <is>
          <t>원성리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전의면</t>
        </is>
      </c>
    </row>
    <row r="5637">
      <c r="A5637" s="3" t="n">
        <v>2025</v>
      </c>
      <c r="B5637" s="4" t="n">
        <v>29500</v>
      </c>
      <c r="C5637" s="4" t="n">
        <v>912</v>
      </c>
      <c r="D5637" s="4" t="n">
        <v>275.88</v>
      </c>
      <c r="E5637" s="5" t="n">
        <v>106.9</v>
      </c>
      <c r="F5637" s="3" t="inlineStr">
        <is>
          <t>장군면</t>
        </is>
      </c>
      <c r="G5637" s="3" t="inlineStr">
        <is>
          <t>하봉리</t>
        </is>
      </c>
      <c r="H5637" s="3" t="inlineStr">
        <is>
          <t>계획관리지역</t>
        </is>
      </c>
      <c r="I5637" s="3" t="inlineStr">
        <is>
          <t>잡종지</t>
        </is>
      </c>
      <c r="J5637" s="3" t="inlineStr">
        <is>
          <t>장군면</t>
        </is>
      </c>
    </row>
    <row r="5638">
      <c r="A5638" s="3" t="n">
        <v>2025</v>
      </c>
      <c r="B5638" s="4" t="n">
        <v>1500</v>
      </c>
      <c r="C5638" s="4" t="n">
        <v>50</v>
      </c>
      <c r="D5638" s="4" t="n">
        <v>15.125</v>
      </c>
      <c r="E5638" s="5" t="n">
        <v>99.2</v>
      </c>
      <c r="F5638" s="3" t="inlineStr">
        <is>
          <t>연서면</t>
        </is>
      </c>
      <c r="G5638" s="3" t="inlineStr">
        <is>
          <t>청라리</t>
        </is>
      </c>
      <c r="H5638" s="3" t="inlineStr">
        <is>
          <t>계획관리지역</t>
        </is>
      </c>
      <c r="I5638" s="3" t="inlineStr">
        <is>
          <t>대</t>
        </is>
      </c>
      <c r="J5638" s="3" t="inlineStr">
        <is>
          <t>연서면</t>
        </is>
      </c>
    </row>
    <row r="5639">
      <c r="A5639" s="3" t="n">
        <v>2025</v>
      </c>
      <c r="B5639" s="4" t="n">
        <v>53000</v>
      </c>
      <c r="C5639" s="4" t="n">
        <v>3357.6</v>
      </c>
      <c r="D5639" s="4" t="n">
        <v>1015.674</v>
      </c>
      <c r="E5639" s="5" t="n">
        <v>52.2</v>
      </c>
      <c r="F5639" s="3" t="inlineStr">
        <is>
          <t>연동면</t>
        </is>
      </c>
      <c r="G5639" s="3" t="inlineStr">
        <is>
          <t>문주리</t>
        </is>
      </c>
      <c r="H5639" s="3" t="inlineStr">
        <is>
          <t>농림지역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2025</v>
      </c>
      <c r="B5640" s="4" t="n">
        <v>12000</v>
      </c>
      <c r="C5640" s="4" t="n">
        <v>838</v>
      </c>
      <c r="D5640" s="4" t="n">
        <v>253.495</v>
      </c>
      <c r="E5640" s="5" t="n">
        <v>47.3</v>
      </c>
      <c r="F5640" s="3" t="inlineStr">
        <is>
          <t>연서면</t>
        </is>
      </c>
      <c r="G5640" s="3" t="inlineStr">
        <is>
          <t>용암리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2025</v>
      </c>
      <c r="B5641" s="4" t="n">
        <v>20000</v>
      </c>
      <c r="C5641" s="4" t="n">
        <v>645</v>
      </c>
      <c r="D5641" s="4" t="n">
        <v>195.1125</v>
      </c>
      <c r="E5641" s="5" t="n">
        <v>102.5</v>
      </c>
      <c r="F5641" s="3" t="inlineStr">
        <is>
          <t>장군면</t>
        </is>
      </c>
      <c r="G5641" s="3" t="inlineStr">
        <is>
          <t>은용리</t>
        </is>
      </c>
      <c r="H5641" s="3" t="inlineStr">
        <is>
          <t>보전관리지역</t>
        </is>
      </c>
      <c r="I5641" s="3" t="inlineStr">
        <is>
          <t>답</t>
        </is>
      </c>
      <c r="J5641" s="3" t="inlineStr">
        <is>
          <t>장군면</t>
        </is>
      </c>
    </row>
    <row r="5642">
      <c r="A5642" s="3" t="n">
        <v>2025</v>
      </c>
      <c r="B5642" s="4" t="n">
        <v>725</v>
      </c>
      <c r="C5642" s="4" t="n">
        <v>7</v>
      </c>
      <c r="D5642" s="4" t="n">
        <v>2.1175</v>
      </c>
      <c r="E5642" s="5" t="n">
        <v>342.4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도로</t>
        </is>
      </c>
      <c r="J5642" s="3" t="inlineStr">
        <is>
          <t>조치원읍</t>
        </is>
      </c>
    </row>
    <row r="5643">
      <c r="A5643" s="3" t="n">
        <v>2026</v>
      </c>
      <c r="B5643" s="4" t="n">
        <v>42621</v>
      </c>
      <c r="C5643" s="4" t="n">
        <v>450</v>
      </c>
      <c r="D5643" s="4" t="n">
        <v>136.125</v>
      </c>
      <c r="E5643" s="5" t="n">
        <v>313.1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2026</v>
      </c>
      <c r="B5644" s="4" t="n">
        <v>42629</v>
      </c>
      <c r="C5644" s="4" t="n">
        <v>450</v>
      </c>
      <c r="D5644" s="4" t="n">
        <v>136.125</v>
      </c>
      <c r="E5644" s="5" t="n">
        <v>313.2</v>
      </c>
      <c r="F5644" s="3" t="inlineStr">
        <is>
          <t>장군면</t>
        </is>
      </c>
      <c r="G5644" s="3" t="inlineStr">
        <is>
          <t>대교리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2026</v>
      </c>
      <c r="B5645" s="4" t="n">
        <v>45930</v>
      </c>
      <c r="C5645" s="4" t="n">
        <v>450</v>
      </c>
      <c r="D5645" s="4" t="n">
        <v>136.125</v>
      </c>
      <c r="E5645" s="5" t="n">
        <v>337.4</v>
      </c>
      <c r="F5645" s="3" t="inlineStr">
        <is>
          <t>장군면</t>
        </is>
      </c>
      <c r="G5645" s="3" t="inlineStr">
        <is>
          <t>대교리</t>
        </is>
      </c>
      <c r="H5645" s="3" t="inlineStr">
        <is>
          <t>보전관리지역</t>
        </is>
      </c>
      <c r="I5645" s="3" t="inlineStr">
        <is>
          <t>대</t>
        </is>
      </c>
      <c r="J5645" s="3" t="inlineStr">
        <is>
          <t>장군면</t>
        </is>
      </c>
    </row>
    <row r="5646">
      <c r="A5646" s="3" t="n">
        <v>2026</v>
      </c>
      <c r="B5646" s="4" t="n">
        <v>36935</v>
      </c>
      <c r="C5646" s="4" t="n">
        <v>450</v>
      </c>
      <c r="D5646" s="4" t="n">
        <v>136.125</v>
      </c>
      <c r="E5646" s="5" t="n">
        <v>271.3</v>
      </c>
      <c r="F5646" s="3" t="inlineStr">
        <is>
          <t>장군면</t>
        </is>
      </c>
      <c r="G5646" s="3" t="inlineStr">
        <is>
          <t>대교리</t>
        </is>
      </c>
      <c r="H5646" s="3" t="inlineStr">
        <is>
          <t>보전관리지역</t>
        </is>
      </c>
      <c r="I5646" s="3" t="inlineStr">
        <is>
          <t>대</t>
        </is>
      </c>
      <c r="J5646" s="3" t="inlineStr">
        <is>
          <t>장군면</t>
        </is>
      </c>
    </row>
    <row r="5647">
      <c r="A5647" s="3" t="n">
        <v>2026</v>
      </c>
      <c r="B5647" s="4" t="n">
        <v>253799</v>
      </c>
      <c r="C5647" s="4" t="n">
        <v>5005.3</v>
      </c>
      <c r="D5647" s="4" t="n">
        <v>1514.10325</v>
      </c>
      <c r="E5647" s="5" t="n">
        <v>167.6</v>
      </c>
      <c r="F5647" s="3" t="inlineStr">
        <is>
          <t>전동면</t>
        </is>
      </c>
      <c r="G5647" s="3" t="inlineStr">
        <is>
          <t>심중리</t>
        </is>
      </c>
      <c r="H5647" s="3" t="inlineStr">
        <is>
          <t>일반공업지역</t>
        </is>
      </c>
      <c r="I5647" s="3" t="inlineStr">
        <is>
          <t>공장용지</t>
        </is>
      </c>
      <c r="J5647" s="3" t="inlineStr">
        <is>
          <t>전동면</t>
        </is>
      </c>
    </row>
    <row r="5648">
      <c r="A5648" s="3" t="n">
        <v>2026</v>
      </c>
      <c r="B5648" s="4" t="n">
        <v>9000</v>
      </c>
      <c r="C5648" s="4" t="n">
        <v>804.8</v>
      </c>
      <c r="D5648" s="4" t="n">
        <v>243.452</v>
      </c>
      <c r="E5648" s="5" t="n">
        <v>37</v>
      </c>
      <c r="F5648" s="3" t="inlineStr">
        <is>
          <t>연동면</t>
        </is>
      </c>
      <c r="G5648" s="3" t="inlineStr">
        <is>
          <t>예양리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연동면</t>
        </is>
      </c>
    </row>
    <row r="5649">
      <c r="A5649" s="3" t="n">
        <v>2026</v>
      </c>
      <c r="B5649" s="4" t="n">
        <v>6230</v>
      </c>
      <c r="C5649" s="4" t="n">
        <v>294</v>
      </c>
      <c r="D5649" s="4" t="n">
        <v>88.935</v>
      </c>
      <c r="E5649" s="5" t="n">
        <v>70.09999999999999</v>
      </c>
      <c r="F5649" s="3" t="inlineStr">
        <is>
          <t>전동면</t>
        </is>
      </c>
      <c r="G5649" s="3" t="inlineStr">
        <is>
          <t>봉대리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전동면</t>
        </is>
      </c>
    </row>
    <row r="5650">
      <c r="A5650" s="3" t="n">
        <v>2026</v>
      </c>
      <c r="B5650" s="4" t="n">
        <v>25000</v>
      </c>
      <c r="C5650" s="4" t="n">
        <v>827</v>
      </c>
      <c r="D5650" s="4" t="n">
        <v>250.1675</v>
      </c>
      <c r="E5650" s="5" t="n">
        <v>99.90000000000001</v>
      </c>
      <c r="F5650" s="3" t="inlineStr">
        <is>
          <t>장군면</t>
        </is>
      </c>
      <c r="G5650" s="3" t="inlineStr">
        <is>
          <t>금암리</t>
        </is>
      </c>
      <c r="H5650" s="3" t="inlineStr">
        <is>
          <t>보전관리지역</t>
        </is>
      </c>
      <c r="I5650" s="3" t="inlineStr">
        <is>
          <t>임야</t>
        </is>
      </c>
      <c r="J5650" s="3" t="inlineStr">
        <is>
          <t>장군면</t>
        </is>
      </c>
    </row>
    <row r="5651">
      <c r="A5651" s="3" t="n">
        <v>2026</v>
      </c>
      <c r="B5651" s="4" t="n">
        <v>7000</v>
      </c>
      <c r="C5651" s="4" t="n">
        <v>535</v>
      </c>
      <c r="D5651" s="4" t="n">
        <v>161.8375</v>
      </c>
      <c r="E5651" s="5" t="n">
        <v>43.3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보전녹지지역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2026</v>
      </c>
      <c r="B5652" s="4" t="n">
        <v>2000</v>
      </c>
      <c r="C5652" s="4" t="n">
        <v>288</v>
      </c>
      <c r="D5652" s="4" t="n">
        <v>87.12</v>
      </c>
      <c r="E5652" s="5" t="n">
        <v>23</v>
      </c>
      <c r="F5652" s="3" t="inlineStr">
        <is>
          <t>조치원읍</t>
        </is>
      </c>
      <c r="G5652" s="3" t="inlineStr">
        <is>
          <t>죽림리</t>
        </is>
      </c>
      <c r="H5652" s="3" t="inlineStr">
        <is>
          <t>제2종일반주거지역</t>
        </is>
      </c>
      <c r="I5652" s="3" t="inlineStr">
        <is>
          <t>답</t>
        </is>
      </c>
      <c r="J5652" s="3" t="inlineStr">
        <is>
          <t>조치원읍</t>
        </is>
      </c>
    </row>
    <row r="5653">
      <c r="A5653" s="3" t="n">
        <v>2026</v>
      </c>
      <c r="B5653" s="4" t="n">
        <v>500</v>
      </c>
      <c r="C5653" s="4" t="n">
        <v>23</v>
      </c>
      <c r="D5653" s="4" t="n">
        <v>6.9575</v>
      </c>
      <c r="E5653" s="5" t="n">
        <v>71.90000000000001</v>
      </c>
      <c r="F5653" s="3" t="inlineStr">
        <is>
          <t>전의면</t>
        </is>
      </c>
      <c r="G5653" s="3" t="inlineStr">
        <is>
          <t>읍내리</t>
        </is>
      </c>
      <c r="H5653" s="3" t="inlineStr">
        <is>
          <t>제1종일반주거지역</t>
        </is>
      </c>
      <c r="I5653" s="3" t="inlineStr">
        <is>
          <t>임야</t>
        </is>
      </c>
      <c r="J5653" s="3" t="inlineStr">
        <is>
          <t>전의면</t>
        </is>
      </c>
    </row>
    <row r="5654">
      <c r="A5654" s="3" t="n">
        <v>2026</v>
      </c>
      <c r="B5654" s="4" t="n">
        <v>8850</v>
      </c>
      <c r="C5654" s="4" t="n">
        <v>489</v>
      </c>
      <c r="D5654" s="4" t="n">
        <v>147.9225</v>
      </c>
      <c r="E5654" s="5" t="n">
        <v>59.8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2026</v>
      </c>
      <c r="B5655" s="4" t="n">
        <v>9500</v>
      </c>
      <c r="C5655" s="4" t="n">
        <v>169</v>
      </c>
      <c r="D5655" s="4" t="n">
        <v>51.1225</v>
      </c>
      <c r="E5655" s="5" t="n">
        <v>185.8</v>
      </c>
      <c r="F5655" s="3" t="inlineStr">
        <is>
          <t>연동면</t>
        </is>
      </c>
      <c r="G5655" s="3" t="inlineStr">
        <is>
          <t>내판리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2026</v>
      </c>
      <c r="B5656" s="4" t="n">
        <v>67000</v>
      </c>
      <c r="C5656" s="4" t="n">
        <v>316.4</v>
      </c>
      <c r="D5656" s="4" t="n">
        <v>95.71099999999998</v>
      </c>
      <c r="E5656" s="5" t="n">
        <v>700</v>
      </c>
      <c r="F5656" s="3" t="inlineStr">
        <is>
          <t>도담동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도담동</t>
        </is>
      </c>
    </row>
    <row r="5657">
      <c r="A5657" s="3" t="n">
        <v>2026</v>
      </c>
      <c r="B5657" s="4" t="n">
        <v>87000</v>
      </c>
      <c r="C5657" s="4" t="n">
        <v>2345</v>
      </c>
      <c r="D5657" s="4" t="n">
        <v>709.3625</v>
      </c>
      <c r="E5657" s="5" t="n">
        <v>122.6</v>
      </c>
      <c r="F5657" s="3" t="inlineStr">
        <is>
          <t>장군면</t>
        </is>
      </c>
      <c r="G5657" s="3" t="inlineStr">
        <is>
          <t>대교리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장군면</t>
        </is>
      </c>
    </row>
    <row r="5658">
      <c r="A5658" s="3" t="n">
        <v>2026</v>
      </c>
      <c r="B5658" s="4" t="n">
        <v>30000</v>
      </c>
      <c r="C5658" s="4" t="n">
        <v>288</v>
      </c>
      <c r="D5658" s="4" t="n">
        <v>87.12</v>
      </c>
      <c r="E5658" s="5" t="n">
        <v>344.4</v>
      </c>
      <c r="F5658" s="3" t="inlineStr">
        <is>
          <t>조치원읍</t>
        </is>
      </c>
      <c r="G5658" s="3" t="inlineStr">
        <is>
          <t>죽림리</t>
        </is>
      </c>
      <c r="H5658" s="3" t="inlineStr">
        <is>
          <t>제2종일반주거지역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2026</v>
      </c>
      <c r="B5659" s="4" t="n">
        <v>30000</v>
      </c>
      <c r="C5659" s="4" t="n">
        <v>288</v>
      </c>
      <c r="D5659" s="4" t="n">
        <v>87.12</v>
      </c>
      <c r="E5659" s="5" t="n">
        <v>344.4</v>
      </c>
      <c r="F5659" s="3" t="inlineStr">
        <is>
          <t>조치원읍</t>
        </is>
      </c>
      <c r="G5659" s="3" t="inlineStr">
        <is>
          <t>죽림리</t>
        </is>
      </c>
      <c r="H5659" s="3" t="inlineStr">
        <is>
          <t>제2종일반주거지역</t>
        </is>
      </c>
      <c r="I5659" s="3" t="inlineStr">
        <is>
          <t>답</t>
        </is>
      </c>
      <c r="J5659" s="3" t="inlineStr">
        <is>
          <t>조치원읍</t>
        </is>
      </c>
    </row>
    <row r="5660">
      <c r="A5660" s="3" t="n">
        <v>2026</v>
      </c>
      <c r="B5660" s="4" t="n">
        <v>8830</v>
      </c>
      <c r="C5660" s="4" t="n">
        <v>5780</v>
      </c>
      <c r="D5660" s="4" t="n">
        <v>1748.45</v>
      </c>
      <c r="E5660" s="5" t="n">
        <v>5.1</v>
      </c>
      <c r="F5660" s="3" t="inlineStr">
        <is>
          <t>전의면</t>
        </is>
      </c>
      <c r="G5660" s="3" t="inlineStr">
        <is>
          <t>다방리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전의면</t>
        </is>
      </c>
    </row>
    <row r="5661">
      <c r="A5661" s="3" t="n">
        <v>2026</v>
      </c>
      <c r="B5661" s="4" t="n">
        <v>9007</v>
      </c>
      <c r="C5661" s="4" t="n">
        <v>5700</v>
      </c>
      <c r="D5661" s="4" t="n">
        <v>1724.25</v>
      </c>
      <c r="E5661" s="5" t="n">
        <v>5.2</v>
      </c>
      <c r="F5661" s="3" t="inlineStr">
        <is>
          <t>전의면</t>
        </is>
      </c>
      <c r="G5661" s="3" t="inlineStr">
        <is>
          <t>다방리</t>
        </is>
      </c>
      <c r="H5661" s="3" t="inlineStr">
        <is>
          <t>농림지역</t>
        </is>
      </c>
      <c r="I5661" s="3" t="inlineStr">
        <is>
          <t>임야</t>
        </is>
      </c>
      <c r="J5661" s="3" t="inlineStr">
        <is>
          <t>전의면</t>
        </is>
      </c>
    </row>
    <row r="5662">
      <c r="A5662" s="3" t="n">
        <v>2026</v>
      </c>
      <c r="B5662" s="4" t="n">
        <v>6163</v>
      </c>
      <c r="C5662" s="4" t="n">
        <v>3920</v>
      </c>
      <c r="D5662" s="4" t="n">
        <v>1185.8</v>
      </c>
      <c r="E5662" s="5" t="n">
        <v>5.2</v>
      </c>
      <c r="F5662" s="3" t="inlineStr">
        <is>
          <t>전의면</t>
        </is>
      </c>
      <c r="G5662" s="3" t="inlineStr">
        <is>
          <t>다방리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전의면</t>
        </is>
      </c>
    </row>
    <row r="5663">
      <c r="A5663" s="3" t="n">
        <v>2026</v>
      </c>
      <c r="B5663" s="4" t="n">
        <v>63000</v>
      </c>
      <c r="C5663" s="4" t="n">
        <v>2003</v>
      </c>
      <c r="D5663" s="4" t="n">
        <v>605.9075</v>
      </c>
      <c r="E5663" s="5" t="n">
        <v>104</v>
      </c>
      <c r="F5663" s="3" t="inlineStr">
        <is>
          <t>전의면</t>
        </is>
      </c>
      <c r="G5663" s="3" t="inlineStr">
        <is>
          <t>읍내리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전의면</t>
        </is>
      </c>
    </row>
    <row r="5664">
      <c r="A5664" s="3" t="n">
        <v>2026</v>
      </c>
      <c r="B5664" s="4" t="n">
        <v>27465</v>
      </c>
      <c r="C5664" s="4" t="n">
        <v>1507</v>
      </c>
      <c r="D5664" s="4" t="n">
        <v>455.8675</v>
      </c>
      <c r="E5664" s="5" t="n">
        <v>60.2</v>
      </c>
      <c r="F5664" s="3" t="inlineStr">
        <is>
          <t>전의면</t>
        </is>
      </c>
      <c r="G5664" s="3" t="inlineStr">
        <is>
          <t>유천리</t>
        </is>
      </c>
      <c r="H5664" s="3" t="inlineStr">
        <is>
          <t>보전관리지역</t>
        </is>
      </c>
      <c r="I5664" s="3" t="inlineStr">
        <is>
          <t>답</t>
        </is>
      </c>
      <c r="J5664" s="3" t="inlineStr">
        <is>
          <t>전의면</t>
        </is>
      </c>
    </row>
    <row r="5665">
      <c r="A5665" s="3" t="n">
        <v>2026</v>
      </c>
      <c r="B5665" s="4" t="n">
        <v>10481</v>
      </c>
      <c r="C5665" s="4" t="n">
        <v>575</v>
      </c>
      <c r="D5665" s="4" t="n">
        <v>173.9375</v>
      </c>
      <c r="E5665" s="5" t="n">
        <v>60.3</v>
      </c>
      <c r="F5665" s="3" t="inlineStr">
        <is>
          <t>전의면</t>
        </is>
      </c>
      <c r="G5665" s="3" t="inlineStr">
        <is>
          <t>유천리</t>
        </is>
      </c>
      <c r="H5665" s="3" t="inlineStr">
        <is>
          <t>보전관리지역</t>
        </is>
      </c>
      <c r="I5665" s="3" t="inlineStr">
        <is>
          <t>답</t>
        </is>
      </c>
      <c r="J5665" s="3" t="inlineStr">
        <is>
          <t>전의면</t>
        </is>
      </c>
    </row>
    <row r="5666">
      <c r="A5666" s="3" t="n">
        <v>2026</v>
      </c>
      <c r="B5666" s="4" t="n">
        <v>21570</v>
      </c>
      <c r="C5666" s="4" t="n">
        <v>1184</v>
      </c>
      <c r="D5666" s="4" t="n">
        <v>358.16</v>
      </c>
      <c r="E5666" s="5" t="n">
        <v>60.2</v>
      </c>
      <c r="F5666" s="3" t="inlineStr">
        <is>
          <t>전의면</t>
        </is>
      </c>
      <c r="G5666" s="3" t="inlineStr">
        <is>
          <t>유천리</t>
        </is>
      </c>
      <c r="H5666" s="3" t="inlineStr">
        <is>
          <t>계획관리지역</t>
        </is>
      </c>
      <c r="I5666" s="3" t="inlineStr">
        <is>
          <t>전</t>
        </is>
      </c>
      <c r="J5666" s="3" t="inlineStr">
        <is>
          <t>전의면</t>
        </is>
      </c>
    </row>
    <row r="5667">
      <c r="A5667" s="3" t="n">
        <v>2026</v>
      </c>
      <c r="B5667" s="4" t="n">
        <v>20485</v>
      </c>
      <c r="C5667" s="4" t="n">
        <v>1124</v>
      </c>
      <c r="D5667" s="4" t="n">
        <v>340.01</v>
      </c>
      <c r="E5667" s="5" t="n">
        <v>60.2</v>
      </c>
      <c r="F5667" s="3" t="inlineStr">
        <is>
          <t>전의면</t>
        </is>
      </c>
      <c r="G5667" s="3" t="inlineStr">
        <is>
          <t>유천리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1846</v>
      </c>
      <c r="C5668" s="4" t="n">
        <v>231</v>
      </c>
      <c r="D5668" s="4" t="n">
        <v>69.8775</v>
      </c>
      <c r="E5668" s="5" t="n">
        <v>26.4</v>
      </c>
      <c r="F5668" s="3" t="inlineStr">
        <is>
          <t>전동면</t>
        </is>
      </c>
      <c r="G5668" s="3" t="inlineStr">
        <is>
          <t>봉대리</t>
        </is>
      </c>
      <c r="H5668" s="3" t="inlineStr">
        <is>
          <t>생산관리지역</t>
        </is>
      </c>
      <c r="I5668" s="3" t="inlineStr">
        <is>
          <t>과수원</t>
        </is>
      </c>
      <c r="J5668" s="3" t="inlineStr">
        <is>
          <t>전동면</t>
        </is>
      </c>
    </row>
    <row r="5669">
      <c r="A5669" s="3" t="n">
        <v>2026</v>
      </c>
      <c r="B5669" s="4" t="n">
        <v>288</v>
      </c>
      <c r="C5669" s="4" t="n">
        <v>36</v>
      </c>
      <c r="D5669" s="4" t="n">
        <v>10.89</v>
      </c>
      <c r="E5669" s="5" t="n">
        <v>26.4</v>
      </c>
      <c r="F5669" s="3" t="inlineStr">
        <is>
          <t>전동면</t>
        </is>
      </c>
      <c r="G5669" s="3" t="inlineStr">
        <is>
          <t>봉대리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전동면</t>
        </is>
      </c>
    </row>
    <row r="5670">
      <c r="A5670" s="3" t="n">
        <v>2026</v>
      </c>
      <c r="B5670" s="4" t="n">
        <v>2693</v>
      </c>
      <c r="C5670" s="4" t="n">
        <v>337</v>
      </c>
      <c r="D5670" s="4" t="n">
        <v>101.9425</v>
      </c>
      <c r="E5670" s="5" t="n">
        <v>26.4</v>
      </c>
      <c r="F5670" s="3" t="inlineStr">
        <is>
          <t>전동면</t>
        </is>
      </c>
      <c r="G5670" s="3" t="inlineStr">
        <is>
          <t>봉대리</t>
        </is>
      </c>
      <c r="H5670" s="3" t="inlineStr">
        <is>
          <t>생산관리지역</t>
        </is>
      </c>
      <c r="I5670" s="3" t="inlineStr">
        <is>
          <t>과수원</t>
        </is>
      </c>
      <c r="J5670" s="3" t="inlineStr">
        <is>
          <t>전동면</t>
        </is>
      </c>
    </row>
    <row r="5671">
      <c r="A5671" s="3" t="n">
        <v>2026</v>
      </c>
      <c r="B5671" s="4" t="n">
        <v>14630</v>
      </c>
      <c r="C5671" s="4" t="n">
        <v>1831</v>
      </c>
      <c r="D5671" s="4" t="n">
        <v>553.8774999999999</v>
      </c>
      <c r="E5671" s="5" t="n">
        <v>26.4</v>
      </c>
      <c r="F5671" s="3" t="inlineStr">
        <is>
          <t>전동면</t>
        </is>
      </c>
      <c r="G5671" s="3" t="inlineStr">
        <is>
          <t>봉대리</t>
        </is>
      </c>
      <c r="H5671" s="3" t="inlineStr">
        <is>
          <t>생산관리지역</t>
        </is>
      </c>
      <c r="I5671" s="3" t="inlineStr">
        <is>
          <t>과수원</t>
        </is>
      </c>
      <c r="J5671" s="3" t="inlineStr">
        <is>
          <t>전동면</t>
        </is>
      </c>
    </row>
    <row r="5672">
      <c r="A5672" s="3" t="n">
        <v>2026</v>
      </c>
      <c r="B5672" s="4" t="n">
        <v>2517</v>
      </c>
      <c r="C5672" s="4" t="n">
        <v>315</v>
      </c>
      <c r="D5672" s="4" t="n">
        <v>95.28749999999999</v>
      </c>
      <c r="E5672" s="5" t="n">
        <v>26.4</v>
      </c>
      <c r="F5672" s="3" t="inlineStr">
        <is>
          <t>전동면</t>
        </is>
      </c>
      <c r="G5672" s="3" t="inlineStr">
        <is>
          <t>봉대리</t>
        </is>
      </c>
      <c r="H5672" s="3" t="inlineStr">
        <is>
          <t>생산관리지역</t>
        </is>
      </c>
      <c r="I5672" s="3" t="inlineStr">
        <is>
          <t>과수원</t>
        </is>
      </c>
      <c r="J5672" s="3" t="inlineStr">
        <is>
          <t>전동면</t>
        </is>
      </c>
    </row>
    <row r="5673">
      <c r="A5673" s="3" t="n">
        <v>2026</v>
      </c>
      <c r="B5673" s="4" t="n">
        <v>40000</v>
      </c>
      <c r="C5673" s="4" t="n">
        <v>727</v>
      </c>
      <c r="D5673" s="4" t="n">
        <v>219.9175</v>
      </c>
      <c r="E5673" s="5" t="n">
        <v>181.9</v>
      </c>
      <c r="F5673" s="3" t="inlineStr">
        <is>
          <t>전의면</t>
        </is>
      </c>
      <c r="G5673" s="3" t="inlineStr">
        <is>
          <t>유천리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전의면</t>
        </is>
      </c>
    </row>
    <row r="5674">
      <c r="A5674" s="3" t="n">
        <v>2026</v>
      </c>
      <c r="B5674" s="4" t="n">
        <v>32000</v>
      </c>
      <c r="C5674" s="4" t="n">
        <v>448</v>
      </c>
      <c r="D5674" s="4" t="n">
        <v>135.52</v>
      </c>
      <c r="E5674" s="5" t="n">
        <v>236.1</v>
      </c>
      <c r="F5674" s="3" t="inlineStr">
        <is>
          <t>금남면</t>
        </is>
      </c>
      <c r="G5674" s="3" t="inlineStr">
        <is>
          <t>국곡리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금남면</t>
        </is>
      </c>
    </row>
    <row r="5675">
      <c r="A5675" s="3" t="n">
        <v>2024</v>
      </c>
      <c r="B5675" s="4" t="n">
        <v>810</v>
      </c>
      <c r="C5675" s="4" t="n">
        <v>51</v>
      </c>
      <c r="D5675" s="4" t="n">
        <v>15.4275</v>
      </c>
      <c r="E5675" s="5" t="n">
        <v>52.5</v>
      </c>
      <c r="F5675" s="3" t="inlineStr">
        <is>
          <t>조치원읍</t>
        </is>
      </c>
      <c r="G5675" s="3" t="inlineStr">
        <is>
          <t>서창리</t>
        </is>
      </c>
      <c r="H5675" s="3" t="inlineStr">
        <is>
          <t>제1종일반주거지역</t>
        </is>
      </c>
      <c r="I5675" s="3" t="inlineStr">
        <is>
          <t>도로</t>
        </is>
      </c>
      <c r="J5675" s="3" t="inlineStr">
        <is>
          <t>조치원읍</t>
        </is>
      </c>
    </row>
    <row r="5676">
      <c r="A5676" s="3" t="n">
        <v>2024</v>
      </c>
      <c r="B5676" s="4" t="n">
        <v>490</v>
      </c>
      <c r="C5676" s="4" t="n">
        <v>31</v>
      </c>
      <c r="D5676" s="4" t="n">
        <v>9.3775</v>
      </c>
      <c r="E5676" s="5" t="n">
        <v>52.3</v>
      </c>
      <c r="F5676" s="3" t="inlineStr">
        <is>
          <t>조치원읍</t>
        </is>
      </c>
      <c r="G5676" s="3" t="inlineStr">
        <is>
          <t>서창리</t>
        </is>
      </c>
      <c r="H5676" s="3" t="inlineStr">
        <is>
          <t>제1종일반주거지역</t>
        </is>
      </c>
      <c r="I5676" s="3" t="inlineStr">
        <is>
          <t>전</t>
        </is>
      </c>
      <c r="J5676" s="3" t="inlineStr">
        <is>
          <t>조치원읍</t>
        </is>
      </c>
    </row>
    <row r="5677">
      <c r="A5677" s="3" t="n">
        <v>2024</v>
      </c>
      <c r="B5677" s="4" t="n">
        <v>43000</v>
      </c>
      <c r="C5677" s="4" t="n">
        <v>33553</v>
      </c>
      <c r="D5677" s="4" t="n">
        <v>10149.7825</v>
      </c>
      <c r="E5677" s="5" t="n">
        <v>4.2</v>
      </c>
      <c r="F5677" s="3" t="inlineStr">
        <is>
          <t>전의면</t>
        </is>
      </c>
      <c r="G5677" s="3" t="inlineStr">
        <is>
          <t>다방리</t>
        </is>
      </c>
      <c r="H5677" s="3" t="inlineStr">
        <is>
          <t>생산관리지역</t>
        </is>
      </c>
      <c r="I5677" s="3" t="inlineStr">
        <is>
          <t>임야</t>
        </is>
      </c>
      <c r="J5677" s="3" t="inlineStr">
        <is>
          <t>전의면</t>
        </is>
      </c>
    </row>
    <row r="5678">
      <c r="A5678" s="3" t="n">
        <v>2024</v>
      </c>
      <c r="B5678" s="4" t="n">
        <v>6400</v>
      </c>
      <c r="C5678" s="4" t="n">
        <v>265</v>
      </c>
      <c r="D5678" s="4" t="n">
        <v>80.16249999999999</v>
      </c>
      <c r="E5678" s="5" t="n">
        <v>79.8</v>
      </c>
      <c r="F5678" s="3" t="inlineStr">
        <is>
          <t>소정면</t>
        </is>
      </c>
      <c r="G5678" s="3" t="inlineStr">
        <is>
          <t>대곡리</t>
        </is>
      </c>
      <c r="H5678" s="3" t="inlineStr">
        <is>
          <t>계획관리지역</t>
        </is>
      </c>
      <c r="I5678" s="3" t="inlineStr">
        <is>
          <t>대</t>
        </is>
      </c>
      <c r="J5678" s="3" t="inlineStr">
        <is>
          <t>소정면</t>
        </is>
      </c>
    </row>
    <row r="5679">
      <c r="A5679" s="3" t="n">
        <v>2024</v>
      </c>
      <c r="B5679" s="4" t="n">
        <v>9025</v>
      </c>
      <c r="C5679" s="4" t="n">
        <v>199</v>
      </c>
      <c r="D5679" s="4" t="n">
        <v>60.1975</v>
      </c>
      <c r="E5679" s="5" t="n">
        <v>149.9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2024</v>
      </c>
      <c r="B5680" s="4" t="n">
        <v>5000</v>
      </c>
      <c r="C5680" s="4" t="n">
        <v>210</v>
      </c>
      <c r="D5680" s="4" t="n">
        <v>63.525</v>
      </c>
      <c r="E5680" s="5" t="n">
        <v>78.7</v>
      </c>
      <c r="F5680" s="3" t="inlineStr">
        <is>
          <t>소정면</t>
        </is>
      </c>
      <c r="G5680" s="3" t="inlineStr">
        <is>
          <t>대곡리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소정면</t>
        </is>
      </c>
    </row>
    <row r="5681">
      <c r="A5681" s="3" t="n">
        <v>2024</v>
      </c>
      <c r="B5681" s="4" t="n">
        <v>18000</v>
      </c>
      <c r="C5681" s="4" t="n">
        <v>3967</v>
      </c>
      <c r="D5681" s="4" t="n">
        <v>1200.0175</v>
      </c>
      <c r="E5681" s="5" t="n">
        <v>15</v>
      </c>
      <c r="F5681" s="3" t="inlineStr">
        <is>
          <t>전의면</t>
        </is>
      </c>
      <c r="G5681" s="3" t="inlineStr">
        <is>
          <t>신방리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전의면</t>
        </is>
      </c>
    </row>
    <row r="5682">
      <c r="A5682" s="3" t="n">
        <v>2024</v>
      </c>
      <c r="B5682" s="4" t="n">
        <v>60000</v>
      </c>
      <c r="C5682" s="4" t="n">
        <v>1653</v>
      </c>
      <c r="D5682" s="4" t="n">
        <v>500.0325</v>
      </c>
      <c r="E5682" s="5" t="n">
        <v>120</v>
      </c>
      <c r="F5682" s="3" t="inlineStr">
        <is>
          <t>연기면</t>
        </is>
      </c>
      <c r="G5682" s="3" t="inlineStr">
        <is>
          <t>연기리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연기면</t>
        </is>
      </c>
    </row>
    <row r="5683">
      <c r="A5683" s="3" t="n">
        <v>2024</v>
      </c>
      <c r="B5683" s="4" t="n">
        <v>90000</v>
      </c>
      <c r="C5683" s="4" t="n">
        <v>1650</v>
      </c>
      <c r="D5683" s="4" t="n">
        <v>499.125</v>
      </c>
      <c r="E5683" s="5" t="n">
        <v>180.3</v>
      </c>
      <c r="F5683" s="3" t="inlineStr">
        <is>
          <t>연기면</t>
        </is>
      </c>
      <c r="G5683" s="3" t="inlineStr">
        <is>
          <t>연기리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연기면</t>
        </is>
      </c>
    </row>
    <row r="5684">
      <c r="A5684" s="3" t="n">
        <v>2024</v>
      </c>
      <c r="B5684" s="4" t="n">
        <v>220000</v>
      </c>
      <c r="C5684" s="4" t="n">
        <v>5440</v>
      </c>
      <c r="D5684" s="4" t="n">
        <v>1645.6</v>
      </c>
      <c r="E5684" s="5" t="n">
        <v>133.7</v>
      </c>
      <c r="F5684" s="3" t="inlineStr">
        <is>
          <t>연기면</t>
        </is>
      </c>
      <c r="G5684" s="3" t="inlineStr">
        <is>
          <t>연기리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연기면</t>
        </is>
      </c>
    </row>
    <row r="5685">
      <c r="A5685" s="3" t="n">
        <v>2024</v>
      </c>
      <c r="B5685" s="4" t="n">
        <v>5440</v>
      </c>
      <c r="C5685" s="4" t="n">
        <v>450</v>
      </c>
      <c r="D5685" s="4" t="n">
        <v>136.125</v>
      </c>
      <c r="E5685" s="5" t="n">
        <v>40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2024</v>
      </c>
      <c r="B5686" s="4" t="n">
        <v>1735</v>
      </c>
      <c r="C5686" s="4" t="n">
        <v>18</v>
      </c>
      <c r="D5686" s="4" t="n">
        <v>5.445</v>
      </c>
      <c r="E5686" s="5" t="n">
        <v>318.6</v>
      </c>
      <c r="F5686" s="3" t="inlineStr">
        <is>
          <t>장군면</t>
        </is>
      </c>
      <c r="G5686" s="3" t="inlineStr">
        <is>
          <t>금암리</t>
        </is>
      </c>
      <c r="H5686" s="3" t="inlineStr">
        <is>
          <t>생산관리지역</t>
        </is>
      </c>
      <c r="I5686" s="3" t="inlineStr">
        <is>
          <t>대</t>
        </is>
      </c>
      <c r="J5686" s="3" t="inlineStr">
        <is>
          <t>장군면</t>
        </is>
      </c>
    </row>
    <row r="5687">
      <c r="A5687" s="3" t="n">
        <v>2025</v>
      </c>
      <c r="B5687" s="4" t="n">
        <v>113500</v>
      </c>
      <c r="C5687" s="4" t="n">
        <v>1501</v>
      </c>
      <c r="D5687" s="4" t="n">
        <v>454.0525</v>
      </c>
      <c r="E5687" s="5" t="n">
        <v>250</v>
      </c>
      <c r="F5687" s="3" t="inlineStr">
        <is>
          <t>장군면</t>
        </is>
      </c>
      <c r="G5687" s="3" t="inlineStr">
        <is>
          <t>은용리</t>
        </is>
      </c>
      <c r="H5687" s="3" t="inlineStr">
        <is>
          <t>제1종일반주거지역</t>
        </is>
      </c>
      <c r="I5687" s="3" t="inlineStr">
        <is>
          <t>전</t>
        </is>
      </c>
      <c r="J5687" s="3" t="inlineStr">
        <is>
          <t>장군면</t>
        </is>
      </c>
    </row>
    <row r="5688">
      <c r="A5688" s="3" t="n">
        <v>2025</v>
      </c>
      <c r="B5688" s="4" t="n">
        <v>22000</v>
      </c>
      <c r="C5688" s="4" t="n">
        <v>330</v>
      </c>
      <c r="D5688" s="4" t="n">
        <v>99.825</v>
      </c>
      <c r="E5688" s="5" t="n">
        <v>220.4</v>
      </c>
      <c r="F5688" s="3" t="inlineStr">
        <is>
          <t>장군면</t>
        </is>
      </c>
      <c r="G5688" s="3" t="inlineStr">
        <is>
          <t>하봉리</t>
        </is>
      </c>
      <c r="H5688" s="3" t="inlineStr">
        <is>
          <t>계획관리지역</t>
        </is>
      </c>
      <c r="I5688" s="3" t="inlineStr">
        <is>
          <t>임야</t>
        </is>
      </c>
      <c r="J5688" s="3" t="inlineStr">
        <is>
          <t>장군면</t>
        </is>
      </c>
    </row>
    <row r="5689">
      <c r="A5689" s="3" t="n">
        <v>2025</v>
      </c>
      <c r="B5689" s="4" t="n">
        <v>3400</v>
      </c>
      <c r="C5689" s="4" t="n">
        <v>700</v>
      </c>
      <c r="D5689" s="4" t="n">
        <v>211.75</v>
      </c>
      <c r="E5689" s="5" t="n">
        <v>16.1</v>
      </c>
      <c r="F5689" s="3" t="inlineStr">
        <is>
          <t>전동면</t>
        </is>
      </c>
      <c r="G5689" s="3" t="inlineStr">
        <is>
          <t>봉대리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전동면</t>
        </is>
      </c>
    </row>
    <row r="5690">
      <c r="A5690" s="3" t="n">
        <v>2025</v>
      </c>
      <c r="B5690" s="4" t="n">
        <v>4264</v>
      </c>
      <c r="C5690" s="4" t="n">
        <v>882</v>
      </c>
      <c r="D5690" s="4" t="n">
        <v>266.805</v>
      </c>
      <c r="E5690" s="5" t="n">
        <v>16</v>
      </c>
      <c r="F5690" s="3" t="inlineStr">
        <is>
          <t>전동면</t>
        </is>
      </c>
      <c r="G5690" s="3" t="inlineStr">
        <is>
          <t>봉대리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전동면</t>
        </is>
      </c>
    </row>
    <row r="5691">
      <c r="A5691" s="3" t="n">
        <v>2025</v>
      </c>
      <c r="B5691" s="4" t="n">
        <v>39500</v>
      </c>
      <c r="C5691" s="4" t="n">
        <v>1206</v>
      </c>
      <c r="D5691" s="4" t="n">
        <v>364.815</v>
      </c>
      <c r="E5691" s="5" t="n">
        <v>108.3</v>
      </c>
      <c r="F5691" s="3" t="inlineStr">
        <is>
          <t>장군면</t>
        </is>
      </c>
      <c r="G5691" s="3" t="inlineStr">
        <is>
          <t>금암리</t>
        </is>
      </c>
      <c r="H5691" s="3" t="inlineStr">
        <is>
          <t>보전관리지역</t>
        </is>
      </c>
      <c r="I5691" s="3" t="inlineStr">
        <is>
          <t>임야</t>
        </is>
      </c>
      <c r="J5691" s="3" t="inlineStr">
        <is>
          <t>장군면</t>
        </is>
      </c>
    </row>
    <row r="5692">
      <c r="A5692" s="3" t="n">
        <v>2025</v>
      </c>
      <c r="B5692" s="4" t="n">
        <v>26700</v>
      </c>
      <c r="C5692" s="4" t="n">
        <v>635</v>
      </c>
      <c r="D5692" s="4" t="n">
        <v>192.0875</v>
      </c>
      <c r="E5692" s="5" t="n">
        <v>139</v>
      </c>
      <c r="F5692" s="3" t="inlineStr">
        <is>
          <t>연서면</t>
        </is>
      </c>
      <c r="G5692" s="3" t="inlineStr">
        <is>
          <t>와촌리</t>
        </is>
      </c>
      <c r="H5692" s="3" t="inlineStr">
        <is>
          <t>계획관리지역</t>
        </is>
      </c>
      <c r="I5692" s="3" t="inlineStr">
        <is>
          <t>전</t>
        </is>
      </c>
      <c r="J5692" s="3" t="inlineStr">
        <is>
          <t>연서면</t>
        </is>
      </c>
    </row>
    <row r="5693">
      <c r="A5693" s="3" t="n">
        <v>2025</v>
      </c>
      <c r="B5693" s="4" t="n">
        <v>152800</v>
      </c>
      <c r="C5693" s="4" t="n">
        <v>8782</v>
      </c>
      <c r="D5693" s="4" t="n">
        <v>2656.555</v>
      </c>
      <c r="E5693" s="5" t="n">
        <v>57.5</v>
      </c>
      <c r="F5693" s="3" t="inlineStr">
        <is>
          <t>연서면</t>
        </is>
      </c>
      <c r="G5693" s="3" t="inlineStr">
        <is>
          <t>와촌리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2025</v>
      </c>
      <c r="B5694" s="4" t="n">
        <v>74400</v>
      </c>
      <c r="C5694" s="4" t="n">
        <v>4463</v>
      </c>
      <c r="D5694" s="4" t="n">
        <v>1350.0575</v>
      </c>
      <c r="E5694" s="5" t="n">
        <v>55.1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2025</v>
      </c>
      <c r="B5695" s="4" t="n">
        <v>195400</v>
      </c>
      <c r="C5695" s="4" t="n">
        <v>11710</v>
      </c>
      <c r="D5695" s="4" t="n">
        <v>3542.275</v>
      </c>
      <c r="E5695" s="5" t="n">
        <v>55.2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연서면</t>
        </is>
      </c>
    </row>
    <row r="5696">
      <c r="A5696" s="3" t="n">
        <v>2025</v>
      </c>
      <c r="B5696" s="4" t="n">
        <v>25700</v>
      </c>
      <c r="C5696" s="4" t="n">
        <v>1487</v>
      </c>
      <c r="D5696" s="4" t="n">
        <v>449.8175</v>
      </c>
      <c r="E5696" s="5" t="n">
        <v>57.1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임야</t>
        </is>
      </c>
      <c r="J5696" s="3" t="inlineStr">
        <is>
          <t>연서면</t>
        </is>
      </c>
    </row>
    <row r="5697">
      <c r="A5697" s="3" t="n">
        <v>2025</v>
      </c>
      <c r="B5697" s="4" t="n">
        <v>13300</v>
      </c>
      <c r="C5697" s="4" t="n">
        <v>200</v>
      </c>
      <c r="D5697" s="4" t="n">
        <v>60.5</v>
      </c>
      <c r="E5697" s="5" t="n">
        <v>219.8</v>
      </c>
      <c r="F5697" s="3" t="inlineStr">
        <is>
          <t>연동면</t>
        </is>
      </c>
      <c r="G5697" s="3" t="inlineStr">
        <is>
          <t>응암리</t>
        </is>
      </c>
      <c r="H5697" s="3" t="inlineStr">
        <is>
          <t>계획관리지역</t>
        </is>
      </c>
      <c r="I5697" s="3" t="inlineStr">
        <is>
          <t>답</t>
        </is>
      </c>
      <c r="J5697" s="3" t="inlineStr">
        <is>
          <t>연동면</t>
        </is>
      </c>
    </row>
    <row r="5698">
      <c r="A5698" s="3" t="n">
        <v>2025</v>
      </c>
      <c r="B5698" s="4" t="n">
        <v>13000</v>
      </c>
      <c r="C5698" s="4" t="n">
        <v>429</v>
      </c>
      <c r="D5698" s="4" t="n">
        <v>129.7725</v>
      </c>
      <c r="E5698" s="5" t="n">
        <v>100.2</v>
      </c>
      <c r="F5698" s="3" t="inlineStr">
        <is>
          <t>장군면</t>
        </is>
      </c>
      <c r="G5698" s="3" t="inlineStr">
        <is>
          <t>하봉리</t>
        </is>
      </c>
      <c r="H5698" s="3" t="inlineStr">
        <is>
          <t>보전관리지역</t>
        </is>
      </c>
      <c r="I5698" s="3" t="inlineStr">
        <is>
          <t>대</t>
        </is>
      </c>
      <c r="J5698" s="3" t="inlineStr">
        <is>
          <t>장군면</t>
        </is>
      </c>
    </row>
    <row r="5699">
      <c r="A5699" s="3" t="n">
        <v>2023</v>
      </c>
      <c r="B5699" s="4" t="n">
        <v>31206</v>
      </c>
      <c r="C5699" s="4" t="n">
        <v>4126</v>
      </c>
      <c r="D5699" s="4" t="n">
        <v>1248.115</v>
      </c>
      <c r="E5699" s="5" t="n">
        <v>25</v>
      </c>
      <c r="F5699" s="3" t="inlineStr">
        <is>
          <t>장군면</t>
        </is>
      </c>
      <c r="G5699" s="3" t="inlineStr">
        <is>
          <t>송정리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장군면</t>
        </is>
      </c>
    </row>
    <row r="5700">
      <c r="A5700" s="3" t="n">
        <v>2023</v>
      </c>
      <c r="B5700" s="4" t="n">
        <v>1044</v>
      </c>
      <c r="C5700" s="4" t="n">
        <v>138</v>
      </c>
      <c r="D5700" s="4" t="n">
        <v>41.745</v>
      </c>
      <c r="E5700" s="5" t="n">
        <v>25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2023</v>
      </c>
      <c r="B5701" s="4" t="n">
        <v>4500</v>
      </c>
      <c r="C5701" s="4" t="n">
        <v>992</v>
      </c>
      <c r="D5701" s="4" t="n">
        <v>300.08</v>
      </c>
      <c r="E5701" s="5" t="n">
        <v>15</v>
      </c>
      <c r="F5701" s="3" t="inlineStr">
        <is>
          <t>전동면</t>
        </is>
      </c>
      <c r="G5701" s="3" t="inlineStr">
        <is>
          <t>미곡리</t>
        </is>
      </c>
      <c r="H5701" s="3" t="inlineStr">
        <is>
          <t>생산관리지역</t>
        </is>
      </c>
      <c r="I5701" s="3" t="inlineStr">
        <is>
          <t>전</t>
        </is>
      </c>
      <c r="J5701" s="3" t="inlineStr">
        <is>
          <t>전동면</t>
        </is>
      </c>
    </row>
    <row r="5702">
      <c r="A5702" s="3" t="n">
        <v>2022</v>
      </c>
      <c r="B5702" s="4" t="n">
        <v>28100</v>
      </c>
      <c r="C5702" s="4" t="n">
        <v>1329</v>
      </c>
      <c r="D5702" s="4" t="n">
        <v>402.0225</v>
      </c>
      <c r="E5702" s="5" t="n">
        <v>69.90000000000001</v>
      </c>
      <c r="F5702" s="3" t="inlineStr">
        <is>
          <t>전의면</t>
        </is>
      </c>
      <c r="G5702" s="3" t="inlineStr">
        <is>
          <t>신방리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전의면</t>
        </is>
      </c>
    </row>
    <row r="5703">
      <c r="A5703" s="3" t="n">
        <v>2022</v>
      </c>
      <c r="B5703" s="4" t="n">
        <v>45000</v>
      </c>
      <c r="C5703" s="4" t="n">
        <v>11841</v>
      </c>
      <c r="D5703" s="4" t="n">
        <v>3581.9025</v>
      </c>
      <c r="E5703" s="5" t="n">
        <v>12.6</v>
      </c>
      <c r="F5703" s="3" t="inlineStr">
        <is>
          <t>부강면</t>
        </is>
      </c>
      <c r="G5703" s="3" t="inlineStr">
        <is>
          <t>문곡리</t>
        </is>
      </c>
      <c r="H5703" s="3" t="inlineStr">
        <is>
          <t>농림지역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100000</v>
      </c>
      <c r="C5704" s="4" t="n">
        <v>27955</v>
      </c>
      <c r="D5704" s="4" t="n">
        <v>8456.387499999999</v>
      </c>
      <c r="E5704" s="5" t="n">
        <v>11.8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34900</v>
      </c>
      <c r="C5705" s="4" t="n">
        <v>1359</v>
      </c>
      <c r="D5705" s="4" t="n">
        <v>411.0975</v>
      </c>
      <c r="E5705" s="5" t="n">
        <v>84.90000000000001</v>
      </c>
      <c r="F5705" s="3" t="inlineStr">
        <is>
          <t>부강면</t>
        </is>
      </c>
      <c r="G5705" s="3" t="inlineStr">
        <is>
          <t>행산리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부강면</t>
        </is>
      </c>
    </row>
    <row r="5706">
      <c r="A5706" s="3" t="n">
        <v>2022</v>
      </c>
      <c r="B5706" s="4" t="n">
        <v>3000</v>
      </c>
      <c r="C5706" s="4" t="n">
        <v>82</v>
      </c>
      <c r="D5706" s="4" t="n">
        <v>24.805</v>
      </c>
      <c r="E5706" s="5" t="n">
        <v>120.9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농림지역</t>
        </is>
      </c>
      <c r="I5706" s="3" t="inlineStr">
        <is>
          <t>임야</t>
        </is>
      </c>
      <c r="J5706" s="3" t="inlineStr">
        <is>
          <t>장군면</t>
        </is>
      </c>
    </row>
    <row r="5707">
      <c r="A5707" s="3" t="n">
        <v>2022</v>
      </c>
      <c r="B5707" s="4" t="n">
        <v>24500</v>
      </c>
      <c r="C5707" s="4" t="n">
        <v>6751</v>
      </c>
      <c r="D5707" s="4" t="n">
        <v>2042.1775</v>
      </c>
      <c r="E5707" s="5" t="n">
        <v>12</v>
      </c>
      <c r="F5707" s="3" t="inlineStr">
        <is>
          <t>전의면</t>
        </is>
      </c>
      <c r="G5707" s="3" t="inlineStr">
        <is>
          <t>유천리</t>
        </is>
      </c>
      <c r="H5707" s="3" t="inlineStr">
        <is>
          <t>계획관리지역</t>
        </is>
      </c>
      <c r="I5707" s="3" t="inlineStr">
        <is>
          <t>임야</t>
        </is>
      </c>
      <c r="J5707" s="3" t="inlineStr">
        <is>
          <t>전의면</t>
        </is>
      </c>
    </row>
    <row r="5708">
      <c r="A5708" s="3" t="n">
        <v>2022</v>
      </c>
      <c r="B5708" s="4" t="n">
        <v>2000</v>
      </c>
      <c r="C5708" s="4" t="n">
        <v>197</v>
      </c>
      <c r="D5708" s="4" t="n">
        <v>59.5925</v>
      </c>
      <c r="E5708" s="5" t="n">
        <v>33.6</v>
      </c>
      <c r="F5708" s="3" t="inlineStr">
        <is>
          <t>전의면</t>
        </is>
      </c>
      <c r="G5708" s="3" t="inlineStr">
        <is>
          <t>서정리</t>
        </is>
      </c>
      <c r="H5708" s="3" t="inlineStr">
        <is>
          <t>계획관리지역</t>
        </is>
      </c>
      <c r="I5708" s="3" t="inlineStr">
        <is>
          <t>도로</t>
        </is>
      </c>
      <c r="J5708" s="3" t="inlineStr">
        <is>
          <t>전의면</t>
        </is>
      </c>
    </row>
    <row r="5709">
      <c r="A5709" s="3" t="n">
        <v>2022</v>
      </c>
      <c r="B5709" s="4" t="n">
        <v>12906</v>
      </c>
      <c r="C5709" s="4" t="n">
        <v>950</v>
      </c>
      <c r="D5709" s="4" t="n">
        <v>287.375</v>
      </c>
      <c r="E5709" s="5" t="n">
        <v>44.9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부강면</t>
        </is>
      </c>
    </row>
    <row r="5710">
      <c r="A5710" s="3" t="n">
        <v>2022</v>
      </c>
      <c r="B5710" s="4" t="n">
        <v>10200</v>
      </c>
      <c r="C5710" s="4" t="n">
        <v>843</v>
      </c>
      <c r="D5710" s="4" t="n">
        <v>255.0075</v>
      </c>
      <c r="E5710" s="5" t="n">
        <v>40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부강면</t>
        </is>
      </c>
    </row>
    <row r="5711">
      <c r="A5711" s="3" t="n">
        <v>2024</v>
      </c>
      <c r="B5711" s="4" t="n">
        <v>500</v>
      </c>
      <c r="C5711" s="4" t="n">
        <v>22</v>
      </c>
      <c r="D5711" s="4" t="n">
        <v>6.654999999999999</v>
      </c>
      <c r="E5711" s="5" t="n">
        <v>75.09999999999999</v>
      </c>
      <c r="F5711" s="3" t="inlineStr">
        <is>
          <t>금남면</t>
        </is>
      </c>
      <c r="G5711" s="3" t="inlineStr">
        <is>
          <t>호탄리</t>
        </is>
      </c>
      <c r="H5711" s="3" t="inlineStr">
        <is>
          <t>제1종일반주거지역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2025</v>
      </c>
      <c r="B5712" s="4" t="n">
        <v>26994</v>
      </c>
      <c r="C5712" s="4" t="n">
        <v>453</v>
      </c>
      <c r="D5712" s="4" t="n">
        <v>137.0325</v>
      </c>
      <c r="E5712" s="5" t="n">
        <v>197</v>
      </c>
      <c r="F5712" s="3" t="inlineStr">
        <is>
          <t>전의면</t>
        </is>
      </c>
      <c r="G5712" s="3" t="inlineStr">
        <is>
          <t>신방리</t>
        </is>
      </c>
      <c r="H5712" s="3" t="inlineStr">
        <is>
          <t>계획관리지역</t>
        </is>
      </c>
      <c r="I5712" s="3" t="inlineStr">
        <is>
          <t>임야</t>
        </is>
      </c>
      <c r="J5712" s="3" t="inlineStr">
        <is>
          <t>전의면</t>
        </is>
      </c>
    </row>
    <row r="5713">
      <c r="A5713" s="3" t="n">
        <v>2025</v>
      </c>
      <c r="B5713" s="4" t="n">
        <v>10000</v>
      </c>
      <c r="C5713" s="4" t="n">
        <v>764</v>
      </c>
      <c r="D5713" s="4" t="n">
        <v>231.11</v>
      </c>
      <c r="E5713" s="5" t="n">
        <v>43.3</v>
      </c>
      <c r="F5713" s="3" t="inlineStr">
        <is>
          <t>부강면</t>
        </is>
      </c>
      <c r="G5713" s="3" t="inlineStr">
        <is>
          <t>갈산리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2025</v>
      </c>
      <c r="B5714" s="4" t="n">
        <v>5000</v>
      </c>
      <c r="C5714" s="4" t="n">
        <v>50</v>
      </c>
      <c r="D5714" s="4" t="n">
        <v>15.125</v>
      </c>
      <c r="E5714" s="5" t="n">
        <v>330.6</v>
      </c>
      <c r="F5714" s="3" t="inlineStr">
        <is>
          <t>부강면</t>
        </is>
      </c>
      <c r="G5714" s="3" t="inlineStr">
        <is>
          <t>등곡리</t>
        </is>
      </c>
      <c r="H5714" s="3" t="inlineStr">
        <is>
          <t>계획관리지역</t>
        </is>
      </c>
      <c r="I5714" s="3" t="inlineStr">
        <is>
          <t>도로</t>
        </is>
      </c>
      <c r="J5714" s="3" t="inlineStr">
        <is>
          <t>부강면</t>
        </is>
      </c>
    </row>
    <row r="5715">
      <c r="A5715" s="3" t="n">
        <v>2025</v>
      </c>
      <c r="B5715" s="4" t="n">
        <v>38250</v>
      </c>
      <c r="C5715" s="4" t="n">
        <v>2527</v>
      </c>
      <c r="D5715" s="4" t="n">
        <v>764.4175</v>
      </c>
      <c r="E5715" s="5" t="n">
        <v>50</v>
      </c>
      <c r="F5715" s="3" t="inlineStr">
        <is>
          <t>금남면</t>
        </is>
      </c>
      <c r="G5715" s="3" t="inlineStr">
        <is>
          <t>황용리</t>
        </is>
      </c>
      <c r="H5715" s="3" t="inlineStr">
        <is>
          <t>개발제한구역</t>
        </is>
      </c>
      <c r="I5715" s="3" t="inlineStr">
        <is>
          <t>답</t>
        </is>
      </c>
      <c r="J5715" s="3" t="inlineStr">
        <is>
          <t>금남면</t>
        </is>
      </c>
    </row>
    <row r="5716">
      <c r="A5716" s="3" t="n">
        <v>2025</v>
      </c>
      <c r="B5716" s="4" t="n">
        <v>7168</v>
      </c>
      <c r="C5716" s="4" t="n">
        <v>97</v>
      </c>
      <c r="D5716" s="4" t="n">
        <v>29.3425</v>
      </c>
      <c r="E5716" s="5" t="n">
        <v>244.3</v>
      </c>
      <c r="F5716" s="3" t="inlineStr">
        <is>
          <t>장군면</t>
        </is>
      </c>
      <c r="G5716" s="3" t="inlineStr">
        <is>
          <t>봉안리</t>
        </is>
      </c>
      <c r="H5716" s="3" t="inlineStr">
        <is>
          <t>계획관리지역</t>
        </is>
      </c>
      <c r="I5716" s="3" t="inlineStr">
        <is>
          <t>대</t>
        </is>
      </c>
      <c r="J5716" s="3" t="inlineStr">
        <is>
          <t>장군면</t>
        </is>
      </c>
    </row>
    <row r="5717">
      <c r="A5717" s="3" t="n">
        <v>2025</v>
      </c>
      <c r="B5717" s="4" t="n">
        <v>103937</v>
      </c>
      <c r="C5717" s="4" t="n">
        <v>1367</v>
      </c>
      <c r="D5717" s="4" t="n">
        <v>413.5175</v>
      </c>
      <c r="E5717" s="5" t="n">
        <v>251.3</v>
      </c>
      <c r="F5717" s="3" t="inlineStr">
        <is>
          <t>장군면</t>
        </is>
      </c>
      <c r="G5717" s="3" t="inlineStr">
        <is>
          <t>봉안리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장군면</t>
        </is>
      </c>
    </row>
    <row r="5718">
      <c r="A5718" s="3" t="n">
        <v>2025</v>
      </c>
      <c r="B5718" s="4" t="n">
        <v>34063</v>
      </c>
      <c r="C5718" s="4" t="n">
        <v>448</v>
      </c>
      <c r="D5718" s="4" t="n">
        <v>135.52</v>
      </c>
      <c r="E5718" s="5" t="n">
        <v>251.4</v>
      </c>
      <c r="F5718" s="3" t="inlineStr">
        <is>
          <t>장군면</t>
        </is>
      </c>
      <c r="G5718" s="3" t="inlineStr">
        <is>
          <t>봉안리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장군면</t>
        </is>
      </c>
    </row>
    <row r="5719">
      <c r="A5719" s="3" t="n">
        <v>2025</v>
      </c>
      <c r="B5719" s="4" t="n">
        <v>5748</v>
      </c>
      <c r="C5719" s="4" t="n">
        <v>19</v>
      </c>
      <c r="D5719" s="4" t="n">
        <v>5.7475</v>
      </c>
      <c r="E5719" s="5" t="n">
        <v>1000.1</v>
      </c>
      <c r="F5719" s="3" t="inlineStr">
        <is>
          <t>조치원읍</t>
        </is>
      </c>
      <c r="G5719" s="3" t="inlineStr">
        <is>
          <t>명리</t>
        </is>
      </c>
      <c r="H5719" s="3" t="inlineStr">
        <is>
          <t>일반상업지역</t>
        </is>
      </c>
      <c r="I5719" s="3" t="inlineStr">
        <is>
          <t>대</t>
        </is>
      </c>
      <c r="J5719" s="3" t="inlineStr">
        <is>
          <t>조치원읍</t>
        </is>
      </c>
    </row>
    <row r="5720">
      <c r="A5720" s="3" t="n">
        <v>2025</v>
      </c>
      <c r="B5720" s="4" t="n">
        <v>3049</v>
      </c>
      <c r="C5720" s="4" t="n">
        <v>71</v>
      </c>
      <c r="D5720" s="4" t="n">
        <v>21.4775</v>
      </c>
      <c r="E5720" s="5" t="n">
        <v>142</v>
      </c>
      <c r="F5720" s="3" t="inlineStr">
        <is>
          <t>연동면</t>
        </is>
      </c>
      <c r="G5720" s="3" t="inlineStr">
        <is>
          <t>합강리</t>
        </is>
      </c>
      <c r="H5720" s="3" t="inlineStr">
        <is>
          <t>보전관리지역</t>
        </is>
      </c>
      <c r="I5720" s="3" t="inlineStr">
        <is>
          <t>전</t>
        </is>
      </c>
      <c r="J5720" s="3" t="inlineStr">
        <is>
          <t>연동면</t>
        </is>
      </c>
    </row>
    <row r="5721">
      <c r="A5721" s="3" t="n">
        <v>2025</v>
      </c>
      <c r="B5721" s="4" t="n">
        <v>20604</v>
      </c>
      <c r="C5721" s="4" t="n">
        <v>3258</v>
      </c>
      <c r="D5721" s="4" t="n">
        <v>985.545</v>
      </c>
      <c r="E5721" s="5" t="n">
        <v>20.9</v>
      </c>
      <c r="F5721" s="3" t="inlineStr">
        <is>
          <t>소정면</t>
        </is>
      </c>
      <c r="G5721" s="3" t="inlineStr">
        <is>
          <t>고등리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소정면</t>
        </is>
      </c>
    </row>
    <row r="5722">
      <c r="A5722" s="3" t="n">
        <v>2025</v>
      </c>
      <c r="B5722" s="4" t="n">
        <v>47300</v>
      </c>
      <c r="C5722" s="4" t="n">
        <v>733</v>
      </c>
      <c r="D5722" s="4" t="n">
        <v>221.7325</v>
      </c>
      <c r="E5722" s="5" t="n">
        <v>213.3</v>
      </c>
      <c r="F5722" s="3" t="inlineStr">
        <is>
          <t>장군면</t>
        </is>
      </c>
      <c r="G5722" s="3" t="inlineStr">
        <is>
          <t>도계리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장군면</t>
        </is>
      </c>
    </row>
    <row r="5723">
      <c r="A5723" s="3" t="n">
        <v>2025</v>
      </c>
      <c r="B5723" s="4" t="n">
        <v>14200</v>
      </c>
      <c r="C5723" s="4" t="n">
        <v>191</v>
      </c>
      <c r="D5723" s="4" t="n">
        <v>57.7775</v>
      </c>
      <c r="E5723" s="5" t="n">
        <v>245.8</v>
      </c>
      <c r="F5723" s="3" t="inlineStr">
        <is>
          <t>장군면</t>
        </is>
      </c>
      <c r="G5723" s="3" t="inlineStr">
        <is>
          <t>도계리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장군면</t>
        </is>
      </c>
    </row>
    <row r="5724">
      <c r="A5724" s="3" t="n">
        <v>2025</v>
      </c>
      <c r="B5724" s="4" t="n">
        <v>37000</v>
      </c>
      <c r="C5724" s="4" t="n">
        <v>518</v>
      </c>
      <c r="D5724" s="4" t="n">
        <v>156.695</v>
      </c>
      <c r="E5724" s="5" t="n">
        <v>236.1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2025</v>
      </c>
      <c r="B5725" s="4" t="n">
        <v>36000</v>
      </c>
      <c r="C5725" s="4" t="n">
        <v>546</v>
      </c>
      <c r="D5725" s="4" t="n">
        <v>165.165</v>
      </c>
      <c r="E5725" s="5" t="n">
        <v>218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2025</v>
      </c>
      <c r="B5726" s="4" t="n">
        <v>2000</v>
      </c>
      <c r="C5726" s="4" t="n">
        <v>38</v>
      </c>
      <c r="D5726" s="4" t="n">
        <v>11.495</v>
      </c>
      <c r="E5726" s="5" t="n">
        <v>174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제2종일반주거지역</t>
        </is>
      </c>
      <c r="I5726" s="3" t="inlineStr">
        <is>
          <t>답</t>
        </is>
      </c>
      <c r="J5726" s="3" t="inlineStr">
        <is>
          <t>부강면</t>
        </is>
      </c>
    </row>
    <row r="5727">
      <c r="A5727" s="3" t="n">
        <v>2025</v>
      </c>
      <c r="B5727" s="4" t="n">
        <v>21000</v>
      </c>
      <c r="C5727" s="4" t="n">
        <v>681</v>
      </c>
      <c r="D5727" s="4" t="n">
        <v>206.0025</v>
      </c>
      <c r="E5727" s="5" t="n">
        <v>101.9</v>
      </c>
      <c r="F5727" s="3" t="inlineStr">
        <is>
          <t>금남면</t>
        </is>
      </c>
      <c r="G5727" s="3" t="inlineStr">
        <is>
          <t>축산리</t>
        </is>
      </c>
      <c r="H5727" s="3" t="inlineStr">
        <is>
          <t>개발제한구역</t>
        </is>
      </c>
      <c r="I5727" s="3" t="inlineStr">
        <is>
          <t>답</t>
        </is>
      </c>
      <c r="J5727" s="3" t="inlineStr">
        <is>
          <t>금남면</t>
        </is>
      </c>
    </row>
    <row r="5728">
      <c r="A5728" s="3" t="n">
        <v>2025</v>
      </c>
      <c r="B5728" s="4" t="n">
        <v>11700</v>
      </c>
      <c r="C5728" s="4" t="n">
        <v>4299</v>
      </c>
      <c r="D5728" s="4" t="n">
        <v>1300.4475</v>
      </c>
      <c r="E5728" s="5" t="n">
        <v>9</v>
      </c>
      <c r="F5728" s="3" t="inlineStr">
        <is>
          <t>금남면</t>
        </is>
      </c>
      <c r="G5728" s="3" t="inlineStr">
        <is>
          <t>영대리</t>
        </is>
      </c>
      <c r="H5728" s="3" t="inlineStr">
        <is>
          <t>개발제한구역</t>
        </is>
      </c>
      <c r="I5728" s="3" t="inlineStr">
        <is>
          <t>임야</t>
        </is>
      </c>
      <c r="J5728" s="3" t="inlineStr">
        <is>
          <t>금남면</t>
        </is>
      </c>
    </row>
    <row r="5729">
      <c r="A5729" s="3" t="n">
        <v>2025</v>
      </c>
      <c r="B5729" s="4" t="n">
        <v>5500</v>
      </c>
      <c r="C5729" s="4" t="n">
        <v>902</v>
      </c>
      <c r="D5729" s="4" t="n">
        <v>272.855</v>
      </c>
      <c r="E5729" s="5" t="n">
        <v>20.2</v>
      </c>
      <c r="F5729" s="3" t="inlineStr">
        <is>
          <t>전의면</t>
        </is>
      </c>
      <c r="G5729" s="3" t="inlineStr">
        <is>
          <t>서정리</t>
        </is>
      </c>
      <c r="H5729" s="3" t="inlineStr">
        <is>
          <t>계획관리지역</t>
        </is>
      </c>
      <c r="I5729" s="3" t="inlineStr">
        <is>
          <t>임야</t>
        </is>
      </c>
      <c r="J5729" s="3" t="inlineStr">
        <is>
          <t>전의면</t>
        </is>
      </c>
    </row>
    <row r="5730">
      <c r="A5730" s="3" t="n">
        <v>2025</v>
      </c>
      <c r="B5730" s="4" t="n">
        <v>52000</v>
      </c>
      <c r="C5730" s="4" t="n">
        <v>352</v>
      </c>
      <c r="D5730" s="4" t="n">
        <v>106.48</v>
      </c>
      <c r="E5730" s="5" t="n">
        <v>488.4</v>
      </c>
      <c r="F5730" s="3" t="inlineStr">
        <is>
          <t>고운동</t>
        </is>
      </c>
      <c r="G5730" s="3" t="inlineStr"/>
      <c r="H5730" s="3" t="inlineStr">
        <is>
          <t>제1종전용주거지역</t>
        </is>
      </c>
      <c r="I5730" s="3" t="inlineStr">
        <is>
          <t>대</t>
        </is>
      </c>
      <c r="J5730" s="3" t="inlineStr">
        <is>
          <t>고운동</t>
        </is>
      </c>
    </row>
    <row r="5731">
      <c r="A5731" s="3" t="n">
        <v>2025</v>
      </c>
      <c r="B5731" s="4" t="n">
        <v>9500</v>
      </c>
      <c r="C5731" s="4" t="n">
        <v>386</v>
      </c>
      <c r="D5731" s="4" t="n">
        <v>116.765</v>
      </c>
      <c r="E5731" s="5" t="n">
        <v>81.40000000000001</v>
      </c>
      <c r="F5731" s="3" t="inlineStr">
        <is>
          <t>전의면</t>
        </is>
      </c>
      <c r="G5731" s="3" t="inlineStr">
        <is>
          <t>동교리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전의면</t>
        </is>
      </c>
    </row>
    <row r="5732">
      <c r="A5732" s="3" t="n">
        <v>2025</v>
      </c>
      <c r="B5732" s="4" t="n">
        <v>55000</v>
      </c>
      <c r="C5732" s="4" t="n">
        <v>330</v>
      </c>
      <c r="D5732" s="4" t="n">
        <v>99.825</v>
      </c>
      <c r="E5732" s="5" t="n">
        <v>551</v>
      </c>
      <c r="F5732" s="3" t="inlineStr">
        <is>
          <t>금남면</t>
        </is>
      </c>
      <c r="G5732" s="3" t="inlineStr">
        <is>
          <t>신촌리</t>
        </is>
      </c>
      <c r="H5732" s="3" t="inlineStr">
        <is>
          <t>제1종일반주거지역</t>
        </is>
      </c>
      <c r="I5732" s="3" t="inlineStr">
        <is>
          <t>전</t>
        </is>
      </c>
      <c r="J5732" s="3" t="inlineStr">
        <is>
          <t>금남면</t>
        </is>
      </c>
    </row>
    <row r="5733">
      <c r="A5733" s="3" t="n">
        <v>2025</v>
      </c>
      <c r="B5733" s="4" t="n">
        <v>30000</v>
      </c>
      <c r="C5733" s="4" t="n">
        <v>214</v>
      </c>
      <c r="D5733" s="4" t="n">
        <v>64.735</v>
      </c>
      <c r="E5733" s="5" t="n">
        <v>463.4</v>
      </c>
      <c r="F5733" s="3" t="inlineStr">
        <is>
          <t>조치원읍</t>
        </is>
      </c>
      <c r="G5733" s="3" t="inlineStr">
        <is>
          <t>신안리</t>
        </is>
      </c>
      <c r="H5733" s="3" t="inlineStr">
        <is>
          <t>제2종일반주거지역</t>
        </is>
      </c>
      <c r="I5733" s="3" t="inlineStr">
        <is>
          <t>대</t>
        </is>
      </c>
      <c r="J5733" s="3" t="inlineStr">
        <is>
          <t>조치원읍</t>
        </is>
      </c>
    </row>
    <row r="5734">
      <c r="A5734" s="3" t="n">
        <v>2025</v>
      </c>
      <c r="B5734" s="4" t="n">
        <v>3400</v>
      </c>
      <c r="C5734" s="4" t="n">
        <v>145</v>
      </c>
      <c r="D5734" s="4" t="n">
        <v>43.8625</v>
      </c>
      <c r="E5734" s="5" t="n">
        <v>77.5</v>
      </c>
      <c r="F5734" s="3" t="inlineStr">
        <is>
          <t>장군면</t>
        </is>
      </c>
      <c r="G5734" s="3" t="inlineStr">
        <is>
          <t>평기리</t>
        </is>
      </c>
      <c r="H5734" s="3" t="inlineStr">
        <is>
          <t>계획관리지역</t>
        </is>
      </c>
      <c r="I5734" s="3" t="inlineStr">
        <is>
          <t>전</t>
        </is>
      </c>
      <c r="J5734" s="3" t="inlineStr">
        <is>
          <t>장군면</t>
        </is>
      </c>
    </row>
    <row r="5735">
      <c r="A5735" s="3" t="n">
        <v>2025</v>
      </c>
      <c r="B5735" s="4" t="n">
        <v>20900</v>
      </c>
      <c r="C5735" s="4" t="n">
        <v>728</v>
      </c>
      <c r="D5735" s="4" t="n">
        <v>220.22</v>
      </c>
      <c r="E5735" s="5" t="n">
        <v>94.90000000000001</v>
      </c>
      <c r="F5735" s="3" t="inlineStr">
        <is>
          <t>금남면</t>
        </is>
      </c>
      <c r="G5735" s="3" t="inlineStr">
        <is>
          <t>영곡리</t>
        </is>
      </c>
      <c r="H5735" s="3" t="inlineStr">
        <is>
          <t>농림지역</t>
        </is>
      </c>
      <c r="I5735" s="3" t="inlineStr">
        <is>
          <t>전</t>
        </is>
      </c>
      <c r="J5735" s="3" t="inlineStr">
        <is>
          <t>금남면</t>
        </is>
      </c>
    </row>
    <row r="5736">
      <c r="A5736" s="3" t="n">
        <v>2025</v>
      </c>
      <c r="B5736" s="4" t="n">
        <v>1800</v>
      </c>
      <c r="C5736" s="4" t="n">
        <v>102</v>
      </c>
      <c r="D5736" s="4" t="n">
        <v>30.855</v>
      </c>
      <c r="E5736" s="5" t="n">
        <v>58.3</v>
      </c>
      <c r="F5736" s="3" t="inlineStr">
        <is>
          <t>장군면</t>
        </is>
      </c>
      <c r="G5736" s="3" t="inlineStr">
        <is>
          <t>송정리</t>
        </is>
      </c>
      <c r="H5736" s="3" t="inlineStr">
        <is>
          <t>보전관리지역</t>
        </is>
      </c>
      <c r="I5736" s="3" t="inlineStr">
        <is>
          <t>전</t>
        </is>
      </c>
      <c r="J5736" s="3" t="inlineStr">
        <is>
          <t>장군면</t>
        </is>
      </c>
    </row>
    <row r="5737">
      <c r="A5737" s="3" t="n">
        <v>2025</v>
      </c>
      <c r="B5737" s="4" t="n">
        <v>1857</v>
      </c>
      <c r="C5737" s="4" t="n">
        <v>140</v>
      </c>
      <c r="D5737" s="4" t="n">
        <v>42.35</v>
      </c>
      <c r="E5737" s="5" t="n">
        <v>43.8</v>
      </c>
      <c r="F5737" s="3" t="inlineStr">
        <is>
          <t>장군면</t>
        </is>
      </c>
      <c r="G5737" s="3" t="inlineStr">
        <is>
          <t>송정리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장군면</t>
        </is>
      </c>
    </row>
    <row r="5738">
      <c r="A5738" s="3" t="n">
        <v>2025</v>
      </c>
      <c r="B5738" s="4" t="n">
        <v>663</v>
      </c>
      <c r="C5738" s="4" t="n">
        <v>51</v>
      </c>
      <c r="D5738" s="4" t="n">
        <v>15.4275</v>
      </c>
      <c r="E5738" s="5" t="n">
        <v>43</v>
      </c>
      <c r="F5738" s="3" t="inlineStr">
        <is>
          <t>장군면</t>
        </is>
      </c>
      <c r="G5738" s="3" t="inlineStr">
        <is>
          <t>송정리</t>
        </is>
      </c>
      <c r="H5738" s="3" t="inlineStr">
        <is>
          <t>보전관리지역</t>
        </is>
      </c>
      <c r="I5738" s="3" t="inlineStr">
        <is>
          <t>전</t>
        </is>
      </c>
      <c r="J5738" s="3" t="inlineStr">
        <is>
          <t>장군면</t>
        </is>
      </c>
    </row>
    <row r="5739">
      <c r="A5739" s="3" t="n">
        <v>2025</v>
      </c>
      <c r="B5739" s="4" t="n">
        <v>30000</v>
      </c>
      <c r="C5739" s="4" t="n">
        <v>657</v>
      </c>
      <c r="D5739" s="4" t="n">
        <v>198.7425</v>
      </c>
      <c r="E5739" s="5" t="n">
        <v>150.9</v>
      </c>
      <c r="F5739" s="3" t="inlineStr">
        <is>
          <t>장군면</t>
        </is>
      </c>
      <c r="G5739" s="3" t="inlineStr">
        <is>
          <t>금암리</t>
        </is>
      </c>
      <c r="H5739" s="3" t="inlineStr">
        <is>
          <t>보전관리지역</t>
        </is>
      </c>
      <c r="I5739" s="3" t="inlineStr">
        <is>
          <t>임야</t>
        </is>
      </c>
      <c r="J5739" s="3" t="inlineStr">
        <is>
          <t>장군면</t>
        </is>
      </c>
    </row>
    <row r="5740">
      <c r="A5740" s="3" t="n">
        <v>2025</v>
      </c>
      <c r="B5740" s="4" t="n">
        <v>2000</v>
      </c>
      <c r="C5740" s="4" t="n">
        <v>200</v>
      </c>
      <c r="D5740" s="4" t="n">
        <v>60.5</v>
      </c>
      <c r="E5740" s="5" t="n">
        <v>33.1</v>
      </c>
      <c r="F5740" s="3" t="inlineStr">
        <is>
          <t>전동면</t>
        </is>
      </c>
      <c r="G5740" s="3" t="inlineStr">
        <is>
          <t>청송리</t>
        </is>
      </c>
      <c r="H5740" s="3" t="inlineStr">
        <is>
          <t>계획관리지역</t>
        </is>
      </c>
      <c r="I5740" s="3" t="inlineStr">
        <is>
          <t>임야</t>
        </is>
      </c>
      <c r="J5740" s="3" t="inlineStr">
        <is>
          <t>전동면</t>
        </is>
      </c>
    </row>
    <row r="5741">
      <c r="A5741" s="3" t="n">
        <v>2025</v>
      </c>
      <c r="B5741" s="4" t="n">
        <v>725</v>
      </c>
      <c r="C5741" s="4" t="n">
        <v>7</v>
      </c>
      <c r="D5741" s="4" t="n">
        <v>2.1175</v>
      </c>
      <c r="E5741" s="5" t="n">
        <v>342.4</v>
      </c>
      <c r="F5741" s="3" t="inlineStr">
        <is>
          <t>조치원읍</t>
        </is>
      </c>
      <c r="G5741" s="3" t="inlineStr">
        <is>
          <t>죽림리</t>
        </is>
      </c>
      <c r="H5741" s="3" t="inlineStr">
        <is>
          <t>제2종일반주거지역</t>
        </is>
      </c>
      <c r="I5741" s="3" t="inlineStr">
        <is>
          <t>도로</t>
        </is>
      </c>
      <c r="J5741" s="3" t="inlineStr">
        <is>
          <t>조치원읍</t>
        </is>
      </c>
    </row>
    <row r="5742">
      <c r="A5742" s="3" t="n">
        <v>2025</v>
      </c>
      <c r="B5742" s="4" t="n">
        <v>100</v>
      </c>
      <c r="C5742" s="4" t="n">
        <v>3</v>
      </c>
      <c r="D5742" s="4" t="n">
        <v>0.9075</v>
      </c>
      <c r="E5742" s="5" t="n">
        <v>110.2</v>
      </c>
      <c r="F5742" s="3" t="inlineStr">
        <is>
          <t>전동면</t>
        </is>
      </c>
      <c r="G5742" s="3" t="inlineStr">
        <is>
          <t>노장리</t>
        </is>
      </c>
      <c r="H5742" s="3" t="inlineStr">
        <is>
          <t>계획관리지역</t>
        </is>
      </c>
      <c r="I5742" s="3" t="inlineStr">
        <is>
          <t>답</t>
        </is>
      </c>
      <c r="J5742" s="3" t="inlineStr">
        <is>
          <t>전동면</t>
        </is>
      </c>
    </row>
    <row r="5743">
      <c r="A5743" s="3" t="n">
        <v>2025</v>
      </c>
      <c r="B5743" s="4" t="n">
        <v>1000</v>
      </c>
      <c r="C5743" s="4" t="n">
        <v>52</v>
      </c>
      <c r="D5743" s="4" t="n">
        <v>15.73</v>
      </c>
      <c r="E5743" s="5" t="n">
        <v>63.6</v>
      </c>
      <c r="F5743" s="3" t="inlineStr">
        <is>
          <t>연서면</t>
        </is>
      </c>
      <c r="G5743" s="3" t="inlineStr">
        <is>
          <t>신대리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연서면</t>
        </is>
      </c>
    </row>
    <row r="5744">
      <c r="A5744" s="3" t="n">
        <v>2025</v>
      </c>
      <c r="B5744" s="4" t="n">
        <v>3800</v>
      </c>
      <c r="C5744" s="4" t="n">
        <v>238</v>
      </c>
      <c r="D5744" s="4" t="n">
        <v>71.995</v>
      </c>
      <c r="E5744" s="5" t="n">
        <v>52.8</v>
      </c>
      <c r="F5744" s="3" t="inlineStr">
        <is>
          <t>금남면</t>
        </is>
      </c>
      <c r="G5744" s="3" t="inlineStr">
        <is>
          <t>영곡리</t>
        </is>
      </c>
      <c r="H5744" s="3" t="inlineStr">
        <is>
          <t>생산관리지역</t>
        </is>
      </c>
      <c r="I5744" s="3" t="inlineStr">
        <is>
          <t>전</t>
        </is>
      </c>
      <c r="J5744" s="3" t="inlineStr">
        <is>
          <t>금남면</t>
        </is>
      </c>
    </row>
    <row r="5745">
      <c r="A5745" s="3" t="n">
        <v>2025</v>
      </c>
      <c r="B5745" s="4" t="n">
        <v>900</v>
      </c>
      <c r="C5745" s="4" t="n">
        <v>48</v>
      </c>
      <c r="D5745" s="4" t="n">
        <v>14.52</v>
      </c>
      <c r="E5745" s="5" t="n">
        <v>62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연서면</t>
        </is>
      </c>
    </row>
    <row r="5746">
      <c r="A5746" s="3" t="n">
        <v>2025</v>
      </c>
      <c r="B5746" s="4" t="n">
        <v>54839</v>
      </c>
      <c r="C5746" s="4" t="n">
        <v>403</v>
      </c>
      <c r="D5746" s="4" t="n">
        <v>121.9075</v>
      </c>
      <c r="E5746" s="5" t="n">
        <v>449.8</v>
      </c>
      <c r="F5746" s="3" t="inlineStr">
        <is>
          <t>연기면</t>
        </is>
      </c>
      <c r="G5746" s="3" t="inlineStr">
        <is>
          <t>연기리</t>
        </is>
      </c>
      <c r="H5746" s="3" t="inlineStr">
        <is>
          <t>계획관리지역</t>
        </is>
      </c>
      <c r="I5746" s="3" t="inlineStr">
        <is>
          <t>답</t>
        </is>
      </c>
      <c r="J5746" s="3" t="inlineStr">
        <is>
          <t>연기면</t>
        </is>
      </c>
    </row>
    <row r="5747">
      <c r="A5747" s="3" t="n">
        <v>2025</v>
      </c>
      <c r="B5747" s="4" t="n">
        <v>1361</v>
      </c>
      <c r="C5747" s="4" t="n">
        <v>10</v>
      </c>
      <c r="D5747" s="4" t="n">
        <v>3.025</v>
      </c>
      <c r="E5747" s="5" t="n">
        <v>449.9</v>
      </c>
      <c r="F5747" s="3" t="inlineStr">
        <is>
          <t>연기면</t>
        </is>
      </c>
      <c r="G5747" s="3" t="inlineStr">
        <is>
          <t>연기리</t>
        </is>
      </c>
      <c r="H5747" s="3" t="inlineStr">
        <is>
          <t>계획관리지역</t>
        </is>
      </c>
      <c r="I5747" s="3" t="inlineStr">
        <is>
          <t>답</t>
        </is>
      </c>
      <c r="J5747" s="3" t="inlineStr">
        <is>
          <t>연기면</t>
        </is>
      </c>
    </row>
    <row r="5748">
      <c r="A5748" s="3" t="n">
        <v>2025</v>
      </c>
      <c r="B5748" s="4" t="n">
        <v>8000</v>
      </c>
      <c r="C5748" s="4" t="n">
        <v>497</v>
      </c>
      <c r="D5748" s="4" t="n">
        <v>150.3425</v>
      </c>
      <c r="E5748" s="5" t="n">
        <v>53.2</v>
      </c>
      <c r="F5748" s="3" t="inlineStr">
        <is>
          <t>전동면</t>
        </is>
      </c>
      <c r="G5748" s="3" t="inlineStr">
        <is>
          <t>봉대리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전동면</t>
        </is>
      </c>
    </row>
    <row r="5749">
      <c r="A5749" s="3" t="n">
        <v>2025</v>
      </c>
      <c r="B5749" s="4" t="n">
        <v>2700</v>
      </c>
      <c r="C5749" s="4" t="n">
        <v>403</v>
      </c>
      <c r="D5749" s="4" t="n">
        <v>121.9075</v>
      </c>
      <c r="E5749" s="5" t="n">
        <v>22.1</v>
      </c>
      <c r="F5749" s="3" t="inlineStr">
        <is>
          <t>전의면</t>
        </is>
      </c>
      <c r="G5749" s="3" t="inlineStr">
        <is>
          <t>유천리</t>
        </is>
      </c>
      <c r="H5749" s="3" t="inlineStr">
        <is>
          <t>계획관리지역</t>
        </is>
      </c>
      <c r="I5749" s="3" t="inlineStr">
        <is>
          <t>임야</t>
        </is>
      </c>
      <c r="J5749" s="3" t="inlineStr">
        <is>
          <t>전의면</t>
        </is>
      </c>
    </row>
    <row r="5750">
      <c r="A5750" s="3" t="n">
        <v>2025</v>
      </c>
      <c r="B5750" s="4" t="n">
        <v>12300</v>
      </c>
      <c r="C5750" s="4" t="n">
        <v>1866</v>
      </c>
      <c r="D5750" s="4" t="n">
        <v>564.465</v>
      </c>
      <c r="E5750" s="5" t="n">
        <v>21.8</v>
      </c>
      <c r="F5750" s="3" t="inlineStr">
        <is>
          <t>전의면</t>
        </is>
      </c>
      <c r="G5750" s="3" t="inlineStr">
        <is>
          <t>유천리</t>
        </is>
      </c>
      <c r="H5750" s="3" t="inlineStr">
        <is>
          <t>계획관리지역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2025</v>
      </c>
      <c r="B5751" s="4" t="n">
        <v>2596</v>
      </c>
      <c r="C5751" s="4" t="n">
        <v>145</v>
      </c>
      <c r="D5751" s="4" t="n">
        <v>43.8625</v>
      </c>
      <c r="E5751" s="5" t="n">
        <v>59.2</v>
      </c>
      <c r="F5751" s="3" t="inlineStr">
        <is>
          <t>연동면</t>
        </is>
      </c>
      <c r="G5751" s="3" t="inlineStr">
        <is>
          <t>송용리</t>
        </is>
      </c>
      <c r="H5751" s="3" t="inlineStr">
        <is>
          <t>계획관리지역</t>
        </is>
      </c>
      <c r="I5751" s="3" t="inlineStr">
        <is>
          <t>임야</t>
        </is>
      </c>
      <c r="J5751" s="3" t="inlineStr">
        <is>
          <t>연동면</t>
        </is>
      </c>
    </row>
    <row r="5752">
      <c r="A5752" s="3" t="n">
        <v>2025</v>
      </c>
      <c r="B5752" s="4" t="n">
        <v>52651</v>
      </c>
      <c r="C5752" s="4" t="n">
        <v>35026</v>
      </c>
      <c r="D5752" s="4" t="n">
        <v>10595.365</v>
      </c>
      <c r="E5752" s="5" t="n">
        <v>5</v>
      </c>
      <c r="F5752" s="3" t="inlineStr">
        <is>
          <t>연서면</t>
        </is>
      </c>
      <c r="G5752" s="3" t="inlineStr">
        <is>
          <t>쌍류리</t>
        </is>
      </c>
      <c r="H5752" s="3" t="inlineStr">
        <is>
          <t>계획관리지역</t>
        </is>
      </c>
      <c r="I5752" s="3" t="inlineStr">
        <is>
          <t>임야</t>
        </is>
      </c>
      <c r="J5752" s="3" t="inlineStr">
        <is>
          <t>연서면</t>
        </is>
      </c>
    </row>
    <row r="5753">
      <c r="A5753" s="3" t="n">
        <v>2025</v>
      </c>
      <c r="B5753" s="4" t="n">
        <v>30500</v>
      </c>
      <c r="C5753" s="4" t="n">
        <v>11163</v>
      </c>
      <c r="D5753" s="4" t="n">
        <v>3376.8075</v>
      </c>
      <c r="E5753" s="5" t="n">
        <v>9</v>
      </c>
      <c r="F5753" s="3" t="inlineStr">
        <is>
          <t>연서면</t>
        </is>
      </c>
      <c r="G5753" s="3" t="inlineStr">
        <is>
          <t>기룡리</t>
        </is>
      </c>
      <c r="H5753" s="3" t="inlineStr">
        <is>
          <t>생산관리지역</t>
        </is>
      </c>
      <c r="I5753" s="3" t="inlineStr">
        <is>
          <t>임야</t>
        </is>
      </c>
      <c r="J5753" s="3" t="inlineStr">
        <is>
          <t>연서면</t>
        </is>
      </c>
    </row>
    <row r="5754">
      <c r="A5754" s="3" t="n">
        <v>2025</v>
      </c>
      <c r="B5754" s="4" t="n">
        <v>370000</v>
      </c>
      <c r="C5754" s="4" t="n">
        <v>6611.6</v>
      </c>
      <c r="D5754" s="4" t="n">
        <v>2000.009</v>
      </c>
      <c r="E5754" s="5" t="n">
        <v>185</v>
      </c>
      <c r="F5754" s="3" t="inlineStr">
        <is>
          <t>전동면</t>
        </is>
      </c>
      <c r="G5754" s="3" t="inlineStr">
        <is>
          <t>심중리</t>
        </is>
      </c>
      <c r="H5754" s="3" t="inlineStr">
        <is>
          <t>일반공업지역</t>
        </is>
      </c>
      <c r="I5754" s="3" t="inlineStr">
        <is>
          <t>공장용지</t>
        </is>
      </c>
      <c r="J5754" s="3" t="inlineStr">
        <is>
          <t>전동면</t>
        </is>
      </c>
    </row>
    <row r="5755">
      <c r="A5755" s="3" t="n">
        <v>2025</v>
      </c>
      <c r="B5755" s="4" t="n">
        <v>3997</v>
      </c>
      <c r="C5755" s="4" t="n">
        <v>1652</v>
      </c>
      <c r="D5755" s="4" t="n">
        <v>499.73</v>
      </c>
      <c r="E5755" s="5" t="n">
        <v>8</v>
      </c>
      <c r="F5755" s="3" t="inlineStr">
        <is>
          <t>전동면</t>
        </is>
      </c>
      <c r="G5755" s="3" t="inlineStr">
        <is>
          <t>심중리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전동면</t>
        </is>
      </c>
    </row>
    <row r="5756">
      <c r="A5756" s="3" t="n">
        <v>2025</v>
      </c>
      <c r="B5756" s="4" t="n">
        <v>6000</v>
      </c>
      <c r="C5756" s="4" t="n">
        <v>2480</v>
      </c>
      <c r="D5756" s="4" t="n">
        <v>750.1999999999999</v>
      </c>
      <c r="E5756" s="5" t="n">
        <v>8</v>
      </c>
      <c r="F5756" s="3" t="inlineStr">
        <is>
          <t>전동면</t>
        </is>
      </c>
      <c r="G5756" s="3" t="inlineStr">
        <is>
          <t>심중리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전동면</t>
        </is>
      </c>
    </row>
    <row r="5757">
      <c r="A5757" s="3" t="n">
        <v>2025</v>
      </c>
      <c r="B5757" s="4" t="n">
        <v>6000</v>
      </c>
      <c r="C5757" s="4" t="n">
        <v>2480</v>
      </c>
      <c r="D5757" s="4" t="n">
        <v>750.1999999999999</v>
      </c>
      <c r="E5757" s="5" t="n">
        <v>8</v>
      </c>
      <c r="F5757" s="3" t="inlineStr">
        <is>
          <t>전동면</t>
        </is>
      </c>
      <c r="G5757" s="3" t="inlineStr">
        <is>
          <t>심중리</t>
        </is>
      </c>
      <c r="H5757" s="3" t="inlineStr">
        <is>
          <t>계획관리지역</t>
        </is>
      </c>
      <c r="I5757" s="3" t="inlineStr">
        <is>
          <t>임야</t>
        </is>
      </c>
      <c r="J5757" s="3" t="inlineStr">
        <is>
          <t>전동면</t>
        </is>
      </c>
    </row>
    <row r="5758">
      <c r="A5758" s="3" t="n">
        <v>2025</v>
      </c>
      <c r="B5758" s="4" t="n">
        <v>25000</v>
      </c>
      <c r="C5758" s="4" t="n">
        <v>1770</v>
      </c>
      <c r="D5758" s="4" t="n">
        <v>535.425</v>
      </c>
      <c r="E5758" s="5" t="n">
        <v>46.7</v>
      </c>
      <c r="F5758" s="3" t="inlineStr">
        <is>
          <t>금남면</t>
        </is>
      </c>
      <c r="G5758" s="3" t="inlineStr">
        <is>
          <t>영치리</t>
        </is>
      </c>
      <c r="H5758" s="3" t="inlineStr">
        <is>
          <t>개발제한구역</t>
        </is>
      </c>
      <c r="I5758" s="3" t="inlineStr">
        <is>
          <t>임야</t>
        </is>
      </c>
      <c r="J5758" s="3" t="inlineStr">
        <is>
          <t>금남면</t>
        </is>
      </c>
    </row>
    <row r="5759">
      <c r="A5759" s="3" t="n">
        <v>2025</v>
      </c>
      <c r="B5759" s="4" t="n">
        <v>2524</v>
      </c>
      <c r="C5759" s="4" t="n">
        <v>1770</v>
      </c>
      <c r="D5759" s="4" t="n">
        <v>535.425</v>
      </c>
      <c r="E5759" s="5" t="n">
        <v>4.7</v>
      </c>
      <c r="F5759" s="3" t="inlineStr">
        <is>
          <t>금남면</t>
        </is>
      </c>
      <c r="G5759" s="3" t="inlineStr">
        <is>
          <t>영치리</t>
        </is>
      </c>
      <c r="H5759" s="3" t="inlineStr">
        <is>
          <t>개발제한구역</t>
        </is>
      </c>
      <c r="I5759" s="3" t="inlineStr">
        <is>
          <t>임야</t>
        </is>
      </c>
      <c r="J5759" s="3" t="inlineStr">
        <is>
          <t>금남면</t>
        </is>
      </c>
    </row>
    <row r="5760">
      <c r="A5760" s="3" t="n">
        <v>2025</v>
      </c>
      <c r="B5760" s="4" t="n">
        <v>24755</v>
      </c>
      <c r="C5760" s="4" t="n">
        <v>17362</v>
      </c>
      <c r="D5760" s="4" t="n">
        <v>5252.005</v>
      </c>
      <c r="E5760" s="5" t="n">
        <v>4.7</v>
      </c>
      <c r="F5760" s="3" t="inlineStr">
        <is>
          <t>금남면</t>
        </is>
      </c>
      <c r="G5760" s="3" t="inlineStr">
        <is>
          <t>영치리</t>
        </is>
      </c>
      <c r="H5760" s="3" t="inlineStr">
        <is>
          <t>자연녹지지역</t>
        </is>
      </c>
      <c r="I5760" s="3" t="inlineStr">
        <is>
          <t>임야</t>
        </is>
      </c>
      <c r="J5760" s="3" t="inlineStr">
        <is>
          <t>금남면</t>
        </is>
      </c>
    </row>
    <row r="5761">
      <c r="A5761" s="3" t="n">
        <v>2025</v>
      </c>
      <c r="B5761" s="4" t="n">
        <v>24068</v>
      </c>
      <c r="C5761" s="4" t="n">
        <v>16880</v>
      </c>
      <c r="D5761" s="4" t="n">
        <v>5106.2</v>
      </c>
      <c r="E5761" s="5" t="n">
        <v>4.7</v>
      </c>
      <c r="F5761" s="3" t="inlineStr">
        <is>
          <t>금남면</t>
        </is>
      </c>
      <c r="G5761" s="3" t="inlineStr">
        <is>
          <t>영치리</t>
        </is>
      </c>
      <c r="H5761" s="3" t="inlineStr">
        <is>
          <t>자연녹지지역</t>
        </is>
      </c>
      <c r="I5761" s="3" t="inlineStr">
        <is>
          <t>임야</t>
        </is>
      </c>
      <c r="J5761" s="3" t="inlineStr">
        <is>
          <t>금남면</t>
        </is>
      </c>
    </row>
    <row r="5762">
      <c r="A5762" s="3" t="n">
        <v>2025</v>
      </c>
      <c r="B5762" s="4" t="n">
        <v>21692</v>
      </c>
      <c r="C5762" s="4" t="n">
        <v>15214</v>
      </c>
      <c r="D5762" s="4" t="n">
        <v>4602.235</v>
      </c>
      <c r="E5762" s="5" t="n">
        <v>4.7</v>
      </c>
      <c r="F5762" s="3" t="inlineStr">
        <is>
          <t>금남면</t>
        </is>
      </c>
      <c r="G5762" s="3" t="inlineStr">
        <is>
          <t>영치리</t>
        </is>
      </c>
      <c r="H5762" s="3" t="inlineStr">
        <is>
          <t>자연녹지지역</t>
        </is>
      </c>
      <c r="I5762" s="3" t="inlineStr">
        <is>
          <t>임야</t>
        </is>
      </c>
      <c r="J5762" s="3" t="inlineStr">
        <is>
          <t>금남면</t>
        </is>
      </c>
    </row>
    <row r="5763">
      <c r="A5763" s="3" t="n">
        <v>2025</v>
      </c>
      <c r="B5763" s="4" t="n">
        <v>26392</v>
      </c>
      <c r="C5763" s="4" t="n">
        <v>18512</v>
      </c>
      <c r="D5763" s="4" t="n">
        <v>5599.88</v>
      </c>
      <c r="E5763" s="5" t="n">
        <v>4.7</v>
      </c>
      <c r="F5763" s="3" t="inlineStr">
        <is>
          <t>금남면</t>
        </is>
      </c>
      <c r="G5763" s="3" t="inlineStr">
        <is>
          <t>영치리</t>
        </is>
      </c>
      <c r="H5763" s="3" t="inlineStr">
        <is>
          <t>자연녹지지역</t>
        </is>
      </c>
      <c r="I5763" s="3" t="inlineStr">
        <is>
          <t>임야</t>
        </is>
      </c>
      <c r="J5763" s="3" t="inlineStr">
        <is>
          <t>금남면</t>
        </is>
      </c>
    </row>
    <row r="5764">
      <c r="A5764" s="3" t="n">
        <v>2024</v>
      </c>
      <c r="B5764" s="4" t="n">
        <v>25000</v>
      </c>
      <c r="C5764" s="4" t="n">
        <v>280</v>
      </c>
      <c r="D5764" s="4" t="n">
        <v>84.7</v>
      </c>
      <c r="E5764" s="5" t="n">
        <v>295.2</v>
      </c>
      <c r="F5764" s="3" t="inlineStr">
        <is>
          <t>조치원읍</t>
        </is>
      </c>
      <c r="G5764" s="3" t="inlineStr">
        <is>
          <t>신안리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조치원읍</t>
        </is>
      </c>
    </row>
    <row r="5765">
      <c r="A5765" s="3" t="n">
        <v>2024</v>
      </c>
      <c r="B5765" s="4" t="n">
        <v>20000</v>
      </c>
      <c r="C5765" s="4" t="n">
        <v>286</v>
      </c>
      <c r="D5765" s="4" t="n">
        <v>86.515</v>
      </c>
      <c r="E5765" s="5" t="n">
        <v>231.2</v>
      </c>
      <c r="F5765" s="3" t="inlineStr">
        <is>
          <t>조치원읍</t>
        </is>
      </c>
      <c r="G5765" s="3" t="inlineStr">
        <is>
          <t>신안리</t>
        </is>
      </c>
      <c r="H5765" s="3" t="inlineStr">
        <is>
          <t>제1종일반주거지역</t>
        </is>
      </c>
      <c r="I5765" s="3" t="inlineStr">
        <is>
          <t>대</t>
        </is>
      </c>
      <c r="J5765" s="3" t="inlineStr">
        <is>
          <t>조치원읍</t>
        </is>
      </c>
    </row>
    <row r="5766">
      <c r="A5766" s="3" t="n">
        <v>2024</v>
      </c>
      <c r="B5766" s="4" t="n">
        <v>5000</v>
      </c>
      <c r="C5766" s="4" t="n">
        <v>61</v>
      </c>
      <c r="D5766" s="4" t="n">
        <v>18.4525</v>
      </c>
      <c r="E5766" s="5" t="n">
        <v>271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제1종일반주거지역</t>
        </is>
      </c>
      <c r="I5766" s="3" t="inlineStr">
        <is>
          <t>도로</t>
        </is>
      </c>
      <c r="J5766" s="3" t="inlineStr">
        <is>
          <t>조치원읍</t>
        </is>
      </c>
    </row>
    <row r="5767">
      <c r="A5767" s="3" t="n">
        <v>2024</v>
      </c>
      <c r="B5767" s="4" t="n">
        <v>10320</v>
      </c>
      <c r="C5767" s="4" t="n">
        <v>569</v>
      </c>
      <c r="D5767" s="4" t="n">
        <v>172.1225</v>
      </c>
      <c r="E5767" s="5" t="n">
        <v>60</v>
      </c>
      <c r="F5767" s="3" t="inlineStr">
        <is>
          <t>연서면</t>
        </is>
      </c>
      <c r="G5767" s="3" t="inlineStr">
        <is>
          <t>기룡리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연서면</t>
        </is>
      </c>
    </row>
    <row r="5768">
      <c r="A5768" s="3" t="n">
        <v>2024</v>
      </c>
      <c r="B5768" s="4" t="n">
        <v>41970</v>
      </c>
      <c r="C5768" s="4" t="n">
        <v>2472</v>
      </c>
      <c r="D5768" s="4" t="n">
        <v>747.78</v>
      </c>
      <c r="E5768" s="5" t="n">
        <v>56.1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보전관리지역</t>
        </is>
      </c>
      <c r="I5768" s="3" t="inlineStr">
        <is>
          <t>임야</t>
        </is>
      </c>
      <c r="J5768" s="3" t="inlineStr">
        <is>
          <t>연서면</t>
        </is>
      </c>
    </row>
    <row r="5769">
      <c r="A5769" s="3" t="n">
        <v>2024</v>
      </c>
      <c r="B5769" s="4" t="n">
        <v>4315</v>
      </c>
      <c r="C5769" s="4" t="n">
        <v>314</v>
      </c>
      <c r="D5769" s="4" t="n">
        <v>94.985</v>
      </c>
      <c r="E5769" s="5" t="n">
        <v>45.4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보전관리지역</t>
        </is>
      </c>
      <c r="I5769" s="3" t="inlineStr">
        <is>
          <t>임야</t>
        </is>
      </c>
      <c r="J5769" s="3" t="inlineStr">
        <is>
          <t>연서면</t>
        </is>
      </c>
    </row>
    <row r="5770">
      <c r="A5770" s="3" t="n">
        <v>2024</v>
      </c>
      <c r="B5770" s="4" t="n">
        <v>13027</v>
      </c>
      <c r="C5770" s="4" t="n">
        <v>948</v>
      </c>
      <c r="D5770" s="4" t="n">
        <v>286.77</v>
      </c>
      <c r="E5770" s="5" t="n">
        <v>45.4</v>
      </c>
      <c r="F5770" s="3" t="inlineStr">
        <is>
          <t>연서면</t>
        </is>
      </c>
      <c r="G5770" s="3" t="inlineStr">
        <is>
          <t>성제리</t>
        </is>
      </c>
      <c r="H5770" s="3" t="inlineStr">
        <is>
          <t>보전관리지역</t>
        </is>
      </c>
      <c r="I5770" s="3" t="inlineStr">
        <is>
          <t>임야</t>
        </is>
      </c>
      <c r="J5770" s="3" t="inlineStr">
        <is>
          <t>연서면</t>
        </is>
      </c>
    </row>
    <row r="5771">
      <c r="A5771" s="3" t="n">
        <v>2024</v>
      </c>
      <c r="B5771" s="4" t="n">
        <v>21025</v>
      </c>
      <c r="C5771" s="4" t="n">
        <v>1530</v>
      </c>
      <c r="D5771" s="4" t="n">
        <v>462.825</v>
      </c>
      <c r="E5771" s="5" t="n">
        <v>45.4</v>
      </c>
      <c r="F5771" s="3" t="inlineStr">
        <is>
          <t>연서면</t>
        </is>
      </c>
      <c r="G5771" s="3" t="inlineStr">
        <is>
          <t>성제리</t>
        </is>
      </c>
      <c r="H5771" s="3" t="inlineStr">
        <is>
          <t>보전관리지역</t>
        </is>
      </c>
      <c r="I5771" s="3" t="inlineStr">
        <is>
          <t>임야</t>
        </is>
      </c>
      <c r="J5771" s="3" t="inlineStr">
        <is>
          <t>연서면</t>
        </is>
      </c>
    </row>
    <row r="5772">
      <c r="A5772" s="3" t="n">
        <v>2024</v>
      </c>
      <c r="B5772" s="4" t="n">
        <v>2927</v>
      </c>
      <c r="C5772" s="4" t="n">
        <v>213</v>
      </c>
      <c r="D5772" s="4" t="n">
        <v>64.4325</v>
      </c>
      <c r="E5772" s="5" t="n">
        <v>45.4</v>
      </c>
      <c r="F5772" s="3" t="inlineStr">
        <is>
          <t>연서면</t>
        </is>
      </c>
      <c r="G5772" s="3" t="inlineStr">
        <is>
          <t>성제리</t>
        </is>
      </c>
      <c r="H5772" s="3" t="inlineStr">
        <is>
          <t>보전관리지역</t>
        </is>
      </c>
      <c r="I5772" s="3" t="inlineStr">
        <is>
          <t>임야</t>
        </is>
      </c>
      <c r="J5772" s="3" t="inlineStr">
        <is>
          <t>연서면</t>
        </is>
      </c>
    </row>
    <row r="5773">
      <c r="A5773" s="3" t="n">
        <v>2024</v>
      </c>
      <c r="B5773" s="4" t="n">
        <v>5778</v>
      </c>
      <c r="C5773" s="4" t="n">
        <v>255</v>
      </c>
      <c r="D5773" s="4" t="n">
        <v>77.1375</v>
      </c>
      <c r="E5773" s="5" t="n">
        <v>74.90000000000001</v>
      </c>
      <c r="F5773" s="3" t="inlineStr">
        <is>
          <t>금남면</t>
        </is>
      </c>
      <c r="G5773" s="3" t="inlineStr">
        <is>
          <t>성강리</t>
        </is>
      </c>
      <c r="H5773" s="3" t="inlineStr">
        <is>
          <t>생산관리지역</t>
        </is>
      </c>
      <c r="I5773" s="3" t="inlineStr">
        <is>
          <t>전</t>
        </is>
      </c>
      <c r="J5773" s="3" t="inlineStr">
        <is>
          <t>금남면</t>
        </is>
      </c>
    </row>
    <row r="5774">
      <c r="A5774" s="3" t="n">
        <v>2024</v>
      </c>
      <c r="B5774" s="4" t="n">
        <v>7342</v>
      </c>
      <c r="C5774" s="4" t="n">
        <v>324</v>
      </c>
      <c r="D5774" s="4" t="n">
        <v>98.00999999999999</v>
      </c>
      <c r="E5774" s="5" t="n">
        <v>74.90000000000001</v>
      </c>
      <c r="F5774" s="3" t="inlineStr">
        <is>
          <t>금남면</t>
        </is>
      </c>
      <c r="G5774" s="3" t="inlineStr">
        <is>
          <t>성강리</t>
        </is>
      </c>
      <c r="H5774" s="3" t="inlineStr">
        <is>
          <t>생산관리지역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146980</v>
      </c>
      <c r="C5775" s="4" t="n">
        <v>1130</v>
      </c>
      <c r="D5775" s="4" t="n">
        <v>341.825</v>
      </c>
      <c r="E5775" s="5" t="n">
        <v>430</v>
      </c>
      <c r="F5775" s="3" t="inlineStr">
        <is>
          <t>금남면</t>
        </is>
      </c>
      <c r="G5775" s="3" t="inlineStr">
        <is>
          <t>용포리</t>
        </is>
      </c>
      <c r="H5775" s="3" t="inlineStr">
        <is>
          <t>생산녹지지역</t>
        </is>
      </c>
      <c r="I5775" s="3" t="inlineStr">
        <is>
          <t>답</t>
        </is>
      </c>
      <c r="J5775" s="3" t="inlineStr">
        <is>
          <t>금남면</t>
        </is>
      </c>
    </row>
    <row r="5776">
      <c r="A5776" s="3" t="n">
        <v>2024</v>
      </c>
      <c r="B5776" s="4" t="n">
        <v>19200</v>
      </c>
      <c r="C5776" s="4" t="n">
        <v>591</v>
      </c>
      <c r="D5776" s="4" t="n">
        <v>178.7775</v>
      </c>
      <c r="E5776" s="5" t="n">
        <v>107.4</v>
      </c>
      <c r="F5776" s="3" t="inlineStr">
        <is>
          <t>소정면</t>
        </is>
      </c>
      <c r="G5776" s="3" t="inlineStr">
        <is>
          <t>소정리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소정면</t>
        </is>
      </c>
    </row>
    <row r="5777">
      <c r="A5777" s="3" t="n">
        <v>2024</v>
      </c>
      <c r="B5777" s="4" t="n">
        <v>239093</v>
      </c>
      <c r="C5777" s="4" t="n">
        <v>12282</v>
      </c>
      <c r="D5777" s="4" t="n">
        <v>3715.305</v>
      </c>
      <c r="E5777" s="5" t="n">
        <v>64.40000000000001</v>
      </c>
      <c r="F5777" s="3" t="inlineStr">
        <is>
          <t>전동면</t>
        </is>
      </c>
      <c r="G5777" s="3" t="inlineStr">
        <is>
          <t>보덕리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전동면</t>
        </is>
      </c>
    </row>
    <row r="5778">
      <c r="A5778" s="3" t="n">
        <v>2024</v>
      </c>
      <c r="B5778" s="4" t="n">
        <v>87942</v>
      </c>
      <c r="C5778" s="4" t="n">
        <v>3718</v>
      </c>
      <c r="D5778" s="4" t="n">
        <v>1124.695</v>
      </c>
      <c r="E5778" s="5" t="n">
        <v>78.2</v>
      </c>
      <c r="F5778" s="3" t="inlineStr">
        <is>
          <t>전동면</t>
        </is>
      </c>
      <c r="G5778" s="3" t="inlineStr">
        <is>
          <t>보덕리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전동면</t>
        </is>
      </c>
    </row>
    <row r="5779">
      <c r="A5779" s="3" t="n">
        <v>2024</v>
      </c>
      <c r="B5779" s="4" t="n">
        <v>50208</v>
      </c>
      <c r="C5779" s="4" t="n">
        <v>3991</v>
      </c>
      <c r="D5779" s="4" t="n">
        <v>1207.2775</v>
      </c>
      <c r="E5779" s="5" t="n">
        <v>41.6</v>
      </c>
      <c r="F5779" s="3" t="inlineStr">
        <is>
          <t>전동면</t>
        </is>
      </c>
      <c r="G5779" s="3" t="inlineStr">
        <is>
          <t>보덕리</t>
        </is>
      </c>
      <c r="H5779" s="3" t="inlineStr">
        <is>
          <t>농림지역</t>
        </is>
      </c>
      <c r="I5779" s="3" t="inlineStr">
        <is>
          <t>전</t>
        </is>
      </c>
      <c r="J5779" s="3" t="inlineStr">
        <is>
          <t>전동면</t>
        </is>
      </c>
    </row>
    <row r="5780">
      <c r="A5780" s="3" t="n">
        <v>2024</v>
      </c>
      <c r="B5780" s="4" t="n">
        <v>48516</v>
      </c>
      <c r="C5780" s="4" t="n">
        <v>1940</v>
      </c>
      <c r="D5780" s="4" t="n">
        <v>586.85</v>
      </c>
      <c r="E5780" s="5" t="n">
        <v>82.7</v>
      </c>
      <c r="F5780" s="3" t="inlineStr">
        <is>
          <t>전동면</t>
        </is>
      </c>
      <c r="G5780" s="3" t="inlineStr">
        <is>
          <t>보덕리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전동면</t>
        </is>
      </c>
    </row>
    <row r="5781">
      <c r="A5781" s="3" t="n">
        <v>2024</v>
      </c>
      <c r="B5781" s="4" t="n">
        <v>126840</v>
      </c>
      <c r="C5781" s="4" t="n">
        <v>4554</v>
      </c>
      <c r="D5781" s="4" t="n">
        <v>1377.585</v>
      </c>
      <c r="E5781" s="5" t="n">
        <v>92.09999999999999</v>
      </c>
      <c r="F5781" s="3" t="inlineStr">
        <is>
          <t>전동면</t>
        </is>
      </c>
      <c r="G5781" s="3" t="inlineStr">
        <is>
          <t>보덕리</t>
        </is>
      </c>
      <c r="H5781" s="3" t="inlineStr">
        <is>
          <t>계획관리지역</t>
        </is>
      </c>
      <c r="I5781" s="3" t="inlineStr">
        <is>
          <t>공장용지</t>
        </is>
      </c>
      <c r="J5781" s="3" t="inlineStr">
        <is>
          <t>전동면</t>
        </is>
      </c>
    </row>
    <row r="5782">
      <c r="A5782" s="3" t="n">
        <v>2024</v>
      </c>
      <c r="B5782" s="4" t="n">
        <v>26002</v>
      </c>
      <c r="C5782" s="4" t="n">
        <v>1037</v>
      </c>
      <c r="D5782" s="4" t="n">
        <v>313.6925</v>
      </c>
      <c r="E5782" s="5" t="n">
        <v>82.90000000000001</v>
      </c>
      <c r="F5782" s="3" t="inlineStr">
        <is>
          <t>전동면</t>
        </is>
      </c>
      <c r="G5782" s="3" t="inlineStr">
        <is>
          <t>보덕리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전동면</t>
        </is>
      </c>
    </row>
    <row r="5783">
      <c r="A5783" s="3" t="n">
        <v>2024</v>
      </c>
      <c r="B5783" s="4" t="n">
        <v>11099</v>
      </c>
      <c r="C5783" s="4" t="n">
        <v>443</v>
      </c>
      <c r="D5783" s="4" t="n">
        <v>134.0075</v>
      </c>
      <c r="E5783" s="5" t="n">
        <v>82.8</v>
      </c>
      <c r="F5783" s="3" t="inlineStr">
        <is>
          <t>전동면</t>
        </is>
      </c>
      <c r="G5783" s="3" t="inlineStr">
        <is>
          <t>보덕리</t>
        </is>
      </c>
      <c r="H5783" s="3" t="inlineStr">
        <is>
          <t>계획관리지역</t>
        </is>
      </c>
      <c r="I5783" s="3" t="inlineStr">
        <is>
          <t>전</t>
        </is>
      </c>
      <c r="J5783" s="3" t="inlineStr">
        <is>
          <t>전동면</t>
        </is>
      </c>
    </row>
    <row r="5784">
      <c r="A5784" s="3" t="n">
        <v>2026</v>
      </c>
      <c r="B5784" s="4" t="n">
        <v>44998</v>
      </c>
      <c r="C5784" s="4" t="n">
        <v>450</v>
      </c>
      <c r="D5784" s="4" t="n">
        <v>136.125</v>
      </c>
      <c r="E5784" s="5" t="n">
        <v>330.6</v>
      </c>
      <c r="F5784" s="3" t="inlineStr">
        <is>
          <t>장군면</t>
        </is>
      </c>
      <c r="G5784" s="3" t="inlineStr">
        <is>
          <t>대교리</t>
        </is>
      </c>
      <c r="H5784" s="3" t="inlineStr">
        <is>
          <t>보전관리지역</t>
        </is>
      </c>
      <c r="I5784" s="3" t="inlineStr">
        <is>
          <t>대</t>
        </is>
      </c>
      <c r="J5784" s="3" t="inlineStr">
        <is>
          <t>장군면</t>
        </is>
      </c>
    </row>
    <row r="5785">
      <c r="A5785" s="3" t="n">
        <v>2026</v>
      </c>
      <c r="B5785" s="4" t="n">
        <v>47393</v>
      </c>
      <c r="C5785" s="4" t="n">
        <v>505</v>
      </c>
      <c r="D5785" s="4" t="n">
        <v>152.7625</v>
      </c>
      <c r="E5785" s="5" t="n">
        <v>310.2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대</t>
        </is>
      </c>
      <c r="J5785" s="3" t="inlineStr">
        <is>
          <t>장군면</t>
        </is>
      </c>
    </row>
    <row r="5786">
      <c r="A5786" s="3" t="n">
        <v>2026</v>
      </c>
      <c r="B5786" s="4" t="n">
        <v>40622</v>
      </c>
      <c r="C5786" s="4" t="n">
        <v>450</v>
      </c>
      <c r="D5786" s="4" t="n">
        <v>136.125</v>
      </c>
      <c r="E5786" s="5" t="n">
        <v>298.4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장군면</t>
        </is>
      </c>
    </row>
    <row r="5787">
      <c r="A5787" s="3" t="n">
        <v>2026</v>
      </c>
      <c r="B5787" s="4" t="n">
        <v>45444</v>
      </c>
      <c r="C5787" s="4" t="n">
        <v>450</v>
      </c>
      <c r="D5787" s="4" t="n">
        <v>136.125</v>
      </c>
      <c r="E5787" s="5" t="n">
        <v>333.8</v>
      </c>
      <c r="F5787" s="3" t="inlineStr">
        <is>
          <t>장군면</t>
        </is>
      </c>
      <c r="G5787" s="3" t="inlineStr">
        <is>
          <t>대교리</t>
        </is>
      </c>
      <c r="H5787" s="3" t="inlineStr">
        <is>
          <t>보전관리지역</t>
        </is>
      </c>
      <c r="I5787" s="3" t="inlineStr">
        <is>
          <t>대</t>
        </is>
      </c>
      <c r="J5787" s="3" t="inlineStr">
        <is>
          <t>장군면</t>
        </is>
      </c>
    </row>
    <row r="5788">
      <c r="A5788" s="3" t="n">
        <v>2026</v>
      </c>
      <c r="B5788" s="4" t="n">
        <v>28000</v>
      </c>
      <c r="C5788" s="4" t="n">
        <v>1553</v>
      </c>
      <c r="D5788" s="4" t="n">
        <v>469.7825</v>
      </c>
      <c r="E5788" s="5" t="n">
        <v>59.6</v>
      </c>
      <c r="F5788" s="3" t="inlineStr">
        <is>
          <t>부강면</t>
        </is>
      </c>
      <c r="G5788" s="3" t="inlineStr">
        <is>
          <t>행산리</t>
        </is>
      </c>
      <c r="H5788" s="3" t="inlineStr">
        <is>
          <t>계획관리지역</t>
        </is>
      </c>
      <c r="I5788" s="3" t="inlineStr">
        <is>
          <t>답</t>
        </is>
      </c>
      <c r="J5788" s="3" t="inlineStr">
        <is>
          <t>부강면</t>
        </is>
      </c>
    </row>
    <row r="5789">
      <c r="A5789" s="3" t="n">
        <v>2026</v>
      </c>
      <c r="B5789" s="4" t="n">
        <v>2000</v>
      </c>
      <c r="C5789" s="4" t="n">
        <v>200</v>
      </c>
      <c r="D5789" s="4" t="n">
        <v>60.5</v>
      </c>
      <c r="E5789" s="5" t="n">
        <v>33.1</v>
      </c>
      <c r="F5789" s="3" t="inlineStr">
        <is>
          <t>연서면</t>
        </is>
      </c>
      <c r="G5789" s="3" t="inlineStr">
        <is>
          <t>신대리</t>
        </is>
      </c>
      <c r="H5789" s="3" t="inlineStr">
        <is>
          <t>보전관리지역</t>
        </is>
      </c>
      <c r="I5789" s="3" t="inlineStr">
        <is>
          <t>전</t>
        </is>
      </c>
      <c r="J5789" s="3" t="inlineStr">
        <is>
          <t>연서면</t>
        </is>
      </c>
    </row>
    <row r="5790">
      <c r="A5790" s="3" t="n">
        <v>2026</v>
      </c>
      <c r="B5790" s="4" t="n">
        <v>30435</v>
      </c>
      <c r="C5790" s="4" t="n">
        <v>1549</v>
      </c>
      <c r="D5790" s="4" t="n">
        <v>468.5725</v>
      </c>
      <c r="E5790" s="5" t="n">
        <v>65</v>
      </c>
      <c r="F5790" s="3" t="inlineStr">
        <is>
          <t>금남면</t>
        </is>
      </c>
      <c r="G5790" s="3" t="inlineStr">
        <is>
          <t>달전리</t>
        </is>
      </c>
      <c r="H5790" s="3" t="inlineStr">
        <is>
          <t>개발제한구역</t>
        </is>
      </c>
      <c r="I5790" s="3" t="inlineStr">
        <is>
          <t>답</t>
        </is>
      </c>
      <c r="J5790" s="3" t="inlineStr">
        <is>
          <t>금남면</t>
        </is>
      </c>
    </row>
    <row r="5791">
      <c r="A5791" s="3" t="n">
        <v>2026</v>
      </c>
      <c r="B5791" s="4" t="n">
        <v>46565</v>
      </c>
      <c r="C5791" s="4" t="n">
        <v>2370</v>
      </c>
      <c r="D5791" s="4" t="n">
        <v>716.925</v>
      </c>
      <c r="E5791" s="5" t="n">
        <v>65</v>
      </c>
      <c r="F5791" s="3" t="inlineStr">
        <is>
          <t>금남면</t>
        </is>
      </c>
      <c r="G5791" s="3" t="inlineStr">
        <is>
          <t>달전리</t>
        </is>
      </c>
      <c r="H5791" s="3" t="inlineStr">
        <is>
          <t>개발제한구역</t>
        </is>
      </c>
      <c r="I5791" s="3" t="inlineStr">
        <is>
          <t>답</t>
        </is>
      </c>
      <c r="J5791" s="3" t="inlineStr">
        <is>
          <t>금남면</t>
        </is>
      </c>
    </row>
    <row r="5792">
      <c r="A5792" s="3" t="n">
        <v>2026</v>
      </c>
      <c r="B5792" s="4" t="n">
        <v>17100</v>
      </c>
      <c r="C5792" s="4" t="n">
        <v>1130</v>
      </c>
      <c r="D5792" s="4" t="n">
        <v>341.825</v>
      </c>
      <c r="E5792" s="5" t="n">
        <v>50</v>
      </c>
      <c r="F5792" s="3" t="inlineStr">
        <is>
          <t>금남면</t>
        </is>
      </c>
      <c r="G5792" s="3" t="inlineStr">
        <is>
          <t>박산리</t>
        </is>
      </c>
      <c r="H5792" s="3" t="inlineStr">
        <is>
          <t>개발제한구역</t>
        </is>
      </c>
      <c r="I5792" s="3" t="inlineStr">
        <is>
          <t>답</t>
        </is>
      </c>
      <c r="J5792" s="3" t="inlineStr">
        <is>
          <t>금남면</t>
        </is>
      </c>
    </row>
    <row r="5793">
      <c r="A5793" s="3" t="n">
        <v>2023</v>
      </c>
      <c r="B5793" s="4" t="n">
        <v>20000</v>
      </c>
      <c r="C5793" s="4" t="n">
        <v>810</v>
      </c>
      <c r="D5793" s="4" t="n">
        <v>245.025</v>
      </c>
      <c r="E5793" s="5" t="n">
        <v>81.59999999999999</v>
      </c>
      <c r="F5793" s="3" t="inlineStr">
        <is>
          <t>금남면</t>
        </is>
      </c>
      <c r="G5793" s="3" t="inlineStr">
        <is>
          <t>달전리</t>
        </is>
      </c>
      <c r="H5793" s="3" t="inlineStr">
        <is>
          <t>개발제한구역</t>
        </is>
      </c>
      <c r="I5793" s="3" t="inlineStr">
        <is>
          <t>전</t>
        </is>
      </c>
      <c r="J5793" s="3" t="inlineStr">
        <is>
          <t>금남면</t>
        </is>
      </c>
    </row>
    <row r="5794">
      <c r="A5794" s="3" t="n">
        <v>2023</v>
      </c>
      <c r="B5794" s="4" t="n">
        <v>5472</v>
      </c>
      <c r="C5794" s="4" t="n">
        <v>10060</v>
      </c>
      <c r="D5794" s="4" t="n">
        <v>3043.15</v>
      </c>
      <c r="E5794" s="5" t="n">
        <v>1.8</v>
      </c>
      <c r="F5794" s="3" t="inlineStr">
        <is>
          <t>금남면</t>
        </is>
      </c>
      <c r="G5794" s="3" t="inlineStr">
        <is>
          <t>호탄리</t>
        </is>
      </c>
      <c r="H5794" s="3" t="inlineStr">
        <is>
          <t>개발제한구역</t>
        </is>
      </c>
      <c r="I5794" s="3" t="inlineStr">
        <is>
          <t>임야</t>
        </is>
      </c>
      <c r="J5794" s="3" t="inlineStr">
        <is>
          <t>금남면</t>
        </is>
      </c>
    </row>
    <row r="5795">
      <c r="A5795" s="3" t="n">
        <v>2023</v>
      </c>
      <c r="B5795" s="4" t="n">
        <v>5879</v>
      </c>
      <c r="C5795" s="4" t="n">
        <v>10807</v>
      </c>
      <c r="D5795" s="4" t="n">
        <v>3269.1175</v>
      </c>
      <c r="E5795" s="5" t="n">
        <v>1.8</v>
      </c>
      <c r="F5795" s="3" t="inlineStr">
        <is>
          <t>금남면</t>
        </is>
      </c>
      <c r="G5795" s="3" t="inlineStr">
        <is>
          <t>호탄리</t>
        </is>
      </c>
      <c r="H5795" s="3" t="inlineStr">
        <is>
          <t>보전녹지지역</t>
        </is>
      </c>
      <c r="I5795" s="3" t="inlineStr">
        <is>
          <t>임야</t>
        </is>
      </c>
      <c r="J5795" s="3" t="inlineStr">
        <is>
          <t>금남면</t>
        </is>
      </c>
    </row>
    <row r="5796">
      <c r="A5796" s="3" t="n">
        <v>2023</v>
      </c>
      <c r="B5796" s="4" t="n">
        <v>5737</v>
      </c>
      <c r="C5796" s="4" t="n">
        <v>10546</v>
      </c>
      <c r="D5796" s="4" t="n">
        <v>3190.165</v>
      </c>
      <c r="E5796" s="5" t="n">
        <v>1.8</v>
      </c>
      <c r="F5796" s="3" t="inlineStr">
        <is>
          <t>금남면</t>
        </is>
      </c>
      <c r="G5796" s="3" t="inlineStr">
        <is>
          <t>호탄리</t>
        </is>
      </c>
      <c r="H5796" s="3" t="inlineStr">
        <is>
          <t>보전녹지지역</t>
        </is>
      </c>
      <c r="I5796" s="3" t="inlineStr">
        <is>
          <t>임야</t>
        </is>
      </c>
      <c r="J5796" s="3" t="inlineStr">
        <is>
          <t>금남면</t>
        </is>
      </c>
    </row>
    <row r="5797">
      <c r="A5797" s="3" t="n">
        <v>2023</v>
      </c>
      <c r="B5797" s="4" t="n">
        <v>5446</v>
      </c>
      <c r="C5797" s="4" t="n">
        <v>10011</v>
      </c>
      <c r="D5797" s="4" t="n">
        <v>3028.3275</v>
      </c>
      <c r="E5797" s="5" t="n">
        <v>1.8</v>
      </c>
      <c r="F5797" s="3" t="inlineStr">
        <is>
          <t>금남면</t>
        </is>
      </c>
      <c r="G5797" s="3" t="inlineStr">
        <is>
          <t>호탄리</t>
        </is>
      </c>
      <c r="H5797" s="3" t="inlineStr">
        <is>
          <t>보전녹지지역</t>
        </is>
      </c>
      <c r="I5797" s="3" t="inlineStr">
        <is>
          <t>임야</t>
        </is>
      </c>
      <c r="J5797" s="3" t="inlineStr">
        <is>
          <t>금남면</t>
        </is>
      </c>
    </row>
    <row r="5798">
      <c r="A5798" s="3" t="n">
        <v>2023</v>
      </c>
      <c r="B5798" s="4" t="n">
        <v>5466</v>
      </c>
      <c r="C5798" s="4" t="n">
        <v>10047</v>
      </c>
      <c r="D5798" s="4" t="n">
        <v>3039.2175</v>
      </c>
      <c r="E5798" s="5" t="n">
        <v>1.8</v>
      </c>
      <c r="F5798" s="3" t="inlineStr">
        <is>
          <t>금남면</t>
        </is>
      </c>
      <c r="G5798" s="3" t="inlineStr">
        <is>
          <t>호탄리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금남면</t>
        </is>
      </c>
    </row>
    <row r="5799">
      <c r="A5799" s="3" t="n">
        <v>2023</v>
      </c>
      <c r="B5799" s="4" t="n">
        <v>3100</v>
      </c>
      <c r="C5799" s="4" t="n">
        <v>189</v>
      </c>
      <c r="D5799" s="4" t="n">
        <v>57.1725</v>
      </c>
      <c r="E5799" s="5" t="n">
        <v>54.2</v>
      </c>
      <c r="F5799" s="3" t="inlineStr">
        <is>
          <t>소정면</t>
        </is>
      </c>
      <c r="G5799" s="3" t="inlineStr">
        <is>
          <t>대곡리</t>
        </is>
      </c>
      <c r="H5799" s="3" t="inlineStr">
        <is>
          <t>계획관리지역</t>
        </is>
      </c>
      <c r="I5799" s="3" t="inlineStr">
        <is>
          <t>전</t>
        </is>
      </c>
      <c r="J5799" s="3" t="inlineStr">
        <is>
          <t>소정면</t>
        </is>
      </c>
    </row>
    <row r="5800">
      <c r="A5800" s="3" t="n">
        <v>2023</v>
      </c>
      <c r="B5800" s="4" t="n">
        <v>13274</v>
      </c>
      <c r="C5800" s="4" t="n">
        <v>902</v>
      </c>
      <c r="D5800" s="4" t="n">
        <v>272.855</v>
      </c>
      <c r="E5800" s="5" t="n">
        <v>48.6</v>
      </c>
      <c r="F5800" s="3" t="inlineStr">
        <is>
          <t>금남면</t>
        </is>
      </c>
      <c r="G5800" s="3" t="inlineStr">
        <is>
          <t>성강리</t>
        </is>
      </c>
      <c r="H5800" s="3" t="inlineStr">
        <is>
          <t>계획관리지역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2023</v>
      </c>
      <c r="B5801" s="4" t="n">
        <v>79863</v>
      </c>
      <c r="C5801" s="4" t="n">
        <v>890</v>
      </c>
      <c r="D5801" s="4" t="n">
        <v>269.225</v>
      </c>
      <c r="E5801" s="5" t="n">
        <v>296.6</v>
      </c>
      <c r="F5801" s="3" t="inlineStr">
        <is>
          <t>장군면</t>
        </is>
      </c>
      <c r="G5801" s="3" t="inlineStr">
        <is>
          <t>대교리</t>
        </is>
      </c>
      <c r="H5801" s="3" t="inlineStr">
        <is>
          <t>보전관리지역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2023</v>
      </c>
      <c r="B5802" s="4" t="n">
        <v>41007</v>
      </c>
      <c r="C5802" s="4" t="n">
        <v>589</v>
      </c>
      <c r="D5802" s="4" t="n">
        <v>178.1725</v>
      </c>
      <c r="E5802" s="5" t="n">
        <v>230.2</v>
      </c>
      <c r="F5802" s="3" t="inlineStr">
        <is>
          <t>장군면</t>
        </is>
      </c>
      <c r="G5802" s="3" t="inlineStr">
        <is>
          <t>대교리</t>
        </is>
      </c>
      <c r="H5802" s="3" t="inlineStr">
        <is>
          <t>보전관리지역</t>
        </is>
      </c>
      <c r="I5802" s="3" t="inlineStr">
        <is>
          <t>대</t>
        </is>
      </c>
      <c r="J5802" s="3" t="inlineStr">
        <is>
          <t>장군면</t>
        </is>
      </c>
    </row>
    <row r="5803">
      <c r="A5803" s="3" t="n">
        <v>2023</v>
      </c>
      <c r="B5803" s="4" t="n">
        <v>56000</v>
      </c>
      <c r="C5803" s="4" t="n">
        <v>1958</v>
      </c>
      <c r="D5803" s="4" t="n">
        <v>592.295</v>
      </c>
      <c r="E5803" s="5" t="n">
        <v>94.5</v>
      </c>
      <c r="F5803" s="3" t="inlineStr">
        <is>
          <t>연서면</t>
        </is>
      </c>
      <c r="G5803" s="3" t="inlineStr">
        <is>
          <t>쌍류리</t>
        </is>
      </c>
      <c r="H5803" s="3" t="inlineStr">
        <is>
          <t>생산관리지역</t>
        </is>
      </c>
      <c r="I5803" s="3" t="inlineStr">
        <is>
          <t>과수원</t>
        </is>
      </c>
      <c r="J5803" s="3" t="inlineStr">
        <is>
          <t>연서면</t>
        </is>
      </c>
    </row>
    <row r="5804">
      <c r="A5804" s="3" t="n">
        <v>2023</v>
      </c>
      <c r="B5804" s="4" t="n">
        <v>29000</v>
      </c>
      <c r="C5804" s="4" t="n">
        <v>462</v>
      </c>
      <c r="D5804" s="4" t="n">
        <v>139.755</v>
      </c>
      <c r="E5804" s="5" t="n">
        <v>207.5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조치원읍</t>
        </is>
      </c>
    </row>
    <row r="5805">
      <c r="A5805" s="3" t="n">
        <v>2023</v>
      </c>
      <c r="B5805" s="4" t="n">
        <v>15000</v>
      </c>
      <c r="C5805" s="4" t="n">
        <v>696</v>
      </c>
      <c r="D5805" s="4" t="n">
        <v>210.54</v>
      </c>
      <c r="E5805" s="5" t="n">
        <v>71.2</v>
      </c>
      <c r="F5805" s="3" t="inlineStr">
        <is>
          <t>금남면</t>
        </is>
      </c>
      <c r="G5805" s="3" t="inlineStr">
        <is>
          <t>남곡리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2023</v>
      </c>
      <c r="B5806" s="4" t="n">
        <v>19350</v>
      </c>
      <c r="C5806" s="4" t="n">
        <v>425</v>
      </c>
      <c r="D5806" s="4" t="n">
        <v>128.5625</v>
      </c>
      <c r="E5806" s="5" t="n">
        <v>150.5</v>
      </c>
      <c r="F5806" s="3" t="inlineStr">
        <is>
          <t>연서면</t>
        </is>
      </c>
      <c r="G5806" s="3" t="inlineStr">
        <is>
          <t>성제리</t>
        </is>
      </c>
      <c r="H5806" s="3" t="inlineStr">
        <is>
          <t>계획관리지역</t>
        </is>
      </c>
      <c r="I5806" s="3" t="inlineStr">
        <is>
          <t>대</t>
        </is>
      </c>
      <c r="J5806" s="3" t="inlineStr">
        <is>
          <t>연서면</t>
        </is>
      </c>
    </row>
    <row r="5807">
      <c r="A5807" s="3" t="n">
        <v>2023</v>
      </c>
      <c r="B5807" s="4" t="n">
        <v>76813</v>
      </c>
      <c r="C5807" s="4" t="n">
        <v>2051</v>
      </c>
      <c r="D5807" s="4" t="n">
        <v>620.4275</v>
      </c>
      <c r="E5807" s="5" t="n">
        <v>123.8</v>
      </c>
      <c r="F5807" s="3" t="inlineStr">
        <is>
          <t>금남면</t>
        </is>
      </c>
      <c r="G5807" s="3" t="inlineStr">
        <is>
          <t>영치리</t>
        </is>
      </c>
      <c r="H5807" s="3" t="inlineStr">
        <is>
          <t>자연녹지지역</t>
        </is>
      </c>
      <c r="I5807" s="3" t="inlineStr">
        <is>
          <t>답</t>
        </is>
      </c>
      <c r="J5807" s="3" t="inlineStr">
        <is>
          <t>금남면</t>
        </is>
      </c>
    </row>
    <row r="5808">
      <c r="A5808" s="3" t="n">
        <v>2023</v>
      </c>
      <c r="B5808" s="4" t="n">
        <v>187</v>
      </c>
      <c r="C5808" s="4" t="n">
        <v>5</v>
      </c>
      <c r="D5808" s="4" t="n">
        <v>1.5125</v>
      </c>
      <c r="E5808" s="5" t="n">
        <v>123.6</v>
      </c>
      <c r="F5808" s="3" t="inlineStr">
        <is>
          <t>금남면</t>
        </is>
      </c>
      <c r="G5808" s="3" t="inlineStr">
        <is>
          <t>영치리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금남면</t>
        </is>
      </c>
    </row>
    <row r="5809">
      <c r="A5809" s="3" t="n">
        <v>2023</v>
      </c>
      <c r="B5809" s="4" t="n">
        <v>103000</v>
      </c>
      <c r="C5809" s="4" t="n">
        <v>943</v>
      </c>
      <c r="D5809" s="4" t="n">
        <v>285.2575</v>
      </c>
      <c r="E5809" s="5" t="n">
        <v>361.1</v>
      </c>
      <c r="F5809" s="3" t="inlineStr">
        <is>
          <t>금남면</t>
        </is>
      </c>
      <c r="G5809" s="3" t="inlineStr">
        <is>
          <t>영치리</t>
        </is>
      </c>
      <c r="H5809" s="3" t="inlineStr">
        <is>
          <t>자연녹지지역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2023</v>
      </c>
      <c r="B5810" s="4" t="n">
        <v>500</v>
      </c>
      <c r="C5810" s="4" t="n">
        <v>1655</v>
      </c>
      <c r="D5810" s="4" t="n">
        <v>500.6375</v>
      </c>
      <c r="E5810" s="5" t="n">
        <v>1</v>
      </c>
      <c r="F5810" s="3" t="inlineStr">
        <is>
          <t>전의면</t>
        </is>
      </c>
      <c r="G5810" s="3" t="inlineStr">
        <is>
          <t>달전리</t>
        </is>
      </c>
      <c r="H5810" s="3" t="inlineStr">
        <is>
          <t>농림지역</t>
        </is>
      </c>
      <c r="I5810" s="3" t="inlineStr">
        <is>
          <t>임야</t>
        </is>
      </c>
      <c r="J5810" s="3" t="inlineStr">
        <is>
          <t>전의면</t>
        </is>
      </c>
    </row>
    <row r="5811">
      <c r="A5811" s="3" t="n">
        <v>2022</v>
      </c>
      <c r="B5811" s="4" t="n">
        <v>2444</v>
      </c>
      <c r="C5811" s="4" t="n">
        <v>202</v>
      </c>
      <c r="D5811" s="4" t="n">
        <v>61.105</v>
      </c>
      <c r="E5811" s="5" t="n">
        <v>40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보전관리지역</t>
        </is>
      </c>
      <c r="I5811" s="3" t="inlineStr">
        <is>
          <t>임야</t>
        </is>
      </c>
      <c r="J5811" s="3" t="inlineStr">
        <is>
          <t>부강면</t>
        </is>
      </c>
    </row>
    <row r="5812">
      <c r="A5812" s="3" t="n">
        <v>2022</v>
      </c>
      <c r="B5812" s="4" t="n">
        <v>5500</v>
      </c>
      <c r="C5812" s="4" t="n">
        <v>302</v>
      </c>
      <c r="D5812" s="4" t="n">
        <v>91.355</v>
      </c>
      <c r="E5812" s="5" t="n">
        <v>60.2</v>
      </c>
      <c r="F5812" s="3" t="inlineStr">
        <is>
          <t>소정면</t>
        </is>
      </c>
      <c r="G5812" s="3" t="inlineStr">
        <is>
          <t>대곡리</t>
        </is>
      </c>
      <c r="H5812" s="3" t="inlineStr">
        <is>
          <t>계획관리지역</t>
        </is>
      </c>
      <c r="I5812" s="3" t="inlineStr">
        <is>
          <t>전</t>
        </is>
      </c>
      <c r="J5812" s="3" t="inlineStr">
        <is>
          <t>소정면</t>
        </is>
      </c>
    </row>
    <row r="5813">
      <c r="A5813" s="3" t="n">
        <v>2022</v>
      </c>
      <c r="B5813" s="4" t="n">
        <v>4200</v>
      </c>
      <c r="C5813" s="4" t="n">
        <v>926</v>
      </c>
      <c r="D5813" s="4" t="n">
        <v>280.115</v>
      </c>
      <c r="E5813" s="5" t="n">
        <v>15</v>
      </c>
      <c r="F5813" s="3" t="inlineStr">
        <is>
          <t>소정면</t>
        </is>
      </c>
      <c r="G5813" s="3" t="inlineStr">
        <is>
          <t>고등리</t>
        </is>
      </c>
      <c r="H5813" s="3" t="inlineStr">
        <is>
          <t>농림지역</t>
        </is>
      </c>
      <c r="I5813" s="3" t="inlineStr">
        <is>
          <t>임야</t>
        </is>
      </c>
      <c r="J5813" s="3" t="inlineStr">
        <is>
          <t>소정면</t>
        </is>
      </c>
    </row>
    <row r="5814">
      <c r="A5814" s="3" t="n">
        <v>2022</v>
      </c>
      <c r="B5814" s="4" t="n">
        <v>12400</v>
      </c>
      <c r="C5814" s="4" t="n">
        <v>587</v>
      </c>
      <c r="D5814" s="4" t="n">
        <v>177.5675</v>
      </c>
      <c r="E5814" s="5" t="n">
        <v>69.8</v>
      </c>
      <c r="F5814" s="3" t="inlineStr">
        <is>
          <t>금남면</t>
        </is>
      </c>
      <c r="G5814" s="3" t="inlineStr">
        <is>
          <t>달전리</t>
        </is>
      </c>
      <c r="H5814" s="3" t="inlineStr">
        <is>
          <t>개발제한구역</t>
        </is>
      </c>
      <c r="I5814" s="3" t="inlineStr">
        <is>
          <t>답</t>
        </is>
      </c>
      <c r="J5814" s="3" t="inlineStr">
        <is>
          <t>금남면</t>
        </is>
      </c>
    </row>
    <row r="5815">
      <c r="A5815" s="3" t="n">
        <v>2022</v>
      </c>
      <c r="B5815" s="4" t="n">
        <v>7000</v>
      </c>
      <c r="C5815" s="4" t="n">
        <v>122</v>
      </c>
      <c r="D5815" s="4" t="n">
        <v>36.905</v>
      </c>
      <c r="E5815" s="5" t="n">
        <v>189.7</v>
      </c>
      <c r="F5815" s="3" t="inlineStr">
        <is>
          <t>부강면</t>
        </is>
      </c>
      <c r="G5815" s="3" t="inlineStr">
        <is>
          <t>갈산리</t>
        </is>
      </c>
      <c r="H5815" s="3" t="inlineStr">
        <is>
          <t>계획관리지역</t>
        </is>
      </c>
      <c r="I5815" s="3" t="inlineStr">
        <is>
          <t>답</t>
        </is>
      </c>
      <c r="J5815" s="3" t="inlineStr">
        <is>
          <t>부강면</t>
        </is>
      </c>
    </row>
    <row r="5816">
      <c r="A5816" s="3" t="n">
        <v>2022</v>
      </c>
      <c r="B5816" s="4" t="n">
        <v>4424</v>
      </c>
      <c r="C5816" s="4" t="n">
        <v>140</v>
      </c>
      <c r="D5816" s="4" t="n">
        <v>42.35</v>
      </c>
      <c r="E5816" s="5" t="n">
        <v>104.5</v>
      </c>
      <c r="F5816" s="3" t="inlineStr">
        <is>
          <t>부강면</t>
        </is>
      </c>
      <c r="G5816" s="3" t="inlineStr">
        <is>
          <t>등곡리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부강면</t>
        </is>
      </c>
    </row>
    <row r="5817">
      <c r="A5817" s="3" t="n">
        <v>2022</v>
      </c>
      <c r="B5817" s="4" t="n">
        <v>2100</v>
      </c>
      <c r="C5817" s="4" t="n">
        <v>698</v>
      </c>
      <c r="D5817" s="4" t="n">
        <v>211.145</v>
      </c>
      <c r="E5817" s="5" t="n">
        <v>9.9</v>
      </c>
      <c r="F5817" s="3" t="inlineStr">
        <is>
          <t>금남면</t>
        </is>
      </c>
      <c r="G5817" s="3" t="inlineStr">
        <is>
          <t>원봉리</t>
        </is>
      </c>
      <c r="H5817" s="3" t="inlineStr">
        <is>
          <t>농림지역</t>
        </is>
      </c>
      <c r="I5817" s="3" t="inlineStr">
        <is>
          <t>임야</t>
        </is>
      </c>
      <c r="J5817" s="3" t="inlineStr">
        <is>
          <t>금남면</t>
        </is>
      </c>
    </row>
    <row r="5818">
      <c r="A5818" s="3" t="n">
        <v>2022</v>
      </c>
      <c r="B5818" s="4" t="n">
        <v>7050</v>
      </c>
      <c r="C5818" s="4" t="n">
        <v>157</v>
      </c>
      <c r="D5818" s="4" t="n">
        <v>47.4925</v>
      </c>
      <c r="E5818" s="5" t="n">
        <v>148.4</v>
      </c>
      <c r="F5818" s="3" t="inlineStr">
        <is>
          <t>장군면</t>
        </is>
      </c>
      <c r="G5818" s="3" t="inlineStr">
        <is>
          <t>태산리</t>
        </is>
      </c>
      <c r="H5818" s="3" t="inlineStr">
        <is>
          <t>계획관리지역</t>
        </is>
      </c>
      <c r="I5818" s="3" t="inlineStr">
        <is>
          <t>대</t>
        </is>
      </c>
      <c r="J5818" s="3" t="inlineStr">
        <is>
          <t>장군면</t>
        </is>
      </c>
    </row>
    <row r="5819">
      <c r="A5819" s="3" t="n">
        <v>2022</v>
      </c>
      <c r="B5819" s="4" t="n">
        <v>5000</v>
      </c>
      <c r="C5819" s="4" t="n">
        <v>1997</v>
      </c>
      <c r="D5819" s="4" t="n">
        <v>604.0925</v>
      </c>
      <c r="E5819" s="5" t="n">
        <v>8.300000000000001</v>
      </c>
      <c r="F5819" s="3" t="inlineStr">
        <is>
          <t>전동면</t>
        </is>
      </c>
      <c r="G5819" s="3" t="inlineStr">
        <is>
          <t>노장리</t>
        </is>
      </c>
      <c r="H5819" s="3" t="inlineStr">
        <is>
          <t>농림지역</t>
        </is>
      </c>
      <c r="I5819" s="3" t="inlineStr">
        <is>
          <t>답</t>
        </is>
      </c>
      <c r="J5819" s="3" t="inlineStr">
        <is>
          <t>전동면</t>
        </is>
      </c>
    </row>
    <row r="5820">
      <c r="A5820" s="3" t="n">
        <v>2022</v>
      </c>
      <c r="B5820" s="4" t="n">
        <v>12000</v>
      </c>
      <c r="C5820" s="4" t="n">
        <v>569</v>
      </c>
      <c r="D5820" s="4" t="n">
        <v>172.1225</v>
      </c>
      <c r="E5820" s="5" t="n">
        <v>69.7</v>
      </c>
      <c r="F5820" s="3" t="inlineStr">
        <is>
          <t>부강면</t>
        </is>
      </c>
      <c r="G5820" s="3" t="inlineStr">
        <is>
          <t>노호리</t>
        </is>
      </c>
      <c r="H5820" s="3" t="inlineStr">
        <is>
          <t>계획관리지역</t>
        </is>
      </c>
      <c r="I5820" s="3" t="inlineStr">
        <is>
          <t>전</t>
        </is>
      </c>
      <c r="J5820" s="3" t="inlineStr">
        <is>
          <t>부강면</t>
        </is>
      </c>
    </row>
    <row r="5821">
      <c r="A5821" s="3" t="n">
        <v>2022</v>
      </c>
      <c r="B5821" s="4" t="n">
        <v>1000</v>
      </c>
      <c r="C5821" s="4" t="n">
        <v>47</v>
      </c>
      <c r="D5821" s="4" t="n">
        <v>14.2175</v>
      </c>
      <c r="E5821" s="5" t="n">
        <v>70.3</v>
      </c>
      <c r="F5821" s="3" t="inlineStr">
        <is>
          <t>부강면</t>
        </is>
      </c>
      <c r="G5821" s="3" t="inlineStr">
        <is>
          <t>노호리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부강면</t>
        </is>
      </c>
    </row>
    <row r="5822">
      <c r="A5822" s="3" t="n">
        <v>2022</v>
      </c>
      <c r="B5822" s="4" t="n">
        <v>71762</v>
      </c>
      <c r="C5822" s="4" t="n">
        <v>658</v>
      </c>
      <c r="D5822" s="4" t="n">
        <v>199.045</v>
      </c>
      <c r="E5822" s="5" t="n">
        <v>360.5</v>
      </c>
      <c r="F5822" s="3" t="inlineStr">
        <is>
          <t>장군면</t>
        </is>
      </c>
      <c r="G5822" s="3" t="inlineStr">
        <is>
          <t>봉안리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2022</v>
      </c>
      <c r="B5823" s="4" t="n">
        <v>58238</v>
      </c>
      <c r="C5823" s="4" t="n">
        <v>534</v>
      </c>
      <c r="D5823" s="4" t="n">
        <v>161.535</v>
      </c>
      <c r="E5823" s="5" t="n">
        <v>360.5</v>
      </c>
      <c r="F5823" s="3" t="inlineStr">
        <is>
          <t>장군면</t>
        </is>
      </c>
      <c r="G5823" s="3" t="inlineStr">
        <is>
          <t>봉안리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장군면</t>
        </is>
      </c>
    </row>
    <row r="5824">
      <c r="A5824" s="3" t="n">
        <v>2022</v>
      </c>
      <c r="B5824" s="4" t="n">
        <v>71642</v>
      </c>
      <c r="C5824" s="4" t="n">
        <v>658</v>
      </c>
      <c r="D5824" s="4" t="n">
        <v>199.045</v>
      </c>
      <c r="E5824" s="5" t="n">
        <v>359.9</v>
      </c>
      <c r="F5824" s="3" t="inlineStr">
        <is>
          <t>장군면</t>
        </is>
      </c>
      <c r="G5824" s="3" t="inlineStr">
        <is>
          <t>봉안리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장군면</t>
        </is>
      </c>
    </row>
    <row r="5825">
      <c r="A5825" s="3" t="n">
        <v>2022</v>
      </c>
      <c r="B5825" s="4" t="n">
        <v>58141</v>
      </c>
      <c r="C5825" s="4" t="n">
        <v>534</v>
      </c>
      <c r="D5825" s="4" t="n">
        <v>161.535</v>
      </c>
      <c r="E5825" s="5" t="n">
        <v>359.9</v>
      </c>
      <c r="F5825" s="3" t="inlineStr">
        <is>
          <t>장군면</t>
        </is>
      </c>
      <c r="G5825" s="3" t="inlineStr">
        <is>
          <t>봉안리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장군면</t>
        </is>
      </c>
    </row>
    <row r="5826">
      <c r="A5826" s="3" t="n">
        <v>2022</v>
      </c>
      <c r="B5826" s="4" t="n">
        <v>218</v>
      </c>
      <c r="C5826" s="4" t="n">
        <v>2</v>
      </c>
      <c r="D5826" s="4" t="n">
        <v>0.605</v>
      </c>
      <c r="E5826" s="5" t="n">
        <v>360.3</v>
      </c>
      <c r="F5826" s="3" t="inlineStr">
        <is>
          <t>장군면</t>
        </is>
      </c>
      <c r="G5826" s="3" t="inlineStr">
        <is>
          <t>봉안리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장군면</t>
        </is>
      </c>
    </row>
    <row r="5827">
      <c r="A5827" s="3" t="n">
        <v>2022</v>
      </c>
      <c r="B5827" s="4" t="n">
        <v>31500</v>
      </c>
      <c r="C5827" s="4" t="n">
        <v>166</v>
      </c>
      <c r="D5827" s="4" t="n">
        <v>50.215</v>
      </c>
      <c r="E5827" s="5" t="n">
        <v>627.3</v>
      </c>
      <c r="F5827" s="3" t="inlineStr">
        <is>
          <t>조치원읍</t>
        </is>
      </c>
      <c r="G5827" s="3" t="inlineStr">
        <is>
          <t>죽림리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2022</v>
      </c>
      <c r="B5828" s="4" t="n">
        <v>20000</v>
      </c>
      <c r="C5828" s="4" t="n">
        <v>140.8</v>
      </c>
      <c r="D5828" s="4" t="n">
        <v>42.592</v>
      </c>
      <c r="E5828" s="5" t="n">
        <v>469.6</v>
      </c>
      <c r="F5828" s="3" t="inlineStr">
        <is>
          <t>조치원읍</t>
        </is>
      </c>
      <c r="G5828" s="3" t="inlineStr">
        <is>
          <t>교리</t>
        </is>
      </c>
      <c r="H5828" s="3" t="inlineStr">
        <is>
          <t>제2종일반주거지역</t>
        </is>
      </c>
      <c r="I5828" s="3" t="inlineStr">
        <is>
          <t>대</t>
        </is>
      </c>
      <c r="J5828" s="3" t="inlineStr">
        <is>
          <t>조치원읍</t>
        </is>
      </c>
    </row>
    <row r="5829">
      <c r="A5829" s="3" t="n">
        <v>2023</v>
      </c>
      <c r="B5829" s="4" t="n">
        <v>17620</v>
      </c>
      <c r="C5829" s="4" t="n">
        <v>776</v>
      </c>
      <c r="D5829" s="4" t="n">
        <v>234.74</v>
      </c>
      <c r="E5829" s="5" t="n">
        <v>75.09999999999999</v>
      </c>
      <c r="F5829" s="3" t="inlineStr">
        <is>
          <t>장군면</t>
        </is>
      </c>
      <c r="G5829" s="3" t="inlineStr">
        <is>
          <t>송학리</t>
        </is>
      </c>
      <c r="H5829" s="3" t="inlineStr">
        <is>
          <t>보전관리지역</t>
        </is>
      </c>
      <c r="I5829" s="3" t="inlineStr">
        <is>
          <t>임야</t>
        </is>
      </c>
      <c r="J5829" s="3" t="inlineStr">
        <is>
          <t>장군면</t>
        </is>
      </c>
    </row>
    <row r="5830">
      <c r="A5830" s="3" t="n">
        <v>2024</v>
      </c>
      <c r="B5830" s="4" t="n">
        <v>10359</v>
      </c>
      <c r="C5830" s="4" t="n">
        <v>416</v>
      </c>
      <c r="D5830" s="4" t="n">
        <v>125.84</v>
      </c>
      <c r="E5830" s="5" t="n">
        <v>82.3</v>
      </c>
      <c r="F5830" s="3" t="inlineStr">
        <is>
          <t>전동면</t>
        </is>
      </c>
      <c r="G5830" s="3" t="inlineStr">
        <is>
          <t>보덕리</t>
        </is>
      </c>
      <c r="H5830" s="3" t="inlineStr">
        <is>
          <t>계획관리지역</t>
        </is>
      </c>
      <c r="I5830" s="3" t="inlineStr">
        <is>
          <t>전</t>
        </is>
      </c>
      <c r="J5830" s="3" t="inlineStr">
        <is>
          <t>전동면</t>
        </is>
      </c>
    </row>
    <row r="5831">
      <c r="A5831" s="3" t="n">
        <v>2025</v>
      </c>
      <c r="B5831" s="4" t="n">
        <v>38290</v>
      </c>
      <c r="C5831" s="4" t="n">
        <v>1809</v>
      </c>
      <c r="D5831" s="4" t="n">
        <v>547.2225</v>
      </c>
      <c r="E5831" s="5" t="n">
        <v>70</v>
      </c>
      <c r="F5831" s="3" t="inlineStr">
        <is>
          <t>금남면</t>
        </is>
      </c>
      <c r="G5831" s="3" t="inlineStr">
        <is>
          <t>남곡리</t>
        </is>
      </c>
      <c r="H5831" s="3" t="inlineStr">
        <is>
          <t>개발제한구역</t>
        </is>
      </c>
      <c r="I5831" s="3" t="inlineStr">
        <is>
          <t>전</t>
        </is>
      </c>
      <c r="J5831" s="3" t="inlineStr">
        <is>
          <t>금남면</t>
        </is>
      </c>
    </row>
    <row r="5832">
      <c r="A5832" s="3" t="n">
        <v>2025</v>
      </c>
      <c r="B5832" s="4" t="n">
        <v>285</v>
      </c>
      <c r="C5832" s="4" t="n">
        <v>200</v>
      </c>
      <c r="D5832" s="4" t="n">
        <v>60.5</v>
      </c>
      <c r="E5832" s="5" t="n">
        <v>4.7</v>
      </c>
      <c r="F5832" s="3" t="inlineStr">
        <is>
          <t>금남면</t>
        </is>
      </c>
      <c r="G5832" s="3" t="inlineStr">
        <is>
          <t>영치리</t>
        </is>
      </c>
      <c r="H5832" s="3" t="inlineStr">
        <is>
          <t>자연녹지지역</t>
        </is>
      </c>
      <c r="I5832" s="3" t="inlineStr">
        <is>
          <t>임야</t>
        </is>
      </c>
      <c r="J5832" s="3" t="inlineStr">
        <is>
          <t>금남면</t>
        </is>
      </c>
    </row>
    <row r="5833">
      <c r="A5833" s="3" t="n">
        <v>2026</v>
      </c>
      <c r="B5833" s="4" t="n">
        <v>40000</v>
      </c>
      <c r="C5833" s="4" t="n">
        <v>3326</v>
      </c>
      <c r="D5833" s="4" t="n">
        <v>1006.115</v>
      </c>
      <c r="E5833" s="5" t="n">
        <v>39.8</v>
      </c>
      <c r="F5833" s="3" t="inlineStr">
        <is>
          <t>금남면</t>
        </is>
      </c>
      <c r="G5833" s="3" t="inlineStr">
        <is>
          <t>성강리</t>
        </is>
      </c>
      <c r="H5833" s="3" t="inlineStr">
        <is>
          <t>농림지역</t>
        </is>
      </c>
      <c r="I5833" s="3" t="inlineStr">
        <is>
          <t>답</t>
        </is>
      </c>
      <c r="J5833" s="3" t="inlineStr">
        <is>
          <t>금남면</t>
        </is>
      </c>
    </row>
    <row r="5834">
      <c r="A5834" s="3" t="n">
        <v>2026</v>
      </c>
      <c r="B5834" s="4" t="n">
        <v>21200</v>
      </c>
      <c r="C5834" s="4" t="n">
        <v>1009</v>
      </c>
      <c r="D5834" s="4" t="n">
        <v>305.2225</v>
      </c>
      <c r="E5834" s="5" t="n">
        <v>69.5</v>
      </c>
      <c r="F5834" s="3" t="inlineStr">
        <is>
          <t>금남면</t>
        </is>
      </c>
      <c r="G5834" s="3" t="inlineStr">
        <is>
          <t>영대리</t>
        </is>
      </c>
      <c r="H5834" s="3" t="inlineStr">
        <is>
          <t>개발제한구역</t>
        </is>
      </c>
      <c r="I5834" s="3" t="inlineStr">
        <is>
          <t>전</t>
        </is>
      </c>
      <c r="J5834" s="3" t="inlineStr">
        <is>
          <t>금남면</t>
        </is>
      </c>
    </row>
    <row r="5835">
      <c r="A5835" s="3" t="n">
        <v>2026</v>
      </c>
      <c r="B5835" s="4" t="n">
        <v>31255</v>
      </c>
      <c r="C5835" s="4" t="n">
        <v>3230</v>
      </c>
      <c r="D5835" s="4" t="n">
        <v>977.0749999999999</v>
      </c>
      <c r="E5835" s="5" t="n">
        <v>32</v>
      </c>
      <c r="F5835" s="3" t="inlineStr">
        <is>
          <t>전의면</t>
        </is>
      </c>
      <c r="G5835" s="3" t="inlineStr">
        <is>
          <t>원성리</t>
        </is>
      </c>
      <c r="H5835" s="3" t="inlineStr">
        <is>
          <t>보전관리지역</t>
        </is>
      </c>
      <c r="I5835" s="3" t="inlineStr">
        <is>
          <t>답</t>
        </is>
      </c>
      <c r="J5835" s="3" t="inlineStr">
        <is>
          <t>전의면</t>
        </is>
      </c>
    </row>
    <row r="5836">
      <c r="A5836" s="3" t="n">
        <v>2022</v>
      </c>
      <c r="B5836" s="4" t="n">
        <v>160000</v>
      </c>
      <c r="C5836" s="4" t="n">
        <v>9991</v>
      </c>
      <c r="D5836" s="4" t="n">
        <v>3022.2775</v>
      </c>
      <c r="E5836" s="5" t="n">
        <v>52.9</v>
      </c>
      <c r="F5836" s="3" t="inlineStr">
        <is>
          <t>연동면</t>
        </is>
      </c>
      <c r="G5836" s="3" t="inlineStr">
        <is>
          <t>문주리</t>
        </is>
      </c>
      <c r="H5836" s="3" t="inlineStr">
        <is>
          <t>보전관리지역</t>
        </is>
      </c>
      <c r="I5836" s="3" t="inlineStr">
        <is>
          <t>임야</t>
        </is>
      </c>
      <c r="J5836" s="3" t="inlineStr">
        <is>
          <t>연동면</t>
        </is>
      </c>
    </row>
    <row r="5837">
      <c r="A5837" s="3" t="n">
        <v>2022</v>
      </c>
      <c r="B5837" s="4" t="n">
        <v>130000</v>
      </c>
      <c r="C5837" s="4" t="n">
        <v>1194</v>
      </c>
      <c r="D5837" s="4" t="n">
        <v>361.185</v>
      </c>
      <c r="E5837" s="5" t="n">
        <v>359.9</v>
      </c>
      <c r="F5837" s="3" t="inlineStr">
        <is>
          <t>장군면</t>
        </is>
      </c>
      <c r="G5837" s="3" t="inlineStr">
        <is>
          <t>봉안리</t>
        </is>
      </c>
      <c r="H5837" s="3" t="inlineStr">
        <is>
          <t>계획관리지역</t>
        </is>
      </c>
      <c r="I5837" s="3" t="inlineStr">
        <is>
          <t>답</t>
        </is>
      </c>
      <c r="J5837" s="3" t="inlineStr">
        <is>
          <t>장군면</t>
        </is>
      </c>
    </row>
    <row r="5838">
      <c r="A5838" s="3" t="n">
        <v>2022</v>
      </c>
      <c r="B5838" s="4" t="n">
        <v>1000</v>
      </c>
      <c r="C5838" s="4" t="n">
        <v>47</v>
      </c>
      <c r="D5838" s="4" t="n">
        <v>14.2175</v>
      </c>
      <c r="E5838" s="5" t="n">
        <v>70.3</v>
      </c>
      <c r="F5838" s="3" t="inlineStr">
        <is>
          <t>부강면</t>
        </is>
      </c>
      <c r="G5838" s="3" t="inlineStr">
        <is>
          <t>노호리</t>
        </is>
      </c>
      <c r="H5838" s="3" t="inlineStr">
        <is>
          <t>계획관리지역</t>
        </is>
      </c>
      <c r="I5838" s="3" t="inlineStr">
        <is>
          <t>전</t>
        </is>
      </c>
      <c r="J5838" s="3" t="inlineStr">
        <is>
          <t>부강면</t>
        </is>
      </c>
    </row>
    <row r="5839">
      <c r="A5839" s="3" t="n">
        <v>2022</v>
      </c>
      <c r="B5839" s="4" t="n">
        <v>35700</v>
      </c>
      <c r="C5839" s="4" t="n">
        <v>1742</v>
      </c>
      <c r="D5839" s="4" t="n">
        <v>526.955</v>
      </c>
      <c r="E5839" s="5" t="n">
        <v>67.7</v>
      </c>
      <c r="F5839" s="3" t="inlineStr">
        <is>
          <t>전의면</t>
        </is>
      </c>
      <c r="G5839" s="3" t="inlineStr">
        <is>
          <t>다방리</t>
        </is>
      </c>
      <c r="H5839" s="3" t="inlineStr">
        <is>
          <t>생산관리지역</t>
        </is>
      </c>
      <c r="I5839" s="3" t="inlineStr">
        <is>
          <t>전</t>
        </is>
      </c>
      <c r="J5839" s="3" t="inlineStr">
        <is>
          <t>전의면</t>
        </is>
      </c>
    </row>
    <row r="5840">
      <c r="A5840" s="3" t="n">
        <v>2022</v>
      </c>
      <c r="B5840" s="4" t="n">
        <v>3300</v>
      </c>
      <c r="C5840" s="4" t="n">
        <v>267</v>
      </c>
      <c r="D5840" s="4" t="n">
        <v>80.7675</v>
      </c>
      <c r="E5840" s="5" t="n">
        <v>40.9</v>
      </c>
      <c r="F5840" s="3" t="inlineStr">
        <is>
          <t>전의면</t>
        </is>
      </c>
      <c r="G5840" s="3" t="inlineStr">
        <is>
          <t>다방리</t>
        </is>
      </c>
      <c r="H5840" s="3" t="inlineStr">
        <is>
          <t>생산관리지역</t>
        </is>
      </c>
      <c r="I5840" s="3" t="inlineStr">
        <is>
          <t>답</t>
        </is>
      </c>
      <c r="J5840" s="3" t="inlineStr">
        <is>
          <t>전의면</t>
        </is>
      </c>
    </row>
    <row r="5841">
      <c r="A5841" s="3" t="n">
        <v>2022</v>
      </c>
      <c r="B5841" s="4" t="n">
        <v>60000</v>
      </c>
      <c r="C5841" s="4" t="n">
        <v>345</v>
      </c>
      <c r="D5841" s="4" t="n">
        <v>104.3625</v>
      </c>
      <c r="E5841" s="5" t="n">
        <v>574.9</v>
      </c>
      <c r="F5841" s="3" t="inlineStr">
        <is>
          <t>고운동</t>
        </is>
      </c>
      <c r="G5841" s="3" t="inlineStr"/>
      <c r="H5841" s="3" t="inlineStr">
        <is>
          <t>제1종전용주거지역</t>
        </is>
      </c>
      <c r="I5841" s="3" t="inlineStr">
        <is>
          <t>대</t>
        </is>
      </c>
      <c r="J5841" s="3" t="inlineStr">
        <is>
          <t>고운동</t>
        </is>
      </c>
    </row>
    <row r="5842">
      <c r="A5842" s="3" t="n">
        <v>2022</v>
      </c>
      <c r="B5842" s="4" t="n">
        <v>29500</v>
      </c>
      <c r="C5842" s="4" t="n">
        <v>14340</v>
      </c>
      <c r="D5842" s="4" t="n">
        <v>4337.849999999999</v>
      </c>
      <c r="E5842" s="5" t="n">
        <v>6.8</v>
      </c>
      <c r="F5842" s="3" t="inlineStr">
        <is>
          <t>전의면</t>
        </is>
      </c>
      <c r="G5842" s="3" t="inlineStr">
        <is>
          <t>달전리</t>
        </is>
      </c>
      <c r="H5842" s="3" t="inlineStr">
        <is>
          <t>농림지역</t>
        </is>
      </c>
      <c r="I5842" s="3" t="inlineStr">
        <is>
          <t>임야</t>
        </is>
      </c>
      <c r="J5842" s="3" t="inlineStr">
        <is>
          <t>전의면</t>
        </is>
      </c>
    </row>
    <row r="5843">
      <c r="A5843" s="3" t="n">
        <v>2022</v>
      </c>
      <c r="B5843" s="4" t="n">
        <v>5000</v>
      </c>
      <c r="C5843" s="4" t="n">
        <v>2437</v>
      </c>
      <c r="D5843" s="4" t="n">
        <v>737.1925</v>
      </c>
      <c r="E5843" s="5" t="n">
        <v>6.8</v>
      </c>
      <c r="F5843" s="3" t="inlineStr">
        <is>
          <t>전의면</t>
        </is>
      </c>
      <c r="G5843" s="3" t="inlineStr">
        <is>
          <t>달전리</t>
        </is>
      </c>
      <c r="H5843" s="3" t="inlineStr">
        <is>
          <t>농림지역</t>
        </is>
      </c>
      <c r="I5843" s="3" t="inlineStr">
        <is>
          <t>임야</t>
        </is>
      </c>
      <c r="J5843" s="3" t="inlineStr">
        <is>
          <t>전의면</t>
        </is>
      </c>
    </row>
    <row r="5844">
      <c r="A5844" s="3" t="n">
        <v>2022</v>
      </c>
      <c r="B5844" s="4" t="n">
        <v>12800</v>
      </c>
      <c r="C5844" s="4" t="n">
        <v>6240</v>
      </c>
      <c r="D5844" s="4" t="n">
        <v>1887.6</v>
      </c>
      <c r="E5844" s="5" t="n">
        <v>6.8</v>
      </c>
      <c r="F5844" s="3" t="inlineStr">
        <is>
          <t>전의면</t>
        </is>
      </c>
      <c r="G5844" s="3" t="inlineStr">
        <is>
          <t>달전리</t>
        </is>
      </c>
      <c r="H5844" s="3" t="inlineStr">
        <is>
          <t>농림지역</t>
        </is>
      </c>
      <c r="I5844" s="3" t="inlineStr">
        <is>
          <t>임야</t>
        </is>
      </c>
      <c r="J5844" s="3" t="inlineStr">
        <is>
          <t>전의면</t>
        </is>
      </c>
    </row>
    <row r="5845">
      <c r="A5845" s="3" t="n">
        <v>2022</v>
      </c>
      <c r="B5845" s="4" t="n">
        <v>12300</v>
      </c>
      <c r="C5845" s="4" t="n">
        <v>5949</v>
      </c>
      <c r="D5845" s="4" t="n">
        <v>1799.5725</v>
      </c>
      <c r="E5845" s="5" t="n">
        <v>6.8</v>
      </c>
      <c r="F5845" s="3" t="inlineStr">
        <is>
          <t>전의면</t>
        </is>
      </c>
      <c r="G5845" s="3" t="inlineStr">
        <is>
          <t>달전리</t>
        </is>
      </c>
      <c r="H5845" s="3" t="inlineStr">
        <is>
          <t>농림지역</t>
        </is>
      </c>
      <c r="I5845" s="3" t="inlineStr">
        <is>
          <t>임야</t>
        </is>
      </c>
      <c r="J5845" s="3" t="inlineStr">
        <is>
          <t>전의면</t>
        </is>
      </c>
    </row>
    <row r="5846">
      <c r="A5846" s="3" t="n">
        <v>2022</v>
      </c>
      <c r="B5846" s="4" t="n">
        <v>3400</v>
      </c>
      <c r="C5846" s="4" t="n">
        <v>1655</v>
      </c>
      <c r="D5846" s="4" t="n">
        <v>500.6375</v>
      </c>
      <c r="E5846" s="5" t="n">
        <v>6.8</v>
      </c>
      <c r="F5846" s="3" t="inlineStr">
        <is>
          <t>전의면</t>
        </is>
      </c>
      <c r="G5846" s="3" t="inlineStr">
        <is>
          <t>달전리</t>
        </is>
      </c>
      <c r="H5846" s="3" t="inlineStr">
        <is>
          <t>농림지역</t>
        </is>
      </c>
      <c r="I5846" s="3" t="inlineStr">
        <is>
          <t>임야</t>
        </is>
      </c>
      <c r="J5846" s="3" t="inlineStr">
        <is>
          <t>전의면</t>
        </is>
      </c>
    </row>
    <row r="5847">
      <c r="A5847" s="3" t="n">
        <v>2022</v>
      </c>
      <c r="B5847" s="4" t="n">
        <v>5000</v>
      </c>
      <c r="C5847" s="4" t="n">
        <v>2437</v>
      </c>
      <c r="D5847" s="4" t="n">
        <v>737.1925</v>
      </c>
      <c r="E5847" s="5" t="n">
        <v>6.8</v>
      </c>
      <c r="F5847" s="3" t="inlineStr">
        <is>
          <t>전의면</t>
        </is>
      </c>
      <c r="G5847" s="3" t="inlineStr">
        <is>
          <t>달전리</t>
        </is>
      </c>
      <c r="H5847" s="3" t="inlineStr">
        <is>
          <t>농림지역</t>
        </is>
      </c>
      <c r="I5847" s="3" t="inlineStr">
        <is>
          <t>임야</t>
        </is>
      </c>
      <c r="J5847" s="3" t="inlineStr">
        <is>
          <t>전의면</t>
        </is>
      </c>
    </row>
    <row r="5848">
      <c r="A5848" s="3" t="n">
        <v>2022</v>
      </c>
      <c r="B5848" s="4" t="n">
        <v>6500</v>
      </c>
      <c r="C5848" s="4" t="n">
        <v>1200</v>
      </c>
      <c r="D5848" s="4" t="n">
        <v>363</v>
      </c>
      <c r="E5848" s="5" t="n">
        <v>17.9</v>
      </c>
      <c r="F5848" s="3" t="inlineStr">
        <is>
          <t>연서면</t>
        </is>
      </c>
      <c r="G5848" s="3" t="inlineStr">
        <is>
          <t>성제리</t>
        </is>
      </c>
      <c r="H5848" s="3" t="inlineStr">
        <is>
          <t>보전관리지역</t>
        </is>
      </c>
      <c r="I5848" s="3" t="inlineStr">
        <is>
          <t>전</t>
        </is>
      </c>
      <c r="J5848" s="3" t="inlineStr">
        <is>
          <t>연서면</t>
        </is>
      </c>
    </row>
    <row r="5849">
      <c r="A5849" s="3" t="n">
        <v>2025</v>
      </c>
      <c r="B5849" s="4" t="n">
        <v>3750</v>
      </c>
      <c r="C5849" s="4" t="n">
        <v>51</v>
      </c>
      <c r="D5849" s="4" t="n">
        <v>15.4275</v>
      </c>
      <c r="E5849" s="5" t="n">
        <v>243.1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제2종일반주거지역</t>
        </is>
      </c>
      <c r="I5849" s="3" t="inlineStr">
        <is>
          <t>대</t>
        </is>
      </c>
      <c r="J5849" s="3" t="inlineStr">
        <is>
          <t>조치원읍</t>
        </is>
      </c>
    </row>
    <row r="5850">
      <c r="A5850" s="3" t="n">
        <v>2025</v>
      </c>
      <c r="B5850" s="4" t="n">
        <v>6500</v>
      </c>
      <c r="C5850" s="4" t="n">
        <v>330</v>
      </c>
      <c r="D5850" s="4" t="n">
        <v>99.825</v>
      </c>
      <c r="E5850" s="5" t="n">
        <v>65.09999999999999</v>
      </c>
      <c r="F5850" s="3" t="inlineStr">
        <is>
          <t>장군면</t>
        </is>
      </c>
      <c r="G5850" s="3" t="inlineStr">
        <is>
          <t>하봉리</t>
        </is>
      </c>
      <c r="H5850" s="3" t="inlineStr">
        <is>
          <t>계획관리지역</t>
        </is>
      </c>
      <c r="I5850" s="3" t="inlineStr">
        <is>
          <t>임야</t>
        </is>
      </c>
      <c r="J5850" s="3" t="inlineStr">
        <is>
          <t>장군면</t>
        </is>
      </c>
    </row>
    <row r="5851">
      <c r="A5851" s="3" t="n">
        <v>2025</v>
      </c>
      <c r="B5851" s="4" t="n">
        <v>33570</v>
      </c>
      <c r="C5851" s="4" t="n">
        <v>1497</v>
      </c>
      <c r="D5851" s="4" t="n">
        <v>452.8425</v>
      </c>
      <c r="E5851" s="5" t="n">
        <v>74.09999999999999</v>
      </c>
      <c r="F5851" s="3" t="inlineStr">
        <is>
          <t>장군면</t>
        </is>
      </c>
      <c r="G5851" s="3" t="inlineStr">
        <is>
          <t>산학리</t>
        </is>
      </c>
      <c r="H5851" s="3" t="inlineStr">
        <is>
          <t>농림지역</t>
        </is>
      </c>
      <c r="I5851" s="3" t="inlineStr">
        <is>
          <t>임야</t>
        </is>
      </c>
      <c r="J5851" s="3" t="inlineStr">
        <is>
          <t>장군면</t>
        </is>
      </c>
    </row>
    <row r="5852">
      <c r="A5852" s="3" t="n">
        <v>2025</v>
      </c>
      <c r="B5852" s="4" t="n">
        <v>4000</v>
      </c>
      <c r="C5852" s="4" t="n">
        <v>100</v>
      </c>
      <c r="D5852" s="4" t="n">
        <v>30.25</v>
      </c>
      <c r="E5852" s="5" t="n">
        <v>132.2</v>
      </c>
      <c r="F5852" s="3" t="inlineStr">
        <is>
          <t>장군면</t>
        </is>
      </c>
      <c r="G5852" s="3" t="inlineStr">
        <is>
          <t>송문리</t>
        </is>
      </c>
      <c r="H5852" s="3" t="inlineStr">
        <is>
          <t>계획관리지역</t>
        </is>
      </c>
      <c r="I5852" s="3" t="inlineStr">
        <is>
          <t>전</t>
        </is>
      </c>
      <c r="J5852" s="3" t="inlineStr">
        <is>
          <t>장군면</t>
        </is>
      </c>
    </row>
    <row r="5853">
      <c r="A5853" s="3" t="n">
        <v>2025</v>
      </c>
      <c r="B5853" s="4" t="n">
        <v>39000</v>
      </c>
      <c r="C5853" s="4" t="n">
        <v>315</v>
      </c>
      <c r="D5853" s="4" t="n">
        <v>95.28749999999999</v>
      </c>
      <c r="E5853" s="5" t="n">
        <v>409.3</v>
      </c>
      <c r="F5853" s="3" t="inlineStr">
        <is>
          <t>다정동</t>
        </is>
      </c>
      <c r="G5853" s="3" t="inlineStr"/>
      <c r="H5853" s="3" t="inlineStr">
        <is>
          <t>제1종전용주거지역</t>
        </is>
      </c>
      <c r="I5853" s="3" t="inlineStr">
        <is>
          <t>대</t>
        </is>
      </c>
      <c r="J5853" s="3" t="inlineStr">
        <is>
          <t>다정동</t>
        </is>
      </c>
    </row>
    <row r="5854">
      <c r="A5854" s="3" t="n">
        <v>2025</v>
      </c>
      <c r="B5854" s="4" t="n">
        <v>31530</v>
      </c>
      <c r="C5854" s="4" t="n">
        <v>330.7</v>
      </c>
      <c r="D5854" s="4" t="n">
        <v>100.03675</v>
      </c>
      <c r="E5854" s="5" t="n">
        <v>315.2</v>
      </c>
      <c r="F5854" s="3" t="inlineStr">
        <is>
          <t>해밀동</t>
        </is>
      </c>
      <c r="G5854" s="3" t="inlineStr"/>
      <c r="H5854" s="3" t="inlineStr">
        <is>
          <t>제1종전용주거지역</t>
        </is>
      </c>
      <c r="I5854" s="3" t="inlineStr">
        <is>
          <t>대</t>
        </is>
      </c>
      <c r="J5854" s="3" t="inlineStr">
        <is>
          <t>해밀동</t>
        </is>
      </c>
    </row>
    <row r="5855">
      <c r="A5855" s="3" t="n">
        <v>2025</v>
      </c>
      <c r="B5855" s="4" t="n">
        <v>5320</v>
      </c>
      <c r="C5855" s="4" t="n">
        <v>190</v>
      </c>
      <c r="D5855" s="4" t="n">
        <v>57.475</v>
      </c>
      <c r="E5855" s="5" t="n">
        <v>92.59999999999999</v>
      </c>
      <c r="F5855" s="3" t="inlineStr">
        <is>
          <t>장군면</t>
        </is>
      </c>
      <c r="G5855" s="3" t="inlineStr">
        <is>
          <t>평기리</t>
        </is>
      </c>
      <c r="H5855" s="3" t="inlineStr">
        <is>
          <t>농림지역</t>
        </is>
      </c>
      <c r="I5855" s="3" t="inlineStr">
        <is>
          <t>전</t>
        </is>
      </c>
      <c r="J5855" s="3" t="inlineStr">
        <is>
          <t>장군면</t>
        </is>
      </c>
    </row>
    <row r="5856">
      <c r="A5856" s="3" t="n">
        <v>2025</v>
      </c>
      <c r="B5856" s="4" t="n">
        <v>32100</v>
      </c>
      <c r="C5856" s="4" t="n">
        <v>319.9</v>
      </c>
      <c r="D5856" s="4" t="n">
        <v>96.76974999999999</v>
      </c>
      <c r="E5856" s="5" t="n">
        <v>331.7</v>
      </c>
      <c r="F5856" s="3" t="inlineStr">
        <is>
          <t>집현동</t>
        </is>
      </c>
      <c r="G5856" s="3" t="inlineStr"/>
      <c r="H5856" s="3" t="inlineStr">
        <is>
          <t>제1종일반주거지역</t>
        </is>
      </c>
      <c r="I5856" s="3" t="inlineStr">
        <is>
          <t>대</t>
        </is>
      </c>
      <c r="J5856" s="3" t="inlineStr">
        <is>
          <t>집현동</t>
        </is>
      </c>
    </row>
    <row r="5857">
      <c r="A5857" s="3" t="n">
        <v>2025</v>
      </c>
      <c r="B5857" s="4" t="n">
        <v>6760</v>
      </c>
      <c r="C5857" s="4" t="n">
        <v>893</v>
      </c>
      <c r="D5857" s="4" t="n">
        <v>270.1325</v>
      </c>
      <c r="E5857" s="5" t="n">
        <v>25</v>
      </c>
      <c r="F5857" s="3" t="inlineStr">
        <is>
          <t>전의면</t>
        </is>
      </c>
      <c r="G5857" s="3" t="inlineStr">
        <is>
          <t>유천리</t>
        </is>
      </c>
      <c r="H5857" s="3" t="inlineStr">
        <is>
          <t>농림지역</t>
        </is>
      </c>
      <c r="I5857" s="3" t="inlineStr">
        <is>
          <t>답</t>
        </is>
      </c>
      <c r="J5857" s="3" t="inlineStr">
        <is>
          <t>전의면</t>
        </is>
      </c>
    </row>
    <row r="5858">
      <c r="A5858" s="3" t="n">
        <v>2025</v>
      </c>
      <c r="B5858" s="4" t="n">
        <v>7055</v>
      </c>
      <c r="C5858" s="4" t="n">
        <v>932</v>
      </c>
      <c r="D5858" s="4" t="n">
        <v>281.93</v>
      </c>
      <c r="E5858" s="5" t="n">
        <v>25</v>
      </c>
      <c r="F5858" s="3" t="inlineStr">
        <is>
          <t>전의면</t>
        </is>
      </c>
      <c r="G5858" s="3" t="inlineStr">
        <is>
          <t>유천리</t>
        </is>
      </c>
      <c r="H5858" s="3" t="inlineStr">
        <is>
          <t>농림지역</t>
        </is>
      </c>
      <c r="I5858" s="3" t="inlineStr">
        <is>
          <t>답</t>
        </is>
      </c>
      <c r="J5858" s="3" t="inlineStr">
        <is>
          <t>전의면</t>
        </is>
      </c>
    </row>
    <row r="5859">
      <c r="A5859" s="3" t="n">
        <v>2025</v>
      </c>
      <c r="B5859" s="4" t="n">
        <v>5284</v>
      </c>
      <c r="C5859" s="4" t="n">
        <v>698</v>
      </c>
      <c r="D5859" s="4" t="n">
        <v>211.145</v>
      </c>
      <c r="E5859" s="5" t="n">
        <v>25</v>
      </c>
      <c r="F5859" s="3" t="inlineStr">
        <is>
          <t>전의면</t>
        </is>
      </c>
      <c r="G5859" s="3" t="inlineStr">
        <is>
          <t>유천리</t>
        </is>
      </c>
      <c r="H5859" s="3" t="inlineStr">
        <is>
          <t>농림지역</t>
        </is>
      </c>
      <c r="I5859" s="3" t="inlineStr">
        <is>
          <t>답</t>
        </is>
      </c>
      <c r="J5859" s="3" t="inlineStr">
        <is>
          <t>전의면</t>
        </is>
      </c>
    </row>
    <row r="5860">
      <c r="A5860" s="3" t="n">
        <v>2025</v>
      </c>
      <c r="B5860" s="4" t="n">
        <v>901</v>
      </c>
      <c r="C5860" s="4" t="n">
        <v>119</v>
      </c>
      <c r="D5860" s="4" t="n">
        <v>35.9975</v>
      </c>
      <c r="E5860" s="5" t="n">
        <v>25</v>
      </c>
      <c r="F5860" s="3" t="inlineStr">
        <is>
          <t>전의면</t>
        </is>
      </c>
      <c r="G5860" s="3" t="inlineStr">
        <is>
          <t>유천리</t>
        </is>
      </c>
      <c r="H5860" s="3" t="inlineStr">
        <is>
          <t>농림지역</t>
        </is>
      </c>
      <c r="I5860" s="3" t="inlineStr">
        <is>
          <t>답</t>
        </is>
      </c>
      <c r="J5860" s="3" t="inlineStr">
        <is>
          <t>전의면</t>
        </is>
      </c>
    </row>
    <row r="5861">
      <c r="A5861" s="3" t="n">
        <v>2025</v>
      </c>
      <c r="B5861" s="4" t="n">
        <v>1650</v>
      </c>
      <c r="C5861" s="4" t="n">
        <v>383</v>
      </c>
      <c r="D5861" s="4" t="n">
        <v>115.8575</v>
      </c>
      <c r="E5861" s="5" t="n">
        <v>14.2</v>
      </c>
      <c r="F5861" s="3" t="inlineStr">
        <is>
          <t>금남면</t>
        </is>
      </c>
      <c r="G5861" s="3" t="inlineStr">
        <is>
          <t>금천리</t>
        </is>
      </c>
      <c r="H5861" s="3" t="inlineStr">
        <is>
          <t>자연녹지지역</t>
        </is>
      </c>
      <c r="I5861" s="3" t="inlineStr">
        <is>
          <t>전</t>
        </is>
      </c>
      <c r="J5861" s="3" t="inlineStr">
        <is>
          <t>금남면</t>
        </is>
      </c>
    </row>
    <row r="5862">
      <c r="A5862" s="3" t="n">
        <v>2025</v>
      </c>
      <c r="B5862" s="4" t="n">
        <v>13500</v>
      </c>
      <c r="C5862" s="4" t="n">
        <v>3156</v>
      </c>
      <c r="D5862" s="4" t="n">
        <v>954.6899999999999</v>
      </c>
      <c r="E5862" s="5" t="n">
        <v>14.1</v>
      </c>
      <c r="F5862" s="3" t="inlineStr">
        <is>
          <t>전의면</t>
        </is>
      </c>
      <c r="G5862" s="3" t="inlineStr">
        <is>
          <t>유천리</t>
        </is>
      </c>
      <c r="H5862" s="3" t="inlineStr">
        <is>
          <t>계획관리지역</t>
        </is>
      </c>
      <c r="I5862" s="3" t="inlineStr">
        <is>
          <t>임야</t>
        </is>
      </c>
      <c r="J5862" s="3" t="inlineStr">
        <is>
          <t>전의면</t>
        </is>
      </c>
    </row>
    <row r="5863">
      <c r="A5863" s="3" t="n">
        <v>2025</v>
      </c>
      <c r="B5863" s="4" t="n">
        <v>29630</v>
      </c>
      <c r="C5863" s="4" t="n">
        <v>279.3</v>
      </c>
      <c r="D5863" s="4" t="n">
        <v>84.48825000000001</v>
      </c>
      <c r="E5863" s="5" t="n">
        <v>350.7</v>
      </c>
      <c r="F5863" s="3" t="inlineStr">
        <is>
          <t>해밀동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해밀동</t>
        </is>
      </c>
    </row>
    <row r="5864">
      <c r="A5864" s="3" t="n">
        <v>2025</v>
      </c>
      <c r="B5864" s="4" t="n">
        <v>700</v>
      </c>
      <c r="C5864" s="4" t="n">
        <v>17</v>
      </c>
      <c r="D5864" s="4" t="n">
        <v>5.1425</v>
      </c>
      <c r="E5864" s="5" t="n">
        <v>136.1</v>
      </c>
      <c r="F5864" s="3" t="inlineStr">
        <is>
          <t>전동면</t>
        </is>
      </c>
      <c r="G5864" s="3" t="inlineStr">
        <is>
          <t>심중리</t>
        </is>
      </c>
      <c r="H5864" s="3" t="inlineStr">
        <is>
          <t>계획관리지역</t>
        </is>
      </c>
      <c r="I5864" s="3" t="inlineStr">
        <is>
          <t>도로</t>
        </is>
      </c>
      <c r="J5864" s="3" t="inlineStr">
        <is>
          <t>전동면</t>
        </is>
      </c>
    </row>
    <row r="5865">
      <c r="A5865" s="3" t="n">
        <v>2025</v>
      </c>
      <c r="B5865" s="4" t="n">
        <v>44500</v>
      </c>
      <c r="C5865" s="4" t="n">
        <v>600</v>
      </c>
      <c r="D5865" s="4" t="n">
        <v>181.5</v>
      </c>
      <c r="E5865" s="5" t="n">
        <v>245.2</v>
      </c>
      <c r="F5865" s="3" t="inlineStr">
        <is>
          <t>금남면</t>
        </is>
      </c>
      <c r="G5865" s="3" t="inlineStr">
        <is>
          <t>성강리</t>
        </is>
      </c>
      <c r="H5865" s="3" t="inlineStr">
        <is>
          <t>보전관리지역</t>
        </is>
      </c>
      <c r="I5865" s="3" t="inlineStr">
        <is>
          <t>대</t>
        </is>
      </c>
      <c r="J5865" s="3" t="inlineStr">
        <is>
          <t>금남면</t>
        </is>
      </c>
    </row>
    <row r="5866">
      <c r="A5866" s="3" t="n">
        <v>2025</v>
      </c>
      <c r="B5866" s="4" t="n">
        <v>9000</v>
      </c>
      <c r="C5866" s="4" t="n">
        <v>221</v>
      </c>
      <c r="D5866" s="4" t="n">
        <v>66.85249999999999</v>
      </c>
      <c r="E5866" s="5" t="n">
        <v>134.6</v>
      </c>
      <c r="F5866" s="3" t="inlineStr">
        <is>
          <t>전동면</t>
        </is>
      </c>
      <c r="G5866" s="3" t="inlineStr">
        <is>
          <t>노장리</t>
        </is>
      </c>
      <c r="H5866" s="3" t="inlineStr">
        <is>
          <t>계획관리지역</t>
        </is>
      </c>
      <c r="I5866" s="3" t="inlineStr">
        <is>
          <t>전</t>
        </is>
      </c>
      <c r="J5866" s="3" t="inlineStr">
        <is>
          <t>전동면</t>
        </is>
      </c>
    </row>
    <row r="5867">
      <c r="A5867" s="3" t="n">
        <v>2025</v>
      </c>
      <c r="B5867" s="4" t="n">
        <v>49020</v>
      </c>
      <c r="C5867" s="4" t="n">
        <v>843</v>
      </c>
      <c r="D5867" s="4" t="n">
        <v>255.0075</v>
      </c>
      <c r="E5867" s="5" t="n">
        <v>192.2</v>
      </c>
      <c r="F5867" s="3" t="inlineStr">
        <is>
          <t>장군면</t>
        </is>
      </c>
      <c r="G5867" s="3" t="inlineStr">
        <is>
          <t>봉안리</t>
        </is>
      </c>
      <c r="H5867" s="3" t="inlineStr">
        <is>
          <t>보전관리지역</t>
        </is>
      </c>
      <c r="I5867" s="3" t="inlineStr">
        <is>
          <t>임야</t>
        </is>
      </c>
      <c r="J5867" s="3" t="inlineStr">
        <is>
          <t>장군면</t>
        </is>
      </c>
    </row>
    <row r="5868">
      <c r="A5868" s="3" t="n">
        <v>2025</v>
      </c>
      <c r="B5868" s="4" t="n">
        <v>285</v>
      </c>
      <c r="C5868" s="4" t="n">
        <v>200</v>
      </c>
      <c r="D5868" s="4" t="n">
        <v>60.5</v>
      </c>
      <c r="E5868" s="5" t="n">
        <v>4.7</v>
      </c>
      <c r="F5868" s="3" t="inlineStr">
        <is>
          <t>금남면</t>
        </is>
      </c>
      <c r="G5868" s="3" t="inlineStr">
        <is>
          <t>영치리</t>
        </is>
      </c>
      <c r="H5868" s="3" t="inlineStr">
        <is>
          <t>자연녹지지역</t>
        </is>
      </c>
      <c r="I5868" s="3" t="inlineStr">
        <is>
          <t>임야</t>
        </is>
      </c>
      <c r="J5868" s="3" t="inlineStr">
        <is>
          <t>금남면</t>
        </is>
      </c>
    </row>
    <row r="5869">
      <c r="A5869" s="3" t="n">
        <v>2025</v>
      </c>
      <c r="B5869" s="4" t="n">
        <v>21692</v>
      </c>
      <c r="C5869" s="4" t="n">
        <v>15214</v>
      </c>
      <c r="D5869" s="4" t="n">
        <v>4602.235</v>
      </c>
      <c r="E5869" s="5" t="n">
        <v>4.7</v>
      </c>
      <c r="F5869" s="3" t="inlineStr">
        <is>
          <t>금남면</t>
        </is>
      </c>
      <c r="G5869" s="3" t="inlineStr">
        <is>
          <t>영치리</t>
        </is>
      </c>
      <c r="H5869" s="3" t="inlineStr">
        <is>
          <t>자연녹지지역</t>
        </is>
      </c>
      <c r="I5869" s="3" t="inlineStr">
        <is>
          <t>임야</t>
        </is>
      </c>
      <c r="J5869" s="3" t="inlineStr">
        <is>
          <t>금남면</t>
        </is>
      </c>
    </row>
    <row r="5870">
      <c r="A5870" s="3" t="n">
        <v>2025</v>
      </c>
      <c r="B5870" s="4" t="n">
        <v>24068</v>
      </c>
      <c r="C5870" s="4" t="n">
        <v>16880</v>
      </c>
      <c r="D5870" s="4" t="n">
        <v>5106.2</v>
      </c>
      <c r="E5870" s="5" t="n">
        <v>4.7</v>
      </c>
      <c r="F5870" s="3" t="inlineStr">
        <is>
          <t>금남면</t>
        </is>
      </c>
      <c r="G5870" s="3" t="inlineStr">
        <is>
          <t>영치리</t>
        </is>
      </c>
      <c r="H5870" s="3" t="inlineStr">
        <is>
          <t>자연녹지지역</t>
        </is>
      </c>
      <c r="I5870" s="3" t="inlineStr">
        <is>
          <t>임야</t>
        </is>
      </c>
      <c r="J5870" s="3" t="inlineStr">
        <is>
          <t>금남면</t>
        </is>
      </c>
    </row>
    <row r="5871">
      <c r="A5871" s="3" t="n">
        <v>2025</v>
      </c>
      <c r="B5871" s="4" t="n">
        <v>285</v>
      </c>
      <c r="C5871" s="4" t="n">
        <v>200</v>
      </c>
      <c r="D5871" s="4" t="n">
        <v>60.5</v>
      </c>
      <c r="E5871" s="5" t="n">
        <v>4.7</v>
      </c>
      <c r="F5871" s="3" t="inlineStr">
        <is>
          <t>금남면</t>
        </is>
      </c>
      <c r="G5871" s="3" t="inlineStr">
        <is>
          <t>영치리</t>
        </is>
      </c>
      <c r="H5871" s="3" t="inlineStr">
        <is>
          <t>자연녹지지역</t>
        </is>
      </c>
      <c r="I5871" s="3" t="inlineStr">
        <is>
          <t>임야</t>
        </is>
      </c>
      <c r="J5871" s="3" t="inlineStr">
        <is>
          <t>금남면</t>
        </is>
      </c>
    </row>
    <row r="5872">
      <c r="A5872" s="3" t="n">
        <v>2025</v>
      </c>
      <c r="B5872" s="4" t="n">
        <v>285</v>
      </c>
      <c r="C5872" s="4" t="n">
        <v>200</v>
      </c>
      <c r="D5872" s="4" t="n">
        <v>60.5</v>
      </c>
      <c r="E5872" s="5" t="n">
        <v>4.7</v>
      </c>
      <c r="F5872" s="3" t="inlineStr">
        <is>
          <t>금남면</t>
        </is>
      </c>
      <c r="G5872" s="3" t="inlineStr">
        <is>
          <t>영치리</t>
        </is>
      </c>
      <c r="H5872" s="3" t="inlineStr">
        <is>
          <t>자연녹지지역</t>
        </is>
      </c>
      <c r="I5872" s="3" t="inlineStr">
        <is>
          <t>임야</t>
        </is>
      </c>
      <c r="J5872" s="3" t="inlineStr">
        <is>
          <t>금남면</t>
        </is>
      </c>
    </row>
    <row r="5873">
      <c r="A5873" s="3" t="n">
        <v>2025</v>
      </c>
      <c r="B5873" s="4" t="n">
        <v>2524</v>
      </c>
      <c r="C5873" s="4" t="n">
        <v>1770</v>
      </c>
      <c r="D5873" s="4" t="n">
        <v>535.425</v>
      </c>
      <c r="E5873" s="5" t="n">
        <v>4.7</v>
      </c>
      <c r="F5873" s="3" t="inlineStr">
        <is>
          <t>금남면</t>
        </is>
      </c>
      <c r="G5873" s="3" t="inlineStr">
        <is>
          <t>영치리</t>
        </is>
      </c>
      <c r="H5873" s="3" t="inlineStr">
        <is>
          <t>개발제한구역</t>
        </is>
      </c>
      <c r="I5873" s="3" t="inlineStr">
        <is>
          <t>임야</t>
        </is>
      </c>
      <c r="J5873" s="3" t="inlineStr">
        <is>
          <t>금남면</t>
        </is>
      </c>
    </row>
    <row r="5874">
      <c r="A5874" s="3" t="n">
        <v>2025</v>
      </c>
      <c r="B5874" s="4" t="n">
        <v>24755</v>
      </c>
      <c r="C5874" s="4" t="n">
        <v>17362</v>
      </c>
      <c r="D5874" s="4" t="n">
        <v>5252.005</v>
      </c>
      <c r="E5874" s="5" t="n">
        <v>4.7</v>
      </c>
      <c r="F5874" s="3" t="inlineStr">
        <is>
          <t>금남면</t>
        </is>
      </c>
      <c r="G5874" s="3" t="inlineStr">
        <is>
          <t>영치리</t>
        </is>
      </c>
      <c r="H5874" s="3" t="inlineStr">
        <is>
          <t>자연녹지지역</t>
        </is>
      </c>
      <c r="I5874" s="3" t="inlineStr">
        <is>
          <t>임야</t>
        </is>
      </c>
      <c r="J5874" s="3" t="inlineStr">
        <is>
          <t>금남면</t>
        </is>
      </c>
    </row>
    <row r="5875">
      <c r="A5875" s="3" t="n">
        <v>2025</v>
      </c>
      <c r="B5875" s="4" t="n">
        <v>26392</v>
      </c>
      <c r="C5875" s="4" t="n">
        <v>18512</v>
      </c>
      <c r="D5875" s="4" t="n">
        <v>5599.88</v>
      </c>
      <c r="E5875" s="5" t="n">
        <v>4.7</v>
      </c>
      <c r="F5875" s="3" t="inlineStr">
        <is>
          <t>금남면</t>
        </is>
      </c>
      <c r="G5875" s="3" t="inlineStr">
        <is>
          <t>영치리</t>
        </is>
      </c>
      <c r="H5875" s="3" t="inlineStr">
        <is>
          <t>자연녹지지역</t>
        </is>
      </c>
      <c r="I5875" s="3" t="inlineStr">
        <is>
          <t>임야</t>
        </is>
      </c>
      <c r="J5875" s="3" t="inlineStr">
        <is>
          <t>금남면</t>
        </is>
      </c>
    </row>
    <row r="5876">
      <c r="A5876" s="3" t="n">
        <v>2025</v>
      </c>
      <c r="B5876" s="4" t="n">
        <v>3745</v>
      </c>
      <c r="C5876" s="4" t="n">
        <v>1770</v>
      </c>
      <c r="D5876" s="4" t="n">
        <v>535.425</v>
      </c>
      <c r="E5876" s="5" t="n">
        <v>7</v>
      </c>
      <c r="F5876" s="3" t="inlineStr">
        <is>
          <t>금남면</t>
        </is>
      </c>
      <c r="G5876" s="3" t="inlineStr">
        <is>
          <t>영치리</t>
        </is>
      </c>
      <c r="H5876" s="3" t="inlineStr">
        <is>
          <t>개발제한구역</t>
        </is>
      </c>
      <c r="I5876" s="3" t="inlineStr">
        <is>
          <t>임야</t>
        </is>
      </c>
      <c r="J5876" s="3" t="inlineStr">
        <is>
          <t>금남면</t>
        </is>
      </c>
    </row>
    <row r="5877">
      <c r="A5877" s="3" t="n">
        <v>2025</v>
      </c>
      <c r="B5877" s="4" t="n">
        <v>35000</v>
      </c>
      <c r="C5877" s="4" t="n">
        <v>14457</v>
      </c>
      <c r="D5877" s="4" t="n">
        <v>4373.2425</v>
      </c>
      <c r="E5877" s="5" t="n">
        <v>8</v>
      </c>
      <c r="F5877" s="3" t="inlineStr">
        <is>
          <t>전동면</t>
        </is>
      </c>
      <c r="G5877" s="3" t="inlineStr">
        <is>
          <t>심중리</t>
        </is>
      </c>
      <c r="H5877" s="3" t="inlineStr">
        <is>
          <t>계획관리지역</t>
        </is>
      </c>
      <c r="I5877" s="3" t="inlineStr">
        <is>
          <t>임야</t>
        </is>
      </c>
      <c r="J5877" s="3" t="inlineStr">
        <is>
          <t>전동면</t>
        </is>
      </c>
    </row>
    <row r="5878">
      <c r="A5878" s="3" t="n">
        <v>2024</v>
      </c>
      <c r="B5878" s="4" t="n">
        <v>4439</v>
      </c>
      <c r="C5878" s="4" t="n">
        <v>463</v>
      </c>
      <c r="D5878" s="4" t="n">
        <v>140.0575</v>
      </c>
      <c r="E5878" s="5" t="n">
        <v>31.7</v>
      </c>
      <c r="F5878" s="3" t="inlineStr">
        <is>
          <t>전동면</t>
        </is>
      </c>
      <c r="G5878" s="3" t="inlineStr">
        <is>
          <t>보덕리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2024</v>
      </c>
      <c r="B5879" s="4" t="n">
        <v>22197</v>
      </c>
      <c r="C5879" s="4" t="n">
        <v>3570</v>
      </c>
      <c r="D5879" s="4" t="n">
        <v>1079.925</v>
      </c>
      <c r="E5879" s="5" t="n">
        <v>20.6</v>
      </c>
      <c r="F5879" s="3" t="inlineStr">
        <is>
          <t>전동면</t>
        </is>
      </c>
      <c r="G5879" s="3" t="inlineStr">
        <is>
          <t>보덕리</t>
        </is>
      </c>
      <c r="H5879" s="3" t="inlineStr">
        <is>
          <t>계획관리지역</t>
        </is>
      </c>
      <c r="I5879" s="3" t="inlineStr">
        <is>
          <t>임야</t>
        </is>
      </c>
      <c r="J5879" s="3" t="inlineStr">
        <is>
          <t>전동면</t>
        </is>
      </c>
    </row>
    <row r="5880">
      <c r="A5880" s="3" t="n">
        <v>2024</v>
      </c>
      <c r="B5880" s="4" t="n">
        <v>11521</v>
      </c>
      <c r="C5880" s="4" t="n">
        <v>463</v>
      </c>
      <c r="D5880" s="4" t="n">
        <v>140.0575</v>
      </c>
      <c r="E5880" s="5" t="n">
        <v>82.3</v>
      </c>
      <c r="F5880" s="3" t="inlineStr">
        <is>
          <t>전동면</t>
        </is>
      </c>
      <c r="G5880" s="3" t="inlineStr">
        <is>
          <t>보덕리</t>
        </is>
      </c>
      <c r="H5880" s="3" t="inlineStr">
        <is>
          <t>계획관리지역</t>
        </is>
      </c>
      <c r="I5880" s="3" t="inlineStr">
        <is>
          <t>전</t>
        </is>
      </c>
      <c r="J5880" s="3" t="inlineStr">
        <is>
          <t>전동면</t>
        </is>
      </c>
    </row>
    <row r="5881">
      <c r="A5881" s="3" t="n">
        <v>2024</v>
      </c>
      <c r="B5881" s="4" t="n">
        <v>23677</v>
      </c>
      <c r="C5881" s="4" t="n">
        <v>945</v>
      </c>
      <c r="D5881" s="4" t="n">
        <v>285.8625</v>
      </c>
      <c r="E5881" s="5" t="n">
        <v>82.8</v>
      </c>
      <c r="F5881" s="3" t="inlineStr">
        <is>
          <t>전동면</t>
        </is>
      </c>
      <c r="G5881" s="3" t="inlineStr">
        <is>
          <t>보덕리</t>
        </is>
      </c>
      <c r="H5881" s="3" t="inlineStr">
        <is>
          <t>계획관리지역</t>
        </is>
      </c>
      <c r="I5881" s="3" t="inlineStr">
        <is>
          <t>전</t>
        </is>
      </c>
      <c r="J5881" s="3" t="inlineStr">
        <is>
          <t>전동면</t>
        </is>
      </c>
    </row>
    <row r="5882">
      <c r="A5882" s="3" t="n">
        <v>2024</v>
      </c>
      <c r="B5882" s="4" t="n">
        <v>9000</v>
      </c>
      <c r="C5882" s="4" t="n">
        <v>330</v>
      </c>
      <c r="D5882" s="4" t="n">
        <v>99.825</v>
      </c>
      <c r="E5882" s="5" t="n">
        <v>90.2</v>
      </c>
      <c r="F5882" s="3" t="inlineStr">
        <is>
          <t>장군면</t>
        </is>
      </c>
      <c r="G5882" s="3" t="inlineStr">
        <is>
          <t>평기리</t>
        </is>
      </c>
      <c r="H5882" s="3" t="inlineStr">
        <is>
          <t>계획관리지역</t>
        </is>
      </c>
      <c r="I5882" s="3" t="inlineStr">
        <is>
          <t>답</t>
        </is>
      </c>
      <c r="J5882" s="3" t="inlineStr">
        <is>
          <t>장군면</t>
        </is>
      </c>
    </row>
    <row r="5883">
      <c r="A5883" s="3" t="n">
        <v>2024</v>
      </c>
      <c r="B5883" s="4" t="n">
        <v>3000</v>
      </c>
      <c r="C5883" s="4" t="n">
        <v>26</v>
      </c>
      <c r="D5883" s="4" t="n">
        <v>7.865</v>
      </c>
      <c r="E5883" s="5" t="n">
        <v>381.4</v>
      </c>
      <c r="F5883" s="3" t="inlineStr">
        <is>
          <t>금남면</t>
        </is>
      </c>
      <c r="G5883" s="3" t="inlineStr">
        <is>
          <t>용담리</t>
        </is>
      </c>
      <c r="H5883" s="3" t="inlineStr">
        <is>
          <t>제1종일반주거지역</t>
        </is>
      </c>
      <c r="I5883" s="3" t="inlineStr">
        <is>
          <t>도로</t>
        </is>
      </c>
      <c r="J5883" s="3" t="inlineStr">
        <is>
          <t>금남면</t>
        </is>
      </c>
    </row>
    <row r="5884">
      <c r="A5884" s="3" t="n">
        <v>2024</v>
      </c>
      <c r="B5884" s="4" t="n">
        <v>21400</v>
      </c>
      <c r="C5884" s="4" t="n">
        <v>420</v>
      </c>
      <c r="D5884" s="4" t="n">
        <v>127.05</v>
      </c>
      <c r="E5884" s="5" t="n">
        <v>168.4</v>
      </c>
      <c r="F5884" s="3" t="inlineStr">
        <is>
          <t>장군면</t>
        </is>
      </c>
      <c r="G5884" s="3" t="inlineStr">
        <is>
          <t>송학리</t>
        </is>
      </c>
      <c r="H5884" s="3" t="inlineStr">
        <is>
          <t>보전관리지역</t>
        </is>
      </c>
      <c r="I5884" s="3" t="inlineStr">
        <is>
          <t>전</t>
        </is>
      </c>
      <c r="J5884" s="3" t="inlineStr">
        <is>
          <t>장군면</t>
        </is>
      </c>
    </row>
    <row r="5885">
      <c r="A5885" s="3" t="n">
        <v>2024</v>
      </c>
      <c r="B5885" s="4" t="n">
        <v>16000</v>
      </c>
      <c r="C5885" s="4" t="n">
        <v>314</v>
      </c>
      <c r="D5885" s="4" t="n">
        <v>94.985</v>
      </c>
      <c r="E5885" s="5" t="n">
        <v>168.4</v>
      </c>
      <c r="F5885" s="3" t="inlineStr">
        <is>
          <t>장군면</t>
        </is>
      </c>
      <c r="G5885" s="3" t="inlineStr">
        <is>
          <t>송학리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2024</v>
      </c>
      <c r="B5886" s="4" t="n">
        <v>55000</v>
      </c>
      <c r="C5886" s="4" t="n">
        <v>4046</v>
      </c>
      <c r="D5886" s="4" t="n">
        <v>1223.915</v>
      </c>
      <c r="E5886" s="5" t="n">
        <v>44.9</v>
      </c>
      <c r="F5886" s="3" t="inlineStr">
        <is>
          <t>전동면</t>
        </is>
      </c>
      <c r="G5886" s="3" t="inlineStr">
        <is>
          <t>송성리</t>
        </is>
      </c>
      <c r="H5886" s="3" t="inlineStr">
        <is>
          <t>계획관리지역</t>
        </is>
      </c>
      <c r="I5886" s="3" t="inlineStr">
        <is>
          <t>전</t>
        </is>
      </c>
      <c r="J5886" s="3" t="inlineStr">
        <is>
          <t>전동면</t>
        </is>
      </c>
    </row>
    <row r="5887">
      <c r="A5887" s="3" t="n">
        <v>2024</v>
      </c>
      <c r="B5887" s="4" t="n">
        <v>10830</v>
      </c>
      <c r="C5887" s="4" t="n">
        <v>1320.7</v>
      </c>
      <c r="D5887" s="4" t="n">
        <v>399.51175</v>
      </c>
      <c r="E5887" s="5" t="n">
        <v>27.1</v>
      </c>
      <c r="F5887" s="3" t="inlineStr">
        <is>
          <t>연서면</t>
        </is>
      </c>
      <c r="G5887" s="3" t="inlineStr">
        <is>
          <t>쌍전리</t>
        </is>
      </c>
      <c r="H5887" s="3" t="inlineStr">
        <is>
          <t>농림지역</t>
        </is>
      </c>
      <c r="I5887" s="3" t="inlineStr">
        <is>
          <t>답</t>
        </is>
      </c>
      <c r="J5887" s="3" t="inlineStr">
        <is>
          <t>연서면</t>
        </is>
      </c>
    </row>
    <row r="5888">
      <c r="A5888" s="3" t="n">
        <v>2023</v>
      </c>
      <c r="B5888" s="4" t="n">
        <v>51500</v>
      </c>
      <c r="C5888" s="4" t="n">
        <v>1002</v>
      </c>
      <c r="D5888" s="4" t="n">
        <v>303.105</v>
      </c>
      <c r="E5888" s="5" t="n">
        <v>169.9</v>
      </c>
      <c r="F5888" s="3" t="inlineStr">
        <is>
          <t>장군면</t>
        </is>
      </c>
      <c r="G5888" s="3" t="inlineStr">
        <is>
          <t>용암리</t>
        </is>
      </c>
      <c r="H5888" s="3" t="inlineStr">
        <is>
          <t>보전관리지역</t>
        </is>
      </c>
      <c r="I5888" s="3" t="inlineStr">
        <is>
          <t>임야</t>
        </is>
      </c>
      <c r="J5888" s="3" t="inlineStr">
        <is>
          <t>장군면</t>
        </is>
      </c>
    </row>
    <row r="5889">
      <c r="A5889" s="3" t="n">
        <v>2023</v>
      </c>
      <c r="B5889" s="4" t="n">
        <v>9600</v>
      </c>
      <c r="C5889" s="4" t="n">
        <v>676</v>
      </c>
      <c r="D5889" s="4" t="n">
        <v>204.49</v>
      </c>
      <c r="E5889" s="5" t="n">
        <v>46.9</v>
      </c>
      <c r="F5889" s="3" t="inlineStr">
        <is>
          <t>부강면</t>
        </is>
      </c>
      <c r="G5889" s="3" t="inlineStr">
        <is>
          <t>노호리</t>
        </is>
      </c>
      <c r="H5889" s="3" t="inlineStr">
        <is>
          <t>계획관리지역</t>
        </is>
      </c>
      <c r="I5889" s="3" t="inlineStr">
        <is>
          <t>잡종지</t>
        </is>
      </c>
      <c r="J5889" s="3" t="inlineStr">
        <is>
          <t>부강면</t>
        </is>
      </c>
    </row>
    <row r="5890">
      <c r="A5890" s="3" t="n">
        <v>2023</v>
      </c>
      <c r="B5890" s="4" t="n">
        <v>300</v>
      </c>
      <c r="C5890" s="4" t="n">
        <v>38</v>
      </c>
      <c r="D5890" s="4" t="n">
        <v>11.495</v>
      </c>
      <c r="E5890" s="5" t="n">
        <v>26.1</v>
      </c>
      <c r="F5890" s="3" t="inlineStr">
        <is>
          <t>부강면</t>
        </is>
      </c>
      <c r="G5890" s="3" t="inlineStr">
        <is>
          <t>노호리</t>
        </is>
      </c>
      <c r="H5890" s="3" t="inlineStr">
        <is>
          <t>계획관리지역</t>
        </is>
      </c>
      <c r="I5890" s="3" t="inlineStr">
        <is>
          <t>도로</t>
        </is>
      </c>
      <c r="J5890" s="3" t="inlineStr">
        <is>
          <t>부강면</t>
        </is>
      </c>
    </row>
    <row r="5891">
      <c r="A5891" s="3" t="n">
        <v>2023</v>
      </c>
      <c r="B5891" s="4" t="n">
        <v>36667</v>
      </c>
      <c r="C5891" s="4" t="n">
        <v>651</v>
      </c>
      <c r="D5891" s="4" t="n">
        <v>196.9275</v>
      </c>
      <c r="E5891" s="5" t="n">
        <v>186.2</v>
      </c>
      <c r="F5891" s="3" t="inlineStr">
        <is>
          <t>장군면</t>
        </is>
      </c>
      <c r="G5891" s="3" t="inlineStr">
        <is>
          <t>대교리</t>
        </is>
      </c>
      <c r="H5891" s="3" t="inlineStr">
        <is>
          <t>보전관리지역</t>
        </is>
      </c>
      <c r="I5891" s="3" t="inlineStr">
        <is>
          <t>대</t>
        </is>
      </c>
      <c r="J5891" s="3" t="inlineStr">
        <is>
          <t>장군면</t>
        </is>
      </c>
    </row>
    <row r="5892">
      <c r="A5892" s="3" t="n">
        <v>2023</v>
      </c>
      <c r="B5892" s="4" t="n">
        <v>17711</v>
      </c>
      <c r="C5892" s="4" t="n">
        <v>658</v>
      </c>
      <c r="D5892" s="4" t="n">
        <v>199.045</v>
      </c>
      <c r="E5892" s="5" t="n">
        <v>89</v>
      </c>
      <c r="F5892" s="3" t="inlineStr">
        <is>
          <t>연동면</t>
        </is>
      </c>
      <c r="G5892" s="3" t="inlineStr">
        <is>
          <t>명학리</t>
        </is>
      </c>
      <c r="H5892" s="3" t="inlineStr">
        <is>
          <t>농림지역</t>
        </is>
      </c>
      <c r="I5892" s="3" t="inlineStr">
        <is>
          <t>임야</t>
        </is>
      </c>
      <c r="J5892" s="3" t="inlineStr">
        <is>
          <t>연동면</t>
        </is>
      </c>
    </row>
    <row r="5893">
      <c r="A5893" s="3" t="n">
        <v>2022</v>
      </c>
      <c r="B5893" s="4" t="n">
        <v>29500</v>
      </c>
      <c r="C5893" s="4" t="n">
        <v>659</v>
      </c>
      <c r="D5893" s="4" t="n">
        <v>199.3475</v>
      </c>
      <c r="E5893" s="5" t="n">
        <v>148</v>
      </c>
      <c r="F5893" s="3" t="inlineStr">
        <is>
          <t>금남면</t>
        </is>
      </c>
      <c r="G5893" s="3" t="inlineStr">
        <is>
          <t>국곡리</t>
        </is>
      </c>
      <c r="H5893" s="3" t="inlineStr">
        <is>
          <t>계획관리지역</t>
        </is>
      </c>
      <c r="I5893" s="3" t="inlineStr">
        <is>
          <t>전</t>
        </is>
      </c>
      <c r="J5893" s="3" t="inlineStr">
        <is>
          <t>금남면</t>
        </is>
      </c>
    </row>
    <row r="5894">
      <c r="A5894" s="3" t="n">
        <v>2022</v>
      </c>
      <c r="B5894" s="4" t="n">
        <v>23000</v>
      </c>
      <c r="C5894" s="4" t="n">
        <v>3304</v>
      </c>
      <c r="D5894" s="4" t="n">
        <v>999.4599999999999</v>
      </c>
      <c r="E5894" s="5" t="n">
        <v>23</v>
      </c>
      <c r="F5894" s="3" t="inlineStr">
        <is>
          <t>금남면</t>
        </is>
      </c>
      <c r="G5894" s="3" t="inlineStr">
        <is>
          <t>영대리</t>
        </is>
      </c>
      <c r="H5894" s="3" t="inlineStr">
        <is>
          <t>자연녹지지역</t>
        </is>
      </c>
      <c r="I5894" s="3" t="inlineStr">
        <is>
          <t>임야</t>
        </is>
      </c>
      <c r="J5894" s="3" t="inlineStr">
        <is>
          <t>금남면</t>
        </is>
      </c>
    </row>
    <row r="5895">
      <c r="A5895" s="3" t="n">
        <v>2022</v>
      </c>
      <c r="B5895" s="4" t="n">
        <v>80000</v>
      </c>
      <c r="C5895" s="4" t="n">
        <v>25188</v>
      </c>
      <c r="D5895" s="4" t="n">
        <v>7619.37</v>
      </c>
      <c r="E5895" s="5" t="n">
        <v>10.5</v>
      </c>
      <c r="F5895" s="3" t="inlineStr">
        <is>
          <t>전동면</t>
        </is>
      </c>
      <c r="G5895" s="3" t="inlineStr">
        <is>
          <t>청람리</t>
        </is>
      </c>
      <c r="H5895" s="3" t="inlineStr">
        <is>
          <t>농림지역</t>
        </is>
      </c>
      <c r="I5895" s="3" t="inlineStr">
        <is>
          <t>임야</t>
        </is>
      </c>
      <c r="J5895" s="3" t="inlineStr">
        <is>
          <t>전동면</t>
        </is>
      </c>
    </row>
    <row r="5896">
      <c r="A5896" s="3" t="n">
        <v>2022</v>
      </c>
      <c r="B5896" s="4" t="n">
        <v>48000</v>
      </c>
      <c r="C5896" s="4" t="n">
        <v>1324</v>
      </c>
      <c r="D5896" s="4" t="n">
        <v>400.51</v>
      </c>
      <c r="E5896" s="5" t="n">
        <v>119.8</v>
      </c>
      <c r="F5896" s="3" t="inlineStr">
        <is>
          <t>전의면</t>
        </is>
      </c>
      <c r="G5896" s="3" t="inlineStr">
        <is>
          <t>동교리</t>
        </is>
      </c>
      <c r="H5896" s="3" t="inlineStr">
        <is>
          <t>자연녹지지역</t>
        </is>
      </c>
      <c r="I5896" s="3" t="inlineStr">
        <is>
          <t>임야</t>
        </is>
      </c>
      <c r="J5896" s="3" t="inlineStr">
        <is>
          <t>전의면</t>
        </is>
      </c>
    </row>
    <row r="5897">
      <c r="A5897" s="3" t="n">
        <v>2024</v>
      </c>
      <c r="B5897" s="4" t="n">
        <v>5300</v>
      </c>
      <c r="C5897" s="4" t="n">
        <v>628</v>
      </c>
      <c r="D5897" s="4" t="n">
        <v>189.97</v>
      </c>
      <c r="E5897" s="5" t="n">
        <v>27.9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전</t>
        </is>
      </c>
      <c r="J5897" s="3" t="inlineStr">
        <is>
          <t>전의면</t>
        </is>
      </c>
    </row>
    <row r="5898">
      <c r="A5898" s="3" t="n">
        <v>2024</v>
      </c>
      <c r="B5898" s="4" t="n">
        <v>21700</v>
      </c>
      <c r="C5898" s="4" t="n">
        <v>2055.1</v>
      </c>
      <c r="D5898" s="4" t="n">
        <v>621.66775</v>
      </c>
      <c r="E5898" s="5" t="n">
        <v>34.9</v>
      </c>
      <c r="F5898" s="3" t="inlineStr">
        <is>
          <t>부강면</t>
        </is>
      </c>
      <c r="G5898" s="3" t="inlineStr">
        <is>
          <t>행산리</t>
        </is>
      </c>
      <c r="H5898" s="3" t="inlineStr">
        <is>
          <t>농림지역</t>
        </is>
      </c>
      <c r="I5898" s="3" t="inlineStr">
        <is>
          <t>답</t>
        </is>
      </c>
      <c r="J5898" s="3" t="inlineStr">
        <is>
          <t>부강면</t>
        </is>
      </c>
    </row>
    <row r="5899">
      <c r="A5899" s="3" t="n">
        <v>2023</v>
      </c>
      <c r="B5899" s="4" t="n">
        <v>50000</v>
      </c>
      <c r="C5899" s="4" t="n">
        <v>4803</v>
      </c>
      <c r="D5899" s="4" t="n">
        <v>1452.9075</v>
      </c>
      <c r="E5899" s="5" t="n">
        <v>34.4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2022</v>
      </c>
      <c r="B5900" s="4" t="n">
        <v>36600</v>
      </c>
      <c r="C5900" s="4" t="n">
        <v>2330</v>
      </c>
      <c r="D5900" s="4" t="n">
        <v>704.8249999999999</v>
      </c>
      <c r="E5900" s="5" t="n">
        <v>51.9</v>
      </c>
      <c r="F5900" s="3" t="inlineStr">
        <is>
          <t>오송읍</t>
        </is>
      </c>
      <c r="G5900" s="3" t="inlineStr">
        <is>
          <t>동평리</t>
        </is>
      </c>
      <c r="H5900" s="3" t="inlineStr">
        <is>
          <t>농림지역</t>
        </is>
      </c>
      <c r="I5900" s="3" t="inlineStr">
        <is>
          <t>답</t>
        </is>
      </c>
      <c r="J5900" s="3" t="inlineStr">
        <is>
          <t>오송읍</t>
        </is>
      </c>
    </row>
    <row r="5901">
      <c r="A5901" s="3" t="n">
        <v>2022</v>
      </c>
      <c r="B5901" s="4" t="n">
        <v>2000</v>
      </c>
      <c r="C5901" s="4" t="n">
        <v>15</v>
      </c>
      <c r="D5901" s="4" t="n">
        <v>4.5375</v>
      </c>
      <c r="E5901" s="5" t="n">
        <v>440.8</v>
      </c>
      <c r="F5901" s="3" t="inlineStr">
        <is>
          <t>오송읍</t>
        </is>
      </c>
      <c r="G5901" s="3" t="inlineStr">
        <is>
          <t>봉산리</t>
        </is>
      </c>
      <c r="H5901" s="3" t="inlineStr">
        <is>
          <t>계획관리지역</t>
        </is>
      </c>
      <c r="I5901" s="3" t="inlineStr">
        <is>
          <t>도로</t>
        </is>
      </c>
      <c r="J5901" s="3" t="inlineStr">
        <is>
          <t>오송읍</t>
        </is>
      </c>
    </row>
    <row r="5902">
      <c r="A5902" s="3" t="n">
        <v>2022</v>
      </c>
      <c r="B5902" s="4" t="n">
        <v>20000</v>
      </c>
      <c r="C5902" s="4" t="n">
        <v>478</v>
      </c>
      <c r="D5902" s="4" t="n">
        <v>144.595</v>
      </c>
      <c r="E5902" s="5" t="n">
        <v>138.3</v>
      </c>
      <c r="F5902" s="3" t="inlineStr">
        <is>
          <t>오송읍</t>
        </is>
      </c>
      <c r="G5902" s="3" t="inlineStr">
        <is>
          <t>오송리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오송읍</t>
        </is>
      </c>
    </row>
    <row r="5903">
      <c r="A5903" s="3" t="n">
        <v>2022</v>
      </c>
      <c r="B5903" s="4" t="n">
        <v>8000</v>
      </c>
      <c r="C5903" s="4" t="n">
        <v>50</v>
      </c>
      <c r="D5903" s="4" t="n">
        <v>15.125</v>
      </c>
      <c r="E5903" s="5" t="n">
        <v>528.9</v>
      </c>
      <c r="F5903" s="3" t="inlineStr">
        <is>
          <t>오송읍</t>
        </is>
      </c>
      <c r="G5903" s="3" t="inlineStr">
        <is>
          <t>오송리</t>
        </is>
      </c>
      <c r="H5903" s="3" t="inlineStr">
        <is>
          <t>준주거지역</t>
        </is>
      </c>
      <c r="I5903" s="3" t="inlineStr">
        <is>
          <t>답</t>
        </is>
      </c>
      <c r="J5903" s="3" t="inlineStr">
        <is>
          <t>오송읍</t>
        </is>
      </c>
    </row>
    <row r="5904">
      <c r="A5904" s="3" t="n">
        <v>2022</v>
      </c>
      <c r="B5904" s="4" t="n">
        <v>3800</v>
      </c>
      <c r="C5904" s="4" t="n">
        <v>721</v>
      </c>
      <c r="D5904" s="4" t="n">
        <v>218.1025</v>
      </c>
      <c r="E5904" s="5" t="n">
        <v>17.4</v>
      </c>
      <c r="F5904" s="3" t="inlineStr">
        <is>
          <t>강내면</t>
        </is>
      </c>
      <c r="G5904" s="3" t="inlineStr">
        <is>
          <t>학천리</t>
        </is>
      </c>
      <c r="H5904" s="3" t="inlineStr">
        <is>
          <t>생산녹지지역</t>
        </is>
      </c>
      <c r="I5904" s="3" t="inlineStr">
        <is>
          <t>전</t>
        </is>
      </c>
      <c r="J5904" s="3" t="inlineStr">
        <is>
          <t>강내면</t>
        </is>
      </c>
    </row>
    <row r="5905">
      <c r="A5905" s="3" t="n">
        <v>2022</v>
      </c>
      <c r="B5905" s="4" t="n">
        <v>3200</v>
      </c>
      <c r="C5905" s="4" t="n">
        <v>612</v>
      </c>
      <c r="D5905" s="4" t="n">
        <v>185.13</v>
      </c>
      <c r="E5905" s="5" t="n">
        <v>17.3</v>
      </c>
      <c r="F5905" s="3" t="inlineStr">
        <is>
          <t>강내면</t>
        </is>
      </c>
      <c r="G5905" s="3" t="inlineStr">
        <is>
          <t>학천리</t>
        </is>
      </c>
      <c r="H5905" s="3" t="inlineStr">
        <is>
          <t>생산녹지지역</t>
        </is>
      </c>
      <c r="I5905" s="3" t="inlineStr">
        <is>
          <t>전</t>
        </is>
      </c>
      <c r="J5905" s="3" t="inlineStr">
        <is>
          <t>강내면</t>
        </is>
      </c>
    </row>
    <row r="5906">
      <c r="A5906" s="3" t="n">
        <v>2022</v>
      </c>
      <c r="B5906" s="4" t="n">
        <v>13000</v>
      </c>
      <c r="C5906" s="4" t="n">
        <v>192</v>
      </c>
      <c r="D5906" s="4" t="n">
        <v>58.08</v>
      </c>
      <c r="E5906" s="5" t="n">
        <v>223.8</v>
      </c>
      <c r="F5906" s="3" t="inlineStr">
        <is>
          <t>강내면</t>
        </is>
      </c>
      <c r="G5906" s="3" t="inlineStr">
        <is>
          <t>탑연리</t>
        </is>
      </c>
      <c r="H5906" s="3" t="inlineStr">
        <is>
          <t>제2종일반주거지역</t>
        </is>
      </c>
      <c r="I5906" s="3" t="inlineStr">
        <is>
          <t>대</t>
        </is>
      </c>
      <c r="J5906" s="3" t="inlineStr">
        <is>
          <t>강내면</t>
        </is>
      </c>
    </row>
    <row r="5907">
      <c r="A5907" s="3" t="n">
        <v>2022</v>
      </c>
      <c r="B5907" s="4" t="n">
        <v>27000</v>
      </c>
      <c r="C5907" s="4" t="n">
        <v>244</v>
      </c>
      <c r="D5907" s="4" t="n">
        <v>73.81</v>
      </c>
      <c r="E5907" s="5" t="n">
        <v>365.8</v>
      </c>
      <c r="F5907" s="3" t="inlineStr">
        <is>
          <t>오송읍</t>
        </is>
      </c>
      <c r="G5907" s="3" t="inlineStr">
        <is>
          <t>봉산리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오송읍</t>
        </is>
      </c>
    </row>
    <row r="5908">
      <c r="A5908" s="3" t="n">
        <v>2022</v>
      </c>
      <c r="B5908" s="4" t="n">
        <v>45000</v>
      </c>
      <c r="C5908" s="4" t="n">
        <v>252.1</v>
      </c>
      <c r="D5908" s="4" t="n">
        <v>76.26025</v>
      </c>
      <c r="E5908" s="5" t="n">
        <v>590.1</v>
      </c>
      <c r="F5908" s="3" t="inlineStr">
        <is>
          <t>오송읍</t>
        </is>
      </c>
      <c r="G5908" s="3" t="inlineStr">
        <is>
          <t>봉산리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오송읍</t>
        </is>
      </c>
    </row>
    <row r="5909">
      <c r="A5909" s="3" t="n">
        <v>2022</v>
      </c>
      <c r="B5909" s="4" t="n">
        <v>64800</v>
      </c>
      <c r="C5909" s="4" t="n">
        <v>2144</v>
      </c>
      <c r="D5909" s="4" t="n">
        <v>648.5599999999999</v>
      </c>
      <c r="E5909" s="5" t="n">
        <v>99.90000000000001</v>
      </c>
      <c r="F5909" s="3" t="inlineStr">
        <is>
          <t>오송읍</t>
        </is>
      </c>
      <c r="G5909" s="3" t="inlineStr">
        <is>
          <t>정중리</t>
        </is>
      </c>
      <c r="H5909" s="3" t="inlineStr">
        <is>
          <t>생산관리지역</t>
        </is>
      </c>
      <c r="I5909" s="3" t="inlineStr">
        <is>
          <t>전</t>
        </is>
      </c>
      <c r="J5909" s="3" t="inlineStr">
        <is>
          <t>오송읍</t>
        </is>
      </c>
    </row>
    <row r="5910">
      <c r="A5910" s="3" t="n">
        <v>2022</v>
      </c>
      <c r="B5910" s="4" t="n">
        <v>9120</v>
      </c>
      <c r="C5910" s="4" t="n">
        <v>383</v>
      </c>
      <c r="D5910" s="4" t="n">
        <v>115.8575</v>
      </c>
      <c r="E5910" s="5" t="n">
        <v>78.7</v>
      </c>
      <c r="F5910" s="3" t="inlineStr">
        <is>
          <t>강내면</t>
        </is>
      </c>
      <c r="G5910" s="3" t="inlineStr">
        <is>
          <t>당곡리</t>
        </is>
      </c>
      <c r="H5910" s="3" t="inlineStr">
        <is>
          <t>계획관리지역</t>
        </is>
      </c>
      <c r="I5910" s="3" t="inlineStr">
        <is>
          <t>전</t>
        </is>
      </c>
      <c r="J5910" s="3" t="inlineStr">
        <is>
          <t>강내면</t>
        </is>
      </c>
    </row>
    <row r="5911">
      <c r="A5911" s="3" t="n">
        <v>2022</v>
      </c>
      <c r="B5911" s="4" t="n">
        <v>28000</v>
      </c>
      <c r="C5911" s="4" t="n">
        <v>296.7</v>
      </c>
      <c r="D5911" s="4" t="n">
        <v>89.75174999999999</v>
      </c>
      <c r="E5911" s="5" t="n">
        <v>312</v>
      </c>
      <c r="F5911" s="3" t="inlineStr">
        <is>
          <t>오송읍</t>
        </is>
      </c>
      <c r="G5911" s="3" t="inlineStr">
        <is>
          <t>봉산리</t>
        </is>
      </c>
      <c r="H5911" s="3" t="inlineStr">
        <is>
          <t>제1종일반주거지역</t>
        </is>
      </c>
      <c r="I5911" s="3" t="inlineStr">
        <is>
          <t>대</t>
        </is>
      </c>
      <c r="J5911" s="3" t="inlineStr">
        <is>
          <t>오송읍</t>
        </is>
      </c>
    </row>
    <row r="5912">
      <c r="A5912" s="3" t="n">
        <v>2022</v>
      </c>
      <c r="B5912" s="4" t="n">
        <v>28000</v>
      </c>
      <c r="C5912" s="4" t="n">
        <v>274</v>
      </c>
      <c r="D5912" s="4" t="n">
        <v>82.88499999999999</v>
      </c>
      <c r="E5912" s="5" t="n">
        <v>337.8</v>
      </c>
      <c r="F5912" s="3" t="inlineStr">
        <is>
          <t>오송읍</t>
        </is>
      </c>
      <c r="G5912" s="3" t="inlineStr">
        <is>
          <t>봉산리</t>
        </is>
      </c>
      <c r="H5912" s="3" t="inlineStr">
        <is>
          <t>제1종일반주거지역</t>
        </is>
      </c>
      <c r="I5912" s="3" t="inlineStr">
        <is>
          <t>대</t>
        </is>
      </c>
      <c r="J5912" s="3" t="inlineStr">
        <is>
          <t>오송읍</t>
        </is>
      </c>
    </row>
    <row r="5913">
      <c r="A5913" s="3" t="n">
        <v>2026</v>
      </c>
      <c r="B5913" s="4" t="n">
        <v>106092</v>
      </c>
      <c r="C5913" s="4" t="n">
        <v>2480</v>
      </c>
      <c r="D5913" s="4" t="n">
        <v>750.1999999999999</v>
      </c>
      <c r="E5913" s="5" t="n">
        <v>141.4</v>
      </c>
      <c r="F5913" s="3" t="inlineStr">
        <is>
          <t>현도면</t>
        </is>
      </c>
      <c r="G5913" s="3" t="inlineStr">
        <is>
          <t>양지리</t>
        </is>
      </c>
      <c r="H5913" s="3" t="inlineStr">
        <is>
          <t>자연녹지지역</t>
        </is>
      </c>
      <c r="I5913" s="3" t="inlineStr">
        <is>
          <t>답</t>
        </is>
      </c>
      <c r="J5913" s="3" t="inlineStr">
        <is>
          <t>현도면</t>
        </is>
      </c>
    </row>
    <row r="5914">
      <c r="A5914" s="3" t="n">
        <v>2026</v>
      </c>
      <c r="B5914" s="4" t="n">
        <v>25470</v>
      </c>
      <c r="C5914" s="4" t="n">
        <v>421</v>
      </c>
      <c r="D5914" s="4" t="n">
        <v>127.3525</v>
      </c>
      <c r="E5914" s="5" t="n">
        <v>200</v>
      </c>
      <c r="F5914" s="3" t="inlineStr">
        <is>
          <t>현도면</t>
        </is>
      </c>
      <c r="G5914" s="3" t="inlineStr">
        <is>
          <t>양지리</t>
        </is>
      </c>
      <c r="H5914" s="3" t="inlineStr">
        <is>
          <t>자연녹지지역</t>
        </is>
      </c>
      <c r="I5914" s="3" t="inlineStr">
        <is>
          <t>대</t>
        </is>
      </c>
      <c r="J5914" s="3" t="inlineStr">
        <is>
          <t>현도면</t>
        </is>
      </c>
    </row>
    <row r="5915">
      <c r="A5915" s="3" t="n">
        <v>2026</v>
      </c>
      <c r="B5915" s="4" t="n">
        <v>8438</v>
      </c>
      <c r="C5915" s="4" t="n">
        <v>797</v>
      </c>
      <c r="D5915" s="4" t="n">
        <v>241.0925</v>
      </c>
      <c r="E5915" s="5" t="n">
        <v>35</v>
      </c>
      <c r="F5915" s="3" t="inlineStr">
        <is>
          <t>현도면</t>
        </is>
      </c>
      <c r="G5915" s="3" t="inlineStr">
        <is>
          <t>양지리</t>
        </is>
      </c>
      <c r="H5915" s="3" t="inlineStr">
        <is>
          <t>자연녹지지역</t>
        </is>
      </c>
      <c r="I5915" s="3" t="inlineStr">
        <is>
          <t>전</t>
        </is>
      </c>
      <c r="J5915" s="3" t="inlineStr">
        <is>
          <t>현도면</t>
        </is>
      </c>
    </row>
    <row r="5916">
      <c r="A5916" s="3" t="n">
        <v>2022</v>
      </c>
      <c r="B5916" s="4" t="n">
        <v>18950</v>
      </c>
      <c r="C5916" s="4" t="n">
        <v>1160</v>
      </c>
      <c r="D5916" s="4" t="n">
        <v>350.9</v>
      </c>
      <c r="E5916" s="5" t="n">
        <v>54</v>
      </c>
      <c r="F5916" s="3" t="inlineStr">
        <is>
          <t>오송읍</t>
        </is>
      </c>
      <c r="G5916" s="3" t="inlineStr">
        <is>
          <t>정중리</t>
        </is>
      </c>
      <c r="H5916" s="3" t="inlineStr">
        <is>
          <t>농림지역</t>
        </is>
      </c>
      <c r="I5916" s="3" t="inlineStr">
        <is>
          <t>답</t>
        </is>
      </c>
      <c r="J5916" s="3" t="inlineStr">
        <is>
          <t>오송읍</t>
        </is>
      </c>
    </row>
    <row r="5917">
      <c r="A5917" s="3" t="n">
        <v>2025</v>
      </c>
      <c r="B5917" s="4" t="n">
        <v>98000</v>
      </c>
      <c r="C5917" s="4" t="n">
        <v>3982</v>
      </c>
      <c r="D5917" s="4" t="n">
        <v>1204.555</v>
      </c>
      <c r="E5917" s="5" t="n">
        <v>81.40000000000001</v>
      </c>
      <c r="F5917" s="3" t="inlineStr">
        <is>
          <t>오송읍</t>
        </is>
      </c>
      <c r="G5917" s="3" t="inlineStr">
        <is>
          <t>서평리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오송읍</t>
        </is>
      </c>
    </row>
    <row r="5918">
      <c r="A5918" s="3" t="n">
        <v>2026</v>
      </c>
      <c r="B5918" s="4" t="n">
        <v>21483</v>
      </c>
      <c r="C5918" s="4" t="n">
        <v>3570</v>
      </c>
      <c r="D5918" s="4" t="n">
        <v>1079.925</v>
      </c>
      <c r="E5918" s="5" t="n">
        <v>19.9</v>
      </c>
      <c r="F5918" s="3" t="inlineStr">
        <is>
          <t>오송읍</t>
        </is>
      </c>
      <c r="G5918" s="3" t="inlineStr">
        <is>
          <t>상정리</t>
        </is>
      </c>
      <c r="H5918" s="3" t="inlineStr">
        <is>
          <t>농림지역</t>
        </is>
      </c>
      <c r="I5918" s="3" t="inlineStr">
        <is>
          <t>답</t>
        </is>
      </c>
      <c r="J5918" s="3" t="inlineStr">
        <is>
          <t>오송읍</t>
        </is>
      </c>
    </row>
    <row r="5919">
      <c r="A5919" s="3" t="n">
        <v>2022</v>
      </c>
      <c r="B5919" s="4" t="n">
        <v>1800</v>
      </c>
      <c r="C5919" s="4" t="n">
        <v>200</v>
      </c>
      <c r="D5919" s="4" t="n">
        <v>60.5</v>
      </c>
      <c r="E5919" s="5" t="n">
        <v>29.8</v>
      </c>
      <c r="F5919" s="3" t="inlineStr">
        <is>
          <t>연서면</t>
        </is>
      </c>
      <c r="G5919" s="3" t="inlineStr">
        <is>
          <t>신대리</t>
        </is>
      </c>
      <c r="H5919" s="3" t="inlineStr">
        <is>
          <t>보전관리지역</t>
        </is>
      </c>
      <c r="I5919" s="3" t="inlineStr">
        <is>
          <t>전</t>
        </is>
      </c>
      <c r="J5919" s="3" t="inlineStr">
        <is>
          <t>연서면</t>
        </is>
      </c>
    </row>
    <row r="5920">
      <c r="A5920" s="3" t="n">
        <v>2022</v>
      </c>
      <c r="B5920" s="4" t="n">
        <v>28500</v>
      </c>
      <c r="C5920" s="4" t="n">
        <v>568</v>
      </c>
      <c r="D5920" s="4" t="n">
        <v>171.82</v>
      </c>
      <c r="E5920" s="5" t="n">
        <v>165.9</v>
      </c>
      <c r="F5920" s="3" t="inlineStr">
        <is>
          <t>연서면</t>
        </is>
      </c>
      <c r="G5920" s="3" t="inlineStr">
        <is>
          <t>고복리</t>
        </is>
      </c>
      <c r="H5920" s="3" t="inlineStr">
        <is>
          <t>자연환경보전</t>
        </is>
      </c>
      <c r="I5920" s="3" t="inlineStr">
        <is>
          <t>답</t>
        </is>
      </c>
      <c r="J5920" s="3" t="inlineStr">
        <is>
          <t>연서면</t>
        </is>
      </c>
    </row>
    <row r="5921">
      <c r="A5921" s="3" t="n">
        <v>2022</v>
      </c>
      <c r="B5921" s="4" t="n">
        <v>25000</v>
      </c>
      <c r="C5921" s="4" t="n">
        <v>963</v>
      </c>
      <c r="D5921" s="4" t="n">
        <v>291.3075</v>
      </c>
      <c r="E5921" s="5" t="n">
        <v>85.8</v>
      </c>
      <c r="F5921" s="3" t="inlineStr">
        <is>
          <t>조치원읍</t>
        </is>
      </c>
      <c r="G5921" s="3" t="inlineStr">
        <is>
          <t>신안리</t>
        </is>
      </c>
      <c r="H5921" s="3" t="inlineStr">
        <is>
          <t>자연녹지지역</t>
        </is>
      </c>
      <c r="I5921" s="3" t="inlineStr">
        <is>
          <t>전</t>
        </is>
      </c>
      <c r="J5921" s="3" t="inlineStr">
        <is>
          <t>조치원읍</t>
        </is>
      </c>
    </row>
    <row r="5922">
      <c r="A5922" s="3" t="n">
        <v>2022</v>
      </c>
      <c r="B5922" s="4" t="n">
        <v>20000</v>
      </c>
      <c r="C5922" s="4" t="n">
        <v>614</v>
      </c>
      <c r="D5922" s="4" t="n">
        <v>185.735</v>
      </c>
      <c r="E5922" s="5" t="n">
        <v>107.7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자연녹지지역</t>
        </is>
      </c>
      <c r="I5922" s="3" t="inlineStr">
        <is>
          <t>답</t>
        </is>
      </c>
      <c r="J5922" s="3" t="inlineStr">
        <is>
          <t>조치원읍</t>
        </is>
      </c>
    </row>
    <row r="5923">
      <c r="A5923" s="3" t="n">
        <v>2022</v>
      </c>
      <c r="B5923" s="4" t="n">
        <v>17000</v>
      </c>
      <c r="C5923" s="4" t="n">
        <v>1243</v>
      </c>
      <c r="D5923" s="4" t="n">
        <v>376.0075</v>
      </c>
      <c r="E5923" s="5" t="n">
        <v>45.2</v>
      </c>
      <c r="F5923" s="3" t="inlineStr">
        <is>
          <t>조치원읍</t>
        </is>
      </c>
      <c r="G5923" s="3" t="inlineStr">
        <is>
          <t>서창리</t>
        </is>
      </c>
      <c r="H5923" s="3" t="inlineStr">
        <is>
          <t>자연녹지지역</t>
        </is>
      </c>
      <c r="I5923" s="3" t="inlineStr">
        <is>
          <t>대</t>
        </is>
      </c>
      <c r="J5923" s="3" t="inlineStr">
        <is>
          <t>조치원읍</t>
        </is>
      </c>
    </row>
    <row r="5924">
      <c r="A5924" s="3" t="n">
        <v>2022</v>
      </c>
      <c r="B5924" s="4" t="n">
        <v>6090</v>
      </c>
      <c r="C5924" s="4" t="n">
        <v>28</v>
      </c>
      <c r="D5924" s="4" t="n">
        <v>8.469999999999999</v>
      </c>
      <c r="E5924" s="5" t="n">
        <v>719</v>
      </c>
      <c r="F5924" s="3" t="inlineStr">
        <is>
          <t>조치원읍</t>
        </is>
      </c>
      <c r="G5924" s="3" t="inlineStr">
        <is>
          <t>원리</t>
        </is>
      </c>
      <c r="H5924" s="3" t="inlineStr">
        <is>
          <t>제2종일반주거지역</t>
        </is>
      </c>
      <c r="I5924" s="3" t="inlineStr">
        <is>
          <t>대</t>
        </is>
      </c>
      <c r="J5924" s="3" t="inlineStr">
        <is>
          <t>조치원읍</t>
        </is>
      </c>
    </row>
    <row r="5925">
      <c r="A5925" s="3" t="n">
        <v>2022</v>
      </c>
      <c r="B5925" s="4" t="n">
        <v>95665</v>
      </c>
      <c r="C5925" s="4" t="n">
        <v>7565</v>
      </c>
      <c r="D5925" s="4" t="n">
        <v>2288.4125</v>
      </c>
      <c r="E5925" s="5" t="n">
        <v>41.8</v>
      </c>
      <c r="F5925" s="3" t="inlineStr">
        <is>
          <t>장군면</t>
        </is>
      </c>
      <c r="G5925" s="3" t="inlineStr">
        <is>
          <t>평기리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장군면</t>
        </is>
      </c>
    </row>
    <row r="5926">
      <c r="A5926" s="3" t="n">
        <v>2022</v>
      </c>
      <c r="B5926" s="4" t="n">
        <v>54705</v>
      </c>
      <c r="C5926" s="4" t="n">
        <v>4326</v>
      </c>
      <c r="D5926" s="4" t="n">
        <v>1308.615</v>
      </c>
      <c r="E5926" s="5" t="n">
        <v>41.8</v>
      </c>
      <c r="F5926" s="3" t="inlineStr">
        <is>
          <t>장군면</t>
        </is>
      </c>
      <c r="G5926" s="3" t="inlineStr">
        <is>
          <t>평기리</t>
        </is>
      </c>
      <c r="H5926" s="3" t="inlineStr">
        <is>
          <t>보전관리지역</t>
        </is>
      </c>
      <c r="I5926" s="3" t="inlineStr">
        <is>
          <t>임야</t>
        </is>
      </c>
      <c r="J5926" s="3" t="inlineStr">
        <is>
          <t>장군면</t>
        </is>
      </c>
    </row>
    <row r="5927">
      <c r="A5927" s="3" t="n">
        <v>2022</v>
      </c>
      <c r="B5927" s="4" t="n">
        <v>14700</v>
      </c>
      <c r="C5927" s="4" t="n">
        <v>757</v>
      </c>
      <c r="D5927" s="4" t="n">
        <v>228.9925</v>
      </c>
      <c r="E5927" s="5" t="n">
        <v>64.2</v>
      </c>
      <c r="F5927" s="3" t="inlineStr">
        <is>
          <t>전의면</t>
        </is>
      </c>
      <c r="G5927" s="3" t="inlineStr">
        <is>
          <t>양곡리</t>
        </is>
      </c>
      <c r="H5927" s="3" t="inlineStr">
        <is>
          <t>계획관리지역</t>
        </is>
      </c>
      <c r="I5927" s="3" t="inlineStr">
        <is>
          <t>전</t>
        </is>
      </c>
      <c r="J5927" s="3" t="inlineStr">
        <is>
          <t>전의면</t>
        </is>
      </c>
    </row>
    <row r="5928">
      <c r="A5928" s="3" t="n">
        <v>2022</v>
      </c>
      <c r="B5928" s="4" t="n">
        <v>26590</v>
      </c>
      <c r="C5928" s="4" t="n">
        <v>586</v>
      </c>
      <c r="D5928" s="4" t="n">
        <v>177.265</v>
      </c>
      <c r="E5928" s="5" t="n">
        <v>150</v>
      </c>
      <c r="F5928" s="3" t="inlineStr">
        <is>
          <t>전의면</t>
        </is>
      </c>
      <c r="G5928" s="3" t="inlineStr">
        <is>
          <t>읍내리</t>
        </is>
      </c>
      <c r="H5928" s="3" t="inlineStr">
        <is>
          <t>자연녹지지역</t>
        </is>
      </c>
      <c r="I5928" s="3" t="inlineStr">
        <is>
          <t>전</t>
        </is>
      </c>
      <c r="J5928" s="3" t="inlineStr">
        <is>
          <t>전의면</t>
        </is>
      </c>
    </row>
    <row r="5929">
      <c r="A5929" s="3" t="n">
        <v>2022</v>
      </c>
      <c r="B5929" s="4" t="n">
        <v>44000</v>
      </c>
      <c r="C5929" s="4" t="n">
        <v>1653</v>
      </c>
      <c r="D5929" s="4" t="n">
        <v>500.0325</v>
      </c>
      <c r="E5929" s="5" t="n">
        <v>88</v>
      </c>
      <c r="F5929" s="3" t="inlineStr">
        <is>
          <t>장군면</t>
        </is>
      </c>
      <c r="G5929" s="3" t="inlineStr">
        <is>
          <t>하봉리</t>
        </is>
      </c>
      <c r="H5929" s="3" t="inlineStr">
        <is>
          <t>계획관리지역</t>
        </is>
      </c>
      <c r="I5929" s="3" t="inlineStr">
        <is>
          <t>임야</t>
        </is>
      </c>
      <c r="J5929" s="3" t="inlineStr">
        <is>
          <t>장군면</t>
        </is>
      </c>
    </row>
    <row r="5930">
      <c r="A5930" s="3" t="n">
        <v>2022</v>
      </c>
      <c r="B5930" s="4" t="n">
        <v>70000</v>
      </c>
      <c r="C5930" s="4" t="n">
        <v>370.8</v>
      </c>
      <c r="D5930" s="4" t="n">
        <v>112.167</v>
      </c>
      <c r="E5930" s="5" t="n">
        <v>624.1</v>
      </c>
      <c r="F5930" s="3" t="inlineStr">
        <is>
          <t>고운동</t>
        </is>
      </c>
      <c r="G5930" s="3" t="inlineStr"/>
      <c r="H5930" s="3" t="inlineStr">
        <is>
          <t>제1종전용주거지역</t>
        </is>
      </c>
      <c r="I5930" s="3" t="inlineStr">
        <is>
          <t>대</t>
        </is>
      </c>
      <c r="J5930" s="3" t="inlineStr">
        <is>
          <t>고운동</t>
        </is>
      </c>
    </row>
    <row r="5931">
      <c r="A5931" s="3" t="n">
        <v>2022</v>
      </c>
      <c r="B5931" s="4" t="n">
        <v>19800</v>
      </c>
      <c r="C5931" s="4" t="n">
        <v>386</v>
      </c>
      <c r="D5931" s="4" t="n">
        <v>116.765</v>
      </c>
      <c r="E5931" s="5" t="n">
        <v>169.6</v>
      </c>
      <c r="F5931" s="3" t="inlineStr">
        <is>
          <t>전동면</t>
        </is>
      </c>
      <c r="G5931" s="3" t="inlineStr">
        <is>
          <t>보덕리</t>
        </is>
      </c>
      <c r="H5931" s="3" t="inlineStr">
        <is>
          <t>보전관리지역</t>
        </is>
      </c>
      <c r="I5931" s="3" t="inlineStr">
        <is>
          <t>전</t>
        </is>
      </c>
      <c r="J5931" s="3" t="inlineStr">
        <is>
          <t>전동면</t>
        </is>
      </c>
    </row>
    <row r="5932">
      <c r="A5932" s="3" t="n">
        <v>2025</v>
      </c>
      <c r="B5932" s="4" t="n">
        <v>4020</v>
      </c>
      <c r="C5932" s="4" t="n">
        <v>1653</v>
      </c>
      <c r="D5932" s="4" t="n">
        <v>500.0325</v>
      </c>
      <c r="E5932" s="5" t="n">
        <v>8</v>
      </c>
      <c r="F5932" s="3" t="inlineStr">
        <is>
          <t>전동면</t>
        </is>
      </c>
      <c r="G5932" s="3" t="inlineStr">
        <is>
          <t>노장리</t>
        </is>
      </c>
      <c r="H5932" s="3" t="inlineStr">
        <is>
          <t>계획관리지역</t>
        </is>
      </c>
      <c r="I5932" s="3" t="inlineStr">
        <is>
          <t>임야</t>
        </is>
      </c>
      <c r="J5932" s="3" t="inlineStr">
        <is>
          <t>전동면</t>
        </is>
      </c>
    </row>
    <row r="5933">
      <c r="A5933" s="3" t="n">
        <v>2025</v>
      </c>
      <c r="B5933" s="4" t="n">
        <v>4015</v>
      </c>
      <c r="C5933" s="4" t="n">
        <v>1653</v>
      </c>
      <c r="D5933" s="4" t="n">
        <v>500.0325</v>
      </c>
      <c r="E5933" s="5" t="n">
        <v>8</v>
      </c>
      <c r="F5933" s="3" t="inlineStr">
        <is>
          <t>전동면</t>
        </is>
      </c>
      <c r="G5933" s="3" t="inlineStr">
        <is>
          <t>노장리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전동면</t>
        </is>
      </c>
    </row>
    <row r="5934">
      <c r="A5934" s="3" t="n">
        <v>2025</v>
      </c>
      <c r="B5934" s="4" t="n">
        <v>29036</v>
      </c>
      <c r="C5934" s="4" t="n">
        <v>11950</v>
      </c>
      <c r="D5934" s="4" t="n">
        <v>3614.875</v>
      </c>
      <c r="E5934" s="5" t="n">
        <v>8</v>
      </c>
      <c r="F5934" s="3" t="inlineStr">
        <is>
          <t>전동면</t>
        </is>
      </c>
      <c r="G5934" s="3" t="inlineStr">
        <is>
          <t>노장리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전동면</t>
        </is>
      </c>
    </row>
    <row r="5935">
      <c r="A5935" s="3" t="n">
        <v>2025</v>
      </c>
      <c r="B5935" s="4" t="n">
        <v>13087</v>
      </c>
      <c r="C5935" s="4" t="n">
        <v>1352</v>
      </c>
      <c r="D5935" s="4" t="n">
        <v>408.98</v>
      </c>
      <c r="E5935" s="5" t="n">
        <v>32</v>
      </c>
      <c r="F5935" s="3" t="inlineStr">
        <is>
          <t>전동면</t>
        </is>
      </c>
      <c r="G5935" s="3" t="inlineStr">
        <is>
          <t>봉대리</t>
        </is>
      </c>
      <c r="H5935" s="3" t="inlineStr">
        <is>
          <t>생산관리지역</t>
        </is>
      </c>
      <c r="I5935" s="3" t="inlineStr">
        <is>
          <t>답</t>
        </is>
      </c>
      <c r="J5935" s="3" t="inlineStr">
        <is>
          <t>전동면</t>
        </is>
      </c>
    </row>
    <row r="5936">
      <c r="A5936" s="3" t="n">
        <v>2025</v>
      </c>
      <c r="B5936" s="4" t="n">
        <v>3000</v>
      </c>
      <c r="C5936" s="4" t="n">
        <v>358</v>
      </c>
      <c r="D5936" s="4" t="n">
        <v>108.295</v>
      </c>
      <c r="E5936" s="5" t="n">
        <v>27.7</v>
      </c>
      <c r="F5936" s="3" t="inlineStr">
        <is>
          <t>소정면</t>
        </is>
      </c>
      <c r="G5936" s="3" t="inlineStr">
        <is>
          <t>운당리</t>
        </is>
      </c>
      <c r="H5936" s="3" t="inlineStr">
        <is>
          <t>계획관리지역</t>
        </is>
      </c>
      <c r="I5936" s="3" t="inlineStr">
        <is>
          <t>전</t>
        </is>
      </c>
      <c r="J5936" s="3" t="inlineStr">
        <is>
          <t>소정면</t>
        </is>
      </c>
    </row>
    <row r="5937">
      <c r="A5937" s="3" t="n">
        <v>2025</v>
      </c>
      <c r="B5937" s="4" t="n">
        <v>33421</v>
      </c>
      <c r="C5937" s="4" t="n">
        <v>256.5</v>
      </c>
      <c r="D5937" s="4" t="n">
        <v>77.59125</v>
      </c>
      <c r="E5937" s="5" t="n">
        <v>430.7</v>
      </c>
      <c r="F5937" s="3" t="inlineStr">
        <is>
          <t>고운동</t>
        </is>
      </c>
      <c r="G5937" s="3" t="inlineStr"/>
      <c r="H5937" s="3" t="inlineStr">
        <is>
          <t>제1종전용주거지역</t>
        </is>
      </c>
      <c r="I5937" s="3" t="inlineStr">
        <is>
          <t>대</t>
        </is>
      </c>
      <c r="J5937" s="3" t="inlineStr">
        <is>
          <t>고운동</t>
        </is>
      </c>
    </row>
    <row r="5938">
      <c r="A5938" s="3" t="n">
        <v>2025</v>
      </c>
      <c r="B5938" s="4" t="n">
        <v>57000</v>
      </c>
      <c r="C5938" s="4" t="n">
        <v>2001</v>
      </c>
      <c r="D5938" s="4" t="n">
        <v>605.3025</v>
      </c>
      <c r="E5938" s="5" t="n">
        <v>94.2</v>
      </c>
      <c r="F5938" s="3" t="inlineStr">
        <is>
          <t>금남면</t>
        </is>
      </c>
      <c r="G5938" s="3" t="inlineStr">
        <is>
          <t>부용리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7480</v>
      </c>
      <c r="C5939" s="4" t="n">
        <v>1127</v>
      </c>
      <c r="D5939" s="4" t="n">
        <v>340.9175</v>
      </c>
      <c r="E5939" s="5" t="n">
        <v>21.9</v>
      </c>
      <c r="F5939" s="3" t="inlineStr">
        <is>
          <t>부강면</t>
        </is>
      </c>
      <c r="G5939" s="3" t="inlineStr">
        <is>
          <t>행산리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부강면</t>
        </is>
      </c>
    </row>
    <row r="5940">
      <c r="A5940" s="3" t="n">
        <v>2025</v>
      </c>
      <c r="B5940" s="4" t="n">
        <v>300</v>
      </c>
      <c r="C5940" s="4" t="n">
        <v>4</v>
      </c>
      <c r="D5940" s="4" t="n">
        <v>1.21</v>
      </c>
      <c r="E5940" s="5" t="n">
        <v>247.9</v>
      </c>
      <c r="F5940" s="3" t="inlineStr">
        <is>
          <t>부강면</t>
        </is>
      </c>
      <c r="G5940" s="3" t="inlineStr">
        <is>
          <t>부강리</t>
        </is>
      </c>
      <c r="H5940" s="3" t="inlineStr">
        <is>
          <t>생산녹지지역</t>
        </is>
      </c>
      <c r="I5940" s="3" t="inlineStr">
        <is>
          <t>답</t>
        </is>
      </c>
      <c r="J5940" s="3" t="inlineStr">
        <is>
          <t>부강면</t>
        </is>
      </c>
    </row>
    <row r="5941">
      <c r="A5941" s="3" t="n">
        <v>2025</v>
      </c>
      <c r="B5941" s="4" t="n">
        <v>24900</v>
      </c>
      <c r="C5941" s="4" t="n">
        <v>916</v>
      </c>
      <c r="D5941" s="4" t="n">
        <v>277.09</v>
      </c>
      <c r="E5941" s="5" t="n">
        <v>89.90000000000001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자연녹지지역</t>
        </is>
      </c>
      <c r="I5941" s="3" t="inlineStr">
        <is>
          <t>전</t>
        </is>
      </c>
      <c r="J5941" s="3" t="inlineStr">
        <is>
          <t>부강면</t>
        </is>
      </c>
    </row>
    <row r="5942">
      <c r="A5942" s="3" t="n">
        <v>2025</v>
      </c>
      <c r="B5942" s="4" t="n">
        <v>150000</v>
      </c>
      <c r="C5942" s="4" t="n">
        <v>63570</v>
      </c>
      <c r="D5942" s="4" t="n">
        <v>19229.925</v>
      </c>
      <c r="E5942" s="5" t="n">
        <v>7.8</v>
      </c>
      <c r="F5942" s="3" t="inlineStr">
        <is>
          <t>소정면</t>
        </is>
      </c>
      <c r="G5942" s="3" t="inlineStr">
        <is>
          <t>대곡리</t>
        </is>
      </c>
      <c r="H5942" s="3" t="inlineStr">
        <is>
          <t>계획관리지역</t>
        </is>
      </c>
      <c r="I5942" s="3" t="inlineStr">
        <is>
          <t>임야</t>
        </is>
      </c>
      <c r="J5942" s="3" t="inlineStr">
        <is>
          <t>소정면</t>
        </is>
      </c>
    </row>
    <row r="5943">
      <c r="A5943" s="3" t="n">
        <v>2025</v>
      </c>
      <c r="B5943" s="4" t="n">
        <v>3500</v>
      </c>
      <c r="C5943" s="4" t="n">
        <v>440</v>
      </c>
      <c r="D5943" s="4" t="n">
        <v>133.1</v>
      </c>
      <c r="E5943" s="5" t="n">
        <v>26.3</v>
      </c>
      <c r="F5943" s="3" t="inlineStr">
        <is>
          <t>소정면</t>
        </is>
      </c>
      <c r="G5943" s="3" t="inlineStr">
        <is>
          <t>대곡리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소정면</t>
        </is>
      </c>
    </row>
    <row r="5944">
      <c r="A5944" s="3" t="n">
        <v>2025</v>
      </c>
      <c r="B5944" s="4" t="n">
        <v>83300</v>
      </c>
      <c r="C5944" s="4" t="n">
        <v>353.2</v>
      </c>
      <c r="D5944" s="4" t="n">
        <v>106.843</v>
      </c>
      <c r="E5944" s="5" t="n">
        <v>779.6</v>
      </c>
      <c r="F5944" s="3" t="inlineStr">
        <is>
          <t>고운동</t>
        </is>
      </c>
      <c r="G5944" s="3" t="inlineStr"/>
      <c r="H5944" s="3" t="inlineStr">
        <is>
          <t>제1종전용주거지역</t>
        </is>
      </c>
      <c r="I5944" s="3" t="inlineStr">
        <is>
          <t>대</t>
        </is>
      </c>
      <c r="J5944" s="3" t="inlineStr">
        <is>
          <t>고운동</t>
        </is>
      </c>
    </row>
    <row r="5945">
      <c r="A5945" s="3" t="n">
        <v>2025</v>
      </c>
      <c r="B5945" s="4" t="n">
        <v>50000</v>
      </c>
      <c r="C5945" s="4" t="n">
        <v>474</v>
      </c>
      <c r="D5945" s="4" t="n">
        <v>143.385</v>
      </c>
      <c r="E5945" s="5" t="n">
        <v>348.7</v>
      </c>
      <c r="F5945" s="3" t="inlineStr">
        <is>
          <t>다정동</t>
        </is>
      </c>
      <c r="G5945" s="3" t="inlineStr"/>
      <c r="H5945" s="3" t="inlineStr">
        <is>
          <t>제1종전용주거지역</t>
        </is>
      </c>
      <c r="I5945" s="3" t="inlineStr">
        <is>
          <t>대</t>
        </is>
      </c>
      <c r="J5945" s="3" t="inlineStr">
        <is>
          <t>다정동</t>
        </is>
      </c>
    </row>
    <row r="5946">
      <c r="A5946" s="3" t="n">
        <v>2025</v>
      </c>
      <c r="B5946" s="4" t="n">
        <v>387600</v>
      </c>
      <c r="C5946" s="4" t="n">
        <v>3000</v>
      </c>
      <c r="D5946" s="4" t="n">
        <v>907.5</v>
      </c>
      <c r="E5946" s="5" t="n">
        <v>427.1</v>
      </c>
      <c r="F5946" s="3" t="inlineStr">
        <is>
          <t>반곡동</t>
        </is>
      </c>
      <c r="G5946" s="3" t="inlineStr"/>
      <c r="H5946" s="3" t="inlineStr">
        <is>
          <t>제2종일반주거지역</t>
        </is>
      </c>
      <c r="I5946" s="3" t="inlineStr">
        <is>
          <t>학교용지</t>
        </is>
      </c>
      <c r="J5946" s="3" t="inlineStr">
        <is>
          <t>반곡동</t>
        </is>
      </c>
    </row>
    <row r="5947">
      <c r="A5947" s="3" t="n">
        <v>2025</v>
      </c>
      <c r="B5947" s="4" t="n">
        <v>12468</v>
      </c>
      <c r="C5947" s="4" t="n">
        <v>635</v>
      </c>
      <c r="D5947" s="4" t="n">
        <v>192.0875</v>
      </c>
      <c r="E5947" s="5" t="n">
        <v>64.90000000000001</v>
      </c>
      <c r="F5947" s="3" t="inlineStr">
        <is>
          <t>장군면</t>
        </is>
      </c>
      <c r="G5947" s="3" t="inlineStr">
        <is>
          <t>금암리</t>
        </is>
      </c>
      <c r="H5947" s="3" t="inlineStr">
        <is>
          <t>보전관리지역</t>
        </is>
      </c>
      <c r="I5947" s="3" t="inlineStr">
        <is>
          <t>임야</t>
        </is>
      </c>
      <c r="J5947" s="3" t="inlineStr">
        <is>
          <t>장군면</t>
        </is>
      </c>
    </row>
    <row r="5948">
      <c r="A5948" s="3" t="n">
        <v>2025</v>
      </c>
      <c r="B5948" s="4" t="n">
        <v>100000</v>
      </c>
      <c r="C5948" s="4" t="n">
        <v>70138</v>
      </c>
      <c r="D5948" s="4" t="n">
        <v>21216.745</v>
      </c>
      <c r="E5948" s="5" t="n">
        <v>4.7</v>
      </c>
      <c r="F5948" s="3" t="inlineStr">
        <is>
          <t>금남면</t>
        </is>
      </c>
      <c r="G5948" s="3" t="inlineStr">
        <is>
          <t>영치리</t>
        </is>
      </c>
      <c r="H5948" s="3" t="inlineStr">
        <is>
          <t>개발제한구역</t>
        </is>
      </c>
      <c r="I5948" s="3" t="inlineStr">
        <is>
          <t>임야</t>
        </is>
      </c>
      <c r="J5948" s="3" t="inlineStr">
        <is>
          <t>금남면</t>
        </is>
      </c>
    </row>
    <row r="5949">
      <c r="A5949" s="3" t="n">
        <v>2025</v>
      </c>
      <c r="B5949" s="4" t="n">
        <v>6700</v>
      </c>
      <c r="C5949" s="4" t="n">
        <v>445</v>
      </c>
      <c r="D5949" s="4" t="n">
        <v>134.6125</v>
      </c>
      <c r="E5949" s="5" t="n">
        <v>49.8</v>
      </c>
      <c r="F5949" s="3" t="inlineStr">
        <is>
          <t>부강면</t>
        </is>
      </c>
      <c r="G5949" s="3" t="inlineStr">
        <is>
          <t>갈산리</t>
        </is>
      </c>
      <c r="H5949" s="3" t="inlineStr">
        <is>
          <t>계획관리지역</t>
        </is>
      </c>
      <c r="I5949" s="3" t="inlineStr">
        <is>
          <t>전</t>
        </is>
      </c>
      <c r="J5949" s="3" t="inlineStr">
        <is>
          <t>부강면</t>
        </is>
      </c>
    </row>
    <row r="5950">
      <c r="A5950" s="3" t="n">
        <v>2025</v>
      </c>
      <c r="B5950" s="4" t="n">
        <v>5631</v>
      </c>
      <c r="C5950" s="4" t="n">
        <v>374</v>
      </c>
      <c r="D5950" s="4" t="n">
        <v>113.135</v>
      </c>
      <c r="E5950" s="5" t="n">
        <v>49.8</v>
      </c>
      <c r="F5950" s="3" t="inlineStr">
        <is>
          <t>부강면</t>
        </is>
      </c>
      <c r="G5950" s="3" t="inlineStr">
        <is>
          <t>갈산리</t>
        </is>
      </c>
      <c r="H5950" s="3" t="inlineStr">
        <is>
          <t>계획관리지역</t>
        </is>
      </c>
      <c r="I5950" s="3" t="inlineStr">
        <is>
          <t>전</t>
        </is>
      </c>
      <c r="J5950" s="3" t="inlineStr">
        <is>
          <t>부강면</t>
        </is>
      </c>
    </row>
    <row r="5951">
      <c r="A5951" s="3" t="n">
        <v>2025</v>
      </c>
      <c r="B5951" s="4" t="n">
        <v>4713</v>
      </c>
      <c r="C5951" s="4" t="n">
        <v>313</v>
      </c>
      <c r="D5951" s="4" t="n">
        <v>94.68249999999999</v>
      </c>
      <c r="E5951" s="5" t="n">
        <v>49.8</v>
      </c>
      <c r="F5951" s="3" t="inlineStr">
        <is>
          <t>부강면</t>
        </is>
      </c>
      <c r="G5951" s="3" t="inlineStr">
        <is>
          <t>갈산리</t>
        </is>
      </c>
      <c r="H5951" s="3" t="inlineStr">
        <is>
          <t>계획관리지역</t>
        </is>
      </c>
      <c r="I5951" s="3" t="inlineStr">
        <is>
          <t>전</t>
        </is>
      </c>
      <c r="J5951" s="3" t="inlineStr">
        <is>
          <t>부강면</t>
        </is>
      </c>
    </row>
    <row r="5952">
      <c r="A5952" s="3" t="n">
        <v>2025</v>
      </c>
      <c r="B5952" s="4" t="n">
        <v>1127</v>
      </c>
      <c r="C5952" s="4" t="n">
        <v>326</v>
      </c>
      <c r="D5952" s="4" t="n">
        <v>98.61499999999999</v>
      </c>
      <c r="E5952" s="5" t="n">
        <v>11.4</v>
      </c>
      <c r="F5952" s="3" t="inlineStr">
        <is>
          <t>부강면</t>
        </is>
      </c>
      <c r="G5952" s="3" t="inlineStr">
        <is>
          <t>갈산리</t>
        </is>
      </c>
      <c r="H5952" s="3" t="inlineStr">
        <is>
          <t>계획관리지역</t>
        </is>
      </c>
      <c r="I5952" s="3" t="inlineStr">
        <is>
          <t>임야</t>
        </is>
      </c>
      <c r="J5952" s="3" t="inlineStr">
        <is>
          <t>부강면</t>
        </is>
      </c>
    </row>
    <row r="5953">
      <c r="A5953" s="3" t="n">
        <v>2025</v>
      </c>
      <c r="B5953" s="4" t="n">
        <v>5410</v>
      </c>
      <c r="C5953" s="4" t="n">
        <v>1349</v>
      </c>
      <c r="D5953" s="4" t="n">
        <v>408.0725</v>
      </c>
      <c r="E5953" s="5" t="n">
        <v>13.3</v>
      </c>
      <c r="F5953" s="3" t="inlineStr">
        <is>
          <t>부강면</t>
        </is>
      </c>
      <c r="G5953" s="3" t="inlineStr">
        <is>
          <t>갈산리</t>
        </is>
      </c>
      <c r="H5953" s="3" t="inlineStr">
        <is>
          <t>계획관리지역</t>
        </is>
      </c>
      <c r="I5953" s="3" t="inlineStr">
        <is>
          <t>임야</t>
        </is>
      </c>
      <c r="J5953" s="3" t="inlineStr">
        <is>
          <t>부강면</t>
        </is>
      </c>
    </row>
    <row r="5954">
      <c r="A5954" s="3" t="n">
        <v>2025</v>
      </c>
      <c r="B5954" s="4" t="n">
        <v>20020</v>
      </c>
      <c r="C5954" s="4" t="n">
        <v>1653</v>
      </c>
      <c r="D5954" s="4" t="n">
        <v>500.0325</v>
      </c>
      <c r="E5954" s="5" t="n">
        <v>40</v>
      </c>
      <c r="F5954" s="3" t="inlineStr">
        <is>
          <t>장군면</t>
        </is>
      </c>
      <c r="G5954" s="3" t="inlineStr">
        <is>
          <t>금암리</t>
        </is>
      </c>
      <c r="H5954" s="3" t="inlineStr">
        <is>
          <t>농림지역</t>
        </is>
      </c>
      <c r="I5954" s="3" t="inlineStr">
        <is>
          <t>임야</t>
        </is>
      </c>
      <c r="J5954" s="3" t="inlineStr">
        <is>
          <t>장군면</t>
        </is>
      </c>
    </row>
    <row r="5955">
      <c r="A5955" s="3" t="n">
        <v>2025</v>
      </c>
      <c r="B5955" s="4" t="n">
        <v>24000</v>
      </c>
      <c r="C5955" s="4" t="n">
        <v>169</v>
      </c>
      <c r="D5955" s="4" t="n">
        <v>51.1225</v>
      </c>
      <c r="E5955" s="5" t="n">
        <v>469.5</v>
      </c>
      <c r="F5955" s="3" t="inlineStr">
        <is>
          <t>연기면</t>
        </is>
      </c>
      <c r="G5955" s="3" t="inlineStr">
        <is>
          <t>연기리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연기면</t>
        </is>
      </c>
    </row>
    <row r="5956">
      <c r="A5956" s="3" t="n">
        <v>2025</v>
      </c>
      <c r="B5956" s="4" t="n">
        <v>126000</v>
      </c>
      <c r="C5956" s="4" t="n">
        <v>886</v>
      </c>
      <c r="D5956" s="4" t="n">
        <v>268.015</v>
      </c>
      <c r="E5956" s="5" t="n">
        <v>470.1</v>
      </c>
      <c r="F5956" s="3" t="inlineStr">
        <is>
          <t>연기면</t>
        </is>
      </c>
      <c r="G5956" s="3" t="inlineStr">
        <is>
          <t>연기리</t>
        </is>
      </c>
      <c r="H5956" s="3" t="inlineStr">
        <is>
          <t>계획관리지역</t>
        </is>
      </c>
      <c r="I5956" s="3" t="inlineStr">
        <is>
          <t>답</t>
        </is>
      </c>
      <c r="J5956" s="3" t="inlineStr">
        <is>
          <t>연기면</t>
        </is>
      </c>
    </row>
    <row r="5957">
      <c r="A5957" s="3" t="n">
        <v>2025</v>
      </c>
      <c r="B5957" s="4" t="n">
        <v>100000</v>
      </c>
      <c r="C5957" s="4" t="n">
        <v>703</v>
      </c>
      <c r="D5957" s="4" t="n">
        <v>212.6575</v>
      </c>
      <c r="E5957" s="5" t="n">
        <v>470.2</v>
      </c>
      <c r="F5957" s="3" t="inlineStr">
        <is>
          <t>연기면</t>
        </is>
      </c>
      <c r="G5957" s="3" t="inlineStr">
        <is>
          <t>연기리</t>
        </is>
      </c>
      <c r="H5957" s="3" t="inlineStr">
        <is>
          <t>계획관리지역</t>
        </is>
      </c>
      <c r="I5957" s="3" t="inlineStr">
        <is>
          <t>답</t>
        </is>
      </c>
      <c r="J5957" s="3" t="inlineStr">
        <is>
          <t>연기면</t>
        </is>
      </c>
    </row>
    <row r="5958">
      <c r="A5958" s="3" t="n">
        <v>2025</v>
      </c>
      <c r="B5958" s="4" t="n">
        <v>13500</v>
      </c>
      <c r="C5958" s="4" t="n">
        <v>1279</v>
      </c>
      <c r="D5958" s="4" t="n">
        <v>386.8975</v>
      </c>
      <c r="E5958" s="5" t="n">
        <v>34.9</v>
      </c>
      <c r="F5958" s="3" t="inlineStr">
        <is>
          <t>금남면</t>
        </is>
      </c>
      <c r="G5958" s="3" t="inlineStr">
        <is>
          <t>금천리</t>
        </is>
      </c>
      <c r="H5958" s="3" t="inlineStr">
        <is>
          <t>개발제한구역</t>
        </is>
      </c>
      <c r="I5958" s="3" t="inlineStr">
        <is>
          <t>답</t>
        </is>
      </c>
      <c r="J5958" s="3" t="inlineStr">
        <is>
          <t>금남면</t>
        </is>
      </c>
    </row>
    <row r="5959">
      <c r="A5959" s="3" t="n">
        <v>2025</v>
      </c>
      <c r="B5959" s="4" t="n">
        <v>26000</v>
      </c>
      <c r="C5959" s="4" t="n">
        <v>2456</v>
      </c>
      <c r="D5959" s="4" t="n">
        <v>742.9399999999999</v>
      </c>
      <c r="E5959" s="5" t="n">
        <v>35</v>
      </c>
      <c r="F5959" s="3" t="inlineStr">
        <is>
          <t>금남면</t>
        </is>
      </c>
      <c r="G5959" s="3" t="inlineStr">
        <is>
          <t>금천리</t>
        </is>
      </c>
      <c r="H5959" s="3" t="inlineStr">
        <is>
          <t>개발제한구역</t>
        </is>
      </c>
      <c r="I5959" s="3" t="inlineStr">
        <is>
          <t>답</t>
        </is>
      </c>
      <c r="J5959" s="3" t="inlineStr">
        <is>
          <t>금남면</t>
        </is>
      </c>
    </row>
    <row r="5960">
      <c r="A5960" s="3" t="n">
        <v>2024</v>
      </c>
      <c r="B5960" s="4" t="n">
        <v>23169</v>
      </c>
      <c r="C5960" s="4" t="n">
        <v>355</v>
      </c>
      <c r="D5960" s="4" t="n">
        <v>107.3875</v>
      </c>
      <c r="E5960" s="5" t="n">
        <v>215.8</v>
      </c>
      <c r="F5960" s="3" t="inlineStr">
        <is>
          <t>장군면</t>
        </is>
      </c>
      <c r="G5960" s="3" t="inlineStr">
        <is>
          <t>봉안리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2024</v>
      </c>
      <c r="B5961" s="4" t="n">
        <v>39159</v>
      </c>
      <c r="C5961" s="4" t="n">
        <v>600</v>
      </c>
      <c r="D5961" s="4" t="n">
        <v>181.5</v>
      </c>
      <c r="E5961" s="5" t="n">
        <v>215.8</v>
      </c>
      <c r="F5961" s="3" t="inlineStr">
        <is>
          <t>장군면</t>
        </is>
      </c>
      <c r="G5961" s="3" t="inlineStr">
        <is>
          <t>봉안리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2024</v>
      </c>
      <c r="B5962" s="4" t="n">
        <v>32633</v>
      </c>
      <c r="C5962" s="4" t="n">
        <v>500</v>
      </c>
      <c r="D5962" s="4" t="n">
        <v>151.25</v>
      </c>
      <c r="E5962" s="5" t="n">
        <v>215.8</v>
      </c>
      <c r="F5962" s="3" t="inlineStr">
        <is>
          <t>장군면</t>
        </is>
      </c>
      <c r="G5962" s="3" t="inlineStr">
        <is>
          <t>봉안리</t>
        </is>
      </c>
      <c r="H5962" s="3" t="inlineStr">
        <is>
          <t>보전관리지역</t>
        </is>
      </c>
      <c r="I5962" s="3" t="inlineStr">
        <is>
          <t>임야</t>
        </is>
      </c>
      <c r="J5962" s="3" t="inlineStr">
        <is>
          <t>장군면</t>
        </is>
      </c>
    </row>
    <row r="5963">
      <c r="A5963" s="3" t="n">
        <v>2024</v>
      </c>
      <c r="B5963" s="4" t="n">
        <v>32633</v>
      </c>
      <c r="C5963" s="4" t="n">
        <v>500</v>
      </c>
      <c r="D5963" s="4" t="n">
        <v>151.25</v>
      </c>
      <c r="E5963" s="5" t="n">
        <v>215.8</v>
      </c>
      <c r="F5963" s="3" t="inlineStr">
        <is>
          <t>장군면</t>
        </is>
      </c>
      <c r="G5963" s="3" t="inlineStr">
        <is>
          <t>봉안리</t>
        </is>
      </c>
      <c r="H5963" s="3" t="inlineStr">
        <is>
          <t>보전관리지역</t>
        </is>
      </c>
      <c r="I5963" s="3" t="inlineStr">
        <is>
          <t>임야</t>
        </is>
      </c>
      <c r="J5963" s="3" t="inlineStr">
        <is>
          <t>장군면</t>
        </is>
      </c>
    </row>
    <row r="5964">
      <c r="A5964" s="3" t="n">
        <v>2024</v>
      </c>
      <c r="B5964" s="4" t="n">
        <v>32633</v>
      </c>
      <c r="C5964" s="4" t="n">
        <v>500</v>
      </c>
      <c r="D5964" s="4" t="n">
        <v>151.25</v>
      </c>
      <c r="E5964" s="5" t="n">
        <v>215.8</v>
      </c>
      <c r="F5964" s="3" t="inlineStr">
        <is>
          <t>장군면</t>
        </is>
      </c>
      <c r="G5964" s="3" t="inlineStr">
        <is>
          <t>봉안리</t>
        </is>
      </c>
      <c r="H5964" s="3" t="inlineStr">
        <is>
          <t>보전관리지역</t>
        </is>
      </c>
      <c r="I5964" s="3" t="inlineStr">
        <is>
          <t>임야</t>
        </is>
      </c>
      <c r="J5964" s="3" t="inlineStr">
        <is>
          <t>장군면</t>
        </is>
      </c>
    </row>
    <row r="5965">
      <c r="A5965" s="3" t="n">
        <v>2024</v>
      </c>
      <c r="B5965" s="4" t="n">
        <v>25498</v>
      </c>
      <c r="C5965" s="4" t="n">
        <v>435</v>
      </c>
      <c r="D5965" s="4" t="n">
        <v>131.5875</v>
      </c>
      <c r="E5965" s="5" t="n">
        <v>193.8</v>
      </c>
      <c r="F5965" s="3" t="inlineStr">
        <is>
          <t>장군면</t>
        </is>
      </c>
      <c r="G5965" s="3" t="inlineStr">
        <is>
          <t>봉안리</t>
        </is>
      </c>
      <c r="H5965" s="3" t="inlineStr">
        <is>
          <t>보전관리지역</t>
        </is>
      </c>
      <c r="I5965" s="3" t="inlineStr">
        <is>
          <t>임야</t>
        </is>
      </c>
      <c r="J5965" s="3" t="inlineStr">
        <is>
          <t>장군면</t>
        </is>
      </c>
    </row>
    <row r="5966">
      <c r="A5966" s="3" t="n">
        <v>2024</v>
      </c>
      <c r="B5966" s="4" t="n">
        <v>35243</v>
      </c>
      <c r="C5966" s="4" t="n">
        <v>540</v>
      </c>
      <c r="D5966" s="4" t="n">
        <v>163.35</v>
      </c>
      <c r="E5966" s="5" t="n">
        <v>215.8</v>
      </c>
      <c r="F5966" s="3" t="inlineStr">
        <is>
          <t>장군면</t>
        </is>
      </c>
      <c r="G5966" s="3" t="inlineStr">
        <is>
          <t>봉안리</t>
        </is>
      </c>
      <c r="H5966" s="3" t="inlineStr">
        <is>
          <t>보전관리지역</t>
        </is>
      </c>
      <c r="I5966" s="3" t="inlineStr">
        <is>
          <t>임야</t>
        </is>
      </c>
      <c r="J5966" s="3" t="inlineStr">
        <is>
          <t>장군면</t>
        </is>
      </c>
    </row>
    <row r="5967">
      <c r="A5967" s="3" t="n">
        <v>2024</v>
      </c>
      <c r="B5967" s="4" t="n">
        <v>35243</v>
      </c>
      <c r="C5967" s="4" t="n">
        <v>540</v>
      </c>
      <c r="D5967" s="4" t="n">
        <v>163.35</v>
      </c>
      <c r="E5967" s="5" t="n">
        <v>215.8</v>
      </c>
      <c r="F5967" s="3" t="inlineStr">
        <is>
          <t>장군면</t>
        </is>
      </c>
      <c r="G5967" s="3" t="inlineStr">
        <is>
          <t>봉안리</t>
        </is>
      </c>
      <c r="H5967" s="3" t="inlineStr">
        <is>
          <t>보전관리지역</t>
        </is>
      </c>
      <c r="I5967" s="3" t="inlineStr">
        <is>
          <t>임야</t>
        </is>
      </c>
      <c r="J5967" s="3" t="inlineStr">
        <is>
          <t>장군면</t>
        </is>
      </c>
    </row>
    <row r="5968">
      <c r="A5968" s="3" t="n">
        <v>2024</v>
      </c>
      <c r="B5968" s="4" t="n">
        <v>35243</v>
      </c>
      <c r="C5968" s="4" t="n">
        <v>540</v>
      </c>
      <c r="D5968" s="4" t="n">
        <v>163.35</v>
      </c>
      <c r="E5968" s="5" t="n">
        <v>215.8</v>
      </c>
      <c r="F5968" s="3" t="inlineStr">
        <is>
          <t>장군면</t>
        </is>
      </c>
      <c r="G5968" s="3" t="inlineStr">
        <is>
          <t>봉안리</t>
        </is>
      </c>
      <c r="H5968" s="3" t="inlineStr">
        <is>
          <t>보전관리지역</t>
        </is>
      </c>
      <c r="I5968" s="3" t="inlineStr">
        <is>
          <t>임야</t>
        </is>
      </c>
      <c r="J5968" s="3" t="inlineStr">
        <is>
          <t>장군면</t>
        </is>
      </c>
    </row>
    <row r="5969">
      <c r="A5969" s="3" t="n">
        <v>2024</v>
      </c>
      <c r="B5969" s="4" t="n">
        <v>35243</v>
      </c>
      <c r="C5969" s="4" t="n">
        <v>540</v>
      </c>
      <c r="D5969" s="4" t="n">
        <v>163.35</v>
      </c>
      <c r="E5969" s="5" t="n">
        <v>215.8</v>
      </c>
      <c r="F5969" s="3" t="inlineStr">
        <is>
          <t>장군면</t>
        </is>
      </c>
      <c r="G5969" s="3" t="inlineStr">
        <is>
          <t>봉안리</t>
        </is>
      </c>
      <c r="H5969" s="3" t="inlineStr">
        <is>
          <t>보전관리지역</t>
        </is>
      </c>
      <c r="I5969" s="3" t="inlineStr">
        <is>
          <t>임야</t>
        </is>
      </c>
      <c r="J5969" s="3" t="inlineStr">
        <is>
          <t>장군면</t>
        </is>
      </c>
    </row>
    <row r="5970">
      <c r="A5970" s="3" t="n">
        <v>2024</v>
      </c>
      <c r="B5970" s="4" t="n">
        <v>35243</v>
      </c>
      <c r="C5970" s="4" t="n">
        <v>540</v>
      </c>
      <c r="D5970" s="4" t="n">
        <v>163.35</v>
      </c>
      <c r="E5970" s="5" t="n">
        <v>215.8</v>
      </c>
      <c r="F5970" s="3" t="inlineStr">
        <is>
          <t>장군면</t>
        </is>
      </c>
      <c r="G5970" s="3" t="inlineStr">
        <is>
          <t>봉안리</t>
        </is>
      </c>
      <c r="H5970" s="3" t="inlineStr">
        <is>
          <t>보전관리지역</t>
        </is>
      </c>
      <c r="I5970" s="3" t="inlineStr">
        <is>
          <t>임야</t>
        </is>
      </c>
      <c r="J5970" s="3" t="inlineStr">
        <is>
          <t>장군면</t>
        </is>
      </c>
    </row>
    <row r="5971">
      <c r="A5971" s="3" t="n">
        <v>2024</v>
      </c>
      <c r="B5971" s="4" t="n">
        <v>42422</v>
      </c>
      <c r="C5971" s="4" t="n">
        <v>650</v>
      </c>
      <c r="D5971" s="4" t="n">
        <v>196.625</v>
      </c>
      <c r="E5971" s="5" t="n">
        <v>215.8</v>
      </c>
      <c r="F5971" s="3" t="inlineStr">
        <is>
          <t>장군면</t>
        </is>
      </c>
      <c r="G5971" s="3" t="inlineStr">
        <is>
          <t>봉안리</t>
        </is>
      </c>
      <c r="H5971" s="3" t="inlineStr">
        <is>
          <t>보전관리지역</t>
        </is>
      </c>
      <c r="I5971" s="3" t="inlineStr">
        <is>
          <t>임야</t>
        </is>
      </c>
      <c r="J5971" s="3" t="inlineStr">
        <is>
          <t>장군면</t>
        </is>
      </c>
    </row>
    <row r="5972">
      <c r="A5972" s="3" t="n">
        <v>2024</v>
      </c>
      <c r="B5972" s="4" t="n">
        <v>42422</v>
      </c>
      <c r="C5972" s="4" t="n">
        <v>650</v>
      </c>
      <c r="D5972" s="4" t="n">
        <v>196.625</v>
      </c>
      <c r="E5972" s="5" t="n">
        <v>215.8</v>
      </c>
      <c r="F5972" s="3" t="inlineStr">
        <is>
          <t>장군면</t>
        </is>
      </c>
      <c r="G5972" s="3" t="inlineStr">
        <is>
          <t>봉안리</t>
        </is>
      </c>
      <c r="H5972" s="3" t="inlineStr">
        <is>
          <t>보전관리지역</t>
        </is>
      </c>
      <c r="I5972" s="3" t="inlineStr">
        <is>
          <t>임야</t>
        </is>
      </c>
      <c r="J5972" s="3" t="inlineStr">
        <is>
          <t>장군면</t>
        </is>
      </c>
    </row>
    <row r="5973">
      <c r="A5973" s="3" t="n">
        <v>2024</v>
      </c>
      <c r="B5973" s="4" t="n">
        <v>42749</v>
      </c>
      <c r="C5973" s="4" t="n">
        <v>655</v>
      </c>
      <c r="D5973" s="4" t="n">
        <v>198.1375</v>
      </c>
      <c r="E5973" s="5" t="n">
        <v>215.8</v>
      </c>
      <c r="F5973" s="3" t="inlineStr">
        <is>
          <t>장군면</t>
        </is>
      </c>
      <c r="G5973" s="3" t="inlineStr">
        <is>
          <t>봉안리</t>
        </is>
      </c>
      <c r="H5973" s="3" t="inlineStr">
        <is>
          <t>보전관리지역</t>
        </is>
      </c>
      <c r="I5973" s="3" t="inlineStr">
        <is>
          <t>임야</t>
        </is>
      </c>
      <c r="J5973" s="3" t="inlineStr">
        <is>
          <t>장군면</t>
        </is>
      </c>
    </row>
    <row r="5974">
      <c r="A5974" s="3" t="n">
        <v>2024</v>
      </c>
      <c r="B5974" s="4" t="n">
        <v>7268</v>
      </c>
      <c r="C5974" s="4" t="n">
        <v>124</v>
      </c>
      <c r="D5974" s="4" t="n">
        <v>37.51</v>
      </c>
      <c r="E5974" s="5" t="n">
        <v>193.8</v>
      </c>
      <c r="F5974" s="3" t="inlineStr">
        <is>
          <t>장군면</t>
        </is>
      </c>
      <c r="G5974" s="3" t="inlineStr">
        <is>
          <t>봉안리</t>
        </is>
      </c>
      <c r="H5974" s="3" t="inlineStr">
        <is>
          <t>보전관리지역</t>
        </is>
      </c>
      <c r="I5974" s="3" t="inlineStr">
        <is>
          <t>임야</t>
        </is>
      </c>
      <c r="J5974" s="3" t="inlineStr">
        <is>
          <t>장군면</t>
        </is>
      </c>
    </row>
    <row r="5975">
      <c r="A5975" s="3" t="n">
        <v>2024</v>
      </c>
      <c r="B5975" s="4" t="n">
        <v>7561</v>
      </c>
      <c r="C5975" s="4" t="n">
        <v>129</v>
      </c>
      <c r="D5975" s="4" t="n">
        <v>39.0225</v>
      </c>
      <c r="E5975" s="5" t="n">
        <v>193.8</v>
      </c>
      <c r="F5975" s="3" t="inlineStr">
        <is>
          <t>장군면</t>
        </is>
      </c>
      <c r="G5975" s="3" t="inlineStr">
        <is>
          <t>봉안리</t>
        </is>
      </c>
      <c r="H5975" s="3" t="inlineStr">
        <is>
          <t>보전관리지역</t>
        </is>
      </c>
      <c r="I5975" s="3" t="inlineStr">
        <is>
          <t>임야</t>
        </is>
      </c>
      <c r="J5975" s="3" t="inlineStr">
        <is>
          <t>장군면</t>
        </is>
      </c>
    </row>
    <row r="5976">
      <c r="A5976" s="3" t="n">
        <v>2024</v>
      </c>
      <c r="B5976" s="4" t="n">
        <v>73097</v>
      </c>
      <c r="C5976" s="4" t="n">
        <v>1120</v>
      </c>
      <c r="D5976" s="4" t="n">
        <v>338.8</v>
      </c>
      <c r="E5976" s="5" t="n">
        <v>215.8</v>
      </c>
      <c r="F5976" s="3" t="inlineStr">
        <is>
          <t>장군면</t>
        </is>
      </c>
      <c r="G5976" s="3" t="inlineStr">
        <is>
          <t>봉안리</t>
        </is>
      </c>
      <c r="H5976" s="3" t="inlineStr">
        <is>
          <t>계획관리지역</t>
        </is>
      </c>
      <c r="I5976" s="3" t="inlineStr">
        <is>
          <t>임야</t>
        </is>
      </c>
      <c r="J5976" s="3" t="inlineStr">
        <is>
          <t>장군면</t>
        </is>
      </c>
    </row>
    <row r="5977">
      <c r="A5977" s="3" t="n">
        <v>2024</v>
      </c>
      <c r="B5977" s="4" t="n">
        <v>19578</v>
      </c>
      <c r="C5977" s="4" t="n">
        <v>334</v>
      </c>
      <c r="D5977" s="4" t="n">
        <v>101.035</v>
      </c>
      <c r="E5977" s="5" t="n">
        <v>193.8</v>
      </c>
      <c r="F5977" s="3" t="inlineStr">
        <is>
          <t>장군면</t>
        </is>
      </c>
      <c r="G5977" s="3" t="inlineStr">
        <is>
          <t>봉안리</t>
        </is>
      </c>
      <c r="H5977" s="3" t="inlineStr">
        <is>
          <t>보전관리지역</t>
        </is>
      </c>
      <c r="I5977" s="3" t="inlineStr">
        <is>
          <t>임야</t>
        </is>
      </c>
      <c r="J5977" s="3" t="inlineStr">
        <is>
          <t>장군면</t>
        </is>
      </c>
    </row>
    <row r="5978">
      <c r="A5978" s="3" t="n">
        <v>2024</v>
      </c>
      <c r="B5978" s="4" t="n">
        <v>65265</v>
      </c>
      <c r="C5978" s="4" t="n">
        <v>1000</v>
      </c>
      <c r="D5978" s="4" t="n">
        <v>302.5</v>
      </c>
      <c r="E5978" s="5" t="n">
        <v>215.8</v>
      </c>
      <c r="F5978" s="3" t="inlineStr">
        <is>
          <t>장군면</t>
        </is>
      </c>
      <c r="G5978" s="3" t="inlineStr">
        <is>
          <t>봉안리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장군면</t>
        </is>
      </c>
    </row>
    <row r="5979">
      <c r="A5979" s="3" t="n">
        <v>2024</v>
      </c>
      <c r="B5979" s="4" t="n">
        <v>47904</v>
      </c>
      <c r="C5979" s="4" t="n">
        <v>734</v>
      </c>
      <c r="D5979" s="4" t="n">
        <v>222.035</v>
      </c>
      <c r="E5979" s="5" t="n">
        <v>215.7</v>
      </c>
      <c r="F5979" s="3" t="inlineStr">
        <is>
          <t>장군면</t>
        </is>
      </c>
      <c r="G5979" s="3" t="inlineStr">
        <is>
          <t>봉안리</t>
        </is>
      </c>
      <c r="H5979" s="3" t="inlineStr">
        <is>
          <t>보전관리지역</t>
        </is>
      </c>
      <c r="I5979" s="3" t="inlineStr">
        <is>
          <t>임야</t>
        </is>
      </c>
      <c r="J5979" s="3" t="inlineStr">
        <is>
          <t>장군면</t>
        </is>
      </c>
    </row>
    <row r="5980">
      <c r="A5980" s="3" t="n">
        <v>2024</v>
      </c>
      <c r="B5980" s="4" t="n">
        <v>39812</v>
      </c>
      <c r="C5980" s="4" t="n">
        <v>610</v>
      </c>
      <c r="D5980" s="4" t="n">
        <v>184.525</v>
      </c>
      <c r="E5980" s="5" t="n">
        <v>215.8</v>
      </c>
      <c r="F5980" s="3" t="inlineStr">
        <is>
          <t>장군면</t>
        </is>
      </c>
      <c r="G5980" s="3" t="inlineStr">
        <is>
          <t>봉안리</t>
        </is>
      </c>
      <c r="H5980" s="3" t="inlineStr">
        <is>
          <t>보전관리지역</t>
        </is>
      </c>
      <c r="I5980" s="3" t="inlineStr">
        <is>
          <t>임야</t>
        </is>
      </c>
      <c r="J5980" s="3" t="inlineStr">
        <is>
          <t>장군면</t>
        </is>
      </c>
    </row>
    <row r="5981">
      <c r="A5981" s="3" t="n">
        <v>2024</v>
      </c>
      <c r="B5981" s="4" t="n">
        <v>39812</v>
      </c>
      <c r="C5981" s="4" t="n">
        <v>610</v>
      </c>
      <c r="D5981" s="4" t="n">
        <v>184.525</v>
      </c>
      <c r="E5981" s="5" t="n">
        <v>215.8</v>
      </c>
      <c r="F5981" s="3" t="inlineStr">
        <is>
          <t>장군면</t>
        </is>
      </c>
      <c r="G5981" s="3" t="inlineStr">
        <is>
          <t>봉안리</t>
        </is>
      </c>
      <c r="H5981" s="3" t="inlineStr">
        <is>
          <t>보전관리지역</t>
        </is>
      </c>
      <c r="I5981" s="3" t="inlineStr">
        <is>
          <t>임야</t>
        </is>
      </c>
      <c r="J5981" s="3" t="inlineStr">
        <is>
          <t>장군면</t>
        </is>
      </c>
    </row>
    <row r="5982">
      <c r="A5982" s="3" t="n">
        <v>2024</v>
      </c>
      <c r="B5982" s="4" t="n">
        <v>33938</v>
      </c>
      <c r="C5982" s="4" t="n">
        <v>520</v>
      </c>
      <c r="D5982" s="4" t="n">
        <v>157.3</v>
      </c>
      <c r="E5982" s="5" t="n">
        <v>215.8</v>
      </c>
      <c r="F5982" s="3" t="inlineStr">
        <is>
          <t>장군면</t>
        </is>
      </c>
      <c r="G5982" s="3" t="inlineStr">
        <is>
          <t>봉안리</t>
        </is>
      </c>
      <c r="H5982" s="3" t="inlineStr">
        <is>
          <t>보전관리지역</t>
        </is>
      </c>
      <c r="I5982" s="3" t="inlineStr">
        <is>
          <t>임야</t>
        </is>
      </c>
      <c r="J5982" s="3" t="inlineStr">
        <is>
          <t>장군면</t>
        </is>
      </c>
    </row>
    <row r="5983">
      <c r="A5983" s="3" t="n">
        <v>2024</v>
      </c>
      <c r="B5983" s="4" t="n">
        <v>32633</v>
      </c>
      <c r="C5983" s="4" t="n">
        <v>500</v>
      </c>
      <c r="D5983" s="4" t="n">
        <v>151.25</v>
      </c>
      <c r="E5983" s="5" t="n">
        <v>215.8</v>
      </c>
      <c r="F5983" s="3" t="inlineStr">
        <is>
          <t>장군면</t>
        </is>
      </c>
      <c r="G5983" s="3" t="inlineStr">
        <is>
          <t>봉안리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장군면</t>
        </is>
      </c>
    </row>
    <row r="5984">
      <c r="A5984" s="3" t="n">
        <v>2024</v>
      </c>
      <c r="B5984" s="4" t="n">
        <v>32633</v>
      </c>
      <c r="C5984" s="4" t="n">
        <v>500</v>
      </c>
      <c r="D5984" s="4" t="n">
        <v>151.25</v>
      </c>
      <c r="E5984" s="5" t="n">
        <v>215.8</v>
      </c>
      <c r="F5984" s="3" t="inlineStr">
        <is>
          <t>장군면</t>
        </is>
      </c>
      <c r="G5984" s="3" t="inlineStr">
        <is>
          <t>봉안리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장군면</t>
        </is>
      </c>
    </row>
    <row r="5985">
      <c r="A5985" s="3" t="n">
        <v>2024</v>
      </c>
      <c r="B5985" s="4" t="n">
        <v>35243</v>
      </c>
      <c r="C5985" s="4" t="n">
        <v>540</v>
      </c>
      <c r="D5985" s="4" t="n">
        <v>163.35</v>
      </c>
      <c r="E5985" s="5" t="n">
        <v>215.8</v>
      </c>
      <c r="F5985" s="3" t="inlineStr">
        <is>
          <t>장군면</t>
        </is>
      </c>
      <c r="G5985" s="3" t="inlineStr">
        <is>
          <t>봉안리</t>
        </is>
      </c>
      <c r="H5985" s="3" t="inlineStr">
        <is>
          <t>보전관리지역</t>
        </is>
      </c>
      <c r="I5985" s="3" t="inlineStr">
        <is>
          <t>임야</t>
        </is>
      </c>
      <c r="J5985" s="3" t="inlineStr">
        <is>
          <t>장군면</t>
        </is>
      </c>
    </row>
    <row r="5986">
      <c r="A5986" s="3" t="n">
        <v>2024</v>
      </c>
      <c r="B5986" s="4" t="n">
        <v>35243</v>
      </c>
      <c r="C5986" s="4" t="n">
        <v>540</v>
      </c>
      <c r="D5986" s="4" t="n">
        <v>163.35</v>
      </c>
      <c r="E5986" s="5" t="n">
        <v>215.8</v>
      </c>
      <c r="F5986" s="3" t="inlineStr">
        <is>
          <t>장군면</t>
        </is>
      </c>
      <c r="G5986" s="3" t="inlineStr">
        <is>
          <t>봉안리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33938</v>
      </c>
      <c r="C5987" s="4" t="n">
        <v>520</v>
      </c>
      <c r="D5987" s="4" t="n">
        <v>157.3</v>
      </c>
      <c r="E5987" s="5" t="n">
        <v>215.8</v>
      </c>
      <c r="F5987" s="3" t="inlineStr">
        <is>
          <t>장군면</t>
        </is>
      </c>
      <c r="G5987" s="3" t="inlineStr">
        <is>
          <t>봉안리</t>
        </is>
      </c>
      <c r="H5987" s="3" t="inlineStr">
        <is>
          <t>보전관리지역</t>
        </is>
      </c>
      <c r="I5987" s="3" t="inlineStr">
        <is>
          <t>임야</t>
        </is>
      </c>
      <c r="J5987" s="3" t="inlineStr">
        <is>
          <t>장군면</t>
        </is>
      </c>
    </row>
    <row r="5988">
      <c r="A5988" s="3" t="n">
        <v>2024</v>
      </c>
      <c r="B5988" s="4" t="n">
        <v>33938</v>
      </c>
      <c r="C5988" s="4" t="n">
        <v>520</v>
      </c>
      <c r="D5988" s="4" t="n">
        <v>157.3</v>
      </c>
      <c r="E5988" s="5" t="n">
        <v>215.8</v>
      </c>
      <c r="F5988" s="3" t="inlineStr">
        <is>
          <t>장군면</t>
        </is>
      </c>
      <c r="G5988" s="3" t="inlineStr">
        <is>
          <t>봉안리</t>
        </is>
      </c>
      <c r="H5988" s="3" t="inlineStr">
        <is>
          <t>보전관리지역</t>
        </is>
      </c>
      <c r="I5988" s="3" t="inlineStr">
        <is>
          <t>임야</t>
        </is>
      </c>
      <c r="J5988" s="3" t="inlineStr">
        <is>
          <t>장군면</t>
        </is>
      </c>
    </row>
    <row r="5989">
      <c r="A5989" s="3" t="n">
        <v>2024</v>
      </c>
      <c r="B5989" s="4" t="n">
        <v>43075</v>
      </c>
      <c r="C5989" s="4" t="n">
        <v>660</v>
      </c>
      <c r="D5989" s="4" t="n">
        <v>199.65</v>
      </c>
      <c r="E5989" s="5" t="n">
        <v>215.8</v>
      </c>
      <c r="F5989" s="3" t="inlineStr">
        <is>
          <t>장군면</t>
        </is>
      </c>
      <c r="G5989" s="3" t="inlineStr">
        <is>
          <t>봉안리</t>
        </is>
      </c>
      <c r="H5989" s="3" t="inlineStr">
        <is>
          <t>보전관리지역</t>
        </is>
      </c>
      <c r="I5989" s="3" t="inlineStr">
        <is>
          <t>임야</t>
        </is>
      </c>
      <c r="J5989" s="3" t="inlineStr">
        <is>
          <t>장군면</t>
        </is>
      </c>
    </row>
    <row r="5990">
      <c r="A5990" s="3" t="n">
        <v>2024</v>
      </c>
      <c r="B5990" s="4" t="n">
        <v>32633</v>
      </c>
      <c r="C5990" s="4" t="n">
        <v>500</v>
      </c>
      <c r="D5990" s="4" t="n">
        <v>151.25</v>
      </c>
      <c r="E5990" s="5" t="n">
        <v>215.8</v>
      </c>
      <c r="F5990" s="3" t="inlineStr">
        <is>
          <t>장군면</t>
        </is>
      </c>
      <c r="G5990" s="3" t="inlineStr">
        <is>
          <t>봉안리</t>
        </is>
      </c>
      <c r="H5990" s="3" t="inlineStr">
        <is>
          <t>보전관리지역</t>
        </is>
      </c>
      <c r="I5990" s="3" t="inlineStr">
        <is>
          <t>임야</t>
        </is>
      </c>
      <c r="J5990" s="3" t="inlineStr">
        <is>
          <t>장군면</t>
        </is>
      </c>
    </row>
    <row r="5991">
      <c r="A5991" s="3" t="n">
        <v>2024</v>
      </c>
      <c r="B5991" s="4" t="n">
        <v>32633</v>
      </c>
      <c r="C5991" s="4" t="n">
        <v>500</v>
      </c>
      <c r="D5991" s="4" t="n">
        <v>151.25</v>
      </c>
      <c r="E5991" s="5" t="n">
        <v>215.8</v>
      </c>
      <c r="F5991" s="3" t="inlineStr">
        <is>
          <t>장군면</t>
        </is>
      </c>
      <c r="G5991" s="3" t="inlineStr">
        <is>
          <t>봉안리</t>
        </is>
      </c>
      <c r="H5991" s="3" t="inlineStr">
        <is>
          <t>보전관리지역</t>
        </is>
      </c>
      <c r="I5991" s="3" t="inlineStr">
        <is>
          <t>임야</t>
        </is>
      </c>
      <c r="J5991" s="3" t="inlineStr">
        <is>
          <t>장군면</t>
        </is>
      </c>
    </row>
    <row r="5992">
      <c r="A5992" s="3" t="n">
        <v>2024</v>
      </c>
      <c r="B5992" s="4" t="n">
        <v>7385</v>
      </c>
      <c r="C5992" s="4" t="n">
        <v>126</v>
      </c>
      <c r="D5992" s="4" t="n">
        <v>38.115</v>
      </c>
      <c r="E5992" s="5" t="n">
        <v>193.8</v>
      </c>
      <c r="F5992" s="3" t="inlineStr">
        <is>
          <t>장군면</t>
        </is>
      </c>
      <c r="G5992" s="3" t="inlineStr">
        <is>
          <t>봉안리</t>
        </is>
      </c>
      <c r="H5992" s="3" t="inlineStr">
        <is>
          <t>보전관리지역</t>
        </is>
      </c>
      <c r="I5992" s="3" t="inlineStr">
        <is>
          <t>임야</t>
        </is>
      </c>
      <c r="J5992" s="3" t="inlineStr">
        <is>
          <t>장군면</t>
        </is>
      </c>
    </row>
    <row r="5993">
      <c r="A5993" s="3" t="n">
        <v>2024</v>
      </c>
      <c r="B5993" s="4" t="n">
        <v>30021</v>
      </c>
      <c r="C5993" s="4" t="n">
        <v>460</v>
      </c>
      <c r="D5993" s="4" t="n">
        <v>139.15</v>
      </c>
      <c r="E5993" s="5" t="n">
        <v>215.7</v>
      </c>
      <c r="F5993" s="3" t="inlineStr">
        <is>
          <t>장군면</t>
        </is>
      </c>
      <c r="G5993" s="3" t="inlineStr">
        <is>
          <t>봉안리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장군면</t>
        </is>
      </c>
    </row>
    <row r="5994">
      <c r="A5994" s="3" t="n">
        <v>2024</v>
      </c>
      <c r="B5994" s="4" t="n">
        <v>29369</v>
      </c>
      <c r="C5994" s="4" t="n">
        <v>450</v>
      </c>
      <c r="D5994" s="4" t="n">
        <v>136.125</v>
      </c>
      <c r="E5994" s="5" t="n">
        <v>215.8</v>
      </c>
      <c r="F5994" s="3" t="inlineStr">
        <is>
          <t>장군면</t>
        </is>
      </c>
      <c r="G5994" s="3" t="inlineStr">
        <is>
          <t>봉안리</t>
        </is>
      </c>
      <c r="H5994" s="3" t="inlineStr">
        <is>
          <t>보전관리지역</t>
        </is>
      </c>
      <c r="I5994" s="3" t="inlineStr">
        <is>
          <t>임야</t>
        </is>
      </c>
      <c r="J5994" s="3" t="inlineStr">
        <is>
          <t>장군면</t>
        </is>
      </c>
    </row>
    <row r="5995">
      <c r="A5995" s="3" t="n">
        <v>2024</v>
      </c>
      <c r="B5995" s="4" t="n">
        <v>29369</v>
      </c>
      <c r="C5995" s="4" t="n">
        <v>450</v>
      </c>
      <c r="D5995" s="4" t="n">
        <v>136.125</v>
      </c>
      <c r="E5995" s="5" t="n">
        <v>215.8</v>
      </c>
      <c r="F5995" s="3" t="inlineStr">
        <is>
          <t>장군면</t>
        </is>
      </c>
      <c r="G5995" s="3" t="inlineStr">
        <is>
          <t>봉안리</t>
        </is>
      </c>
      <c r="H5995" s="3" t="inlineStr">
        <is>
          <t>보전관리지역</t>
        </is>
      </c>
      <c r="I5995" s="3" t="inlineStr">
        <is>
          <t>임야</t>
        </is>
      </c>
      <c r="J5995" s="3" t="inlineStr">
        <is>
          <t>장군면</t>
        </is>
      </c>
    </row>
    <row r="5996">
      <c r="A5996" s="3" t="n">
        <v>2024</v>
      </c>
      <c r="B5996" s="4" t="n">
        <v>29369</v>
      </c>
      <c r="C5996" s="4" t="n">
        <v>450</v>
      </c>
      <c r="D5996" s="4" t="n">
        <v>136.125</v>
      </c>
      <c r="E5996" s="5" t="n">
        <v>215.8</v>
      </c>
      <c r="F5996" s="3" t="inlineStr">
        <is>
          <t>장군면</t>
        </is>
      </c>
      <c r="G5996" s="3" t="inlineStr">
        <is>
          <t>봉안리</t>
        </is>
      </c>
      <c r="H5996" s="3" t="inlineStr">
        <is>
          <t>보전관리지역</t>
        </is>
      </c>
      <c r="I5996" s="3" t="inlineStr">
        <is>
          <t>임야</t>
        </is>
      </c>
      <c r="J5996" s="3" t="inlineStr">
        <is>
          <t>장군면</t>
        </is>
      </c>
    </row>
    <row r="5997">
      <c r="A5997" s="3" t="n">
        <v>2024</v>
      </c>
      <c r="B5997" s="4" t="n">
        <v>29369</v>
      </c>
      <c r="C5997" s="4" t="n">
        <v>450</v>
      </c>
      <c r="D5997" s="4" t="n">
        <v>136.125</v>
      </c>
      <c r="E5997" s="5" t="n">
        <v>215.8</v>
      </c>
      <c r="F5997" s="3" t="inlineStr">
        <is>
          <t>장군면</t>
        </is>
      </c>
      <c r="G5997" s="3" t="inlineStr">
        <is>
          <t>봉안리</t>
        </is>
      </c>
      <c r="H5997" s="3" t="inlineStr">
        <is>
          <t>보전관리지역</t>
        </is>
      </c>
      <c r="I5997" s="3" t="inlineStr">
        <is>
          <t>임야</t>
        </is>
      </c>
      <c r="J5997" s="3" t="inlineStr">
        <is>
          <t>장군면</t>
        </is>
      </c>
    </row>
    <row r="5998">
      <c r="A5998" s="3" t="n">
        <v>2024</v>
      </c>
      <c r="B5998" s="4" t="n">
        <v>32436</v>
      </c>
      <c r="C5998" s="4" t="n">
        <v>497</v>
      </c>
      <c r="D5998" s="4" t="n">
        <v>150.3425</v>
      </c>
      <c r="E5998" s="5" t="n">
        <v>215.7</v>
      </c>
      <c r="F5998" s="3" t="inlineStr">
        <is>
          <t>장군면</t>
        </is>
      </c>
      <c r="G5998" s="3" t="inlineStr">
        <is>
          <t>봉안리</t>
        </is>
      </c>
      <c r="H5998" s="3" t="inlineStr">
        <is>
          <t>보전관리지역</t>
        </is>
      </c>
      <c r="I5998" s="3" t="inlineStr">
        <is>
          <t>임야</t>
        </is>
      </c>
      <c r="J5998" s="3" t="inlineStr">
        <is>
          <t>장군면</t>
        </is>
      </c>
    </row>
    <row r="5999">
      <c r="A5999" s="3" t="n">
        <v>2024</v>
      </c>
      <c r="B5999" s="4" t="n">
        <v>4747</v>
      </c>
      <c r="C5999" s="4" t="n">
        <v>81</v>
      </c>
      <c r="D5999" s="4" t="n">
        <v>24.5025</v>
      </c>
      <c r="E5999" s="5" t="n">
        <v>193.7</v>
      </c>
      <c r="F5999" s="3" t="inlineStr">
        <is>
          <t>장군면</t>
        </is>
      </c>
      <c r="G5999" s="3" t="inlineStr">
        <is>
          <t>봉안리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장군면</t>
        </is>
      </c>
    </row>
    <row r="6000">
      <c r="A6000" s="3" t="n">
        <v>2023</v>
      </c>
      <c r="B6000" s="4" t="n">
        <v>2000</v>
      </c>
      <c r="C6000" s="4" t="n">
        <v>1655</v>
      </c>
      <c r="D6000" s="4" t="n">
        <v>500.6375</v>
      </c>
      <c r="E6000" s="5" t="n">
        <v>4</v>
      </c>
      <c r="F6000" s="3" t="inlineStr">
        <is>
          <t>전동면</t>
        </is>
      </c>
      <c r="G6000" s="3" t="inlineStr">
        <is>
          <t>봉대리</t>
        </is>
      </c>
      <c r="H6000" s="3" t="inlineStr">
        <is>
          <t>농림지역</t>
        </is>
      </c>
      <c r="I6000" s="3" t="inlineStr">
        <is>
          <t>임야</t>
        </is>
      </c>
      <c r="J6000" s="3" t="inlineStr">
        <is>
          <t>전동면</t>
        </is>
      </c>
    </row>
    <row r="6001">
      <c r="A6001" s="3" t="n">
        <v>2023</v>
      </c>
      <c r="B6001" s="4" t="n">
        <v>52000</v>
      </c>
      <c r="C6001" s="4" t="n">
        <v>337.9</v>
      </c>
      <c r="D6001" s="4" t="n">
        <v>102.21475</v>
      </c>
      <c r="E6001" s="5" t="n">
        <v>508.7</v>
      </c>
      <c r="F6001" s="3" t="inlineStr">
        <is>
          <t>아름동</t>
        </is>
      </c>
      <c r="G6001" s="3" t="inlineStr"/>
      <c r="H6001" s="3" t="inlineStr">
        <is>
          <t>제1종전용주거지역</t>
        </is>
      </c>
      <c r="I6001" s="3" t="inlineStr">
        <is>
          <t>대</t>
        </is>
      </c>
      <c r="J6001" s="3" t="inlineStr">
        <is>
          <t>아름동</t>
        </is>
      </c>
    </row>
    <row r="6002">
      <c r="A6002" s="3" t="n">
        <v>2023</v>
      </c>
      <c r="B6002" s="4" t="n">
        <v>3780</v>
      </c>
      <c r="C6002" s="4" t="n">
        <v>14</v>
      </c>
      <c r="D6002" s="4" t="n">
        <v>4.234999999999999</v>
      </c>
      <c r="E6002" s="5" t="n">
        <v>892.6</v>
      </c>
      <c r="F6002" s="3" t="inlineStr">
        <is>
          <t>전의면</t>
        </is>
      </c>
      <c r="G6002" s="3" t="inlineStr">
        <is>
          <t>읍내리</t>
        </is>
      </c>
      <c r="H6002" s="3" t="inlineStr">
        <is>
          <t>일반상업지역</t>
        </is>
      </c>
      <c r="I6002" s="3" t="inlineStr">
        <is>
          <t>대</t>
        </is>
      </c>
      <c r="J6002" s="3" t="inlineStr">
        <is>
          <t>전의면</t>
        </is>
      </c>
    </row>
    <row r="6003">
      <c r="A6003" s="3" t="n">
        <v>2023</v>
      </c>
      <c r="B6003" s="4" t="n">
        <v>19770</v>
      </c>
      <c r="C6003" s="4" t="n">
        <v>361</v>
      </c>
      <c r="D6003" s="4" t="n">
        <v>109.2025</v>
      </c>
      <c r="E6003" s="5" t="n">
        <v>181</v>
      </c>
      <c r="F6003" s="3" t="inlineStr">
        <is>
          <t>전의면</t>
        </is>
      </c>
      <c r="G6003" s="3" t="inlineStr">
        <is>
          <t>신흥리</t>
        </is>
      </c>
      <c r="H6003" s="3" t="inlineStr">
        <is>
          <t>계획관리지역</t>
        </is>
      </c>
      <c r="I6003" s="3" t="inlineStr">
        <is>
          <t>전</t>
        </is>
      </c>
      <c r="J6003" s="3" t="inlineStr">
        <is>
          <t>전의면</t>
        </is>
      </c>
    </row>
    <row r="6004">
      <c r="A6004" s="3" t="n">
        <v>2023</v>
      </c>
      <c r="B6004" s="4" t="n">
        <v>5100</v>
      </c>
      <c r="C6004" s="4" t="n">
        <v>60</v>
      </c>
      <c r="D6004" s="4" t="n">
        <v>18.15</v>
      </c>
      <c r="E6004" s="5" t="n">
        <v>281</v>
      </c>
      <c r="F6004" s="3" t="inlineStr">
        <is>
          <t>장군면</t>
        </is>
      </c>
      <c r="G6004" s="3" t="inlineStr">
        <is>
          <t>봉안리</t>
        </is>
      </c>
      <c r="H6004" s="3" t="inlineStr">
        <is>
          <t>계획관리지역</t>
        </is>
      </c>
      <c r="I6004" s="3" t="inlineStr">
        <is>
          <t>전</t>
        </is>
      </c>
      <c r="J6004" s="3" t="inlineStr">
        <is>
          <t>장군면</t>
        </is>
      </c>
    </row>
    <row r="6005">
      <c r="A6005" s="3" t="n">
        <v>2023</v>
      </c>
      <c r="B6005" s="4" t="n">
        <v>5100</v>
      </c>
      <c r="C6005" s="4" t="n">
        <v>60</v>
      </c>
      <c r="D6005" s="4" t="n">
        <v>18.15</v>
      </c>
      <c r="E6005" s="5" t="n">
        <v>281</v>
      </c>
      <c r="F6005" s="3" t="inlineStr">
        <is>
          <t>장군면</t>
        </is>
      </c>
      <c r="G6005" s="3" t="inlineStr">
        <is>
          <t>봉안리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장군면</t>
        </is>
      </c>
    </row>
    <row r="6006">
      <c r="A6006" s="3" t="n">
        <v>2023</v>
      </c>
      <c r="B6006" s="4" t="n">
        <v>52500</v>
      </c>
      <c r="C6006" s="4" t="n">
        <v>322.2</v>
      </c>
      <c r="D6006" s="4" t="n">
        <v>97.46549999999999</v>
      </c>
      <c r="E6006" s="5" t="n">
        <v>538.7</v>
      </c>
      <c r="F6006" s="3" t="inlineStr">
        <is>
          <t>고운동</t>
        </is>
      </c>
      <c r="G6006" s="3" t="inlineStr"/>
      <c r="H6006" s="3" t="inlineStr">
        <is>
          <t>제1종전용주거지역</t>
        </is>
      </c>
      <c r="I6006" s="3" t="inlineStr">
        <is>
          <t>대</t>
        </is>
      </c>
      <c r="J6006" s="3" t="inlineStr">
        <is>
          <t>고운동</t>
        </is>
      </c>
    </row>
    <row r="6007">
      <c r="A6007" s="3" t="n">
        <v>2022</v>
      </c>
      <c r="B6007" s="4" t="n">
        <v>27000</v>
      </c>
      <c r="C6007" s="4" t="n">
        <v>2030</v>
      </c>
      <c r="D6007" s="4" t="n">
        <v>614.0749999999999</v>
      </c>
      <c r="E6007" s="5" t="n">
        <v>44</v>
      </c>
      <c r="F6007" s="3" t="inlineStr">
        <is>
          <t>장군면</t>
        </is>
      </c>
      <c r="G6007" s="3" t="inlineStr">
        <is>
          <t>송학리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장군면</t>
        </is>
      </c>
    </row>
    <row r="6008">
      <c r="A6008" s="3" t="n">
        <v>2026</v>
      </c>
      <c r="B6008" s="4" t="n">
        <v>6874</v>
      </c>
      <c r="C6008" s="4" t="n">
        <v>251</v>
      </c>
      <c r="D6008" s="4" t="n">
        <v>75.92749999999999</v>
      </c>
      <c r="E6008" s="5" t="n">
        <v>90.5</v>
      </c>
      <c r="F6008" s="3" t="inlineStr">
        <is>
          <t>남이면</t>
        </is>
      </c>
      <c r="G6008" s="3" t="inlineStr">
        <is>
          <t>부용외천리</t>
        </is>
      </c>
      <c r="H6008" s="3" t="inlineStr">
        <is>
          <t>계획관리지역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2026</v>
      </c>
      <c r="B6009" s="4" t="n">
        <v>4500</v>
      </c>
      <c r="C6009" s="4" t="n">
        <v>747</v>
      </c>
      <c r="D6009" s="4" t="n">
        <v>225.9675</v>
      </c>
      <c r="E6009" s="5" t="n">
        <v>19.9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답</t>
        </is>
      </c>
      <c r="J6009" s="3" t="inlineStr">
        <is>
          <t>남이면</t>
        </is>
      </c>
    </row>
    <row r="6010">
      <c r="A6010" s="3" t="n">
        <v>2025</v>
      </c>
      <c r="B6010" s="4" t="n">
        <v>74500</v>
      </c>
      <c r="C6010" s="4" t="n">
        <v>4026</v>
      </c>
      <c r="D6010" s="4" t="n">
        <v>1217.865</v>
      </c>
      <c r="E6010" s="5" t="n">
        <v>61.2</v>
      </c>
      <c r="F6010" s="3" t="inlineStr">
        <is>
          <t>오송읍</t>
        </is>
      </c>
      <c r="G6010" s="3" t="inlineStr">
        <is>
          <t>서평리</t>
        </is>
      </c>
      <c r="H6010" s="3" t="inlineStr">
        <is>
          <t>농림지역</t>
        </is>
      </c>
      <c r="I6010" s="3" t="inlineStr">
        <is>
          <t>답</t>
        </is>
      </c>
      <c r="J6010" s="3" t="inlineStr">
        <is>
          <t>오송읍</t>
        </is>
      </c>
    </row>
    <row r="6011">
      <c r="A6011" s="3" t="n">
        <v>2025</v>
      </c>
      <c r="B6011" s="4" t="n">
        <v>17000</v>
      </c>
      <c r="C6011" s="4" t="n">
        <v>803</v>
      </c>
      <c r="D6011" s="4" t="n">
        <v>242.9075</v>
      </c>
      <c r="E6011" s="5" t="n">
        <v>70</v>
      </c>
      <c r="F6011" s="3" t="inlineStr">
        <is>
          <t>오송읍</t>
        </is>
      </c>
      <c r="G6011" s="3" t="inlineStr">
        <is>
          <t>서평리</t>
        </is>
      </c>
      <c r="H6011" s="3" t="inlineStr">
        <is>
          <t>농림지역</t>
        </is>
      </c>
      <c r="I6011" s="3" t="inlineStr">
        <is>
          <t>답</t>
        </is>
      </c>
      <c r="J6011" s="3" t="inlineStr">
        <is>
          <t>오송읍</t>
        </is>
      </c>
    </row>
    <row r="6012">
      <c r="A6012" s="3" t="n">
        <v>2025</v>
      </c>
      <c r="B6012" s="4" t="n">
        <v>30800</v>
      </c>
      <c r="C6012" s="4" t="n">
        <v>1458</v>
      </c>
      <c r="D6012" s="4" t="n">
        <v>441.045</v>
      </c>
      <c r="E6012" s="5" t="n">
        <v>69.8</v>
      </c>
      <c r="F6012" s="3" t="inlineStr">
        <is>
          <t>오송읍</t>
        </is>
      </c>
      <c r="G6012" s="3" t="inlineStr">
        <is>
          <t>서평리</t>
        </is>
      </c>
      <c r="H6012" s="3" t="inlineStr">
        <is>
          <t>농림지역</t>
        </is>
      </c>
      <c r="I6012" s="3" t="inlineStr">
        <is>
          <t>답</t>
        </is>
      </c>
      <c r="J6012" s="3" t="inlineStr">
        <is>
          <t>오송읍</t>
        </is>
      </c>
    </row>
    <row r="6013">
      <c r="A6013" s="3" t="n">
        <v>2025</v>
      </c>
      <c r="B6013" s="4" t="n">
        <v>2000</v>
      </c>
      <c r="C6013" s="4" t="n">
        <v>29</v>
      </c>
      <c r="D6013" s="4" t="n">
        <v>8.772499999999999</v>
      </c>
      <c r="E6013" s="5" t="n">
        <v>228</v>
      </c>
      <c r="F6013" s="3" t="inlineStr">
        <is>
          <t>강내면</t>
        </is>
      </c>
      <c r="G6013" s="3" t="inlineStr">
        <is>
          <t>다락리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강내면</t>
        </is>
      </c>
    </row>
    <row r="6014">
      <c r="A6014" s="3" t="n">
        <v>2025</v>
      </c>
      <c r="B6014" s="4" t="n">
        <v>41334</v>
      </c>
      <c r="C6014" s="4" t="n">
        <v>2469</v>
      </c>
      <c r="D6014" s="4" t="n">
        <v>746.8724999999999</v>
      </c>
      <c r="E6014" s="5" t="n">
        <v>55.3</v>
      </c>
      <c r="F6014" s="3" t="inlineStr">
        <is>
          <t>강내면</t>
        </is>
      </c>
      <c r="G6014" s="3" t="inlineStr">
        <is>
          <t>태성리</t>
        </is>
      </c>
      <c r="H6014" s="3" t="inlineStr">
        <is>
          <t>계획관리지역</t>
        </is>
      </c>
      <c r="I6014" s="3" t="inlineStr">
        <is>
          <t>답</t>
        </is>
      </c>
      <c r="J6014" s="3" t="inlineStr">
        <is>
          <t>강내면</t>
        </is>
      </c>
    </row>
    <row r="6015">
      <c r="A6015" s="3" t="n">
        <v>2025</v>
      </c>
      <c r="B6015" s="4" t="n">
        <v>34500</v>
      </c>
      <c r="C6015" s="4" t="n">
        <v>2116</v>
      </c>
      <c r="D6015" s="4" t="n">
        <v>640.09</v>
      </c>
      <c r="E6015" s="5" t="n">
        <v>53.9</v>
      </c>
      <c r="F6015" s="3" t="inlineStr">
        <is>
          <t>강내면</t>
        </is>
      </c>
      <c r="G6015" s="3" t="inlineStr">
        <is>
          <t>태성리</t>
        </is>
      </c>
      <c r="H6015" s="3" t="inlineStr">
        <is>
          <t>계획관리지역</t>
        </is>
      </c>
      <c r="I6015" s="3" t="inlineStr">
        <is>
          <t>답</t>
        </is>
      </c>
      <c r="J6015" s="3" t="inlineStr">
        <is>
          <t>강내면</t>
        </is>
      </c>
    </row>
    <row r="6016">
      <c r="A6016" s="3" t="n">
        <v>2025</v>
      </c>
      <c r="B6016" s="4" t="n">
        <v>65166</v>
      </c>
      <c r="C6016" s="4" t="n">
        <v>3940</v>
      </c>
      <c r="D6016" s="4" t="n">
        <v>1191.85</v>
      </c>
      <c r="E6016" s="5" t="n">
        <v>54.7</v>
      </c>
      <c r="F6016" s="3" t="inlineStr">
        <is>
          <t>강내면</t>
        </is>
      </c>
      <c r="G6016" s="3" t="inlineStr">
        <is>
          <t>태성리</t>
        </is>
      </c>
      <c r="H6016" s="3" t="inlineStr">
        <is>
          <t>계획관리지역</t>
        </is>
      </c>
      <c r="I6016" s="3" t="inlineStr">
        <is>
          <t>답</t>
        </is>
      </c>
      <c r="J6016" s="3" t="inlineStr">
        <is>
          <t>강내면</t>
        </is>
      </c>
    </row>
    <row r="6017">
      <c r="A6017" s="3" t="n">
        <v>2025</v>
      </c>
      <c r="B6017" s="4" t="n">
        <v>3000</v>
      </c>
      <c r="C6017" s="4" t="n">
        <v>420</v>
      </c>
      <c r="D6017" s="4" t="n">
        <v>127.05</v>
      </c>
      <c r="E6017" s="5" t="n">
        <v>23.6</v>
      </c>
      <c r="F6017" s="3" t="inlineStr">
        <is>
          <t>강내면</t>
        </is>
      </c>
      <c r="G6017" s="3" t="inlineStr">
        <is>
          <t>다락리</t>
        </is>
      </c>
      <c r="H6017" s="3" t="inlineStr">
        <is>
          <t>계획관리지역</t>
        </is>
      </c>
      <c r="I6017" s="3" t="inlineStr">
        <is>
          <t>임야</t>
        </is>
      </c>
      <c r="J6017" s="3" t="inlineStr">
        <is>
          <t>강내면</t>
        </is>
      </c>
    </row>
    <row r="6018">
      <c r="A6018" s="3" t="n">
        <v>2025</v>
      </c>
      <c r="B6018" s="4" t="n">
        <v>49584</v>
      </c>
      <c r="C6018" s="4" t="n">
        <v>2013</v>
      </c>
      <c r="D6018" s="4" t="n">
        <v>608.9325</v>
      </c>
      <c r="E6018" s="5" t="n">
        <v>81.40000000000001</v>
      </c>
      <c r="F6018" s="3" t="inlineStr">
        <is>
          <t>강내면</t>
        </is>
      </c>
      <c r="G6018" s="3" t="inlineStr">
        <is>
          <t>궁현리</t>
        </is>
      </c>
      <c r="H6018" s="3" t="inlineStr">
        <is>
          <t>계획관리지역</t>
        </is>
      </c>
      <c r="I6018" s="3" t="inlineStr">
        <is>
          <t>전</t>
        </is>
      </c>
      <c r="J6018" s="3" t="inlineStr">
        <is>
          <t>강내면</t>
        </is>
      </c>
    </row>
    <row r="6019">
      <c r="A6019" s="3" t="n">
        <v>2025</v>
      </c>
      <c r="B6019" s="4" t="n">
        <v>35416</v>
      </c>
      <c r="C6019" s="4" t="n">
        <v>1398</v>
      </c>
      <c r="D6019" s="4" t="n">
        <v>422.895</v>
      </c>
      <c r="E6019" s="5" t="n">
        <v>83.7</v>
      </c>
      <c r="F6019" s="3" t="inlineStr">
        <is>
          <t>강내면</t>
        </is>
      </c>
      <c r="G6019" s="3" t="inlineStr">
        <is>
          <t>궁현리</t>
        </is>
      </c>
      <c r="H6019" s="3" t="inlineStr">
        <is>
          <t>계획관리지역</t>
        </is>
      </c>
      <c r="I6019" s="3" t="inlineStr">
        <is>
          <t>전</t>
        </is>
      </c>
      <c r="J6019" s="3" t="inlineStr">
        <is>
          <t>강내면</t>
        </is>
      </c>
    </row>
    <row r="6020">
      <c r="A6020" s="3" t="n">
        <v>2025</v>
      </c>
      <c r="B6020" s="4" t="n">
        <v>9166</v>
      </c>
      <c r="C6020" s="4" t="n">
        <v>239</v>
      </c>
      <c r="D6020" s="4" t="n">
        <v>72.2975</v>
      </c>
      <c r="E6020" s="5" t="n">
        <v>126.8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일반공업지역</t>
        </is>
      </c>
      <c r="I6020" s="3" t="inlineStr">
        <is>
          <t>공장용지</t>
        </is>
      </c>
      <c r="J6020" s="3" t="inlineStr">
        <is>
          <t>강내면</t>
        </is>
      </c>
    </row>
    <row r="6021">
      <c r="A6021" s="3" t="n">
        <v>2025</v>
      </c>
      <c r="B6021" s="4" t="n">
        <v>5062</v>
      </c>
      <c r="C6021" s="4" t="n">
        <v>132</v>
      </c>
      <c r="D6021" s="4" t="n">
        <v>39.93</v>
      </c>
      <c r="E6021" s="5" t="n">
        <v>126.8</v>
      </c>
      <c r="F6021" s="3" t="inlineStr">
        <is>
          <t>강내면</t>
        </is>
      </c>
      <c r="G6021" s="3" t="inlineStr">
        <is>
          <t>다락리</t>
        </is>
      </c>
      <c r="H6021" s="3" t="inlineStr">
        <is>
          <t>일반공업지역</t>
        </is>
      </c>
      <c r="I6021" s="3" t="inlineStr">
        <is>
          <t>공장용지</t>
        </is>
      </c>
      <c r="J6021" s="3" t="inlineStr">
        <is>
          <t>강내면</t>
        </is>
      </c>
    </row>
    <row r="6022">
      <c r="A6022" s="3" t="n">
        <v>2025</v>
      </c>
      <c r="B6022" s="4" t="n">
        <v>28500</v>
      </c>
      <c r="C6022" s="4" t="n">
        <v>1922</v>
      </c>
      <c r="D6022" s="4" t="n">
        <v>581.405</v>
      </c>
      <c r="E6022" s="5" t="n">
        <v>49</v>
      </c>
      <c r="F6022" s="3" t="inlineStr">
        <is>
          <t>강내면</t>
        </is>
      </c>
      <c r="G6022" s="3" t="inlineStr">
        <is>
          <t>태성리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강내면</t>
        </is>
      </c>
    </row>
    <row r="6023">
      <c r="A6023" s="3" t="n">
        <v>2025</v>
      </c>
      <c r="B6023" s="4" t="n">
        <v>18000</v>
      </c>
      <c r="C6023" s="4" t="n">
        <v>833</v>
      </c>
      <c r="D6023" s="4" t="n">
        <v>251.9825</v>
      </c>
      <c r="E6023" s="5" t="n">
        <v>71.40000000000001</v>
      </c>
      <c r="F6023" s="3" t="inlineStr">
        <is>
          <t>강내면</t>
        </is>
      </c>
      <c r="G6023" s="3" t="inlineStr">
        <is>
          <t>태성리</t>
        </is>
      </c>
      <c r="H6023" s="3" t="inlineStr">
        <is>
          <t>계획관리지역</t>
        </is>
      </c>
      <c r="I6023" s="3" t="inlineStr">
        <is>
          <t>답</t>
        </is>
      </c>
      <c r="J6023" s="3" t="inlineStr">
        <is>
          <t>강내면</t>
        </is>
      </c>
    </row>
    <row r="6024">
      <c r="A6024" s="3" t="n">
        <v>2025</v>
      </c>
      <c r="B6024" s="4" t="n">
        <v>22000</v>
      </c>
      <c r="C6024" s="4" t="n">
        <v>1359</v>
      </c>
      <c r="D6024" s="4" t="n">
        <v>411.0975</v>
      </c>
      <c r="E6024" s="5" t="n">
        <v>53.5</v>
      </c>
      <c r="F6024" s="3" t="inlineStr">
        <is>
          <t>오송읍</t>
        </is>
      </c>
      <c r="G6024" s="3" t="inlineStr">
        <is>
          <t>동평리</t>
        </is>
      </c>
      <c r="H6024" s="3" t="inlineStr">
        <is>
          <t>농림지역</t>
        </is>
      </c>
      <c r="I6024" s="3" t="inlineStr">
        <is>
          <t>임야</t>
        </is>
      </c>
      <c r="J6024" s="3" t="inlineStr">
        <is>
          <t>오송읍</t>
        </is>
      </c>
    </row>
    <row r="6025">
      <c r="A6025" s="3" t="n">
        <v>2024</v>
      </c>
      <c r="B6025" s="4" t="n">
        <v>39812</v>
      </c>
      <c r="C6025" s="4" t="n">
        <v>610</v>
      </c>
      <c r="D6025" s="4" t="n">
        <v>184.525</v>
      </c>
      <c r="E6025" s="5" t="n">
        <v>215.8</v>
      </c>
      <c r="F6025" s="3" t="inlineStr">
        <is>
          <t>장군면</t>
        </is>
      </c>
      <c r="G6025" s="3" t="inlineStr">
        <is>
          <t>봉안리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장군면</t>
        </is>
      </c>
    </row>
    <row r="6026">
      <c r="A6026" s="3" t="n">
        <v>2025</v>
      </c>
      <c r="B6026" s="4" t="n">
        <v>11000</v>
      </c>
      <c r="C6026" s="4" t="n">
        <v>826</v>
      </c>
      <c r="D6026" s="4" t="n">
        <v>249.865</v>
      </c>
      <c r="E6026" s="5" t="n">
        <v>44</v>
      </c>
      <c r="F6026" s="3" t="inlineStr">
        <is>
          <t>장군면</t>
        </is>
      </c>
      <c r="G6026" s="3" t="inlineStr">
        <is>
          <t>대교리</t>
        </is>
      </c>
      <c r="H6026" s="3" t="inlineStr">
        <is>
          <t>보전관리지역</t>
        </is>
      </c>
      <c r="I6026" s="3" t="inlineStr">
        <is>
          <t>제방</t>
        </is>
      </c>
      <c r="J6026" s="3" t="inlineStr">
        <is>
          <t>장군면</t>
        </is>
      </c>
    </row>
    <row r="6027">
      <c r="A6027" s="3" t="n">
        <v>2024</v>
      </c>
      <c r="B6027" s="4" t="n">
        <v>39812</v>
      </c>
      <c r="C6027" s="4" t="n">
        <v>610</v>
      </c>
      <c r="D6027" s="4" t="n">
        <v>184.525</v>
      </c>
      <c r="E6027" s="5" t="n">
        <v>215.8</v>
      </c>
      <c r="F6027" s="3" t="inlineStr">
        <is>
          <t>장군면</t>
        </is>
      </c>
      <c r="G6027" s="3" t="inlineStr">
        <is>
          <t>봉안리</t>
        </is>
      </c>
      <c r="H6027" s="3" t="inlineStr">
        <is>
          <t>보전관리지역</t>
        </is>
      </c>
      <c r="I6027" s="3" t="inlineStr">
        <is>
          <t>임야</t>
        </is>
      </c>
      <c r="J6027" s="3" t="inlineStr">
        <is>
          <t>장군면</t>
        </is>
      </c>
    </row>
    <row r="6028">
      <c r="A6028" s="3" t="n">
        <v>2024</v>
      </c>
      <c r="B6028" s="4" t="n">
        <v>39812</v>
      </c>
      <c r="C6028" s="4" t="n">
        <v>610</v>
      </c>
      <c r="D6028" s="4" t="n">
        <v>184.525</v>
      </c>
      <c r="E6028" s="5" t="n">
        <v>215.8</v>
      </c>
      <c r="F6028" s="3" t="inlineStr">
        <is>
          <t>장군면</t>
        </is>
      </c>
      <c r="G6028" s="3" t="inlineStr">
        <is>
          <t>봉안리</t>
        </is>
      </c>
      <c r="H6028" s="3" t="inlineStr">
        <is>
          <t>보전관리지역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14419</v>
      </c>
      <c r="C6029" s="4" t="n">
        <v>246</v>
      </c>
      <c r="D6029" s="4" t="n">
        <v>74.41499999999999</v>
      </c>
      <c r="E6029" s="5" t="n">
        <v>193.8</v>
      </c>
      <c r="F6029" s="3" t="inlineStr">
        <is>
          <t>장군면</t>
        </is>
      </c>
      <c r="G6029" s="3" t="inlineStr">
        <is>
          <t>봉안리</t>
        </is>
      </c>
      <c r="H6029" s="3" t="inlineStr">
        <is>
          <t>보전관리지역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32959</v>
      </c>
      <c r="C6030" s="4" t="n">
        <v>505</v>
      </c>
      <c r="D6030" s="4" t="n">
        <v>152.7625</v>
      </c>
      <c r="E6030" s="5" t="n">
        <v>215.8</v>
      </c>
      <c r="F6030" s="3" t="inlineStr">
        <is>
          <t>장군면</t>
        </is>
      </c>
      <c r="G6030" s="3" t="inlineStr">
        <is>
          <t>봉안리</t>
        </is>
      </c>
      <c r="H6030" s="3" t="inlineStr">
        <is>
          <t>보전관리지역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30674</v>
      </c>
      <c r="C6031" s="4" t="n">
        <v>470</v>
      </c>
      <c r="D6031" s="4" t="n">
        <v>142.175</v>
      </c>
      <c r="E6031" s="5" t="n">
        <v>215.7</v>
      </c>
      <c r="F6031" s="3" t="inlineStr">
        <is>
          <t>장군면</t>
        </is>
      </c>
      <c r="G6031" s="3" t="inlineStr">
        <is>
          <t>봉안리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29369</v>
      </c>
      <c r="C6032" s="4" t="n">
        <v>450</v>
      </c>
      <c r="D6032" s="4" t="n">
        <v>136.125</v>
      </c>
      <c r="E6032" s="5" t="n">
        <v>215.8</v>
      </c>
      <c r="F6032" s="3" t="inlineStr">
        <is>
          <t>장군면</t>
        </is>
      </c>
      <c r="G6032" s="3" t="inlineStr">
        <is>
          <t>봉안리</t>
        </is>
      </c>
      <c r="H6032" s="3" t="inlineStr">
        <is>
          <t>보전관리지역</t>
        </is>
      </c>
      <c r="I6032" s="3" t="inlineStr">
        <is>
          <t>임야</t>
        </is>
      </c>
      <c r="J6032" s="3" t="inlineStr">
        <is>
          <t>장군면</t>
        </is>
      </c>
    </row>
    <row r="6033">
      <c r="A6033" s="3" t="n">
        <v>2024</v>
      </c>
      <c r="B6033" s="4" t="n">
        <v>22684</v>
      </c>
      <c r="C6033" s="4" t="n">
        <v>387</v>
      </c>
      <c r="D6033" s="4" t="n">
        <v>117.0675</v>
      </c>
      <c r="E6033" s="5" t="n">
        <v>193.8</v>
      </c>
      <c r="F6033" s="3" t="inlineStr">
        <is>
          <t>장군면</t>
        </is>
      </c>
      <c r="G6033" s="3" t="inlineStr">
        <is>
          <t>봉안리</t>
        </is>
      </c>
      <c r="H6033" s="3" t="inlineStr">
        <is>
          <t>보전관리지역</t>
        </is>
      </c>
      <c r="I6033" s="3" t="inlineStr">
        <is>
          <t>임야</t>
        </is>
      </c>
      <c r="J6033" s="3" t="inlineStr">
        <is>
          <t>장군면</t>
        </is>
      </c>
    </row>
    <row r="6034">
      <c r="A6034" s="3" t="n">
        <v>2024</v>
      </c>
      <c r="B6034" s="4" t="n">
        <v>119006</v>
      </c>
      <c r="C6034" s="4" t="n">
        <v>5538</v>
      </c>
      <c r="D6034" s="4" t="n">
        <v>1675.245</v>
      </c>
      <c r="E6034" s="5" t="n">
        <v>71</v>
      </c>
      <c r="F6034" s="3" t="inlineStr">
        <is>
          <t>장군면</t>
        </is>
      </c>
      <c r="G6034" s="3" t="inlineStr">
        <is>
          <t>봉안리</t>
        </is>
      </c>
      <c r="H6034" s="3" t="inlineStr">
        <is>
          <t>보전관리지역</t>
        </is>
      </c>
      <c r="I6034" s="3" t="inlineStr">
        <is>
          <t>임야</t>
        </is>
      </c>
      <c r="J6034" s="3" t="inlineStr">
        <is>
          <t>장군면</t>
        </is>
      </c>
    </row>
    <row r="6035">
      <c r="A6035" s="3" t="n">
        <v>2024</v>
      </c>
      <c r="B6035" s="4" t="n">
        <v>103641</v>
      </c>
      <c r="C6035" s="4" t="n">
        <v>4395</v>
      </c>
      <c r="D6035" s="4" t="n">
        <v>1329.4875</v>
      </c>
      <c r="E6035" s="5" t="n">
        <v>78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2024</v>
      </c>
      <c r="B6036" s="4" t="n">
        <v>85780</v>
      </c>
      <c r="C6036" s="4" t="n">
        <v>835</v>
      </c>
      <c r="D6036" s="4" t="n">
        <v>252.5875</v>
      </c>
      <c r="E6036" s="5" t="n">
        <v>339.6</v>
      </c>
      <c r="F6036" s="3" t="inlineStr">
        <is>
          <t>연동면</t>
        </is>
      </c>
      <c r="G6036" s="3" t="inlineStr">
        <is>
          <t>내판리</t>
        </is>
      </c>
      <c r="H6036" s="3" t="inlineStr">
        <is>
          <t>계획관리지역</t>
        </is>
      </c>
      <c r="I6036" s="3" t="inlineStr">
        <is>
          <t>대</t>
        </is>
      </c>
      <c r="J6036" s="3" t="inlineStr">
        <is>
          <t>연동면</t>
        </is>
      </c>
    </row>
    <row r="6037">
      <c r="A6037" s="3" t="n">
        <v>2024</v>
      </c>
      <c r="B6037" s="4" t="n">
        <v>90000</v>
      </c>
      <c r="C6037" s="4" t="n">
        <v>1113</v>
      </c>
      <c r="D6037" s="4" t="n">
        <v>336.6825</v>
      </c>
      <c r="E6037" s="5" t="n">
        <v>267.3</v>
      </c>
      <c r="F6037" s="3" t="inlineStr">
        <is>
          <t>연서면</t>
        </is>
      </c>
      <c r="G6037" s="3" t="inlineStr">
        <is>
          <t>성제리</t>
        </is>
      </c>
      <c r="H6037" s="3" t="inlineStr">
        <is>
          <t>계획관리지역</t>
        </is>
      </c>
      <c r="I6037" s="3" t="inlineStr">
        <is>
          <t>전</t>
        </is>
      </c>
      <c r="J6037" s="3" t="inlineStr">
        <is>
          <t>연서면</t>
        </is>
      </c>
    </row>
    <row r="6038">
      <c r="A6038" s="3" t="n">
        <v>2025</v>
      </c>
      <c r="B6038" s="4" t="n">
        <v>6800</v>
      </c>
      <c r="C6038" s="4" t="n">
        <v>1008</v>
      </c>
      <c r="D6038" s="4" t="n">
        <v>304.92</v>
      </c>
      <c r="E6038" s="5" t="n">
        <v>22.3</v>
      </c>
      <c r="F6038" s="3" t="inlineStr">
        <is>
          <t>연서면</t>
        </is>
      </c>
      <c r="G6038" s="3" t="inlineStr">
        <is>
          <t>고복리</t>
        </is>
      </c>
      <c r="H6038" s="3" t="inlineStr">
        <is>
          <t>보전관리지역</t>
        </is>
      </c>
      <c r="I6038" s="3" t="inlineStr">
        <is>
          <t>임야</t>
        </is>
      </c>
      <c r="J6038" s="3" t="inlineStr">
        <is>
          <t>연서면</t>
        </is>
      </c>
    </row>
    <row r="6039">
      <c r="A6039" s="3" t="n">
        <v>2025</v>
      </c>
      <c r="B6039" s="4" t="n">
        <v>177135</v>
      </c>
      <c r="C6039" s="4" t="n">
        <v>3209.5</v>
      </c>
      <c r="D6039" s="4" t="n">
        <v>970.87375</v>
      </c>
      <c r="E6039" s="5" t="n">
        <v>182.4</v>
      </c>
      <c r="F6039" s="3" t="inlineStr">
        <is>
          <t>집현동</t>
        </is>
      </c>
      <c r="G6039" s="3" t="inlineStr"/>
      <c r="H6039" s="3" t="inlineStr">
        <is>
          <t>준주거지역</t>
        </is>
      </c>
      <c r="I6039" s="3" t="inlineStr">
        <is>
          <t>대</t>
        </is>
      </c>
      <c r="J6039" s="3" t="inlineStr">
        <is>
          <t>집현동</t>
        </is>
      </c>
    </row>
    <row r="6040">
      <c r="A6040" s="3" t="n">
        <v>2025</v>
      </c>
      <c r="B6040" s="4" t="n">
        <v>9000</v>
      </c>
      <c r="C6040" s="4" t="n">
        <v>221</v>
      </c>
      <c r="D6040" s="4" t="n">
        <v>66.85249999999999</v>
      </c>
      <c r="E6040" s="5" t="n">
        <v>134.6</v>
      </c>
      <c r="F6040" s="3" t="inlineStr">
        <is>
          <t>전동면</t>
        </is>
      </c>
      <c r="G6040" s="3" t="inlineStr">
        <is>
          <t>노장리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전동면</t>
        </is>
      </c>
    </row>
    <row r="6041">
      <c r="A6041" s="3" t="n">
        <v>2025</v>
      </c>
      <c r="B6041" s="4" t="n">
        <v>60000</v>
      </c>
      <c r="C6041" s="4" t="n">
        <v>351.6</v>
      </c>
      <c r="D6041" s="4" t="n">
        <v>106.359</v>
      </c>
      <c r="E6041" s="5" t="n">
        <v>564.1</v>
      </c>
      <c r="F6041" s="3" t="inlineStr">
        <is>
          <t>집현동</t>
        </is>
      </c>
      <c r="G6041" s="3" t="inlineStr"/>
      <c r="H6041" s="3" t="inlineStr">
        <is>
          <t>제1종전용주거지역</t>
        </is>
      </c>
      <c r="I6041" s="3" t="inlineStr">
        <is>
          <t>대</t>
        </is>
      </c>
      <c r="J6041" s="3" t="inlineStr">
        <is>
          <t>집현동</t>
        </is>
      </c>
    </row>
    <row r="6042">
      <c r="A6042" s="3" t="n">
        <v>2025</v>
      </c>
      <c r="B6042" s="4" t="n">
        <v>760</v>
      </c>
      <c r="C6042" s="4" t="n">
        <v>155</v>
      </c>
      <c r="D6042" s="4" t="n">
        <v>46.8875</v>
      </c>
      <c r="E6042" s="5" t="n">
        <v>16.2</v>
      </c>
      <c r="F6042" s="3" t="inlineStr">
        <is>
          <t>부강면</t>
        </is>
      </c>
      <c r="G6042" s="3" t="inlineStr">
        <is>
          <t>노호리</t>
        </is>
      </c>
      <c r="H6042" s="3" t="inlineStr">
        <is>
          <t>계획관리지역</t>
        </is>
      </c>
      <c r="I6042" s="3" t="inlineStr">
        <is>
          <t>도로</t>
        </is>
      </c>
      <c r="J6042" s="3" t="inlineStr">
        <is>
          <t>부강면</t>
        </is>
      </c>
    </row>
    <row r="6043">
      <c r="A6043" s="3" t="n">
        <v>2025</v>
      </c>
      <c r="B6043" s="4" t="n">
        <v>167339</v>
      </c>
      <c r="C6043" s="4" t="n">
        <v>3010.7</v>
      </c>
      <c r="D6043" s="4" t="n">
        <v>910.7367499999999</v>
      </c>
      <c r="E6043" s="5" t="n">
        <v>183.7</v>
      </c>
      <c r="F6043" s="3" t="inlineStr">
        <is>
          <t>집현동</t>
        </is>
      </c>
      <c r="G6043" s="3" t="inlineStr"/>
      <c r="H6043" s="3" t="inlineStr">
        <is>
          <t>준주거지역</t>
        </is>
      </c>
      <c r="I6043" s="3" t="inlineStr">
        <is>
          <t>대</t>
        </is>
      </c>
      <c r="J6043" s="3" t="inlineStr">
        <is>
          <t>집현동</t>
        </is>
      </c>
    </row>
    <row r="6044">
      <c r="A6044" s="3" t="n">
        <v>2025</v>
      </c>
      <c r="B6044" s="4" t="n">
        <v>54000</v>
      </c>
      <c r="C6044" s="4" t="n">
        <v>843</v>
      </c>
      <c r="D6044" s="4" t="n">
        <v>255.0075</v>
      </c>
      <c r="E6044" s="5" t="n">
        <v>211.8</v>
      </c>
      <c r="F6044" s="3" t="inlineStr">
        <is>
          <t>장군면</t>
        </is>
      </c>
      <c r="G6044" s="3" t="inlineStr">
        <is>
          <t>봉안리</t>
        </is>
      </c>
      <c r="H6044" s="3" t="inlineStr">
        <is>
          <t>보전관리지역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2025</v>
      </c>
      <c r="B6045" s="4" t="n">
        <v>42500</v>
      </c>
      <c r="C6045" s="4" t="n">
        <v>290</v>
      </c>
      <c r="D6045" s="4" t="n">
        <v>87.72499999999999</v>
      </c>
      <c r="E6045" s="5" t="n">
        <v>484.5</v>
      </c>
      <c r="F6045" s="3" t="inlineStr">
        <is>
          <t>고운동</t>
        </is>
      </c>
      <c r="G6045" s="3" t="inlineStr"/>
      <c r="H6045" s="3" t="inlineStr">
        <is>
          <t>제1종전용주거지역</t>
        </is>
      </c>
      <c r="I6045" s="3" t="inlineStr">
        <is>
          <t>대</t>
        </is>
      </c>
      <c r="J6045" s="3" t="inlineStr">
        <is>
          <t>고운동</t>
        </is>
      </c>
    </row>
    <row r="6046">
      <c r="A6046" s="3" t="n">
        <v>2025</v>
      </c>
      <c r="B6046" s="4" t="n">
        <v>54000</v>
      </c>
      <c r="C6046" s="4" t="n">
        <v>843</v>
      </c>
      <c r="D6046" s="4" t="n">
        <v>255.0075</v>
      </c>
      <c r="E6046" s="5" t="n">
        <v>211.8</v>
      </c>
      <c r="F6046" s="3" t="inlineStr">
        <is>
          <t>장군면</t>
        </is>
      </c>
      <c r="G6046" s="3" t="inlineStr">
        <is>
          <t>봉안리</t>
        </is>
      </c>
      <c r="H6046" s="3" t="inlineStr">
        <is>
          <t>보전관리지역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2025</v>
      </c>
      <c r="B6047" s="4" t="n">
        <v>15333</v>
      </c>
      <c r="C6047" s="4" t="n">
        <v>220</v>
      </c>
      <c r="D6047" s="4" t="n">
        <v>66.55</v>
      </c>
      <c r="E6047" s="5" t="n">
        <v>230.4</v>
      </c>
      <c r="F6047" s="3" t="inlineStr">
        <is>
          <t>연동면</t>
        </is>
      </c>
      <c r="G6047" s="3" t="inlineStr">
        <is>
          <t>내판리</t>
        </is>
      </c>
      <c r="H6047" s="3" t="inlineStr">
        <is>
          <t>계획관리지역</t>
        </is>
      </c>
      <c r="I6047" s="3" t="inlineStr">
        <is>
          <t>답</t>
        </is>
      </c>
      <c r="J6047" s="3" t="inlineStr">
        <is>
          <t>연동면</t>
        </is>
      </c>
    </row>
    <row r="6048">
      <c r="A6048" s="3" t="n">
        <v>2025</v>
      </c>
      <c r="B6048" s="4" t="n">
        <v>19167</v>
      </c>
      <c r="C6048" s="4" t="n">
        <v>275</v>
      </c>
      <c r="D6048" s="4" t="n">
        <v>83.1875</v>
      </c>
      <c r="E6048" s="5" t="n">
        <v>230.4</v>
      </c>
      <c r="F6048" s="3" t="inlineStr">
        <is>
          <t>연동면</t>
        </is>
      </c>
      <c r="G6048" s="3" t="inlineStr">
        <is>
          <t>내판리</t>
        </is>
      </c>
      <c r="H6048" s="3" t="inlineStr">
        <is>
          <t>계획관리지역</t>
        </is>
      </c>
      <c r="I6048" s="3" t="inlineStr">
        <is>
          <t>답</t>
        </is>
      </c>
      <c r="J6048" s="3" t="inlineStr">
        <is>
          <t>연동면</t>
        </is>
      </c>
    </row>
    <row r="6049">
      <c r="A6049" s="3" t="n">
        <v>2025</v>
      </c>
      <c r="B6049" s="4" t="n">
        <v>1195</v>
      </c>
      <c r="C6049" s="4" t="n">
        <v>1580</v>
      </c>
      <c r="D6049" s="4" t="n">
        <v>477.95</v>
      </c>
      <c r="E6049" s="5" t="n">
        <v>2.5</v>
      </c>
      <c r="F6049" s="3" t="inlineStr">
        <is>
          <t>부강면</t>
        </is>
      </c>
      <c r="G6049" s="3" t="inlineStr">
        <is>
          <t>등곡리</t>
        </is>
      </c>
      <c r="H6049" s="3" t="inlineStr">
        <is>
          <t>보전관리지역</t>
        </is>
      </c>
      <c r="I6049" s="3" t="inlineStr">
        <is>
          <t>답</t>
        </is>
      </c>
      <c r="J6049" s="3" t="inlineStr">
        <is>
          <t>부강면</t>
        </is>
      </c>
    </row>
    <row r="6050">
      <c r="A6050" s="3" t="n">
        <v>2023</v>
      </c>
      <c r="B6050" s="4" t="n">
        <v>53000</v>
      </c>
      <c r="C6050" s="4" t="n">
        <v>322.2</v>
      </c>
      <c r="D6050" s="4" t="n">
        <v>97.46549999999999</v>
      </c>
      <c r="E6050" s="5" t="n">
        <v>543.8</v>
      </c>
      <c r="F6050" s="3" t="inlineStr">
        <is>
          <t>고운동</t>
        </is>
      </c>
      <c r="G6050" s="3" t="inlineStr"/>
      <c r="H6050" s="3" t="inlineStr">
        <is>
          <t>제1종전용주거지역</t>
        </is>
      </c>
      <c r="I6050" s="3" t="inlineStr">
        <is>
          <t>대</t>
        </is>
      </c>
      <c r="J6050" s="3" t="inlineStr">
        <is>
          <t>고운동</t>
        </is>
      </c>
    </row>
    <row r="6051">
      <c r="A6051" s="3" t="n">
        <v>2023</v>
      </c>
      <c r="B6051" s="4" t="n">
        <v>37310</v>
      </c>
      <c r="C6051" s="4" t="n">
        <v>3523.8</v>
      </c>
      <c r="D6051" s="4" t="n">
        <v>1065.9495</v>
      </c>
      <c r="E6051" s="5" t="n">
        <v>35</v>
      </c>
      <c r="F6051" s="3" t="inlineStr">
        <is>
          <t>부강면</t>
        </is>
      </c>
      <c r="G6051" s="3" t="inlineStr">
        <is>
          <t>행산리</t>
        </is>
      </c>
      <c r="H6051" s="3" t="inlineStr">
        <is>
          <t>생산관리지역</t>
        </is>
      </c>
      <c r="I6051" s="3" t="inlineStr">
        <is>
          <t>답</t>
        </is>
      </c>
      <c r="J6051" s="3" t="inlineStr">
        <is>
          <t>부강면</t>
        </is>
      </c>
    </row>
    <row r="6052">
      <c r="A6052" s="3" t="n">
        <v>2023</v>
      </c>
      <c r="B6052" s="4" t="n">
        <v>24000</v>
      </c>
      <c r="C6052" s="4" t="n">
        <v>169</v>
      </c>
      <c r="D6052" s="4" t="n">
        <v>51.1225</v>
      </c>
      <c r="E6052" s="5" t="n">
        <v>469.5</v>
      </c>
      <c r="F6052" s="3" t="inlineStr">
        <is>
          <t>연기면</t>
        </is>
      </c>
      <c r="G6052" s="3" t="inlineStr">
        <is>
          <t>연기리</t>
        </is>
      </c>
      <c r="H6052" s="3" t="inlineStr">
        <is>
          <t>계획관리지역</t>
        </is>
      </c>
      <c r="I6052" s="3" t="inlineStr">
        <is>
          <t>답</t>
        </is>
      </c>
      <c r="J6052" s="3" t="inlineStr">
        <is>
          <t>연기면</t>
        </is>
      </c>
    </row>
    <row r="6053">
      <c r="A6053" s="3" t="n">
        <v>2023</v>
      </c>
      <c r="B6053" s="4" t="n">
        <v>126000</v>
      </c>
      <c r="C6053" s="4" t="n">
        <v>886</v>
      </c>
      <c r="D6053" s="4" t="n">
        <v>268.015</v>
      </c>
      <c r="E6053" s="5" t="n">
        <v>470.1</v>
      </c>
      <c r="F6053" s="3" t="inlineStr">
        <is>
          <t>연기면</t>
        </is>
      </c>
      <c r="G6053" s="3" t="inlineStr">
        <is>
          <t>연기리</t>
        </is>
      </c>
      <c r="H6053" s="3" t="inlineStr">
        <is>
          <t>계획관리지역</t>
        </is>
      </c>
      <c r="I6053" s="3" t="inlineStr">
        <is>
          <t>답</t>
        </is>
      </c>
      <c r="J6053" s="3" t="inlineStr">
        <is>
          <t>연기면</t>
        </is>
      </c>
    </row>
    <row r="6054">
      <c r="A6054" s="3" t="n">
        <v>2023</v>
      </c>
      <c r="B6054" s="4" t="n">
        <v>100000</v>
      </c>
      <c r="C6054" s="4" t="n">
        <v>703</v>
      </c>
      <c r="D6054" s="4" t="n">
        <v>212.6575</v>
      </c>
      <c r="E6054" s="5" t="n">
        <v>470.2</v>
      </c>
      <c r="F6054" s="3" t="inlineStr">
        <is>
          <t>연기면</t>
        </is>
      </c>
      <c r="G6054" s="3" t="inlineStr">
        <is>
          <t>연기리</t>
        </is>
      </c>
      <c r="H6054" s="3" t="inlineStr">
        <is>
          <t>계획관리지역</t>
        </is>
      </c>
      <c r="I6054" s="3" t="inlineStr">
        <is>
          <t>답</t>
        </is>
      </c>
      <c r="J6054" s="3" t="inlineStr">
        <is>
          <t>연기면</t>
        </is>
      </c>
    </row>
    <row r="6055">
      <c r="A6055" s="3" t="n">
        <v>2023</v>
      </c>
      <c r="B6055" s="4" t="n">
        <v>5500</v>
      </c>
      <c r="C6055" s="4" t="n">
        <v>251</v>
      </c>
      <c r="D6055" s="4" t="n">
        <v>75.92749999999999</v>
      </c>
      <c r="E6055" s="5" t="n">
        <v>72.40000000000001</v>
      </c>
      <c r="F6055" s="3" t="inlineStr">
        <is>
          <t>연서면</t>
        </is>
      </c>
      <c r="G6055" s="3" t="inlineStr">
        <is>
          <t>월하리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연서면</t>
        </is>
      </c>
    </row>
    <row r="6056">
      <c r="A6056" s="3" t="n">
        <v>2023</v>
      </c>
      <c r="B6056" s="4" t="n">
        <v>22960</v>
      </c>
      <c r="C6056" s="4" t="n">
        <v>271</v>
      </c>
      <c r="D6056" s="4" t="n">
        <v>81.97749999999999</v>
      </c>
      <c r="E6056" s="5" t="n">
        <v>280.1</v>
      </c>
      <c r="F6056" s="3" t="inlineStr">
        <is>
          <t>전의면</t>
        </is>
      </c>
      <c r="G6056" s="3" t="inlineStr">
        <is>
          <t>동교리</t>
        </is>
      </c>
      <c r="H6056" s="3" t="inlineStr">
        <is>
          <t>자연녹지지역</t>
        </is>
      </c>
      <c r="I6056" s="3" t="inlineStr">
        <is>
          <t>답</t>
        </is>
      </c>
      <c r="J6056" s="3" t="inlineStr">
        <is>
          <t>전의면</t>
        </is>
      </c>
    </row>
    <row r="6057">
      <c r="A6057" s="3" t="n">
        <v>2023</v>
      </c>
      <c r="B6057" s="4" t="n">
        <v>18332</v>
      </c>
      <c r="C6057" s="4" t="n">
        <v>404</v>
      </c>
      <c r="D6057" s="4" t="n">
        <v>122.21</v>
      </c>
      <c r="E6057" s="5" t="n">
        <v>150</v>
      </c>
      <c r="F6057" s="3" t="inlineStr">
        <is>
          <t>연기면</t>
        </is>
      </c>
      <c r="G6057" s="3" t="inlineStr">
        <is>
          <t>수산리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연기면</t>
        </is>
      </c>
    </row>
    <row r="6058">
      <c r="A6058" s="3" t="n">
        <v>2026</v>
      </c>
      <c r="B6058" s="4" t="n">
        <v>6300</v>
      </c>
      <c r="C6058" s="4" t="n">
        <v>9917</v>
      </c>
      <c r="D6058" s="4" t="n">
        <v>2999.8925</v>
      </c>
      <c r="E6058" s="5" t="n">
        <v>2.1</v>
      </c>
      <c r="F6058" s="3" t="inlineStr">
        <is>
          <t>남이면</t>
        </is>
      </c>
      <c r="G6058" s="3" t="inlineStr">
        <is>
          <t>석실리</t>
        </is>
      </c>
      <c r="H6058" s="3" t="inlineStr">
        <is>
          <t>보전녹지지역</t>
        </is>
      </c>
      <c r="I6058" s="3" t="inlineStr">
        <is>
          <t>임야</t>
        </is>
      </c>
      <c r="J6058" s="3" t="inlineStr">
        <is>
          <t>남이면</t>
        </is>
      </c>
    </row>
    <row r="6059">
      <c r="A6059" s="3" t="n">
        <v>2022</v>
      </c>
      <c r="B6059" s="4" t="n">
        <v>9000</v>
      </c>
      <c r="C6059" s="4" t="n">
        <v>1653</v>
      </c>
      <c r="D6059" s="4" t="n">
        <v>500.0325</v>
      </c>
      <c r="E6059" s="5" t="n">
        <v>18</v>
      </c>
      <c r="F6059" s="3" t="inlineStr">
        <is>
          <t>장군면</t>
        </is>
      </c>
      <c r="G6059" s="3" t="inlineStr">
        <is>
          <t>금암리</t>
        </is>
      </c>
      <c r="H6059" s="3" t="inlineStr">
        <is>
          <t>농림지역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2022</v>
      </c>
      <c r="B6060" s="4" t="n">
        <v>12438</v>
      </c>
      <c r="C6060" s="4" t="n">
        <v>2284</v>
      </c>
      <c r="D6060" s="4" t="n">
        <v>690.91</v>
      </c>
      <c r="E6060" s="5" t="n">
        <v>18</v>
      </c>
      <c r="F6060" s="3" t="inlineStr">
        <is>
          <t>장군면</t>
        </is>
      </c>
      <c r="G6060" s="3" t="inlineStr">
        <is>
          <t>금암리</t>
        </is>
      </c>
      <c r="H6060" s="3" t="inlineStr">
        <is>
          <t>농림지역</t>
        </is>
      </c>
      <c r="I6060" s="3" t="inlineStr">
        <is>
          <t>임야</t>
        </is>
      </c>
      <c r="J6060" s="3" t="inlineStr">
        <is>
          <t>장군면</t>
        </is>
      </c>
    </row>
    <row r="6061">
      <c r="A6061" s="3" t="n">
        <v>2022</v>
      </c>
      <c r="B6061" s="4" t="n">
        <v>9000</v>
      </c>
      <c r="C6061" s="4" t="n">
        <v>1653</v>
      </c>
      <c r="D6061" s="4" t="n">
        <v>500.0325</v>
      </c>
      <c r="E6061" s="5" t="n">
        <v>18</v>
      </c>
      <c r="F6061" s="3" t="inlineStr">
        <is>
          <t>장군면</t>
        </is>
      </c>
      <c r="G6061" s="3" t="inlineStr">
        <is>
          <t>금암리</t>
        </is>
      </c>
      <c r="H6061" s="3" t="inlineStr">
        <is>
          <t>농림지역</t>
        </is>
      </c>
      <c r="I6061" s="3" t="inlineStr">
        <is>
          <t>임야</t>
        </is>
      </c>
      <c r="J6061" s="3" t="inlineStr">
        <is>
          <t>장군면</t>
        </is>
      </c>
    </row>
    <row r="6062">
      <c r="A6062" s="3" t="n">
        <v>2022</v>
      </c>
      <c r="B6062" s="4" t="n">
        <v>12438</v>
      </c>
      <c r="C6062" s="4" t="n">
        <v>2284</v>
      </c>
      <c r="D6062" s="4" t="n">
        <v>690.91</v>
      </c>
      <c r="E6062" s="5" t="n">
        <v>18</v>
      </c>
      <c r="F6062" s="3" t="inlineStr">
        <is>
          <t>장군면</t>
        </is>
      </c>
      <c r="G6062" s="3" t="inlineStr">
        <is>
          <t>금암리</t>
        </is>
      </c>
      <c r="H6062" s="3" t="inlineStr">
        <is>
          <t>농림지역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2024</v>
      </c>
      <c r="B6063" s="4" t="n">
        <v>10500</v>
      </c>
      <c r="C6063" s="4" t="n">
        <v>281.6</v>
      </c>
      <c r="D6063" s="4" t="n">
        <v>85.184</v>
      </c>
      <c r="E6063" s="5" t="n">
        <v>123.3</v>
      </c>
      <c r="F6063" s="3" t="inlineStr">
        <is>
          <t>오송읍</t>
        </is>
      </c>
      <c r="G6063" s="3" t="inlineStr">
        <is>
          <t>봉산리</t>
        </is>
      </c>
      <c r="H6063" s="3" t="inlineStr">
        <is>
          <t>제1종일반주거지역</t>
        </is>
      </c>
      <c r="I6063" s="3" t="inlineStr">
        <is>
          <t>대</t>
        </is>
      </c>
      <c r="J6063" s="3" t="inlineStr">
        <is>
          <t>오송읍</t>
        </is>
      </c>
    </row>
    <row r="6064">
      <c r="A6064" s="3" t="n">
        <v>2024</v>
      </c>
      <c r="B6064" s="4" t="n">
        <v>9000</v>
      </c>
      <c r="C6064" s="4" t="n">
        <v>247.5</v>
      </c>
      <c r="D6064" s="4" t="n">
        <v>74.86874999999999</v>
      </c>
      <c r="E6064" s="5" t="n">
        <v>120.2</v>
      </c>
      <c r="F6064" s="3" t="inlineStr">
        <is>
          <t>오송읍</t>
        </is>
      </c>
      <c r="G6064" s="3" t="inlineStr">
        <is>
          <t>봉산리</t>
        </is>
      </c>
      <c r="H6064" s="3" t="inlineStr">
        <is>
          <t>제1종일반주거지역</t>
        </is>
      </c>
      <c r="I6064" s="3" t="inlineStr">
        <is>
          <t>대</t>
        </is>
      </c>
      <c r="J6064" s="3" t="inlineStr">
        <is>
          <t>오송읍</t>
        </is>
      </c>
    </row>
    <row r="6065">
      <c r="A6065" s="3" t="n">
        <v>2024</v>
      </c>
      <c r="B6065" s="4" t="n">
        <v>71400</v>
      </c>
      <c r="C6065" s="4" t="n">
        <v>2101</v>
      </c>
      <c r="D6065" s="4" t="n">
        <v>635.5525</v>
      </c>
      <c r="E6065" s="5" t="n">
        <v>112.3</v>
      </c>
      <c r="F6065" s="3" t="inlineStr">
        <is>
          <t>강내면</t>
        </is>
      </c>
      <c r="G6065" s="3" t="inlineStr">
        <is>
          <t>산단리</t>
        </is>
      </c>
      <c r="H6065" s="3" t="inlineStr">
        <is>
          <t>계획관리지역</t>
        </is>
      </c>
      <c r="I6065" s="3" t="inlineStr">
        <is>
          <t>임야</t>
        </is>
      </c>
      <c r="J6065" s="3" t="inlineStr">
        <is>
          <t>강내면</t>
        </is>
      </c>
    </row>
    <row r="6066">
      <c r="A6066" s="3" t="n">
        <v>2024</v>
      </c>
      <c r="B6066" s="4" t="n">
        <v>750</v>
      </c>
      <c r="C6066" s="4" t="n">
        <v>11</v>
      </c>
      <c r="D6066" s="4" t="n">
        <v>3.3275</v>
      </c>
      <c r="E6066" s="5" t="n">
        <v>225.4</v>
      </c>
      <c r="F6066" s="3" t="inlineStr">
        <is>
          <t>오송읍</t>
        </is>
      </c>
      <c r="G6066" s="3" t="inlineStr">
        <is>
          <t>오송리</t>
        </is>
      </c>
      <c r="H6066" s="3" t="inlineStr">
        <is>
          <t>제1종일반주거지역</t>
        </is>
      </c>
      <c r="I6066" s="3" t="inlineStr">
        <is>
          <t>답</t>
        </is>
      </c>
      <c r="J6066" s="3" t="inlineStr">
        <is>
          <t>오송읍</t>
        </is>
      </c>
    </row>
    <row r="6067">
      <c r="A6067" s="3" t="n">
        <v>2024</v>
      </c>
      <c r="B6067" s="4" t="n">
        <v>3900</v>
      </c>
      <c r="C6067" s="4" t="n">
        <v>185</v>
      </c>
      <c r="D6067" s="4" t="n">
        <v>55.9625</v>
      </c>
      <c r="E6067" s="5" t="n">
        <v>69.7</v>
      </c>
      <c r="F6067" s="3" t="inlineStr">
        <is>
          <t>강내면</t>
        </is>
      </c>
      <c r="G6067" s="3" t="inlineStr">
        <is>
          <t>저산리</t>
        </is>
      </c>
      <c r="H6067" s="3" t="inlineStr">
        <is>
          <t>계획관리지역</t>
        </is>
      </c>
      <c r="I6067" s="3" t="inlineStr">
        <is>
          <t>대</t>
        </is>
      </c>
      <c r="J6067" s="3" t="inlineStr">
        <is>
          <t>강내면</t>
        </is>
      </c>
    </row>
    <row r="6068">
      <c r="A6068" s="3" t="n">
        <v>2024</v>
      </c>
      <c r="B6068" s="4" t="n">
        <v>3470</v>
      </c>
      <c r="C6068" s="4" t="n">
        <v>166</v>
      </c>
      <c r="D6068" s="4" t="n">
        <v>50.215</v>
      </c>
      <c r="E6068" s="5" t="n">
        <v>69.09999999999999</v>
      </c>
      <c r="F6068" s="3" t="inlineStr">
        <is>
          <t>강내면</t>
        </is>
      </c>
      <c r="G6068" s="3" t="inlineStr">
        <is>
          <t>저산리</t>
        </is>
      </c>
      <c r="H6068" s="3" t="inlineStr">
        <is>
          <t>계획관리지역</t>
        </is>
      </c>
      <c r="I6068" s="3" t="inlineStr">
        <is>
          <t>임야</t>
        </is>
      </c>
      <c r="J6068" s="3" t="inlineStr">
        <is>
          <t>강내면</t>
        </is>
      </c>
    </row>
    <row r="6069">
      <c r="A6069" s="3" t="n">
        <v>2024</v>
      </c>
      <c r="B6069" s="4" t="n">
        <v>1230</v>
      </c>
      <c r="C6069" s="4" t="n">
        <v>59.6</v>
      </c>
      <c r="D6069" s="4" t="n">
        <v>18.029</v>
      </c>
      <c r="E6069" s="5" t="n">
        <v>68.2</v>
      </c>
      <c r="F6069" s="3" t="inlineStr">
        <is>
          <t>강내면</t>
        </is>
      </c>
      <c r="G6069" s="3" t="inlineStr">
        <is>
          <t>저산리</t>
        </is>
      </c>
      <c r="H6069" s="3" t="inlineStr">
        <is>
          <t>계획관리지역</t>
        </is>
      </c>
      <c r="I6069" s="3" t="inlineStr">
        <is>
          <t>도로</t>
        </is>
      </c>
      <c r="J6069" s="3" t="inlineStr">
        <is>
          <t>강내면</t>
        </is>
      </c>
    </row>
    <row r="6070">
      <c r="A6070" s="3" t="n">
        <v>2024</v>
      </c>
      <c r="B6070" s="4" t="n">
        <v>12000</v>
      </c>
      <c r="C6070" s="4" t="n">
        <v>1964</v>
      </c>
      <c r="D6070" s="4" t="n">
        <v>594.11</v>
      </c>
      <c r="E6070" s="5" t="n">
        <v>20.2</v>
      </c>
      <c r="F6070" s="3" t="inlineStr">
        <is>
          <t>강내면</t>
        </is>
      </c>
      <c r="G6070" s="3" t="inlineStr">
        <is>
          <t>학천리</t>
        </is>
      </c>
      <c r="H6070" s="3" t="inlineStr">
        <is>
          <t>생산녹지지역</t>
        </is>
      </c>
      <c r="I6070" s="3" t="inlineStr">
        <is>
          <t>답</t>
        </is>
      </c>
      <c r="J6070" s="3" t="inlineStr">
        <is>
          <t>강내면</t>
        </is>
      </c>
    </row>
    <row r="6071">
      <c r="A6071" s="3" t="n">
        <v>2024</v>
      </c>
      <c r="B6071" s="4" t="n">
        <v>21720</v>
      </c>
      <c r="C6071" s="4" t="n">
        <v>359</v>
      </c>
      <c r="D6071" s="4" t="n">
        <v>108.5975</v>
      </c>
      <c r="E6071" s="5" t="n">
        <v>200</v>
      </c>
      <c r="F6071" s="3" t="inlineStr">
        <is>
          <t>오송읍</t>
        </is>
      </c>
      <c r="G6071" s="3" t="inlineStr">
        <is>
          <t>궁평리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오송읍</t>
        </is>
      </c>
    </row>
    <row r="6072">
      <c r="A6072" s="3" t="n">
        <v>2024</v>
      </c>
      <c r="B6072" s="4" t="n">
        <v>10043</v>
      </c>
      <c r="C6072" s="4" t="n">
        <v>166</v>
      </c>
      <c r="D6072" s="4" t="n">
        <v>50.215</v>
      </c>
      <c r="E6072" s="5" t="n">
        <v>200</v>
      </c>
      <c r="F6072" s="3" t="inlineStr">
        <is>
          <t>오송읍</t>
        </is>
      </c>
      <c r="G6072" s="3" t="inlineStr">
        <is>
          <t>궁평리</t>
        </is>
      </c>
      <c r="H6072" s="3" t="inlineStr">
        <is>
          <t>농림지역</t>
        </is>
      </c>
      <c r="I6072" s="3" t="inlineStr">
        <is>
          <t>답</t>
        </is>
      </c>
      <c r="J6072" s="3" t="inlineStr">
        <is>
          <t>오송읍</t>
        </is>
      </c>
    </row>
    <row r="6073">
      <c r="A6073" s="3" t="n">
        <v>2024</v>
      </c>
      <c r="B6073" s="4" t="n">
        <v>99000</v>
      </c>
      <c r="C6073" s="4" t="n">
        <v>3808</v>
      </c>
      <c r="D6073" s="4" t="n">
        <v>1151.92</v>
      </c>
      <c r="E6073" s="5" t="n">
        <v>85.90000000000001</v>
      </c>
      <c r="F6073" s="3" t="inlineStr">
        <is>
          <t>오송읍</t>
        </is>
      </c>
      <c r="G6073" s="3" t="inlineStr">
        <is>
          <t>서평리</t>
        </is>
      </c>
      <c r="H6073" s="3" t="inlineStr">
        <is>
          <t>농림지역</t>
        </is>
      </c>
      <c r="I6073" s="3" t="inlineStr">
        <is>
          <t>답</t>
        </is>
      </c>
      <c r="J6073" s="3" t="inlineStr">
        <is>
          <t>오송읍</t>
        </is>
      </c>
    </row>
    <row r="6074">
      <c r="A6074" s="3" t="n">
        <v>2022</v>
      </c>
      <c r="B6074" s="4" t="n">
        <v>61000</v>
      </c>
      <c r="C6074" s="4" t="n">
        <v>3027</v>
      </c>
      <c r="D6074" s="4" t="n">
        <v>915.6675</v>
      </c>
      <c r="E6074" s="5" t="n">
        <v>66.59999999999999</v>
      </c>
      <c r="F6074" s="3" t="inlineStr">
        <is>
          <t>연기면</t>
        </is>
      </c>
      <c r="G6074" s="3" t="inlineStr">
        <is>
          <t>수산리</t>
        </is>
      </c>
      <c r="H6074" s="3" t="inlineStr">
        <is>
          <t>생산관리지역</t>
        </is>
      </c>
      <c r="I6074" s="3" t="inlineStr">
        <is>
          <t>임야</t>
        </is>
      </c>
      <c r="J6074" s="3" t="inlineStr">
        <is>
          <t>연기면</t>
        </is>
      </c>
    </row>
    <row r="6075">
      <c r="A6075" s="3" t="n">
        <v>2023</v>
      </c>
      <c r="B6075" s="4" t="n">
        <v>11800</v>
      </c>
      <c r="C6075" s="4" t="n">
        <v>664</v>
      </c>
      <c r="D6075" s="4" t="n">
        <v>200.86</v>
      </c>
      <c r="E6075" s="5" t="n">
        <v>58.7</v>
      </c>
      <c r="F6075" s="3" t="inlineStr">
        <is>
          <t>금남면</t>
        </is>
      </c>
      <c r="G6075" s="3" t="inlineStr">
        <is>
          <t>성강리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2026</v>
      </c>
      <c r="B6076" s="4" t="n">
        <v>24000</v>
      </c>
      <c r="C6076" s="4" t="n">
        <v>1653</v>
      </c>
      <c r="D6076" s="4" t="n">
        <v>500.0325</v>
      </c>
      <c r="E6076" s="5" t="n">
        <v>48</v>
      </c>
      <c r="F6076" s="3" t="inlineStr">
        <is>
          <t>부강면</t>
        </is>
      </c>
      <c r="G6076" s="3" t="inlineStr">
        <is>
          <t>노호리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부강면</t>
        </is>
      </c>
    </row>
    <row r="6077">
      <c r="A6077" s="3" t="n">
        <v>2026</v>
      </c>
      <c r="B6077" s="4" t="n">
        <v>11900</v>
      </c>
      <c r="C6077" s="4" t="n">
        <v>766</v>
      </c>
      <c r="D6077" s="4" t="n">
        <v>231.715</v>
      </c>
      <c r="E6077" s="5" t="n">
        <v>51.4</v>
      </c>
      <c r="F6077" s="3" t="inlineStr">
        <is>
          <t>장군면</t>
        </is>
      </c>
      <c r="G6077" s="3" t="inlineStr">
        <is>
          <t>하봉리</t>
        </is>
      </c>
      <c r="H6077" s="3" t="inlineStr">
        <is>
          <t>계획관리지역</t>
        </is>
      </c>
      <c r="I6077" s="3" t="inlineStr">
        <is>
          <t>임야</t>
        </is>
      </c>
      <c r="J6077" s="3" t="inlineStr">
        <is>
          <t>장군면</t>
        </is>
      </c>
    </row>
    <row r="6078">
      <c r="A6078" s="3" t="n">
        <v>2024</v>
      </c>
      <c r="B6078" s="4" t="n">
        <v>31264</v>
      </c>
      <c r="C6078" s="4" t="n">
        <v>481</v>
      </c>
      <c r="D6078" s="4" t="n">
        <v>145.5025</v>
      </c>
      <c r="E6078" s="5" t="n">
        <v>214.9</v>
      </c>
      <c r="F6078" s="3" t="inlineStr">
        <is>
          <t>장군면</t>
        </is>
      </c>
      <c r="G6078" s="3" t="inlineStr">
        <is>
          <t>산학리</t>
        </is>
      </c>
      <c r="H6078" s="3" t="inlineStr">
        <is>
          <t>보전관리지역</t>
        </is>
      </c>
      <c r="I6078" s="3" t="inlineStr">
        <is>
          <t>대</t>
        </is>
      </c>
      <c r="J6078" s="3" t="inlineStr">
        <is>
          <t>장군면</t>
        </is>
      </c>
    </row>
    <row r="6079">
      <c r="A6079" s="3" t="n">
        <v>2024</v>
      </c>
      <c r="B6079" s="4" t="n">
        <v>19955</v>
      </c>
      <c r="C6079" s="4" t="n">
        <v>1015</v>
      </c>
      <c r="D6079" s="4" t="n">
        <v>307.0375</v>
      </c>
      <c r="E6079" s="5" t="n">
        <v>65</v>
      </c>
      <c r="F6079" s="3" t="inlineStr">
        <is>
          <t>전동면</t>
        </is>
      </c>
      <c r="G6079" s="3" t="inlineStr">
        <is>
          <t>송정리</t>
        </is>
      </c>
      <c r="H6079" s="3" t="inlineStr">
        <is>
          <t>생산관리지역</t>
        </is>
      </c>
      <c r="I6079" s="3" t="inlineStr">
        <is>
          <t>과수원</t>
        </is>
      </c>
      <c r="J6079" s="3" t="inlineStr">
        <is>
          <t>전동면</t>
        </is>
      </c>
    </row>
    <row r="6080">
      <c r="A6080" s="3" t="n">
        <v>2024</v>
      </c>
      <c r="B6080" s="4" t="n">
        <v>4000</v>
      </c>
      <c r="C6080" s="4" t="n">
        <v>461</v>
      </c>
      <c r="D6080" s="4" t="n">
        <v>139.4525</v>
      </c>
      <c r="E6080" s="5" t="n">
        <v>28.7</v>
      </c>
      <c r="F6080" s="3" t="inlineStr">
        <is>
          <t>전의면</t>
        </is>
      </c>
      <c r="G6080" s="3" t="inlineStr">
        <is>
          <t>관정리</t>
        </is>
      </c>
      <c r="H6080" s="3" t="inlineStr">
        <is>
          <t>계획관리지역</t>
        </is>
      </c>
      <c r="I6080" s="3" t="inlineStr">
        <is>
          <t>답</t>
        </is>
      </c>
      <c r="J6080" s="3" t="inlineStr">
        <is>
          <t>전의면</t>
        </is>
      </c>
    </row>
    <row r="6081">
      <c r="A6081" s="3" t="n">
        <v>2024</v>
      </c>
      <c r="B6081" s="4" t="n">
        <v>23700</v>
      </c>
      <c r="C6081" s="4" t="n">
        <v>290</v>
      </c>
      <c r="D6081" s="4" t="n">
        <v>87.72499999999999</v>
      </c>
      <c r="E6081" s="5" t="n">
        <v>270.2</v>
      </c>
      <c r="F6081" s="3" t="inlineStr">
        <is>
          <t>고운동</t>
        </is>
      </c>
      <c r="G6081" s="3" t="inlineStr"/>
      <c r="H6081" s="3" t="inlineStr">
        <is>
          <t>제1종전용주거지역</t>
        </is>
      </c>
      <c r="I6081" s="3" t="inlineStr">
        <is>
          <t>대</t>
        </is>
      </c>
      <c r="J6081" s="3" t="inlineStr">
        <is>
          <t>고운동</t>
        </is>
      </c>
    </row>
    <row r="6082">
      <c r="A6082" s="3" t="n">
        <v>2024</v>
      </c>
      <c r="B6082" s="4" t="n">
        <v>35000</v>
      </c>
      <c r="C6082" s="4" t="n">
        <v>1398</v>
      </c>
      <c r="D6082" s="4" t="n">
        <v>422.895</v>
      </c>
      <c r="E6082" s="5" t="n">
        <v>82.8</v>
      </c>
      <c r="F6082" s="3" t="inlineStr">
        <is>
          <t>전의면</t>
        </is>
      </c>
      <c r="G6082" s="3" t="inlineStr">
        <is>
          <t>동교리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전의면</t>
        </is>
      </c>
    </row>
    <row r="6083">
      <c r="A6083" s="3" t="n">
        <v>2024</v>
      </c>
      <c r="B6083" s="4" t="n">
        <v>35224</v>
      </c>
      <c r="C6083" s="4" t="n">
        <v>462</v>
      </c>
      <c r="D6083" s="4" t="n">
        <v>139.755</v>
      </c>
      <c r="E6083" s="5" t="n">
        <v>252</v>
      </c>
      <c r="F6083" s="3" t="inlineStr">
        <is>
          <t>장군면</t>
        </is>
      </c>
      <c r="G6083" s="3" t="inlineStr">
        <is>
          <t>산학리</t>
        </is>
      </c>
      <c r="H6083" s="3" t="inlineStr">
        <is>
          <t>보전관리지역</t>
        </is>
      </c>
      <c r="I6083" s="3" t="inlineStr">
        <is>
          <t>대</t>
        </is>
      </c>
      <c r="J6083" s="3" t="inlineStr">
        <is>
          <t>장군면</t>
        </is>
      </c>
    </row>
    <row r="6084">
      <c r="A6084" s="3" t="n">
        <v>2024</v>
      </c>
      <c r="B6084" s="4" t="n">
        <v>36800</v>
      </c>
      <c r="C6084" s="4" t="n">
        <v>493</v>
      </c>
      <c r="D6084" s="4" t="n">
        <v>149.1325</v>
      </c>
      <c r="E6084" s="5" t="n">
        <v>246.8</v>
      </c>
      <c r="F6084" s="3" t="inlineStr">
        <is>
          <t>장군면</t>
        </is>
      </c>
      <c r="G6084" s="3" t="inlineStr">
        <is>
          <t>산학리</t>
        </is>
      </c>
      <c r="H6084" s="3" t="inlineStr">
        <is>
          <t>보전관리지역</t>
        </is>
      </c>
      <c r="I6084" s="3" t="inlineStr">
        <is>
          <t>대</t>
        </is>
      </c>
      <c r="J6084" s="3" t="inlineStr">
        <is>
          <t>장군면</t>
        </is>
      </c>
    </row>
    <row r="6085">
      <c r="A6085" s="3" t="n">
        <v>2024</v>
      </c>
      <c r="B6085" s="4" t="n">
        <v>2700</v>
      </c>
      <c r="C6085" s="4" t="n">
        <v>59</v>
      </c>
      <c r="D6085" s="4" t="n">
        <v>17.8475</v>
      </c>
      <c r="E6085" s="5" t="n">
        <v>151.3</v>
      </c>
      <c r="F6085" s="3" t="inlineStr">
        <is>
          <t>전동면</t>
        </is>
      </c>
      <c r="G6085" s="3" t="inlineStr">
        <is>
          <t>송성리</t>
        </is>
      </c>
      <c r="H6085" s="3" t="inlineStr">
        <is>
          <t>보전관리지역</t>
        </is>
      </c>
      <c r="I6085" s="3" t="inlineStr">
        <is>
          <t>임야</t>
        </is>
      </c>
      <c r="J6085" s="3" t="inlineStr">
        <is>
          <t>전동면</t>
        </is>
      </c>
    </row>
    <row r="6086">
      <c r="A6086" s="3" t="n">
        <v>2024</v>
      </c>
      <c r="B6086" s="4" t="n">
        <v>34480</v>
      </c>
      <c r="C6086" s="4" t="n">
        <v>452</v>
      </c>
      <c r="D6086" s="4" t="n">
        <v>136.73</v>
      </c>
      <c r="E6086" s="5" t="n">
        <v>252.2</v>
      </c>
      <c r="F6086" s="3" t="inlineStr">
        <is>
          <t>장군면</t>
        </is>
      </c>
      <c r="G6086" s="3" t="inlineStr">
        <is>
          <t>산학리</t>
        </is>
      </c>
      <c r="H6086" s="3" t="inlineStr">
        <is>
          <t>보전관리지역</t>
        </is>
      </c>
      <c r="I6086" s="3" t="inlineStr">
        <is>
          <t>대</t>
        </is>
      </c>
      <c r="J6086" s="3" t="inlineStr">
        <is>
          <t>장군면</t>
        </is>
      </c>
    </row>
    <row r="6087">
      <c r="A6087" s="3" t="n">
        <v>2023</v>
      </c>
      <c r="B6087" s="4" t="n">
        <v>1200</v>
      </c>
      <c r="C6087" s="4" t="n">
        <v>73</v>
      </c>
      <c r="D6087" s="4" t="n">
        <v>22.0825</v>
      </c>
      <c r="E6087" s="5" t="n">
        <v>54.3</v>
      </c>
      <c r="F6087" s="3" t="inlineStr">
        <is>
          <t>금남면</t>
        </is>
      </c>
      <c r="G6087" s="3" t="inlineStr">
        <is>
          <t>성강리</t>
        </is>
      </c>
      <c r="H6087" s="3" t="inlineStr">
        <is>
          <t>생산관리지역</t>
        </is>
      </c>
      <c r="I6087" s="3" t="inlineStr">
        <is>
          <t>전</t>
        </is>
      </c>
      <c r="J6087" s="3" t="inlineStr">
        <is>
          <t>금남면</t>
        </is>
      </c>
    </row>
    <row r="6088">
      <c r="A6088" s="3" t="n">
        <v>2023</v>
      </c>
      <c r="B6088" s="4" t="n">
        <v>14460</v>
      </c>
      <c r="C6088" s="4" t="n">
        <v>1034</v>
      </c>
      <c r="D6088" s="4" t="n">
        <v>312.785</v>
      </c>
      <c r="E6088" s="5" t="n">
        <v>46.2</v>
      </c>
      <c r="F6088" s="3" t="inlineStr">
        <is>
          <t>금남면</t>
        </is>
      </c>
      <c r="G6088" s="3" t="inlineStr">
        <is>
          <t>성강리</t>
        </is>
      </c>
      <c r="H6088" s="3" t="inlineStr">
        <is>
          <t>생산관리지역</t>
        </is>
      </c>
      <c r="I6088" s="3" t="inlineStr">
        <is>
          <t>답</t>
        </is>
      </c>
      <c r="J6088" s="3" t="inlineStr">
        <is>
          <t>금남면</t>
        </is>
      </c>
    </row>
    <row r="6089">
      <c r="A6089" s="3" t="n">
        <v>2023</v>
      </c>
      <c r="B6089" s="4" t="n">
        <v>7400</v>
      </c>
      <c r="C6089" s="4" t="n">
        <v>548</v>
      </c>
      <c r="D6089" s="4" t="n">
        <v>165.77</v>
      </c>
      <c r="E6089" s="5" t="n">
        <v>44.6</v>
      </c>
      <c r="F6089" s="3" t="inlineStr">
        <is>
          <t>금남면</t>
        </is>
      </c>
      <c r="G6089" s="3" t="inlineStr">
        <is>
          <t>성강리</t>
        </is>
      </c>
      <c r="H6089" s="3" t="inlineStr">
        <is>
          <t>생산관리지역</t>
        </is>
      </c>
      <c r="I6089" s="3" t="inlineStr">
        <is>
          <t>답</t>
        </is>
      </c>
      <c r="J6089" s="3" t="inlineStr">
        <is>
          <t>금남면</t>
        </is>
      </c>
    </row>
    <row r="6090">
      <c r="A6090" s="3" t="n">
        <v>2023</v>
      </c>
      <c r="B6090" s="4" t="n">
        <v>4590</v>
      </c>
      <c r="C6090" s="4" t="n">
        <v>340</v>
      </c>
      <c r="D6090" s="4" t="n">
        <v>102.85</v>
      </c>
      <c r="E6090" s="5" t="n">
        <v>44.6</v>
      </c>
      <c r="F6090" s="3" t="inlineStr">
        <is>
          <t>금남면</t>
        </is>
      </c>
      <c r="G6090" s="3" t="inlineStr">
        <is>
          <t>성강리</t>
        </is>
      </c>
      <c r="H6090" s="3" t="inlineStr">
        <is>
          <t>생산관리지역</t>
        </is>
      </c>
      <c r="I6090" s="3" t="inlineStr">
        <is>
          <t>답</t>
        </is>
      </c>
      <c r="J6090" s="3" t="inlineStr">
        <is>
          <t>금남면</t>
        </is>
      </c>
    </row>
    <row r="6091">
      <c r="A6091" s="3" t="n">
        <v>2023</v>
      </c>
      <c r="B6091" s="4" t="n">
        <v>2050</v>
      </c>
      <c r="C6091" s="4" t="n">
        <v>152</v>
      </c>
      <c r="D6091" s="4" t="n">
        <v>45.98</v>
      </c>
      <c r="E6091" s="5" t="n">
        <v>44.6</v>
      </c>
      <c r="F6091" s="3" t="inlineStr">
        <is>
          <t>금남면</t>
        </is>
      </c>
      <c r="G6091" s="3" t="inlineStr">
        <is>
          <t>성강리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금남면</t>
        </is>
      </c>
    </row>
    <row r="6092">
      <c r="A6092" s="3" t="n">
        <v>2023</v>
      </c>
      <c r="B6092" s="4" t="n">
        <v>16930</v>
      </c>
      <c r="C6092" s="4" t="n">
        <v>1195</v>
      </c>
      <c r="D6092" s="4" t="n">
        <v>361.4875</v>
      </c>
      <c r="E6092" s="5" t="n">
        <v>46.8</v>
      </c>
      <c r="F6092" s="3" t="inlineStr">
        <is>
          <t>금남면</t>
        </is>
      </c>
      <c r="G6092" s="3" t="inlineStr">
        <is>
          <t>성강리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금남면</t>
        </is>
      </c>
    </row>
    <row r="6093">
      <c r="A6093" s="3" t="n">
        <v>2023</v>
      </c>
      <c r="B6093" s="4" t="n">
        <v>24600</v>
      </c>
      <c r="C6093" s="4" t="n">
        <v>1679</v>
      </c>
      <c r="D6093" s="4" t="n">
        <v>507.8975</v>
      </c>
      <c r="E6093" s="5" t="n">
        <v>48.4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장군면</t>
        </is>
      </c>
    </row>
    <row r="6094">
      <c r="A6094" s="3" t="n">
        <v>2023</v>
      </c>
      <c r="B6094" s="4" t="n">
        <v>42400</v>
      </c>
      <c r="C6094" s="4" t="n">
        <v>2868</v>
      </c>
      <c r="D6094" s="4" t="n">
        <v>867.5699999999999</v>
      </c>
      <c r="E6094" s="5" t="n">
        <v>48.9</v>
      </c>
      <c r="F6094" s="3" t="inlineStr">
        <is>
          <t>전동면</t>
        </is>
      </c>
      <c r="G6094" s="3" t="inlineStr">
        <is>
          <t>석곡리</t>
        </is>
      </c>
      <c r="H6094" s="3" t="inlineStr">
        <is>
          <t>농림지역</t>
        </is>
      </c>
      <c r="I6094" s="3" t="inlineStr">
        <is>
          <t>답</t>
        </is>
      </c>
      <c r="J6094" s="3" t="inlineStr">
        <is>
          <t>전동면</t>
        </is>
      </c>
    </row>
    <row r="6095">
      <c r="A6095" s="3" t="n">
        <v>2023</v>
      </c>
      <c r="B6095" s="4" t="n">
        <v>43000</v>
      </c>
      <c r="C6095" s="4" t="n">
        <v>616</v>
      </c>
      <c r="D6095" s="4" t="n">
        <v>186.34</v>
      </c>
      <c r="E6095" s="5" t="n">
        <v>230.8</v>
      </c>
      <c r="F6095" s="3" t="inlineStr">
        <is>
          <t>연동면</t>
        </is>
      </c>
      <c r="G6095" s="3" t="inlineStr">
        <is>
          <t>노송리</t>
        </is>
      </c>
      <c r="H6095" s="3" t="inlineStr">
        <is>
          <t>계획관리지역</t>
        </is>
      </c>
      <c r="I6095" s="3" t="inlineStr">
        <is>
          <t>임야</t>
        </is>
      </c>
      <c r="J6095" s="3" t="inlineStr">
        <is>
          <t>연동면</t>
        </is>
      </c>
    </row>
    <row r="6096">
      <c r="A6096" s="3" t="n">
        <v>2023</v>
      </c>
      <c r="B6096" s="4" t="n">
        <v>210000</v>
      </c>
      <c r="C6096" s="4" t="n">
        <v>538</v>
      </c>
      <c r="D6096" s="4" t="n">
        <v>162.745</v>
      </c>
      <c r="E6096" s="5" t="n">
        <v>1290.4</v>
      </c>
      <c r="F6096" s="3" t="inlineStr">
        <is>
          <t>부강면</t>
        </is>
      </c>
      <c r="G6096" s="3" t="inlineStr">
        <is>
          <t>부강리</t>
        </is>
      </c>
      <c r="H6096" s="3" t="inlineStr">
        <is>
          <t>일반상업지역</t>
        </is>
      </c>
      <c r="I6096" s="3" t="inlineStr">
        <is>
          <t>답</t>
        </is>
      </c>
      <c r="J6096" s="3" t="inlineStr">
        <is>
          <t>부강면</t>
        </is>
      </c>
    </row>
    <row r="6097">
      <c r="A6097" s="3" t="n">
        <v>2023</v>
      </c>
      <c r="B6097" s="4" t="n">
        <v>28840</v>
      </c>
      <c r="C6097" s="4" t="n">
        <v>2383</v>
      </c>
      <c r="D6097" s="4" t="n">
        <v>720.8575</v>
      </c>
      <c r="E6097" s="5" t="n">
        <v>40</v>
      </c>
      <c r="F6097" s="3" t="inlineStr">
        <is>
          <t>부강면</t>
        </is>
      </c>
      <c r="G6097" s="3" t="inlineStr">
        <is>
          <t>노호리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부강면</t>
        </is>
      </c>
    </row>
    <row r="6098">
      <c r="A6098" s="3" t="n">
        <v>2023</v>
      </c>
      <c r="B6098" s="4" t="n">
        <v>126714</v>
      </c>
      <c r="C6098" s="4" t="n">
        <v>862</v>
      </c>
      <c r="D6098" s="4" t="n">
        <v>260.755</v>
      </c>
      <c r="E6098" s="5" t="n">
        <v>486</v>
      </c>
      <c r="F6098" s="3" t="inlineStr">
        <is>
          <t>연기면</t>
        </is>
      </c>
      <c r="G6098" s="3" t="inlineStr">
        <is>
          <t>보통리</t>
        </is>
      </c>
      <c r="H6098" s="3" t="inlineStr">
        <is>
          <t>계획관리지역</t>
        </is>
      </c>
      <c r="I6098" s="3" t="inlineStr">
        <is>
          <t>답</t>
        </is>
      </c>
      <c r="J6098" s="3" t="inlineStr">
        <is>
          <t>연기면</t>
        </is>
      </c>
    </row>
    <row r="6099">
      <c r="A6099" s="3" t="n">
        <v>2023</v>
      </c>
      <c r="B6099" s="4" t="n">
        <v>141120</v>
      </c>
      <c r="C6099" s="4" t="n">
        <v>960</v>
      </c>
      <c r="D6099" s="4" t="n">
        <v>290.4</v>
      </c>
      <c r="E6099" s="5" t="n">
        <v>486</v>
      </c>
      <c r="F6099" s="3" t="inlineStr">
        <is>
          <t>연기면</t>
        </is>
      </c>
      <c r="G6099" s="3" t="inlineStr">
        <is>
          <t>보통리</t>
        </is>
      </c>
      <c r="H6099" s="3" t="inlineStr">
        <is>
          <t>계획관리지역</t>
        </is>
      </c>
      <c r="I6099" s="3" t="inlineStr">
        <is>
          <t>답</t>
        </is>
      </c>
      <c r="J6099" s="3" t="inlineStr">
        <is>
          <t>연기면</t>
        </is>
      </c>
    </row>
    <row r="6100">
      <c r="A6100" s="3" t="n">
        <v>2023</v>
      </c>
      <c r="B6100" s="4" t="n">
        <v>67574</v>
      </c>
      <c r="C6100" s="4" t="n">
        <v>452</v>
      </c>
      <c r="D6100" s="4" t="n">
        <v>136.73</v>
      </c>
      <c r="E6100" s="5" t="n">
        <v>494.2</v>
      </c>
      <c r="F6100" s="3" t="inlineStr">
        <is>
          <t>연기면</t>
        </is>
      </c>
      <c r="G6100" s="3" t="inlineStr">
        <is>
          <t>보통리</t>
        </is>
      </c>
      <c r="H6100" s="3" t="inlineStr">
        <is>
          <t>계획관리지역</t>
        </is>
      </c>
      <c r="I6100" s="3" t="inlineStr">
        <is>
          <t>과수원</t>
        </is>
      </c>
      <c r="J6100" s="3" t="inlineStr">
        <is>
          <t>연기면</t>
        </is>
      </c>
    </row>
    <row r="6101">
      <c r="A6101" s="3" t="n">
        <v>2023</v>
      </c>
      <c r="B6101" s="4" t="n">
        <v>12000</v>
      </c>
      <c r="C6101" s="4" t="n">
        <v>407</v>
      </c>
      <c r="D6101" s="4" t="n">
        <v>123.1175</v>
      </c>
      <c r="E6101" s="5" t="n">
        <v>97.5</v>
      </c>
      <c r="F6101" s="3" t="inlineStr">
        <is>
          <t>장군면</t>
        </is>
      </c>
      <c r="G6101" s="3" t="inlineStr">
        <is>
          <t>태산리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장군면</t>
        </is>
      </c>
    </row>
    <row r="6102">
      <c r="A6102" s="3" t="n">
        <v>2026</v>
      </c>
      <c r="B6102" s="4" t="n">
        <v>49725</v>
      </c>
      <c r="C6102" s="4" t="n">
        <v>863</v>
      </c>
      <c r="D6102" s="4" t="n">
        <v>261.0575</v>
      </c>
      <c r="E6102" s="5" t="n">
        <v>190.5</v>
      </c>
      <c r="F6102" s="3" t="inlineStr">
        <is>
          <t>남이면</t>
        </is>
      </c>
      <c r="G6102" s="3" t="inlineStr">
        <is>
          <t>부용외천리</t>
        </is>
      </c>
      <c r="H6102" s="3" t="inlineStr">
        <is>
          <t>계획관리지역</t>
        </is>
      </c>
      <c r="I6102" s="3" t="inlineStr">
        <is>
          <t>공장용지</t>
        </is>
      </c>
      <c r="J6102" s="3" t="inlineStr">
        <is>
          <t>남이면</t>
        </is>
      </c>
    </row>
    <row r="6103">
      <c r="A6103" s="3" t="n">
        <v>2026</v>
      </c>
      <c r="B6103" s="4" t="n">
        <v>3737</v>
      </c>
      <c r="C6103" s="4" t="n">
        <v>79</v>
      </c>
      <c r="D6103" s="4" t="n">
        <v>23.8975</v>
      </c>
      <c r="E6103" s="5" t="n">
        <v>156.4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2022</v>
      </c>
      <c r="B6104" s="4" t="n">
        <v>40000</v>
      </c>
      <c r="C6104" s="4" t="n">
        <v>990</v>
      </c>
      <c r="D6104" s="4" t="n">
        <v>299.475</v>
      </c>
      <c r="E6104" s="5" t="n">
        <v>133.6</v>
      </c>
      <c r="F6104" s="3" t="inlineStr">
        <is>
          <t>조치원읍</t>
        </is>
      </c>
      <c r="G6104" s="3" t="inlineStr">
        <is>
          <t>번암리</t>
        </is>
      </c>
      <c r="H6104" s="3" t="inlineStr">
        <is>
          <t>자연녹지지역</t>
        </is>
      </c>
      <c r="I6104" s="3" t="inlineStr">
        <is>
          <t>전</t>
        </is>
      </c>
      <c r="J6104" s="3" t="inlineStr">
        <is>
          <t>조치원읍</t>
        </is>
      </c>
    </row>
    <row r="6105">
      <c r="A6105" s="3" t="n">
        <v>2022</v>
      </c>
      <c r="B6105" s="4" t="n">
        <v>40000</v>
      </c>
      <c r="C6105" s="4" t="n">
        <v>990</v>
      </c>
      <c r="D6105" s="4" t="n">
        <v>299.475</v>
      </c>
      <c r="E6105" s="5" t="n">
        <v>133.6</v>
      </c>
      <c r="F6105" s="3" t="inlineStr">
        <is>
          <t>조치원읍</t>
        </is>
      </c>
      <c r="G6105" s="3" t="inlineStr">
        <is>
          <t>번암리</t>
        </is>
      </c>
      <c r="H6105" s="3" t="inlineStr">
        <is>
          <t>자연녹지지역</t>
        </is>
      </c>
      <c r="I6105" s="3" t="inlineStr">
        <is>
          <t>전</t>
        </is>
      </c>
      <c r="J6105" s="3" t="inlineStr">
        <is>
          <t>조치원읍</t>
        </is>
      </c>
    </row>
    <row r="6106">
      <c r="A6106" s="3" t="n">
        <v>2022</v>
      </c>
      <c r="B6106" s="4" t="n">
        <v>160000</v>
      </c>
      <c r="C6106" s="4" t="n">
        <v>9991</v>
      </c>
      <c r="D6106" s="4" t="n">
        <v>3022.2775</v>
      </c>
      <c r="E6106" s="5" t="n">
        <v>52.9</v>
      </c>
      <c r="F6106" s="3" t="inlineStr">
        <is>
          <t>연동면</t>
        </is>
      </c>
      <c r="G6106" s="3" t="inlineStr">
        <is>
          <t>문주리</t>
        </is>
      </c>
      <c r="H6106" s="3" t="inlineStr">
        <is>
          <t>보전관리지역</t>
        </is>
      </c>
      <c r="I6106" s="3" t="inlineStr">
        <is>
          <t>임야</t>
        </is>
      </c>
      <c r="J6106" s="3" t="inlineStr">
        <is>
          <t>연동면</t>
        </is>
      </c>
    </row>
    <row r="6107">
      <c r="A6107" s="3" t="n">
        <v>2022</v>
      </c>
      <c r="B6107" s="4" t="n">
        <v>20500</v>
      </c>
      <c r="C6107" s="4" t="n">
        <v>1505</v>
      </c>
      <c r="D6107" s="4" t="n">
        <v>455.2625</v>
      </c>
      <c r="E6107" s="5" t="n">
        <v>45</v>
      </c>
      <c r="F6107" s="3" t="inlineStr">
        <is>
          <t>연동면</t>
        </is>
      </c>
      <c r="G6107" s="3" t="inlineStr">
        <is>
          <t>문주리</t>
        </is>
      </c>
      <c r="H6107" s="3" t="inlineStr">
        <is>
          <t>보전관리지역</t>
        </is>
      </c>
      <c r="I6107" s="3" t="inlineStr">
        <is>
          <t>과수원</t>
        </is>
      </c>
      <c r="J6107" s="3" t="inlineStr">
        <is>
          <t>연동면</t>
        </is>
      </c>
    </row>
    <row r="6108">
      <c r="A6108" s="3" t="n">
        <v>2022</v>
      </c>
      <c r="B6108" s="4" t="n">
        <v>259500</v>
      </c>
      <c r="C6108" s="4" t="n">
        <v>9129</v>
      </c>
      <c r="D6108" s="4" t="n">
        <v>2761.5225</v>
      </c>
      <c r="E6108" s="5" t="n">
        <v>94</v>
      </c>
      <c r="F6108" s="3" t="inlineStr">
        <is>
          <t>연동면</t>
        </is>
      </c>
      <c r="G6108" s="3" t="inlineStr">
        <is>
          <t>문주리</t>
        </is>
      </c>
      <c r="H6108" s="3" t="inlineStr">
        <is>
          <t>보전관리지역</t>
        </is>
      </c>
      <c r="I6108" s="3" t="inlineStr">
        <is>
          <t>과수원</t>
        </is>
      </c>
      <c r="J6108" s="3" t="inlineStr">
        <is>
          <t>연동면</t>
        </is>
      </c>
    </row>
    <row r="6109">
      <c r="A6109" s="3" t="n">
        <v>2022</v>
      </c>
      <c r="B6109" s="4" t="n">
        <v>19126</v>
      </c>
      <c r="C6109" s="4" t="n">
        <v>428</v>
      </c>
      <c r="D6109" s="4" t="n">
        <v>129.47</v>
      </c>
      <c r="E6109" s="5" t="n">
        <v>147.7</v>
      </c>
      <c r="F6109" s="3" t="inlineStr">
        <is>
          <t>전의면</t>
        </is>
      </c>
      <c r="G6109" s="3" t="inlineStr">
        <is>
          <t>읍내리</t>
        </is>
      </c>
      <c r="H6109" s="3" t="inlineStr">
        <is>
          <t>농림지역</t>
        </is>
      </c>
      <c r="I6109" s="3" t="inlineStr">
        <is>
          <t>전</t>
        </is>
      </c>
      <c r="J6109" s="3" t="inlineStr">
        <is>
          <t>전의면</t>
        </is>
      </c>
    </row>
    <row r="6110">
      <c r="A6110" s="3" t="n">
        <v>2022</v>
      </c>
      <c r="B6110" s="4" t="n">
        <v>3038</v>
      </c>
      <c r="C6110" s="4" t="n">
        <v>68</v>
      </c>
      <c r="D6110" s="4" t="n">
        <v>20.57</v>
      </c>
      <c r="E6110" s="5" t="n">
        <v>147.7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농림지역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2022</v>
      </c>
      <c r="B6111" s="4" t="n">
        <v>478</v>
      </c>
      <c r="C6111" s="4" t="n">
        <v>3</v>
      </c>
      <c r="D6111" s="4" t="n">
        <v>0.9075</v>
      </c>
      <c r="E6111" s="5" t="n">
        <v>526.7</v>
      </c>
      <c r="F6111" s="3" t="inlineStr">
        <is>
          <t>전의면</t>
        </is>
      </c>
      <c r="G6111" s="3" t="inlineStr">
        <is>
          <t>읍내리</t>
        </is>
      </c>
      <c r="H6111" s="3" t="inlineStr">
        <is>
          <t>농림지역</t>
        </is>
      </c>
      <c r="I6111" s="3" t="inlineStr">
        <is>
          <t>전</t>
        </is>
      </c>
      <c r="J6111" s="3" t="inlineStr">
        <is>
          <t>전의면</t>
        </is>
      </c>
    </row>
    <row r="6112">
      <c r="A6112" s="3" t="n">
        <v>2022</v>
      </c>
      <c r="B6112" s="4" t="n">
        <v>21740</v>
      </c>
      <c r="C6112" s="4" t="n">
        <v>479</v>
      </c>
      <c r="D6112" s="4" t="n">
        <v>144.8975</v>
      </c>
      <c r="E6112" s="5" t="n">
        <v>150</v>
      </c>
      <c r="F6112" s="3" t="inlineStr">
        <is>
          <t>전의면</t>
        </is>
      </c>
      <c r="G6112" s="3" t="inlineStr">
        <is>
          <t>읍내리</t>
        </is>
      </c>
      <c r="H6112" s="3" t="inlineStr">
        <is>
          <t>자연녹지지역</t>
        </is>
      </c>
      <c r="I6112" s="3" t="inlineStr">
        <is>
          <t>전</t>
        </is>
      </c>
      <c r="J6112" s="3" t="inlineStr">
        <is>
          <t>전의면</t>
        </is>
      </c>
    </row>
    <row r="6113">
      <c r="A6113" s="3" t="n">
        <v>2022</v>
      </c>
      <c r="B6113" s="4" t="n">
        <v>176</v>
      </c>
      <c r="C6113" s="4" t="n">
        <v>4</v>
      </c>
      <c r="D6113" s="4" t="n">
        <v>1.21</v>
      </c>
      <c r="E6113" s="5" t="n">
        <v>145.5</v>
      </c>
      <c r="F6113" s="3" t="inlineStr">
        <is>
          <t>전의면</t>
        </is>
      </c>
      <c r="G6113" s="3" t="inlineStr">
        <is>
          <t>읍내리</t>
        </is>
      </c>
      <c r="H6113" s="3" t="inlineStr">
        <is>
          <t>농림지역</t>
        </is>
      </c>
      <c r="I6113" s="3" t="inlineStr">
        <is>
          <t>전</t>
        </is>
      </c>
      <c r="J6113" s="3" t="inlineStr">
        <is>
          <t>전의면</t>
        </is>
      </c>
    </row>
    <row r="6114">
      <c r="A6114" s="3" t="n">
        <v>2022</v>
      </c>
      <c r="B6114" s="4" t="n">
        <v>756</v>
      </c>
      <c r="C6114" s="4" t="n">
        <v>25</v>
      </c>
      <c r="D6114" s="4" t="n">
        <v>7.5625</v>
      </c>
      <c r="E6114" s="5" t="n">
        <v>100</v>
      </c>
      <c r="F6114" s="3" t="inlineStr">
        <is>
          <t>전의면</t>
        </is>
      </c>
      <c r="G6114" s="3" t="inlineStr">
        <is>
          <t>읍내리</t>
        </is>
      </c>
      <c r="H6114" s="3" t="inlineStr">
        <is>
          <t>자연녹지지역</t>
        </is>
      </c>
      <c r="I6114" s="3" t="inlineStr">
        <is>
          <t>전</t>
        </is>
      </c>
      <c r="J6114" s="3" t="inlineStr">
        <is>
          <t>전의면</t>
        </is>
      </c>
    </row>
    <row r="6115">
      <c r="A6115" s="3" t="n">
        <v>2022</v>
      </c>
      <c r="B6115" s="4" t="n">
        <v>14278</v>
      </c>
      <c r="C6115" s="4" t="n">
        <v>472</v>
      </c>
      <c r="D6115" s="4" t="n">
        <v>142.78</v>
      </c>
      <c r="E6115" s="5" t="n">
        <v>100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자연녹지지역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2022</v>
      </c>
      <c r="B6116" s="4" t="n">
        <v>26590</v>
      </c>
      <c r="C6116" s="4" t="n">
        <v>586</v>
      </c>
      <c r="D6116" s="4" t="n">
        <v>177.265</v>
      </c>
      <c r="E6116" s="5" t="n">
        <v>150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자연녹지지역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2022</v>
      </c>
      <c r="B6117" s="4" t="n">
        <v>1271</v>
      </c>
      <c r="C6117" s="4" t="n">
        <v>28</v>
      </c>
      <c r="D6117" s="4" t="n">
        <v>8.469999999999999</v>
      </c>
      <c r="E6117" s="5" t="n">
        <v>150.1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자연녹지지역</t>
        </is>
      </c>
      <c r="I6117" s="3" t="inlineStr">
        <is>
          <t>임야</t>
        </is>
      </c>
      <c r="J6117" s="3" t="inlineStr">
        <is>
          <t>전의면</t>
        </is>
      </c>
    </row>
    <row r="6118">
      <c r="A6118" s="3" t="n">
        <v>2022</v>
      </c>
      <c r="B6118" s="4" t="n">
        <v>40000</v>
      </c>
      <c r="C6118" s="4" t="n">
        <v>990</v>
      </c>
      <c r="D6118" s="4" t="n">
        <v>299.475</v>
      </c>
      <c r="E6118" s="5" t="n">
        <v>133.6</v>
      </c>
      <c r="F6118" s="3" t="inlineStr">
        <is>
          <t>조치원읍</t>
        </is>
      </c>
      <c r="G6118" s="3" t="inlineStr">
        <is>
          <t>번암리</t>
        </is>
      </c>
      <c r="H6118" s="3" t="inlineStr">
        <is>
          <t>자연녹지지역</t>
        </is>
      </c>
      <c r="I6118" s="3" t="inlineStr">
        <is>
          <t>전</t>
        </is>
      </c>
      <c r="J6118" s="3" t="inlineStr">
        <is>
          <t>조치원읍</t>
        </is>
      </c>
    </row>
    <row r="6119">
      <c r="A6119" s="3" t="n">
        <v>2022</v>
      </c>
      <c r="B6119" s="4" t="n">
        <v>40000</v>
      </c>
      <c r="C6119" s="4" t="n">
        <v>990</v>
      </c>
      <c r="D6119" s="4" t="n">
        <v>299.475</v>
      </c>
      <c r="E6119" s="5" t="n">
        <v>133.6</v>
      </c>
      <c r="F6119" s="3" t="inlineStr">
        <is>
          <t>조치원읍</t>
        </is>
      </c>
      <c r="G6119" s="3" t="inlineStr">
        <is>
          <t>번암리</t>
        </is>
      </c>
      <c r="H6119" s="3" t="inlineStr">
        <is>
          <t>자연녹지지역</t>
        </is>
      </c>
      <c r="I6119" s="3" t="inlineStr">
        <is>
          <t>전</t>
        </is>
      </c>
      <c r="J6119" s="3" t="inlineStr">
        <is>
          <t>조치원읍</t>
        </is>
      </c>
    </row>
    <row r="6120">
      <c r="A6120" s="3" t="n">
        <v>2022</v>
      </c>
      <c r="B6120" s="4" t="n">
        <v>5000</v>
      </c>
      <c r="C6120" s="4" t="n">
        <v>54</v>
      </c>
      <c r="D6120" s="4" t="n">
        <v>16.335</v>
      </c>
      <c r="E6120" s="5" t="n">
        <v>306.1</v>
      </c>
      <c r="F6120" s="3" t="inlineStr">
        <is>
          <t>조치원읍</t>
        </is>
      </c>
      <c r="G6120" s="3" t="inlineStr">
        <is>
          <t>평리</t>
        </is>
      </c>
      <c r="H6120" s="3" t="inlineStr">
        <is>
          <t>제2종일반주거지역</t>
        </is>
      </c>
      <c r="I6120" s="3" t="inlineStr">
        <is>
          <t>대</t>
        </is>
      </c>
      <c r="J6120" s="3" t="inlineStr">
        <is>
          <t>조치원읍</t>
        </is>
      </c>
    </row>
    <row r="6121">
      <c r="A6121" s="3" t="n">
        <v>2022</v>
      </c>
      <c r="B6121" s="4" t="n">
        <v>308999</v>
      </c>
      <c r="C6121" s="4" t="n">
        <v>24321</v>
      </c>
      <c r="D6121" s="4" t="n">
        <v>7357.1025</v>
      </c>
      <c r="E6121" s="5" t="n">
        <v>42</v>
      </c>
      <c r="F6121" s="3" t="inlineStr">
        <is>
          <t>장군면</t>
        </is>
      </c>
      <c r="G6121" s="3" t="inlineStr">
        <is>
          <t>송정리</t>
        </is>
      </c>
      <c r="H6121" s="3" t="inlineStr">
        <is>
          <t>보전관리지역</t>
        </is>
      </c>
      <c r="I6121" s="3" t="inlineStr">
        <is>
          <t>임야</t>
        </is>
      </c>
      <c r="J6121" s="3" t="inlineStr">
        <is>
          <t>장군면</t>
        </is>
      </c>
    </row>
    <row r="6122">
      <c r="A6122" s="3" t="n">
        <v>2022</v>
      </c>
      <c r="B6122" s="4" t="n">
        <v>332341</v>
      </c>
      <c r="C6122" s="4" t="n">
        <v>26159</v>
      </c>
      <c r="D6122" s="4" t="n">
        <v>7913.0975</v>
      </c>
      <c r="E6122" s="5" t="n">
        <v>42</v>
      </c>
      <c r="F6122" s="3" t="inlineStr">
        <is>
          <t>장군면</t>
        </is>
      </c>
      <c r="G6122" s="3" t="inlineStr">
        <is>
          <t>송정리</t>
        </is>
      </c>
      <c r="H6122" s="3" t="inlineStr">
        <is>
          <t>보전관리지역</t>
        </is>
      </c>
      <c r="I6122" s="3" t="inlineStr">
        <is>
          <t>임야</t>
        </is>
      </c>
      <c r="J6122" s="3" t="inlineStr">
        <is>
          <t>장군면</t>
        </is>
      </c>
    </row>
    <row r="6123">
      <c r="A6123" s="3" t="n">
        <v>2022</v>
      </c>
      <c r="B6123" s="4" t="n">
        <v>288</v>
      </c>
      <c r="C6123" s="4" t="n">
        <v>3</v>
      </c>
      <c r="D6123" s="4" t="n">
        <v>0.9075</v>
      </c>
      <c r="E6123" s="5" t="n">
        <v>317.4</v>
      </c>
      <c r="F6123" s="3" t="inlineStr">
        <is>
          <t>조치원읍</t>
        </is>
      </c>
      <c r="G6123" s="3" t="inlineStr">
        <is>
          <t>명리</t>
        </is>
      </c>
      <c r="H6123" s="3" t="inlineStr">
        <is>
          <t>제2종일반주거지역</t>
        </is>
      </c>
      <c r="I6123" s="3" t="inlineStr">
        <is>
          <t>대</t>
        </is>
      </c>
      <c r="J6123" s="3" t="inlineStr">
        <is>
          <t>조치원읍</t>
        </is>
      </c>
    </row>
    <row r="6124">
      <c r="A6124" s="3" t="n">
        <v>2022</v>
      </c>
      <c r="B6124" s="4" t="n">
        <v>23700</v>
      </c>
      <c r="C6124" s="4" t="n">
        <v>714</v>
      </c>
      <c r="D6124" s="4" t="n">
        <v>215.985</v>
      </c>
      <c r="E6124" s="5" t="n">
        <v>109.7</v>
      </c>
      <c r="F6124" s="3" t="inlineStr">
        <is>
          <t>장군면</t>
        </is>
      </c>
      <c r="G6124" s="3" t="inlineStr">
        <is>
          <t>송정리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장군면</t>
        </is>
      </c>
    </row>
    <row r="6125">
      <c r="A6125" s="3" t="n">
        <v>2022</v>
      </c>
      <c r="B6125" s="4" t="n">
        <v>12200</v>
      </c>
      <c r="C6125" s="4" t="n">
        <v>405</v>
      </c>
      <c r="D6125" s="4" t="n">
        <v>122.5125</v>
      </c>
      <c r="E6125" s="5" t="n">
        <v>99.59999999999999</v>
      </c>
      <c r="F6125" s="3" t="inlineStr">
        <is>
          <t>연기면</t>
        </is>
      </c>
      <c r="G6125" s="3" t="inlineStr">
        <is>
          <t>수산리</t>
        </is>
      </c>
      <c r="H6125" s="3" t="inlineStr">
        <is>
          <t>계획관리지역</t>
        </is>
      </c>
      <c r="I6125" s="3" t="inlineStr">
        <is>
          <t>대</t>
        </is>
      </c>
      <c r="J6125" s="3" t="inlineStr">
        <is>
          <t>연기면</t>
        </is>
      </c>
    </row>
    <row r="6126">
      <c r="A6126" s="3" t="n">
        <v>2023</v>
      </c>
      <c r="B6126" s="4" t="n">
        <v>7000</v>
      </c>
      <c r="C6126" s="4" t="n">
        <v>460</v>
      </c>
      <c r="D6126" s="4" t="n">
        <v>139.15</v>
      </c>
      <c r="E6126" s="5" t="n">
        <v>50.3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자연녹지지역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2023</v>
      </c>
      <c r="B6127" s="4" t="n">
        <v>22790</v>
      </c>
      <c r="C6127" s="4" t="n">
        <v>1421</v>
      </c>
      <c r="D6127" s="4" t="n">
        <v>429.8525</v>
      </c>
      <c r="E6127" s="5" t="n">
        <v>53</v>
      </c>
      <c r="F6127" s="3" t="inlineStr">
        <is>
          <t>남이면</t>
        </is>
      </c>
      <c r="G6127" s="3" t="inlineStr">
        <is>
          <t>팔봉리</t>
        </is>
      </c>
      <c r="H6127" s="3" t="inlineStr">
        <is>
          <t>자연녹지지역</t>
        </is>
      </c>
      <c r="I6127" s="3" t="inlineStr">
        <is>
          <t>전</t>
        </is>
      </c>
      <c r="J6127" s="3" t="inlineStr">
        <is>
          <t>남이면</t>
        </is>
      </c>
    </row>
    <row r="6128">
      <c r="A6128" s="3" t="n">
        <v>2023</v>
      </c>
      <c r="B6128" s="4" t="n">
        <v>11000</v>
      </c>
      <c r="C6128" s="4" t="n">
        <v>228</v>
      </c>
      <c r="D6128" s="4" t="n">
        <v>68.97</v>
      </c>
      <c r="E6128" s="5" t="n">
        <v>159.5</v>
      </c>
      <c r="F6128" s="3" t="inlineStr">
        <is>
          <t>현도면</t>
        </is>
      </c>
      <c r="G6128" s="3" t="inlineStr">
        <is>
          <t>매봉리</t>
        </is>
      </c>
      <c r="H6128" s="3" t="inlineStr">
        <is>
          <t>제2종일반주거지역</t>
        </is>
      </c>
      <c r="I6128" s="3" t="inlineStr">
        <is>
          <t>전</t>
        </is>
      </c>
      <c r="J6128" s="3" t="inlineStr">
        <is>
          <t>현도면</t>
        </is>
      </c>
    </row>
    <row r="6129">
      <c r="A6129" s="3" t="n">
        <v>2023</v>
      </c>
      <c r="B6129" s="4" t="n">
        <v>15756</v>
      </c>
      <c r="C6129" s="4" t="n">
        <v>660</v>
      </c>
      <c r="D6129" s="4" t="n">
        <v>199.65</v>
      </c>
      <c r="E6129" s="5" t="n">
        <v>78.90000000000001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자연녹지지역</t>
        </is>
      </c>
      <c r="I6129" s="3" t="inlineStr">
        <is>
          <t>전</t>
        </is>
      </c>
      <c r="J6129" s="3" t="inlineStr">
        <is>
          <t>남이면</t>
        </is>
      </c>
    </row>
    <row r="6130">
      <c r="A6130" s="3" t="n">
        <v>2023</v>
      </c>
      <c r="B6130" s="4" t="n">
        <v>28736</v>
      </c>
      <c r="C6130" s="4" t="n">
        <v>1635</v>
      </c>
      <c r="D6130" s="4" t="n">
        <v>494.5875</v>
      </c>
      <c r="E6130" s="5" t="n">
        <v>58.1</v>
      </c>
      <c r="F6130" s="3" t="inlineStr">
        <is>
          <t>남이면</t>
        </is>
      </c>
      <c r="G6130" s="3" t="inlineStr">
        <is>
          <t>구암리</t>
        </is>
      </c>
      <c r="H6130" s="3" t="inlineStr">
        <is>
          <t>자연녹지지역</t>
        </is>
      </c>
      <c r="I6130" s="3" t="inlineStr">
        <is>
          <t>답</t>
        </is>
      </c>
      <c r="J6130" s="3" t="inlineStr">
        <is>
          <t>남이면</t>
        </is>
      </c>
    </row>
    <row r="6131">
      <c r="A6131" s="3" t="n">
        <v>2023</v>
      </c>
      <c r="B6131" s="4" t="n">
        <v>69925</v>
      </c>
      <c r="C6131" s="4" t="n">
        <v>1635</v>
      </c>
      <c r="D6131" s="4" t="n">
        <v>494.5875</v>
      </c>
      <c r="E6131" s="5" t="n">
        <v>141.4</v>
      </c>
      <c r="F6131" s="3" t="inlineStr">
        <is>
          <t>남이면</t>
        </is>
      </c>
      <c r="G6131" s="3" t="inlineStr">
        <is>
          <t>구암리</t>
        </is>
      </c>
      <c r="H6131" s="3" t="inlineStr">
        <is>
          <t>자연녹지지역</t>
        </is>
      </c>
      <c r="I6131" s="3" t="inlineStr">
        <is>
          <t>답</t>
        </is>
      </c>
      <c r="J6131" s="3" t="inlineStr">
        <is>
          <t>남이면</t>
        </is>
      </c>
    </row>
    <row r="6132">
      <c r="A6132" s="3" t="n">
        <v>2023</v>
      </c>
      <c r="B6132" s="4" t="n">
        <v>41500</v>
      </c>
      <c r="C6132" s="4" t="n">
        <v>1250</v>
      </c>
      <c r="D6132" s="4" t="n">
        <v>378.125</v>
      </c>
      <c r="E6132" s="5" t="n">
        <v>109.8</v>
      </c>
      <c r="F6132" s="3" t="inlineStr">
        <is>
          <t>남이면</t>
        </is>
      </c>
      <c r="G6132" s="3" t="inlineStr">
        <is>
          <t>부용외천리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남이면</t>
        </is>
      </c>
    </row>
    <row r="6133">
      <c r="A6133" s="3" t="n">
        <v>2023</v>
      </c>
      <c r="B6133" s="4" t="n">
        <v>3872</v>
      </c>
      <c r="C6133" s="4" t="n">
        <v>64</v>
      </c>
      <c r="D6133" s="4" t="n">
        <v>19.36</v>
      </c>
      <c r="E6133" s="5" t="n">
        <v>200</v>
      </c>
      <c r="F6133" s="3" t="inlineStr">
        <is>
          <t>남이면</t>
        </is>
      </c>
      <c r="G6133" s="3" t="inlineStr">
        <is>
          <t>양촌리</t>
        </is>
      </c>
      <c r="H6133" s="3" t="inlineStr">
        <is>
          <t>보전녹지지역</t>
        </is>
      </c>
      <c r="I6133" s="3" t="inlineStr">
        <is>
          <t>임야</t>
        </is>
      </c>
      <c r="J6133" s="3" t="inlineStr">
        <is>
          <t>남이면</t>
        </is>
      </c>
    </row>
    <row r="6134">
      <c r="A6134" s="3" t="n">
        <v>2023</v>
      </c>
      <c r="B6134" s="4" t="n">
        <v>52702</v>
      </c>
      <c r="C6134" s="4" t="n">
        <v>858</v>
      </c>
      <c r="D6134" s="4" t="n">
        <v>259.545</v>
      </c>
      <c r="E6134" s="5" t="n">
        <v>203.1</v>
      </c>
      <c r="F6134" s="3" t="inlineStr">
        <is>
          <t>남이면</t>
        </is>
      </c>
      <c r="G6134" s="3" t="inlineStr">
        <is>
          <t>양촌리</t>
        </is>
      </c>
      <c r="H6134" s="3" t="inlineStr">
        <is>
          <t>자연녹지지역</t>
        </is>
      </c>
      <c r="I6134" s="3" t="inlineStr">
        <is>
          <t>임야</t>
        </is>
      </c>
      <c r="J6134" s="3" t="inlineStr">
        <is>
          <t>남이면</t>
        </is>
      </c>
    </row>
    <row r="6135">
      <c r="A6135" s="3" t="n">
        <v>2023</v>
      </c>
      <c r="B6135" s="4" t="n">
        <v>60000</v>
      </c>
      <c r="C6135" s="4" t="n">
        <v>6607</v>
      </c>
      <c r="D6135" s="4" t="n">
        <v>1998.6175</v>
      </c>
      <c r="E6135" s="5" t="n">
        <v>30</v>
      </c>
      <c r="F6135" s="3" t="inlineStr">
        <is>
          <t>남이면</t>
        </is>
      </c>
      <c r="G6135" s="3" t="inlineStr">
        <is>
          <t>구미리</t>
        </is>
      </c>
      <c r="H6135" s="3" t="inlineStr">
        <is>
          <t>계획관리지역</t>
        </is>
      </c>
      <c r="I6135" s="3" t="inlineStr">
        <is>
          <t>임야</t>
        </is>
      </c>
      <c r="J6135" s="3" t="inlineStr">
        <is>
          <t>남이면</t>
        </is>
      </c>
    </row>
    <row r="6136">
      <c r="A6136" s="3" t="n">
        <v>2023</v>
      </c>
      <c r="B6136" s="4" t="n">
        <v>20000</v>
      </c>
      <c r="C6136" s="4" t="n">
        <v>2374</v>
      </c>
      <c r="D6136" s="4" t="n">
        <v>718.135</v>
      </c>
      <c r="E6136" s="5" t="n">
        <v>27.8</v>
      </c>
      <c r="F6136" s="3" t="inlineStr">
        <is>
          <t>현도면</t>
        </is>
      </c>
      <c r="G6136" s="3" t="inlineStr">
        <is>
          <t>시목리</t>
        </is>
      </c>
      <c r="H6136" s="3" t="inlineStr">
        <is>
          <t>개발제한구역</t>
        </is>
      </c>
      <c r="I6136" s="3" t="inlineStr">
        <is>
          <t>답</t>
        </is>
      </c>
      <c r="J6136" s="3" t="inlineStr">
        <is>
          <t>현도면</t>
        </is>
      </c>
    </row>
    <row r="6137">
      <c r="A6137" s="3" t="n">
        <v>2023</v>
      </c>
      <c r="B6137" s="4" t="n">
        <v>30000</v>
      </c>
      <c r="C6137" s="4" t="n">
        <v>3056.3</v>
      </c>
      <c r="D6137" s="4" t="n">
        <v>924.53075</v>
      </c>
      <c r="E6137" s="5" t="n">
        <v>32.4</v>
      </c>
      <c r="F6137" s="3" t="inlineStr">
        <is>
          <t>남이면</t>
        </is>
      </c>
      <c r="G6137" s="3" t="inlineStr">
        <is>
          <t>비룡리</t>
        </is>
      </c>
      <c r="H6137" s="3" t="inlineStr">
        <is>
          <t>농림지역</t>
        </is>
      </c>
      <c r="I6137" s="3" t="inlineStr">
        <is>
          <t>답</t>
        </is>
      </c>
      <c r="J6137" s="3" t="inlineStr">
        <is>
          <t>남이면</t>
        </is>
      </c>
    </row>
    <row r="6138">
      <c r="A6138" s="3" t="n">
        <v>2023</v>
      </c>
      <c r="B6138" s="4" t="n">
        <v>21240</v>
      </c>
      <c r="C6138" s="4" t="n">
        <v>2926</v>
      </c>
      <c r="D6138" s="4" t="n">
        <v>885.115</v>
      </c>
      <c r="E6138" s="5" t="n">
        <v>24</v>
      </c>
      <c r="F6138" s="3" t="inlineStr">
        <is>
          <t>현도면</t>
        </is>
      </c>
      <c r="G6138" s="3" t="inlineStr">
        <is>
          <t>달계리</t>
        </is>
      </c>
      <c r="H6138" s="3" t="inlineStr">
        <is>
          <t>개발제한구역</t>
        </is>
      </c>
      <c r="I6138" s="3" t="inlineStr">
        <is>
          <t>답</t>
        </is>
      </c>
      <c r="J6138" s="3" t="inlineStr">
        <is>
          <t>현도면</t>
        </is>
      </c>
    </row>
    <row r="6139">
      <c r="A6139" s="3" t="n">
        <v>2023</v>
      </c>
      <c r="B6139" s="4" t="n">
        <v>80200</v>
      </c>
      <c r="C6139" s="4" t="n">
        <v>8838</v>
      </c>
      <c r="D6139" s="4" t="n">
        <v>2673.495</v>
      </c>
      <c r="E6139" s="5" t="n">
        <v>30</v>
      </c>
      <c r="F6139" s="3" t="inlineStr">
        <is>
          <t>현도면</t>
        </is>
      </c>
      <c r="G6139" s="3" t="inlineStr">
        <is>
          <t>중삼리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현도면</t>
        </is>
      </c>
    </row>
    <row r="6140">
      <c r="A6140" s="3" t="n">
        <v>2023</v>
      </c>
      <c r="B6140" s="4" t="n">
        <v>5000</v>
      </c>
      <c r="C6140" s="4" t="n">
        <v>602</v>
      </c>
      <c r="D6140" s="4" t="n">
        <v>182.105</v>
      </c>
      <c r="E6140" s="5" t="n">
        <v>27.5</v>
      </c>
      <c r="F6140" s="3" t="inlineStr">
        <is>
          <t>현도면</t>
        </is>
      </c>
      <c r="G6140" s="3" t="inlineStr">
        <is>
          <t>우록리</t>
        </is>
      </c>
      <c r="H6140" s="3" t="inlineStr">
        <is>
          <t>생산관리지역</t>
        </is>
      </c>
      <c r="I6140" s="3" t="inlineStr">
        <is>
          <t>전</t>
        </is>
      </c>
      <c r="J6140" s="3" t="inlineStr">
        <is>
          <t>현도면</t>
        </is>
      </c>
    </row>
    <row r="6141">
      <c r="A6141" s="3" t="n">
        <v>2023</v>
      </c>
      <c r="B6141" s="4" t="n">
        <v>25700</v>
      </c>
      <c r="C6141" s="4" t="n">
        <v>1005</v>
      </c>
      <c r="D6141" s="4" t="n">
        <v>304.0125</v>
      </c>
      <c r="E6141" s="5" t="n">
        <v>84.5</v>
      </c>
      <c r="F6141" s="3" t="inlineStr">
        <is>
          <t>남이면</t>
        </is>
      </c>
      <c r="G6141" s="3" t="inlineStr">
        <is>
          <t>상발리</t>
        </is>
      </c>
      <c r="H6141" s="3" t="inlineStr">
        <is>
          <t>자연녹지지역</t>
        </is>
      </c>
      <c r="I6141" s="3" t="inlineStr">
        <is>
          <t>전</t>
        </is>
      </c>
      <c r="J6141" s="3" t="inlineStr">
        <is>
          <t>남이면</t>
        </is>
      </c>
    </row>
    <row r="6142">
      <c r="A6142" s="3" t="n">
        <v>2023</v>
      </c>
      <c r="B6142" s="4" t="n">
        <v>22300</v>
      </c>
      <c r="C6142" s="4" t="n">
        <v>872</v>
      </c>
      <c r="D6142" s="4" t="n">
        <v>263.78</v>
      </c>
      <c r="E6142" s="5" t="n">
        <v>84.5</v>
      </c>
      <c r="F6142" s="3" t="inlineStr">
        <is>
          <t>남이면</t>
        </is>
      </c>
      <c r="G6142" s="3" t="inlineStr">
        <is>
          <t>상발리</t>
        </is>
      </c>
      <c r="H6142" s="3" t="inlineStr">
        <is>
          <t>자연녹지지역</t>
        </is>
      </c>
      <c r="I6142" s="3" t="inlineStr">
        <is>
          <t>답</t>
        </is>
      </c>
      <c r="J6142" s="3" t="inlineStr">
        <is>
          <t>남이면</t>
        </is>
      </c>
    </row>
    <row r="6143">
      <c r="A6143" s="3" t="n">
        <v>2022</v>
      </c>
      <c r="B6143" s="4" t="n">
        <v>42000</v>
      </c>
      <c r="C6143" s="4" t="n">
        <v>517</v>
      </c>
      <c r="D6143" s="4" t="n">
        <v>156.3925</v>
      </c>
      <c r="E6143" s="5" t="n">
        <v>268.6</v>
      </c>
      <c r="F6143" s="3" t="inlineStr">
        <is>
          <t>오송읍</t>
        </is>
      </c>
      <c r="G6143" s="3" t="inlineStr">
        <is>
          <t>연제리</t>
        </is>
      </c>
      <c r="H6143" s="3" t="inlineStr">
        <is>
          <t>계획관리지역</t>
        </is>
      </c>
      <c r="I6143" s="3" t="inlineStr">
        <is>
          <t>공장용지</t>
        </is>
      </c>
      <c r="J6143" s="3" t="inlineStr">
        <is>
          <t>오송읍</t>
        </is>
      </c>
    </row>
    <row r="6144">
      <c r="A6144" s="3" t="n">
        <v>2022</v>
      </c>
      <c r="B6144" s="4" t="n">
        <v>30500</v>
      </c>
      <c r="C6144" s="4" t="n">
        <v>2537</v>
      </c>
      <c r="D6144" s="4" t="n">
        <v>767.4425</v>
      </c>
      <c r="E6144" s="5" t="n">
        <v>39.7</v>
      </c>
      <c r="F6144" s="3" t="inlineStr">
        <is>
          <t>강내면</t>
        </is>
      </c>
      <c r="G6144" s="3" t="inlineStr">
        <is>
          <t>학천리</t>
        </is>
      </c>
      <c r="H6144" s="3" t="inlineStr">
        <is>
          <t>생산녹지지역</t>
        </is>
      </c>
      <c r="I6144" s="3" t="inlineStr">
        <is>
          <t>답</t>
        </is>
      </c>
      <c r="J6144" s="3" t="inlineStr">
        <is>
          <t>강내면</t>
        </is>
      </c>
    </row>
    <row r="6145">
      <c r="A6145" s="3" t="n">
        <v>2022</v>
      </c>
      <c r="B6145" s="4" t="n">
        <v>1939</v>
      </c>
      <c r="C6145" s="4" t="n">
        <v>115</v>
      </c>
      <c r="D6145" s="4" t="n">
        <v>34.7875</v>
      </c>
      <c r="E6145" s="5" t="n">
        <v>55.7</v>
      </c>
      <c r="F6145" s="3" t="inlineStr">
        <is>
          <t>강내면</t>
        </is>
      </c>
      <c r="G6145" s="3" t="inlineStr">
        <is>
          <t>저산리</t>
        </is>
      </c>
      <c r="H6145" s="3" t="inlineStr">
        <is>
          <t>계획관리지역</t>
        </is>
      </c>
      <c r="I6145" s="3" t="inlineStr">
        <is>
          <t>전</t>
        </is>
      </c>
      <c r="J6145" s="3" t="inlineStr">
        <is>
          <t>강내면</t>
        </is>
      </c>
    </row>
    <row r="6146">
      <c r="A6146" s="3" t="n">
        <v>2022</v>
      </c>
      <c r="B6146" s="4" t="n">
        <v>3760</v>
      </c>
      <c r="C6146" s="4" t="n">
        <v>223</v>
      </c>
      <c r="D6146" s="4" t="n">
        <v>67.4575</v>
      </c>
      <c r="E6146" s="5" t="n">
        <v>55.7</v>
      </c>
      <c r="F6146" s="3" t="inlineStr">
        <is>
          <t>강내면</t>
        </is>
      </c>
      <c r="G6146" s="3" t="inlineStr">
        <is>
          <t>저산리</t>
        </is>
      </c>
      <c r="H6146" s="3" t="inlineStr">
        <is>
          <t>계획관리지역</t>
        </is>
      </c>
      <c r="I6146" s="3" t="inlineStr">
        <is>
          <t>임야</t>
        </is>
      </c>
      <c r="J6146" s="3" t="inlineStr">
        <is>
          <t>강내면</t>
        </is>
      </c>
    </row>
    <row r="6147">
      <c r="A6147" s="3" t="n">
        <v>2022</v>
      </c>
      <c r="B6147" s="4" t="n">
        <v>22600</v>
      </c>
      <c r="C6147" s="4" t="n">
        <v>1410</v>
      </c>
      <c r="D6147" s="4" t="n">
        <v>426.525</v>
      </c>
      <c r="E6147" s="5" t="n">
        <v>53</v>
      </c>
      <c r="F6147" s="3" t="inlineStr">
        <is>
          <t>오송읍</t>
        </is>
      </c>
      <c r="G6147" s="3" t="inlineStr">
        <is>
          <t>상정리</t>
        </is>
      </c>
      <c r="H6147" s="3" t="inlineStr">
        <is>
          <t>농림지역</t>
        </is>
      </c>
      <c r="I6147" s="3" t="inlineStr">
        <is>
          <t>답</t>
        </is>
      </c>
      <c r="J6147" s="3" t="inlineStr">
        <is>
          <t>오송읍</t>
        </is>
      </c>
    </row>
    <row r="6148">
      <c r="A6148" s="3" t="n">
        <v>2022</v>
      </c>
      <c r="B6148" s="4" t="n">
        <v>28000</v>
      </c>
      <c r="C6148" s="4" t="n">
        <v>234.7</v>
      </c>
      <c r="D6148" s="4" t="n">
        <v>70.99674999999999</v>
      </c>
      <c r="E6148" s="5" t="n">
        <v>394.4</v>
      </c>
      <c r="F6148" s="3" t="inlineStr">
        <is>
          <t>오송읍</t>
        </is>
      </c>
      <c r="G6148" s="3" t="inlineStr">
        <is>
          <t>봉산리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오송읍</t>
        </is>
      </c>
    </row>
    <row r="6149">
      <c r="A6149" s="3" t="n">
        <v>2022</v>
      </c>
      <c r="B6149" s="4" t="n">
        <v>55000</v>
      </c>
      <c r="C6149" s="4" t="n">
        <v>156</v>
      </c>
      <c r="D6149" s="4" t="n">
        <v>47.19</v>
      </c>
      <c r="E6149" s="5" t="n">
        <v>1165.5</v>
      </c>
      <c r="F6149" s="3" t="inlineStr">
        <is>
          <t>강내면</t>
        </is>
      </c>
      <c r="G6149" s="3" t="inlineStr">
        <is>
          <t>탑연리</t>
        </is>
      </c>
      <c r="H6149" s="3" t="inlineStr">
        <is>
          <t>일반상업지역</t>
        </is>
      </c>
      <c r="I6149" s="3" t="inlineStr">
        <is>
          <t>대</t>
        </is>
      </c>
      <c r="J6149" s="3" t="inlineStr">
        <is>
          <t>강내면</t>
        </is>
      </c>
    </row>
    <row r="6150">
      <c r="A6150" s="3" t="n">
        <v>2022</v>
      </c>
      <c r="B6150" s="4" t="n">
        <v>29340</v>
      </c>
      <c r="C6150" s="4" t="n">
        <v>664</v>
      </c>
      <c r="D6150" s="4" t="n">
        <v>200.86</v>
      </c>
      <c r="E6150" s="5" t="n">
        <v>146.1</v>
      </c>
      <c r="F6150" s="3" t="inlineStr">
        <is>
          <t>오송읍</t>
        </is>
      </c>
      <c r="G6150" s="3" t="inlineStr">
        <is>
          <t>오송리</t>
        </is>
      </c>
      <c r="H6150" s="3" t="inlineStr">
        <is>
          <t>일반상업지역</t>
        </is>
      </c>
      <c r="I6150" s="3" t="inlineStr">
        <is>
          <t>답</t>
        </is>
      </c>
      <c r="J6150" s="3" t="inlineStr">
        <is>
          <t>오송읍</t>
        </is>
      </c>
    </row>
    <row r="6151">
      <c r="A6151" s="3" t="n">
        <v>2022</v>
      </c>
      <c r="B6151" s="4" t="n">
        <v>84920</v>
      </c>
      <c r="C6151" s="4" t="n">
        <v>1983</v>
      </c>
      <c r="D6151" s="4" t="n">
        <v>599.8575</v>
      </c>
      <c r="E6151" s="5" t="n">
        <v>141.6</v>
      </c>
      <c r="F6151" s="3" t="inlineStr">
        <is>
          <t>오송읍</t>
        </is>
      </c>
      <c r="G6151" s="3" t="inlineStr">
        <is>
          <t>오송리</t>
        </is>
      </c>
      <c r="H6151" s="3" t="inlineStr">
        <is>
          <t>일반상업지역</t>
        </is>
      </c>
      <c r="I6151" s="3" t="inlineStr">
        <is>
          <t>답</t>
        </is>
      </c>
      <c r="J6151" s="3" t="inlineStr">
        <is>
          <t>오송읍</t>
        </is>
      </c>
    </row>
    <row r="6152">
      <c r="A6152" s="3" t="n">
        <v>2022</v>
      </c>
      <c r="B6152" s="4" t="n">
        <v>84540</v>
      </c>
      <c r="C6152" s="4" t="n">
        <v>1983</v>
      </c>
      <c r="D6152" s="4" t="n">
        <v>599.8575</v>
      </c>
      <c r="E6152" s="5" t="n">
        <v>140.9</v>
      </c>
      <c r="F6152" s="3" t="inlineStr">
        <is>
          <t>오송읍</t>
        </is>
      </c>
      <c r="G6152" s="3" t="inlineStr">
        <is>
          <t>오송리</t>
        </is>
      </c>
      <c r="H6152" s="3" t="inlineStr">
        <is>
          <t>일반상업지역</t>
        </is>
      </c>
      <c r="I6152" s="3" t="inlineStr">
        <is>
          <t>답</t>
        </is>
      </c>
      <c r="J6152" s="3" t="inlineStr">
        <is>
          <t>오송읍</t>
        </is>
      </c>
    </row>
    <row r="6153">
      <c r="A6153" s="3" t="n">
        <v>2022</v>
      </c>
      <c r="B6153" s="4" t="n">
        <v>12600</v>
      </c>
      <c r="C6153" s="4" t="n">
        <v>463</v>
      </c>
      <c r="D6153" s="4" t="n">
        <v>140.0575</v>
      </c>
      <c r="E6153" s="5" t="n">
        <v>90</v>
      </c>
      <c r="F6153" s="3" t="inlineStr">
        <is>
          <t>강내면</t>
        </is>
      </c>
      <c r="G6153" s="3" t="inlineStr">
        <is>
          <t>사곡리</t>
        </is>
      </c>
      <c r="H6153" s="3" t="inlineStr">
        <is>
          <t>계획관리지역</t>
        </is>
      </c>
      <c r="I6153" s="3" t="inlineStr">
        <is>
          <t>대</t>
        </is>
      </c>
      <c r="J6153" s="3" t="inlineStr">
        <is>
          <t>강내면</t>
        </is>
      </c>
    </row>
    <row r="6154">
      <c r="A6154" s="3" t="n">
        <v>2022</v>
      </c>
      <c r="B6154" s="4" t="n">
        <v>9400</v>
      </c>
      <c r="C6154" s="4" t="n">
        <v>417</v>
      </c>
      <c r="D6154" s="4" t="n">
        <v>126.1425</v>
      </c>
      <c r="E6154" s="5" t="n">
        <v>74.5</v>
      </c>
      <c r="F6154" s="3" t="inlineStr">
        <is>
          <t>강내면</t>
        </is>
      </c>
      <c r="G6154" s="3" t="inlineStr">
        <is>
          <t>사곡리</t>
        </is>
      </c>
      <c r="H6154" s="3" t="inlineStr">
        <is>
          <t>계획관리지역</t>
        </is>
      </c>
      <c r="I6154" s="3" t="inlineStr">
        <is>
          <t>전</t>
        </is>
      </c>
      <c r="J6154" s="3" t="inlineStr">
        <is>
          <t>강내면</t>
        </is>
      </c>
    </row>
    <row r="6155">
      <c r="A6155" s="3" t="n">
        <v>2022</v>
      </c>
      <c r="B6155" s="4" t="n">
        <v>9000</v>
      </c>
      <c r="C6155" s="4" t="n">
        <v>60</v>
      </c>
      <c r="D6155" s="4" t="n">
        <v>18.15</v>
      </c>
      <c r="E6155" s="5" t="n">
        <v>495.9</v>
      </c>
      <c r="F6155" s="3" t="inlineStr">
        <is>
          <t>오송읍</t>
        </is>
      </c>
      <c r="G6155" s="3" t="inlineStr">
        <is>
          <t>오송리</t>
        </is>
      </c>
      <c r="H6155" s="3" t="inlineStr">
        <is>
          <t>계획관리지역</t>
        </is>
      </c>
      <c r="I6155" s="3" t="inlineStr">
        <is>
          <t>대</t>
        </is>
      </c>
      <c r="J6155" s="3" t="inlineStr">
        <is>
          <t>오송읍</t>
        </is>
      </c>
    </row>
    <row r="6156">
      <c r="A6156" s="3" t="n">
        <v>2022</v>
      </c>
      <c r="B6156" s="4" t="n">
        <v>50000</v>
      </c>
      <c r="C6156" s="4" t="n">
        <v>286.9</v>
      </c>
      <c r="D6156" s="4" t="n">
        <v>86.78724999999999</v>
      </c>
      <c r="E6156" s="5" t="n">
        <v>576.1</v>
      </c>
      <c r="F6156" s="3" t="inlineStr">
        <is>
          <t>오송읍</t>
        </is>
      </c>
      <c r="G6156" s="3" t="inlineStr">
        <is>
          <t>봉산리</t>
        </is>
      </c>
      <c r="H6156" s="3" t="inlineStr">
        <is>
          <t>제1종일반주거지역</t>
        </is>
      </c>
      <c r="I6156" s="3" t="inlineStr">
        <is>
          <t>대</t>
        </is>
      </c>
      <c r="J6156" s="3" t="inlineStr">
        <is>
          <t>오송읍</t>
        </is>
      </c>
    </row>
    <row r="6157">
      <c r="A6157" s="3" t="n">
        <v>2026</v>
      </c>
      <c r="B6157" s="4" t="n">
        <v>10866</v>
      </c>
      <c r="C6157" s="4" t="n">
        <v>4195</v>
      </c>
      <c r="D6157" s="4" t="n">
        <v>1268.9875</v>
      </c>
      <c r="E6157" s="5" t="n">
        <v>8.6</v>
      </c>
      <c r="F6157" s="3" t="inlineStr">
        <is>
          <t>전동면</t>
        </is>
      </c>
      <c r="G6157" s="3" t="inlineStr">
        <is>
          <t>석곡리</t>
        </is>
      </c>
      <c r="H6157" s="3" t="inlineStr">
        <is>
          <t>계획관리지역</t>
        </is>
      </c>
      <c r="I6157" s="3" t="inlineStr">
        <is>
          <t>임야</t>
        </is>
      </c>
      <c r="J6157" s="3" t="inlineStr">
        <is>
          <t>전동면</t>
        </is>
      </c>
    </row>
    <row r="6158">
      <c r="A6158" s="3" t="n">
        <v>2026</v>
      </c>
      <c r="B6158" s="4" t="n">
        <v>45000</v>
      </c>
      <c r="C6158" s="4" t="n">
        <v>327.4</v>
      </c>
      <c r="D6158" s="4" t="n">
        <v>99.03849999999998</v>
      </c>
      <c r="E6158" s="5" t="n">
        <v>454.4</v>
      </c>
      <c r="F6158" s="3" t="inlineStr">
        <is>
          <t>아름동</t>
        </is>
      </c>
      <c r="G6158" s="3" t="inlineStr"/>
      <c r="H6158" s="3" t="inlineStr">
        <is>
          <t>제1종전용주거지역</t>
        </is>
      </c>
      <c r="I6158" s="3" t="inlineStr">
        <is>
          <t>대</t>
        </is>
      </c>
      <c r="J6158" s="3" t="inlineStr">
        <is>
          <t>아름동</t>
        </is>
      </c>
    </row>
    <row r="6159">
      <c r="A6159" s="3" t="n">
        <v>2026</v>
      </c>
      <c r="B6159" s="4" t="n">
        <v>7100</v>
      </c>
      <c r="C6159" s="4" t="n">
        <v>784</v>
      </c>
      <c r="D6159" s="4" t="n">
        <v>237.16</v>
      </c>
      <c r="E6159" s="5" t="n">
        <v>29.9</v>
      </c>
      <c r="F6159" s="3" t="inlineStr">
        <is>
          <t>전의면</t>
        </is>
      </c>
      <c r="G6159" s="3" t="inlineStr">
        <is>
          <t>유천리</t>
        </is>
      </c>
      <c r="H6159" s="3" t="inlineStr">
        <is>
          <t>보전관리지역</t>
        </is>
      </c>
      <c r="I6159" s="3" t="inlineStr">
        <is>
          <t>답</t>
        </is>
      </c>
      <c r="J6159" s="3" t="inlineStr">
        <is>
          <t>전의면</t>
        </is>
      </c>
    </row>
    <row r="6160">
      <c r="A6160" s="3" t="n">
        <v>2025</v>
      </c>
      <c r="B6160" s="4" t="n">
        <v>120000</v>
      </c>
      <c r="C6160" s="4" t="n">
        <v>1210</v>
      </c>
      <c r="D6160" s="4" t="n">
        <v>366.025</v>
      </c>
      <c r="E6160" s="5" t="n">
        <v>327.8</v>
      </c>
      <c r="F6160" s="3" t="inlineStr">
        <is>
          <t>연서면</t>
        </is>
      </c>
      <c r="G6160" s="3" t="inlineStr">
        <is>
          <t>봉암리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연서면</t>
        </is>
      </c>
    </row>
    <row r="6161">
      <c r="A6161" s="3" t="n">
        <v>2025</v>
      </c>
      <c r="B6161" s="4" t="n">
        <v>20000</v>
      </c>
      <c r="C6161" s="4" t="n">
        <v>95</v>
      </c>
      <c r="D6161" s="4" t="n">
        <v>28.7375</v>
      </c>
      <c r="E6161" s="5" t="n">
        <v>696</v>
      </c>
      <c r="F6161" s="3" t="inlineStr">
        <is>
          <t>연서면</t>
        </is>
      </c>
      <c r="G6161" s="3" t="inlineStr">
        <is>
          <t>봉암리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연서면</t>
        </is>
      </c>
    </row>
    <row r="6162">
      <c r="A6162" s="3" t="n">
        <v>2025</v>
      </c>
      <c r="B6162" s="4" t="n">
        <v>5708</v>
      </c>
      <c r="C6162" s="4" t="n">
        <v>284</v>
      </c>
      <c r="D6162" s="4" t="n">
        <v>85.91</v>
      </c>
      <c r="E6162" s="5" t="n">
        <v>66.40000000000001</v>
      </c>
      <c r="F6162" s="3" t="inlineStr">
        <is>
          <t>전의면</t>
        </is>
      </c>
      <c r="G6162" s="3" t="inlineStr">
        <is>
          <t>양곡리</t>
        </is>
      </c>
      <c r="H6162" s="3" t="inlineStr">
        <is>
          <t>계획관리지역</t>
        </is>
      </c>
      <c r="I6162" s="3" t="inlineStr">
        <is>
          <t>전</t>
        </is>
      </c>
      <c r="J6162" s="3" t="inlineStr">
        <is>
          <t>전의면</t>
        </is>
      </c>
    </row>
    <row r="6163">
      <c r="A6163" s="3" t="n">
        <v>2025</v>
      </c>
      <c r="B6163" s="4" t="n">
        <v>1155</v>
      </c>
      <c r="C6163" s="4" t="n">
        <v>32</v>
      </c>
      <c r="D6163" s="4" t="n">
        <v>9.68</v>
      </c>
      <c r="E6163" s="5" t="n">
        <v>119.3</v>
      </c>
      <c r="F6163" s="3" t="inlineStr">
        <is>
          <t>전의면</t>
        </is>
      </c>
      <c r="G6163" s="3" t="inlineStr">
        <is>
          <t>양곡리</t>
        </is>
      </c>
      <c r="H6163" s="3" t="inlineStr">
        <is>
          <t>계획관리지역</t>
        </is>
      </c>
      <c r="I6163" s="3" t="inlineStr">
        <is>
          <t>대</t>
        </is>
      </c>
      <c r="J6163" s="3" t="inlineStr">
        <is>
          <t>전의면</t>
        </is>
      </c>
    </row>
    <row r="6164">
      <c r="A6164" s="3" t="n">
        <v>2025</v>
      </c>
      <c r="B6164" s="4" t="n">
        <v>14035</v>
      </c>
      <c r="C6164" s="4" t="n">
        <v>928</v>
      </c>
      <c r="D6164" s="4" t="n">
        <v>280.72</v>
      </c>
      <c r="E6164" s="5" t="n">
        <v>50</v>
      </c>
      <c r="F6164" s="3" t="inlineStr">
        <is>
          <t>장군면</t>
        </is>
      </c>
      <c r="G6164" s="3" t="inlineStr">
        <is>
          <t>용현리</t>
        </is>
      </c>
      <c r="H6164" s="3" t="inlineStr">
        <is>
          <t>생산관리지역</t>
        </is>
      </c>
      <c r="I6164" s="3" t="inlineStr">
        <is>
          <t>답</t>
        </is>
      </c>
      <c r="J6164" s="3" t="inlineStr">
        <is>
          <t>장군면</t>
        </is>
      </c>
    </row>
    <row r="6165">
      <c r="A6165" s="3" t="n">
        <v>2025</v>
      </c>
      <c r="B6165" s="4" t="n">
        <v>1180</v>
      </c>
      <c r="C6165" s="4" t="n">
        <v>78</v>
      </c>
      <c r="D6165" s="4" t="n">
        <v>23.595</v>
      </c>
      <c r="E6165" s="5" t="n">
        <v>50</v>
      </c>
      <c r="F6165" s="3" t="inlineStr">
        <is>
          <t>장군면</t>
        </is>
      </c>
      <c r="G6165" s="3" t="inlineStr">
        <is>
          <t>용현리</t>
        </is>
      </c>
      <c r="H6165" s="3" t="inlineStr">
        <is>
          <t>생산관리지역</t>
        </is>
      </c>
      <c r="I6165" s="3" t="inlineStr">
        <is>
          <t>답</t>
        </is>
      </c>
      <c r="J6165" s="3" t="inlineStr">
        <is>
          <t>장군면</t>
        </is>
      </c>
    </row>
    <row r="6166">
      <c r="A6166" s="3" t="n">
        <v>2025</v>
      </c>
      <c r="B6166" s="4" t="n">
        <v>635</v>
      </c>
      <c r="C6166" s="4" t="n">
        <v>42</v>
      </c>
      <c r="D6166" s="4" t="n">
        <v>12.705</v>
      </c>
      <c r="E6166" s="5" t="n">
        <v>50</v>
      </c>
      <c r="F6166" s="3" t="inlineStr">
        <is>
          <t>장군면</t>
        </is>
      </c>
      <c r="G6166" s="3" t="inlineStr">
        <is>
          <t>용현리</t>
        </is>
      </c>
      <c r="H6166" s="3" t="inlineStr">
        <is>
          <t>생산관리지역</t>
        </is>
      </c>
      <c r="I6166" s="3" t="inlineStr">
        <is>
          <t>답</t>
        </is>
      </c>
      <c r="J6166" s="3" t="inlineStr">
        <is>
          <t>장군면</t>
        </is>
      </c>
    </row>
    <row r="6167">
      <c r="A6167" s="3" t="n">
        <v>2025</v>
      </c>
      <c r="B6167" s="4" t="n">
        <v>3350</v>
      </c>
      <c r="C6167" s="4" t="n">
        <v>107</v>
      </c>
      <c r="D6167" s="4" t="n">
        <v>32.3675</v>
      </c>
      <c r="E6167" s="5" t="n">
        <v>103.5</v>
      </c>
      <c r="F6167" s="3" t="inlineStr">
        <is>
          <t>연동면</t>
        </is>
      </c>
      <c r="G6167" s="3" t="inlineStr">
        <is>
          <t>내판리</t>
        </is>
      </c>
      <c r="H6167" s="3" t="inlineStr">
        <is>
          <t>계획관리지역</t>
        </is>
      </c>
      <c r="I6167" s="3" t="inlineStr">
        <is>
          <t>대</t>
        </is>
      </c>
      <c r="J6167" s="3" t="inlineStr">
        <is>
          <t>연동면</t>
        </is>
      </c>
    </row>
    <row r="6168">
      <c r="A6168" s="3" t="n">
        <v>2025</v>
      </c>
      <c r="B6168" s="4" t="n">
        <v>16360</v>
      </c>
      <c r="C6168" s="4" t="n">
        <v>1745</v>
      </c>
      <c r="D6168" s="4" t="n">
        <v>527.8625</v>
      </c>
      <c r="E6168" s="5" t="n">
        <v>31</v>
      </c>
      <c r="F6168" s="3" t="inlineStr">
        <is>
          <t>전의면</t>
        </is>
      </c>
      <c r="G6168" s="3" t="inlineStr">
        <is>
          <t>원성리</t>
        </is>
      </c>
      <c r="H6168" s="3" t="inlineStr">
        <is>
          <t>보전관리지역</t>
        </is>
      </c>
      <c r="I6168" s="3" t="inlineStr">
        <is>
          <t>답</t>
        </is>
      </c>
      <c r="J6168" s="3" t="inlineStr">
        <is>
          <t>전의면</t>
        </is>
      </c>
    </row>
    <row r="6169">
      <c r="A6169" s="3" t="n">
        <v>2025</v>
      </c>
      <c r="B6169" s="4" t="n">
        <v>2847</v>
      </c>
      <c r="C6169" s="4" t="n">
        <v>71</v>
      </c>
      <c r="D6169" s="4" t="n">
        <v>21.4775</v>
      </c>
      <c r="E6169" s="5" t="n">
        <v>132.6</v>
      </c>
      <c r="F6169" s="3" t="inlineStr">
        <is>
          <t>연서면</t>
        </is>
      </c>
      <c r="G6169" s="3" t="inlineStr">
        <is>
          <t>고복리</t>
        </is>
      </c>
      <c r="H6169" s="3" t="inlineStr">
        <is>
          <t>계획관리지역</t>
        </is>
      </c>
      <c r="I6169" s="3" t="inlineStr">
        <is>
          <t>전</t>
        </is>
      </c>
      <c r="J6169" s="3" t="inlineStr">
        <is>
          <t>연서면</t>
        </is>
      </c>
    </row>
    <row r="6170">
      <c r="A6170" s="3" t="n">
        <v>2025</v>
      </c>
      <c r="B6170" s="4" t="n">
        <v>1526</v>
      </c>
      <c r="C6170" s="4" t="n">
        <v>28</v>
      </c>
      <c r="D6170" s="4" t="n">
        <v>8.469999999999999</v>
      </c>
      <c r="E6170" s="5" t="n">
        <v>180.2</v>
      </c>
      <c r="F6170" s="3" t="inlineStr">
        <is>
          <t>연서면</t>
        </is>
      </c>
      <c r="G6170" s="3" t="inlineStr">
        <is>
          <t>고복리</t>
        </is>
      </c>
      <c r="H6170" s="3" t="inlineStr">
        <is>
          <t>계획관리지역</t>
        </is>
      </c>
      <c r="I6170" s="3" t="inlineStr">
        <is>
          <t>대</t>
        </is>
      </c>
      <c r="J6170" s="3" t="inlineStr">
        <is>
          <t>연서면</t>
        </is>
      </c>
    </row>
    <row r="6171">
      <c r="A6171" s="3" t="n">
        <v>2025</v>
      </c>
      <c r="B6171" s="4" t="n">
        <v>31255</v>
      </c>
      <c r="C6171" s="4" t="n">
        <v>3230</v>
      </c>
      <c r="D6171" s="4" t="n">
        <v>977.0749999999999</v>
      </c>
      <c r="E6171" s="5" t="n">
        <v>32</v>
      </c>
      <c r="F6171" s="3" t="inlineStr">
        <is>
          <t>전의면</t>
        </is>
      </c>
      <c r="G6171" s="3" t="inlineStr">
        <is>
          <t>원성리</t>
        </is>
      </c>
      <c r="H6171" s="3" t="inlineStr">
        <is>
          <t>보전관리지역</t>
        </is>
      </c>
      <c r="I6171" s="3" t="inlineStr">
        <is>
          <t>답</t>
        </is>
      </c>
      <c r="J6171" s="3" t="inlineStr">
        <is>
          <t>전의면</t>
        </is>
      </c>
    </row>
    <row r="6172">
      <c r="A6172" s="3" t="n">
        <v>2025</v>
      </c>
      <c r="B6172" s="4" t="n">
        <v>1345</v>
      </c>
      <c r="C6172" s="4" t="n">
        <v>139</v>
      </c>
      <c r="D6172" s="4" t="n">
        <v>42.0475</v>
      </c>
      <c r="E6172" s="5" t="n">
        <v>32</v>
      </c>
      <c r="F6172" s="3" t="inlineStr">
        <is>
          <t>전의면</t>
        </is>
      </c>
      <c r="G6172" s="3" t="inlineStr">
        <is>
          <t>원성리</t>
        </is>
      </c>
      <c r="H6172" s="3" t="inlineStr">
        <is>
          <t>보전관리지역</t>
        </is>
      </c>
      <c r="I6172" s="3" t="inlineStr">
        <is>
          <t>답</t>
        </is>
      </c>
      <c r="J6172" s="3" t="inlineStr">
        <is>
          <t>전의면</t>
        </is>
      </c>
    </row>
    <row r="6173">
      <c r="A6173" s="3" t="n">
        <v>2025</v>
      </c>
      <c r="B6173" s="4" t="n">
        <v>12914</v>
      </c>
      <c r="C6173" s="4" t="n">
        <v>635</v>
      </c>
      <c r="D6173" s="4" t="n">
        <v>192.0875</v>
      </c>
      <c r="E6173" s="5" t="n">
        <v>67.2</v>
      </c>
      <c r="F6173" s="3" t="inlineStr">
        <is>
          <t>장군면</t>
        </is>
      </c>
      <c r="G6173" s="3" t="inlineStr">
        <is>
          <t>금암리</t>
        </is>
      </c>
      <c r="H6173" s="3" t="inlineStr">
        <is>
          <t>보전관리지역</t>
        </is>
      </c>
      <c r="I6173" s="3" t="inlineStr">
        <is>
          <t>임야</t>
        </is>
      </c>
      <c r="J6173" s="3" t="inlineStr">
        <is>
          <t>장군면</t>
        </is>
      </c>
    </row>
    <row r="6174">
      <c r="A6174" s="3" t="n">
        <v>2025</v>
      </c>
      <c r="B6174" s="4" t="n">
        <v>29000</v>
      </c>
      <c r="C6174" s="4" t="n">
        <v>1917</v>
      </c>
      <c r="D6174" s="4" t="n">
        <v>579.8924999999999</v>
      </c>
      <c r="E6174" s="5" t="n">
        <v>50</v>
      </c>
      <c r="F6174" s="3" t="inlineStr">
        <is>
          <t>전동면</t>
        </is>
      </c>
      <c r="G6174" s="3" t="inlineStr">
        <is>
          <t>보덕리</t>
        </is>
      </c>
      <c r="H6174" s="3" t="inlineStr">
        <is>
          <t>계획관리지역</t>
        </is>
      </c>
      <c r="I6174" s="3" t="inlineStr">
        <is>
          <t>전</t>
        </is>
      </c>
      <c r="J6174" s="3" t="inlineStr">
        <is>
          <t>전동면</t>
        </is>
      </c>
    </row>
    <row r="6175">
      <c r="A6175" s="3" t="n">
        <v>2025</v>
      </c>
      <c r="B6175" s="4" t="n">
        <v>6</v>
      </c>
      <c r="C6175" s="4" t="n">
        <v>9</v>
      </c>
      <c r="D6175" s="4" t="n">
        <v>2.7225</v>
      </c>
      <c r="E6175" s="5" t="n">
        <v>2.2</v>
      </c>
      <c r="F6175" s="3" t="inlineStr">
        <is>
          <t>전의면</t>
        </is>
      </c>
      <c r="G6175" s="3" t="inlineStr">
        <is>
          <t>신정리</t>
        </is>
      </c>
      <c r="H6175" s="3" t="inlineStr">
        <is>
          <t>생산관리지역</t>
        </is>
      </c>
      <c r="I6175" s="3" t="inlineStr">
        <is>
          <t>답</t>
        </is>
      </c>
      <c r="J6175" s="3" t="inlineStr">
        <is>
          <t>전의면</t>
        </is>
      </c>
    </row>
    <row r="6176">
      <c r="A6176" s="3" t="n">
        <v>2025</v>
      </c>
      <c r="B6176" s="4" t="n">
        <v>310</v>
      </c>
      <c r="C6176" s="4" t="n">
        <v>488</v>
      </c>
      <c r="D6176" s="4" t="n">
        <v>147.62</v>
      </c>
      <c r="E6176" s="5" t="n">
        <v>2.1</v>
      </c>
      <c r="F6176" s="3" t="inlineStr">
        <is>
          <t>전의면</t>
        </is>
      </c>
      <c r="G6176" s="3" t="inlineStr">
        <is>
          <t>신정리</t>
        </is>
      </c>
      <c r="H6176" s="3" t="inlineStr">
        <is>
          <t>생산관리지역</t>
        </is>
      </c>
      <c r="I6176" s="3" t="inlineStr">
        <is>
          <t>답</t>
        </is>
      </c>
      <c r="J6176" s="3" t="inlineStr">
        <is>
          <t>전의면</t>
        </is>
      </c>
    </row>
    <row r="6177">
      <c r="A6177" s="3" t="n">
        <v>2025</v>
      </c>
      <c r="B6177" s="4" t="n">
        <v>34</v>
      </c>
      <c r="C6177" s="4" t="n">
        <v>54</v>
      </c>
      <c r="D6177" s="4" t="n">
        <v>16.335</v>
      </c>
      <c r="E6177" s="5" t="n">
        <v>2.1</v>
      </c>
      <c r="F6177" s="3" t="inlineStr">
        <is>
          <t>전의면</t>
        </is>
      </c>
      <c r="G6177" s="3" t="inlineStr">
        <is>
          <t>신정리</t>
        </is>
      </c>
      <c r="H6177" s="3" t="inlineStr">
        <is>
          <t>생산관리지역</t>
        </is>
      </c>
      <c r="I6177" s="3" t="inlineStr">
        <is>
          <t>답</t>
        </is>
      </c>
      <c r="J6177" s="3" t="inlineStr">
        <is>
          <t>전의면</t>
        </is>
      </c>
    </row>
    <row r="6178">
      <c r="A6178" s="3" t="n">
        <v>2025</v>
      </c>
      <c r="B6178" s="4" t="n">
        <v>5708</v>
      </c>
      <c r="C6178" s="4" t="n">
        <v>284</v>
      </c>
      <c r="D6178" s="4" t="n">
        <v>85.91</v>
      </c>
      <c r="E6178" s="5" t="n">
        <v>66.40000000000001</v>
      </c>
      <c r="F6178" s="3" t="inlineStr">
        <is>
          <t>전의면</t>
        </is>
      </c>
      <c r="G6178" s="3" t="inlineStr">
        <is>
          <t>양곡리</t>
        </is>
      </c>
      <c r="H6178" s="3" t="inlineStr">
        <is>
          <t>계획관리지역</t>
        </is>
      </c>
      <c r="I6178" s="3" t="inlineStr">
        <is>
          <t>전</t>
        </is>
      </c>
      <c r="J6178" s="3" t="inlineStr">
        <is>
          <t>전의면</t>
        </is>
      </c>
    </row>
    <row r="6179">
      <c r="A6179" s="3" t="n">
        <v>2025</v>
      </c>
      <c r="B6179" s="4" t="n">
        <v>1155</v>
      </c>
      <c r="C6179" s="4" t="n">
        <v>32</v>
      </c>
      <c r="D6179" s="4" t="n">
        <v>9.68</v>
      </c>
      <c r="E6179" s="5" t="n">
        <v>119.3</v>
      </c>
      <c r="F6179" s="3" t="inlineStr">
        <is>
          <t>전의면</t>
        </is>
      </c>
      <c r="G6179" s="3" t="inlineStr">
        <is>
          <t>양곡리</t>
        </is>
      </c>
      <c r="H6179" s="3" t="inlineStr">
        <is>
          <t>계획관리지역</t>
        </is>
      </c>
      <c r="I6179" s="3" t="inlineStr">
        <is>
          <t>대</t>
        </is>
      </c>
      <c r="J6179" s="3" t="inlineStr">
        <is>
          <t>전의면</t>
        </is>
      </c>
    </row>
    <row r="6180">
      <c r="A6180" s="3" t="n">
        <v>2025</v>
      </c>
      <c r="B6180" s="4" t="n">
        <v>5720</v>
      </c>
      <c r="C6180" s="4" t="n">
        <v>633</v>
      </c>
      <c r="D6180" s="4" t="n">
        <v>191.4825</v>
      </c>
      <c r="E6180" s="5" t="n">
        <v>29.9</v>
      </c>
      <c r="F6180" s="3" t="inlineStr">
        <is>
          <t>전의면</t>
        </is>
      </c>
      <c r="G6180" s="3" t="inlineStr">
        <is>
          <t>신정리</t>
        </is>
      </c>
      <c r="H6180" s="3" t="inlineStr">
        <is>
          <t>생산관리지역</t>
        </is>
      </c>
      <c r="I6180" s="3" t="inlineStr">
        <is>
          <t>답</t>
        </is>
      </c>
      <c r="J6180" s="3" t="inlineStr">
        <is>
          <t>전의면</t>
        </is>
      </c>
    </row>
    <row r="6181">
      <c r="A6181" s="3" t="n">
        <v>2025</v>
      </c>
      <c r="B6181" s="4" t="n">
        <v>2830</v>
      </c>
      <c r="C6181" s="4" t="n">
        <v>313</v>
      </c>
      <c r="D6181" s="4" t="n">
        <v>94.68249999999999</v>
      </c>
      <c r="E6181" s="5" t="n">
        <v>29.9</v>
      </c>
      <c r="F6181" s="3" t="inlineStr">
        <is>
          <t>전의면</t>
        </is>
      </c>
      <c r="G6181" s="3" t="inlineStr">
        <is>
          <t>신정리</t>
        </is>
      </c>
      <c r="H6181" s="3" t="inlineStr">
        <is>
          <t>생산관리지역</t>
        </is>
      </c>
      <c r="I6181" s="3" t="inlineStr">
        <is>
          <t>답</t>
        </is>
      </c>
      <c r="J6181" s="3" t="inlineStr">
        <is>
          <t>전의면</t>
        </is>
      </c>
    </row>
    <row r="6182">
      <c r="A6182" s="3" t="n">
        <v>2025</v>
      </c>
      <c r="B6182" s="4" t="n">
        <v>20000</v>
      </c>
      <c r="C6182" s="4" t="n">
        <v>661</v>
      </c>
      <c r="D6182" s="4" t="n">
        <v>199.9525</v>
      </c>
      <c r="E6182" s="5" t="n">
        <v>100</v>
      </c>
      <c r="F6182" s="3" t="inlineStr">
        <is>
          <t>장군면</t>
        </is>
      </c>
      <c r="G6182" s="3" t="inlineStr">
        <is>
          <t>하봉리</t>
        </is>
      </c>
      <c r="H6182" s="3" t="inlineStr">
        <is>
          <t>보전관리지역</t>
        </is>
      </c>
      <c r="I6182" s="3" t="inlineStr">
        <is>
          <t>임야</t>
        </is>
      </c>
      <c r="J6182" s="3" t="inlineStr">
        <is>
          <t>장군면</t>
        </is>
      </c>
    </row>
    <row r="6183">
      <c r="A6183" s="3" t="n">
        <v>2025</v>
      </c>
      <c r="B6183" s="4" t="n">
        <v>6300</v>
      </c>
      <c r="C6183" s="4" t="n">
        <v>699</v>
      </c>
      <c r="D6183" s="4" t="n">
        <v>211.4475</v>
      </c>
      <c r="E6183" s="5" t="n">
        <v>29.8</v>
      </c>
      <c r="F6183" s="3" t="inlineStr">
        <is>
          <t>전의면</t>
        </is>
      </c>
      <c r="G6183" s="3" t="inlineStr">
        <is>
          <t>신정리</t>
        </is>
      </c>
      <c r="H6183" s="3" t="inlineStr">
        <is>
          <t>생산관리지역</t>
        </is>
      </c>
      <c r="I6183" s="3" t="inlineStr">
        <is>
          <t>답</t>
        </is>
      </c>
      <c r="J6183" s="3" t="inlineStr">
        <is>
          <t>전의면</t>
        </is>
      </c>
    </row>
    <row r="6184">
      <c r="A6184" s="3" t="n">
        <v>2025</v>
      </c>
      <c r="B6184" s="4" t="n">
        <v>28556</v>
      </c>
      <c r="C6184" s="4" t="n">
        <v>1600</v>
      </c>
      <c r="D6184" s="4" t="n">
        <v>484</v>
      </c>
      <c r="E6184" s="5" t="n">
        <v>59</v>
      </c>
      <c r="F6184" s="3" t="inlineStr">
        <is>
          <t>연서면</t>
        </is>
      </c>
      <c r="G6184" s="3" t="inlineStr">
        <is>
          <t>기룡리</t>
        </is>
      </c>
      <c r="H6184" s="3" t="inlineStr">
        <is>
          <t>생산관리지역</t>
        </is>
      </c>
      <c r="I6184" s="3" t="inlineStr">
        <is>
          <t>전</t>
        </is>
      </c>
      <c r="J6184" s="3" t="inlineStr">
        <is>
          <t>연서면</t>
        </is>
      </c>
    </row>
    <row r="6185">
      <c r="A6185" s="3" t="n">
        <v>2025</v>
      </c>
      <c r="B6185" s="4" t="n">
        <v>944</v>
      </c>
      <c r="C6185" s="4" t="n">
        <v>53</v>
      </c>
      <c r="D6185" s="4" t="n">
        <v>16.0325</v>
      </c>
      <c r="E6185" s="5" t="n">
        <v>58.9</v>
      </c>
      <c r="F6185" s="3" t="inlineStr">
        <is>
          <t>연서면</t>
        </is>
      </c>
      <c r="G6185" s="3" t="inlineStr">
        <is>
          <t>기룡리</t>
        </is>
      </c>
      <c r="H6185" s="3" t="inlineStr">
        <is>
          <t>생산관리지역</t>
        </is>
      </c>
      <c r="I6185" s="3" t="inlineStr">
        <is>
          <t>도로</t>
        </is>
      </c>
      <c r="J6185" s="3" t="inlineStr">
        <is>
          <t>연서면</t>
        </is>
      </c>
    </row>
    <row r="6186">
      <c r="A6186" s="3" t="n">
        <v>2025</v>
      </c>
      <c r="B6186" s="4" t="n">
        <v>6050</v>
      </c>
      <c r="C6186" s="4" t="n">
        <v>671</v>
      </c>
      <c r="D6186" s="4" t="n">
        <v>202.9775</v>
      </c>
      <c r="E6186" s="5" t="n">
        <v>29.8</v>
      </c>
      <c r="F6186" s="3" t="inlineStr">
        <is>
          <t>전의면</t>
        </is>
      </c>
      <c r="G6186" s="3" t="inlineStr">
        <is>
          <t>신정리</t>
        </is>
      </c>
      <c r="H6186" s="3" t="inlineStr">
        <is>
          <t>생산관리지역</t>
        </is>
      </c>
      <c r="I6186" s="3" t="inlineStr">
        <is>
          <t>답</t>
        </is>
      </c>
      <c r="J6186" s="3" t="inlineStr">
        <is>
          <t>전의면</t>
        </is>
      </c>
    </row>
    <row r="6187">
      <c r="A6187" s="3" t="n">
        <v>2025</v>
      </c>
      <c r="B6187" s="4" t="n">
        <v>335</v>
      </c>
      <c r="C6187" s="4" t="n">
        <v>27</v>
      </c>
      <c r="D6187" s="4" t="n">
        <v>8.1675</v>
      </c>
      <c r="E6187" s="5" t="n">
        <v>41</v>
      </c>
      <c r="F6187" s="3" t="inlineStr">
        <is>
          <t>전의면</t>
        </is>
      </c>
      <c r="G6187" s="3" t="inlineStr">
        <is>
          <t>읍내리</t>
        </is>
      </c>
      <c r="H6187" s="3" t="inlineStr">
        <is>
          <t>계획관리지역</t>
        </is>
      </c>
      <c r="I6187" s="3" t="inlineStr">
        <is>
          <t>대</t>
        </is>
      </c>
      <c r="J6187" s="3" t="inlineStr">
        <is>
          <t>전의면</t>
        </is>
      </c>
    </row>
    <row r="6188">
      <c r="A6188" s="3" t="n">
        <v>2025</v>
      </c>
      <c r="B6188" s="4" t="n">
        <v>76</v>
      </c>
      <c r="C6188" s="4" t="n">
        <v>20</v>
      </c>
      <c r="D6188" s="4" t="n">
        <v>6.05</v>
      </c>
      <c r="E6188" s="5" t="n">
        <v>12.6</v>
      </c>
      <c r="F6188" s="3" t="inlineStr">
        <is>
          <t>소정면</t>
        </is>
      </c>
      <c r="G6188" s="3" t="inlineStr">
        <is>
          <t>고등리</t>
        </is>
      </c>
      <c r="H6188" s="3" t="inlineStr">
        <is>
          <t>계획관리지역</t>
        </is>
      </c>
      <c r="I6188" s="3" t="inlineStr">
        <is>
          <t>답</t>
        </is>
      </c>
      <c r="J6188" s="3" t="inlineStr">
        <is>
          <t>소정면</t>
        </is>
      </c>
    </row>
    <row r="6189">
      <c r="A6189" s="3" t="n">
        <v>2025</v>
      </c>
      <c r="B6189" s="4" t="n">
        <v>127</v>
      </c>
      <c r="C6189" s="4" t="n">
        <v>55</v>
      </c>
      <c r="D6189" s="4" t="n">
        <v>16.6375</v>
      </c>
      <c r="E6189" s="5" t="n">
        <v>7.6</v>
      </c>
      <c r="F6189" s="3" t="inlineStr">
        <is>
          <t>소정면</t>
        </is>
      </c>
      <c r="G6189" s="3" t="inlineStr">
        <is>
          <t>고등리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소정면</t>
        </is>
      </c>
    </row>
    <row r="6190">
      <c r="A6190" s="3" t="n">
        <v>2025</v>
      </c>
      <c r="B6190" s="4" t="n">
        <v>136</v>
      </c>
      <c r="C6190" s="4" t="n">
        <v>81</v>
      </c>
      <c r="D6190" s="4" t="n">
        <v>24.5025</v>
      </c>
      <c r="E6190" s="5" t="n">
        <v>5.6</v>
      </c>
      <c r="F6190" s="3" t="inlineStr">
        <is>
          <t>소정면</t>
        </is>
      </c>
      <c r="G6190" s="3" t="inlineStr">
        <is>
          <t>고등리</t>
        </is>
      </c>
      <c r="H6190" s="3" t="inlineStr">
        <is>
          <t>생산관리지역</t>
        </is>
      </c>
      <c r="I6190" s="3" t="inlineStr">
        <is>
          <t>임야</t>
        </is>
      </c>
      <c r="J6190" s="3" t="inlineStr">
        <is>
          <t>소정면</t>
        </is>
      </c>
    </row>
    <row r="6191">
      <c r="A6191" s="3" t="n">
        <v>2025</v>
      </c>
      <c r="B6191" s="4" t="n">
        <v>36</v>
      </c>
      <c r="C6191" s="4" t="n">
        <v>14</v>
      </c>
      <c r="D6191" s="4" t="n">
        <v>4.234999999999999</v>
      </c>
      <c r="E6191" s="5" t="n">
        <v>8.5</v>
      </c>
      <c r="F6191" s="3" t="inlineStr">
        <is>
          <t>전의면</t>
        </is>
      </c>
      <c r="G6191" s="3" t="inlineStr">
        <is>
          <t>관정리</t>
        </is>
      </c>
      <c r="H6191" s="3" t="inlineStr">
        <is>
          <t>계획관리지역</t>
        </is>
      </c>
      <c r="I6191" s="3" t="inlineStr">
        <is>
          <t>임야</t>
        </is>
      </c>
      <c r="J6191" s="3" t="inlineStr">
        <is>
          <t>전의면</t>
        </is>
      </c>
    </row>
    <row r="6192">
      <c r="A6192" s="3" t="n">
        <v>2025</v>
      </c>
      <c r="B6192" s="4" t="n">
        <v>195</v>
      </c>
      <c r="C6192" s="4" t="n">
        <v>58</v>
      </c>
      <c r="D6192" s="4" t="n">
        <v>17.545</v>
      </c>
      <c r="E6192" s="5" t="n">
        <v>11.1</v>
      </c>
      <c r="F6192" s="3" t="inlineStr">
        <is>
          <t>전의면</t>
        </is>
      </c>
      <c r="G6192" s="3" t="inlineStr">
        <is>
          <t>읍내리</t>
        </is>
      </c>
      <c r="H6192" s="3" t="inlineStr">
        <is>
          <t>계획관리지역</t>
        </is>
      </c>
      <c r="I6192" s="3" t="inlineStr">
        <is>
          <t>전</t>
        </is>
      </c>
      <c r="J6192" s="3" t="inlineStr">
        <is>
          <t>전의면</t>
        </is>
      </c>
    </row>
    <row r="6193">
      <c r="A6193" s="3" t="n">
        <v>2025</v>
      </c>
      <c r="B6193" s="4" t="n">
        <v>936</v>
      </c>
      <c r="C6193" s="4" t="n">
        <v>191</v>
      </c>
      <c r="D6193" s="4" t="n">
        <v>57.7775</v>
      </c>
      <c r="E6193" s="5" t="n">
        <v>16.2</v>
      </c>
      <c r="F6193" s="3" t="inlineStr">
        <is>
          <t>전의면</t>
        </is>
      </c>
      <c r="G6193" s="3" t="inlineStr">
        <is>
          <t>읍내리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전의면</t>
        </is>
      </c>
    </row>
    <row r="6194">
      <c r="A6194" s="3" t="n">
        <v>2025</v>
      </c>
      <c r="B6194" s="4" t="n">
        <v>15</v>
      </c>
      <c r="C6194" s="4" t="n">
        <v>6</v>
      </c>
      <c r="D6194" s="4" t="n">
        <v>1.815</v>
      </c>
      <c r="E6194" s="5" t="n">
        <v>8.300000000000001</v>
      </c>
      <c r="F6194" s="3" t="inlineStr">
        <is>
          <t>전의면</t>
        </is>
      </c>
      <c r="G6194" s="3" t="inlineStr">
        <is>
          <t>읍내리</t>
        </is>
      </c>
      <c r="H6194" s="3" t="inlineStr">
        <is>
          <t>계획관리지역</t>
        </is>
      </c>
      <c r="I6194" s="3" t="inlineStr">
        <is>
          <t>도로</t>
        </is>
      </c>
      <c r="J6194" s="3" t="inlineStr">
        <is>
          <t>전의면</t>
        </is>
      </c>
    </row>
    <row r="6195">
      <c r="A6195" s="3" t="n">
        <v>2025</v>
      </c>
      <c r="B6195" s="4" t="n">
        <v>22</v>
      </c>
      <c r="C6195" s="4" t="n">
        <v>2</v>
      </c>
      <c r="D6195" s="4" t="n">
        <v>0.605</v>
      </c>
      <c r="E6195" s="5" t="n">
        <v>36.4</v>
      </c>
      <c r="F6195" s="3" t="inlineStr">
        <is>
          <t>전의면</t>
        </is>
      </c>
      <c r="G6195" s="3" t="inlineStr">
        <is>
          <t>읍내리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전의면</t>
        </is>
      </c>
    </row>
    <row r="6196">
      <c r="A6196" s="3" t="n">
        <v>2025</v>
      </c>
      <c r="B6196" s="4" t="n">
        <v>6900</v>
      </c>
      <c r="C6196" s="4" t="n">
        <v>762</v>
      </c>
      <c r="D6196" s="4" t="n">
        <v>230.505</v>
      </c>
      <c r="E6196" s="5" t="n">
        <v>29.9</v>
      </c>
      <c r="F6196" s="3" t="inlineStr">
        <is>
          <t>전의면</t>
        </is>
      </c>
      <c r="G6196" s="3" t="inlineStr">
        <is>
          <t>신정리</t>
        </is>
      </c>
      <c r="H6196" s="3" t="inlineStr">
        <is>
          <t>생산관리지역</t>
        </is>
      </c>
      <c r="I6196" s="3" t="inlineStr">
        <is>
          <t>답</t>
        </is>
      </c>
      <c r="J6196" s="3" t="inlineStr">
        <is>
          <t>전의면</t>
        </is>
      </c>
    </row>
    <row r="6197">
      <c r="A6197" s="3" t="n">
        <v>2025</v>
      </c>
      <c r="B6197" s="4" t="n">
        <v>6100</v>
      </c>
      <c r="C6197" s="4" t="n">
        <v>672</v>
      </c>
      <c r="D6197" s="4" t="n">
        <v>203.28</v>
      </c>
      <c r="E6197" s="5" t="n">
        <v>30</v>
      </c>
      <c r="F6197" s="3" t="inlineStr">
        <is>
          <t>전의면</t>
        </is>
      </c>
      <c r="G6197" s="3" t="inlineStr">
        <is>
          <t>신정리</t>
        </is>
      </c>
      <c r="H6197" s="3" t="inlineStr">
        <is>
          <t>생산관리지역</t>
        </is>
      </c>
      <c r="I6197" s="3" t="inlineStr">
        <is>
          <t>답</t>
        </is>
      </c>
      <c r="J6197" s="3" t="inlineStr">
        <is>
          <t>전의면</t>
        </is>
      </c>
    </row>
    <row r="6198">
      <c r="A6198" s="3" t="n">
        <v>2025</v>
      </c>
      <c r="B6198" s="4" t="n">
        <v>1875</v>
      </c>
      <c r="C6198" s="4" t="n">
        <v>200</v>
      </c>
      <c r="D6198" s="4" t="n">
        <v>60.5</v>
      </c>
      <c r="E6198" s="5" t="n">
        <v>31</v>
      </c>
      <c r="F6198" s="3" t="inlineStr">
        <is>
          <t>전동면</t>
        </is>
      </c>
      <c r="G6198" s="3" t="inlineStr">
        <is>
          <t>봉대리</t>
        </is>
      </c>
      <c r="H6198" s="3" t="inlineStr">
        <is>
          <t>생산관리지역</t>
        </is>
      </c>
      <c r="I6198" s="3" t="inlineStr">
        <is>
          <t>전</t>
        </is>
      </c>
      <c r="J6198" s="3" t="inlineStr">
        <is>
          <t>전동면</t>
        </is>
      </c>
    </row>
    <row r="6199">
      <c r="A6199" s="3" t="n">
        <v>2025</v>
      </c>
      <c r="B6199" s="4" t="n">
        <v>5650</v>
      </c>
      <c r="C6199" s="4" t="n">
        <v>625</v>
      </c>
      <c r="D6199" s="4" t="n">
        <v>189.0625</v>
      </c>
      <c r="E6199" s="5" t="n">
        <v>29.9</v>
      </c>
      <c r="F6199" s="3" t="inlineStr">
        <is>
          <t>전의면</t>
        </is>
      </c>
      <c r="G6199" s="3" t="inlineStr">
        <is>
          <t>신정리</t>
        </is>
      </c>
      <c r="H6199" s="3" t="inlineStr">
        <is>
          <t>생산관리지역</t>
        </is>
      </c>
      <c r="I6199" s="3" t="inlineStr">
        <is>
          <t>답</t>
        </is>
      </c>
      <c r="J6199" s="3" t="inlineStr">
        <is>
          <t>전의면</t>
        </is>
      </c>
    </row>
    <row r="6200">
      <c r="A6200" s="3" t="n">
        <v>2026</v>
      </c>
      <c r="B6200" s="4" t="n">
        <v>18000</v>
      </c>
      <c r="C6200" s="4" t="n">
        <v>1107</v>
      </c>
      <c r="D6200" s="4" t="n">
        <v>334.8675</v>
      </c>
      <c r="E6200" s="5" t="n">
        <v>53.8</v>
      </c>
      <c r="F6200" s="3" t="inlineStr">
        <is>
          <t>금남면</t>
        </is>
      </c>
      <c r="G6200" s="3" t="inlineStr">
        <is>
          <t>국곡리</t>
        </is>
      </c>
      <c r="H6200" s="3" t="inlineStr">
        <is>
          <t>보전관리지역</t>
        </is>
      </c>
      <c r="I6200" s="3" t="inlineStr">
        <is>
          <t>답</t>
        </is>
      </c>
      <c r="J6200" s="3" t="inlineStr">
        <is>
          <t>금남면</t>
        </is>
      </c>
    </row>
    <row r="6201">
      <c r="A6201" s="3" t="n">
        <v>2026</v>
      </c>
      <c r="B6201" s="4" t="n">
        <v>7000</v>
      </c>
      <c r="C6201" s="4" t="n">
        <v>433</v>
      </c>
      <c r="D6201" s="4" t="n">
        <v>130.9825</v>
      </c>
      <c r="E6201" s="5" t="n">
        <v>53.4</v>
      </c>
      <c r="F6201" s="3" t="inlineStr">
        <is>
          <t>전의면</t>
        </is>
      </c>
      <c r="G6201" s="3" t="inlineStr">
        <is>
          <t>관정리</t>
        </is>
      </c>
      <c r="H6201" s="3" t="inlineStr">
        <is>
          <t>계획관리지역</t>
        </is>
      </c>
      <c r="I6201" s="3" t="inlineStr">
        <is>
          <t>대</t>
        </is>
      </c>
      <c r="J6201" s="3" t="inlineStr">
        <is>
          <t>전의면</t>
        </is>
      </c>
    </row>
    <row r="6202">
      <c r="A6202" s="3" t="n">
        <v>2026</v>
      </c>
      <c r="B6202" s="4" t="n">
        <v>10000</v>
      </c>
      <c r="C6202" s="4" t="n">
        <v>990</v>
      </c>
      <c r="D6202" s="4" t="n">
        <v>299.475</v>
      </c>
      <c r="E6202" s="5" t="n">
        <v>33.4</v>
      </c>
      <c r="F6202" s="3" t="inlineStr">
        <is>
          <t>전의면</t>
        </is>
      </c>
      <c r="G6202" s="3" t="inlineStr">
        <is>
          <t>다방리</t>
        </is>
      </c>
      <c r="H6202" s="3" t="inlineStr">
        <is>
          <t>생산관리지역</t>
        </is>
      </c>
      <c r="I6202" s="3" t="inlineStr">
        <is>
          <t>과수원</t>
        </is>
      </c>
      <c r="J6202" s="3" t="inlineStr">
        <is>
          <t>전의면</t>
        </is>
      </c>
    </row>
    <row r="6203">
      <c r="A6203" s="3" t="n">
        <v>2026</v>
      </c>
      <c r="B6203" s="4" t="n">
        <v>150</v>
      </c>
      <c r="C6203" s="4" t="n">
        <v>16</v>
      </c>
      <c r="D6203" s="4" t="n">
        <v>4.84</v>
      </c>
      <c r="E6203" s="5" t="n">
        <v>31</v>
      </c>
      <c r="F6203" s="3" t="inlineStr">
        <is>
          <t>전의면</t>
        </is>
      </c>
      <c r="G6203" s="3" t="inlineStr">
        <is>
          <t>다방리</t>
        </is>
      </c>
      <c r="H6203" s="3" t="inlineStr">
        <is>
          <t>생산관리지역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2026</v>
      </c>
      <c r="B6204" s="4" t="n">
        <v>50</v>
      </c>
      <c r="C6204" s="4" t="n">
        <v>6</v>
      </c>
      <c r="D6204" s="4" t="n">
        <v>1.815</v>
      </c>
      <c r="E6204" s="5" t="n">
        <v>27.5</v>
      </c>
      <c r="F6204" s="3" t="inlineStr">
        <is>
          <t>전의면</t>
        </is>
      </c>
      <c r="G6204" s="3" t="inlineStr">
        <is>
          <t>다방리</t>
        </is>
      </c>
      <c r="H6204" s="3" t="inlineStr">
        <is>
          <t>생산관리지역</t>
        </is>
      </c>
      <c r="I6204" s="3" t="inlineStr">
        <is>
          <t>과수원</t>
        </is>
      </c>
      <c r="J6204" s="3" t="inlineStr">
        <is>
          <t>전의면</t>
        </is>
      </c>
    </row>
    <row r="6205">
      <c r="A6205" s="3" t="n">
        <v>2026</v>
      </c>
      <c r="B6205" s="4" t="n">
        <v>5300</v>
      </c>
      <c r="C6205" s="4" t="n">
        <v>500</v>
      </c>
      <c r="D6205" s="4" t="n">
        <v>151.25</v>
      </c>
      <c r="E6205" s="5" t="n">
        <v>35</v>
      </c>
      <c r="F6205" s="3" t="inlineStr">
        <is>
          <t>전의면</t>
        </is>
      </c>
      <c r="G6205" s="3" t="inlineStr">
        <is>
          <t>다방리</t>
        </is>
      </c>
      <c r="H6205" s="3" t="inlineStr">
        <is>
          <t>생산관리지역</t>
        </is>
      </c>
      <c r="I6205" s="3" t="inlineStr">
        <is>
          <t>과수원</t>
        </is>
      </c>
      <c r="J6205" s="3" t="inlineStr">
        <is>
          <t>전의면</t>
        </is>
      </c>
    </row>
    <row r="6206">
      <c r="A6206" s="3" t="n">
        <v>2026</v>
      </c>
      <c r="B6206" s="4" t="n">
        <v>12000</v>
      </c>
      <c r="C6206" s="4" t="n">
        <v>3720</v>
      </c>
      <c r="D6206" s="4" t="n">
        <v>1125.3</v>
      </c>
      <c r="E6206" s="5" t="n">
        <v>10.7</v>
      </c>
      <c r="F6206" s="3" t="inlineStr">
        <is>
          <t>장군면</t>
        </is>
      </c>
      <c r="G6206" s="3" t="inlineStr">
        <is>
          <t>산학리</t>
        </is>
      </c>
      <c r="H6206" s="3" t="inlineStr">
        <is>
          <t>계획관리지역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2026</v>
      </c>
      <c r="B6207" s="4" t="n">
        <v>20037</v>
      </c>
      <c r="C6207" s="4" t="n">
        <v>541</v>
      </c>
      <c r="D6207" s="4" t="n">
        <v>163.6525</v>
      </c>
      <c r="E6207" s="5" t="n">
        <v>122.4</v>
      </c>
      <c r="F6207" s="3" t="inlineStr">
        <is>
          <t>부강면</t>
        </is>
      </c>
      <c r="G6207" s="3" t="inlineStr">
        <is>
          <t>부강리</t>
        </is>
      </c>
      <c r="H6207" s="3" t="inlineStr">
        <is>
          <t>자연녹지지역</t>
        </is>
      </c>
      <c r="I6207" s="3" t="inlineStr">
        <is>
          <t>대</t>
        </is>
      </c>
      <c r="J6207" s="3" t="inlineStr">
        <is>
          <t>부강면</t>
        </is>
      </c>
    </row>
    <row r="6208">
      <c r="A6208" s="3" t="n">
        <v>2026</v>
      </c>
      <c r="B6208" s="4" t="n">
        <v>16063</v>
      </c>
      <c r="C6208" s="4" t="n">
        <v>450</v>
      </c>
      <c r="D6208" s="4" t="n">
        <v>136.125</v>
      </c>
      <c r="E6208" s="5" t="n">
        <v>118</v>
      </c>
      <c r="F6208" s="3" t="inlineStr">
        <is>
          <t>부강면</t>
        </is>
      </c>
      <c r="G6208" s="3" t="inlineStr">
        <is>
          <t>부강리</t>
        </is>
      </c>
      <c r="H6208" s="3" t="inlineStr">
        <is>
          <t>자연녹지지역</t>
        </is>
      </c>
      <c r="I6208" s="3" t="inlineStr">
        <is>
          <t>대</t>
        </is>
      </c>
      <c r="J6208" s="3" t="inlineStr">
        <is>
          <t>부강면</t>
        </is>
      </c>
    </row>
    <row r="6209">
      <c r="A6209" s="3" t="n">
        <v>2026</v>
      </c>
      <c r="B6209" s="4" t="n">
        <v>48633</v>
      </c>
      <c r="C6209" s="4" t="n">
        <v>3740.9</v>
      </c>
      <c r="D6209" s="4" t="n">
        <v>1131.62225</v>
      </c>
      <c r="E6209" s="5" t="n">
        <v>43</v>
      </c>
      <c r="F6209" s="3" t="inlineStr">
        <is>
          <t>연동면</t>
        </is>
      </c>
      <c r="G6209" s="3" t="inlineStr">
        <is>
          <t>응암리</t>
        </is>
      </c>
      <c r="H6209" s="3" t="inlineStr">
        <is>
          <t>농림지역</t>
        </is>
      </c>
      <c r="I6209" s="3" t="inlineStr">
        <is>
          <t>답</t>
        </is>
      </c>
      <c r="J6209" s="3" t="inlineStr">
        <is>
          <t>연동면</t>
        </is>
      </c>
    </row>
    <row r="6210">
      <c r="A6210" s="3" t="n">
        <v>2026</v>
      </c>
      <c r="B6210" s="4" t="n">
        <v>229000</v>
      </c>
      <c r="C6210" s="4" t="n">
        <v>2410</v>
      </c>
      <c r="D6210" s="4" t="n">
        <v>729.025</v>
      </c>
      <c r="E6210" s="5" t="n">
        <v>314.1</v>
      </c>
      <c r="F6210" s="3" t="inlineStr">
        <is>
          <t>연동면</t>
        </is>
      </c>
      <c r="G6210" s="3" t="inlineStr">
        <is>
          <t>문주리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연동면</t>
        </is>
      </c>
    </row>
    <row r="6211">
      <c r="A6211" s="3" t="n">
        <v>2026</v>
      </c>
      <c r="B6211" s="4" t="n">
        <v>4000</v>
      </c>
      <c r="C6211" s="4" t="n">
        <v>810</v>
      </c>
      <c r="D6211" s="4" t="n">
        <v>245.025</v>
      </c>
      <c r="E6211" s="5" t="n">
        <v>16.3</v>
      </c>
      <c r="F6211" s="3" t="inlineStr">
        <is>
          <t>소정면</t>
        </is>
      </c>
      <c r="G6211" s="3" t="inlineStr">
        <is>
          <t>대곡리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소정면</t>
        </is>
      </c>
    </row>
    <row r="6212">
      <c r="A6212" s="3" t="n">
        <v>2026</v>
      </c>
      <c r="B6212" s="4" t="n">
        <v>3795</v>
      </c>
      <c r="C6212" s="4" t="n">
        <v>475</v>
      </c>
      <c r="D6212" s="4" t="n">
        <v>143.6875</v>
      </c>
      <c r="E6212" s="5" t="n">
        <v>26.4</v>
      </c>
      <c r="F6212" s="3" t="inlineStr">
        <is>
          <t>전동면</t>
        </is>
      </c>
      <c r="G6212" s="3" t="inlineStr">
        <is>
          <t>봉대리</t>
        </is>
      </c>
      <c r="H6212" s="3" t="inlineStr">
        <is>
          <t>생산관리지역</t>
        </is>
      </c>
      <c r="I6212" s="3" t="inlineStr">
        <is>
          <t>과수원</t>
        </is>
      </c>
      <c r="J6212" s="3" t="inlineStr">
        <is>
          <t>전동면</t>
        </is>
      </c>
    </row>
    <row r="6213">
      <c r="A6213" s="3" t="n">
        <v>2026</v>
      </c>
      <c r="B6213" s="4" t="n">
        <v>160</v>
      </c>
      <c r="C6213" s="4" t="n">
        <v>20</v>
      </c>
      <c r="D6213" s="4" t="n">
        <v>6.05</v>
      </c>
      <c r="E6213" s="5" t="n">
        <v>26.4</v>
      </c>
      <c r="F6213" s="3" t="inlineStr">
        <is>
          <t>전동면</t>
        </is>
      </c>
      <c r="G6213" s="3" t="inlineStr">
        <is>
          <t>봉대리</t>
        </is>
      </c>
      <c r="H6213" s="3" t="inlineStr">
        <is>
          <t>생산관리지역</t>
        </is>
      </c>
      <c r="I6213" s="3" t="inlineStr">
        <is>
          <t>과수원</t>
        </is>
      </c>
      <c r="J6213" s="3" t="inlineStr">
        <is>
          <t>전동면</t>
        </is>
      </c>
    </row>
    <row r="6214">
      <c r="A6214" s="3" t="n">
        <v>2026</v>
      </c>
      <c r="B6214" s="4" t="n">
        <v>34870</v>
      </c>
      <c r="C6214" s="4" t="n">
        <v>565</v>
      </c>
      <c r="D6214" s="4" t="n">
        <v>170.9125</v>
      </c>
      <c r="E6214" s="5" t="n">
        <v>204</v>
      </c>
      <c r="F6214" s="3" t="inlineStr">
        <is>
          <t>장군면</t>
        </is>
      </c>
      <c r="G6214" s="3" t="inlineStr">
        <is>
          <t>대교리</t>
        </is>
      </c>
      <c r="H6214" s="3" t="inlineStr">
        <is>
          <t>보전관리지역</t>
        </is>
      </c>
      <c r="I6214" s="3" t="inlineStr">
        <is>
          <t>임야</t>
        </is>
      </c>
      <c r="J6214" s="3" t="inlineStr">
        <is>
          <t>장군면</t>
        </is>
      </c>
    </row>
    <row r="6215">
      <c r="A6215" s="3" t="n">
        <v>2026</v>
      </c>
      <c r="B6215" s="4" t="n">
        <v>14192</v>
      </c>
      <c r="C6215" s="4" t="n">
        <v>397</v>
      </c>
      <c r="D6215" s="4" t="n">
        <v>120.0925</v>
      </c>
      <c r="E6215" s="5" t="n">
        <v>118.2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도로</t>
        </is>
      </c>
      <c r="J6215" s="3" t="inlineStr">
        <is>
          <t>장군면</t>
        </is>
      </c>
    </row>
    <row r="6216">
      <c r="A6216" s="3" t="n">
        <v>2026</v>
      </c>
      <c r="B6216" s="4" t="n">
        <v>5000</v>
      </c>
      <c r="C6216" s="4" t="n">
        <v>827</v>
      </c>
      <c r="D6216" s="4" t="n">
        <v>250.1675</v>
      </c>
      <c r="E6216" s="5" t="n">
        <v>20</v>
      </c>
      <c r="F6216" s="3" t="inlineStr">
        <is>
          <t>전동면</t>
        </is>
      </c>
      <c r="G6216" s="3" t="inlineStr">
        <is>
          <t>미곡리</t>
        </is>
      </c>
      <c r="H6216" s="3" t="inlineStr">
        <is>
          <t>생산관리지역</t>
        </is>
      </c>
      <c r="I6216" s="3" t="inlineStr">
        <is>
          <t>전</t>
        </is>
      </c>
      <c r="J6216" s="3" t="inlineStr">
        <is>
          <t>전동면</t>
        </is>
      </c>
    </row>
    <row r="6217">
      <c r="A6217" s="3" t="n">
        <v>2026</v>
      </c>
      <c r="B6217" s="4" t="n">
        <v>600</v>
      </c>
      <c r="C6217" s="4" t="n">
        <v>57</v>
      </c>
      <c r="D6217" s="4" t="n">
        <v>17.2425</v>
      </c>
      <c r="E6217" s="5" t="n">
        <v>34.8</v>
      </c>
      <c r="F6217" s="3" t="inlineStr">
        <is>
          <t>전의면</t>
        </is>
      </c>
      <c r="G6217" s="3" t="inlineStr">
        <is>
          <t>양곡리</t>
        </is>
      </c>
      <c r="H6217" s="3" t="inlineStr">
        <is>
          <t>보전관리지역</t>
        </is>
      </c>
      <c r="I6217" s="3" t="inlineStr">
        <is>
          <t>전</t>
        </is>
      </c>
      <c r="J6217" s="3" t="inlineStr">
        <is>
          <t>전의면</t>
        </is>
      </c>
    </row>
    <row r="6218">
      <c r="A6218" s="3" t="n">
        <v>2026</v>
      </c>
      <c r="B6218" s="4" t="n">
        <v>706</v>
      </c>
      <c r="C6218" s="4" t="n">
        <v>49</v>
      </c>
      <c r="D6218" s="4" t="n">
        <v>14.8225</v>
      </c>
      <c r="E6218" s="5" t="n">
        <v>47.6</v>
      </c>
      <c r="F6218" s="3" t="inlineStr">
        <is>
          <t>장군면</t>
        </is>
      </c>
      <c r="G6218" s="3" t="inlineStr">
        <is>
          <t>도계리</t>
        </is>
      </c>
      <c r="H6218" s="3" t="inlineStr">
        <is>
          <t>계획관리지역</t>
        </is>
      </c>
      <c r="I6218" s="3" t="inlineStr">
        <is>
          <t>도로</t>
        </is>
      </c>
      <c r="J6218" s="3" t="inlineStr">
        <is>
          <t>장군면</t>
        </is>
      </c>
    </row>
    <row r="6219">
      <c r="A6219" s="3" t="n">
        <v>2026</v>
      </c>
      <c r="B6219" s="4" t="n">
        <v>1080</v>
      </c>
      <c r="C6219" s="4" t="n">
        <v>20</v>
      </c>
      <c r="D6219" s="4" t="n">
        <v>6.05</v>
      </c>
      <c r="E6219" s="5" t="n">
        <v>178.5</v>
      </c>
      <c r="F6219" s="3" t="inlineStr">
        <is>
          <t>장군면</t>
        </is>
      </c>
      <c r="G6219" s="3" t="inlineStr">
        <is>
          <t>도계리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장군면</t>
        </is>
      </c>
    </row>
    <row r="6220">
      <c r="A6220" s="3" t="n">
        <v>2026</v>
      </c>
      <c r="B6220" s="4" t="n">
        <v>10000</v>
      </c>
      <c r="C6220" s="4" t="n">
        <v>9917</v>
      </c>
      <c r="D6220" s="4" t="n">
        <v>2999.8925</v>
      </c>
      <c r="E6220" s="5" t="n">
        <v>3.3</v>
      </c>
      <c r="F6220" s="3" t="inlineStr">
        <is>
          <t>소정면</t>
        </is>
      </c>
      <c r="G6220" s="3" t="inlineStr">
        <is>
          <t>대곡리</t>
        </is>
      </c>
      <c r="H6220" s="3" t="inlineStr">
        <is>
          <t>농림지역</t>
        </is>
      </c>
      <c r="I6220" s="3" t="inlineStr">
        <is>
          <t>임야</t>
        </is>
      </c>
      <c r="J6220" s="3" t="inlineStr">
        <is>
          <t>소정면</t>
        </is>
      </c>
    </row>
    <row r="6221">
      <c r="A6221" s="3" t="n">
        <v>2026</v>
      </c>
      <c r="B6221" s="4" t="n">
        <v>65000</v>
      </c>
      <c r="C6221" s="4" t="n">
        <v>10847</v>
      </c>
      <c r="D6221" s="4" t="n">
        <v>3281.2175</v>
      </c>
      <c r="E6221" s="5" t="n">
        <v>19.8</v>
      </c>
      <c r="F6221" s="3" t="inlineStr">
        <is>
          <t>장군면</t>
        </is>
      </c>
      <c r="G6221" s="3" t="inlineStr">
        <is>
          <t>송정리</t>
        </is>
      </c>
      <c r="H6221" s="3" t="inlineStr">
        <is>
          <t>보전관리지역</t>
        </is>
      </c>
      <c r="I6221" s="3" t="inlineStr">
        <is>
          <t>임야</t>
        </is>
      </c>
      <c r="J6221" s="3" t="inlineStr">
        <is>
          <t>장군면</t>
        </is>
      </c>
    </row>
    <row r="6222">
      <c r="A6222" s="3" t="n">
        <v>2026</v>
      </c>
      <c r="B6222" s="4" t="n">
        <v>4311</v>
      </c>
      <c r="C6222" s="4" t="n">
        <v>233</v>
      </c>
      <c r="D6222" s="4" t="n">
        <v>70.4825</v>
      </c>
      <c r="E6222" s="5" t="n">
        <v>61.2</v>
      </c>
      <c r="F6222" s="3" t="inlineStr">
        <is>
          <t>부강면</t>
        </is>
      </c>
      <c r="G6222" s="3" t="inlineStr">
        <is>
          <t>문곡리</t>
        </is>
      </c>
      <c r="H6222" s="3" t="inlineStr">
        <is>
          <t>계획관리지역</t>
        </is>
      </c>
      <c r="I6222" s="3" t="inlineStr">
        <is>
          <t>전</t>
        </is>
      </c>
      <c r="J6222" s="3" t="inlineStr">
        <is>
          <t>부강면</t>
        </is>
      </c>
    </row>
    <row r="6223">
      <c r="A6223" s="3" t="n">
        <v>2026</v>
      </c>
      <c r="B6223" s="4" t="n">
        <v>6469</v>
      </c>
      <c r="C6223" s="4" t="n">
        <v>652</v>
      </c>
      <c r="D6223" s="4" t="n">
        <v>197.23</v>
      </c>
      <c r="E6223" s="5" t="n">
        <v>32.8</v>
      </c>
      <c r="F6223" s="3" t="inlineStr">
        <is>
          <t>부강면</t>
        </is>
      </c>
      <c r="G6223" s="3" t="inlineStr">
        <is>
          <t>문곡리</t>
        </is>
      </c>
      <c r="H6223" s="3" t="inlineStr">
        <is>
          <t>계획관리지역</t>
        </is>
      </c>
      <c r="I6223" s="3" t="inlineStr">
        <is>
          <t>전</t>
        </is>
      </c>
      <c r="J6223" s="3" t="inlineStr">
        <is>
          <t>부강면</t>
        </is>
      </c>
    </row>
    <row r="6224">
      <c r="A6224" s="3" t="n">
        <v>2026</v>
      </c>
      <c r="B6224" s="4" t="n">
        <v>220</v>
      </c>
      <c r="C6224" s="4" t="n">
        <v>22</v>
      </c>
      <c r="D6224" s="4" t="n">
        <v>6.654999999999999</v>
      </c>
      <c r="E6224" s="5" t="n">
        <v>33.1</v>
      </c>
      <c r="F6224" s="3" t="inlineStr">
        <is>
          <t>부강면</t>
        </is>
      </c>
      <c r="G6224" s="3" t="inlineStr">
        <is>
          <t>문곡리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부강면</t>
        </is>
      </c>
    </row>
    <row r="6225">
      <c r="A6225" s="3" t="n">
        <v>2026</v>
      </c>
      <c r="B6225" s="4" t="n">
        <v>28000</v>
      </c>
      <c r="C6225" s="4" t="n">
        <v>1775</v>
      </c>
      <c r="D6225" s="4" t="n">
        <v>536.9375</v>
      </c>
      <c r="E6225" s="5" t="n">
        <v>52.1</v>
      </c>
      <c r="F6225" s="3" t="inlineStr">
        <is>
          <t>금남면</t>
        </is>
      </c>
      <c r="G6225" s="3" t="inlineStr">
        <is>
          <t>장재리</t>
        </is>
      </c>
      <c r="H6225" s="3" t="inlineStr">
        <is>
          <t>개발제한구역</t>
        </is>
      </c>
      <c r="I6225" s="3" t="inlineStr">
        <is>
          <t>답</t>
        </is>
      </c>
      <c r="J6225" s="3" t="inlineStr">
        <is>
          <t>금남면</t>
        </is>
      </c>
    </row>
    <row r="6226">
      <c r="A6226" s="3" t="n">
        <v>2024</v>
      </c>
      <c r="B6226" s="4" t="n">
        <v>13000</v>
      </c>
      <c r="C6226" s="4" t="n">
        <v>2126</v>
      </c>
      <c r="D6226" s="4" t="n">
        <v>643.115</v>
      </c>
      <c r="E6226" s="5" t="n">
        <v>20.2</v>
      </c>
      <c r="F6226" s="3" t="inlineStr">
        <is>
          <t>전의면</t>
        </is>
      </c>
      <c r="G6226" s="3" t="inlineStr">
        <is>
          <t>달전리</t>
        </is>
      </c>
      <c r="H6226" s="3" t="inlineStr">
        <is>
          <t>계획관리지역</t>
        </is>
      </c>
      <c r="I6226" s="3" t="inlineStr">
        <is>
          <t>답</t>
        </is>
      </c>
      <c r="J6226" s="3" t="inlineStr">
        <is>
          <t>전의면</t>
        </is>
      </c>
    </row>
    <row r="6227">
      <c r="A6227" s="3" t="n">
        <v>2024</v>
      </c>
      <c r="B6227" s="4" t="n">
        <v>1716</v>
      </c>
      <c r="C6227" s="4" t="n">
        <v>165</v>
      </c>
      <c r="D6227" s="4" t="n">
        <v>49.9125</v>
      </c>
      <c r="E6227" s="5" t="n">
        <v>34.4</v>
      </c>
      <c r="F6227" s="3" t="inlineStr">
        <is>
          <t>장군면</t>
        </is>
      </c>
      <c r="G6227" s="3" t="inlineStr">
        <is>
          <t>평기리</t>
        </is>
      </c>
      <c r="H6227" s="3" t="inlineStr">
        <is>
          <t>보전관리지역</t>
        </is>
      </c>
      <c r="I6227" s="3" t="inlineStr">
        <is>
          <t>임야</t>
        </is>
      </c>
      <c r="J6227" s="3" t="inlineStr">
        <is>
          <t>장군면</t>
        </is>
      </c>
    </row>
    <row r="6228">
      <c r="A6228" s="3" t="n">
        <v>2024</v>
      </c>
      <c r="B6228" s="4" t="n">
        <v>8220</v>
      </c>
      <c r="C6228" s="4" t="n">
        <v>304</v>
      </c>
      <c r="D6228" s="4" t="n">
        <v>91.95999999999999</v>
      </c>
      <c r="E6228" s="5" t="n">
        <v>89.40000000000001</v>
      </c>
      <c r="F6228" s="3" t="inlineStr">
        <is>
          <t>금남면</t>
        </is>
      </c>
      <c r="G6228" s="3" t="inlineStr">
        <is>
          <t>영곡리</t>
        </is>
      </c>
      <c r="H6228" s="3" t="inlineStr">
        <is>
          <t>보전관리지역</t>
        </is>
      </c>
      <c r="I6228" s="3" t="inlineStr">
        <is>
          <t>과수원</t>
        </is>
      </c>
      <c r="J6228" s="3" t="inlineStr">
        <is>
          <t>금남면</t>
        </is>
      </c>
    </row>
    <row r="6229">
      <c r="A6229" s="3" t="n">
        <v>2024</v>
      </c>
      <c r="B6229" s="4" t="n">
        <v>13111</v>
      </c>
      <c r="C6229" s="4" t="n">
        <v>376</v>
      </c>
      <c r="D6229" s="4" t="n">
        <v>113.74</v>
      </c>
      <c r="E6229" s="5" t="n">
        <v>115.3</v>
      </c>
      <c r="F6229" s="3" t="inlineStr">
        <is>
          <t>금남면</t>
        </is>
      </c>
      <c r="G6229" s="3" t="inlineStr">
        <is>
          <t>성덕리</t>
        </is>
      </c>
      <c r="H6229" s="3" t="inlineStr">
        <is>
          <t>생산관리지역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2024</v>
      </c>
      <c r="B6230" s="4" t="n">
        <v>9720</v>
      </c>
      <c r="C6230" s="4" t="n">
        <v>764</v>
      </c>
      <c r="D6230" s="4" t="n">
        <v>231.11</v>
      </c>
      <c r="E6230" s="5" t="n">
        <v>42.1</v>
      </c>
      <c r="F6230" s="3" t="inlineStr">
        <is>
          <t>금남면</t>
        </is>
      </c>
      <c r="G6230" s="3" t="inlineStr">
        <is>
          <t>성덕리</t>
        </is>
      </c>
      <c r="H6230" s="3" t="inlineStr">
        <is>
          <t>보전관리지역</t>
        </is>
      </c>
      <c r="I6230" s="3" t="inlineStr">
        <is>
          <t>전</t>
        </is>
      </c>
      <c r="J6230" s="3" t="inlineStr">
        <is>
          <t>금남면</t>
        </is>
      </c>
    </row>
    <row r="6231">
      <c r="A6231" s="3" t="n">
        <v>2024</v>
      </c>
      <c r="B6231" s="4" t="n">
        <v>12183</v>
      </c>
      <c r="C6231" s="4" t="n">
        <v>1299</v>
      </c>
      <c r="D6231" s="4" t="n">
        <v>392.9475</v>
      </c>
      <c r="E6231" s="5" t="n">
        <v>31</v>
      </c>
      <c r="F6231" s="3" t="inlineStr">
        <is>
          <t>소정면</t>
        </is>
      </c>
      <c r="G6231" s="3" t="inlineStr">
        <is>
          <t>운당리</t>
        </is>
      </c>
      <c r="H6231" s="3" t="inlineStr">
        <is>
          <t>농림지역</t>
        </is>
      </c>
      <c r="I6231" s="3" t="inlineStr">
        <is>
          <t>답</t>
        </is>
      </c>
      <c r="J6231" s="3" t="inlineStr">
        <is>
          <t>소정면</t>
        </is>
      </c>
    </row>
    <row r="6232">
      <c r="A6232" s="3" t="n">
        <v>2024</v>
      </c>
      <c r="B6232" s="4" t="n">
        <v>16620</v>
      </c>
      <c r="C6232" s="4" t="n">
        <v>172</v>
      </c>
      <c r="D6232" s="4" t="n">
        <v>52.03</v>
      </c>
      <c r="E6232" s="5" t="n">
        <v>319.4</v>
      </c>
      <c r="F6232" s="3" t="inlineStr">
        <is>
          <t>조치원읍</t>
        </is>
      </c>
      <c r="G6232" s="3" t="inlineStr">
        <is>
          <t>명리</t>
        </is>
      </c>
      <c r="H6232" s="3" t="inlineStr">
        <is>
          <t>제2종일반주거지역</t>
        </is>
      </c>
      <c r="I6232" s="3" t="inlineStr">
        <is>
          <t>대</t>
        </is>
      </c>
      <c r="J6232" s="3" t="inlineStr">
        <is>
          <t>조치원읍</t>
        </is>
      </c>
    </row>
    <row r="6233">
      <c r="A6233" s="3" t="n">
        <v>2024</v>
      </c>
      <c r="B6233" s="4" t="n">
        <v>930</v>
      </c>
      <c r="C6233" s="4" t="n">
        <v>200</v>
      </c>
      <c r="D6233" s="4" t="n">
        <v>60.5</v>
      </c>
      <c r="E6233" s="5" t="n">
        <v>15.4</v>
      </c>
      <c r="F6233" s="3" t="inlineStr">
        <is>
          <t>전의면</t>
        </is>
      </c>
      <c r="G6233" s="3" t="inlineStr">
        <is>
          <t>양곡리</t>
        </is>
      </c>
      <c r="H6233" s="3" t="inlineStr">
        <is>
          <t>생산관리지역</t>
        </is>
      </c>
      <c r="I6233" s="3" t="inlineStr">
        <is>
          <t>전</t>
        </is>
      </c>
      <c r="J6233" s="3" t="inlineStr">
        <is>
          <t>전의면</t>
        </is>
      </c>
    </row>
    <row r="6234">
      <c r="A6234" s="3" t="n">
        <v>2024</v>
      </c>
      <c r="B6234" s="4" t="n">
        <v>41439</v>
      </c>
      <c r="C6234" s="4" t="n">
        <v>463</v>
      </c>
      <c r="D6234" s="4" t="n">
        <v>140.0575</v>
      </c>
      <c r="E6234" s="5" t="n">
        <v>295.9</v>
      </c>
      <c r="F6234" s="3" t="inlineStr">
        <is>
          <t>장군면</t>
        </is>
      </c>
      <c r="G6234" s="3" t="inlineStr">
        <is>
          <t>산학리</t>
        </is>
      </c>
      <c r="H6234" s="3" t="inlineStr">
        <is>
          <t>보전관리지역</t>
        </is>
      </c>
      <c r="I6234" s="3" t="inlineStr">
        <is>
          <t>대</t>
        </is>
      </c>
      <c r="J6234" s="3" t="inlineStr">
        <is>
          <t>장군면</t>
        </is>
      </c>
    </row>
    <row r="6235">
      <c r="A6235" s="3" t="n">
        <v>2024</v>
      </c>
      <c r="B6235" s="4" t="n">
        <v>1500</v>
      </c>
      <c r="C6235" s="4" t="n">
        <v>65</v>
      </c>
      <c r="D6235" s="4" t="n">
        <v>19.6625</v>
      </c>
      <c r="E6235" s="5" t="n">
        <v>76.3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보전관리지역</t>
        </is>
      </c>
      <c r="I6235" s="3" t="inlineStr">
        <is>
          <t>전</t>
        </is>
      </c>
      <c r="J6235" s="3" t="inlineStr">
        <is>
          <t>연서면</t>
        </is>
      </c>
    </row>
    <row r="6236">
      <c r="A6236" s="3" t="n">
        <v>2024</v>
      </c>
      <c r="B6236" s="4" t="n">
        <v>51300</v>
      </c>
      <c r="C6236" s="4" t="n">
        <v>345.6</v>
      </c>
      <c r="D6236" s="4" t="n">
        <v>104.544</v>
      </c>
      <c r="E6236" s="5" t="n">
        <v>490.7</v>
      </c>
      <c r="F6236" s="3" t="inlineStr">
        <is>
          <t>고운동</t>
        </is>
      </c>
      <c r="G6236" s="3" t="inlineStr"/>
      <c r="H6236" s="3" t="inlineStr">
        <is>
          <t>제1종전용주거지역</t>
        </is>
      </c>
      <c r="I6236" s="3" t="inlineStr">
        <is>
          <t>대</t>
        </is>
      </c>
      <c r="J6236" s="3" t="inlineStr">
        <is>
          <t>고운동</t>
        </is>
      </c>
    </row>
    <row r="6237">
      <c r="A6237" s="3" t="n">
        <v>2024</v>
      </c>
      <c r="B6237" s="4" t="n">
        <v>10500</v>
      </c>
      <c r="C6237" s="4" t="n">
        <v>300</v>
      </c>
      <c r="D6237" s="4" t="n">
        <v>90.75</v>
      </c>
      <c r="E6237" s="5" t="n">
        <v>115.7</v>
      </c>
      <c r="F6237" s="3" t="inlineStr">
        <is>
          <t>금남면</t>
        </is>
      </c>
      <c r="G6237" s="3" t="inlineStr">
        <is>
          <t>국곡리</t>
        </is>
      </c>
      <c r="H6237" s="3" t="inlineStr">
        <is>
          <t>계획관리지역</t>
        </is>
      </c>
      <c r="I6237" s="3" t="inlineStr">
        <is>
          <t>대</t>
        </is>
      </c>
      <c r="J6237" s="3" t="inlineStr">
        <is>
          <t>금남면</t>
        </is>
      </c>
    </row>
    <row r="6238">
      <c r="A6238" s="3" t="n">
        <v>2024</v>
      </c>
      <c r="B6238" s="4" t="n">
        <v>6000</v>
      </c>
      <c r="C6238" s="4" t="n">
        <v>201</v>
      </c>
      <c r="D6238" s="4" t="n">
        <v>60.80249999999999</v>
      </c>
      <c r="E6238" s="5" t="n">
        <v>98.7</v>
      </c>
      <c r="F6238" s="3" t="inlineStr">
        <is>
          <t>금남면</t>
        </is>
      </c>
      <c r="G6238" s="3" t="inlineStr">
        <is>
          <t>국곡리</t>
        </is>
      </c>
      <c r="H6238" s="3" t="inlineStr">
        <is>
          <t>농림지역</t>
        </is>
      </c>
      <c r="I6238" s="3" t="inlineStr">
        <is>
          <t>답</t>
        </is>
      </c>
      <c r="J6238" s="3" t="inlineStr">
        <is>
          <t>금남면</t>
        </is>
      </c>
    </row>
    <row r="6239">
      <c r="A6239" s="3" t="n">
        <v>2025</v>
      </c>
      <c r="B6239" s="4" t="n">
        <v>10000</v>
      </c>
      <c r="C6239" s="4" t="n">
        <v>179</v>
      </c>
      <c r="D6239" s="4" t="n">
        <v>54.1475</v>
      </c>
      <c r="E6239" s="5" t="n">
        <v>184.7</v>
      </c>
      <c r="F6239" s="3" t="inlineStr">
        <is>
          <t>연서면</t>
        </is>
      </c>
      <c r="G6239" s="3" t="inlineStr">
        <is>
          <t>쌍전리</t>
        </is>
      </c>
      <c r="H6239" s="3" t="inlineStr">
        <is>
          <t>자연녹지지역</t>
        </is>
      </c>
      <c r="I6239" s="3" t="inlineStr">
        <is>
          <t>과수원</t>
        </is>
      </c>
      <c r="J6239" s="3" t="inlineStr">
        <is>
          <t>연서면</t>
        </is>
      </c>
    </row>
    <row r="6240">
      <c r="A6240" s="3" t="n">
        <v>2025</v>
      </c>
      <c r="B6240" s="4" t="n">
        <v>26500</v>
      </c>
      <c r="C6240" s="4" t="n">
        <v>1433</v>
      </c>
      <c r="D6240" s="4" t="n">
        <v>433.4825</v>
      </c>
      <c r="E6240" s="5" t="n">
        <v>61.1</v>
      </c>
      <c r="F6240" s="3" t="inlineStr">
        <is>
          <t>전의면</t>
        </is>
      </c>
      <c r="G6240" s="3" t="inlineStr">
        <is>
          <t>원성리</t>
        </is>
      </c>
      <c r="H6240" s="3" t="inlineStr">
        <is>
          <t>계획관리지역</t>
        </is>
      </c>
      <c r="I6240" s="3" t="inlineStr">
        <is>
          <t>전</t>
        </is>
      </c>
      <c r="J6240" s="3" t="inlineStr">
        <is>
          <t>전의면</t>
        </is>
      </c>
    </row>
    <row r="6241">
      <c r="A6241" s="3" t="n">
        <v>2025</v>
      </c>
      <c r="B6241" s="4" t="n">
        <v>41200</v>
      </c>
      <c r="C6241" s="4" t="n">
        <v>672</v>
      </c>
      <c r="D6241" s="4" t="n">
        <v>203.28</v>
      </c>
      <c r="E6241" s="5" t="n">
        <v>202.7</v>
      </c>
      <c r="F6241" s="3" t="inlineStr">
        <is>
          <t>조치원읍</t>
        </is>
      </c>
      <c r="G6241" s="3" t="inlineStr">
        <is>
          <t>죽림리</t>
        </is>
      </c>
      <c r="H6241" s="3" t="inlineStr">
        <is>
          <t>제2종일반주거지역</t>
        </is>
      </c>
      <c r="I6241" s="3" t="inlineStr">
        <is>
          <t>과수원</t>
        </is>
      </c>
      <c r="J6241" s="3" t="inlineStr">
        <is>
          <t>조치원읍</t>
        </is>
      </c>
    </row>
    <row r="6242">
      <c r="A6242" s="3" t="n">
        <v>2025</v>
      </c>
      <c r="B6242" s="4" t="n">
        <v>3800</v>
      </c>
      <c r="C6242" s="4" t="n">
        <v>62</v>
      </c>
      <c r="D6242" s="4" t="n">
        <v>18.755</v>
      </c>
      <c r="E6242" s="5" t="n">
        <v>202.6</v>
      </c>
      <c r="F6242" s="3" t="inlineStr">
        <is>
          <t>조치원읍</t>
        </is>
      </c>
      <c r="G6242" s="3" t="inlineStr">
        <is>
          <t>죽림리</t>
        </is>
      </c>
      <c r="H6242" s="3" t="inlineStr">
        <is>
          <t>제2종일반주거지역</t>
        </is>
      </c>
      <c r="I6242" s="3" t="inlineStr">
        <is>
          <t>과수원</t>
        </is>
      </c>
      <c r="J6242" s="3" t="inlineStr">
        <is>
          <t>조치원읍</t>
        </is>
      </c>
    </row>
    <row r="6243">
      <c r="A6243" s="3" t="n">
        <v>2025</v>
      </c>
      <c r="B6243" s="4" t="n">
        <v>10500</v>
      </c>
      <c r="C6243" s="4" t="n">
        <v>496</v>
      </c>
      <c r="D6243" s="4" t="n">
        <v>150.04</v>
      </c>
      <c r="E6243" s="5" t="n">
        <v>70</v>
      </c>
      <c r="F6243" s="3" t="inlineStr">
        <is>
          <t>장군면</t>
        </is>
      </c>
      <c r="G6243" s="3" t="inlineStr">
        <is>
          <t>송정리</t>
        </is>
      </c>
      <c r="H6243" s="3" t="inlineStr">
        <is>
          <t>보전관리지역</t>
        </is>
      </c>
      <c r="I6243" s="3" t="inlineStr">
        <is>
          <t>전</t>
        </is>
      </c>
      <c r="J6243" s="3" t="inlineStr">
        <is>
          <t>장군면</t>
        </is>
      </c>
    </row>
    <row r="6244">
      <c r="A6244" s="3" t="n">
        <v>2025</v>
      </c>
      <c r="B6244" s="4" t="n">
        <v>29019</v>
      </c>
      <c r="C6244" s="4" t="n">
        <v>851</v>
      </c>
      <c r="D6244" s="4" t="n">
        <v>257.4275</v>
      </c>
      <c r="E6244" s="5" t="n">
        <v>112.7</v>
      </c>
      <c r="F6244" s="3" t="inlineStr">
        <is>
          <t>연서면</t>
        </is>
      </c>
      <c r="G6244" s="3" t="inlineStr">
        <is>
          <t>고복리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연서면</t>
        </is>
      </c>
    </row>
    <row r="6245">
      <c r="A6245" s="3" t="n">
        <v>2025</v>
      </c>
      <c r="B6245" s="4" t="n">
        <v>18453</v>
      </c>
      <c r="C6245" s="4" t="n">
        <v>514</v>
      </c>
      <c r="D6245" s="4" t="n">
        <v>155.485</v>
      </c>
      <c r="E6245" s="5" t="n">
        <v>118.7</v>
      </c>
      <c r="F6245" s="3" t="inlineStr">
        <is>
          <t>연서면</t>
        </is>
      </c>
      <c r="G6245" s="3" t="inlineStr">
        <is>
          <t>고복리</t>
        </is>
      </c>
      <c r="H6245" s="3" t="inlineStr">
        <is>
          <t>자연녹지지역</t>
        </is>
      </c>
      <c r="I6245" s="3" t="inlineStr">
        <is>
          <t>답</t>
        </is>
      </c>
      <c r="J6245" s="3" t="inlineStr">
        <is>
          <t>연서면</t>
        </is>
      </c>
    </row>
    <row r="6246">
      <c r="A6246" s="3" t="n">
        <v>2025</v>
      </c>
      <c r="B6246" s="4" t="n">
        <v>2760</v>
      </c>
      <c r="C6246" s="4" t="n">
        <v>668</v>
      </c>
      <c r="D6246" s="4" t="n">
        <v>202.07</v>
      </c>
      <c r="E6246" s="5" t="n">
        <v>13.7</v>
      </c>
      <c r="F6246" s="3" t="inlineStr">
        <is>
          <t>전동면</t>
        </is>
      </c>
      <c r="G6246" s="3" t="inlineStr">
        <is>
          <t>송성리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전동면</t>
        </is>
      </c>
    </row>
    <row r="6247">
      <c r="A6247" s="3" t="n">
        <v>2025</v>
      </c>
      <c r="B6247" s="4" t="n">
        <v>240</v>
      </c>
      <c r="C6247" s="4" t="n">
        <v>56</v>
      </c>
      <c r="D6247" s="4" t="n">
        <v>16.94</v>
      </c>
      <c r="E6247" s="5" t="n">
        <v>14.2</v>
      </c>
      <c r="F6247" s="3" t="inlineStr">
        <is>
          <t>전동면</t>
        </is>
      </c>
      <c r="G6247" s="3" t="inlineStr">
        <is>
          <t>송성리</t>
        </is>
      </c>
      <c r="H6247" s="3" t="inlineStr">
        <is>
          <t>계획관리지역</t>
        </is>
      </c>
      <c r="I6247" s="3" t="inlineStr">
        <is>
          <t>전</t>
        </is>
      </c>
      <c r="J6247" s="3" t="inlineStr">
        <is>
          <t>전동면</t>
        </is>
      </c>
    </row>
    <row r="6248">
      <c r="A6248" s="3" t="n">
        <v>2025</v>
      </c>
      <c r="B6248" s="4" t="n">
        <v>6650</v>
      </c>
      <c r="C6248" s="4" t="n">
        <v>238</v>
      </c>
      <c r="D6248" s="4" t="n">
        <v>71.995</v>
      </c>
      <c r="E6248" s="5" t="n">
        <v>92.40000000000001</v>
      </c>
      <c r="F6248" s="3" t="inlineStr">
        <is>
          <t>전동면</t>
        </is>
      </c>
      <c r="G6248" s="3" t="inlineStr">
        <is>
          <t>송성리</t>
        </is>
      </c>
      <c r="H6248" s="3" t="inlineStr">
        <is>
          <t>계획관리지역</t>
        </is>
      </c>
      <c r="I6248" s="3" t="inlineStr">
        <is>
          <t>도로</t>
        </is>
      </c>
      <c r="J6248" s="3" t="inlineStr">
        <is>
          <t>전동면</t>
        </is>
      </c>
    </row>
    <row r="6249">
      <c r="A6249" s="3" t="n">
        <v>2025</v>
      </c>
      <c r="B6249" s="4" t="n">
        <v>5500</v>
      </c>
      <c r="C6249" s="4" t="n">
        <v>6074</v>
      </c>
      <c r="D6249" s="4" t="n">
        <v>1837.385</v>
      </c>
      <c r="E6249" s="5" t="n">
        <v>3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농림지역</t>
        </is>
      </c>
      <c r="I6249" s="3" t="inlineStr">
        <is>
          <t>임야</t>
        </is>
      </c>
      <c r="J6249" s="3" t="inlineStr">
        <is>
          <t>소정면</t>
        </is>
      </c>
    </row>
    <row r="6250">
      <c r="A6250" s="3" t="n">
        <v>2025</v>
      </c>
      <c r="B6250" s="4" t="n">
        <v>113500</v>
      </c>
      <c r="C6250" s="4" t="n">
        <v>1501</v>
      </c>
      <c r="D6250" s="4" t="n">
        <v>454.0525</v>
      </c>
      <c r="E6250" s="5" t="n">
        <v>250</v>
      </c>
      <c r="F6250" s="3" t="inlineStr">
        <is>
          <t>장군면</t>
        </is>
      </c>
      <c r="G6250" s="3" t="inlineStr">
        <is>
          <t>은용리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장군면</t>
        </is>
      </c>
    </row>
    <row r="6251">
      <c r="A6251" s="3" t="n">
        <v>2025</v>
      </c>
      <c r="B6251" s="4" t="n">
        <v>79000</v>
      </c>
      <c r="C6251" s="4" t="n">
        <v>1980</v>
      </c>
      <c r="D6251" s="4" t="n">
        <v>598.9499999999999</v>
      </c>
      <c r="E6251" s="5" t="n">
        <v>131.9</v>
      </c>
      <c r="F6251" s="3" t="inlineStr">
        <is>
          <t>연기면</t>
        </is>
      </c>
      <c r="G6251" s="3" t="inlineStr">
        <is>
          <t>눌왕리</t>
        </is>
      </c>
      <c r="H6251" s="3" t="inlineStr">
        <is>
          <t>농림지역</t>
        </is>
      </c>
      <c r="I6251" s="3" t="inlineStr">
        <is>
          <t>답</t>
        </is>
      </c>
      <c r="J6251" s="3" t="inlineStr">
        <is>
          <t>연기면</t>
        </is>
      </c>
    </row>
    <row r="6252">
      <c r="A6252" s="3" t="n">
        <v>2025</v>
      </c>
      <c r="B6252" s="4" t="n">
        <v>21000</v>
      </c>
      <c r="C6252" s="4" t="n">
        <v>1177</v>
      </c>
      <c r="D6252" s="4" t="n">
        <v>356.0425</v>
      </c>
      <c r="E6252" s="5" t="n">
        <v>59</v>
      </c>
      <c r="F6252" s="3" t="inlineStr">
        <is>
          <t>부강면</t>
        </is>
      </c>
      <c r="G6252" s="3" t="inlineStr">
        <is>
          <t>행산리</t>
        </is>
      </c>
      <c r="H6252" s="3" t="inlineStr">
        <is>
          <t>계획관리지역</t>
        </is>
      </c>
      <c r="I6252" s="3" t="inlineStr">
        <is>
          <t>답</t>
        </is>
      </c>
      <c r="J6252" s="3" t="inlineStr">
        <is>
          <t>부강면</t>
        </is>
      </c>
    </row>
    <row r="6253">
      <c r="A6253" s="3" t="n">
        <v>2025</v>
      </c>
      <c r="B6253" s="4" t="n">
        <v>23000</v>
      </c>
      <c r="C6253" s="4" t="n">
        <v>1279</v>
      </c>
      <c r="D6253" s="4" t="n">
        <v>386.8975</v>
      </c>
      <c r="E6253" s="5" t="n">
        <v>59.4</v>
      </c>
      <c r="F6253" s="3" t="inlineStr">
        <is>
          <t>부강면</t>
        </is>
      </c>
      <c r="G6253" s="3" t="inlineStr">
        <is>
          <t>행산리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부강면</t>
        </is>
      </c>
    </row>
    <row r="6254">
      <c r="A6254" s="3" t="n">
        <v>2025</v>
      </c>
      <c r="B6254" s="4" t="n">
        <v>22000</v>
      </c>
      <c r="C6254" s="4" t="n">
        <v>1229</v>
      </c>
      <c r="D6254" s="4" t="n">
        <v>371.7725</v>
      </c>
      <c r="E6254" s="5" t="n">
        <v>59.2</v>
      </c>
      <c r="F6254" s="3" t="inlineStr">
        <is>
          <t>부강면</t>
        </is>
      </c>
      <c r="G6254" s="3" t="inlineStr">
        <is>
          <t>행산리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부강면</t>
        </is>
      </c>
    </row>
    <row r="6255">
      <c r="A6255" s="3" t="n">
        <v>2025</v>
      </c>
      <c r="B6255" s="4" t="n">
        <v>35400</v>
      </c>
      <c r="C6255" s="4" t="n">
        <v>288.7</v>
      </c>
      <c r="D6255" s="4" t="n">
        <v>87.33175</v>
      </c>
      <c r="E6255" s="5" t="n">
        <v>405.4</v>
      </c>
      <c r="F6255" s="3" t="inlineStr">
        <is>
          <t>다정동</t>
        </is>
      </c>
      <c r="G6255" s="3" t="inlineStr"/>
      <c r="H6255" s="3" t="inlineStr">
        <is>
          <t>제1종전용주거지역</t>
        </is>
      </c>
      <c r="I6255" s="3" t="inlineStr">
        <is>
          <t>대</t>
        </is>
      </c>
      <c r="J6255" s="3" t="inlineStr">
        <is>
          <t>다정동</t>
        </is>
      </c>
    </row>
    <row r="6256">
      <c r="A6256" s="3" t="n">
        <v>2025</v>
      </c>
      <c r="B6256" s="4" t="n">
        <v>29117</v>
      </c>
      <c r="C6256" s="4" t="n">
        <v>1957</v>
      </c>
      <c r="D6256" s="4" t="n">
        <v>591.9924999999999</v>
      </c>
      <c r="E6256" s="5" t="n">
        <v>49.2</v>
      </c>
      <c r="F6256" s="3" t="inlineStr">
        <is>
          <t>부강면</t>
        </is>
      </c>
      <c r="G6256" s="3" t="inlineStr">
        <is>
          <t>노호리</t>
        </is>
      </c>
      <c r="H6256" s="3" t="inlineStr">
        <is>
          <t>보전관리지역</t>
        </is>
      </c>
      <c r="I6256" s="3" t="inlineStr">
        <is>
          <t>임야</t>
        </is>
      </c>
      <c r="J6256" s="3" t="inlineStr">
        <is>
          <t>부강면</t>
        </is>
      </c>
    </row>
    <row r="6257">
      <c r="A6257" s="3" t="n">
        <v>2025</v>
      </c>
      <c r="B6257" s="4" t="n">
        <v>35000</v>
      </c>
      <c r="C6257" s="4" t="n">
        <v>182</v>
      </c>
      <c r="D6257" s="4" t="n">
        <v>55.055</v>
      </c>
      <c r="E6257" s="5" t="n">
        <v>635.7</v>
      </c>
      <c r="F6257" s="3" t="inlineStr">
        <is>
          <t>반곡동</t>
        </is>
      </c>
      <c r="G6257" s="3" t="inlineStr"/>
      <c r="H6257" s="3" t="inlineStr">
        <is>
          <t>제1종전용주거지역</t>
        </is>
      </c>
      <c r="I6257" s="3" t="inlineStr">
        <is>
          <t>대</t>
        </is>
      </c>
      <c r="J6257" s="3" t="inlineStr">
        <is>
          <t>반곡동</t>
        </is>
      </c>
    </row>
    <row r="6258">
      <c r="A6258" s="3" t="n">
        <v>2025</v>
      </c>
      <c r="B6258" s="4" t="n">
        <v>51000</v>
      </c>
      <c r="C6258" s="4" t="n">
        <v>306.7</v>
      </c>
      <c r="D6258" s="4" t="n">
        <v>92.77674999999999</v>
      </c>
      <c r="E6258" s="5" t="n">
        <v>549.7</v>
      </c>
      <c r="F6258" s="3" t="inlineStr">
        <is>
          <t>다정동</t>
        </is>
      </c>
      <c r="G6258" s="3" t="inlineStr"/>
      <c r="H6258" s="3" t="inlineStr">
        <is>
          <t>제1종전용주거지역</t>
        </is>
      </c>
      <c r="I6258" s="3" t="inlineStr">
        <is>
          <t>대</t>
        </is>
      </c>
      <c r="J6258" s="3" t="inlineStr">
        <is>
          <t>다정동</t>
        </is>
      </c>
    </row>
    <row r="6259">
      <c r="A6259" s="3" t="n">
        <v>2025</v>
      </c>
      <c r="B6259" s="4" t="n">
        <v>35860</v>
      </c>
      <c r="C6259" s="4" t="n">
        <v>2155</v>
      </c>
      <c r="D6259" s="4" t="n">
        <v>651.8874999999999</v>
      </c>
      <c r="E6259" s="5" t="n">
        <v>55</v>
      </c>
      <c r="F6259" s="3" t="inlineStr">
        <is>
          <t>전동면</t>
        </is>
      </c>
      <c r="G6259" s="3" t="inlineStr">
        <is>
          <t>송곡리</t>
        </is>
      </c>
      <c r="H6259" s="3" t="inlineStr">
        <is>
          <t>농림지역</t>
        </is>
      </c>
      <c r="I6259" s="3" t="inlineStr">
        <is>
          <t>답</t>
        </is>
      </c>
      <c r="J6259" s="3" t="inlineStr">
        <is>
          <t>전동면</t>
        </is>
      </c>
    </row>
    <row r="6260">
      <c r="A6260" s="3" t="n">
        <v>2025</v>
      </c>
      <c r="B6260" s="4" t="n">
        <v>600</v>
      </c>
      <c r="C6260" s="4" t="n">
        <v>240</v>
      </c>
      <c r="D6260" s="4" t="n">
        <v>72.59999999999999</v>
      </c>
      <c r="E6260" s="5" t="n">
        <v>8.300000000000001</v>
      </c>
      <c r="F6260" s="3" t="inlineStr">
        <is>
          <t>전동면</t>
        </is>
      </c>
      <c r="G6260" s="3" t="inlineStr">
        <is>
          <t>심중리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전동면</t>
        </is>
      </c>
    </row>
    <row r="6261">
      <c r="A6261" s="3" t="n">
        <v>2025</v>
      </c>
      <c r="B6261" s="4" t="n">
        <v>52000</v>
      </c>
      <c r="C6261" s="4" t="n">
        <v>301.8</v>
      </c>
      <c r="D6261" s="4" t="n">
        <v>91.2945</v>
      </c>
      <c r="E6261" s="5" t="n">
        <v>569.6</v>
      </c>
      <c r="F6261" s="3" t="inlineStr">
        <is>
          <t>한솔동</t>
        </is>
      </c>
      <c r="G6261" s="3" t="inlineStr"/>
      <c r="H6261" s="3" t="inlineStr">
        <is>
          <t>제1종전용주거지역</t>
        </is>
      </c>
      <c r="I6261" s="3" t="inlineStr">
        <is>
          <t>대</t>
        </is>
      </c>
      <c r="J6261" s="3" t="inlineStr">
        <is>
          <t>한솔동</t>
        </is>
      </c>
    </row>
    <row r="6262">
      <c r="A6262" s="3" t="n">
        <v>2025</v>
      </c>
      <c r="B6262" s="4" t="n">
        <v>12810</v>
      </c>
      <c r="C6262" s="4" t="n">
        <v>1626</v>
      </c>
      <c r="D6262" s="4" t="n">
        <v>491.865</v>
      </c>
      <c r="E6262" s="5" t="n">
        <v>26</v>
      </c>
      <c r="F6262" s="3" t="inlineStr">
        <is>
          <t>전동면</t>
        </is>
      </c>
      <c r="G6262" s="3" t="inlineStr">
        <is>
          <t>봉대리</t>
        </is>
      </c>
      <c r="H6262" s="3" t="inlineStr">
        <is>
          <t>생산관리지역</t>
        </is>
      </c>
      <c r="I6262" s="3" t="inlineStr">
        <is>
          <t>답</t>
        </is>
      </c>
      <c r="J6262" s="3" t="inlineStr">
        <is>
          <t>전동면</t>
        </is>
      </c>
    </row>
    <row r="6263">
      <c r="A6263" s="3" t="n">
        <v>2025</v>
      </c>
      <c r="B6263" s="4" t="n">
        <v>10397</v>
      </c>
      <c r="C6263" s="4" t="n">
        <v>1369</v>
      </c>
      <c r="D6263" s="4" t="n">
        <v>414.1225</v>
      </c>
      <c r="E6263" s="5" t="n">
        <v>25.1</v>
      </c>
      <c r="F6263" s="3" t="inlineStr">
        <is>
          <t>전동면</t>
        </is>
      </c>
      <c r="G6263" s="3" t="inlineStr">
        <is>
          <t>봉대리</t>
        </is>
      </c>
      <c r="H6263" s="3" t="inlineStr">
        <is>
          <t>생산관리지역</t>
        </is>
      </c>
      <c r="I6263" s="3" t="inlineStr">
        <is>
          <t>과수원</t>
        </is>
      </c>
      <c r="J6263" s="3" t="inlineStr">
        <is>
          <t>전동면</t>
        </is>
      </c>
    </row>
    <row r="6264">
      <c r="A6264" s="3" t="n">
        <v>2023</v>
      </c>
      <c r="B6264" s="4" t="n">
        <v>41100</v>
      </c>
      <c r="C6264" s="4" t="n">
        <v>640</v>
      </c>
      <c r="D6264" s="4" t="n">
        <v>193.6</v>
      </c>
      <c r="E6264" s="5" t="n">
        <v>212.3</v>
      </c>
      <c r="F6264" s="3" t="inlineStr">
        <is>
          <t>장군면</t>
        </is>
      </c>
      <c r="G6264" s="3" t="inlineStr">
        <is>
          <t>봉안리</t>
        </is>
      </c>
      <c r="H6264" s="3" t="inlineStr">
        <is>
          <t>보전관리지역</t>
        </is>
      </c>
      <c r="I6264" s="3" t="inlineStr">
        <is>
          <t>임야</t>
        </is>
      </c>
      <c r="J6264" s="3" t="inlineStr">
        <is>
          <t>장군면</t>
        </is>
      </c>
    </row>
    <row r="6265">
      <c r="A6265" s="3" t="n">
        <v>2023</v>
      </c>
      <c r="B6265" s="4" t="n">
        <v>60000</v>
      </c>
      <c r="C6265" s="4" t="n">
        <v>975</v>
      </c>
      <c r="D6265" s="4" t="n">
        <v>294.9375</v>
      </c>
      <c r="E6265" s="5" t="n">
        <v>203.4</v>
      </c>
      <c r="F6265" s="3" t="inlineStr">
        <is>
          <t>장군면</t>
        </is>
      </c>
      <c r="G6265" s="3" t="inlineStr">
        <is>
          <t>봉안리</t>
        </is>
      </c>
      <c r="H6265" s="3" t="inlineStr">
        <is>
          <t>계획관리지역</t>
        </is>
      </c>
      <c r="I6265" s="3" t="inlineStr">
        <is>
          <t>임야</t>
        </is>
      </c>
      <c r="J6265" s="3" t="inlineStr">
        <is>
          <t>장군면</t>
        </is>
      </c>
    </row>
    <row r="6266">
      <c r="A6266" s="3" t="n">
        <v>2023</v>
      </c>
      <c r="B6266" s="4" t="n">
        <v>45000</v>
      </c>
      <c r="C6266" s="4" t="n">
        <v>251.7</v>
      </c>
      <c r="D6266" s="4" t="n">
        <v>76.13924999999999</v>
      </c>
      <c r="E6266" s="5" t="n">
        <v>591</v>
      </c>
      <c r="F6266" s="3" t="inlineStr">
        <is>
          <t>다정동</t>
        </is>
      </c>
      <c r="G6266" s="3" t="inlineStr"/>
      <c r="H6266" s="3" t="inlineStr">
        <is>
          <t>제1종전용주거지역</t>
        </is>
      </c>
      <c r="I6266" s="3" t="inlineStr">
        <is>
          <t>대</t>
        </is>
      </c>
      <c r="J6266" s="3" t="inlineStr">
        <is>
          <t>다정동</t>
        </is>
      </c>
    </row>
    <row r="6267">
      <c r="A6267" s="3" t="n">
        <v>2023</v>
      </c>
      <c r="B6267" s="4" t="n">
        <v>45000</v>
      </c>
      <c r="C6267" s="4" t="n">
        <v>271</v>
      </c>
      <c r="D6267" s="4" t="n">
        <v>81.97749999999999</v>
      </c>
      <c r="E6267" s="5" t="n">
        <v>548.9</v>
      </c>
      <c r="F6267" s="3" t="inlineStr">
        <is>
          <t>다정동</t>
        </is>
      </c>
      <c r="G6267" s="3" t="inlineStr"/>
      <c r="H6267" s="3" t="inlineStr">
        <is>
          <t>제1종전용주거지역</t>
        </is>
      </c>
      <c r="I6267" s="3" t="inlineStr">
        <is>
          <t>대</t>
        </is>
      </c>
      <c r="J6267" s="3" t="inlineStr">
        <is>
          <t>다정동</t>
        </is>
      </c>
    </row>
    <row r="6268">
      <c r="A6268" s="3" t="n">
        <v>2023</v>
      </c>
      <c r="B6268" s="4" t="n">
        <v>5100</v>
      </c>
      <c r="C6268" s="4" t="n">
        <v>60</v>
      </c>
      <c r="D6268" s="4" t="n">
        <v>18.15</v>
      </c>
      <c r="E6268" s="5" t="n">
        <v>281</v>
      </c>
      <c r="F6268" s="3" t="inlineStr">
        <is>
          <t>장군면</t>
        </is>
      </c>
      <c r="G6268" s="3" t="inlineStr">
        <is>
          <t>봉안리</t>
        </is>
      </c>
      <c r="H6268" s="3" t="inlineStr">
        <is>
          <t>계획관리지역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2023</v>
      </c>
      <c r="B6269" s="4" t="n">
        <v>23400</v>
      </c>
      <c r="C6269" s="4" t="n">
        <v>645</v>
      </c>
      <c r="D6269" s="4" t="n">
        <v>195.1125</v>
      </c>
      <c r="E6269" s="5" t="n">
        <v>119.9</v>
      </c>
      <c r="F6269" s="3" t="inlineStr">
        <is>
          <t>연서면</t>
        </is>
      </c>
      <c r="G6269" s="3" t="inlineStr">
        <is>
          <t>와촌리</t>
        </is>
      </c>
      <c r="H6269" s="3" t="inlineStr">
        <is>
          <t>계획관리지역</t>
        </is>
      </c>
      <c r="I6269" s="3" t="inlineStr">
        <is>
          <t>전</t>
        </is>
      </c>
      <c r="J6269" s="3" t="inlineStr">
        <is>
          <t>연서면</t>
        </is>
      </c>
    </row>
    <row r="6270">
      <c r="A6270" s="3" t="n">
        <v>2022</v>
      </c>
      <c r="B6270" s="4" t="n">
        <v>9720</v>
      </c>
      <c r="C6270" s="4" t="n">
        <v>180</v>
      </c>
      <c r="D6270" s="4" t="n">
        <v>54.45</v>
      </c>
      <c r="E6270" s="5" t="n">
        <v>178.5</v>
      </c>
      <c r="F6270" s="3" t="inlineStr">
        <is>
          <t>금남면</t>
        </is>
      </c>
      <c r="G6270" s="3" t="inlineStr">
        <is>
          <t>도남리</t>
        </is>
      </c>
      <c r="H6270" s="3" t="inlineStr">
        <is>
          <t>계획관리지역</t>
        </is>
      </c>
      <c r="I6270" s="3" t="inlineStr">
        <is>
          <t>대</t>
        </is>
      </c>
      <c r="J6270" s="3" t="inlineStr">
        <is>
          <t>금남면</t>
        </is>
      </c>
    </row>
    <row r="6271">
      <c r="A6271" s="3" t="n">
        <v>2022</v>
      </c>
      <c r="B6271" s="4" t="n">
        <v>16770</v>
      </c>
      <c r="C6271" s="4" t="n">
        <v>462</v>
      </c>
      <c r="D6271" s="4" t="n">
        <v>139.755</v>
      </c>
      <c r="E6271" s="5" t="n">
        <v>120</v>
      </c>
      <c r="F6271" s="3" t="inlineStr">
        <is>
          <t>연서면</t>
        </is>
      </c>
      <c r="G6271" s="3" t="inlineStr">
        <is>
          <t>쌍류리</t>
        </is>
      </c>
      <c r="H6271" s="3" t="inlineStr">
        <is>
          <t>생산관리지역</t>
        </is>
      </c>
      <c r="I6271" s="3" t="inlineStr">
        <is>
          <t>전</t>
        </is>
      </c>
      <c r="J6271" s="3" t="inlineStr">
        <is>
          <t>연서면</t>
        </is>
      </c>
    </row>
    <row r="6272">
      <c r="A6272" s="3" t="n">
        <v>2022</v>
      </c>
      <c r="B6272" s="4" t="n">
        <v>540</v>
      </c>
      <c r="C6272" s="4" t="n">
        <v>15</v>
      </c>
      <c r="D6272" s="4" t="n">
        <v>4.5375</v>
      </c>
      <c r="E6272" s="5" t="n">
        <v>119</v>
      </c>
      <c r="F6272" s="3" t="inlineStr">
        <is>
          <t>연서면</t>
        </is>
      </c>
      <c r="G6272" s="3" t="inlineStr">
        <is>
          <t>쌍류리</t>
        </is>
      </c>
      <c r="H6272" s="3" t="inlineStr">
        <is>
          <t>농림지역</t>
        </is>
      </c>
      <c r="I6272" s="3" t="inlineStr">
        <is>
          <t>전</t>
        </is>
      </c>
      <c r="J6272" s="3" t="inlineStr">
        <is>
          <t>연서면</t>
        </is>
      </c>
    </row>
    <row r="6273">
      <c r="A6273" s="3" t="n">
        <v>2022</v>
      </c>
      <c r="B6273" s="4" t="n">
        <v>51000</v>
      </c>
      <c r="C6273" s="4" t="n">
        <v>314.1</v>
      </c>
      <c r="D6273" s="4" t="n">
        <v>95.01525000000001</v>
      </c>
      <c r="E6273" s="5" t="n">
        <v>536.8</v>
      </c>
      <c r="F6273" s="3" t="inlineStr">
        <is>
          <t>고운동</t>
        </is>
      </c>
      <c r="G6273" s="3" t="inlineStr"/>
      <c r="H6273" s="3" t="inlineStr">
        <is>
          <t>제1종전용주거지역</t>
        </is>
      </c>
      <c r="I6273" s="3" t="inlineStr">
        <is>
          <t>대</t>
        </is>
      </c>
      <c r="J6273" s="3" t="inlineStr">
        <is>
          <t>고운동</t>
        </is>
      </c>
    </row>
    <row r="6274">
      <c r="A6274" s="3" t="n">
        <v>2022</v>
      </c>
      <c r="B6274" s="4" t="n">
        <v>54000</v>
      </c>
      <c r="C6274" s="4" t="n">
        <v>896</v>
      </c>
      <c r="D6274" s="4" t="n">
        <v>271.04</v>
      </c>
      <c r="E6274" s="5" t="n">
        <v>199.2</v>
      </c>
      <c r="F6274" s="3" t="inlineStr">
        <is>
          <t>연서면</t>
        </is>
      </c>
      <c r="G6274" s="3" t="inlineStr">
        <is>
          <t>봉암리</t>
        </is>
      </c>
      <c r="H6274" s="3" t="inlineStr">
        <is>
          <t>계획관리지역</t>
        </is>
      </c>
      <c r="I6274" s="3" t="inlineStr">
        <is>
          <t>전</t>
        </is>
      </c>
      <c r="J6274" s="3" t="inlineStr">
        <is>
          <t>연서면</t>
        </is>
      </c>
    </row>
    <row r="6275">
      <c r="A6275" s="3" t="n">
        <v>2022</v>
      </c>
      <c r="B6275" s="4" t="n">
        <v>30260</v>
      </c>
      <c r="C6275" s="4" t="n">
        <v>1176.1</v>
      </c>
      <c r="D6275" s="4" t="n">
        <v>355.77025</v>
      </c>
      <c r="E6275" s="5" t="n">
        <v>85.09999999999999</v>
      </c>
      <c r="F6275" s="3" t="inlineStr">
        <is>
          <t>금남면</t>
        </is>
      </c>
      <c r="G6275" s="3" t="inlineStr">
        <is>
          <t>부용리</t>
        </is>
      </c>
      <c r="H6275" s="3" t="inlineStr">
        <is>
          <t>개발제한구역</t>
        </is>
      </c>
      <c r="I6275" s="3" t="inlineStr">
        <is>
          <t>답</t>
        </is>
      </c>
      <c r="J6275" s="3" t="inlineStr">
        <is>
          <t>금남면</t>
        </is>
      </c>
    </row>
    <row r="6276">
      <c r="A6276" s="3" t="n">
        <v>2022</v>
      </c>
      <c r="B6276" s="4" t="n">
        <v>2500</v>
      </c>
      <c r="C6276" s="4" t="n">
        <v>110</v>
      </c>
      <c r="D6276" s="4" t="n">
        <v>33.275</v>
      </c>
      <c r="E6276" s="5" t="n">
        <v>75.09999999999999</v>
      </c>
      <c r="F6276" s="3" t="inlineStr">
        <is>
          <t>금남면</t>
        </is>
      </c>
      <c r="G6276" s="3" t="inlineStr">
        <is>
          <t>도남리</t>
        </is>
      </c>
      <c r="H6276" s="3" t="inlineStr">
        <is>
          <t>계획관리지역</t>
        </is>
      </c>
      <c r="I6276" s="3" t="inlineStr">
        <is>
          <t>답</t>
        </is>
      </c>
      <c r="J6276" s="3" t="inlineStr">
        <is>
          <t>금남면</t>
        </is>
      </c>
    </row>
    <row r="6277">
      <c r="A6277" s="3" t="n">
        <v>2022</v>
      </c>
      <c r="B6277" s="4" t="n">
        <v>3800</v>
      </c>
      <c r="C6277" s="4" t="n">
        <v>165</v>
      </c>
      <c r="D6277" s="4" t="n">
        <v>49.9125</v>
      </c>
      <c r="E6277" s="5" t="n">
        <v>76.09999999999999</v>
      </c>
      <c r="F6277" s="3" t="inlineStr">
        <is>
          <t>금남면</t>
        </is>
      </c>
      <c r="G6277" s="3" t="inlineStr">
        <is>
          <t>국곡리</t>
        </is>
      </c>
      <c r="H6277" s="3" t="inlineStr">
        <is>
          <t>계획관리지역</t>
        </is>
      </c>
      <c r="I6277" s="3" t="inlineStr">
        <is>
          <t>전</t>
        </is>
      </c>
      <c r="J6277" s="3" t="inlineStr">
        <is>
          <t>금남면</t>
        </is>
      </c>
    </row>
    <row r="6278">
      <c r="A6278" s="3" t="n">
        <v>2022</v>
      </c>
      <c r="B6278" s="4" t="n">
        <v>1500</v>
      </c>
      <c r="C6278" s="4" t="n">
        <v>11</v>
      </c>
      <c r="D6278" s="4" t="n">
        <v>3.3275</v>
      </c>
      <c r="E6278" s="5" t="n">
        <v>450.8</v>
      </c>
      <c r="F6278" s="3" t="inlineStr">
        <is>
          <t>부강면</t>
        </is>
      </c>
      <c r="G6278" s="3" t="inlineStr">
        <is>
          <t>금호리</t>
        </is>
      </c>
      <c r="H6278" s="3" t="inlineStr">
        <is>
          <t>계획관리지역</t>
        </is>
      </c>
      <c r="I6278" s="3" t="inlineStr">
        <is>
          <t>도로</t>
        </is>
      </c>
      <c r="J6278" s="3" t="inlineStr">
        <is>
          <t>부강면</t>
        </is>
      </c>
    </row>
    <row r="6279">
      <c r="A6279" s="3" t="n">
        <v>2025</v>
      </c>
      <c r="B6279" s="4" t="n">
        <v>53136</v>
      </c>
      <c r="C6279" s="4" t="n">
        <v>6793</v>
      </c>
      <c r="D6279" s="4" t="n">
        <v>2054.8825</v>
      </c>
      <c r="E6279" s="5" t="n">
        <v>25.9</v>
      </c>
      <c r="F6279" s="3" t="inlineStr">
        <is>
          <t>전동면</t>
        </is>
      </c>
      <c r="G6279" s="3" t="inlineStr">
        <is>
          <t>봉대리</t>
        </is>
      </c>
      <c r="H6279" s="3" t="inlineStr">
        <is>
          <t>생산관리지역</t>
        </is>
      </c>
      <c r="I6279" s="3" t="inlineStr">
        <is>
          <t>과수원</t>
        </is>
      </c>
      <c r="J6279" s="3" t="inlineStr">
        <is>
          <t>전동면</t>
        </is>
      </c>
    </row>
    <row r="6280">
      <c r="A6280" s="3" t="n">
        <v>2025</v>
      </c>
      <c r="B6280" s="4" t="n">
        <v>5810</v>
      </c>
      <c r="C6280" s="4" t="n">
        <v>642</v>
      </c>
      <c r="D6280" s="4" t="n">
        <v>194.205</v>
      </c>
      <c r="E6280" s="5" t="n">
        <v>29.9</v>
      </c>
      <c r="F6280" s="3" t="inlineStr">
        <is>
          <t>전의면</t>
        </is>
      </c>
      <c r="G6280" s="3" t="inlineStr">
        <is>
          <t>신정리</t>
        </is>
      </c>
      <c r="H6280" s="3" t="inlineStr">
        <is>
          <t>생산관리지역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2026</v>
      </c>
      <c r="B6281" s="4" t="n">
        <v>3400</v>
      </c>
      <c r="C6281" s="4" t="n">
        <v>575</v>
      </c>
      <c r="D6281" s="4" t="n">
        <v>173.9375</v>
      </c>
      <c r="E6281" s="5" t="n">
        <v>19.5</v>
      </c>
      <c r="F6281" s="3" t="inlineStr">
        <is>
          <t>전의면</t>
        </is>
      </c>
      <c r="G6281" s="3" t="inlineStr">
        <is>
          <t>유천리</t>
        </is>
      </c>
      <c r="H6281" s="3" t="inlineStr">
        <is>
          <t>보전관리지역</t>
        </is>
      </c>
      <c r="I6281" s="3" t="inlineStr">
        <is>
          <t>답</t>
        </is>
      </c>
      <c r="J6281" s="3" t="inlineStr">
        <is>
          <t>전의면</t>
        </is>
      </c>
    </row>
    <row r="6282">
      <c r="A6282" s="3" t="n">
        <v>2026</v>
      </c>
      <c r="B6282" s="4" t="n">
        <v>12000</v>
      </c>
      <c r="C6282" s="4" t="n">
        <v>1983</v>
      </c>
      <c r="D6282" s="4" t="n">
        <v>599.8575</v>
      </c>
      <c r="E6282" s="5" t="n">
        <v>20</v>
      </c>
      <c r="F6282" s="3" t="inlineStr">
        <is>
          <t>전의면</t>
        </is>
      </c>
      <c r="G6282" s="3" t="inlineStr">
        <is>
          <t>신흥리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전의면</t>
        </is>
      </c>
    </row>
    <row r="6283">
      <c r="A6283" s="3" t="n">
        <v>2025</v>
      </c>
      <c r="B6283" s="4" t="n">
        <v>12875</v>
      </c>
      <c r="C6283" s="4" t="n">
        <v>1646</v>
      </c>
      <c r="D6283" s="4" t="n">
        <v>497.915</v>
      </c>
      <c r="E6283" s="5" t="n">
        <v>25.9</v>
      </c>
      <c r="F6283" s="3" t="inlineStr">
        <is>
          <t>전동면</t>
        </is>
      </c>
      <c r="G6283" s="3" t="inlineStr">
        <is>
          <t>봉대리</t>
        </is>
      </c>
      <c r="H6283" s="3" t="inlineStr">
        <is>
          <t>생산관리지역</t>
        </is>
      </c>
      <c r="I6283" s="3" t="inlineStr">
        <is>
          <t>과수원</t>
        </is>
      </c>
      <c r="J6283" s="3" t="inlineStr">
        <is>
          <t>전동면</t>
        </is>
      </c>
    </row>
    <row r="6284">
      <c r="A6284" s="3" t="n">
        <v>2025</v>
      </c>
      <c r="B6284" s="4" t="n">
        <v>1236</v>
      </c>
      <c r="C6284" s="4" t="n">
        <v>189</v>
      </c>
      <c r="D6284" s="4" t="n">
        <v>57.1725</v>
      </c>
      <c r="E6284" s="5" t="n">
        <v>21.6</v>
      </c>
      <c r="F6284" s="3" t="inlineStr">
        <is>
          <t>전동면</t>
        </is>
      </c>
      <c r="G6284" s="3" t="inlineStr">
        <is>
          <t>봉대리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전동면</t>
        </is>
      </c>
    </row>
    <row r="6285">
      <c r="A6285" s="3" t="n">
        <v>2025</v>
      </c>
      <c r="B6285" s="4" t="n">
        <v>13571</v>
      </c>
      <c r="C6285" s="4" t="n">
        <v>1735</v>
      </c>
      <c r="D6285" s="4" t="n">
        <v>524.8375</v>
      </c>
      <c r="E6285" s="5" t="n">
        <v>25.9</v>
      </c>
      <c r="F6285" s="3" t="inlineStr">
        <is>
          <t>전동면</t>
        </is>
      </c>
      <c r="G6285" s="3" t="inlineStr">
        <is>
          <t>봉대리</t>
        </is>
      </c>
      <c r="H6285" s="3" t="inlineStr">
        <is>
          <t>생산관리지역</t>
        </is>
      </c>
      <c r="I6285" s="3" t="inlineStr">
        <is>
          <t>과수원</t>
        </is>
      </c>
      <c r="J6285" s="3" t="inlineStr">
        <is>
          <t>전동면</t>
        </is>
      </c>
    </row>
    <row r="6286">
      <c r="A6286" s="3" t="n">
        <v>2025</v>
      </c>
      <c r="B6286" s="4" t="n">
        <v>5045</v>
      </c>
      <c r="C6286" s="4" t="n">
        <v>315</v>
      </c>
      <c r="D6286" s="4" t="n">
        <v>95.28749999999999</v>
      </c>
      <c r="E6286" s="5" t="n">
        <v>52.9</v>
      </c>
      <c r="F6286" s="3" t="inlineStr">
        <is>
          <t>전동면</t>
        </is>
      </c>
      <c r="G6286" s="3" t="inlineStr">
        <is>
          <t>봉대리</t>
        </is>
      </c>
      <c r="H6286" s="3" t="inlineStr">
        <is>
          <t>생산관리지역</t>
        </is>
      </c>
      <c r="I6286" s="3" t="inlineStr">
        <is>
          <t>과수원</t>
        </is>
      </c>
      <c r="J6286" s="3" t="inlineStr">
        <is>
          <t>전동면</t>
        </is>
      </c>
    </row>
    <row r="6287">
      <c r="A6287" s="3" t="n">
        <v>2025</v>
      </c>
      <c r="B6287" s="4" t="n">
        <v>22500</v>
      </c>
      <c r="C6287" s="4" t="n">
        <v>4519</v>
      </c>
      <c r="D6287" s="4" t="n">
        <v>1366.9975</v>
      </c>
      <c r="E6287" s="5" t="n">
        <v>16.5</v>
      </c>
      <c r="F6287" s="3" t="inlineStr">
        <is>
          <t>전동면</t>
        </is>
      </c>
      <c r="G6287" s="3" t="inlineStr">
        <is>
          <t>봉대리</t>
        </is>
      </c>
      <c r="H6287" s="3" t="inlineStr">
        <is>
          <t>생산관리지역</t>
        </is>
      </c>
      <c r="I6287" s="3" t="inlineStr">
        <is>
          <t>답</t>
        </is>
      </c>
      <c r="J6287" s="3" t="inlineStr">
        <is>
          <t>전동면</t>
        </is>
      </c>
    </row>
    <row r="6288">
      <c r="A6288" s="3" t="n">
        <v>2025</v>
      </c>
      <c r="B6288" s="4" t="n">
        <v>38700</v>
      </c>
      <c r="C6288" s="4" t="n">
        <v>254.3</v>
      </c>
      <c r="D6288" s="4" t="n">
        <v>76.92575000000001</v>
      </c>
      <c r="E6288" s="5" t="n">
        <v>503.1</v>
      </c>
      <c r="F6288" s="3" t="inlineStr">
        <is>
          <t>다정동</t>
        </is>
      </c>
      <c r="G6288" s="3" t="inlineStr"/>
      <c r="H6288" s="3" t="inlineStr">
        <is>
          <t>제1종전용주거지역</t>
        </is>
      </c>
      <c r="I6288" s="3" t="inlineStr">
        <is>
          <t>대</t>
        </is>
      </c>
      <c r="J6288" s="3" t="inlineStr">
        <is>
          <t>다정동</t>
        </is>
      </c>
    </row>
    <row r="6289">
      <c r="A6289" s="3" t="n">
        <v>2025</v>
      </c>
      <c r="B6289" s="4" t="n">
        <v>44500</v>
      </c>
      <c r="C6289" s="4" t="n">
        <v>600</v>
      </c>
      <c r="D6289" s="4" t="n">
        <v>181.5</v>
      </c>
      <c r="E6289" s="5" t="n">
        <v>245.2</v>
      </c>
      <c r="F6289" s="3" t="inlineStr">
        <is>
          <t>금남면</t>
        </is>
      </c>
      <c r="G6289" s="3" t="inlineStr">
        <is>
          <t>성강리</t>
        </is>
      </c>
      <c r="H6289" s="3" t="inlineStr">
        <is>
          <t>보전관리지역</t>
        </is>
      </c>
      <c r="I6289" s="3" t="inlineStr">
        <is>
          <t>대</t>
        </is>
      </c>
      <c r="J6289" s="3" t="inlineStr">
        <is>
          <t>금남면</t>
        </is>
      </c>
    </row>
    <row r="6290">
      <c r="A6290" s="3" t="n">
        <v>2025</v>
      </c>
      <c r="B6290" s="4" t="n">
        <v>13600</v>
      </c>
      <c r="C6290" s="4" t="n">
        <v>361</v>
      </c>
      <c r="D6290" s="4" t="n">
        <v>109.2025</v>
      </c>
      <c r="E6290" s="5" t="n">
        <v>124.5</v>
      </c>
      <c r="F6290" s="3" t="inlineStr">
        <is>
          <t>연서면</t>
        </is>
      </c>
      <c r="G6290" s="3" t="inlineStr">
        <is>
          <t>신대리</t>
        </is>
      </c>
      <c r="H6290" s="3" t="inlineStr">
        <is>
          <t>계획관리지역</t>
        </is>
      </c>
      <c r="I6290" s="3" t="inlineStr">
        <is>
          <t>과수원</t>
        </is>
      </c>
      <c r="J6290" s="3" t="inlineStr">
        <is>
          <t>연서면</t>
        </is>
      </c>
    </row>
    <row r="6291">
      <c r="A6291" s="3" t="n">
        <v>2025</v>
      </c>
      <c r="B6291" s="4" t="n">
        <v>24150</v>
      </c>
      <c r="C6291" s="4" t="n">
        <v>330</v>
      </c>
      <c r="D6291" s="4" t="n">
        <v>99.825</v>
      </c>
      <c r="E6291" s="5" t="n">
        <v>241.9</v>
      </c>
      <c r="F6291" s="3" t="inlineStr">
        <is>
          <t>금남면</t>
        </is>
      </c>
      <c r="G6291" s="3" t="inlineStr">
        <is>
          <t>성강리</t>
        </is>
      </c>
      <c r="H6291" s="3" t="inlineStr">
        <is>
          <t>보전관리지역</t>
        </is>
      </c>
      <c r="I6291" s="3" t="inlineStr">
        <is>
          <t>대</t>
        </is>
      </c>
      <c r="J6291" s="3" t="inlineStr">
        <is>
          <t>금남면</t>
        </is>
      </c>
    </row>
    <row r="6292">
      <c r="A6292" s="3" t="n">
        <v>2025</v>
      </c>
      <c r="B6292" s="4" t="n">
        <v>38000</v>
      </c>
      <c r="C6292" s="4" t="n">
        <v>157</v>
      </c>
      <c r="D6292" s="4" t="n">
        <v>47.4925</v>
      </c>
      <c r="E6292" s="5" t="n">
        <v>800.1</v>
      </c>
      <c r="F6292" s="3" t="inlineStr">
        <is>
          <t>반곡동</t>
        </is>
      </c>
      <c r="G6292" s="3" t="inlineStr"/>
      <c r="H6292" s="3" t="inlineStr">
        <is>
          <t>제1종전용주거지역</t>
        </is>
      </c>
      <c r="I6292" s="3" t="inlineStr">
        <is>
          <t>대</t>
        </is>
      </c>
      <c r="J6292" s="3" t="inlineStr">
        <is>
          <t>반곡동</t>
        </is>
      </c>
    </row>
    <row r="6293">
      <c r="A6293" s="3" t="n">
        <v>2025</v>
      </c>
      <c r="B6293" s="4" t="n">
        <v>44400</v>
      </c>
      <c r="C6293" s="4" t="n">
        <v>609</v>
      </c>
      <c r="D6293" s="4" t="n">
        <v>184.2225</v>
      </c>
      <c r="E6293" s="5" t="n">
        <v>241</v>
      </c>
      <c r="F6293" s="3" t="inlineStr">
        <is>
          <t>장군면</t>
        </is>
      </c>
      <c r="G6293" s="3" t="inlineStr">
        <is>
          <t>은용리</t>
        </is>
      </c>
      <c r="H6293" s="3" t="inlineStr">
        <is>
          <t>계획관리지역</t>
        </is>
      </c>
      <c r="I6293" s="3" t="inlineStr">
        <is>
          <t>답</t>
        </is>
      </c>
      <c r="J6293" s="3" t="inlineStr">
        <is>
          <t>장군면</t>
        </is>
      </c>
    </row>
    <row r="6294">
      <c r="A6294" s="3" t="n">
        <v>2025</v>
      </c>
      <c r="B6294" s="4" t="n">
        <v>14916</v>
      </c>
      <c r="C6294" s="4" t="n">
        <v>880</v>
      </c>
      <c r="D6294" s="4" t="n">
        <v>266.2</v>
      </c>
      <c r="E6294" s="5" t="n">
        <v>56</v>
      </c>
      <c r="F6294" s="3" t="inlineStr">
        <is>
          <t>전동면</t>
        </is>
      </c>
      <c r="G6294" s="3" t="inlineStr">
        <is>
          <t>석곡리</t>
        </is>
      </c>
      <c r="H6294" s="3" t="inlineStr">
        <is>
          <t>보전관리지역</t>
        </is>
      </c>
      <c r="I6294" s="3" t="inlineStr">
        <is>
          <t>전</t>
        </is>
      </c>
      <c r="J6294" s="3" t="inlineStr">
        <is>
          <t>전동면</t>
        </is>
      </c>
    </row>
    <row r="6295">
      <c r="A6295" s="3" t="n">
        <v>2025</v>
      </c>
      <c r="B6295" s="4" t="n">
        <v>3340</v>
      </c>
      <c r="C6295" s="4" t="n">
        <v>369</v>
      </c>
      <c r="D6295" s="4" t="n">
        <v>111.6225</v>
      </c>
      <c r="E6295" s="5" t="n">
        <v>29.9</v>
      </c>
      <c r="F6295" s="3" t="inlineStr">
        <is>
          <t>전의면</t>
        </is>
      </c>
      <c r="G6295" s="3" t="inlineStr">
        <is>
          <t>신정리</t>
        </is>
      </c>
      <c r="H6295" s="3" t="inlineStr">
        <is>
          <t>생산관리지역</t>
        </is>
      </c>
      <c r="I6295" s="3" t="inlineStr">
        <is>
          <t>답</t>
        </is>
      </c>
      <c r="J6295" s="3" t="inlineStr">
        <is>
          <t>전의면</t>
        </is>
      </c>
    </row>
    <row r="6296">
      <c r="A6296" s="3" t="n">
        <v>2025</v>
      </c>
      <c r="B6296" s="4" t="n">
        <v>5400</v>
      </c>
      <c r="C6296" s="4" t="n">
        <v>599</v>
      </c>
      <c r="D6296" s="4" t="n">
        <v>181.1975</v>
      </c>
      <c r="E6296" s="5" t="n">
        <v>29.8</v>
      </c>
      <c r="F6296" s="3" t="inlineStr">
        <is>
          <t>전의면</t>
        </is>
      </c>
      <c r="G6296" s="3" t="inlineStr">
        <is>
          <t>신정리</t>
        </is>
      </c>
      <c r="H6296" s="3" t="inlineStr">
        <is>
          <t>생산관리지역</t>
        </is>
      </c>
      <c r="I6296" s="3" t="inlineStr">
        <is>
          <t>답</t>
        </is>
      </c>
      <c r="J6296" s="3" t="inlineStr">
        <is>
          <t>전의면</t>
        </is>
      </c>
    </row>
    <row r="6297">
      <c r="A6297" s="3" t="n">
        <v>2025</v>
      </c>
      <c r="B6297" s="4" t="n">
        <v>5550</v>
      </c>
      <c r="C6297" s="4" t="n">
        <v>614</v>
      </c>
      <c r="D6297" s="4" t="n">
        <v>185.735</v>
      </c>
      <c r="E6297" s="5" t="n">
        <v>29.9</v>
      </c>
      <c r="F6297" s="3" t="inlineStr">
        <is>
          <t>전의면</t>
        </is>
      </c>
      <c r="G6297" s="3" t="inlineStr">
        <is>
          <t>신정리</t>
        </is>
      </c>
      <c r="H6297" s="3" t="inlineStr">
        <is>
          <t>생산관리지역</t>
        </is>
      </c>
      <c r="I6297" s="3" t="inlineStr">
        <is>
          <t>답</t>
        </is>
      </c>
      <c r="J6297" s="3" t="inlineStr">
        <is>
          <t>전의면</t>
        </is>
      </c>
    </row>
    <row r="6298">
      <c r="A6298" s="3" t="n">
        <v>2025</v>
      </c>
      <c r="B6298" s="4" t="n">
        <v>5212</v>
      </c>
      <c r="C6298" s="4" t="n">
        <v>556</v>
      </c>
      <c r="D6298" s="4" t="n">
        <v>168.19</v>
      </c>
      <c r="E6298" s="5" t="n">
        <v>31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전동면</t>
        </is>
      </c>
    </row>
    <row r="6299">
      <c r="A6299" s="3" t="n">
        <v>2025</v>
      </c>
      <c r="B6299" s="4" t="n">
        <v>2306</v>
      </c>
      <c r="C6299" s="4" t="n">
        <v>246</v>
      </c>
      <c r="D6299" s="4" t="n">
        <v>74.41499999999999</v>
      </c>
      <c r="E6299" s="5" t="n">
        <v>31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전</t>
        </is>
      </c>
      <c r="J6299" s="3" t="inlineStr">
        <is>
          <t>전동면</t>
        </is>
      </c>
    </row>
    <row r="6300">
      <c r="A6300" s="3" t="n">
        <v>2025</v>
      </c>
      <c r="B6300" s="4" t="n">
        <v>5212</v>
      </c>
      <c r="C6300" s="4" t="n">
        <v>556</v>
      </c>
      <c r="D6300" s="4" t="n">
        <v>168.19</v>
      </c>
      <c r="E6300" s="5" t="n">
        <v>31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전</t>
        </is>
      </c>
      <c r="J6300" s="3" t="inlineStr">
        <is>
          <t>전동면</t>
        </is>
      </c>
    </row>
    <row r="6301">
      <c r="A6301" s="3" t="n">
        <v>2025</v>
      </c>
      <c r="B6301" s="4" t="n">
        <v>7349</v>
      </c>
      <c r="C6301" s="4" t="n">
        <v>784</v>
      </c>
      <c r="D6301" s="4" t="n">
        <v>237.16</v>
      </c>
      <c r="E6301" s="5" t="n">
        <v>31</v>
      </c>
      <c r="F6301" s="3" t="inlineStr">
        <is>
          <t>전동면</t>
        </is>
      </c>
      <c r="G6301" s="3" t="inlineStr">
        <is>
          <t>봉대리</t>
        </is>
      </c>
      <c r="H6301" s="3" t="inlineStr">
        <is>
          <t>생산관리지역</t>
        </is>
      </c>
      <c r="I6301" s="3" t="inlineStr">
        <is>
          <t>전</t>
        </is>
      </c>
      <c r="J6301" s="3" t="inlineStr">
        <is>
          <t>전동면</t>
        </is>
      </c>
    </row>
    <row r="6302">
      <c r="A6302" s="3" t="n">
        <v>2025</v>
      </c>
      <c r="B6302" s="4" t="n">
        <v>5587</v>
      </c>
      <c r="C6302" s="4" t="n">
        <v>596</v>
      </c>
      <c r="D6302" s="4" t="n">
        <v>180.29</v>
      </c>
      <c r="E6302" s="5" t="n">
        <v>31</v>
      </c>
      <c r="F6302" s="3" t="inlineStr">
        <is>
          <t>전동면</t>
        </is>
      </c>
      <c r="G6302" s="3" t="inlineStr">
        <is>
          <t>봉대리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전동면</t>
        </is>
      </c>
    </row>
    <row r="6303">
      <c r="A6303" s="3" t="n">
        <v>2025</v>
      </c>
      <c r="B6303" s="4" t="n">
        <v>2953</v>
      </c>
      <c r="C6303" s="4" t="n">
        <v>315</v>
      </c>
      <c r="D6303" s="4" t="n">
        <v>95.28749999999999</v>
      </c>
      <c r="E6303" s="5" t="n">
        <v>31</v>
      </c>
      <c r="F6303" s="3" t="inlineStr">
        <is>
          <t>전동면</t>
        </is>
      </c>
      <c r="G6303" s="3" t="inlineStr">
        <is>
          <t>봉대리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전동면</t>
        </is>
      </c>
    </row>
    <row r="6304">
      <c r="A6304" s="3" t="n">
        <v>2025</v>
      </c>
      <c r="B6304" s="4" t="n">
        <v>2615</v>
      </c>
      <c r="C6304" s="4" t="n">
        <v>279</v>
      </c>
      <c r="D6304" s="4" t="n">
        <v>84.39749999999999</v>
      </c>
      <c r="E6304" s="5" t="n">
        <v>31</v>
      </c>
      <c r="F6304" s="3" t="inlineStr">
        <is>
          <t>전동면</t>
        </is>
      </c>
      <c r="G6304" s="3" t="inlineStr">
        <is>
          <t>봉대리</t>
        </is>
      </c>
      <c r="H6304" s="3" t="inlineStr">
        <is>
          <t>생산관리지역</t>
        </is>
      </c>
      <c r="I6304" s="3" t="inlineStr">
        <is>
          <t>전</t>
        </is>
      </c>
      <c r="J6304" s="3" t="inlineStr">
        <is>
          <t>전동면</t>
        </is>
      </c>
    </row>
    <row r="6305">
      <c r="A6305" s="3" t="n">
        <v>2025</v>
      </c>
      <c r="B6305" s="4" t="n">
        <v>18000</v>
      </c>
      <c r="C6305" s="4" t="n">
        <v>294</v>
      </c>
      <c r="D6305" s="4" t="n">
        <v>88.935</v>
      </c>
      <c r="E6305" s="5" t="n">
        <v>202.4</v>
      </c>
      <c r="F6305" s="3" t="inlineStr">
        <is>
          <t>연서면</t>
        </is>
      </c>
      <c r="G6305" s="3" t="inlineStr">
        <is>
          <t>월하리</t>
        </is>
      </c>
      <c r="H6305" s="3" t="inlineStr">
        <is>
          <t>자연녹지지역</t>
        </is>
      </c>
      <c r="I6305" s="3" t="inlineStr">
        <is>
          <t>대</t>
        </is>
      </c>
      <c r="J6305" s="3" t="inlineStr">
        <is>
          <t>연서면</t>
        </is>
      </c>
    </row>
    <row r="6306">
      <c r="A6306" s="3" t="n">
        <v>2025</v>
      </c>
      <c r="B6306" s="4" t="n">
        <v>2400</v>
      </c>
      <c r="C6306" s="4" t="n">
        <v>53</v>
      </c>
      <c r="D6306" s="4" t="n">
        <v>16.0325</v>
      </c>
      <c r="E6306" s="5" t="n">
        <v>149.7</v>
      </c>
      <c r="F6306" s="3" t="inlineStr">
        <is>
          <t>연서면</t>
        </is>
      </c>
      <c r="G6306" s="3" t="inlineStr">
        <is>
          <t>와촌리</t>
        </is>
      </c>
      <c r="H6306" s="3" t="inlineStr">
        <is>
          <t>계획관리지역</t>
        </is>
      </c>
      <c r="I6306" s="3" t="inlineStr">
        <is>
          <t>대</t>
        </is>
      </c>
      <c r="J6306" s="3" t="inlineStr">
        <is>
          <t>연서면</t>
        </is>
      </c>
    </row>
    <row r="6307">
      <c r="A6307" s="3" t="n">
        <v>2025</v>
      </c>
      <c r="B6307" s="4" t="n">
        <v>40000</v>
      </c>
      <c r="C6307" s="4" t="n">
        <v>3146</v>
      </c>
      <c r="D6307" s="4" t="n">
        <v>951.665</v>
      </c>
      <c r="E6307" s="5" t="n">
        <v>42</v>
      </c>
      <c r="F6307" s="3" t="inlineStr">
        <is>
          <t>전동면</t>
        </is>
      </c>
      <c r="G6307" s="3" t="inlineStr">
        <is>
          <t>송정리</t>
        </is>
      </c>
      <c r="H6307" s="3" t="inlineStr">
        <is>
          <t>농림지역</t>
        </is>
      </c>
      <c r="I6307" s="3" t="inlineStr">
        <is>
          <t>답</t>
        </is>
      </c>
      <c r="J6307" s="3" t="inlineStr">
        <is>
          <t>전동면</t>
        </is>
      </c>
    </row>
    <row r="6308">
      <c r="A6308" s="3" t="n">
        <v>2025</v>
      </c>
      <c r="B6308" s="4" t="n">
        <v>90000</v>
      </c>
      <c r="C6308" s="4" t="n">
        <v>1914</v>
      </c>
      <c r="D6308" s="4" t="n">
        <v>578.985</v>
      </c>
      <c r="E6308" s="5" t="n">
        <v>155.4</v>
      </c>
      <c r="F6308" s="3" t="inlineStr">
        <is>
          <t>연서면</t>
        </is>
      </c>
      <c r="G6308" s="3" t="inlineStr">
        <is>
          <t>월하리</t>
        </is>
      </c>
      <c r="H6308" s="3" t="inlineStr">
        <is>
          <t>자연녹지지역</t>
        </is>
      </c>
      <c r="I6308" s="3" t="inlineStr">
        <is>
          <t>전</t>
        </is>
      </c>
      <c r="J6308" s="3" t="inlineStr">
        <is>
          <t>연서면</t>
        </is>
      </c>
    </row>
    <row r="6309">
      <c r="A6309" s="3" t="n">
        <v>2025</v>
      </c>
      <c r="B6309" s="4" t="n">
        <v>135000</v>
      </c>
      <c r="C6309" s="4" t="n">
        <v>4159</v>
      </c>
      <c r="D6309" s="4" t="n">
        <v>1258.0975</v>
      </c>
      <c r="E6309" s="5" t="n">
        <v>107.3</v>
      </c>
      <c r="F6309" s="3" t="inlineStr">
        <is>
          <t>장군면</t>
        </is>
      </c>
      <c r="G6309" s="3" t="inlineStr">
        <is>
          <t>대교리</t>
        </is>
      </c>
      <c r="H6309" s="3" t="inlineStr">
        <is>
          <t>생산관리지역</t>
        </is>
      </c>
      <c r="I6309" s="3" t="inlineStr">
        <is>
          <t>답</t>
        </is>
      </c>
      <c r="J6309" s="3" t="inlineStr">
        <is>
          <t>장군면</t>
        </is>
      </c>
    </row>
    <row r="6310">
      <c r="A6310" s="3" t="n">
        <v>2025</v>
      </c>
      <c r="B6310" s="4" t="n">
        <v>25000</v>
      </c>
      <c r="C6310" s="4" t="n">
        <v>1296</v>
      </c>
      <c r="D6310" s="4" t="n">
        <v>392.04</v>
      </c>
      <c r="E6310" s="5" t="n">
        <v>63.8</v>
      </c>
      <c r="F6310" s="3" t="inlineStr">
        <is>
          <t>장군면</t>
        </is>
      </c>
      <c r="G6310" s="3" t="inlineStr">
        <is>
          <t>대교리</t>
        </is>
      </c>
      <c r="H6310" s="3" t="inlineStr">
        <is>
          <t>생산관리지역</t>
        </is>
      </c>
      <c r="I6310" s="3" t="inlineStr">
        <is>
          <t>전</t>
        </is>
      </c>
      <c r="J6310" s="3" t="inlineStr">
        <is>
          <t>장군면</t>
        </is>
      </c>
    </row>
    <row r="6311">
      <c r="A6311" s="3" t="n">
        <v>2025</v>
      </c>
      <c r="B6311" s="4" t="n">
        <v>6000</v>
      </c>
      <c r="C6311" s="4" t="n">
        <v>3966</v>
      </c>
      <c r="D6311" s="4" t="n">
        <v>1199.715</v>
      </c>
      <c r="E6311" s="5" t="n">
        <v>5</v>
      </c>
      <c r="F6311" s="3" t="inlineStr">
        <is>
          <t>전동면</t>
        </is>
      </c>
      <c r="G6311" s="3" t="inlineStr">
        <is>
          <t>송정리</t>
        </is>
      </c>
      <c r="H6311" s="3" t="inlineStr">
        <is>
          <t>계획관리지역</t>
        </is>
      </c>
      <c r="I6311" s="3" t="inlineStr">
        <is>
          <t>임야</t>
        </is>
      </c>
      <c r="J6311" s="3" t="inlineStr">
        <is>
          <t>전동면</t>
        </is>
      </c>
    </row>
    <row r="6312">
      <c r="A6312" s="3" t="n">
        <v>2025</v>
      </c>
      <c r="B6312" s="4" t="n">
        <v>1770</v>
      </c>
      <c r="C6312" s="4" t="n">
        <v>1903</v>
      </c>
      <c r="D6312" s="4" t="n">
        <v>575.6575</v>
      </c>
      <c r="E6312" s="5" t="n">
        <v>3.1</v>
      </c>
      <c r="F6312" s="3" t="inlineStr">
        <is>
          <t>전동면</t>
        </is>
      </c>
      <c r="G6312" s="3" t="inlineStr">
        <is>
          <t>송정리</t>
        </is>
      </c>
      <c r="H6312" s="3" t="inlineStr">
        <is>
          <t>계획관리지역</t>
        </is>
      </c>
      <c r="I6312" s="3" t="inlineStr">
        <is>
          <t>임야</t>
        </is>
      </c>
      <c r="J6312" s="3" t="inlineStr">
        <is>
          <t>전동면</t>
        </is>
      </c>
    </row>
    <row r="6313">
      <c r="A6313" s="3" t="n">
        <v>2025</v>
      </c>
      <c r="B6313" s="4" t="n">
        <v>35000</v>
      </c>
      <c r="C6313" s="4" t="n">
        <v>2007</v>
      </c>
      <c r="D6313" s="4" t="n">
        <v>607.1174999999999</v>
      </c>
      <c r="E6313" s="5" t="n">
        <v>57.6</v>
      </c>
      <c r="F6313" s="3" t="inlineStr">
        <is>
          <t>연동면</t>
        </is>
      </c>
      <c r="G6313" s="3" t="inlineStr">
        <is>
          <t>송용리</t>
        </is>
      </c>
      <c r="H6313" s="3" t="inlineStr">
        <is>
          <t>농림지역</t>
        </is>
      </c>
      <c r="I6313" s="3" t="inlineStr">
        <is>
          <t>답</t>
        </is>
      </c>
      <c r="J6313" s="3" t="inlineStr">
        <is>
          <t>연동면</t>
        </is>
      </c>
    </row>
    <row r="6314">
      <c r="A6314" s="3" t="n">
        <v>2025</v>
      </c>
      <c r="B6314" s="4" t="n">
        <v>2600</v>
      </c>
      <c r="C6314" s="4" t="n">
        <v>215</v>
      </c>
      <c r="D6314" s="4" t="n">
        <v>65.03749999999999</v>
      </c>
      <c r="E6314" s="5" t="n">
        <v>40</v>
      </c>
      <c r="F6314" s="3" t="inlineStr">
        <is>
          <t>장군면</t>
        </is>
      </c>
      <c r="G6314" s="3" t="inlineStr">
        <is>
          <t>평기리</t>
        </is>
      </c>
      <c r="H6314" s="3" t="inlineStr">
        <is>
          <t>보전관리지역</t>
        </is>
      </c>
      <c r="I6314" s="3" t="inlineStr">
        <is>
          <t>전</t>
        </is>
      </c>
      <c r="J6314" s="3" t="inlineStr">
        <is>
          <t>장군면</t>
        </is>
      </c>
    </row>
    <row r="6315">
      <c r="A6315" s="3" t="n">
        <v>2025</v>
      </c>
      <c r="B6315" s="4" t="n">
        <v>71750</v>
      </c>
      <c r="C6315" s="4" t="n">
        <v>6778</v>
      </c>
      <c r="D6315" s="4" t="n">
        <v>2050.345</v>
      </c>
      <c r="E6315" s="5" t="n">
        <v>35</v>
      </c>
      <c r="F6315" s="3" t="inlineStr">
        <is>
          <t>부강면</t>
        </is>
      </c>
      <c r="G6315" s="3" t="inlineStr">
        <is>
          <t>갈산리</t>
        </is>
      </c>
      <c r="H6315" s="3" t="inlineStr">
        <is>
          <t>계획관리지역</t>
        </is>
      </c>
      <c r="I6315" s="3" t="inlineStr">
        <is>
          <t>임야</t>
        </is>
      </c>
      <c r="J6315" s="3" t="inlineStr">
        <is>
          <t>부강면</t>
        </is>
      </c>
    </row>
    <row r="6316">
      <c r="A6316" s="3" t="n">
        <v>2025</v>
      </c>
      <c r="B6316" s="4" t="n">
        <v>33000</v>
      </c>
      <c r="C6316" s="4" t="n">
        <v>3098</v>
      </c>
      <c r="D6316" s="4" t="n">
        <v>937.145</v>
      </c>
      <c r="E6316" s="5" t="n">
        <v>35.2</v>
      </c>
      <c r="F6316" s="3" t="inlineStr">
        <is>
          <t>전의면</t>
        </is>
      </c>
      <c r="G6316" s="3" t="inlineStr">
        <is>
          <t>원성리</t>
        </is>
      </c>
      <c r="H6316" s="3" t="inlineStr">
        <is>
          <t>계획관리지역</t>
        </is>
      </c>
      <c r="I6316" s="3" t="inlineStr">
        <is>
          <t>답</t>
        </is>
      </c>
      <c r="J6316" s="3" t="inlineStr">
        <is>
          <t>전의면</t>
        </is>
      </c>
    </row>
    <row r="6317">
      <c r="A6317" s="3" t="n">
        <v>2025</v>
      </c>
      <c r="B6317" s="4" t="n">
        <v>1035</v>
      </c>
      <c r="C6317" s="4" t="n">
        <v>684</v>
      </c>
      <c r="D6317" s="4" t="n">
        <v>206.91</v>
      </c>
      <c r="E6317" s="5" t="n">
        <v>5</v>
      </c>
      <c r="F6317" s="3" t="inlineStr">
        <is>
          <t>금남면</t>
        </is>
      </c>
      <c r="G6317" s="3" t="inlineStr">
        <is>
          <t>남곡리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110</v>
      </c>
      <c r="C6318" s="4" t="n">
        <v>74</v>
      </c>
      <c r="D6318" s="4" t="n">
        <v>22.385</v>
      </c>
      <c r="E6318" s="5" t="n">
        <v>4.9</v>
      </c>
      <c r="F6318" s="3" t="inlineStr">
        <is>
          <t>금남면</t>
        </is>
      </c>
      <c r="G6318" s="3" t="inlineStr">
        <is>
          <t>남곡리</t>
        </is>
      </c>
      <c r="H6318" s="3" t="inlineStr">
        <is>
          <t>개발제한구역</t>
        </is>
      </c>
      <c r="I6318" s="3" t="inlineStr">
        <is>
          <t>전</t>
        </is>
      </c>
      <c r="J6318" s="3" t="inlineStr">
        <is>
          <t>금남면</t>
        </is>
      </c>
    </row>
    <row r="6319">
      <c r="A6319" s="3" t="n">
        <v>2025</v>
      </c>
      <c r="B6319" s="4" t="n">
        <v>66000</v>
      </c>
      <c r="C6319" s="4" t="n">
        <v>4848.2</v>
      </c>
      <c r="D6319" s="4" t="n">
        <v>1466.5805</v>
      </c>
      <c r="E6319" s="5" t="n">
        <v>45</v>
      </c>
      <c r="F6319" s="3" t="inlineStr">
        <is>
          <t>연동면</t>
        </is>
      </c>
      <c r="G6319" s="3" t="inlineStr">
        <is>
          <t>송용리</t>
        </is>
      </c>
      <c r="H6319" s="3" t="inlineStr">
        <is>
          <t>농림지역</t>
        </is>
      </c>
      <c r="I6319" s="3" t="inlineStr">
        <is>
          <t>답</t>
        </is>
      </c>
      <c r="J6319" s="3" t="inlineStr">
        <is>
          <t>연동면</t>
        </is>
      </c>
    </row>
    <row r="6320">
      <c r="A6320" s="3" t="n">
        <v>2025</v>
      </c>
      <c r="B6320" s="4" t="n">
        <v>4000</v>
      </c>
      <c r="C6320" s="4" t="n">
        <v>1332</v>
      </c>
      <c r="D6320" s="4" t="n">
        <v>402.93</v>
      </c>
      <c r="E6320" s="5" t="n">
        <v>9.9</v>
      </c>
      <c r="F6320" s="3" t="inlineStr">
        <is>
          <t>전동면</t>
        </is>
      </c>
      <c r="G6320" s="3" t="inlineStr">
        <is>
          <t>봉대리</t>
        </is>
      </c>
      <c r="H6320" s="3" t="inlineStr">
        <is>
          <t>생산관리지역</t>
        </is>
      </c>
      <c r="I6320" s="3" t="inlineStr">
        <is>
          <t>전</t>
        </is>
      </c>
      <c r="J6320" s="3" t="inlineStr">
        <is>
          <t>전동면</t>
        </is>
      </c>
    </row>
    <row r="6321">
      <c r="A6321" s="3" t="n">
        <v>2025</v>
      </c>
      <c r="B6321" s="4" t="n">
        <v>2000</v>
      </c>
      <c r="C6321" s="4" t="n">
        <v>198</v>
      </c>
      <c r="D6321" s="4" t="n">
        <v>59.895</v>
      </c>
      <c r="E6321" s="5" t="n">
        <v>33.4</v>
      </c>
      <c r="F6321" s="3" t="inlineStr">
        <is>
          <t>부강면</t>
        </is>
      </c>
      <c r="G6321" s="3" t="inlineStr">
        <is>
          <t>등곡리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부강면</t>
        </is>
      </c>
    </row>
    <row r="6322">
      <c r="A6322" s="3" t="n">
        <v>2024</v>
      </c>
      <c r="B6322" s="4" t="n">
        <v>35520</v>
      </c>
      <c r="C6322" s="4" t="n">
        <v>466</v>
      </c>
      <c r="D6322" s="4" t="n">
        <v>140.965</v>
      </c>
      <c r="E6322" s="5" t="n">
        <v>252</v>
      </c>
      <c r="F6322" s="3" t="inlineStr">
        <is>
          <t>장군면</t>
        </is>
      </c>
      <c r="G6322" s="3" t="inlineStr">
        <is>
          <t>산학리</t>
        </is>
      </c>
      <c r="H6322" s="3" t="inlineStr">
        <is>
          <t>보전관리지역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2024</v>
      </c>
      <c r="B6323" s="4" t="n">
        <v>48137</v>
      </c>
      <c r="C6323" s="4" t="n">
        <v>2720</v>
      </c>
      <c r="D6323" s="4" t="n">
        <v>822.8</v>
      </c>
      <c r="E6323" s="5" t="n">
        <v>58.5</v>
      </c>
      <c r="F6323" s="3" t="inlineStr">
        <is>
          <t>연서면</t>
        </is>
      </c>
      <c r="G6323" s="3" t="inlineStr">
        <is>
          <t>기룡리</t>
        </is>
      </c>
      <c r="H6323" s="3" t="inlineStr">
        <is>
          <t>생산관리지역</t>
        </is>
      </c>
      <c r="I6323" s="3" t="inlineStr">
        <is>
          <t>목장용지</t>
        </is>
      </c>
      <c r="J6323" s="3" t="inlineStr">
        <is>
          <t>연서면</t>
        </is>
      </c>
    </row>
    <row r="6324">
      <c r="A6324" s="3" t="n">
        <v>2024</v>
      </c>
      <c r="B6324" s="4" t="n">
        <v>1363</v>
      </c>
      <c r="C6324" s="4" t="n">
        <v>77</v>
      </c>
      <c r="D6324" s="4" t="n">
        <v>23.2925</v>
      </c>
      <c r="E6324" s="5" t="n">
        <v>58.5</v>
      </c>
      <c r="F6324" s="3" t="inlineStr">
        <is>
          <t>연서면</t>
        </is>
      </c>
      <c r="G6324" s="3" t="inlineStr">
        <is>
          <t>기룡리</t>
        </is>
      </c>
      <c r="H6324" s="3" t="inlineStr">
        <is>
          <t>생산관리지역</t>
        </is>
      </c>
      <c r="I6324" s="3" t="inlineStr">
        <is>
          <t>목장용지</t>
        </is>
      </c>
      <c r="J6324" s="3" t="inlineStr">
        <is>
          <t>연서면</t>
        </is>
      </c>
    </row>
    <row r="6325">
      <c r="A6325" s="3" t="n">
        <v>2024</v>
      </c>
      <c r="B6325" s="4" t="n">
        <v>10000</v>
      </c>
      <c r="C6325" s="4" t="n">
        <v>321</v>
      </c>
      <c r="D6325" s="4" t="n">
        <v>97.10249999999999</v>
      </c>
      <c r="E6325" s="5" t="n">
        <v>103</v>
      </c>
      <c r="F6325" s="3" t="inlineStr">
        <is>
          <t>연동면</t>
        </is>
      </c>
      <c r="G6325" s="3" t="inlineStr">
        <is>
          <t>노송리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연동면</t>
        </is>
      </c>
    </row>
    <row r="6326">
      <c r="A6326" s="3" t="n">
        <v>2024</v>
      </c>
      <c r="B6326" s="4" t="n">
        <v>35520</v>
      </c>
      <c r="C6326" s="4" t="n">
        <v>466</v>
      </c>
      <c r="D6326" s="4" t="n">
        <v>140.965</v>
      </c>
      <c r="E6326" s="5" t="n">
        <v>252</v>
      </c>
      <c r="F6326" s="3" t="inlineStr">
        <is>
          <t>장군면</t>
        </is>
      </c>
      <c r="G6326" s="3" t="inlineStr">
        <is>
          <t>산학리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장군면</t>
        </is>
      </c>
    </row>
    <row r="6327">
      <c r="A6327" s="3" t="n">
        <v>2024</v>
      </c>
      <c r="B6327" s="4" t="n">
        <v>2471</v>
      </c>
      <c r="C6327" s="4" t="n">
        <v>34</v>
      </c>
      <c r="D6327" s="4" t="n">
        <v>10.285</v>
      </c>
      <c r="E6327" s="5" t="n">
        <v>240.3</v>
      </c>
      <c r="F6327" s="3" t="inlineStr">
        <is>
          <t>연기면</t>
        </is>
      </c>
      <c r="G6327" s="3" t="inlineStr">
        <is>
          <t>눌왕리</t>
        </is>
      </c>
      <c r="H6327" s="3" t="inlineStr">
        <is>
          <t>제1종일반주거지역</t>
        </is>
      </c>
      <c r="I6327" s="3" t="inlineStr">
        <is>
          <t>답</t>
        </is>
      </c>
      <c r="J6327" s="3" t="inlineStr">
        <is>
          <t>연기면</t>
        </is>
      </c>
    </row>
    <row r="6328">
      <c r="A6328" s="3" t="n">
        <v>2024</v>
      </c>
      <c r="B6328" s="4" t="n">
        <v>35520</v>
      </c>
      <c r="C6328" s="4" t="n">
        <v>466</v>
      </c>
      <c r="D6328" s="4" t="n">
        <v>140.965</v>
      </c>
      <c r="E6328" s="5" t="n">
        <v>252</v>
      </c>
      <c r="F6328" s="3" t="inlineStr">
        <is>
          <t>장군면</t>
        </is>
      </c>
      <c r="G6328" s="3" t="inlineStr">
        <is>
          <t>산학리</t>
        </is>
      </c>
      <c r="H6328" s="3" t="inlineStr">
        <is>
          <t>보전관리지역</t>
        </is>
      </c>
      <c r="I6328" s="3" t="inlineStr">
        <is>
          <t>대</t>
        </is>
      </c>
      <c r="J6328" s="3" t="inlineStr">
        <is>
          <t>장군면</t>
        </is>
      </c>
    </row>
    <row r="6329">
      <c r="A6329" s="3" t="n">
        <v>2026</v>
      </c>
      <c r="B6329" s="4" t="n">
        <v>1750</v>
      </c>
      <c r="C6329" s="4" t="n">
        <v>132</v>
      </c>
      <c r="D6329" s="4" t="n">
        <v>39.93</v>
      </c>
      <c r="E6329" s="5" t="n">
        <v>43.8</v>
      </c>
      <c r="F6329" s="3" t="inlineStr">
        <is>
          <t>연기면</t>
        </is>
      </c>
      <c r="G6329" s="3" t="inlineStr">
        <is>
          <t>눌왕리</t>
        </is>
      </c>
      <c r="H6329" s="3" t="inlineStr">
        <is>
          <t>보전관리지역</t>
        </is>
      </c>
      <c r="I6329" s="3" t="inlineStr">
        <is>
          <t>임야</t>
        </is>
      </c>
      <c r="J6329" s="3" t="inlineStr">
        <is>
          <t>연기면</t>
        </is>
      </c>
    </row>
    <row r="6330">
      <c r="A6330" s="3" t="n">
        <v>2026</v>
      </c>
      <c r="B6330" s="4" t="n">
        <v>57000</v>
      </c>
      <c r="C6330" s="4" t="n">
        <v>740</v>
      </c>
      <c r="D6330" s="4" t="n">
        <v>223.85</v>
      </c>
      <c r="E6330" s="5" t="n">
        <v>254.6</v>
      </c>
      <c r="F6330" s="3" t="inlineStr">
        <is>
          <t>장군면</t>
        </is>
      </c>
      <c r="G6330" s="3" t="inlineStr">
        <is>
          <t>금암리</t>
        </is>
      </c>
      <c r="H6330" s="3" t="inlineStr">
        <is>
          <t>계획관리지역</t>
        </is>
      </c>
      <c r="I6330" s="3" t="inlineStr">
        <is>
          <t>대</t>
        </is>
      </c>
      <c r="J6330" s="3" t="inlineStr">
        <is>
          <t>장군면</t>
        </is>
      </c>
    </row>
    <row r="6331">
      <c r="A6331" s="3" t="n">
        <v>2026</v>
      </c>
      <c r="B6331" s="4" t="n">
        <v>58650</v>
      </c>
      <c r="C6331" s="4" t="n">
        <v>2985</v>
      </c>
      <c r="D6331" s="4" t="n">
        <v>902.9625</v>
      </c>
      <c r="E6331" s="5" t="n">
        <v>65</v>
      </c>
      <c r="F6331" s="3" t="inlineStr">
        <is>
          <t>연서면</t>
        </is>
      </c>
      <c r="G6331" s="3" t="inlineStr">
        <is>
          <t>성제리</t>
        </is>
      </c>
      <c r="H6331" s="3" t="inlineStr">
        <is>
          <t>농림지역</t>
        </is>
      </c>
      <c r="I6331" s="3" t="inlineStr">
        <is>
          <t>답</t>
        </is>
      </c>
      <c r="J6331" s="3" t="inlineStr">
        <is>
          <t>연서면</t>
        </is>
      </c>
    </row>
    <row r="6332">
      <c r="A6332" s="3" t="n">
        <v>2026</v>
      </c>
      <c r="B6332" s="4" t="n">
        <v>12000</v>
      </c>
      <c r="C6332" s="4" t="n">
        <v>952</v>
      </c>
      <c r="D6332" s="4" t="n">
        <v>287.98</v>
      </c>
      <c r="E6332" s="5" t="n">
        <v>41.7</v>
      </c>
      <c r="F6332" s="3" t="inlineStr">
        <is>
          <t>전의면</t>
        </is>
      </c>
      <c r="G6332" s="3" t="inlineStr">
        <is>
          <t>서정리</t>
        </is>
      </c>
      <c r="H6332" s="3" t="inlineStr">
        <is>
          <t>계획관리지역</t>
        </is>
      </c>
      <c r="I6332" s="3" t="inlineStr">
        <is>
          <t>전</t>
        </is>
      </c>
      <c r="J6332" s="3" t="inlineStr">
        <is>
          <t>전의면</t>
        </is>
      </c>
    </row>
    <row r="6333">
      <c r="A6333" s="3" t="n">
        <v>2026</v>
      </c>
      <c r="B6333" s="4" t="n">
        <v>287140</v>
      </c>
      <c r="C6333" s="4" t="n">
        <v>27122</v>
      </c>
      <c r="D6333" s="4" t="n">
        <v>8204.405000000001</v>
      </c>
      <c r="E6333" s="5" t="n">
        <v>35</v>
      </c>
      <c r="F6333" s="3" t="inlineStr">
        <is>
          <t>장군면</t>
        </is>
      </c>
      <c r="G6333" s="3" t="inlineStr">
        <is>
          <t>송정리</t>
        </is>
      </c>
      <c r="H6333" s="3" t="inlineStr">
        <is>
          <t>보전관리지역</t>
        </is>
      </c>
      <c r="I6333" s="3" t="inlineStr">
        <is>
          <t>임야</t>
        </is>
      </c>
      <c r="J6333" s="3" t="inlineStr">
        <is>
          <t>장군면</t>
        </is>
      </c>
    </row>
    <row r="6334">
      <c r="A6334" s="3" t="n">
        <v>2026</v>
      </c>
      <c r="B6334" s="4" t="n">
        <v>36316</v>
      </c>
      <c r="C6334" s="4" t="n">
        <v>2760.7</v>
      </c>
      <c r="D6334" s="4" t="n">
        <v>835.1117499999999</v>
      </c>
      <c r="E6334" s="5" t="n">
        <v>43.5</v>
      </c>
      <c r="F6334" s="3" t="inlineStr">
        <is>
          <t>연동면</t>
        </is>
      </c>
      <c r="G6334" s="3" t="inlineStr">
        <is>
          <t>송용리</t>
        </is>
      </c>
      <c r="H6334" s="3" t="inlineStr">
        <is>
          <t>농림지역</t>
        </is>
      </c>
      <c r="I6334" s="3" t="inlineStr">
        <is>
          <t>답</t>
        </is>
      </c>
      <c r="J6334" s="3" t="inlineStr">
        <is>
          <t>연동면</t>
        </is>
      </c>
    </row>
    <row r="6335">
      <c r="A6335" s="3" t="n">
        <v>2026</v>
      </c>
      <c r="B6335" s="4" t="n">
        <v>36111</v>
      </c>
      <c r="C6335" s="4" t="n">
        <v>2743.5</v>
      </c>
      <c r="D6335" s="4" t="n">
        <v>829.9087499999999</v>
      </c>
      <c r="E6335" s="5" t="n">
        <v>43.5</v>
      </c>
      <c r="F6335" s="3" t="inlineStr">
        <is>
          <t>연동면</t>
        </is>
      </c>
      <c r="G6335" s="3" t="inlineStr">
        <is>
          <t>송용리</t>
        </is>
      </c>
      <c r="H6335" s="3" t="inlineStr">
        <is>
          <t>농림지역</t>
        </is>
      </c>
      <c r="I6335" s="3" t="inlineStr">
        <is>
          <t>답</t>
        </is>
      </c>
      <c r="J6335" s="3" t="inlineStr">
        <is>
          <t>연동면</t>
        </is>
      </c>
    </row>
    <row r="6336">
      <c r="A6336" s="3" t="n">
        <v>2026</v>
      </c>
      <c r="B6336" s="4" t="n">
        <v>48500</v>
      </c>
      <c r="C6336" s="4" t="n">
        <v>300.9</v>
      </c>
      <c r="D6336" s="4" t="n">
        <v>91.02224999999999</v>
      </c>
      <c r="E6336" s="5" t="n">
        <v>532.8</v>
      </c>
      <c r="F6336" s="3" t="inlineStr">
        <is>
          <t>해밀동</t>
        </is>
      </c>
      <c r="G6336" s="3" t="inlineStr"/>
      <c r="H6336" s="3" t="inlineStr">
        <is>
          <t>제1종전용주거지역</t>
        </is>
      </c>
      <c r="I6336" s="3" t="inlineStr">
        <is>
          <t>대</t>
        </is>
      </c>
      <c r="J6336" s="3" t="inlineStr">
        <is>
          <t>해밀동</t>
        </is>
      </c>
    </row>
    <row r="6337">
      <c r="A6337" s="3" t="n">
        <v>2026</v>
      </c>
      <c r="B6337" s="4" t="n">
        <v>3000</v>
      </c>
      <c r="C6337" s="4" t="n">
        <v>499</v>
      </c>
      <c r="D6337" s="4" t="n">
        <v>150.9475</v>
      </c>
      <c r="E6337" s="5" t="n">
        <v>19.9</v>
      </c>
      <c r="F6337" s="3" t="inlineStr">
        <is>
          <t>소정면</t>
        </is>
      </c>
      <c r="G6337" s="3" t="inlineStr">
        <is>
          <t>고등리</t>
        </is>
      </c>
      <c r="H6337" s="3" t="inlineStr">
        <is>
          <t>계획관리지역</t>
        </is>
      </c>
      <c r="I6337" s="3" t="inlineStr">
        <is>
          <t>전</t>
        </is>
      </c>
      <c r="J6337" s="3" t="inlineStr">
        <is>
          <t>소정면</t>
        </is>
      </c>
    </row>
    <row r="6338">
      <c r="A6338" s="3" t="n">
        <v>2026</v>
      </c>
      <c r="B6338" s="4" t="n">
        <v>6000</v>
      </c>
      <c r="C6338" s="4" t="n">
        <v>67</v>
      </c>
      <c r="D6338" s="4" t="n">
        <v>20.2675</v>
      </c>
      <c r="E6338" s="5" t="n">
        <v>296</v>
      </c>
      <c r="F6338" s="3" t="inlineStr">
        <is>
          <t>연서면</t>
        </is>
      </c>
      <c r="G6338" s="3" t="inlineStr">
        <is>
          <t>국촌리</t>
        </is>
      </c>
      <c r="H6338" s="3" t="inlineStr">
        <is>
          <t>계획관리지역</t>
        </is>
      </c>
      <c r="I6338" s="3" t="inlineStr">
        <is>
          <t>과수원</t>
        </is>
      </c>
      <c r="J6338" s="3" t="inlineStr">
        <is>
          <t>연서면</t>
        </is>
      </c>
    </row>
    <row r="6339">
      <c r="A6339" s="3" t="n">
        <v>2026</v>
      </c>
      <c r="B6339" s="4" t="n">
        <v>500</v>
      </c>
      <c r="C6339" s="4" t="n">
        <v>95</v>
      </c>
      <c r="D6339" s="4" t="n">
        <v>28.7375</v>
      </c>
      <c r="E6339" s="5" t="n">
        <v>17.4</v>
      </c>
      <c r="F6339" s="3" t="inlineStr">
        <is>
          <t>전의면</t>
        </is>
      </c>
      <c r="G6339" s="3" t="inlineStr">
        <is>
          <t>유천리</t>
        </is>
      </c>
      <c r="H6339" s="3" t="inlineStr">
        <is>
          <t>계획관리지역</t>
        </is>
      </c>
      <c r="I6339" s="3" t="inlineStr">
        <is>
          <t>임야</t>
        </is>
      </c>
      <c r="J6339" s="3" t="inlineStr">
        <is>
          <t>전의면</t>
        </is>
      </c>
    </row>
    <row r="6340">
      <c r="A6340" s="3" t="n">
        <v>2026</v>
      </c>
      <c r="B6340" s="4" t="n">
        <v>3950</v>
      </c>
      <c r="C6340" s="4" t="n">
        <v>238</v>
      </c>
      <c r="D6340" s="4" t="n">
        <v>71.995</v>
      </c>
      <c r="E6340" s="5" t="n">
        <v>54.9</v>
      </c>
      <c r="F6340" s="3" t="inlineStr">
        <is>
          <t>부강면</t>
        </is>
      </c>
      <c r="G6340" s="3" t="inlineStr">
        <is>
          <t>문곡리</t>
        </is>
      </c>
      <c r="H6340" s="3" t="inlineStr">
        <is>
          <t>계획관리지역</t>
        </is>
      </c>
      <c r="I6340" s="3" t="inlineStr">
        <is>
          <t>답</t>
        </is>
      </c>
      <c r="J6340" s="3" t="inlineStr">
        <is>
          <t>부강면</t>
        </is>
      </c>
    </row>
    <row r="6341">
      <c r="A6341" s="3" t="n">
        <v>2026</v>
      </c>
      <c r="B6341" s="4" t="n">
        <v>5800</v>
      </c>
      <c r="C6341" s="4" t="n">
        <v>66</v>
      </c>
      <c r="D6341" s="4" t="n">
        <v>19.965</v>
      </c>
      <c r="E6341" s="5" t="n">
        <v>290.5</v>
      </c>
      <c r="F6341" s="3" t="inlineStr">
        <is>
          <t>부강면</t>
        </is>
      </c>
      <c r="G6341" s="3" t="inlineStr">
        <is>
          <t>부강리</t>
        </is>
      </c>
      <c r="H6341" s="3" t="inlineStr">
        <is>
          <t>제2종일반주거지역</t>
        </is>
      </c>
      <c r="I6341" s="3" t="inlineStr">
        <is>
          <t>대</t>
        </is>
      </c>
      <c r="J6341" s="3" t="inlineStr">
        <is>
          <t>부강면</t>
        </is>
      </c>
    </row>
    <row r="6342">
      <c r="A6342" s="3" t="n">
        <v>2026</v>
      </c>
      <c r="B6342" s="4" t="n">
        <v>9300</v>
      </c>
      <c r="C6342" s="4" t="n">
        <v>500</v>
      </c>
      <c r="D6342" s="4" t="n">
        <v>151.25</v>
      </c>
      <c r="E6342" s="5" t="n">
        <v>61.5</v>
      </c>
      <c r="F6342" s="3" t="inlineStr">
        <is>
          <t>장군면</t>
        </is>
      </c>
      <c r="G6342" s="3" t="inlineStr">
        <is>
          <t>송정리</t>
        </is>
      </c>
      <c r="H6342" s="3" t="inlineStr">
        <is>
          <t>보전관리지역</t>
        </is>
      </c>
      <c r="I6342" s="3" t="inlineStr">
        <is>
          <t>임야</t>
        </is>
      </c>
      <c r="J6342" s="3" t="inlineStr">
        <is>
          <t>장군면</t>
        </is>
      </c>
    </row>
    <row r="6343">
      <c r="A6343" s="3" t="n">
        <v>2026</v>
      </c>
      <c r="B6343" s="4" t="n">
        <v>3777</v>
      </c>
      <c r="C6343" s="4" t="n">
        <v>21</v>
      </c>
      <c r="D6343" s="4" t="n">
        <v>6.3525</v>
      </c>
      <c r="E6343" s="5" t="n">
        <v>594.6</v>
      </c>
      <c r="F6343" s="3" t="inlineStr">
        <is>
          <t>금남면</t>
        </is>
      </c>
      <c r="G6343" s="3" t="inlineStr">
        <is>
          <t>용포리</t>
        </is>
      </c>
      <c r="H6343" s="3" t="inlineStr">
        <is>
          <t>제2종일반주거지역</t>
        </is>
      </c>
      <c r="I6343" s="3" t="inlineStr">
        <is>
          <t>대</t>
        </is>
      </c>
      <c r="J6343" s="3" t="inlineStr">
        <is>
          <t>금남면</t>
        </is>
      </c>
    </row>
    <row r="6344">
      <c r="A6344" s="3" t="n">
        <v>2026</v>
      </c>
      <c r="B6344" s="4" t="n">
        <v>646</v>
      </c>
      <c r="C6344" s="4" t="n">
        <v>4</v>
      </c>
      <c r="D6344" s="4" t="n">
        <v>1.21</v>
      </c>
      <c r="E6344" s="5" t="n">
        <v>533.9</v>
      </c>
      <c r="F6344" s="3" t="inlineStr">
        <is>
          <t>금남면</t>
        </is>
      </c>
      <c r="G6344" s="3" t="inlineStr">
        <is>
          <t>용포리</t>
        </is>
      </c>
      <c r="H6344" s="3" t="inlineStr">
        <is>
          <t>제1종일반주거지역</t>
        </is>
      </c>
      <c r="I6344" s="3" t="inlineStr">
        <is>
          <t>대</t>
        </is>
      </c>
      <c r="J6344" s="3" t="inlineStr">
        <is>
          <t>금남면</t>
        </is>
      </c>
    </row>
    <row r="6345">
      <c r="A6345" s="3" t="n">
        <v>2026</v>
      </c>
      <c r="B6345" s="4" t="n">
        <v>14562</v>
      </c>
      <c r="C6345" s="4" t="n">
        <v>192</v>
      </c>
      <c r="D6345" s="4" t="n">
        <v>58.08</v>
      </c>
      <c r="E6345" s="5" t="n">
        <v>250.7</v>
      </c>
      <c r="F6345" s="3" t="inlineStr">
        <is>
          <t>부강면</t>
        </is>
      </c>
      <c r="G6345" s="3" t="inlineStr">
        <is>
          <t>금호리</t>
        </is>
      </c>
      <c r="H6345" s="3" t="inlineStr">
        <is>
          <t>생산관리지역</t>
        </is>
      </c>
      <c r="I6345" s="3" t="inlineStr">
        <is>
          <t>공장용지</t>
        </is>
      </c>
      <c r="J6345" s="3" t="inlineStr">
        <is>
          <t>부강면</t>
        </is>
      </c>
    </row>
    <row r="6346">
      <c r="A6346" s="3" t="n">
        <v>2026</v>
      </c>
      <c r="B6346" s="4" t="n">
        <v>275</v>
      </c>
      <c r="C6346" s="4" t="n">
        <v>7</v>
      </c>
      <c r="D6346" s="4" t="n">
        <v>2.1175</v>
      </c>
      <c r="E6346" s="5" t="n">
        <v>129.9</v>
      </c>
      <c r="F6346" s="3" t="inlineStr">
        <is>
          <t>부강면</t>
        </is>
      </c>
      <c r="G6346" s="3" t="inlineStr">
        <is>
          <t>금호리</t>
        </is>
      </c>
      <c r="H6346" s="3" t="inlineStr">
        <is>
          <t>계획관리지역</t>
        </is>
      </c>
      <c r="I6346" s="3" t="inlineStr">
        <is>
          <t>도로</t>
        </is>
      </c>
      <c r="J6346" s="3" t="inlineStr">
        <is>
          <t>부강면</t>
        </is>
      </c>
    </row>
    <row r="6347">
      <c r="A6347" s="3" t="n">
        <v>2023</v>
      </c>
      <c r="B6347" s="4" t="n">
        <v>4930</v>
      </c>
      <c r="C6347" s="4" t="n">
        <v>78</v>
      </c>
      <c r="D6347" s="4" t="n">
        <v>23.595</v>
      </c>
      <c r="E6347" s="5" t="n">
        <v>208.9</v>
      </c>
      <c r="F6347" s="3" t="inlineStr">
        <is>
          <t>장군면</t>
        </is>
      </c>
      <c r="G6347" s="3" t="inlineStr">
        <is>
          <t>대교리</t>
        </is>
      </c>
      <c r="H6347" s="3" t="inlineStr">
        <is>
          <t>농림지역</t>
        </is>
      </c>
      <c r="I6347" s="3" t="inlineStr">
        <is>
          <t>구거</t>
        </is>
      </c>
      <c r="J6347" s="3" t="inlineStr">
        <is>
          <t>장군면</t>
        </is>
      </c>
    </row>
    <row r="6348">
      <c r="A6348" s="3" t="n">
        <v>2023</v>
      </c>
      <c r="B6348" s="4" t="n">
        <v>25000</v>
      </c>
      <c r="C6348" s="4" t="n">
        <v>1141</v>
      </c>
      <c r="D6348" s="4" t="n">
        <v>345.1525</v>
      </c>
      <c r="E6348" s="5" t="n">
        <v>72.40000000000001</v>
      </c>
      <c r="F6348" s="3" t="inlineStr">
        <is>
          <t>장군면</t>
        </is>
      </c>
      <c r="G6348" s="3" t="inlineStr">
        <is>
          <t>송학리</t>
        </is>
      </c>
      <c r="H6348" s="3" t="inlineStr">
        <is>
          <t>보전관리지역</t>
        </is>
      </c>
      <c r="I6348" s="3" t="inlineStr">
        <is>
          <t>임야</t>
        </is>
      </c>
      <c r="J6348" s="3" t="inlineStr">
        <is>
          <t>장군면</t>
        </is>
      </c>
    </row>
    <row r="6349">
      <c r="A6349" s="3" t="n">
        <v>2023</v>
      </c>
      <c r="B6349" s="4" t="n">
        <v>310000</v>
      </c>
      <c r="C6349" s="4" t="n">
        <v>14730</v>
      </c>
      <c r="D6349" s="4" t="n">
        <v>4455.825</v>
      </c>
      <c r="E6349" s="5" t="n">
        <v>69.59999999999999</v>
      </c>
      <c r="F6349" s="3" t="inlineStr">
        <is>
          <t>장군면</t>
        </is>
      </c>
      <c r="G6349" s="3" t="inlineStr">
        <is>
          <t>송정리</t>
        </is>
      </c>
      <c r="H6349" s="3" t="inlineStr">
        <is>
          <t>보전관리지역</t>
        </is>
      </c>
      <c r="I6349" s="3" t="inlineStr">
        <is>
          <t>임야</t>
        </is>
      </c>
      <c r="J6349" s="3" t="inlineStr">
        <is>
          <t>장군면</t>
        </is>
      </c>
    </row>
    <row r="6350">
      <c r="A6350" s="3" t="n">
        <v>2023</v>
      </c>
      <c r="B6350" s="4" t="n">
        <v>22441</v>
      </c>
      <c r="C6350" s="4" t="n">
        <v>1092</v>
      </c>
      <c r="D6350" s="4" t="n">
        <v>330.33</v>
      </c>
      <c r="E6350" s="5" t="n">
        <v>67.90000000000001</v>
      </c>
      <c r="F6350" s="3" t="inlineStr">
        <is>
          <t>연서면</t>
        </is>
      </c>
      <c r="G6350" s="3" t="inlineStr">
        <is>
          <t>청라리</t>
        </is>
      </c>
      <c r="H6350" s="3" t="inlineStr">
        <is>
          <t>생산관리지역</t>
        </is>
      </c>
      <c r="I6350" s="3" t="inlineStr">
        <is>
          <t>목장용지</t>
        </is>
      </c>
      <c r="J6350" s="3" t="inlineStr">
        <is>
          <t>연서면</t>
        </is>
      </c>
    </row>
    <row r="6351">
      <c r="A6351" s="3" t="n">
        <v>2023</v>
      </c>
      <c r="B6351" s="4" t="n">
        <v>3400</v>
      </c>
      <c r="C6351" s="4" t="n">
        <v>661</v>
      </c>
      <c r="D6351" s="4" t="n">
        <v>199.9525</v>
      </c>
      <c r="E6351" s="5" t="n">
        <v>17</v>
      </c>
      <c r="F6351" s="3" t="inlineStr">
        <is>
          <t>전동면</t>
        </is>
      </c>
      <c r="G6351" s="3" t="inlineStr">
        <is>
          <t>미곡리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전동면</t>
        </is>
      </c>
    </row>
    <row r="6352">
      <c r="A6352" s="3" t="n">
        <v>2023</v>
      </c>
      <c r="B6352" s="4" t="n">
        <v>40000</v>
      </c>
      <c r="C6352" s="4" t="n">
        <v>2000</v>
      </c>
      <c r="D6352" s="4" t="n">
        <v>605</v>
      </c>
      <c r="E6352" s="5" t="n">
        <v>66.09999999999999</v>
      </c>
      <c r="F6352" s="3" t="inlineStr">
        <is>
          <t>연동면</t>
        </is>
      </c>
      <c r="G6352" s="3" t="inlineStr">
        <is>
          <t>예양리</t>
        </is>
      </c>
      <c r="H6352" s="3" t="inlineStr">
        <is>
          <t>농림지역</t>
        </is>
      </c>
      <c r="I6352" s="3" t="inlineStr">
        <is>
          <t>답</t>
        </is>
      </c>
      <c r="J6352" s="3" t="inlineStr">
        <is>
          <t>연동면</t>
        </is>
      </c>
    </row>
    <row r="6353">
      <c r="A6353" s="3" t="n">
        <v>2023</v>
      </c>
      <c r="B6353" s="4" t="n">
        <v>17770</v>
      </c>
      <c r="C6353" s="4" t="n">
        <v>1959.2</v>
      </c>
      <c r="D6353" s="4" t="n">
        <v>592.658</v>
      </c>
      <c r="E6353" s="5" t="n">
        <v>30</v>
      </c>
      <c r="F6353" s="3" t="inlineStr">
        <is>
          <t>전의면</t>
        </is>
      </c>
      <c r="G6353" s="3" t="inlineStr">
        <is>
          <t>다방리</t>
        </is>
      </c>
      <c r="H6353" s="3" t="inlineStr">
        <is>
          <t>생산관리지역</t>
        </is>
      </c>
      <c r="I6353" s="3" t="inlineStr">
        <is>
          <t>답</t>
        </is>
      </c>
      <c r="J6353" s="3" t="inlineStr">
        <is>
          <t>전의면</t>
        </is>
      </c>
    </row>
    <row r="6354">
      <c r="A6354" s="3" t="n">
        <v>2023</v>
      </c>
      <c r="B6354" s="4" t="n">
        <v>62000</v>
      </c>
      <c r="C6354" s="4" t="n">
        <v>821</v>
      </c>
      <c r="D6354" s="4" t="n">
        <v>248.3525</v>
      </c>
      <c r="E6354" s="5" t="n">
        <v>249.6</v>
      </c>
      <c r="F6354" s="3" t="inlineStr">
        <is>
          <t>금남면</t>
        </is>
      </c>
      <c r="G6354" s="3" t="inlineStr">
        <is>
          <t>영곡리</t>
        </is>
      </c>
      <c r="H6354" s="3" t="inlineStr">
        <is>
          <t>보전관리지역</t>
        </is>
      </c>
      <c r="I6354" s="3" t="inlineStr">
        <is>
          <t>임야</t>
        </is>
      </c>
      <c r="J6354" s="3" t="inlineStr">
        <is>
          <t>금남면</t>
        </is>
      </c>
    </row>
    <row r="6355">
      <c r="A6355" s="3" t="n">
        <v>2023</v>
      </c>
      <c r="B6355" s="4" t="n">
        <v>4500</v>
      </c>
      <c r="C6355" s="4" t="n">
        <v>474</v>
      </c>
      <c r="D6355" s="4" t="n">
        <v>143.385</v>
      </c>
      <c r="E6355" s="5" t="n">
        <v>31.4</v>
      </c>
      <c r="F6355" s="3" t="inlineStr">
        <is>
          <t>연서면</t>
        </is>
      </c>
      <c r="G6355" s="3" t="inlineStr">
        <is>
          <t>고복리</t>
        </is>
      </c>
      <c r="H6355" s="3" t="inlineStr">
        <is>
          <t>자연녹지지역</t>
        </is>
      </c>
      <c r="I6355" s="3" t="inlineStr">
        <is>
          <t>도로</t>
        </is>
      </c>
      <c r="J6355" s="3" t="inlineStr">
        <is>
          <t>연서면</t>
        </is>
      </c>
    </row>
    <row r="6356">
      <c r="A6356" s="3" t="n">
        <v>2023</v>
      </c>
      <c r="B6356" s="4" t="n">
        <v>1600</v>
      </c>
      <c r="C6356" s="4" t="n">
        <v>50</v>
      </c>
      <c r="D6356" s="4" t="n">
        <v>15.125</v>
      </c>
      <c r="E6356" s="5" t="n">
        <v>105.8</v>
      </c>
      <c r="F6356" s="3" t="inlineStr">
        <is>
          <t>조치원읍</t>
        </is>
      </c>
      <c r="G6356" s="3" t="inlineStr">
        <is>
          <t>서창리</t>
        </is>
      </c>
      <c r="H6356" s="3" t="inlineStr">
        <is>
          <t>제1종일반주거지역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2023</v>
      </c>
      <c r="B6357" s="4" t="n">
        <v>17946</v>
      </c>
      <c r="C6357" s="4" t="n">
        <v>500</v>
      </c>
      <c r="D6357" s="4" t="n">
        <v>151.25</v>
      </c>
      <c r="E6357" s="5" t="n">
        <v>118.7</v>
      </c>
      <c r="F6357" s="3" t="inlineStr">
        <is>
          <t>장군면</t>
        </is>
      </c>
      <c r="G6357" s="3" t="inlineStr">
        <is>
          <t>송정리</t>
        </is>
      </c>
      <c r="H6357" s="3" t="inlineStr">
        <is>
          <t>보전관리지역</t>
        </is>
      </c>
      <c r="I6357" s="3" t="inlineStr">
        <is>
          <t>임야</t>
        </is>
      </c>
      <c r="J6357" s="3" t="inlineStr">
        <is>
          <t>장군면</t>
        </is>
      </c>
    </row>
    <row r="6358">
      <c r="A6358" s="3" t="n">
        <v>2022</v>
      </c>
      <c r="B6358" s="4" t="n">
        <v>3600</v>
      </c>
      <c r="C6358" s="4" t="n">
        <v>605</v>
      </c>
      <c r="D6358" s="4" t="n">
        <v>183.0125</v>
      </c>
      <c r="E6358" s="5" t="n">
        <v>19.7</v>
      </c>
      <c r="F6358" s="3" t="inlineStr">
        <is>
          <t>부강면</t>
        </is>
      </c>
      <c r="G6358" s="3" t="inlineStr">
        <is>
          <t>문곡리</t>
        </is>
      </c>
      <c r="H6358" s="3" t="inlineStr">
        <is>
          <t>계획관리지역</t>
        </is>
      </c>
      <c r="I6358" s="3" t="inlineStr">
        <is>
          <t>전</t>
        </is>
      </c>
      <c r="J6358" s="3" t="inlineStr">
        <is>
          <t>부강면</t>
        </is>
      </c>
    </row>
    <row r="6359">
      <c r="A6359" s="3" t="n">
        <v>2022</v>
      </c>
      <c r="B6359" s="4" t="n">
        <v>36476</v>
      </c>
      <c r="C6359" s="4" t="n">
        <v>462</v>
      </c>
      <c r="D6359" s="4" t="n">
        <v>139.755</v>
      </c>
      <c r="E6359" s="5" t="n">
        <v>261</v>
      </c>
      <c r="F6359" s="3" t="inlineStr">
        <is>
          <t>장군면</t>
        </is>
      </c>
      <c r="G6359" s="3" t="inlineStr">
        <is>
          <t>대교리</t>
        </is>
      </c>
      <c r="H6359" s="3" t="inlineStr">
        <is>
          <t>보전관리지역</t>
        </is>
      </c>
      <c r="I6359" s="3" t="inlineStr">
        <is>
          <t>대</t>
        </is>
      </c>
      <c r="J6359" s="3" t="inlineStr">
        <is>
          <t>장군면</t>
        </is>
      </c>
    </row>
    <row r="6360">
      <c r="A6360" s="3" t="n">
        <v>2022</v>
      </c>
      <c r="B6360" s="4" t="n">
        <v>5600</v>
      </c>
      <c r="C6360" s="4" t="n">
        <v>8231</v>
      </c>
      <c r="D6360" s="4" t="n">
        <v>2489.8775</v>
      </c>
      <c r="E6360" s="5" t="n">
        <v>2.2</v>
      </c>
      <c r="F6360" s="3" t="inlineStr">
        <is>
          <t>전동면</t>
        </is>
      </c>
      <c r="G6360" s="3" t="inlineStr">
        <is>
          <t>봉대리</t>
        </is>
      </c>
      <c r="H6360" s="3" t="inlineStr">
        <is>
          <t>농림지역</t>
        </is>
      </c>
      <c r="I6360" s="3" t="inlineStr">
        <is>
          <t>임야</t>
        </is>
      </c>
      <c r="J6360" s="3" t="inlineStr">
        <is>
          <t>전동면</t>
        </is>
      </c>
    </row>
    <row r="6361">
      <c r="A6361" s="3" t="n">
        <v>2022</v>
      </c>
      <c r="B6361" s="4" t="n">
        <v>61000</v>
      </c>
      <c r="C6361" s="4" t="n">
        <v>526</v>
      </c>
      <c r="D6361" s="4" t="n">
        <v>159.115</v>
      </c>
      <c r="E6361" s="5" t="n">
        <v>383.4</v>
      </c>
      <c r="F6361" s="3" t="inlineStr">
        <is>
          <t>금남면</t>
        </is>
      </c>
      <c r="G6361" s="3" t="inlineStr">
        <is>
          <t>황용리</t>
        </is>
      </c>
      <c r="H6361" s="3" t="inlineStr">
        <is>
          <t>생산관리지역</t>
        </is>
      </c>
      <c r="I6361" s="3" t="inlineStr">
        <is>
          <t>답</t>
        </is>
      </c>
      <c r="J6361" s="3" t="inlineStr">
        <is>
          <t>금남면</t>
        </is>
      </c>
    </row>
    <row r="6362">
      <c r="A6362" s="3" t="n">
        <v>2022</v>
      </c>
      <c r="B6362" s="4" t="n">
        <v>7501</v>
      </c>
      <c r="C6362" s="4" t="n">
        <v>4959</v>
      </c>
      <c r="D6362" s="4" t="n">
        <v>1500.0975</v>
      </c>
      <c r="E6362" s="5" t="n">
        <v>5</v>
      </c>
      <c r="F6362" s="3" t="inlineStr">
        <is>
          <t>소정면</t>
        </is>
      </c>
      <c r="G6362" s="3" t="inlineStr">
        <is>
          <t>대곡리</t>
        </is>
      </c>
      <c r="H6362" s="3" t="inlineStr">
        <is>
          <t>농림지역</t>
        </is>
      </c>
      <c r="I6362" s="3" t="inlineStr">
        <is>
          <t>임야</t>
        </is>
      </c>
      <c r="J6362" s="3" t="inlineStr">
        <is>
          <t>소정면</t>
        </is>
      </c>
    </row>
    <row r="6363">
      <c r="A6363" s="3" t="n">
        <v>2023</v>
      </c>
      <c r="B6363" s="4" t="n">
        <v>50000</v>
      </c>
      <c r="C6363" s="4" t="n">
        <v>661</v>
      </c>
      <c r="D6363" s="4" t="n">
        <v>199.9525</v>
      </c>
      <c r="E6363" s="5" t="n">
        <v>250.1</v>
      </c>
      <c r="F6363" s="3" t="inlineStr">
        <is>
          <t>금남면</t>
        </is>
      </c>
      <c r="G6363" s="3" t="inlineStr">
        <is>
          <t>호탄리</t>
        </is>
      </c>
      <c r="H6363" s="3" t="inlineStr">
        <is>
          <t>제1종일반주거지역</t>
        </is>
      </c>
      <c r="I6363" s="3" t="inlineStr">
        <is>
          <t>답</t>
        </is>
      </c>
      <c r="J6363" s="3" t="inlineStr">
        <is>
          <t>금남면</t>
        </is>
      </c>
    </row>
    <row r="6364">
      <c r="A6364" s="3" t="n">
        <v>2023</v>
      </c>
      <c r="B6364" s="4" t="n">
        <v>831</v>
      </c>
      <c r="C6364" s="4" t="n">
        <v>55</v>
      </c>
      <c r="D6364" s="4" t="n">
        <v>16.6375</v>
      </c>
      <c r="E6364" s="5" t="n">
        <v>49.9</v>
      </c>
      <c r="F6364" s="3" t="inlineStr">
        <is>
          <t>연동면</t>
        </is>
      </c>
      <c r="G6364" s="3" t="inlineStr">
        <is>
          <t>명학리</t>
        </is>
      </c>
      <c r="H6364" s="3" t="inlineStr">
        <is>
          <t>보전관리지역</t>
        </is>
      </c>
      <c r="I6364" s="3" t="inlineStr">
        <is>
          <t>묘지</t>
        </is>
      </c>
      <c r="J6364" s="3" t="inlineStr">
        <is>
          <t>연동면</t>
        </is>
      </c>
    </row>
    <row r="6365">
      <c r="A6365" s="3" t="n">
        <v>2023</v>
      </c>
      <c r="B6365" s="4" t="n">
        <v>9100</v>
      </c>
      <c r="C6365" s="4" t="n">
        <v>473</v>
      </c>
      <c r="D6365" s="4" t="n">
        <v>143.0825</v>
      </c>
      <c r="E6365" s="5" t="n">
        <v>63.6</v>
      </c>
      <c r="F6365" s="3" t="inlineStr">
        <is>
          <t>금남면</t>
        </is>
      </c>
      <c r="G6365" s="3" t="inlineStr">
        <is>
          <t>두만리</t>
        </is>
      </c>
      <c r="H6365" s="3" t="inlineStr">
        <is>
          <t>개발제한구역</t>
        </is>
      </c>
      <c r="I6365" s="3" t="inlineStr">
        <is>
          <t>전</t>
        </is>
      </c>
      <c r="J6365" s="3" t="inlineStr">
        <is>
          <t>금남면</t>
        </is>
      </c>
    </row>
    <row r="6366">
      <c r="A6366" s="3" t="n">
        <v>2022</v>
      </c>
      <c r="B6366" s="4" t="n">
        <v>7501</v>
      </c>
      <c r="C6366" s="4" t="n">
        <v>4959</v>
      </c>
      <c r="D6366" s="4" t="n">
        <v>1500.0975</v>
      </c>
      <c r="E6366" s="5" t="n">
        <v>5</v>
      </c>
      <c r="F6366" s="3" t="inlineStr">
        <is>
          <t>소정면</t>
        </is>
      </c>
      <c r="G6366" s="3" t="inlineStr">
        <is>
          <t>대곡리</t>
        </is>
      </c>
      <c r="H6366" s="3" t="inlineStr">
        <is>
          <t>농림지역</t>
        </is>
      </c>
      <c r="I6366" s="3" t="inlineStr">
        <is>
          <t>임야</t>
        </is>
      </c>
      <c r="J6366" s="3" t="inlineStr">
        <is>
          <t>소정면</t>
        </is>
      </c>
    </row>
    <row r="6367">
      <c r="A6367" s="3" t="n">
        <v>2022</v>
      </c>
      <c r="B6367" s="4" t="n">
        <v>5000</v>
      </c>
      <c r="C6367" s="4" t="n">
        <v>3306</v>
      </c>
      <c r="D6367" s="4" t="n">
        <v>1000.065</v>
      </c>
      <c r="E6367" s="5" t="n">
        <v>5</v>
      </c>
      <c r="F6367" s="3" t="inlineStr">
        <is>
          <t>소정면</t>
        </is>
      </c>
      <c r="G6367" s="3" t="inlineStr">
        <is>
          <t>대곡리</t>
        </is>
      </c>
      <c r="H6367" s="3" t="inlineStr">
        <is>
          <t>농림지역</t>
        </is>
      </c>
      <c r="I6367" s="3" t="inlineStr">
        <is>
          <t>임야</t>
        </is>
      </c>
      <c r="J6367" s="3" t="inlineStr">
        <is>
          <t>소정면</t>
        </is>
      </c>
    </row>
    <row r="6368">
      <c r="A6368" s="3" t="n">
        <v>2022</v>
      </c>
      <c r="B6368" s="4" t="n">
        <v>7943</v>
      </c>
      <c r="C6368" s="4" t="n">
        <v>47</v>
      </c>
      <c r="D6368" s="4" t="n">
        <v>14.2175</v>
      </c>
      <c r="E6368" s="5" t="n">
        <v>558.7</v>
      </c>
      <c r="F6368" s="3" t="inlineStr">
        <is>
          <t>금남면</t>
        </is>
      </c>
      <c r="G6368" s="3" t="inlineStr">
        <is>
          <t>용포리</t>
        </is>
      </c>
      <c r="H6368" s="3" t="inlineStr">
        <is>
          <t>제2종일반주거지역</t>
        </is>
      </c>
      <c r="I6368" s="3" t="inlineStr">
        <is>
          <t>대</t>
        </is>
      </c>
      <c r="J6368" s="3" t="inlineStr">
        <is>
          <t>금남면</t>
        </is>
      </c>
    </row>
    <row r="6369">
      <c r="A6369" s="3" t="n">
        <v>2022</v>
      </c>
      <c r="B6369" s="4" t="n">
        <v>28800</v>
      </c>
      <c r="C6369" s="4" t="n">
        <v>430</v>
      </c>
      <c r="D6369" s="4" t="n">
        <v>130.075</v>
      </c>
      <c r="E6369" s="5" t="n">
        <v>221.4</v>
      </c>
      <c r="F6369" s="3" t="inlineStr">
        <is>
          <t>금남면</t>
        </is>
      </c>
      <c r="G6369" s="3" t="inlineStr">
        <is>
          <t>대박리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금남면</t>
        </is>
      </c>
    </row>
    <row r="6370">
      <c r="A6370" s="3" t="n">
        <v>2022</v>
      </c>
      <c r="B6370" s="4" t="n">
        <v>35200</v>
      </c>
      <c r="C6370" s="4" t="n">
        <v>363</v>
      </c>
      <c r="D6370" s="4" t="n">
        <v>109.8075</v>
      </c>
      <c r="E6370" s="5" t="n">
        <v>320.6</v>
      </c>
      <c r="F6370" s="3" t="inlineStr">
        <is>
          <t>금남면</t>
        </is>
      </c>
      <c r="G6370" s="3" t="inlineStr">
        <is>
          <t>대박리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금남면</t>
        </is>
      </c>
    </row>
    <row r="6371">
      <c r="A6371" s="3" t="n">
        <v>2022</v>
      </c>
      <c r="B6371" s="4" t="n">
        <v>46000</v>
      </c>
      <c r="C6371" s="4" t="n">
        <v>496</v>
      </c>
      <c r="D6371" s="4" t="n">
        <v>150.04</v>
      </c>
      <c r="E6371" s="5" t="n">
        <v>306.6</v>
      </c>
      <c r="F6371" s="3" t="inlineStr">
        <is>
          <t>금남면</t>
        </is>
      </c>
      <c r="G6371" s="3" t="inlineStr">
        <is>
          <t>대박리</t>
        </is>
      </c>
      <c r="H6371" s="3" t="inlineStr">
        <is>
          <t>보전관리지역</t>
        </is>
      </c>
      <c r="I6371" s="3" t="inlineStr">
        <is>
          <t>임야</t>
        </is>
      </c>
      <c r="J6371" s="3" t="inlineStr">
        <is>
          <t>금남면</t>
        </is>
      </c>
    </row>
    <row r="6372">
      <c r="A6372" s="3" t="n">
        <v>2022</v>
      </c>
      <c r="B6372" s="4" t="n">
        <v>7253</v>
      </c>
      <c r="C6372" s="4" t="n">
        <v>436</v>
      </c>
      <c r="D6372" s="4" t="n">
        <v>131.89</v>
      </c>
      <c r="E6372" s="5" t="n">
        <v>55</v>
      </c>
      <c r="F6372" s="3" t="inlineStr">
        <is>
          <t>전동면</t>
        </is>
      </c>
      <c r="G6372" s="3" t="inlineStr">
        <is>
          <t>노장리</t>
        </is>
      </c>
      <c r="H6372" s="3" t="inlineStr">
        <is>
          <t>계획관리지역</t>
        </is>
      </c>
      <c r="I6372" s="3" t="inlineStr">
        <is>
          <t>전</t>
        </is>
      </c>
      <c r="J6372" s="3" t="inlineStr">
        <is>
          <t>전동면</t>
        </is>
      </c>
    </row>
    <row r="6373">
      <c r="A6373" s="3" t="n">
        <v>2024</v>
      </c>
      <c r="B6373" s="4" t="n">
        <v>26920</v>
      </c>
      <c r="C6373" s="4" t="n">
        <v>2225.2</v>
      </c>
      <c r="D6373" s="4" t="n">
        <v>673.1229999999999</v>
      </c>
      <c r="E6373" s="5" t="n">
        <v>40</v>
      </c>
      <c r="F6373" s="3" t="inlineStr">
        <is>
          <t>연서면</t>
        </is>
      </c>
      <c r="G6373" s="3" t="inlineStr">
        <is>
          <t>월하리</t>
        </is>
      </c>
      <c r="H6373" s="3" t="inlineStr">
        <is>
          <t>농림지역</t>
        </is>
      </c>
      <c r="I6373" s="3" t="inlineStr">
        <is>
          <t>답</t>
        </is>
      </c>
      <c r="J6373" s="3" t="inlineStr">
        <is>
          <t>연서면</t>
        </is>
      </c>
    </row>
    <row r="6374">
      <c r="A6374" s="3" t="n">
        <v>2024</v>
      </c>
      <c r="B6374" s="4" t="n">
        <v>39920</v>
      </c>
      <c r="C6374" s="4" t="n">
        <v>525</v>
      </c>
      <c r="D6374" s="4" t="n">
        <v>158.8125</v>
      </c>
      <c r="E6374" s="5" t="n">
        <v>251.4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보전관리지역</t>
        </is>
      </c>
      <c r="I6374" s="3" t="inlineStr">
        <is>
          <t>대</t>
        </is>
      </c>
      <c r="J6374" s="3" t="inlineStr">
        <is>
          <t>장군면</t>
        </is>
      </c>
    </row>
    <row r="6375">
      <c r="A6375" s="3" t="n">
        <v>2023</v>
      </c>
      <c r="B6375" s="4" t="n">
        <v>2200</v>
      </c>
      <c r="C6375" s="4" t="n">
        <v>397</v>
      </c>
      <c r="D6375" s="4" t="n">
        <v>120.0925</v>
      </c>
      <c r="E6375" s="5" t="n">
        <v>18.3</v>
      </c>
      <c r="F6375" s="3" t="inlineStr">
        <is>
          <t>부강면</t>
        </is>
      </c>
      <c r="G6375" s="3" t="inlineStr">
        <is>
          <t>행산리</t>
        </is>
      </c>
      <c r="H6375" s="3" t="inlineStr">
        <is>
          <t>계획관리지역</t>
        </is>
      </c>
      <c r="I6375" s="3" t="inlineStr">
        <is>
          <t>임야</t>
        </is>
      </c>
      <c r="J6375" s="3" t="inlineStr">
        <is>
          <t>부강면</t>
        </is>
      </c>
    </row>
    <row r="6376">
      <c r="A6376" s="3" t="n">
        <v>2023</v>
      </c>
      <c r="B6376" s="4" t="n">
        <v>6700</v>
      </c>
      <c r="C6376" s="4" t="n">
        <v>188</v>
      </c>
      <c r="D6376" s="4" t="n">
        <v>56.87</v>
      </c>
      <c r="E6376" s="5" t="n">
        <v>117.8</v>
      </c>
      <c r="F6376" s="3" t="inlineStr">
        <is>
          <t>금남면</t>
        </is>
      </c>
      <c r="G6376" s="3" t="inlineStr">
        <is>
          <t>원봉리</t>
        </is>
      </c>
      <c r="H6376" s="3" t="inlineStr">
        <is>
          <t>계획관리지역</t>
        </is>
      </c>
      <c r="I6376" s="3" t="inlineStr">
        <is>
          <t>전</t>
        </is>
      </c>
      <c r="J6376" s="3" t="inlineStr">
        <is>
          <t>금남면</t>
        </is>
      </c>
    </row>
    <row r="6377">
      <c r="A6377" s="3" t="n">
        <v>2023</v>
      </c>
      <c r="B6377" s="4" t="n">
        <v>77500</v>
      </c>
      <c r="C6377" s="4" t="n">
        <v>1025</v>
      </c>
      <c r="D6377" s="4" t="n">
        <v>310.0625</v>
      </c>
      <c r="E6377" s="5" t="n">
        <v>249.9</v>
      </c>
      <c r="F6377" s="3" t="inlineStr">
        <is>
          <t>조치원읍</t>
        </is>
      </c>
      <c r="G6377" s="3" t="inlineStr">
        <is>
          <t>봉산리</t>
        </is>
      </c>
      <c r="H6377" s="3" t="inlineStr">
        <is>
          <t>자연녹지지역</t>
        </is>
      </c>
      <c r="I6377" s="3" t="inlineStr">
        <is>
          <t>과수원</t>
        </is>
      </c>
      <c r="J6377" s="3" t="inlineStr">
        <is>
          <t>조치원읍</t>
        </is>
      </c>
    </row>
    <row r="6378">
      <c r="A6378" s="3" t="n">
        <v>2023</v>
      </c>
      <c r="B6378" s="4" t="n">
        <v>49000</v>
      </c>
      <c r="C6378" s="4" t="n">
        <v>3239</v>
      </c>
      <c r="D6378" s="4" t="n">
        <v>979.7975</v>
      </c>
      <c r="E6378" s="5" t="n">
        <v>50</v>
      </c>
      <c r="F6378" s="3" t="inlineStr">
        <is>
          <t>전동면</t>
        </is>
      </c>
      <c r="G6378" s="3" t="inlineStr">
        <is>
          <t>석곡리</t>
        </is>
      </c>
      <c r="H6378" s="3" t="inlineStr">
        <is>
          <t>농림지역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2023</v>
      </c>
      <c r="B6379" s="4" t="n">
        <v>2000</v>
      </c>
      <c r="C6379" s="4" t="n">
        <v>1651</v>
      </c>
      <c r="D6379" s="4" t="n">
        <v>499.4275</v>
      </c>
      <c r="E6379" s="5" t="n">
        <v>4</v>
      </c>
      <c r="F6379" s="3" t="inlineStr">
        <is>
          <t>전동면</t>
        </is>
      </c>
      <c r="G6379" s="3" t="inlineStr">
        <is>
          <t>봉대리</t>
        </is>
      </c>
      <c r="H6379" s="3" t="inlineStr">
        <is>
          <t>농림지역</t>
        </is>
      </c>
      <c r="I6379" s="3" t="inlineStr">
        <is>
          <t>임야</t>
        </is>
      </c>
      <c r="J6379" s="3" t="inlineStr">
        <is>
          <t>전동면</t>
        </is>
      </c>
    </row>
    <row r="6380">
      <c r="A6380" s="3" t="n">
        <v>2023</v>
      </c>
      <c r="B6380" s="4" t="n">
        <v>2000</v>
      </c>
      <c r="C6380" s="4" t="n">
        <v>1651</v>
      </c>
      <c r="D6380" s="4" t="n">
        <v>499.4275</v>
      </c>
      <c r="E6380" s="5" t="n">
        <v>4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농림지역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2023</v>
      </c>
      <c r="B6381" s="4" t="n">
        <v>4000</v>
      </c>
      <c r="C6381" s="4" t="n">
        <v>3302</v>
      </c>
      <c r="D6381" s="4" t="n">
        <v>998.855</v>
      </c>
      <c r="E6381" s="5" t="n">
        <v>4</v>
      </c>
      <c r="F6381" s="3" t="inlineStr">
        <is>
          <t>전동면</t>
        </is>
      </c>
      <c r="G6381" s="3" t="inlineStr">
        <is>
          <t>봉대리</t>
        </is>
      </c>
      <c r="H6381" s="3" t="inlineStr">
        <is>
          <t>농림지역</t>
        </is>
      </c>
      <c r="I6381" s="3" t="inlineStr">
        <is>
          <t>임야</t>
        </is>
      </c>
      <c r="J6381" s="3" t="inlineStr">
        <is>
          <t>전동면</t>
        </is>
      </c>
    </row>
    <row r="6382">
      <c r="A6382" s="3" t="n">
        <v>2023</v>
      </c>
      <c r="B6382" s="4" t="n">
        <v>5800</v>
      </c>
      <c r="C6382" s="4" t="n">
        <v>167</v>
      </c>
      <c r="D6382" s="4" t="n">
        <v>50.5175</v>
      </c>
      <c r="E6382" s="5" t="n">
        <v>114.8</v>
      </c>
      <c r="F6382" s="3" t="inlineStr">
        <is>
          <t>금남면</t>
        </is>
      </c>
      <c r="G6382" s="3" t="inlineStr">
        <is>
          <t>원봉리</t>
        </is>
      </c>
      <c r="H6382" s="3" t="inlineStr">
        <is>
          <t>보전관리지역</t>
        </is>
      </c>
      <c r="I6382" s="3" t="inlineStr">
        <is>
          <t>임야</t>
        </is>
      </c>
      <c r="J6382" s="3" t="inlineStr">
        <is>
          <t>금남면</t>
        </is>
      </c>
    </row>
    <row r="6383">
      <c r="A6383" s="3" t="n">
        <v>2023</v>
      </c>
      <c r="B6383" s="4" t="n">
        <v>8000</v>
      </c>
      <c r="C6383" s="4" t="n">
        <v>252</v>
      </c>
      <c r="D6383" s="4" t="n">
        <v>76.23</v>
      </c>
      <c r="E6383" s="5" t="n">
        <v>104.9</v>
      </c>
      <c r="F6383" s="3" t="inlineStr">
        <is>
          <t>금남면</t>
        </is>
      </c>
      <c r="G6383" s="3" t="inlineStr">
        <is>
          <t>용포리</t>
        </is>
      </c>
      <c r="H6383" s="3" t="inlineStr">
        <is>
          <t>제2종일반주거지역</t>
        </is>
      </c>
      <c r="I6383" s="3" t="inlineStr">
        <is>
          <t>대</t>
        </is>
      </c>
      <c r="J6383" s="3" t="inlineStr">
        <is>
          <t>금남면</t>
        </is>
      </c>
    </row>
    <row r="6384">
      <c r="A6384" s="3" t="n">
        <v>2023</v>
      </c>
      <c r="B6384" s="4" t="n">
        <v>30000</v>
      </c>
      <c r="C6384" s="4" t="n">
        <v>408</v>
      </c>
      <c r="D6384" s="4" t="n">
        <v>123.42</v>
      </c>
      <c r="E6384" s="5" t="n">
        <v>243.1</v>
      </c>
      <c r="F6384" s="3" t="inlineStr">
        <is>
          <t>금남면</t>
        </is>
      </c>
      <c r="G6384" s="3" t="inlineStr">
        <is>
          <t>성덕리</t>
        </is>
      </c>
      <c r="H6384" s="3" t="inlineStr">
        <is>
          <t>계획관리지역</t>
        </is>
      </c>
      <c r="I6384" s="3" t="inlineStr">
        <is>
          <t>답</t>
        </is>
      </c>
      <c r="J6384" s="3" t="inlineStr">
        <is>
          <t>금남면</t>
        </is>
      </c>
    </row>
    <row r="6385">
      <c r="A6385" s="3" t="n">
        <v>2023</v>
      </c>
      <c r="B6385" s="4" t="n">
        <v>69400</v>
      </c>
      <c r="C6385" s="4" t="n">
        <v>1339</v>
      </c>
      <c r="D6385" s="4" t="n">
        <v>405.0475</v>
      </c>
      <c r="E6385" s="5" t="n">
        <v>171.3</v>
      </c>
      <c r="F6385" s="3" t="inlineStr">
        <is>
          <t>연서면</t>
        </is>
      </c>
      <c r="G6385" s="3" t="inlineStr">
        <is>
          <t>와촌리</t>
        </is>
      </c>
      <c r="H6385" s="3" t="inlineStr">
        <is>
          <t>계획관리지역</t>
        </is>
      </c>
      <c r="I6385" s="3" t="inlineStr">
        <is>
          <t>유지</t>
        </is>
      </c>
      <c r="J6385" s="3" t="inlineStr">
        <is>
          <t>연서면</t>
        </is>
      </c>
    </row>
    <row r="6386">
      <c r="A6386" s="3" t="n">
        <v>2023</v>
      </c>
      <c r="B6386" s="4" t="n">
        <v>145600</v>
      </c>
      <c r="C6386" s="4" t="n">
        <v>2805</v>
      </c>
      <c r="D6386" s="4" t="n">
        <v>848.5124999999999</v>
      </c>
      <c r="E6386" s="5" t="n">
        <v>171.6</v>
      </c>
      <c r="F6386" s="3" t="inlineStr">
        <is>
          <t>연서면</t>
        </is>
      </c>
      <c r="G6386" s="3" t="inlineStr">
        <is>
          <t>와촌리</t>
        </is>
      </c>
      <c r="H6386" s="3" t="inlineStr">
        <is>
          <t>계획관리지역</t>
        </is>
      </c>
      <c r="I6386" s="3" t="inlineStr">
        <is>
          <t>유지</t>
        </is>
      </c>
      <c r="J6386" s="3" t="inlineStr">
        <is>
          <t>연서면</t>
        </is>
      </c>
    </row>
    <row r="6387">
      <c r="A6387" s="3" t="n">
        <v>2023</v>
      </c>
      <c r="B6387" s="4" t="n">
        <v>19500</v>
      </c>
      <c r="C6387" s="4" t="n">
        <v>377</v>
      </c>
      <c r="D6387" s="4" t="n">
        <v>114.0425</v>
      </c>
      <c r="E6387" s="5" t="n">
        <v>171</v>
      </c>
      <c r="F6387" s="3" t="inlineStr">
        <is>
          <t>연서면</t>
        </is>
      </c>
      <c r="G6387" s="3" t="inlineStr">
        <is>
          <t>와촌리</t>
        </is>
      </c>
      <c r="H6387" s="3" t="inlineStr">
        <is>
          <t>계획관리지역</t>
        </is>
      </c>
      <c r="I6387" s="3" t="inlineStr">
        <is>
          <t>잡종지</t>
        </is>
      </c>
      <c r="J6387" s="3" t="inlineStr">
        <is>
          <t>연서면</t>
        </is>
      </c>
    </row>
    <row r="6388">
      <c r="A6388" s="3" t="n">
        <v>2023</v>
      </c>
      <c r="B6388" s="4" t="n">
        <v>2500</v>
      </c>
      <c r="C6388" s="4" t="n">
        <v>116</v>
      </c>
      <c r="D6388" s="4" t="n">
        <v>35.09</v>
      </c>
      <c r="E6388" s="5" t="n">
        <v>71.2</v>
      </c>
      <c r="F6388" s="3" t="inlineStr">
        <is>
          <t>부강면</t>
        </is>
      </c>
      <c r="G6388" s="3" t="inlineStr">
        <is>
          <t>부강리</t>
        </is>
      </c>
      <c r="H6388" s="3" t="inlineStr">
        <is>
          <t>제2종일반주거지역</t>
        </is>
      </c>
      <c r="I6388" s="3" t="inlineStr">
        <is>
          <t>대</t>
        </is>
      </c>
      <c r="J6388" s="3" t="inlineStr">
        <is>
          <t>부강면</t>
        </is>
      </c>
    </row>
    <row r="6389">
      <c r="A6389" s="3" t="n">
        <v>2023</v>
      </c>
      <c r="B6389" s="4" t="n">
        <v>12000</v>
      </c>
      <c r="C6389" s="4" t="n">
        <v>166</v>
      </c>
      <c r="D6389" s="4" t="n">
        <v>50.215</v>
      </c>
      <c r="E6389" s="5" t="n">
        <v>239</v>
      </c>
      <c r="F6389" s="3" t="inlineStr">
        <is>
          <t>장군면</t>
        </is>
      </c>
      <c r="G6389" s="3" t="inlineStr">
        <is>
          <t>대교리</t>
        </is>
      </c>
      <c r="H6389" s="3" t="inlineStr">
        <is>
          <t>보전관리지역</t>
        </is>
      </c>
      <c r="I6389" s="3" t="inlineStr">
        <is>
          <t>임야</t>
        </is>
      </c>
      <c r="J6389" s="3" t="inlineStr">
        <is>
          <t>장군면</t>
        </is>
      </c>
    </row>
    <row r="6390">
      <c r="A6390" s="3" t="n">
        <v>2022</v>
      </c>
      <c r="B6390" s="4" t="n">
        <v>16000</v>
      </c>
      <c r="C6390" s="4" t="n">
        <v>276</v>
      </c>
      <c r="D6390" s="4" t="n">
        <v>83.48999999999999</v>
      </c>
      <c r="E6390" s="5" t="n">
        <v>191.6</v>
      </c>
      <c r="F6390" s="3" t="inlineStr">
        <is>
          <t>금남면</t>
        </is>
      </c>
      <c r="G6390" s="3" t="inlineStr">
        <is>
          <t>원봉리</t>
        </is>
      </c>
      <c r="H6390" s="3" t="inlineStr">
        <is>
          <t>계획관리지역</t>
        </is>
      </c>
      <c r="I6390" s="3" t="inlineStr">
        <is>
          <t>학교용지</t>
        </is>
      </c>
      <c r="J6390" s="3" t="inlineStr">
        <is>
          <t>금남면</t>
        </is>
      </c>
    </row>
    <row r="6391">
      <c r="A6391" s="3" t="n">
        <v>2022</v>
      </c>
      <c r="B6391" s="4" t="n">
        <v>6100</v>
      </c>
      <c r="C6391" s="4" t="n">
        <v>106</v>
      </c>
      <c r="D6391" s="4" t="n">
        <v>32.065</v>
      </c>
      <c r="E6391" s="5" t="n">
        <v>190.2</v>
      </c>
      <c r="F6391" s="3" t="inlineStr">
        <is>
          <t>금남면</t>
        </is>
      </c>
      <c r="G6391" s="3" t="inlineStr">
        <is>
          <t>원봉리</t>
        </is>
      </c>
      <c r="H6391" s="3" t="inlineStr">
        <is>
          <t>계획관리지역</t>
        </is>
      </c>
      <c r="I6391" s="3" t="inlineStr">
        <is>
          <t>학교용지</t>
        </is>
      </c>
      <c r="J6391" s="3" t="inlineStr">
        <is>
          <t>금남면</t>
        </is>
      </c>
    </row>
    <row r="6392">
      <c r="A6392" s="3" t="n">
        <v>2022</v>
      </c>
      <c r="B6392" s="4" t="n">
        <v>36700</v>
      </c>
      <c r="C6392" s="4" t="n">
        <v>950</v>
      </c>
      <c r="D6392" s="4" t="n">
        <v>287.375</v>
      </c>
      <c r="E6392" s="5" t="n">
        <v>127.7</v>
      </c>
      <c r="F6392" s="3" t="inlineStr">
        <is>
          <t>장군면</t>
        </is>
      </c>
      <c r="G6392" s="3" t="inlineStr">
        <is>
          <t>평기리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장군면</t>
        </is>
      </c>
    </row>
    <row r="6393">
      <c r="A6393" s="3" t="n">
        <v>2022</v>
      </c>
      <c r="B6393" s="4" t="n">
        <v>9800</v>
      </c>
      <c r="C6393" s="4" t="n">
        <v>252</v>
      </c>
      <c r="D6393" s="4" t="n">
        <v>76.23</v>
      </c>
      <c r="E6393" s="5" t="n">
        <v>128.6</v>
      </c>
      <c r="F6393" s="3" t="inlineStr">
        <is>
          <t>장군면</t>
        </is>
      </c>
      <c r="G6393" s="3" t="inlineStr">
        <is>
          <t>평기리</t>
        </is>
      </c>
      <c r="H6393" s="3" t="inlineStr">
        <is>
          <t>농림지역</t>
        </is>
      </c>
      <c r="I6393" s="3" t="inlineStr">
        <is>
          <t>답</t>
        </is>
      </c>
      <c r="J6393" s="3" t="inlineStr">
        <is>
          <t>장군면</t>
        </is>
      </c>
    </row>
    <row r="6394">
      <c r="A6394" s="3" t="n">
        <v>2022</v>
      </c>
      <c r="B6394" s="4" t="n">
        <v>19800</v>
      </c>
      <c r="C6394" s="4" t="n">
        <v>1191</v>
      </c>
      <c r="D6394" s="4" t="n">
        <v>360.2775</v>
      </c>
      <c r="E6394" s="5" t="n">
        <v>55</v>
      </c>
      <c r="F6394" s="3" t="inlineStr">
        <is>
          <t>금남면</t>
        </is>
      </c>
      <c r="G6394" s="3" t="inlineStr">
        <is>
          <t>영대리</t>
        </is>
      </c>
      <c r="H6394" s="3" t="inlineStr">
        <is>
          <t>개발제한구역</t>
        </is>
      </c>
      <c r="I6394" s="3" t="inlineStr">
        <is>
          <t>전</t>
        </is>
      </c>
      <c r="J6394" s="3" t="inlineStr">
        <is>
          <t>금남면</t>
        </is>
      </c>
    </row>
    <row r="6395">
      <c r="A6395" s="3" t="n">
        <v>2022</v>
      </c>
      <c r="B6395" s="4" t="n">
        <v>18700</v>
      </c>
      <c r="C6395" s="4" t="n">
        <v>1124</v>
      </c>
      <c r="D6395" s="4" t="n">
        <v>340.01</v>
      </c>
      <c r="E6395" s="5" t="n">
        <v>55</v>
      </c>
      <c r="F6395" s="3" t="inlineStr">
        <is>
          <t>금남면</t>
        </is>
      </c>
      <c r="G6395" s="3" t="inlineStr">
        <is>
          <t>영대리</t>
        </is>
      </c>
      <c r="H6395" s="3" t="inlineStr">
        <is>
          <t>자연녹지지역</t>
        </is>
      </c>
      <c r="I6395" s="3" t="inlineStr">
        <is>
          <t>전</t>
        </is>
      </c>
      <c r="J6395" s="3" t="inlineStr">
        <is>
          <t>금남면</t>
        </is>
      </c>
    </row>
    <row r="6396">
      <c r="A6396" s="3" t="n">
        <v>2022</v>
      </c>
      <c r="B6396" s="4" t="n">
        <v>42700</v>
      </c>
      <c r="C6396" s="4" t="n">
        <v>2942</v>
      </c>
      <c r="D6396" s="4" t="n">
        <v>889.9549999999999</v>
      </c>
      <c r="E6396" s="5" t="n">
        <v>48</v>
      </c>
      <c r="F6396" s="3" t="inlineStr">
        <is>
          <t>금남면</t>
        </is>
      </c>
      <c r="G6396" s="3" t="inlineStr">
        <is>
          <t>영대리</t>
        </is>
      </c>
      <c r="H6396" s="3" t="inlineStr">
        <is>
          <t>개발제한구역</t>
        </is>
      </c>
      <c r="I6396" s="3" t="inlineStr">
        <is>
          <t>답</t>
        </is>
      </c>
      <c r="J6396" s="3" t="inlineStr">
        <is>
          <t>금남면</t>
        </is>
      </c>
    </row>
    <row r="6397">
      <c r="A6397" s="3" t="n">
        <v>2022</v>
      </c>
      <c r="B6397" s="4" t="n">
        <v>17000</v>
      </c>
      <c r="C6397" s="4" t="n">
        <v>1950</v>
      </c>
      <c r="D6397" s="4" t="n">
        <v>589.875</v>
      </c>
      <c r="E6397" s="5" t="n">
        <v>28.8</v>
      </c>
      <c r="F6397" s="3" t="inlineStr">
        <is>
          <t>전의면</t>
        </is>
      </c>
      <c r="G6397" s="3" t="inlineStr">
        <is>
          <t>관정리</t>
        </is>
      </c>
      <c r="H6397" s="3" t="inlineStr">
        <is>
          <t>농림지역</t>
        </is>
      </c>
      <c r="I6397" s="3" t="inlineStr">
        <is>
          <t>전</t>
        </is>
      </c>
      <c r="J6397" s="3" t="inlineStr">
        <is>
          <t>전의면</t>
        </is>
      </c>
    </row>
    <row r="6398">
      <c r="A6398" s="3" t="n">
        <v>2022</v>
      </c>
      <c r="B6398" s="4" t="n">
        <v>3000</v>
      </c>
      <c r="C6398" s="4" t="n">
        <v>349</v>
      </c>
      <c r="D6398" s="4" t="n">
        <v>105.5725</v>
      </c>
      <c r="E6398" s="5" t="n">
        <v>28.4</v>
      </c>
      <c r="F6398" s="3" t="inlineStr">
        <is>
          <t>전의면</t>
        </is>
      </c>
      <c r="G6398" s="3" t="inlineStr">
        <is>
          <t>관정리</t>
        </is>
      </c>
      <c r="H6398" s="3" t="inlineStr">
        <is>
          <t>계획관리지역</t>
        </is>
      </c>
      <c r="I6398" s="3" t="inlineStr">
        <is>
          <t>임야</t>
        </is>
      </c>
      <c r="J6398" s="3" t="inlineStr">
        <is>
          <t>전의면</t>
        </is>
      </c>
    </row>
    <row r="6399">
      <c r="A6399" s="3" t="n">
        <v>2022</v>
      </c>
      <c r="B6399" s="4" t="n">
        <v>560</v>
      </c>
      <c r="C6399" s="4" t="n">
        <v>138</v>
      </c>
      <c r="D6399" s="4" t="n">
        <v>41.745</v>
      </c>
      <c r="E6399" s="5" t="n">
        <v>13.4</v>
      </c>
      <c r="F6399" s="3" t="inlineStr">
        <is>
          <t>금남면</t>
        </is>
      </c>
      <c r="G6399" s="3" t="inlineStr">
        <is>
          <t>영대리</t>
        </is>
      </c>
      <c r="H6399" s="3" t="inlineStr">
        <is>
          <t>개발제한구역</t>
        </is>
      </c>
      <c r="I6399" s="3" t="inlineStr">
        <is>
          <t>구거</t>
        </is>
      </c>
      <c r="J6399" s="3" t="inlineStr">
        <is>
          <t>금남면</t>
        </is>
      </c>
    </row>
    <row r="6400">
      <c r="A6400" s="3" t="n">
        <v>2022</v>
      </c>
      <c r="B6400" s="4" t="n">
        <v>240</v>
      </c>
      <c r="C6400" s="4" t="n">
        <v>59</v>
      </c>
      <c r="D6400" s="4" t="n">
        <v>17.8475</v>
      </c>
      <c r="E6400" s="5" t="n">
        <v>13.4</v>
      </c>
      <c r="F6400" s="3" t="inlineStr">
        <is>
          <t>금남면</t>
        </is>
      </c>
      <c r="G6400" s="3" t="inlineStr">
        <is>
          <t>영대리</t>
        </is>
      </c>
      <c r="H6400" s="3" t="inlineStr">
        <is>
          <t>개발제한구역</t>
        </is>
      </c>
      <c r="I6400" s="3" t="inlineStr">
        <is>
          <t>구거</t>
        </is>
      </c>
      <c r="J6400" s="3" t="inlineStr">
        <is>
          <t>금남면</t>
        </is>
      </c>
    </row>
    <row r="6401">
      <c r="A6401" s="3" t="n">
        <v>2022</v>
      </c>
      <c r="B6401" s="4" t="n">
        <v>25000</v>
      </c>
      <c r="C6401" s="4" t="n">
        <v>1756</v>
      </c>
      <c r="D6401" s="4" t="n">
        <v>531.1899999999999</v>
      </c>
      <c r="E6401" s="5" t="n">
        <v>47.1</v>
      </c>
      <c r="F6401" s="3" t="inlineStr">
        <is>
          <t>금남면</t>
        </is>
      </c>
      <c r="G6401" s="3" t="inlineStr">
        <is>
          <t>금천리</t>
        </is>
      </c>
      <c r="H6401" s="3" t="inlineStr">
        <is>
          <t>개발제한구역</t>
        </is>
      </c>
      <c r="I6401" s="3" t="inlineStr">
        <is>
          <t>전</t>
        </is>
      </c>
      <c r="J6401" s="3" t="inlineStr">
        <is>
          <t>금남면</t>
        </is>
      </c>
    </row>
    <row r="6402">
      <c r="A6402" s="3" t="n">
        <v>2022</v>
      </c>
      <c r="B6402" s="4" t="n">
        <v>700</v>
      </c>
      <c r="C6402" s="4" t="n">
        <v>322</v>
      </c>
      <c r="D6402" s="4" t="n">
        <v>97.405</v>
      </c>
      <c r="E6402" s="5" t="n">
        <v>7.2</v>
      </c>
      <c r="F6402" s="3" t="inlineStr">
        <is>
          <t>금남면</t>
        </is>
      </c>
      <c r="G6402" s="3" t="inlineStr">
        <is>
          <t>영대리</t>
        </is>
      </c>
      <c r="H6402" s="3" t="inlineStr">
        <is>
          <t>개발제한구역</t>
        </is>
      </c>
      <c r="I6402" s="3" t="inlineStr">
        <is>
          <t>전</t>
        </is>
      </c>
      <c r="J6402" s="3" t="inlineStr">
        <is>
          <t>금남면</t>
        </is>
      </c>
    </row>
    <row r="6403">
      <c r="A6403" s="3" t="n">
        <v>2024</v>
      </c>
      <c r="B6403" s="4" t="n">
        <v>4000</v>
      </c>
      <c r="C6403" s="4" t="n">
        <v>2298</v>
      </c>
      <c r="D6403" s="4" t="n">
        <v>695.145</v>
      </c>
      <c r="E6403" s="5" t="n">
        <v>5.8</v>
      </c>
      <c r="F6403" s="3" t="inlineStr">
        <is>
          <t>현도면</t>
        </is>
      </c>
      <c r="G6403" s="3" t="inlineStr">
        <is>
          <t>시목리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현도면</t>
        </is>
      </c>
    </row>
    <row r="6404">
      <c r="A6404" s="3" t="n">
        <v>2024</v>
      </c>
      <c r="B6404" s="4" t="n">
        <v>5555</v>
      </c>
      <c r="C6404" s="4" t="n">
        <v>134</v>
      </c>
      <c r="D6404" s="4" t="n">
        <v>40.535</v>
      </c>
      <c r="E6404" s="5" t="n">
        <v>137</v>
      </c>
      <c r="F6404" s="3" t="inlineStr">
        <is>
          <t>남이면</t>
        </is>
      </c>
      <c r="G6404" s="3" t="inlineStr">
        <is>
          <t>양촌리</t>
        </is>
      </c>
      <c r="H6404" s="3" t="inlineStr">
        <is>
          <t>자연녹지지역</t>
        </is>
      </c>
      <c r="I6404" s="3" t="inlineStr">
        <is>
          <t>답</t>
        </is>
      </c>
      <c r="J6404" s="3" t="inlineStr">
        <is>
          <t>남이면</t>
        </is>
      </c>
    </row>
    <row r="6405">
      <c r="A6405" s="3" t="n">
        <v>2024</v>
      </c>
      <c r="B6405" s="4" t="n">
        <v>41037</v>
      </c>
      <c r="C6405" s="4" t="n">
        <v>990</v>
      </c>
      <c r="D6405" s="4" t="n">
        <v>299.475</v>
      </c>
      <c r="E6405" s="5" t="n">
        <v>137</v>
      </c>
      <c r="F6405" s="3" t="inlineStr">
        <is>
          <t>남이면</t>
        </is>
      </c>
      <c r="G6405" s="3" t="inlineStr">
        <is>
          <t>양촌리</t>
        </is>
      </c>
      <c r="H6405" s="3" t="inlineStr">
        <is>
          <t>자연녹지지역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8940</v>
      </c>
      <c r="C6406" s="4" t="n">
        <v>762</v>
      </c>
      <c r="D6406" s="4" t="n">
        <v>230.505</v>
      </c>
      <c r="E6406" s="5" t="n">
        <v>38.8</v>
      </c>
      <c r="F6406" s="3" t="inlineStr">
        <is>
          <t>금남면</t>
        </is>
      </c>
      <c r="G6406" s="3" t="inlineStr">
        <is>
          <t>신촌리</t>
        </is>
      </c>
      <c r="H6406" s="3" t="inlineStr">
        <is>
          <t>개발제한구역</t>
        </is>
      </c>
      <c r="I6406" s="3" t="inlineStr">
        <is>
          <t>임야</t>
        </is>
      </c>
      <c r="J6406" s="3" t="inlineStr">
        <is>
          <t>금남면</t>
        </is>
      </c>
    </row>
    <row r="6407">
      <c r="A6407" s="3" t="n">
        <v>2025</v>
      </c>
      <c r="B6407" s="4" t="n">
        <v>10400</v>
      </c>
      <c r="C6407" s="4" t="n">
        <v>344</v>
      </c>
      <c r="D6407" s="4" t="n">
        <v>104.06</v>
      </c>
      <c r="E6407" s="5" t="n">
        <v>99.90000000000001</v>
      </c>
      <c r="F6407" s="3" t="inlineStr">
        <is>
          <t>금남면</t>
        </is>
      </c>
      <c r="G6407" s="3" t="inlineStr">
        <is>
          <t>도남리</t>
        </is>
      </c>
      <c r="H6407" s="3" t="inlineStr">
        <is>
          <t>계획관리지역</t>
        </is>
      </c>
      <c r="I6407" s="3" t="inlineStr">
        <is>
          <t>전</t>
        </is>
      </c>
      <c r="J6407" s="3" t="inlineStr">
        <is>
          <t>금남면</t>
        </is>
      </c>
    </row>
    <row r="6408">
      <c r="A6408" s="3" t="n">
        <v>2025</v>
      </c>
      <c r="B6408" s="4" t="n">
        <v>33939</v>
      </c>
      <c r="C6408" s="4" t="n">
        <v>480</v>
      </c>
      <c r="D6408" s="4" t="n">
        <v>145.2</v>
      </c>
      <c r="E6408" s="5" t="n">
        <v>233.7</v>
      </c>
      <c r="F6408" s="3" t="inlineStr">
        <is>
          <t>장군면</t>
        </is>
      </c>
      <c r="G6408" s="3" t="inlineStr">
        <is>
          <t>산학리</t>
        </is>
      </c>
      <c r="H6408" s="3" t="inlineStr">
        <is>
          <t>보전관리지역</t>
        </is>
      </c>
      <c r="I6408" s="3" t="inlineStr">
        <is>
          <t>대</t>
        </is>
      </c>
      <c r="J6408" s="3" t="inlineStr">
        <is>
          <t>장군면</t>
        </is>
      </c>
    </row>
    <row r="6409">
      <c r="A6409" s="3" t="n">
        <v>2025</v>
      </c>
      <c r="B6409" s="4" t="n">
        <v>70000</v>
      </c>
      <c r="C6409" s="4" t="n">
        <v>2009</v>
      </c>
      <c r="D6409" s="4" t="n">
        <v>607.7225</v>
      </c>
      <c r="E6409" s="5" t="n">
        <v>115.2</v>
      </c>
      <c r="F6409" s="3" t="inlineStr">
        <is>
          <t>연서면</t>
        </is>
      </c>
      <c r="G6409" s="3" t="inlineStr">
        <is>
          <t>성제리</t>
        </is>
      </c>
      <c r="H6409" s="3" t="inlineStr">
        <is>
          <t>계획관리지역</t>
        </is>
      </c>
      <c r="I6409" s="3" t="inlineStr">
        <is>
          <t>답</t>
        </is>
      </c>
      <c r="J6409" s="3" t="inlineStr">
        <is>
          <t>연서면</t>
        </is>
      </c>
    </row>
    <row r="6410">
      <c r="A6410" s="3" t="n">
        <v>2025</v>
      </c>
      <c r="B6410" s="4" t="n">
        <v>7900</v>
      </c>
      <c r="C6410" s="4" t="n">
        <v>1131</v>
      </c>
      <c r="D6410" s="4" t="n">
        <v>342.1275</v>
      </c>
      <c r="E6410" s="5" t="n">
        <v>23.1</v>
      </c>
      <c r="F6410" s="3" t="inlineStr">
        <is>
          <t>전의면</t>
        </is>
      </c>
      <c r="G6410" s="3" t="inlineStr">
        <is>
          <t>유천리</t>
        </is>
      </c>
      <c r="H6410" s="3" t="inlineStr">
        <is>
          <t>계획관리지역</t>
        </is>
      </c>
      <c r="I6410" s="3" t="inlineStr">
        <is>
          <t>대</t>
        </is>
      </c>
      <c r="J6410" s="3" t="inlineStr">
        <is>
          <t>전의면</t>
        </is>
      </c>
    </row>
    <row r="6411">
      <c r="A6411" s="3" t="n">
        <v>2025</v>
      </c>
      <c r="B6411" s="4" t="n">
        <v>69900</v>
      </c>
      <c r="C6411" s="4" t="n">
        <v>2311</v>
      </c>
      <c r="D6411" s="4" t="n">
        <v>699.0775</v>
      </c>
      <c r="E6411" s="5" t="n">
        <v>100</v>
      </c>
      <c r="F6411" s="3" t="inlineStr">
        <is>
          <t>연서면</t>
        </is>
      </c>
      <c r="G6411" s="3" t="inlineStr">
        <is>
          <t>봉암리</t>
        </is>
      </c>
      <c r="H6411" s="3" t="inlineStr">
        <is>
          <t>농림지역</t>
        </is>
      </c>
      <c r="I6411" s="3" t="inlineStr">
        <is>
          <t>답</t>
        </is>
      </c>
      <c r="J6411" s="3" t="inlineStr">
        <is>
          <t>연서면</t>
        </is>
      </c>
    </row>
    <row r="6412">
      <c r="A6412" s="3" t="n">
        <v>2025</v>
      </c>
      <c r="B6412" s="4" t="n">
        <v>29350</v>
      </c>
      <c r="C6412" s="4" t="n">
        <v>277</v>
      </c>
      <c r="D6412" s="4" t="n">
        <v>83.7925</v>
      </c>
      <c r="E6412" s="5" t="n">
        <v>350.3</v>
      </c>
      <c r="F6412" s="3" t="inlineStr">
        <is>
          <t>집현동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집현동</t>
        </is>
      </c>
    </row>
    <row r="6413">
      <c r="A6413" s="3" t="n">
        <v>2025</v>
      </c>
      <c r="B6413" s="4" t="n">
        <v>22000</v>
      </c>
      <c r="C6413" s="4" t="n">
        <v>1651</v>
      </c>
      <c r="D6413" s="4" t="n">
        <v>499.4275</v>
      </c>
      <c r="E6413" s="5" t="n">
        <v>44.1</v>
      </c>
      <c r="F6413" s="3" t="inlineStr">
        <is>
          <t>전동면</t>
        </is>
      </c>
      <c r="G6413" s="3" t="inlineStr">
        <is>
          <t>봉대리</t>
        </is>
      </c>
      <c r="H6413" s="3" t="inlineStr">
        <is>
          <t>보전관리지역</t>
        </is>
      </c>
      <c r="I6413" s="3" t="inlineStr">
        <is>
          <t>임야</t>
        </is>
      </c>
      <c r="J6413" s="3" t="inlineStr">
        <is>
          <t>전동면</t>
        </is>
      </c>
    </row>
    <row r="6414">
      <c r="A6414" s="3" t="n">
        <v>2025</v>
      </c>
      <c r="B6414" s="4" t="n">
        <v>21250</v>
      </c>
      <c r="C6414" s="4" t="n">
        <v>281</v>
      </c>
      <c r="D6414" s="4" t="n">
        <v>85.0025</v>
      </c>
      <c r="E6414" s="5" t="n">
        <v>250</v>
      </c>
      <c r="F6414" s="3" t="inlineStr">
        <is>
          <t>금남면</t>
        </is>
      </c>
      <c r="G6414" s="3" t="inlineStr">
        <is>
          <t>성덕리</t>
        </is>
      </c>
      <c r="H6414" s="3" t="inlineStr">
        <is>
          <t>계획관리지역</t>
        </is>
      </c>
      <c r="I6414" s="3" t="inlineStr">
        <is>
          <t>대</t>
        </is>
      </c>
      <c r="J6414" s="3" t="inlineStr">
        <is>
          <t>금남면</t>
        </is>
      </c>
    </row>
    <row r="6415">
      <c r="A6415" s="3" t="n">
        <v>2022</v>
      </c>
      <c r="B6415" s="4" t="n">
        <v>47000</v>
      </c>
      <c r="C6415" s="4" t="n">
        <v>661</v>
      </c>
      <c r="D6415" s="4" t="n">
        <v>199.9525</v>
      </c>
      <c r="E6415" s="5" t="n">
        <v>235.1</v>
      </c>
      <c r="F6415" s="3" t="inlineStr">
        <is>
          <t>소정면</t>
        </is>
      </c>
      <c r="G6415" s="3" t="inlineStr">
        <is>
          <t>소정리</t>
        </is>
      </c>
      <c r="H6415" s="3" t="inlineStr">
        <is>
          <t>계획관리지역</t>
        </is>
      </c>
      <c r="I6415" s="3" t="inlineStr">
        <is>
          <t>대</t>
        </is>
      </c>
      <c r="J6415" s="3" t="inlineStr">
        <is>
          <t>소정면</t>
        </is>
      </c>
    </row>
    <row r="6416">
      <c r="A6416" s="3" t="n">
        <v>2022</v>
      </c>
      <c r="B6416" s="4" t="n">
        <v>28350</v>
      </c>
      <c r="C6416" s="4" t="n">
        <v>852</v>
      </c>
      <c r="D6416" s="4" t="n">
        <v>257.73</v>
      </c>
      <c r="E6416" s="5" t="n">
        <v>110</v>
      </c>
      <c r="F6416" s="3" t="inlineStr">
        <is>
          <t>부강면</t>
        </is>
      </c>
      <c r="G6416" s="3" t="inlineStr">
        <is>
          <t>노호리</t>
        </is>
      </c>
      <c r="H6416" s="3" t="inlineStr">
        <is>
          <t>계획관리지역</t>
        </is>
      </c>
      <c r="I6416" s="3" t="inlineStr">
        <is>
          <t>답</t>
        </is>
      </c>
      <c r="J6416" s="3" t="inlineStr">
        <is>
          <t>부강면</t>
        </is>
      </c>
    </row>
    <row r="6417">
      <c r="A6417" s="3" t="n">
        <v>2022</v>
      </c>
      <c r="B6417" s="4" t="n">
        <v>51011</v>
      </c>
      <c r="C6417" s="4" t="n">
        <v>1533</v>
      </c>
      <c r="D6417" s="4" t="n">
        <v>463.7325</v>
      </c>
      <c r="E6417" s="5" t="n">
        <v>110</v>
      </c>
      <c r="F6417" s="3" t="inlineStr">
        <is>
          <t>부강면</t>
        </is>
      </c>
      <c r="G6417" s="3" t="inlineStr">
        <is>
          <t>노호리</t>
        </is>
      </c>
      <c r="H6417" s="3" t="inlineStr">
        <is>
          <t>계획관리지역</t>
        </is>
      </c>
      <c r="I6417" s="3" t="inlineStr">
        <is>
          <t>답</t>
        </is>
      </c>
      <c r="J6417" s="3" t="inlineStr">
        <is>
          <t>부강면</t>
        </is>
      </c>
    </row>
    <row r="6418">
      <c r="A6418" s="3" t="n">
        <v>2022</v>
      </c>
      <c r="B6418" s="4" t="n">
        <v>7187</v>
      </c>
      <c r="C6418" s="4" t="n">
        <v>216</v>
      </c>
      <c r="D6418" s="4" t="n">
        <v>65.34</v>
      </c>
      <c r="E6418" s="5" t="n">
        <v>110</v>
      </c>
      <c r="F6418" s="3" t="inlineStr">
        <is>
          <t>부강면</t>
        </is>
      </c>
      <c r="G6418" s="3" t="inlineStr">
        <is>
          <t>노호리</t>
        </is>
      </c>
      <c r="H6418" s="3" t="inlineStr">
        <is>
          <t>계획관리지역</t>
        </is>
      </c>
      <c r="I6418" s="3" t="inlineStr">
        <is>
          <t>답</t>
        </is>
      </c>
      <c r="J6418" s="3" t="inlineStr">
        <is>
          <t>부강면</t>
        </is>
      </c>
    </row>
    <row r="6419">
      <c r="A6419" s="3" t="n">
        <v>2022</v>
      </c>
      <c r="B6419" s="4" t="n">
        <v>267</v>
      </c>
      <c r="C6419" s="4" t="n">
        <v>6</v>
      </c>
      <c r="D6419" s="4" t="n">
        <v>1.815</v>
      </c>
      <c r="E6419" s="5" t="n">
        <v>147.1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제2종일반주거지역</t>
        </is>
      </c>
      <c r="I6419" s="3" t="inlineStr">
        <is>
          <t>대</t>
        </is>
      </c>
      <c r="J6419" s="3" t="inlineStr">
        <is>
          <t>조치원읍</t>
        </is>
      </c>
    </row>
    <row r="6420">
      <c r="A6420" s="3" t="n">
        <v>2022</v>
      </c>
      <c r="B6420" s="4" t="n">
        <v>8000</v>
      </c>
      <c r="C6420" s="4" t="n">
        <v>41</v>
      </c>
      <c r="D6420" s="4" t="n">
        <v>12.4025</v>
      </c>
      <c r="E6420" s="5" t="n">
        <v>645</v>
      </c>
      <c r="F6420" s="3" t="inlineStr">
        <is>
          <t>연기면</t>
        </is>
      </c>
      <c r="G6420" s="3" t="inlineStr">
        <is>
          <t>연기리</t>
        </is>
      </c>
      <c r="H6420" s="3" t="inlineStr">
        <is>
          <t>계획관리지역</t>
        </is>
      </c>
      <c r="I6420" s="3" t="inlineStr">
        <is>
          <t>대</t>
        </is>
      </c>
      <c r="J6420" s="3" t="inlineStr">
        <is>
          <t>연기면</t>
        </is>
      </c>
    </row>
    <row r="6421">
      <c r="A6421" s="3" t="n">
        <v>2022</v>
      </c>
      <c r="B6421" s="4" t="n">
        <v>25000</v>
      </c>
      <c r="C6421" s="4" t="n">
        <v>1653</v>
      </c>
      <c r="D6421" s="4" t="n">
        <v>500.0325</v>
      </c>
      <c r="E6421" s="5" t="n">
        <v>50</v>
      </c>
      <c r="F6421" s="3" t="inlineStr">
        <is>
          <t>부강면</t>
        </is>
      </c>
      <c r="G6421" s="3" t="inlineStr">
        <is>
          <t>금호리</t>
        </is>
      </c>
      <c r="H6421" s="3" t="inlineStr">
        <is>
          <t>생산관리지역</t>
        </is>
      </c>
      <c r="I6421" s="3" t="inlineStr">
        <is>
          <t>답</t>
        </is>
      </c>
      <c r="J6421" s="3" t="inlineStr">
        <is>
          <t>부강면</t>
        </is>
      </c>
    </row>
    <row r="6422">
      <c r="A6422" s="3" t="n">
        <v>2022</v>
      </c>
      <c r="B6422" s="4" t="n">
        <v>1400</v>
      </c>
      <c r="C6422" s="4" t="n">
        <v>62</v>
      </c>
      <c r="D6422" s="4" t="n">
        <v>18.755</v>
      </c>
      <c r="E6422" s="5" t="n">
        <v>74.59999999999999</v>
      </c>
      <c r="F6422" s="3" t="inlineStr">
        <is>
          <t>연동면</t>
        </is>
      </c>
      <c r="G6422" s="3" t="inlineStr">
        <is>
          <t>예양리</t>
        </is>
      </c>
      <c r="H6422" s="3" t="inlineStr">
        <is>
          <t>생산관리지역</t>
        </is>
      </c>
      <c r="I6422" s="3" t="inlineStr">
        <is>
          <t>답</t>
        </is>
      </c>
      <c r="J6422" s="3" t="inlineStr">
        <is>
          <t>연동면</t>
        </is>
      </c>
    </row>
    <row r="6423">
      <c r="A6423" s="3" t="n">
        <v>2022</v>
      </c>
      <c r="B6423" s="4" t="n">
        <v>15753</v>
      </c>
      <c r="C6423" s="4" t="n">
        <v>400</v>
      </c>
      <c r="D6423" s="4" t="n">
        <v>121</v>
      </c>
      <c r="E6423" s="5" t="n">
        <v>130.2</v>
      </c>
      <c r="F6423" s="3" t="inlineStr">
        <is>
          <t>금남면</t>
        </is>
      </c>
      <c r="G6423" s="3" t="inlineStr">
        <is>
          <t>원봉리</t>
        </is>
      </c>
      <c r="H6423" s="3" t="inlineStr">
        <is>
          <t>보전관리지역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5632</v>
      </c>
      <c r="C6424" s="4" t="n">
        <v>143</v>
      </c>
      <c r="D6424" s="4" t="n">
        <v>43.2575</v>
      </c>
      <c r="E6424" s="5" t="n">
        <v>130.2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2022</v>
      </c>
      <c r="B6425" s="4" t="n">
        <v>4000</v>
      </c>
      <c r="C6425" s="4" t="n">
        <v>206</v>
      </c>
      <c r="D6425" s="4" t="n">
        <v>62.315</v>
      </c>
      <c r="E6425" s="5" t="n">
        <v>64.2</v>
      </c>
      <c r="F6425" s="3" t="inlineStr">
        <is>
          <t>전동면</t>
        </is>
      </c>
      <c r="G6425" s="3" t="inlineStr">
        <is>
          <t>보덕리</t>
        </is>
      </c>
      <c r="H6425" s="3" t="inlineStr">
        <is>
          <t>계획관리지역</t>
        </is>
      </c>
      <c r="I6425" s="3" t="inlineStr">
        <is>
          <t>임야</t>
        </is>
      </c>
      <c r="J6425" s="3" t="inlineStr">
        <is>
          <t>전동면</t>
        </is>
      </c>
    </row>
    <row r="6426">
      <c r="A6426" s="3" t="n">
        <v>2022</v>
      </c>
      <c r="B6426" s="4" t="n">
        <v>150</v>
      </c>
      <c r="C6426" s="4" t="n">
        <v>1</v>
      </c>
      <c r="D6426" s="4" t="n">
        <v>0.3025</v>
      </c>
      <c r="E6426" s="5" t="n">
        <v>495.9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제2종일반주거지역</t>
        </is>
      </c>
      <c r="I6426" s="3" t="inlineStr">
        <is>
          <t>대</t>
        </is>
      </c>
      <c r="J6426" s="3" t="inlineStr">
        <is>
          <t>조치원읍</t>
        </is>
      </c>
    </row>
    <row r="6427">
      <c r="A6427" s="3" t="n">
        <v>2022</v>
      </c>
      <c r="B6427" s="4" t="n">
        <v>62981</v>
      </c>
      <c r="C6427" s="4" t="n">
        <v>1388</v>
      </c>
      <c r="D6427" s="4" t="n">
        <v>419.87</v>
      </c>
      <c r="E6427" s="5" t="n">
        <v>150</v>
      </c>
      <c r="F6427" s="3" t="inlineStr">
        <is>
          <t>연기면</t>
        </is>
      </c>
      <c r="G6427" s="3" t="inlineStr">
        <is>
          <t>눌왕리</t>
        </is>
      </c>
      <c r="H6427" s="3" t="inlineStr">
        <is>
          <t>계획관리지역</t>
        </is>
      </c>
      <c r="I6427" s="3" t="inlineStr">
        <is>
          <t>임야</t>
        </is>
      </c>
      <c r="J6427" s="3" t="inlineStr">
        <is>
          <t>연기면</t>
        </is>
      </c>
    </row>
    <row r="6428">
      <c r="A6428" s="3" t="n">
        <v>2022</v>
      </c>
      <c r="B6428" s="4" t="n">
        <v>62981</v>
      </c>
      <c r="C6428" s="4" t="n">
        <v>1388</v>
      </c>
      <c r="D6428" s="4" t="n">
        <v>419.87</v>
      </c>
      <c r="E6428" s="5" t="n">
        <v>150</v>
      </c>
      <c r="F6428" s="3" t="inlineStr">
        <is>
          <t>연기면</t>
        </is>
      </c>
      <c r="G6428" s="3" t="inlineStr">
        <is>
          <t>눌왕리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연기면</t>
        </is>
      </c>
    </row>
    <row r="6429">
      <c r="A6429" s="3" t="n">
        <v>2022</v>
      </c>
      <c r="B6429" s="4" t="n">
        <v>176400</v>
      </c>
      <c r="C6429" s="4" t="n">
        <v>8331</v>
      </c>
      <c r="D6429" s="4" t="n">
        <v>2520.1275</v>
      </c>
      <c r="E6429" s="5" t="n">
        <v>70</v>
      </c>
      <c r="F6429" s="3" t="inlineStr">
        <is>
          <t>연서면</t>
        </is>
      </c>
      <c r="G6429" s="3" t="inlineStr">
        <is>
          <t>와촌리</t>
        </is>
      </c>
      <c r="H6429" s="3" t="inlineStr">
        <is>
          <t>보전관리지역</t>
        </is>
      </c>
      <c r="I6429" s="3" t="inlineStr">
        <is>
          <t>임야</t>
        </is>
      </c>
      <c r="J6429" s="3" t="inlineStr">
        <is>
          <t>연서면</t>
        </is>
      </c>
    </row>
    <row r="6430">
      <c r="A6430" s="3" t="n">
        <v>2025</v>
      </c>
      <c r="B6430" s="4" t="n">
        <v>16500</v>
      </c>
      <c r="C6430" s="4" t="n">
        <v>1408</v>
      </c>
      <c r="D6430" s="4" t="n">
        <v>425.92</v>
      </c>
      <c r="E6430" s="5" t="n">
        <v>38.7</v>
      </c>
      <c r="F6430" s="3" t="inlineStr">
        <is>
          <t>전동면</t>
        </is>
      </c>
      <c r="G6430" s="3" t="inlineStr">
        <is>
          <t>노장리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전동면</t>
        </is>
      </c>
    </row>
    <row r="6431">
      <c r="A6431" s="3" t="n">
        <v>2025</v>
      </c>
      <c r="B6431" s="4" t="n">
        <v>1390</v>
      </c>
      <c r="C6431" s="4" t="n">
        <v>46</v>
      </c>
      <c r="D6431" s="4" t="n">
        <v>13.915</v>
      </c>
      <c r="E6431" s="5" t="n">
        <v>99.90000000000001</v>
      </c>
      <c r="F6431" s="3" t="inlineStr">
        <is>
          <t>소정면</t>
        </is>
      </c>
      <c r="G6431" s="3" t="inlineStr">
        <is>
          <t>소정리</t>
        </is>
      </c>
      <c r="H6431" s="3" t="inlineStr">
        <is>
          <t>계획관리지역</t>
        </is>
      </c>
      <c r="I6431" s="3" t="inlineStr">
        <is>
          <t>대</t>
        </is>
      </c>
      <c r="J6431" s="3" t="inlineStr">
        <is>
          <t>소정면</t>
        </is>
      </c>
    </row>
    <row r="6432">
      <c r="A6432" s="3" t="n">
        <v>2025</v>
      </c>
      <c r="B6432" s="4" t="n">
        <v>38580</v>
      </c>
      <c r="C6432" s="4" t="n">
        <v>1133</v>
      </c>
      <c r="D6432" s="4" t="n">
        <v>342.7325</v>
      </c>
      <c r="E6432" s="5" t="n">
        <v>112.6</v>
      </c>
      <c r="F6432" s="3" t="inlineStr">
        <is>
          <t>금남면</t>
        </is>
      </c>
      <c r="G6432" s="3" t="inlineStr">
        <is>
          <t>두만리</t>
        </is>
      </c>
      <c r="H6432" s="3" t="inlineStr">
        <is>
          <t>계획관리지역</t>
        </is>
      </c>
      <c r="I6432" s="3" t="inlineStr">
        <is>
          <t>전</t>
        </is>
      </c>
      <c r="J6432" s="3" t="inlineStr">
        <is>
          <t>금남면</t>
        </is>
      </c>
    </row>
    <row r="6433">
      <c r="A6433" s="3" t="n">
        <v>2025</v>
      </c>
      <c r="B6433" s="4" t="n">
        <v>4210</v>
      </c>
      <c r="C6433" s="4" t="n">
        <v>338</v>
      </c>
      <c r="D6433" s="4" t="n">
        <v>102.245</v>
      </c>
      <c r="E6433" s="5" t="n">
        <v>41.2</v>
      </c>
      <c r="F6433" s="3" t="inlineStr">
        <is>
          <t>금남면</t>
        </is>
      </c>
      <c r="G6433" s="3" t="inlineStr">
        <is>
          <t>두만리</t>
        </is>
      </c>
      <c r="H6433" s="3" t="inlineStr">
        <is>
          <t>보전관리지역</t>
        </is>
      </c>
      <c r="I6433" s="3" t="inlineStr">
        <is>
          <t>전</t>
        </is>
      </c>
      <c r="J6433" s="3" t="inlineStr">
        <is>
          <t>금남면</t>
        </is>
      </c>
    </row>
    <row r="6434">
      <c r="A6434" s="3" t="n">
        <v>2025</v>
      </c>
      <c r="B6434" s="4" t="n">
        <v>32070</v>
      </c>
      <c r="C6434" s="4" t="n">
        <v>1001</v>
      </c>
      <c r="D6434" s="4" t="n">
        <v>302.8025</v>
      </c>
      <c r="E6434" s="5" t="n">
        <v>105.9</v>
      </c>
      <c r="F6434" s="3" t="inlineStr">
        <is>
          <t>금남면</t>
        </is>
      </c>
      <c r="G6434" s="3" t="inlineStr">
        <is>
          <t>두만리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금남면</t>
        </is>
      </c>
    </row>
    <row r="6435">
      <c r="A6435" s="3" t="n">
        <v>2025</v>
      </c>
      <c r="B6435" s="4" t="n">
        <v>14900</v>
      </c>
      <c r="C6435" s="4" t="n">
        <v>522</v>
      </c>
      <c r="D6435" s="4" t="n">
        <v>157.905</v>
      </c>
      <c r="E6435" s="5" t="n">
        <v>94.40000000000001</v>
      </c>
      <c r="F6435" s="3" t="inlineStr">
        <is>
          <t>금남면</t>
        </is>
      </c>
      <c r="G6435" s="3" t="inlineStr">
        <is>
          <t>두만리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금남면</t>
        </is>
      </c>
    </row>
    <row r="6436">
      <c r="A6436" s="3" t="n">
        <v>2025</v>
      </c>
      <c r="B6436" s="4" t="n">
        <v>10240</v>
      </c>
      <c r="C6436" s="4" t="n">
        <v>313</v>
      </c>
      <c r="D6436" s="4" t="n">
        <v>94.68249999999999</v>
      </c>
      <c r="E6436" s="5" t="n">
        <v>108.2</v>
      </c>
      <c r="F6436" s="3" t="inlineStr">
        <is>
          <t>금남면</t>
        </is>
      </c>
      <c r="G6436" s="3" t="inlineStr">
        <is>
          <t>두만리</t>
        </is>
      </c>
      <c r="H6436" s="3" t="inlineStr">
        <is>
          <t>계획관리지역</t>
        </is>
      </c>
      <c r="I6436" s="3" t="inlineStr">
        <is>
          <t>답</t>
        </is>
      </c>
      <c r="J6436" s="3" t="inlineStr">
        <is>
          <t>금남면</t>
        </is>
      </c>
    </row>
    <row r="6437">
      <c r="A6437" s="3" t="n">
        <v>2025</v>
      </c>
      <c r="B6437" s="4" t="n">
        <v>22500</v>
      </c>
      <c r="C6437" s="4" t="n">
        <v>100</v>
      </c>
      <c r="D6437" s="4" t="n">
        <v>30.25</v>
      </c>
      <c r="E6437" s="5" t="n">
        <v>743.8</v>
      </c>
      <c r="F6437" s="3" t="inlineStr">
        <is>
          <t>금남면</t>
        </is>
      </c>
      <c r="G6437" s="3" t="inlineStr">
        <is>
          <t>용포리</t>
        </is>
      </c>
      <c r="H6437" s="3" t="inlineStr">
        <is>
          <t>제2종일반주거지역</t>
        </is>
      </c>
      <c r="I6437" s="3" t="inlineStr">
        <is>
          <t>대</t>
        </is>
      </c>
      <c r="J6437" s="3" t="inlineStr">
        <is>
          <t>금남면</t>
        </is>
      </c>
    </row>
    <row r="6438">
      <c r="A6438" s="3" t="n">
        <v>2025</v>
      </c>
      <c r="B6438" s="4" t="n">
        <v>23915</v>
      </c>
      <c r="C6438" s="4" t="n">
        <v>458</v>
      </c>
      <c r="D6438" s="4" t="n">
        <v>138.545</v>
      </c>
      <c r="E6438" s="5" t="n">
        <v>172.6</v>
      </c>
      <c r="F6438" s="3" t="inlineStr">
        <is>
          <t>전의면</t>
        </is>
      </c>
      <c r="G6438" s="3" t="inlineStr">
        <is>
          <t>신방리</t>
        </is>
      </c>
      <c r="H6438" s="3" t="inlineStr">
        <is>
          <t>계획관리지역</t>
        </is>
      </c>
      <c r="I6438" s="3" t="inlineStr">
        <is>
          <t>임야</t>
        </is>
      </c>
      <c r="J6438" s="3" t="inlineStr">
        <is>
          <t>전의면</t>
        </is>
      </c>
    </row>
    <row r="6439">
      <c r="A6439" s="3" t="n">
        <v>2025</v>
      </c>
      <c r="B6439" s="4" t="n">
        <v>2480</v>
      </c>
      <c r="C6439" s="4" t="n">
        <v>183</v>
      </c>
      <c r="D6439" s="4" t="n">
        <v>55.3575</v>
      </c>
      <c r="E6439" s="5" t="n">
        <v>44.8</v>
      </c>
      <c r="F6439" s="3" t="inlineStr">
        <is>
          <t>금남면</t>
        </is>
      </c>
      <c r="G6439" s="3" t="inlineStr">
        <is>
          <t>두만리</t>
        </is>
      </c>
      <c r="H6439" s="3" t="inlineStr">
        <is>
          <t>계획관리지역</t>
        </is>
      </c>
      <c r="I6439" s="3" t="inlineStr">
        <is>
          <t>도로</t>
        </is>
      </c>
      <c r="J6439" s="3" t="inlineStr">
        <is>
          <t>금남면</t>
        </is>
      </c>
    </row>
    <row r="6440">
      <c r="A6440" s="3" t="n">
        <v>2025</v>
      </c>
      <c r="B6440" s="4" t="n">
        <v>310480</v>
      </c>
      <c r="C6440" s="4" t="n">
        <v>5665</v>
      </c>
      <c r="D6440" s="4" t="n">
        <v>1713.6625</v>
      </c>
      <c r="E6440" s="5" t="n">
        <v>181.2</v>
      </c>
      <c r="F6440" s="3" t="inlineStr">
        <is>
          <t>금남면</t>
        </is>
      </c>
      <c r="G6440" s="3" t="inlineStr">
        <is>
          <t>두만리</t>
        </is>
      </c>
      <c r="H6440" s="3" t="inlineStr">
        <is>
          <t>계획관리지역</t>
        </is>
      </c>
      <c r="I6440" s="3" t="inlineStr">
        <is>
          <t>대</t>
        </is>
      </c>
      <c r="J6440" s="3" t="inlineStr">
        <is>
          <t>금남면</t>
        </is>
      </c>
    </row>
    <row r="6441">
      <c r="A6441" s="3" t="n">
        <v>2025</v>
      </c>
      <c r="B6441" s="4" t="n">
        <v>417880</v>
      </c>
      <c r="C6441" s="4" t="n">
        <v>7390</v>
      </c>
      <c r="D6441" s="4" t="n">
        <v>2235.475</v>
      </c>
      <c r="E6441" s="5" t="n">
        <v>186.9</v>
      </c>
      <c r="F6441" s="3" t="inlineStr">
        <is>
          <t>금남면</t>
        </is>
      </c>
      <c r="G6441" s="3" t="inlineStr">
        <is>
          <t>두만리</t>
        </is>
      </c>
      <c r="H6441" s="3" t="inlineStr">
        <is>
          <t>계획관리지역</t>
        </is>
      </c>
      <c r="I6441" s="3" t="inlineStr">
        <is>
          <t>대</t>
        </is>
      </c>
      <c r="J6441" s="3" t="inlineStr">
        <is>
          <t>금남면</t>
        </is>
      </c>
    </row>
    <row r="6442">
      <c r="A6442" s="3" t="n">
        <v>2025</v>
      </c>
      <c r="B6442" s="4" t="n">
        <v>2000</v>
      </c>
      <c r="C6442" s="4" t="n">
        <v>774</v>
      </c>
      <c r="D6442" s="4" t="n">
        <v>234.135</v>
      </c>
      <c r="E6442" s="5" t="n">
        <v>8.5</v>
      </c>
      <c r="F6442" s="3" t="inlineStr">
        <is>
          <t>금남면</t>
        </is>
      </c>
      <c r="G6442" s="3" t="inlineStr">
        <is>
          <t>금천리</t>
        </is>
      </c>
      <c r="H6442" s="3" t="inlineStr">
        <is>
          <t>개발제한구역</t>
        </is>
      </c>
      <c r="I6442" s="3" t="inlineStr">
        <is>
          <t>전</t>
        </is>
      </c>
      <c r="J6442" s="3" t="inlineStr">
        <is>
          <t>금남면</t>
        </is>
      </c>
    </row>
    <row r="6443">
      <c r="A6443" s="3" t="n">
        <v>2025</v>
      </c>
      <c r="B6443" s="4" t="n">
        <v>1500</v>
      </c>
      <c r="C6443" s="4" t="n">
        <v>298</v>
      </c>
      <c r="D6443" s="4" t="n">
        <v>90.145</v>
      </c>
      <c r="E6443" s="5" t="n">
        <v>16.6</v>
      </c>
      <c r="F6443" s="3" t="inlineStr">
        <is>
          <t>연기면</t>
        </is>
      </c>
      <c r="G6443" s="3" t="inlineStr">
        <is>
          <t>수산리</t>
        </is>
      </c>
      <c r="H6443" s="3" t="inlineStr">
        <is>
          <t>보전관리지역</t>
        </is>
      </c>
      <c r="I6443" s="3" t="inlineStr">
        <is>
          <t>임야</t>
        </is>
      </c>
      <c r="J6443" s="3" t="inlineStr">
        <is>
          <t>연기면</t>
        </is>
      </c>
    </row>
    <row r="6444">
      <c r="A6444" s="3" t="n">
        <v>2025</v>
      </c>
      <c r="B6444" s="4" t="n">
        <v>31640</v>
      </c>
      <c r="C6444" s="4" t="n">
        <v>2990</v>
      </c>
      <c r="D6444" s="4" t="n">
        <v>904.475</v>
      </c>
      <c r="E6444" s="5" t="n">
        <v>35</v>
      </c>
      <c r="F6444" s="3" t="inlineStr">
        <is>
          <t>전동면</t>
        </is>
      </c>
      <c r="G6444" s="3" t="inlineStr">
        <is>
          <t>청람리</t>
        </is>
      </c>
      <c r="H6444" s="3" t="inlineStr">
        <is>
          <t>농림지역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2025</v>
      </c>
      <c r="B6445" s="4" t="n">
        <v>10000</v>
      </c>
      <c r="C6445" s="4" t="n">
        <v>1223</v>
      </c>
      <c r="D6445" s="4" t="n">
        <v>369.9575</v>
      </c>
      <c r="E6445" s="5" t="n">
        <v>27</v>
      </c>
      <c r="F6445" s="3" t="inlineStr">
        <is>
          <t>부강면</t>
        </is>
      </c>
      <c r="G6445" s="3" t="inlineStr">
        <is>
          <t>행산리</t>
        </is>
      </c>
      <c r="H6445" s="3" t="inlineStr">
        <is>
          <t>계획관리지역</t>
        </is>
      </c>
      <c r="I6445" s="3" t="inlineStr">
        <is>
          <t>임야</t>
        </is>
      </c>
      <c r="J6445" s="3" t="inlineStr">
        <is>
          <t>부강면</t>
        </is>
      </c>
    </row>
    <row r="6446">
      <c r="A6446" s="3" t="n">
        <v>2025</v>
      </c>
      <c r="B6446" s="4" t="n">
        <v>40000</v>
      </c>
      <c r="C6446" s="4" t="n">
        <v>1805</v>
      </c>
      <c r="D6446" s="4" t="n">
        <v>546.0124999999999</v>
      </c>
      <c r="E6446" s="5" t="n">
        <v>73.3</v>
      </c>
      <c r="F6446" s="3" t="inlineStr">
        <is>
          <t>금남면</t>
        </is>
      </c>
      <c r="G6446" s="3" t="inlineStr">
        <is>
          <t>도암리</t>
        </is>
      </c>
      <c r="H6446" s="3" t="inlineStr">
        <is>
          <t>농림지역</t>
        </is>
      </c>
      <c r="I6446" s="3" t="inlineStr">
        <is>
          <t>답</t>
        </is>
      </c>
      <c r="J6446" s="3" t="inlineStr">
        <is>
          <t>금남면</t>
        </is>
      </c>
    </row>
    <row r="6447">
      <c r="A6447" s="3" t="n">
        <v>2025</v>
      </c>
      <c r="B6447" s="4" t="n">
        <v>9139</v>
      </c>
      <c r="C6447" s="4" t="n">
        <v>159</v>
      </c>
      <c r="D6447" s="4" t="n">
        <v>48.0975</v>
      </c>
      <c r="E6447" s="5" t="n">
        <v>190</v>
      </c>
      <c r="F6447" s="3" t="inlineStr">
        <is>
          <t>조치원읍</t>
        </is>
      </c>
      <c r="G6447" s="3" t="inlineStr">
        <is>
          <t>신안리</t>
        </is>
      </c>
      <c r="H6447" s="3" t="inlineStr">
        <is>
          <t>자연녹지지역</t>
        </is>
      </c>
      <c r="I6447" s="3" t="inlineStr">
        <is>
          <t>답</t>
        </is>
      </c>
      <c r="J6447" s="3" t="inlineStr">
        <is>
          <t>조치원읍</t>
        </is>
      </c>
    </row>
    <row r="6448">
      <c r="A6448" s="3" t="n">
        <v>2023</v>
      </c>
      <c r="B6448" s="4" t="n">
        <v>14000</v>
      </c>
      <c r="C6448" s="4" t="n">
        <v>1464</v>
      </c>
      <c r="D6448" s="4" t="n">
        <v>442.86</v>
      </c>
      <c r="E6448" s="5" t="n">
        <v>31.6</v>
      </c>
      <c r="F6448" s="3" t="inlineStr">
        <is>
          <t>남이면</t>
        </is>
      </c>
      <c r="G6448" s="3" t="inlineStr">
        <is>
          <t>부용외천리</t>
        </is>
      </c>
      <c r="H6448" s="3" t="inlineStr">
        <is>
          <t>생산관리지역</t>
        </is>
      </c>
      <c r="I6448" s="3" t="inlineStr">
        <is>
          <t>답</t>
        </is>
      </c>
      <c r="J6448" s="3" t="inlineStr">
        <is>
          <t>남이면</t>
        </is>
      </c>
    </row>
    <row r="6449">
      <c r="A6449" s="3" t="n">
        <v>2023</v>
      </c>
      <c r="B6449" s="4" t="n">
        <v>2700</v>
      </c>
      <c r="C6449" s="4" t="n">
        <v>205</v>
      </c>
      <c r="D6449" s="4" t="n">
        <v>62.0125</v>
      </c>
      <c r="E6449" s="5" t="n">
        <v>43.5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계획관리지역</t>
        </is>
      </c>
      <c r="I6449" s="3" t="inlineStr">
        <is>
          <t>대</t>
        </is>
      </c>
      <c r="J6449" s="3" t="inlineStr">
        <is>
          <t>남이면</t>
        </is>
      </c>
    </row>
    <row r="6450">
      <c r="A6450" s="3" t="n">
        <v>2023</v>
      </c>
      <c r="B6450" s="4" t="n">
        <v>18000</v>
      </c>
      <c r="C6450" s="4" t="n">
        <v>797</v>
      </c>
      <c r="D6450" s="4" t="n">
        <v>241.0925</v>
      </c>
      <c r="E6450" s="5" t="n">
        <v>74.7</v>
      </c>
      <c r="F6450" s="3" t="inlineStr">
        <is>
          <t>남이면</t>
        </is>
      </c>
      <c r="G6450" s="3" t="inlineStr">
        <is>
          <t>수대리</t>
        </is>
      </c>
      <c r="H6450" s="3" t="inlineStr">
        <is>
          <t>보전녹지지역</t>
        </is>
      </c>
      <c r="I6450" s="3" t="inlineStr">
        <is>
          <t>임야</t>
        </is>
      </c>
      <c r="J6450" s="3" t="inlineStr">
        <is>
          <t>남이면</t>
        </is>
      </c>
    </row>
    <row r="6451">
      <c r="A6451" s="3" t="n">
        <v>2023</v>
      </c>
      <c r="B6451" s="4" t="n">
        <v>4000</v>
      </c>
      <c r="C6451" s="4" t="n">
        <v>883</v>
      </c>
      <c r="D6451" s="4" t="n">
        <v>267.1075</v>
      </c>
      <c r="E6451" s="5" t="n">
        <v>15</v>
      </c>
      <c r="F6451" s="3" t="inlineStr">
        <is>
          <t>남이면</t>
        </is>
      </c>
      <c r="G6451" s="3" t="inlineStr">
        <is>
          <t>외천리</t>
        </is>
      </c>
      <c r="H6451" s="3" t="inlineStr">
        <is>
          <t>계획관리지역</t>
        </is>
      </c>
      <c r="I6451" s="3" t="inlineStr">
        <is>
          <t>전</t>
        </is>
      </c>
      <c r="J6451" s="3" t="inlineStr">
        <is>
          <t>남이면</t>
        </is>
      </c>
    </row>
    <row r="6452">
      <c r="A6452" s="3" t="n">
        <v>2023</v>
      </c>
      <c r="B6452" s="4" t="n">
        <v>27000</v>
      </c>
      <c r="C6452" s="4" t="n">
        <v>1375</v>
      </c>
      <c r="D6452" s="4" t="n">
        <v>415.9375</v>
      </c>
      <c r="E6452" s="5" t="n">
        <v>64.90000000000001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전</t>
        </is>
      </c>
      <c r="J6452" s="3" t="inlineStr">
        <is>
          <t>남이면</t>
        </is>
      </c>
    </row>
    <row r="6453">
      <c r="A6453" s="3" t="n">
        <v>2023</v>
      </c>
      <c r="B6453" s="4" t="n">
        <v>5400</v>
      </c>
      <c r="C6453" s="4" t="n">
        <v>274</v>
      </c>
      <c r="D6453" s="4" t="n">
        <v>82.88499999999999</v>
      </c>
      <c r="E6453" s="5" t="n">
        <v>65.2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전</t>
        </is>
      </c>
      <c r="J6453" s="3" t="inlineStr">
        <is>
          <t>남이면</t>
        </is>
      </c>
    </row>
    <row r="6454">
      <c r="A6454" s="3" t="n">
        <v>2023</v>
      </c>
      <c r="B6454" s="4" t="n">
        <v>50500</v>
      </c>
      <c r="C6454" s="4" t="n">
        <v>2552</v>
      </c>
      <c r="D6454" s="4" t="n">
        <v>771.98</v>
      </c>
      <c r="E6454" s="5" t="n">
        <v>65.40000000000001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답</t>
        </is>
      </c>
      <c r="J6454" s="3" t="inlineStr">
        <is>
          <t>남이면</t>
        </is>
      </c>
    </row>
    <row r="6455">
      <c r="A6455" s="3" t="n">
        <v>2023</v>
      </c>
      <c r="B6455" s="4" t="n">
        <v>19000</v>
      </c>
      <c r="C6455" s="4" t="n">
        <v>962</v>
      </c>
      <c r="D6455" s="4" t="n">
        <v>291.005</v>
      </c>
      <c r="E6455" s="5" t="n">
        <v>65.3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전</t>
        </is>
      </c>
      <c r="J6455" s="3" t="inlineStr">
        <is>
          <t>남이면</t>
        </is>
      </c>
    </row>
    <row r="6456">
      <c r="A6456" s="3" t="n">
        <v>2023</v>
      </c>
      <c r="B6456" s="4" t="n">
        <v>46000</v>
      </c>
      <c r="C6456" s="4" t="n">
        <v>2338</v>
      </c>
      <c r="D6456" s="4" t="n">
        <v>707.245</v>
      </c>
      <c r="E6456" s="5" t="n">
        <v>65</v>
      </c>
      <c r="F6456" s="3" t="inlineStr">
        <is>
          <t>남이면</t>
        </is>
      </c>
      <c r="G6456" s="3" t="inlineStr">
        <is>
          <t>부용외천리</t>
        </is>
      </c>
      <c r="H6456" s="3" t="inlineStr">
        <is>
          <t>계획관리지역</t>
        </is>
      </c>
      <c r="I6456" s="3" t="inlineStr">
        <is>
          <t>답</t>
        </is>
      </c>
      <c r="J6456" s="3" t="inlineStr">
        <is>
          <t>남이면</t>
        </is>
      </c>
    </row>
    <row r="6457">
      <c r="A6457" s="3" t="n">
        <v>2023</v>
      </c>
      <c r="B6457" s="4" t="n">
        <v>13500</v>
      </c>
      <c r="C6457" s="4" t="n">
        <v>683</v>
      </c>
      <c r="D6457" s="4" t="n">
        <v>206.6075</v>
      </c>
      <c r="E6457" s="5" t="n">
        <v>65.3</v>
      </c>
      <c r="F6457" s="3" t="inlineStr">
        <is>
          <t>남이면</t>
        </is>
      </c>
      <c r="G6457" s="3" t="inlineStr">
        <is>
          <t>부용외천리</t>
        </is>
      </c>
      <c r="H6457" s="3" t="inlineStr">
        <is>
          <t>계획관리지역</t>
        </is>
      </c>
      <c r="I6457" s="3" t="inlineStr">
        <is>
          <t>전</t>
        </is>
      </c>
      <c r="J6457" s="3" t="inlineStr">
        <is>
          <t>남이면</t>
        </is>
      </c>
    </row>
    <row r="6458">
      <c r="A6458" s="3" t="n">
        <v>2023</v>
      </c>
      <c r="B6458" s="4" t="n">
        <v>28600</v>
      </c>
      <c r="C6458" s="4" t="n">
        <v>1456</v>
      </c>
      <c r="D6458" s="4" t="n">
        <v>440.44</v>
      </c>
      <c r="E6458" s="5" t="n">
        <v>64.90000000000001</v>
      </c>
      <c r="F6458" s="3" t="inlineStr">
        <is>
          <t>남이면</t>
        </is>
      </c>
      <c r="G6458" s="3" t="inlineStr">
        <is>
          <t>부용외천리</t>
        </is>
      </c>
      <c r="H6458" s="3" t="inlineStr">
        <is>
          <t>계획관리지역</t>
        </is>
      </c>
      <c r="I6458" s="3" t="inlineStr">
        <is>
          <t>임야</t>
        </is>
      </c>
      <c r="J6458" s="3" t="inlineStr">
        <is>
          <t>남이면</t>
        </is>
      </c>
    </row>
    <row r="6459">
      <c r="A6459" s="3" t="n">
        <v>2023</v>
      </c>
      <c r="B6459" s="4" t="n">
        <v>7994</v>
      </c>
      <c r="C6459" s="4" t="n">
        <v>1416</v>
      </c>
      <c r="D6459" s="4" t="n">
        <v>428.34</v>
      </c>
      <c r="E6459" s="5" t="n">
        <v>18.7</v>
      </c>
      <c r="F6459" s="3" t="inlineStr">
        <is>
          <t>남이면</t>
        </is>
      </c>
      <c r="G6459" s="3" t="inlineStr">
        <is>
          <t>문동리</t>
        </is>
      </c>
      <c r="H6459" s="3" t="inlineStr">
        <is>
          <t>농림지역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2023</v>
      </c>
      <c r="B6460" s="4" t="n">
        <v>7</v>
      </c>
      <c r="C6460" s="4" t="n">
        <v>1</v>
      </c>
      <c r="D6460" s="4" t="n">
        <v>0.3025</v>
      </c>
      <c r="E6460" s="5" t="n">
        <v>23.1</v>
      </c>
      <c r="F6460" s="3" t="inlineStr">
        <is>
          <t>남이면</t>
        </is>
      </c>
      <c r="G6460" s="3" t="inlineStr">
        <is>
          <t>문동리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남이면</t>
        </is>
      </c>
    </row>
    <row r="6461">
      <c r="A6461" s="3" t="n">
        <v>2023</v>
      </c>
      <c r="B6461" s="4" t="n">
        <v>7500</v>
      </c>
      <c r="C6461" s="4" t="n">
        <v>776</v>
      </c>
      <c r="D6461" s="4" t="n">
        <v>234.74</v>
      </c>
      <c r="E6461" s="5" t="n">
        <v>32</v>
      </c>
      <c r="F6461" s="3" t="inlineStr">
        <is>
          <t>현도면</t>
        </is>
      </c>
      <c r="G6461" s="3" t="inlineStr">
        <is>
          <t>시동리</t>
        </is>
      </c>
      <c r="H6461" s="3" t="inlineStr">
        <is>
          <t>개발제한구역</t>
        </is>
      </c>
      <c r="I6461" s="3" t="inlineStr">
        <is>
          <t>답</t>
        </is>
      </c>
      <c r="J6461" s="3" t="inlineStr">
        <is>
          <t>현도면</t>
        </is>
      </c>
    </row>
    <row r="6462">
      <c r="A6462" s="3" t="n">
        <v>2023</v>
      </c>
      <c r="B6462" s="4" t="n">
        <v>3000</v>
      </c>
      <c r="C6462" s="4" t="n">
        <v>937</v>
      </c>
      <c r="D6462" s="4" t="n">
        <v>283.4425</v>
      </c>
      <c r="E6462" s="5" t="n">
        <v>10.6</v>
      </c>
      <c r="F6462" s="3" t="inlineStr">
        <is>
          <t>현도면</t>
        </is>
      </c>
      <c r="G6462" s="3" t="inlineStr">
        <is>
          <t>시목리</t>
        </is>
      </c>
      <c r="H6462" s="3" t="inlineStr">
        <is>
          <t>개발제한구역</t>
        </is>
      </c>
      <c r="I6462" s="3" t="inlineStr">
        <is>
          <t>전</t>
        </is>
      </c>
      <c r="J6462" s="3" t="inlineStr">
        <is>
          <t>현도면</t>
        </is>
      </c>
    </row>
    <row r="6463">
      <c r="A6463" s="3" t="n">
        <v>2023</v>
      </c>
      <c r="B6463" s="4" t="n">
        <v>58000</v>
      </c>
      <c r="C6463" s="4" t="n">
        <v>1938</v>
      </c>
      <c r="D6463" s="4" t="n">
        <v>586.245</v>
      </c>
      <c r="E6463" s="5" t="n">
        <v>98.90000000000001</v>
      </c>
      <c r="F6463" s="3" t="inlineStr">
        <is>
          <t>남이면</t>
        </is>
      </c>
      <c r="G6463" s="3" t="inlineStr">
        <is>
          <t>가좌리</t>
        </is>
      </c>
      <c r="H6463" s="3" t="inlineStr">
        <is>
          <t>자연녹지지역</t>
        </is>
      </c>
      <c r="I6463" s="3" t="inlineStr">
        <is>
          <t>답</t>
        </is>
      </c>
      <c r="J6463" s="3" t="inlineStr">
        <is>
          <t>남이면</t>
        </is>
      </c>
    </row>
    <row r="6464">
      <c r="A6464" s="3" t="n">
        <v>2023</v>
      </c>
      <c r="B6464" s="4" t="n">
        <v>1600</v>
      </c>
      <c r="C6464" s="4" t="n">
        <v>218</v>
      </c>
      <c r="D6464" s="4" t="n">
        <v>65.94499999999999</v>
      </c>
      <c r="E6464" s="5" t="n">
        <v>24.3</v>
      </c>
      <c r="F6464" s="3" t="inlineStr">
        <is>
          <t>남이면</t>
        </is>
      </c>
      <c r="G6464" s="3" t="inlineStr">
        <is>
          <t>구암리</t>
        </is>
      </c>
      <c r="H6464" s="3" t="inlineStr">
        <is>
          <t>자연녹지지역</t>
        </is>
      </c>
      <c r="I6464" s="3" t="inlineStr">
        <is>
          <t>구거</t>
        </is>
      </c>
      <c r="J6464" s="3" t="inlineStr">
        <is>
          <t>남이면</t>
        </is>
      </c>
    </row>
    <row r="6465">
      <c r="A6465" s="3" t="n">
        <v>2023</v>
      </c>
      <c r="B6465" s="4" t="n">
        <v>6500</v>
      </c>
      <c r="C6465" s="4" t="n">
        <v>5355</v>
      </c>
      <c r="D6465" s="4" t="n">
        <v>1619.8875</v>
      </c>
      <c r="E6465" s="5" t="n">
        <v>4</v>
      </c>
      <c r="F6465" s="3" t="inlineStr">
        <is>
          <t>현도면</t>
        </is>
      </c>
      <c r="G6465" s="3" t="inlineStr">
        <is>
          <t>죽암리</t>
        </is>
      </c>
      <c r="H6465" s="3" t="inlineStr">
        <is>
          <t>보전관리지역</t>
        </is>
      </c>
      <c r="I6465" s="3" t="inlineStr">
        <is>
          <t>임야</t>
        </is>
      </c>
      <c r="J6465" s="3" t="inlineStr">
        <is>
          <t>현도면</t>
        </is>
      </c>
    </row>
    <row r="6466">
      <c r="A6466" s="3" t="n">
        <v>2023</v>
      </c>
      <c r="B6466" s="4" t="n">
        <v>18000</v>
      </c>
      <c r="C6466" s="4" t="n">
        <v>1012</v>
      </c>
      <c r="D6466" s="4" t="n">
        <v>306.13</v>
      </c>
      <c r="E6466" s="5" t="n">
        <v>58.8</v>
      </c>
      <c r="F6466" s="3" t="inlineStr">
        <is>
          <t>남이면</t>
        </is>
      </c>
      <c r="G6466" s="3" t="inlineStr">
        <is>
          <t>갈원리</t>
        </is>
      </c>
      <c r="H6466" s="3" t="inlineStr">
        <is>
          <t>농림지역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2023</v>
      </c>
      <c r="B6467" s="4" t="n">
        <v>14925</v>
      </c>
      <c r="C6467" s="4" t="n">
        <v>396</v>
      </c>
      <c r="D6467" s="4" t="n">
        <v>119.79</v>
      </c>
      <c r="E6467" s="5" t="n">
        <v>124.6</v>
      </c>
      <c r="F6467" s="3" t="inlineStr">
        <is>
          <t>남이면</t>
        </is>
      </c>
      <c r="G6467" s="3" t="inlineStr">
        <is>
          <t>구암리</t>
        </is>
      </c>
      <c r="H6467" s="3" t="inlineStr">
        <is>
          <t>보전녹지지역</t>
        </is>
      </c>
      <c r="I6467" s="3" t="inlineStr">
        <is>
          <t>임야</t>
        </is>
      </c>
      <c r="J6467" s="3" t="inlineStr">
        <is>
          <t>남이면</t>
        </is>
      </c>
    </row>
    <row r="6468">
      <c r="A6468" s="3" t="n">
        <v>2024</v>
      </c>
      <c r="B6468" s="4" t="n">
        <v>48240</v>
      </c>
      <c r="C6468" s="4" t="n">
        <v>2660</v>
      </c>
      <c r="D6468" s="4" t="n">
        <v>804.65</v>
      </c>
      <c r="E6468" s="5" t="n">
        <v>60</v>
      </c>
      <c r="F6468" s="3" t="inlineStr">
        <is>
          <t>조치원읍</t>
        </is>
      </c>
      <c r="G6468" s="3" t="inlineStr">
        <is>
          <t>신안리</t>
        </is>
      </c>
      <c r="H6468" s="3" t="inlineStr">
        <is>
          <t>생산녹지지역</t>
        </is>
      </c>
      <c r="I6468" s="3" t="inlineStr">
        <is>
          <t>답</t>
        </is>
      </c>
      <c r="J6468" s="3" t="inlineStr">
        <is>
          <t>조치원읍</t>
        </is>
      </c>
    </row>
    <row r="6469">
      <c r="A6469" s="3" t="n">
        <v>2024</v>
      </c>
      <c r="B6469" s="4" t="n">
        <v>7070</v>
      </c>
      <c r="C6469" s="4" t="n">
        <v>70</v>
      </c>
      <c r="D6469" s="4" t="n">
        <v>21.175</v>
      </c>
      <c r="E6469" s="5" t="n">
        <v>333.9</v>
      </c>
      <c r="F6469" s="3" t="inlineStr">
        <is>
          <t>장군면</t>
        </is>
      </c>
      <c r="G6469" s="3" t="inlineStr">
        <is>
          <t>금암리</t>
        </is>
      </c>
      <c r="H6469" s="3" t="inlineStr">
        <is>
          <t>생산관리지역</t>
        </is>
      </c>
      <c r="I6469" s="3" t="inlineStr">
        <is>
          <t>대</t>
        </is>
      </c>
      <c r="J6469" s="3" t="inlineStr">
        <is>
          <t>장군면</t>
        </is>
      </c>
    </row>
    <row r="6470">
      <c r="A6470" s="3" t="n">
        <v>2024</v>
      </c>
      <c r="B6470" s="4" t="n">
        <v>7070</v>
      </c>
      <c r="C6470" s="4" t="n">
        <v>70</v>
      </c>
      <c r="D6470" s="4" t="n">
        <v>21.175</v>
      </c>
      <c r="E6470" s="5" t="n">
        <v>333.9</v>
      </c>
      <c r="F6470" s="3" t="inlineStr">
        <is>
          <t>장군면</t>
        </is>
      </c>
      <c r="G6470" s="3" t="inlineStr">
        <is>
          <t>금암리</t>
        </is>
      </c>
      <c r="H6470" s="3" t="inlineStr">
        <is>
          <t>제1종일반주거지역</t>
        </is>
      </c>
      <c r="I6470" s="3" t="inlineStr">
        <is>
          <t>대</t>
        </is>
      </c>
      <c r="J6470" s="3" t="inlineStr">
        <is>
          <t>장군면</t>
        </is>
      </c>
    </row>
    <row r="6471">
      <c r="A6471" s="3" t="n">
        <v>2024</v>
      </c>
      <c r="B6471" s="4" t="n">
        <v>8000</v>
      </c>
      <c r="C6471" s="4" t="n">
        <v>483</v>
      </c>
      <c r="D6471" s="4" t="n">
        <v>146.1075</v>
      </c>
      <c r="E6471" s="5" t="n">
        <v>54.8</v>
      </c>
      <c r="F6471" s="3" t="inlineStr">
        <is>
          <t>전동면</t>
        </is>
      </c>
      <c r="G6471" s="3" t="inlineStr">
        <is>
          <t>송성리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전동면</t>
        </is>
      </c>
    </row>
    <row r="6472">
      <c r="A6472" s="3" t="n">
        <v>2024</v>
      </c>
      <c r="B6472" s="4" t="n">
        <v>10400</v>
      </c>
      <c r="C6472" s="4" t="n">
        <v>264</v>
      </c>
      <c r="D6472" s="4" t="n">
        <v>79.86</v>
      </c>
      <c r="E6472" s="5" t="n">
        <v>130.2</v>
      </c>
      <c r="F6472" s="3" t="inlineStr">
        <is>
          <t>장군면</t>
        </is>
      </c>
      <c r="G6472" s="3" t="inlineStr">
        <is>
          <t>산학리</t>
        </is>
      </c>
      <c r="H6472" s="3" t="inlineStr">
        <is>
          <t>농림지역</t>
        </is>
      </c>
      <c r="I6472" s="3" t="inlineStr">
        <is>
          <t>임야</t>
        </is>
      </c>
      <c r="J6472" s="3" t="inlineStr">
        <is>
          <t>장군면</t>
        </is>
      </c>
    </row>
    <row r="6473">
      <c r="A6473" s="3" t="n">
        <v>2024</v>
      </c>
      <c r="B6473" s="4" t="n">
        <v>18460</v>
      </c>
      <c r="C6473" s="4" t="n">
        <v>470</v>
      </c>
      <c r="D6473" s="4" t="n">
        <v>142.175</v>
      </c>
      <c r="E6473" s="5" t="n">
        <v>129.8</v>
      </c>
      <c r="F6473" s="3" t="inlineStr">
        <is>
          <t>장군면</t>
        </is>
      </c>
      <c r="G6473" s="3" t="inlineStr">
        <is>
          <t>산학리</t>
        </is>
      </c>
      <c r="H6473" s="3" t="inlineStr">
        <is>
          <t>농림지역</t>
        </is>
      </c>
      <c r="I6473" s="3" t="inlineStr">
        <is>
          <t>임야</t>
        </is>
      </c>
      <c r="J6473" s="3" t="inlineStr">
        <is>
          <t>장군면</t>
        </is>
      </c>
    </row>
    <row r="6474">
      <c r="A6474" s="3" t="n">
        <v>2024</v>
      </c>
      <c r="B6474" s="4" t="n">
        <v>27000</v>
      </c>
      <c r="C6474" s="4" t="n">
        <v>1478</v>
      </c>
      <c r="D6474" s="4" t="n">
        <v>447.095</v>
      </c>
      <c r="E6474" s="5" t="n">
        <v>60.4</v>
      </c>
      <c r="F6474" s="3" t="inlineStr">
        <is>
          <t>전동면</t>
        </is>
      </c>
      <c r="G6474" s="3" t="inlineStr">
        <is>
          <t>송성리</t>
        </is>
      </c>
      <c r="H6474" s="3" t="inlineStr">
        <is>
          <t>생산관리지역</t>
        </is>
      </c>
      <c r="I6474" s="3" t="inlineStr">
        <is>
          <t>답</t>
        </is>
      </c>
      <c r="J6474" s="3" t="inlineStr">
        <is>
          <t>전동면</t>
        </is>
      </c>
    </row>
    <row r="6475">
      <c r="A6475" s="3" t="n">
        <v>2024</v>
      </c>
      <c r="B6475" s="4" t="n">
        <v>1622</v>
      </c>
      <c r="C6475" s="4" t="n">
        <v>477</v>
      </c>
      <c r="D6475" s="4" t="n">
        <v>144.2925</v>
      </c>
      <c r="E6475" s="5" t="n">
        <v>11.2</v>
      </c>
      <c r="F6475" s="3" t="inlineStr">
        <is>
          <t>전의면</t>
        </is>
      </c>
      <c r="G6475" s="3" t="inlineStr">
        <is>
          <t>관정리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전의면</t>
        </is>
      </c>
    </row>
    <row r="6476">
      <c r="A6476" s="3" t="n">
        <v>2024</v>
      </c>
      <c r="B6476" s="4" t="n">
        <v>14967</v>
      </c>
      <c r="C6476" s="4" t="n">
        <v>500</v>
      </c>
      <c r="D6476" s="4" t="n">
        <v>151.25</v>
      </c>
      <c r="E6476" s="5" t="n">
        <v>99</v>
      </c>
      <c r="F6476" s="3" t="inlineStr">
        <is>
          <t>전의면</t>
        </is>
      </c>
      <c r="G6476" s="3" t="inlineStr">
        <is>
          <t>관정리</t>
        </is>
      </c>
      <c r="H6476" s="3" t="inlineStr">
        <is>
          <t>계획관리지역</t>
        </is>
      </c>
      <c r="I6476" s="3" t="inlineStr">
        <is>
          <t>임야</t>
        </is>
      </c>
      <c r="J6476" s="3" t="inlineStr">
        <is>
          <t>전의면</t>
        </is>
      </c>
    </row>
    <row r="6477">
      <c r="A6477" s="3" t="n">
        <v>2024</v>
      </c>
      <c r="B6477" s="4" t="n">
        <v>5453</v>
      </c>
      <c r="C6477" s="4" t="n">
        <v>1311</v>
      </c>
      <c r="D6477" s="4" t="n">
        <v>396.5775</v>
      </c>
      <c r="E6477" s="5" t="n">
        <v>13.8</v>
      </c>
      <c r="F6477" s="3" t="inlineStr">
        <is>
          <t>전의면</t>
        </is>
      </c>
      <c r="G6477" s="3" t="inlineStr">
        <is>
          <t>관정리</t>
        </is>
      </c>
      <c r="H6477" s="3" t="inlineStr">
        <is>
          <t>계획관리지역</t>
        </is>
      </c>
      <c r="I6477" s="3" t="inlineStr">
        <is>
          <t>임야</t>
        </is>
      </c>
      <c r="J6477" s="3" t="inlineStr">
        <is>
          <t>전의면</t>
        </is>
      </c>
    </row>
    <row r="6478">
      <c r="A6478" s="3" t="n">
        <v>2024</v>
      </c>
      <c r="B6478" s="4" t="n">
        <v>8351</v>
      </c>
      <c r="C6478" s="4" t="n">
        <v>252</v>
      </c>
      <c r="D6478" s="4" t="n">
        <v>76.23</v>
      </c>
      <c r="E6478" s="5" t="n">
        <v>109.6</v>
      </c>
      <c r="F6478" s="3" t="inlineStr">
        <is>
          <t>전의면</t>
        </is>
      </c>
      <c r="G6478" s="3" t="inlineStr">
        <is>
          <t>관정리</t>
        </is>
      </c>
      <c r="H6478" s="3" t="inlineStr">
        <is>
          <t>계획관리지역</t>
        </is>
      </c>
      <c r="I6478" s="3" t="inlineStr">
        <is>
          <t>공장용지</t>
        </is>
      </c>
      <c r="J6478" s="3" t="inlineStr">
        <is>
          <t>전의면</t>
        </is>
      </c>
    </row>
    <row r="6479">
      <c r="A6479" s="3" t="n">
        <v>2024</v>
      </c>
      <c r="B6479" s="4" t="n">
        <v>582</v>
      </c>
      <c r="C6479" s="4" t="n">
        <v>20</v>
      </c>
      <c r="D6479" s="4" t="n">
        <v>6.05</v>
      </c>
      <c r="E6479" s="5" t="n">
        <v>96.2</v>
      </c>
      <c r="F6479" s="3" t="inlineStr">
        <is>
          <t>소정면</t>
        </is>
      </c>
      <c r="G6479" s="3" t="inlineStr">
        <is>
          <t>소정리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소정면</t>
        </is>
      </c>
    </row>
    <row r="6480">
      <c r="A6480" s="3" t="n">
        <v>2024</v>
      </c>
      <c r="B6480" s="4" t="n">
        <v>894</v>
      </c>
      <c r="C6480" s="4" t="n">
        <v>985</v>
      </c>
      <c r="D6480" s="4" t="n">
        <v>297.9625</v>
      </c>
      <c r="E6480" s="5" t="n">
        <v>3</v>
      </c>
      <c r="F6480" s="3" t="inlineStr">
        <is>
          <t>전의면</t>
        </is>
      </c>
      <c r="G6480" s="3" t="inlineStr">
        <is>
          <t>다방리</t>
        </is>
      </c>
      <c r="H6480" s="3" t="inlineStr">
        <is>
          <t>보전관리지역</t>
        </is>
      </c>
      <c r="I6480" s="3" t="inlineStr">
        <is>
          <t>임야</t>
        </is>
      </c>
      <c r="J6480" s="3" t="inlineStr">
        <is>
          <t>전의면</t>
        </is>
      </c>
    </row>
    <row r="6481">
      <c r="A6481" s="3" t="n">
        <v>2024</v>
      </c>
      <c r="B6481" s="4" t="n">
        <v>249</v>
      </c>
      <c r="C6481" s="4" t="n">
        <v>277</v>
      </c>
      <c r="D6481" s="4" t="n">
        <v>83.7925</v>
      </c>
      <c r="E6481" s="5" t="n">
        <v>3</v>
      </c>
      <c r="F6481" s="3" t="inlineStr">
        <is>
          <t>전의면</t>
        </is>
      </c>
      <c r="G6481" s="3" t="inlineStr">
        <is>
          <t>다방리</t>
        </is>
      </c>
      <c r="H6481" s="3" t="inlineStr">
        <is>
          <t>보전관리지역</t>
        </is>
      </c>
      <c r="I6481" s="3" t="inlineStr">
        <is>
          <t>임야</t>
        </is>
      </c>
      <c r="J6481" s="3" t="inlineStr">
        <is>
          <t>전의면</t>
        </is>
      </c>
    </row>
    <row r="6482">
      <c r="A6482" s="3" t="n">
        <v>2026</v>
      </c>
      <c r="B6482" s="4" t="n">
        <v>32500</v>
      </c>
      <c r="C6482" s="4" t="n">
        <v>2856</v>
      </c>
      <c r="D6482" s="4" t="n">
        <v>863.9399999999999</v>
      </c>
      <c r="E6482" s="5" t="n">
        <v>37.6</v>
      </c>
      <c r="F6482" s="3" t="inlineStr">
        <is>
          <t>전의면</t>
        </is>
      </c>
      <c r="G6482" s="3" t="inlineStr">
        <is>
          <t>신정리</t>
        </is>
      </c>
      <c r="H6482" s="3" t="inlineStr">
        <is>
          <t>농림지역</t>
        </is>
      </c>
      <c r="I6482" s="3" t="inlineStr">
        <is>
          <t>답</t>
        </is>
      </c>
      <c r="J6482" s="3" t="inlineStr">
        <is>
          <t>전의면</t>
        </is>
      </c>
    </row>
    <row r="6483">
      <c r="A6483" s="3" t="n">
        <v>2026</v>
      </c>
      <c r="B6483" s="4" t="n">
        <v>17700</v>
      </c>
      <c r="C6483" s="4" t="n">
        <v>1574</v>
      </c>
      <c r="D6483" s="4" t="n">
        <v>476.135</v>
      </c>
      <c r="E6483" s="5" t="n">
        <v>37.2</v>
      </c>
      <c r="F6483" s="3" t="inlineStr">
        <is>
          <t>전의면</t>
        </is>
      </c>
      <c r="G6483" s="3" t="inlineStr">
        <is>
          <t>신정리</t>
        </is>
      </c>
      <c r="H6483" s="3" t="inlineStr">
        <is>
          <t>농림지역</t>
        </is>
      </c>
      <c r="I6483" s="3" t="inlineStr">
        <is>
          <t>전</t>
        </is>
      </c>
      <c r="J6483" s="3" t="inlineStr">
        <is>
          <t>전의면</t>
        </is>
      </c>
    </row>
    <row r="6484">
      <c r="A6484" s="3" t="n">
        <v>2026</v>
      </c>
      <c r="B6484" s="4" t="n">
        <v>15400</v>
      </c>
      <c r="C6484" s="4" t="n">
        <v>1375</v>
      </c>
      <c r="D6484" s="4" t="n">
        <v>415.9375</v>
      </c>
      <c r="E6484" s="5" t="n">
        <v>37</v>
      </c>
      <c r="F6484" s="3" t="inlineStr">
        <is>
          <t>전의면</t>
        </is>
      </c>
      <c r="G6484" s="3" t="inlineStr">
        <is>
          <t>신정리</t>
        </is>
      </c>
      <c r="H6484" s="3" t="inlineStr">
        <is>
          <t>농림지역</t>
        </is>
      </c>
      <c r="I6484" s="3" t="inlineStr">
        <is>
          <t>전</t>
        </is>
      </c>
      <c r="J6484" s="3" t="inlineStr">
        <is>
          <t>전의면</t>
        </is>
      </c>
    </row>
    <row r="6485">
      <c r="A6485" s="3" t="n">
        <v>2026</v>
      </c>
      <c r="B6485" s="4" t="n">
        <v>41600</v>
      </c>
      <c r="C6485" s="4" t="n">
        <v>3722</v>
      </c>
      <c r="D6485" s="4" t="n">
        <v>1125.905</v>
      </c>
      <c r="E6485" s="5" t="n">
        <v>36.9</v>
      </c>
      <c r="F6485" s="3" t="inlineStr">
        <is>
          <t>전의면</t>
        </is>
      </c>
      <c r="G6485" s="3" t="inlineStr">
        <is>
          <t>신정리</t>
        </is>
      </c>
      <c r="H6485" s="3" t="inlineStr">
        <is>
          <t>농림지역</t>
        </is>
      </c>
      <c r="I6485" s="3" t="inlineStr">
        <is>
          <t>답</t>
        </is>
      </c>
      <c r="J6485" s="3" t="inlineStr">
        <is>
          <t>전의면</t>
        </is>
      </c>
    </row>
    <row r="6486">
      <c r="A6486" s="3" t="n">
        <v>2026</v>
      </c>
      <c r="B6486" s="4" t="n">
        <v>12800</v>
      </c>
      <c r="C6486" s="4" t="n">
        <v>1130</v>
      </c>
      <c r="D6486" s="4" t="n">
        <v>341.825</v>
      </c>
      <c r="E6486" s="5" t="n">
        <v>37.4</v>
      </c>
      <c r="F6486" s="3" t="inlineStr">
        <is>
          <t>전의면</t>
        </is>
      </c>
      <c r="G6486" s="3" t="inlineStr">
        <is>
          <t>신정리</t>
        </is>
      </c>
      <c r="H6486" s="3" t="inlineStr">
        <is>
          <t>농림지역</t>
        </is>
      </c>
      <c r="I6486" s="3" t="inlineStr">
        <is>
          <t>전</t>
        </is>
      </c>
      <c r="J6486" s="3" t="inlineStr">
        <is>
          <t>전의면</t>
        </is>
      </c>
    </row>
    <row r="6487">
      <c r="A6487" s="3" t="n">
        <v>2026</v>
      </c>
      <c r="B6487" s="4" t="n">
        <v>50988</v>
      </c>
      <c r="C6487" s="4" t="n">
        <v>6020</v>
      </c>
      <c r="D6487" s="4" t="n">
        <v>1821.05</v>
      </c>
      <c r="E6487" s="5" t="n">
        <v>28</v>
      </c>
      <c r="F6487" s="3" t="inlineStr">
        <is>
          <t>전의면</t>
        </is>
      </c>
      <c r="G6487" s="3" t="inlineStr">
        <is>
          <t>신정리</t>
        </is>
      </c>
      <c r="H6487" s="3" t="inlineStr">
        <is>
          <t>농림지역</t>
        </is>
      </c>
      <c r="I6487" s="3" t="inlineStr">
        <is>
          <t>답</t>
        </is>
      </c>
      <c r="J6487" s="3" t="inlineStr">
        <is>
          <t>전의면</t>
        </is>
      </c>
    </row>
    <row r="6488">
      <c r="A6488" s="3" t="n">
        <v>2026</v>
      </c>
      <c r="B6488" s="4" t="n">
        <v>12075</v>
      </c>
      <c r="C6488" s="4" t="n">
        <v>453</v>
      </c>
      <c r="D6488" s="4" t="n">
        <v>137.0325</v>
      </c>
      <c r="E6488" s="5" t="n">
        <v>88.09999999999999</v>
      </c>
      <c r="F6488" s="3" t="inlineStr">
        <is>
          <t>장군면</t>
        </is>
      </c>
      <c r="G6488" s="3" t="inlineStr">
        <is>
          <t>도계리</t>
        </is>
      </c>
      <c r="H6488" s="3" t="inlineStr">
        <is>
          <t>보전관리지역</t>
        </is>
      </c>
      <c r="I6488" s="3" t="inlineStr">
        <is>
          <t>임야</t>
        </is>
      </c>
      <c r="J6488" s="3" t="inlineStr">
        <is>
          <t>장군면</t>
        </is>
      </c>
    </row>
    <row r="6489">
      <c r="A6489" s="3" t="n">
        <v>2026</v>
      </c>
      <c r="B6489" s="4" t="n">
        <v>18154</v>
      </c>
      <c r="C6489" s="4" t="n">
        <v>681</v>
      </c>
      <c r="D6489" s="4" t="n">
        <v>206.0025</v>
      </c>
      <c r="E6489" s="5" t="n">
        <v>88.09999999999999</v>
      </c>
      <c r="F6489" s="3" t="inlineStr">
        <is>
          <t>장군면</t>
        </is>
      </c>
      <c r="G6489" s="3" t="inlineStr">
        <is>
          <t>도계리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장군면</t>
        </is>
      </c>
    </row>
    <row r="6490">
      <c r="A6490" s="3" t="n">
        <v>2026</v>
      </c>
      <c r="B6490" s="4" t="n">
        <v>48140</v>
      </c>
      <c r="C6490" s="4" t="n">
        <v>1806</v>
      </c>
      <c r="D6490" s="4" t="n">
        <v>546.3149999999999</v>
      </c>
      <c r="E6490" s="5" t="n">
        <v>88.09999999999999</v>
      </c>
      <c r="F6490" s="3" t="inlineStr">
        <is>
          <t>장군면</t>
        </is>
      </c>
      <c r="G6490" s="3" t="inlineStr">
        <is>
          <t>도계리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장군면</t>
        </is>
      </c>
    </row>
    <row r="6491">
      <c r="A6491" s="3" t="n">
        <v>2026</v>
      </c>
      <c r="B6491" s="4" t="n">
        <v>47155</v>
      </c>
      <c r="C6491" s="4" t="n">
        <v>1769</v>
      </c>
      <c r="D6491" s="4" t="n">
        <v>535.1224999999999</v>
      </c>
      <c r="E6491" s="5" t="n">
        <v>88.09999999999999</v>
      </c>
      <c r="F6491" s="3" t="inlineStr">
        <is>
          <t>장군면</t>
        </is>
      </c>
      <c r="G6491" s="3" t="inlineStr">
        <is>
          <t>도계리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장군면</t>
        </is>
      </c>
    </row>
    <row r="6492">
      <c r="A6492" s="3" t="n">
        <v>2026</v>
      </c>
      <c r="B6492" s="4" t="n">
        <v>41797</v>
      </c>
      <c r="C6492" s="4" t="n">
        <v>1568</v>
      </c>
      <c r="D6492" s="4" t="n">
        <v>474.32</v>
      </c>
      <c r="E6492" s="5" t="n">
        <v>88.09999999999999</v>
      </c>
      <c r="F6492" s="3" t="inlineStr">
        <is>
          <t>장군면</t>
        </is>
      </c>
      <c r="G6492" s="3" t="inlineStr">
        <is>
          <t>도계리</t>
        </is>
      </c>
      <c r="H6492" s="3" t="inlineStr">
        <is>
          <t>보전관리지역</t>
        </is>
      </c>
      <c r="I6492" s="3" t="inlineStr">
        <is>
          <t>임야</t>
        </is>
      </c>
      <c r="J6492" s="3" t="inlineStr">
        <is>
          <t>장군면</t>
        </is>
      </c>
    </row>
    <row r="6493">
      <c r="A6493" s="3" t="n">
        <v>2026</v>
      </c>
      <c r="B6493" s="4" t="n">
        <v>3172</v>
      </c>
      <c r="C6493" s="4" t="n">
        <v>119</v>
      </c>
      <c r="D6493" s="4" t="n">
        <v>35.9975</v>
      </c>
      <c r="E6493" s="5" t="n">
        <v>88.09999999999999</v>
      </c>
      <c r="F6493" s="3" t="inlineStr">
        <is>
          <t>장군면</t>
        </is>
      </c>
      <c r="G6493" s="3" t="inlineStr">
        <is>
          <t>도계리</t>
        </is>
      </c>
      <c r="H6493" s="3" t="inlineStr">
        <is>
          <t>보전관리지역</t>
        </is>
      </c>
      <c r="I6493" s="3" t="inlineStr">
        <is>
          <t>대</t>
        </is>
      </c>
      <c r="J6493" s="3" t="inlineStr">
        <is>
          <t>장군면</t>
        </is>
      </c>
    </row>
    <row r="6494">
      <c r="A6494" s="3" t="n">
        <v>2026</v>
      </c>
      <c r="B6494" s="4" t="n">
        <v>3598</v>
      </c>
      <c r="C6494" s="4" t="n">
        <v>135</v>
      </c>
      <c r="D6494" s="4" t="n">
        <v>40.8375</v>
      </c>
      <c r="E6494" s="5" t="n">
        <v>88.09999999999999</v>
      </c>
      <c r="F6494" s="3" t="inlineStr">
        <is>
          <t>장군면</t>
        </is>
      </c>
      <c r="G6494" s="3" t="inlineStr">
        <is>
          <t>도계리</t>
        </is>
      </c>
      <c r="H6494" s="3" t="inlineStr">
        <is>
          <t>보전관리지역</t>
        </is>
      </c>
      <c r="I6494" s="3" t="inlineStr">
        <is>
          <t>도로</t>
        </is>
      </c>
      <c r="J6494" s="3" t="inlineStr">
        <is>
          <t>장군면</t>
        </is>
      </c>
    </row>
    <row r="6495">
      <c r="A6495" s="3" t="n">
        <v>2026</v>
      </c>
      <c r="B6495" s="4" t="n">
        <v>720</v>
      </c>
      <c r="C6495" s="4" t="n">
        <v>27</v>
      </c>
      <c r="D6495" s="4" t="n">
        <v>8.1675</v>
      </c>
      <c r="E6495" s="5" t="n">
        <v>88.2</v>
      </c>
      <c r="F6495" s="3" t="inlineStr">
        <is>
          <t>장군면</t>
        </is>
      </c>
      <c r="G6495" s="3" t="inlineStr">
        <is>
          <t>도계리</t>
        </is>
      </c>
      <c r="H6495" s="3" t="inlineStr">
        <is>
          <t>보전관리지역</t>
        </is>
      </c>
      <c r="I6495" s="3" t="inlineStr">
        <is>
          <t>임야</t>
        </is>
      </c>
      <c r="J6495" s="3" t="inlineStr">
        <is>
          <t>장군면</t>
        </is>
      </c>
    </row>
    <row r="6496">
      <c r="A6496" s="3" t="n">
        <v>2026</v>
      </c>
      <c r="B6496" s="4" t="n">
        <v>9009</v>
      </c>
      <c r="C6496" s="4" t="n">
        <v>338</v>
      </c>
      <c r="D6496" s="4" t="n">
        <v>102.245</v>
      </c>
      <c r="E6496" s="5" t="n">
        <v>88.09999999999999</v>
      </c>
      <c r="F6496" s="3" t="inlineStr">
        <is>
          <t>장군면</t>
        </is>
      </c>
      <c r="G6496" s="3" t="inlineStr">
        <is>
          <t>도계리</t>
        </is>
      </c>
      <c r="H6496" s="3" t="inlineStr">
        <is>
          <t>보전관리지역</t>
        </is>
      </c>
      <c r="I6496" s="3" t="inlineStr">
        <is>
          <t>임야</t>
        </is>
      </c>
      <c r="J6496" s="3" t="inlineStr">
        <is>
          <t>장군면</t>
        </is>
      </c>
    </row>
    <row r="6497">
      <c r="A6497" s="3" t="n">
        <v>2026</v>
      </c>
      <c r="B6497" s="4" t="n">
        <v>400</v>
      </c>
      <c r="C6497" s="4" t="n">
        <v>96</v>
      </c>
      <c r="D6497" s="4" t="n">
        <v>29.04</v>
      </c>
      <c r="E6497" s="5" t="n">
        <v>13.8</v>
      </c>
      <c r="F6497" s="3" t="inlineStr">
        <is>
          <t>장군면</t>
        </is>
      </c>
      <c r="G6497" s="3" t="inlineStr">
        <is>
          <t>은용리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장군면</t>
        </is>
      </c>
    </row>
    <row r="6498">
      <c r="A6498" s="3" t="n">
        <v>2026</v>
      </c>
      <c r="B6498" s="4" t="n">
        <v>1600</v>
      </c>
      <c r="C6498" s="4" t="n">
        <v>117</v>
      </c>
      <c r="D6498" s="4" t="n">
        <v>35.3925</v>
      </c>
      <c r="E6498" s="5" t="n">
        <v>45.2</v>
      </c>
      <c r="F6498" s="3" t="inlineStr">
        <is>
          <t>장군면</t>
        </is>
      </c>
      <c r="G6498" s="3" t="inlineStr">
        <is>
          <t>은용리</t>
        </is>
      </c>
      <c r="H6498" s="3" t="inlineStr">
        <is>
          <t>농림지역</t>
        </is>
      </c>
      <c r="I6498" s="3" t="inlineStr">
        <is>
          <t>전</t>
        </is>
      </c>
      <c r="J6498" s="3" t="inlineStr">
        <is>
          <t>장군면</t>
        </is>
      </c>
    </row>
    <row r="6499">
      <c r="A6499" s="3" t="n">
        <v>2026</v>
      </c>
      <c r="B6499" s="4" t="n">
        <v>8000</v>
      </c>
      <c r="C6499" s="4" t="n">
        <v>308</v>
      </c>
      <c r="D6499" s="4" t="n">
        <v>93.17</v>
      </c>
      <c r="E6499" s="5" t="n">
        <v>85.90000000000001</v>
      </c>
      <c r="F6499" s="3" t="inlineStr">
        <is>
          <t>금남면</t>
        </is>
      </c>
      <c r="G6499" s="3" t="inlineStr">
        <is>
          <t>영치리</t>
        </is>
      </c>
      <c r="H6499" s="3" t="inlineStr">
        <is>
          <t>자연녹지지역</t>
        </is>
      </c>
      <c r="I6499" s="3" t="inlineStr">
        <is>
          <t>임야</t>
        </is>
      </c>
      <c r="J6499" s="3" t="inlineStr">
        <is>
          <t>금남면</t>
        </is>
      </c>
    </row>
    <row r="6500">
      <c r="A6500" s="3" t="n">
        <v>2026</v>
      </c>
      <c r="B6500" s="4" t="n">
        <v>14562</v>
      </c>
      <c r="C6500" s="4" t="n">
        <v>192</v>
      </c>
      <c r="D6500" s="4" t="n">
        <v>58.08</v>
      </c>
      <c r="E6500" s="5" t="n">
        <v>250.7</v>
      </c>
      <c r="F6500" s="3" t="inlineStr">
        <is>
          <t>부강면</t>
        </is>
      </c>
      <c r="G6500" s="3" t="inlineStr">
        <is>
          <t>금호리</t>
        </is>
      </c>
      <c r="H6500" s="3" t="inlineStr">
        <is>
          <t>생산관리지역</t>
        </is>
      </c>
      <c r="I6500" s="3" t="inlineStr">
        <is>
          <t>공장용지</t>
        </is>
      </c>
      <c r="J6500" s="3" t="inlineStr">
        <is>
          <t>부강면</t>
        </is>
      </c>
    </row>
    <row r="6501">
      <c r="A6501" s="3" t="n">
        <v>2026</v>
      </c>
      <c r="B6501" s="4" t="n">
        <v>275</v>
      </c>
      <c r="C6501" s="4" t="n">
        <v>7</v>
      </c>
      <c r="D6501" s="4" t="n">
        <v>2.1175</v>
      </c>
      <c r="E6501" s="5" t="n">
        <v>129.9</v>
      </c>
      <c r="F6501" s="3" t="inlineStr">
        <is>
          <t>부강면</t>
        </is>
      </c>
      <c r="G6501" s="3" t="inlineStr">
        <is>
          <t>금호리</t>
        </is>
      </c>
      <c r="H6501" s="3" t="inlineStr">
        <is>
          <t>계획관리지역</t>
        </is>
      </c>
      <c r="I6501" s="3" t="inlineStr">
        <is>
          <t>도로</t>
        </is>
      </c>
      <c r="J6501" s="3" t="inlineStr">
        <is>
          <t>부강면</t>
        </is>
      </c>
    </row>
    <row r="6502">
      <c r="A6502" s="3" t="n">
        <v>2026</v>
      </c>
      <c r="B6502" s="4" t="n">
        <v>20200</v>
      </c>
      <c r="C6502" s="4" t="n">
        <v>1668.9</v>
      </c>
      <c r="D6502" s="4" t="n">
        <v>504.84225</v>
      </c>
      <c r="E6502" s="5" t="n">
        <v>40</v>
      </c>
      <c r="F6502" s="3" t="inlineStr">
        <is>
          <t>연동면</t>
        </is>
      </c>
      <c r="G6502" s="3" t="inlineStr">
        <is>
          <t>예양리</t>
        </is>
      </c>
      <c r="H6502" s="3" t="inlineStr">
        <is>
          <t>농림지역</t>
        </is>
      </c>
      <c r="I6502" s="3" t="inlineStr">
        <is>
          <t>답</t>
        </is>
      </c>
      <c r="J6502" s="3" t="inlineStr">
        <is>
          <t>연동면</t>
        </is>
      </c>
    </row>
    <row r="6503">
      <c r="A6503" s="3" t="n">
        <v>2026</v>
      </c>
      <c r="B6503" s="4" t="n">
        <v>1200</v>
      </c>
      <c r="C6503" s="4" t="n">
        <v>40</v>
      </c>
      <c r="D6503" s="4" t="n">
        <v>12.1</v>
      </c>
      <c r="E6503" s="5" t="n">
        <v>99.2</v>
      </c>
      <c r="F6503" s="3" t="inlineStr">
        <is>
          <t>장군면</t>
        </is>
      </c>
      <c r="G6503" s="3" t="inlineStr">
        <is>
          <t>금암리</t>
        </is>
      </c>
      <c r="H6503" s="3" t="inlineStr">
        <is>
          <t>계획관리지역</t>
        </is>
      </c>
      <c r="I6503" s="3" t="inlineStr">
        <is>
          <t>답</t>
        </is>
      </c>
      <c r="J6503" s="3" t="inlineStr">
        <is>
          <t>장군면</t>
        </is>
      </c>
    </row>
    <row r="6504">
      <c r="A6504" s="3" t="n">
        <v>2026</v>
      </c>
      <c r="B6504" s="4" t="n">
        <v>42178</v>
      </c>
      <c r="C6504" s="4" t="n">
        <v>711</v>
      </c>
      <c r="D6504" s="4" t="n">
        <v>215.0775</v>
      </c>
      <c r="E6504" s="5" t="n">
        <v>196.1</v>
      </c>
      <c r="F6504" s="3" t="inlineStr">
        <is>
          <t>연서면</t>
        </is>
      </c>
      <c r="G6504" s="3" t="inlineStr">
        <is>
          <t>월하리</t>
        </is>
      </c>
      <c r="H6504" s="3" t="inlineStr">
        <is>
          <t>자연녹지지역</t>
        </is>
      </c>
      <c r="I6504" s="3" t="inlineStr">
        <is>
          <t>과수원</t>
        </is>
      </c>
      <c r="J6504" s="3" t="inlineStr">
        <is>
          <t>연서면</t>
        </is>
      </c>
    </row>
    <row r="6505">
      <c r="A6505" s="3" t="n">
        <v>2026</v>
      </c>
      <c r="B6505" s="4" t="n">
        <v>13822</v>
      </c>
      <c r="C6505" s="4" t="n">
        <v>233</v>
      </c>
      <c r="D6505" s="4" t="n">
        <v>70.4825</v>
      </c>
      <c r="E6505" s="5" t="n">
        <v>196.1</v>
      </c>
      <c r="F6505" s="3" t="inlineStr">
        <is>
          <t>연서면</t>
        </is>
      </c>
      <c r="G6505" s="3" t="inlineStr">
        <is>
          <t>월하리</t>
        </is>
      </c>
      <c r="H6505" s="3" t="inlineStr">
        <is>
          <t>자연녹지지역</t>
        </is>
      </c>
      <c r="I6505" s="3" t="inlineStr">
        <is>
          <t>전</t>
        </is>
      </c>
      <c r="J6505" s="3" t="inlineStr">
        <is>
          <t>연서면</t>
        </is>
      </c>
    </row>
    <row r="6506">
      <c r="A6506" s="3" t="n">
        <v>2023</v>
      </c>
      <c r="B6506" s="4" t="n">
        <v>310</v>
      </c>
      <c r="C6506" s="4" t="n">
        <v>34</v>
      </c>
      <c r="D6506" s="4" t="n">
        <v>10.285</v>
      </c>
      <c r="E6506" s="5" t="n">
        <v>30.1</v>
      </c>
      <c r="F6506" s="3" t="inlineStr">
        <is>
          <t>전의면</t>
        </is>
      </c>
      <c r="G6506" s="3" t="inlineStr">
        <is>
          <t>동교리</t>
        </is>
      </c>
      <c r="H6506" s="3" t="inlineStr">
        <is>
          <t>계획관리지역</t>
        </is>
      </c>
      <c r="I6506" s="3" t="inlineStr">
        <is>
          <t>임야</t>
        </is>
      </c>
      <c r="J6506" s="3" t="inlineStr">
        <is>
          <t>전의면</t>
        </is>
      </c>
    </row>
    <row r="6507">
      <c r="A6507" s="3" t="n">
        <v>2023</v>
      </c>
      <c r="B6507" s="4" t="n">
        <v>2800</v>
      </c>
      <c r="C6507" s="4" t="n">
        <v>232</v>
      </c>
      <c r="D6507" s="4" t="n">
        <v>70.17999999999999</v>
      </c>
      <c r="E6507" s="5" t="n">
        <v>39.9</v>
      </c>
      <c r="F6507" s="3" t="inlineStr">
        <is>
          <t>금남면</t>
        </is>
      </c>
      <c r="G6507" s="3" t="inlineStr">
        <is>
          <t>발산리</t>
        </is>
      </c>
      <c r="H6507" s="3" t="inlineStr">
        <is>
          <t>보전녹지지역</t>
        </is>
      </c>
      <c r="I6507" s="3" t="inlineStr">
        <is>
          <t>임야</t>
        </is>
      </c>
      <c r="J6507" s="3" t="inlineStr">
        <is>
          <t>금남면</t>
        </is>
      </c>
    </row>
    <row r="6508">
      <c r="A6508" s="3" t="n">
        <v>2023</v>
      </c>
      <c r="B6508" s="4" t="n">
        <v>300</v>
      </c>
      <c r="C6508" s="4" t="n">
        <v>3</v>
      </c>
      <c r="D6508" s="4" t="n">
        <v>0.9075</v>
      </c>
      <c r="E6508" s="5" t="n">
        <v>330.6</v>
      </c>
      <c r="F6508" s="3" t="inlineStr">
        <is>
          <t>조치원읍</t>
        </is>
      </c>
      <c r="G6508" s="3" t="inlineStr">
        <is>
          <t>서창리</t>
        </is>
      </c>
      <c r="H6508" s="3" t="inlineStr">
        <is>
          <t>제1종일반주거지역</t>
        </is>
      </c>
      <c r="I6508" s="3" t="inlineStr">
        <is>
          <t>도로</t>
        </is>
      </c>
      <c r="J6508" s="3" t="inlineStr">
        <is>
          <t>조치원읍</t>
        </is>
      </c>
    </row>
    <row r="6509">
      <c r="A6509" s="3" t="n">
        <v>2023</v>
      </c>
      <c r="B6509" s="4" t="n">
        <v>6337</v>
      </c>
      <c r="C6509" s="4" t="n">
        <v>358</v>
      </c>
      <c r="D6509" s="4" t="n">
        <v>108.295</v>
      </c>
      <c r="E6509" s="5" t="n">
        <v>58.5</v>
      </c>
      <c r="F6509" s="3" t="inlineStr">
        <is>
          <t>현도면</t>
        </is>
      </c>
      <c r="G6509" s="3" t="inlineStr">
        <is>
          <t>선동리</t>
        </is>
      </c>
      <c r="H6509" s="3" t="inlineStr">
        <is>
          <t>계획관리지역</t>
        </is>
      </c>
      <c r="I6509" s="3" t="inlineStr">
        <is>
          <t>묘지</t>
        </is>
      </c>
      <c r="J6509" s="3" t="inlineStr">
        <is>
          <t>현도면</t>
        </is>
      </c>
    </row>
    <row r="6510">
      <c r="A6510" s="3" t="n">
        <v>2023</v>
      </c>
      <c r="B6510" s="4" t="n">
        <v>5850</v>
      </c>
      <c r="C6510" s="4" t="n">
        <v>1382</v>
      </c>
      <c r="D6510" s="4" t="n">
        <v>418.055</v>
      </c>
      <c r="E6510" s="5" t="n">
        <v>14</v>
      </c>
      <c r="F6510" s="3" t="inlineStr">
        <is>
          <t>현도면</t>
        </is>
      </c>
      <c r="G6510" s="3" t="inlineStr">
        <is>
          <t>선동리</t>
        </is>
      </c>
      <c r="H6510" s="3" t="inlineStr">
        <is>
          <t>개발제한구역</t>
        </is>
      </c>
      <c r="I6510" s="3" t="inlineStr">
        <is>
          <t>전</t>
        </is>
      </c>
      <c r="J6510" s="3" t="inlineStr">
        <is>
          <t>현도면</t>
        </is>
      </c>
    </row>
    <row r="6511">
      <c r="A6511" s="3" t="n">
        <v>2023</v>
      </c>
      <c r="B6511" s="4" t="n">
        <v>13000</v>
      </c>
      <c r="C6511" s="4" t="n">
        <v>2283</v>
      </c>
      <c r="D6511" s="4" t="n">
        <v>690.6075</v>
      </c>
      <c r="E6511" s="5" t="n">
        <v>18.8</v>
      </c>
      <c r="F6511" s="3" t="inlineStr">
        <is>
          <t>현도면</t>
        </is>
      </c>
      <c r="G6511" s="3" t="inlineStr">
        <is>
          <t>죽전리</t>
        </is>
      </c>
      <c r="H6511" s="3" t="inlineStr">
        <is>
          <t>개발제한구역</t>
        </is>
      </c>
      <c r="I6511" s="3" t="inlineStr">
        <is>
          <t>답</t>
        </is>
      </c>
      <c r="J6511" s="3" t="inlineStr">
        <is>
          <t>현도면</t>
        </is>
      </c>
    </row>
    <row r="6512">
      <c r="A6512" s="3" t="n">
        <v>2023</v>
      </c>
      <c r="B6512" s="4" t="n">
        <v>6000</v>
      </c>
      <c r="C6512" s="4" t="n">
        <v>1071</v>
      </c>
      <c r="D6512" s="4" t="n">
        <v>323.9775</v>
      </c>
      <c r="E6512" s="5" t="n">
        <v>18.5</v>
      </c>
      <c r="F6512" s="3" t="inlineStr">
        <is>
          <t>현도면</t>
        </is>
      </c>
      <c r="G6512" s="3" t="inlineStr">
        <is>
          <t>하석리</t>
        </is>
      </c>
      <c r="H6512" s="3" t="inlineStr">
        <is>
          <t>개발제한구역</t>
        </is>
      </c>
      <c r="I6512" s="3" t="inlineStr">
        <is>
          <t>전</t>
        </is>
      </c>
      <c r="J6512" s="3" t="inlineStr">
        <is>
          <t>현도면</t>
        </is>
      </c>
    </row>
    <row r="6513">
      <c r="A6513" s="3" t="n">
        <v>2023</v>
      </c>
      <c r="B6513" s="4" t="n">
        <v>20000</v>
      </c>
      <c r="C6513" s="4" t="n">
        <v>2476</v>
      </c>
      <c r="D6513" s="4" t="n">
        <v>748.99</v>
      </c>
      <c r="E6513" s="5" t="n">
        <v>26.7</v>
      </c>
      <c r="F6513" s="3" t="inlineStr">
        <is>
          <t>남이면</t>
        </is>
      </c>
      <c r="G6513" s="3" t="inlineStr">
        <is>
          <t>팔봉리</t>
        </is>
      </c>
      <c r="H6513" s="3" t="inlineStr">
        <is>
          <t>보전관리지역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2023</v>
      </c>
      <c r="B6514" s="4" t="n">
        <v>3600</v>
      </c>
      <c r="C6514" s="4" t="n">
        <v>1441</v>
      </c>
      <c r="D6514" s="4" t="n">
        <v>435.9025</v>
      </c>
      <c r="E6514" s="5" t="n">
        <v>8.300000000000001</v>
      </c>
      <c r="F6514" s="3" t="inlineStr">
        <is>
          <t>남이면</t>
        </is>
      </c>
      <c r="G6514" s="3" t="inlineStr">
        <is>
          <t>팔봉리</t>
        </is>
      </c>
      <c r="H6514" s="3" t="inlineStr">
        <is>
          <t>보전관리지역</t>
        </is>
      </c>
      <c r="I6514" s="3" t="inlineStr">
        <is>
          <t>전</t>
        </is>
      </c>
      <c r="J6514" s="3" t="inlineStr">
        <is>
          <t>남이면</t>
        </is>
      </c>
    </row>
    <row r="6515">
      <c r="A6515" s="3" t="n">
        <v>2023</v>
      </c>
      <c r="B6515" s="4" t="n">
        <v>400</v>
      </c>
      <c r="C6515" s="4" t="n">
        <v>99</v>
      </c>
      <c r="D6515" s="4" t="n">
        <v>29.9475</v>
      </c>
      <c r="E6515" s="5" t="n">
        <v>13.4</v>
      </c>
      <c r="F6515" s="3" t="inlineStr">
        <is>
          <t>남이면</t>
        </is>
      </c>
      <c r="G6515" s="3" t="inlineStr">
        <is>
          <t>팔봉리</t>
        </is>
      </c>
      <c r="H6515" s="3" t="inlineStr">
        <is>
          <t>보전관리지역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2023</v>
      </c>
      <c r="B6516" s="4" t="n">
        <v>2238</v>
      </c>
      <c r="C6516" s="4" t="n">
        <v>71</v>
      </c>
      <c r="D6516" s="4" t="n">
        <v>21.4775</v>
      </c>
      <c r="E6516" s="5" t="n">
        <v>104.2</v>
      </c>
      <c r="F6516" s="3" t="inlineStr">
        <is>
          <t>현도면</t>
        </is>
      </c>
      <c r="G6516" s="3" t="inlineStr">
        <is>
          <t>시목리</t>
        </is>
      </c>
      <c r="H6516" s="3" t="inlineStr">
        <is>
          <t>제1종일반주거지역</t>
        </is>
      </c>
      <c r="I6516" s="3" t="inlineStr">
        <is>
          <t>답</t>
        </is>
      </c>
      <c r="J6516" s="3" t="inlineStr">
        <is>
          <t>현도면</t>
        </is>
      </c>
    </row>
    <row r="6517">
      <c r="A6517" s="3" t="n">
        <v>2023</v>
      </c>
      <c r="B6517" s="4" t="n">
        <v>3262</v>
      </c>
      <c r="C6517" s="4" t="n">
        <v>102</v>
      </c>
      <c r="D6517" s="4" t="n">
        <v>30.855</v>
      </c>
      <c r="E6517" s="5" t="n">
        <v>105.7</v>
      </c>
      <c r="F6517" s="3" t="inlineStr">
        <is>
          <t>현도면</t>
        </is>
      </c>
      <c r="G6517" s="3" t="inlineStr">
        <is>
          <t>시목리</t>
        </is>
      </c>
      <c r="H6517" s="3" t="inlineStr">
        <is>
          <t>제1종일반주거지역</t>
        </is>
      </c>
      <c r="I6517" s="3" t="inlineStr">
        <is>
          <t>답</t>
        </is>
      </c>
      <c r="J6517" s="3" t="inlineStr">
        <is>
          <t>현도면</t>
        </is>
      </c>
    </row>
    <row r="6518">
      <c r="A6518" s="3" t="n">
        <v>2023</v>
      </c>
      <c r="B6518" s="4" t="n">
        <v>18000</v>
      </c>
      <c r="C6518" s="4" t="n">
        <v>1012</v>
      </c>
      <c r="D6518" s="4" t="n">
        <v>306.13</v>
      </c>
      <c r="E6518" s="5" t="n">
        <v>58.8</v>
      </c>
      <c r="F6518" s="3" t="inlineStr">
        <is>
          <t>남이면</t>
        </is>
      </c>
      <c r="G6518" s="3" t="inlineStr">
        <is>
          <t>갈원리</t>
        </is>
      </c>
      <c r="H6518" s="3" t="inlineStr">
        <is>
          <t>농림지역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2023</v>
      </c>
      <c r="B6519" s="4" t="n">
        <v>600</v>
      </c>
      <c r="C6519" s="4" t="n">
        <v>208</v>
      </c>
      <c r="D6519" s="4" t="n">
        <v>62.92</v>
      </c>
      <c r="E6519" s="5" t="n">
        <v>9.5</v>
      </c>
      <c r="F6519" s="3" t="inlineStr">
        <is>
          <t>현도면</t>
        </is>
      </c>
      <c r="G6519" s="3" t="inlineStr">
        <is>
          <t>중척리</t>
        </is>
      </c>
      <c r="H6519" s="3" t="inlineStr">
        <is>
          <t>개발제한구역</t>
        </is>
      </c>
      <c r="I6519" s="3" t="inlineStr">
        <is>
          <t>임야</t>
        </is>
      </c>
      <c r="J6519" s="3" t="inlineStr">
        <is>
          <t>현도면</t>
        </is>
      </c>
    </row>
    <row r="6520">
      <c r="A6520" s="3" t="n">
        <v>2023</v>
      </c>
      <c r="B6520" s="4" t="n">
        <v>1500</v>
      </c>
      <c r="C6520" s="4" t="n">
        <v>382</v>
      </c>
      <c r="D6520" s="4" t="n">
        <v>115.555</v>
      </c>
      <c r="E6520" s="5" t="n">
        <v>13</v>
      </c>
      <c r="F6520" s="3" t="inlineStr">
        <is>
          <t>현도면</t>
        </is>
      </c>
      <c r="G6520" s="3" t="inlineStr">
        <is>
          <t>중척리</t>
        </is>
      </c>
      <c r="H6520" s="3" t="inlineStr">
        <is>
          <t>자연녹지지역</t>
        </is>
      </c>
      <c r="I6520" s="3" t="inlineStr">
        <is>
          <t>임야</t>
        </is>
      </c>
      <c r="J6520" s="3" t="inlineStr">
        <is>
          <t>현도면</t>
        </is>
      </c>
    </row>
    <row r="6521">
      <c r="A6521" s="3" t="n">
        <v>2023</v>
      </c>
      <c r="B6521" s="4" t="n">
        <v>10000</v>
      </c>
      <c r="C6521" s="4" t="n">
        <v>1145</v>
      </c>
      <c r="D6521" s="4" t="n">
        <v>346.3625</v>
      </c>
      <c r="E6521" s="5" t="n">
        <v>28.9</v>
      </c>
      <c r="F6521" s="3" t="inlineStr">
        <is>
          <t>남이면</t>
        </is>
      </c>
      <c r="G6521" s="3" t="inlineStr">
        <is>
          <t>양촌리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2023</v>
      </c>
      <c r="B6522" s="4" t="n">
        <v>19500</v>
      </c>
      <c r="C6522" s="4" t="n">
        <v>623</v>
      </c>
      <c r="D6522" s="4" t="n">
        <v>188.4575</v>
      </c>
      <c r="E6522" s="5" t="n">
        <v>103.5</v>
      </c>
      <c r="F6522" s="3" t="inlineStr">
        <is>
          <t>남이면</t>
        </is>
      </c>
      <c r="G6522" s="3" t="inlineStr">
        <is>
          <t>구암리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2023</v>
      </c>
      <c r="B6523" s="4" t="n">
        <v>20790</v>
      </c>
      <c r="C6523" s="4" t="n">
        <v>1383</v>
      </c>
      <c r="D6523" s="4" t="n">
        <v>418.3575</v>
      </c>
      <c r="E6523" s="5" t="n">
        <v>49.7</v>
      </c>
      <c r="F6523" s="3" t="inlineStr">
        <is>
          <t>현도면</t>
        </is>
      </c>
      <c r="G6523" s="3" t="inlineStr">
        <is>
          <t>죽전리</t>
        </is>
      </c>
      <c r="H6523" s="3" t="inlineStr">
        <is>
          <t>개발제한구역</t>
        </is>
      </c>
      <c r="I6523" s="3" t="inlineStr">
        <is>
          <t>답</t>
        </is>
      </c>
      <c r="J6523" s="3" t="inlineStr">
        <is>
          <t>현도면</t>
        </is>
      </c>
    </row>
    <row r="6524">
      <c r="A6524" s="3" t="n">
        <v>2023</v>
      </c>
      <c r="B6524" s="4" t="n">
        <v>33210</v>
      </c>
      <c r="C6524" s="4" t="n">
        <v>2213</v>
      </c>
      <c r="D6524" s="4" t="n">
        <v>669.4325</v>
      </c>
      <c r="E6524" s="5" t="n">
        <v>49.6</v>
      </c>
      <c r="F6524" s="3" t="inlineStr">
        <is>
          <t>현도면</t>
        </is>
      </c>
      <c r="G6524" s="3" t="inlineStr">
        <is>
          <t>죽전리</t>
        </is>
      </c>
      <c r="H6524" s="3" t="inlineStr">
        <is>
          <t>개발제한구역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32000</v>
      </c>
      <c r="C6525" s="4" t="n">
        <v>1613</v>
      </c>
      <c r="D6525" s="4" t="n">
        <v>487.9325</v>
      </c>
      <c r="E6525" s="5" t="n">
        <v>65.59999999999999</v>
      </c>
      <c r="F6525" s="3" t="inlineStr">
        <is>
          <t>현도면</t>
        </is>
      </c>
      <c r="G6525" s="3" t="inlineStr">
        <is>
          <t>죽전리</t>
        </is>
      </c>
      <c r="H6525" s="3" t="inlineStr">
        <is>
          <t>개발제한구역</t>
        </is>
      </c>
      <c r="I6525" s="3" t="inlineStr">
        <is>
          <t>전</t>
        </is>
      </c>
      <c r="J6525" s="3" t="inlineStr">
        <is>
          <t>현도면</t>
        </is>
      </c>
    </row>
    <row r="6526">
      <c r="A6526" s="3" t="n">
        <v>2023</v>
      </c>
      <c r="B6526" s="4" t="n">
        <v>3000</v>
      </c>
      <c r="C6526" s="4" t="n">
        <v>486</v>
      </c>
      <c r="D6526" s="4" t="n">
        <v>147.015</v>
      </c>
      <c r="E6526" s="5" t="n">
        <v>20.4</v>
      </c>
      <c r="F6526" s="3" t="inlineStr">
        <is>
          <t>현도면</t>
        </is>
      </c>
      <c r="G6526" s="3" t="inlineStr">
        <is>
          <t>죽전리</t>
        </is>
      </c>
      <c r="H6526" s="3" t="inlineStr">
        <is>
          <t>개발제한구역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48434</v>
      </c>
      <c r="C6527" s="4" t="n">
        <v>4341.6</v>
      </c>
      <c r="D6527" s="4" t="n">
        <v>1313.334</v>
      </c>
      <c r="E6527" s="5" t="n">
        <v>36.9</v>
      </c>
      <c r="F6527" s="3" t="inlineStr">
        <is>
          <t>남이면</t>
        </is>
      </c>
      <c r="G6527" s="3" t="inlineStr">
        <is>
          <t>비룡리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106966</v>
      </c>
      <c r="C6528" s="4" t="n">
        <v>9588.299999999999</v>
      </c>
      <c r="D6528" s="4" t="n">
        <v>2900.46075</v>
      </c>
      <c r="E6528" s="5" t="n">
        <v>36.9</v>
      </c>
      <c r="F6528" s="3" t="inlineStr">
        <is>
          <t>남이면</t>
        </is>
      </c>
      <c r="G6528" s="3" t="inlineStr">
        <is>
          <t>비룡리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2022</v>
      </c>
      <c r="B6529" s="4" t="n">
        <v>42450</v>
      </c>
      <c r="C6529" s="4" t="n">
        <v>1872</v>
      </c>
      <c r="D6529" s="4" t="n">
        <v>566.28</v>
      </c>
      <c r="E6529" s="5" t="n">
        <v>75</v>
      </c>
      <c r="F6529" s="3" t="inlineStr">
        <is>
          <t>전의면</t>
        </is>
      </c>
      <c r="G6529" s="3" t="inlineStr">
        <is>
          <t>노곡리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2022</v>
      </c>
      <c r="B6530" s="4" t="n">
        <v>600</v>
      </c>
      <c r="C6530" s="4" t="n">
        <v>60</v>
      </c>
      <c r="D6530" s="4" t="n">
        <v>18.15</v>
      </c>
      <c r="E6530" s="5" t="n">
        <v>33.1</v>
      </c>
      <c r="F6530" s="3" t="inlineStr">
        <is>
          <t>연서면</t>
        </is>
      </c>
      <c r="G6530" s="3" t="inlineStr">
        <is>
          <t>용암리</t>
        </is>
      </c>
      <c r="H6530" s="3" t="inlineStr">
        <is>
          <t>농림지역</t>
        </is>
      </c>
      <c r="I6530" s="3" t="inlineStr">
        <is>
          <t>도로</t>
        </is>
      </c>
      <c r="J6530" s="3" t="inlineStr">
        <is>
          <t>연서면</t>
        </is>
      </c>
    </row>
    <row r="6531">
      <c r="A6531" s="3" t="n">
        <v>2022</v>
      </c>
      <c r="B6531" s="4" t="n">
        <v>500</v>
      </c>
      <c r="C6531" s="4" t="n">
        <v>19</v>
      </c>
      <c r="D6531" s="4" t="n">
        <v>5.7475</v>
      </c>
      <c r="E6531" s="5" t="n">
        <v>87</v>
      </c>
      <c r="F6531" s="3" t="inlineStr">
        <is>
          <t>연서면</t>
        </is>
      </c>
      <c r="G6531" s="3" t="inlineStr">
        <is>
          <t>용암리</t>
        </is>
      </c>
      <c r="H6531" s="3" t="inlineStr">
        <is>
          <t>농림지역</t>
        </is>
      </c>
      <c r="I6531" s="3" t="inlineStr">
        <is>
          <t>과수원</t>
        </is>
      </c>
      <c r="J6531" s="3" t="inlineStr">
        <is>
          <t>연서면</t>
        </is>
      </c>
    </row>
    <row r="6532">
      <c r="A6532" s="3" t="n">
        <v>2022</v>
      </c>
      <c r="B6532" s="4" t="n">
        <v>7900</v>
      </c>
      <c r="C6532" s="4" t="n">
        <v>297</v>
      </c>
      <c r="D6532" s="4" t="n">
        <v>89.8425</v>
      </c>
      <c r="E6532" s="5" t="n">
        <v>87.90000000000001</v>
      </c>
      <c r="F6532" s="3" t="inlineStr">
        <is>
          <t>연서면</t>
        </is>
      </c>
      <c r="G6532" s="3" t="inlineStr">
        <is>
          <t>용암리</t>
        </is>
      </c>
      <c r="H6532" s="3" t="inlineStr">
        <is>
          <t>농림지역</t>
        </is>
      </c>
      <c r="I6532" s="3" t="inlineStr">
        <is>
          <t>과수원</t>
        </is>
      </c>
      <c r="J6532" s="3" t="inlineStr">
        <is>
          <t>연서면</t>
        </is>
      </c>
    </row>
    <row r="6533">
      <c r="A6533" s="3" t="n">
        <v>2022</v>
      </c>
      <c r="B6533" s="4" t="n">
        <v>9900</v>
      </c>
      <c r="C6533" s="4" t="n">
        <v>404</v>
      </c>
      <c r="D6533" s="4" t="n">
        <v>122.21</v>
      </c>
      <c r="E6533" s="5" t="n">
        <v>81</v>
      </c>
      <c r="F6533" s="3" t="inlineStr">
        <is>
          <t>연기면</t>
        </is>
      </c>
      <c r="G6533" s="3" t="inlineStr">
        <is>
          <t>수산리</t>
        </is>
      </c>
      <c r="H6533" s="3" t="inlineStr">
        <is>
          <t>보전관리지역</t>
        </is>
      </c>
      <c r="I6533" s="3" t="inlineStr">
        <is>
          <t>임야</t>
        </is>
      </c>
      <c r="J6533" s="3" t="inlineStr">
        <is>
          <t>연기면</t>
        </is>
      </c>
    </row>
    <row r="6534">
      <c r="A6534" s="3" t="n">
        <v>2022</v>
      </c>
      <c r="B6534" s="4" t="n">
        <v>214</v>
      </c>
      <c r="C6534" s="4" t="n">
        <v>17</v>
      </c>
      <c r="D6534" s="4" t="n">
        <v>5.1425</v>
      </c>
      <c r="E6534" s="5" t="n">
        <v>41.6</v>
      </c>
      <c r="F6534" s="3" t="inlineStr">
        <is>
          <t>연서면</t>
        </is>
      </c>
      <c r="G6534" s="3" t="inlineStr">
        <is>
          <t>월하리</t>
        </is>
      </c>
      <c r="H6534" s="3" t="inlineStr">
        <is>
          <t>자연녹지지역</t>
        </is>
      </c>
      <c r="I6534" s="3" t="inlineStr">
        <is>
          <t>답</t>
        </is>
      </c>
      <c r="J6534" s="3" t="inlineStr">
        <is>
          <t>연서면</t>
        </is>
      </c>
    </row>
    <row r="6535">
      <c r="A6535" s="3" t="n">
        <v>2022</v>
      </c>
      <c r="B6535" s="4" t="n">
        <v>616</v>
      </c>
      <c r="C6535" s="4" t="n">
        <v>49</v>
      </c>
      <c r="D6535" s="4" t="n">
        <v>14.8225</v>
      </c>
      <c r="E6535" s="5" t="n">
        <v>41.6</v>
      </c>
      <c r="F6535" s="3" t="inlineStr">
        <is>
          <t>연서면</t>
        </is>
      </c>
      <c r="G6535" s="3" t="inlineStr">
        <is>
          <t>월하리</t>
        </is>
      </c>
      <c r="H6535" s="3" t="inlineStr">
        <is>
          <t>자연녹지지역</t>
        </is>
      </c>
      <c r="I6535" s="3" t="inlineStr">
        <is>
          <t>답</t>
        </is>
      </c>
      <c r="J6535" s="3" t="inlineStr">
        <is>
          <t>연서면</t>
        </is>
      </c>
    </row>
    <row r="6536">
      <c r="A6536" s="3" t="n">
        <v>2022</v>
      </c>
      <c r="B6536" s="4" t="n">
        <v>350</v>
      </c>
      <c r="C6536" s="4" t="n">
        <v>39</v>
      </c>
      <c r="D6536" s="4" t="n">
        <v>11.7975</v>
      </c>
      <c r="E6536" s="5" t="n">
        <v>29.7</v>
      </c>
      <c r="F6536" s="3" t="inlineStr">
        <is>
          <t>연서면</t>
        </is>
      </c>
      <c r="G6536" s="3" t="inlineStr">
        <is>
          <t>월하리</t>
        </is>
      </c>
      <c r="H6536" s="3" t="inlineStr">
        <is>
          <t>자연녹지지역</t>
        </is>
      </c>
      <c r="I6536" s="3" t="inlineStr">
        <is>
          <t>답</t>
        </is>
      </c>
      <c r="J6536" s="3" t="inlineStr">
        <is>
          <t>연서면</t>
        </is>
      </c>
    </row>
    <row r="6537">
      <c r="A6537" s="3" t="n">
        <v>2022</v>
      </c>
      <c r="B6537" s="4" t="n">
        <v>8820</v>
      </c>
      <c r="C6537" s="4" t="n">
        <v>158</v>
      </c>
      <c r="D6537" s="4" t="n">
        <v>47.795</v>
      </c>
      <c r="E6537" s="5" t="n">
        <v>184.5</v>
      </c>
      <c r="F6537" s="3" t="inlineStr">
        <is>
          <t>연서면</t>
        </is>
      </c>
      <c r="G6537" s="3" t="inlineStr">
        <is>
          <t>월하리</t>
        </is>
      </c>
      <c r="H6537" s="3" t="inlineStr">
        <is>
          <t>자연녹지지역</t>
        </is>
      </c>
      <c r="I6537" s="3" t="inlineStr">
        <is>
          <t>전</t>
        </is>
      </c>
      <c r="J6537" s="3" t="inlineStr">
        <is>
          <t>연서면</t>
        </is>
      </c>
    </row>
    <row r="6538">
      <c r="A6538" s="3" t="n">
        <v>2022</v>
      </c>
      <c r="B6538" s="4" t="n">
        <v>32460</v>
      </c>
      <c r="C6538" s="4" t="n">
        <v>696</v>
      </c>
      <c r="D6538" s="4" t="n">
        <v>210.54</v>
      </c>
      <c r="E6538" s="5" t="n">
        <v>154.2</v>
      </c>
      <c r="F6538" s="3" t="inlineStr">
        <is>
          <t>장군면</t>
        </is>
      </c>
      <c r="G6538" s="3" t="inlineStr">
        <is>
          <t>송학리</t>
        </is>
      </c>
      <c r="H6538" s="3" t="inlineStr">
        <is>
          <t>보전관리지역</t>
        </is>
      </c>
      <c r="I6538" s="3" t="inlineStr">
        <is>
          <t>임야</t>
        </is>
      </c>
      <c r="J6538" s="3" t="inlineStr">
        <is>
          <t>장군면</t>
        </is>
      </c>
    </row>
    <row r="6539">
      <c r="A6539" s="3" t="n">
        <v>2022</v>
      </c>
      <c r="B6539" s="4" t="n">
        <v>74800</v>
      </c>
      <c r="C6539" s="4" t="n">
        <v>24727</v>
      </c>
      <c r="D6539" s="4" t="n">
        <v>7479.9175</v>
      </c>
      <c r="E6539" s="5" t="n">
        <v>10</v>
      </c>
      <c r="F6539" s="3" t="inlineStr">
        <is>
          <t>전동면</t>
        </is>
      </c>
      <c r="G6539" s="3" t="inlineStr">
        <is>
          <t>보덕리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전동면</t>
        </is>
      </c>
    </row>
    <row r="6540">
      <c r="A6540" s="3" t="n">
        <v>2022</v>
      </c>
      <c r="B6540" s="4" t="n">
        <v>900</v>
      </c>
      <c r="C6540" s="4" t="n">
        <v>298</v>
      </c>
      <c r="D6540" s="4" t="n">
        <v>90.145</v>
      </c>
      <c r="E6540" s="5" t="n">
        <v>10</v>
      </c>
      <c r="F6540" s="3" t="inlineStr">
        <is>
          <t>전동면</t>
        </is>
      </c>
      <c r="G6540" s="3" t="inlineStr">
        <is>
          <t>보덕리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전동면</t>
        </is>
      </c>
    </row>
    <row r="6541">
      <c r="A6541" s="3" t="n">
        <v>2022</v>
      </c>
      <c r="B6541" s="4" t="n">
        <v>6500</v>
      </c>
      <c r="C6541" s="4" t="n">
        <v>1669</v>
      </c>
      <c r="D6541" s="4" t="n">
        <v>504.8725</v>
      </c>
      <c r="E6541" s="5" t="n">
        <v>12.9</v>
      </c>
      <c r="F6541" s="3" t="inlineStr">
        <is>
          <t>전동면</t>
        </is>
      </c>
      <c r="G6541" s="3" t="inlineStr">
        <is>
          <t>봉대리</t>
        </is>
      </c>
      <c r="H6541" s="3" t="inlineStr">
        <is>
          <t>보전관리지역</t>
        </is>
      </c>
      <c r="I6541" s="3" t="inlineStr">
        <is>
          <t>전</t>
        </is>
      </c>
      <c r="J6541" s="3" t="inlineStr">
        <is>
          <t>전동면</t>
        </is>
      </c>
    </row>
    <row r="6542">
      <c r="A6542" s="3" t="n">
        <v>2022</v>
      </c>
      <c r="B6542" s="4" t="n">
        <v>7500</v>
      </c>
      <c r="C6542" s="4" t="n">
        <v>416</v>
      </c>
      <c r="D6542" s="4" t="n">
        <v>125.84</v>
      </c>
      <c r="E6542" s="5" t="n">
        <v>59.6</v>
      </c>
      <c r="F6542" s="3" t="inlineStr">
        <is>
          <t>전동면</t>
        </is>
      </c>
      <c r="G6542" s="3" t="inlineStr">
        <is>
          <t>송곡리</t>
        </is>
      </c>
      <c r="H6542" s="3" t="inlineStr">
        <is>
          <t>계획관리지역</t>
        </is>
      </c>
      <c r="I6542" s="3" t="inlineStr">
        <is>
          <t>답</t>
        </is>
      </c>
      <c r="J6542" s="3" t="inlineStr">
        <is>
          <t>전동면</t>
        </is>
      </c>
    </row>
    <row r="6543">
      <c r="A6543" s="3" t="n">
        <v>2022</v>
      </c>
      <c r="B6543" s="4" t="n">
        <v>17000</v>
      </c>
      <c r="C6543" s="4" t="n">
        <v>3026</v>
      </c>
      <c r="D6543" s="4" t="n">
        <v>915.365</v>
      </c>
      <c r="E6543" s="5" t="n">
        <v>18.6</v>
      </c>
      <c r="F6543" s="3" t="inlineStr">
        <is>
          <t>전동면</t>
        </is>
      </c>
      <c r="G6543" s="3" t="inlineStr">
        <is>
          <t>청람리</t>
        </is>
      </c>
      <c r="H6543" s="3" t="inlineStr">
        <is>
          <t>농림지역</t>
        </is>
      </c>
      <c r="I6543" s="3" t="inlineStr">
        <is>
          <t>답</t>
        </is>
      </c>
      <c r="J6543" s="3" t="inlineStr">
        <is>
          <t>전동면</t>
        </is>
      </c>
    </row>
    <row r="6544">
      <c r="A6544" s="3" t="n">
        <v>2022</v>
      </c>
      <c r="B6544" s="4" t="n">
        <v>12000</v>
      </c>
      <c r="C6544" s="4" t="n">
        <v>3306</v>
      </c>
      <c r="D6544" s="4" t="n">
        <v>1000.065</v>
      </c>
      <c r="E6544" s="5" t="n">
        <v>12</v>
      </c>
      <c r="F6544" s="3" t="inlineStr">
        <is>
          <t>전동면</t>
        </is>
      </c>
      <c r="G6544" s="3" t="inlineStr">
        <is>
          <t>청송리</t>
        </is>
      </c>
      <c r="H6544" s="3" t="inlineStr">
        <is>
          <t>농림지역</t>
        </is>
      </c>
      <c r="I6544" s="3" t="inlineStr">
        <is>
          <t>임야</t>
        </is>
      </c>
      <c r="J6544" s="3" t="inlineStr">
        <is>
          <t>전동면</t>
        </is>
      </c>
    </row>
    <row r="6545">
      <c r="A6545" s="3" t="n">
        <v>2022</v>
      </c>
      <c r="B6545" s="4" t="n">
        <v>13500</v>
      </c>
      <c r="C6545" s="4" t="n">
        <v>3721</v>
      </c>
      <c r="D6545" s="4" t="n">
        <v>1125.6025</v>
      </c>
      <c r="E6545" s="5" t="n">
        <v>12</v>
      </c>
      <c r="F6545" s="3" t="inlineStr">
        <is>
          <t>전동면</t>
        </is>
      </c>
      <c r="G6545" s="3" t="inlineStr">
        <is>
          <t>청송리</t>
        </is>
      </c>
      <c r="H6545" s="3" t="inlineStr">
        <is>
          <t>농림지역</t>
        </is>
      </c>
      <c r="I6545" s="3" t="inlineStr">
        <is>
          <t>임야</t>
        </is>
      </c>
      <c r="J6545" s="3" t="inlineStr">
        <is>
          <t>전동면</t>
        </is>
      </c>
    </row>
    <row r="6546">
      <c r="A6546" s="3" t="n">
        <v>2022</v>
      </c>
      <c r="B6546" s="4" t="n">
        <v>6000</v>
      </c>
      <c r="C6546" s="4" t="n">
        <v>1653</v>
      </c>
      <c r="D6546" s="4" t="n">
        <v>500.0325</v>
      </c>
      <c r="E6546" s="5" t="n">
        <v>12</v>
      </c>
      <c r="F6546" s="3" t="inlineStr">
        <is>
          <t>전동면</t>
        </is>
      </c>
      <c r="G6546" s="3" t="inlineStr">
        <is>
          <t>청송리</t>
        </is>
      </c>
      <c r="H6546" s="3" t="inlineStr">
        <is>
          <t>농림지역</t>
        </is>
      </c>
      <c r="I6546" s="3" t="inlineStr">
        <is>
          <t>임야</t>
        </is>
      </c>
      <c r="J6546" s="3" t="inlineStr">
        <is>
          <t>전동면</t>
        </is>
      </c>
    </row>
    <row r="6547">
      <c r="A6547" s="3" t="n">
        <v>2022</v>
      </c>
      <c r="B6547" s="4" t="n">
        <v>6000</v>
      </c>
      <c r="C6547" s="4" t="n">
        <v>1653</v>
      </c>
      <c r="D6547" s="4" t="n">
        <v>500.0325</v>
      </c>
      <c r="E6547" s="5" t="n">
        <v>12</v>
      </c>
      <c r="F6547" s="3" t="inlineStr">
        <is>
          <t>전동면</t>
        </is>
      </c>
      <c r="G6547" s="3" t="inlineStr">
        <is>
          <t>청송리</t>
        </is>
      </c>
      <c r="H6547" s="3" t="inlineStr">
        <is>
          <t>농림지역</t>
        </is>
      </c>
      <c r="I6547" s="3" t="inlineStr">
        <is>
          <t>임야</t>
        </is>
      </c>
      <c r="J6547" s="3" t="inlineStr">
        <is>
          <t>전동면</t>
        </is>
      </c>
    </row>
    <row r="6548">
      <c r="A6548" s="3" t="n">
        <v>2026</v>
      </c>
      <c r="B6548" s="4" t="n">
        <v>64738</v>
      </c>
      <c r="C6548" s="4" t="n">
        <v>1782</v>
      </c>
      <c r="D6548" s="4" t="n">
        <v>539.0549999999999</v>
      </c>
      <c r="E6548" s="5" t="n">
        <v>120.1</v>
      </c>
      <c r="F6548" s="3" t="inlineStr">
        <is>
          <t>남이면</t>
        </is>
      </c>
      <c r="G6548" s="3" t="inlineStr">
        <is>
          <t>부용외천리</t>
        </is>
      </c>
      <c r="H6548" s="3" t="inlineStr">
        <is>
          <t>계획관리지역</t>
        </is>
      </c>
      <c r="I6548" s="3" t="inlineStr">
        <is>
          <t>공장용지</t>
        </is>
      </c>
      <c r="J6548" s="3" t="inlineStr">
        <is>
          <t>남이면</t>
        </is>
      </c>
    </row>
    <row r="6549">
      <c r="A6549" s="3" t="n">
        <v>2026</v>
      </c>
      <c r="B6549" s="4" t="n">
        <v>31928</v>
      </c>
      <c r="C6549" s="4" t="n">
        <v>916</v>
      </c>
      <c r="D6549" s="4" t="n">
        <v>277.09</v>
      </c>
      <c r="E6549" s="5" t="n">
        <v>115.2</v>
      </c>
      <c r="F6549" s="3" t="inlineStr">
        <is>
          <t>남이면</t>
        </is>
      </c>
      <c r="G6549" s="3" t="inlineStr">
        <is>
          <t>부용외천리</t>
        </is>
      </c>
      <c r="H6549" s="3" t="inlineStr">
        <is>
          <t>계획관리지역</t>
        </is>
      </c>
      <c r="I6549" s="3" t="inlineStr">
        <is>
          <t>공장용지</t>
        </is>
      </c>
      <c r="J6549" s="3" t="inlineStr">
        <is>
          <t>남이면</t>
        </is>
      </c>
    </row>
    <row r="6550">
      <c r="A6550" s="3" t="n">
        <v>2022</v>
      </c>
      <c r="B6550" s="4" t="n">
        <v>16000</v>
      </c>
      <c r="C6550" s="4" t="n">
        <v>573</v>
      </c>
      <c r="D6550" s="4" t="n">
        <v>173.3325</v>
      </c>
      <c r="E6550" s="5" t="n">
        <v>92.3</v>
      </c>
      <c r="F6550" s="3" t="inlineStr">
        <is>
          <t>오송읍</t>
        </is>
      </c>
      <c r="G6550" s="3" t="inlineStr">
        <is>
          <t>상봉리</t>
        </is>
      </c>
      <c r="H6550" s="3" t="inlineStr">
        <is>
          <t>생산관리지역</t>
        </is>
      </c>
      <c r="I6550" s="3" t="inlineStr">
        <is>
          <t>답</t>
        </is>
      </c>
      <c r="J6550" s="3" t="inlineStr">
        <is>
          <t>오송읍</t>
        </is>
      </c>
    </row>
    <row r="6551">
      <c r="A6551" s="3" t="n">
        <v>2022</v>
      </c>
      <c r="B6551" s="4" t="n">
        <v>15000</v>
      </c>
      <c r="C6551" s="4" t="n">
        <v>1111</v>
      </c>
      <c r="D6551" s="4" t="n">
        <v>336.0775</v>
      </c>
      <c r="E6551" s="5" t="n">
        <v>44.6</v>
      </c>
      <c r="F6551" s="3" t="inlineStr">
        <is>
          <t>강내면</t>
        </is>
      </c>
      <c r="G6551" s="3" t="inlineStr">
        <is>
          <t>학천리</t>
        </is>
      </c>
      <c r="H6551" s="3" t="inlineStr">
        <is>
          <t>자연녹지지역</t>
        </is>
      </c>
      <c r="I6551" s="3" t="inlineStr">
        <is>
          <t>임야</t>
        </is>
      </c>
      <c r="J6551" s="3" t="inlineStr">
        <is>
          <t>강내면</t>
        </is>
      </c>
    </row>
    <row r="6552">
      <c r="A6552" s="3" t="n">
        <v>2022</v>
      </c>
      <c r="B6552" s="4" t="n">
        <v>12000</v>
      </c>
      <c r="C6552" s="4" t="n">
        <v>568</v>
      </c>
      <c r="D6552" s="4" t="n">
        <v>171.82</v>
      </c>
      <c r="E6552" s="5" t="n">
        <v>69.8</v>
      </c>
      <c r="F6552" s="3" t="inlineStr">
        <is>
          <t>강내면</t>
        </is>
      </c>
      <c r="G6552" s="3" t="inlineStr">
        <is>
          <t>학천리</t>
        </is>
      </c>
      <c r="H6552" s="3" t="inlineStr">
        <is>
          <t>생산녹지지역</t>
        </is>
      </c>
      <c r="I6552" s="3" t="inlineStr">
        <is>
          <t>전</t>
        </is>
      </c>
      <c r="J6552" s="3" t="inlineStr">
        <is>
          <t>강내면</t>
        </is>
      </c>
    </row>
    <row r="6553">
      <c r="A6553" s="3" t="n">
        <v>2022</v>
      </c>
      <c r="B6553" s="4" t="n">
        <v>1600</v>
      </c>
      <c r="C6553" s="4" t="n">
        <v>20</v>
      </c>
      <c r="D6553" s="4" t="n">
        <v>6.05</v>
      </c>
      <c r="E6553" s="5" t="n">
        <v>264.5</v>
      </c>
      <c r="F6553" s="3" t="inlineStr">
        <is>
          <t>오송읍</t>
        </is>
      </c>
      <c r="G6553" s="3" t="inlineStr">
        <is>
          <t>오송리</t>
        </is>
      </c>
      <c r="H6553" s="3" t="inlineStr">
        <is>
          <t>제1종일반주거지역</t>
        </is>
      </c>
      <c r="I6553" s="3" t="inlineStr">
        <is>
          <t>도로</t>
        </is>
      </c>
      <c r="J6553" s="3" t="inlineStr">
        <is>
          <t>오송읍</t>
        </is>
      </c>
    </row>
    <row r="6554">
      <c r="A6554" s="3" t="n">
        <v>2022</v>
      </c>
      <c r="B6554" s="4" t="n">
        <v>28000</v>
      </c>
      <c r="C6554" s="4" t="n">
        <v>241</v>
      </c>
      <c r="D6554" s="4" t="n">
        <v>72.9025</v>
      </c>
      <c r="E6554" s="5" t="n">
        <v>384.1</v>
      </c>
      <c r="F6554" s="3" t="inlineStr">
        <is>
          <t>오송읍</t>
        </is>
      </c>
      <c r="G6554" s="3" t="inlineStr">
        <is>
          <t>봉산리</t>
        </is>
      </c>
      <c r="H6554" s="3" t="inlineStr">
        <is>
          <t>제1종일반주거지역</t>
        </is>
      </c>
      <c r="I6554" s="3" t="inlineStr">
        <is>
          <t>대</t>
        </is>
      </c>
      <c r="J6554" s="3" t="inlineStr">
        <is>
          <t>오송읍</t>
        </is>
      </c>
    </row>
    <row r="6555">
      <c r="A6555" s="3" t="n">
        <v>2022</v>
      </c>
      <c r="B6555" s="4" t="n">
        <v>155700</v>
      </c>
      <c r="C6555" s="4" t="n">
        <v>2059</v>
      </c>
      <c r="D6555" s="4" t="n">
        <v>622.8475</v>
      </c>
      <c r="E6555" s="5" t="n">
        <v>250</v>
      </c>
      <c r="F6555" s="3" t="inlineStr">
        <is>
          <t>오송읍</t>
        </is>
      </c>
      <c r="G6555" s="3" t="inlineStr">
        <is>
          <t>만수리</t>
        </is>
      </c>
      <c r="H6555" s="3" t="inlineStr">
        <is>
          <t>농림지역</t>
        </is>
      </c>
      <c r="I6555" s="3" t="inlineStr">
        <is>
          <t>답</t>
        </is>
      </c>
      <c r="J6555" s="3" t="inlineStr">
        <is>
          <t>오송읍</t>
        </is>
      </c>
    </row>
    <row r="6556">
      <c r="A6556" s="3" t="n">
        <v>2022</v>
      </c>
      <c r="B6556" s="4" t="n">
        <v>1500</v>
      </c>
      <c r="C6556" s="4" t="n">
        <v>20</v>
      </c>
      <c r="D6556" s="4" t="n">
        <v>6.05</v>
      </c>
      <c r="E6556" s="5" t="n">
        <v>247.9</v>
      </c>
      <c r="F6556" s="3" t="inlineStr">
        <is>
          <t>오송읍</t>
        </is>
      </c>
      <c r="G6556" s="3" t="inlineStr">
        <is>
          <t>오송리</t>
        </is>
      </c>
      <c r="H6556" s="3" t="inlineStr">
        <is>
          <t>준주거지역</t>
        </is>
      </c>
      <c r="I6556" s="3" t="inlineStr">
        <is>
          <t>도로</t>
        </is>
      </c>
      <c r="J6556" s="3" t="inlineStr">
        <is>
          <t>오송읍</t>
        </is>
      </c>
    </row>
    <row r="6557">
      <c r="A6557" s="3" t="n">
        <v>2025</v>
      </c>
      <c r="B6557" s="4" t="n">
        <v>13390</v>
      </c>
      <c r="C6557" s="4" t="n">
        <v>2951</v>
      </c>
      <c r="D6557" s="4" t="n">
        <v>892.6775</v>
      </c>
      <c r="E6557" s="5" t="n">
        <v>15</v>
      </c>
      <c r="F6557" s="3" t="inlineStr">
        <is>
          <t>남이면</t>
        </is>
      </c>
      <c r="G6557" s="3" t="inlineStr">
        <is>
          <t>문동리</t>
        </is>
      </c>
      <c r="H6557" s="3" t="inlineStr">
        <is>
          <t>농림지역</t>
        </is>
      </c>
      <c r="I6557" s="3" t="inlineStr">
        <is>
          <t>답</t>
        </is>
      </c>
      <c r="J6557" s="3" t="inlineStr">
        <is>
          <t>남이면</t>
        </is>
      </c>
    </row>
    <row r="6558">
      <c r="A6558" s="3" t="n">
        <v>2025</v>
      </c>
      <c r="B6558" s="4" t="n">
        <v>55000</v>
      </c>
      <c r="C6558" s="4" t="n">
        <v>1167</v>
      </c>
      <c r="D6558" s="4" t="n">
        <v>353.0175</v>
      </c>
      <c r="E6558" s="5" t="n">
        <v>155.8</v>
      </c>
      <c r="F6558" s="3" t="inlineStr">
        <is>
          <t>남이면</t>
        </is>
      </c>
      <c r="G6558" s="3" t="inlineStr">
        <is>
          <t>양촌리</t>
        </is>
      </c>
      <c r="H6558" s="3" t="inlineStr">
        <is>
          <t>자연녹지지역</t>
        </is>
      </c>
      <c r="I6558" s="3" t="inlineStr">
        <is>
          <t>전</t>
        </is>
      </c>
      <c r="J6558" s="3" t="inlineStr">
        <is>
          <t>남이면</t>
        </is>
      </c>
    </row>
    <row r="6559">
      <c r="A6559" s="3" t="n">
        <v>2025</v>
      </c>
      <c r="B6559" s="4" t="n">
        <v>4500</v>
      </c>
      <c r="C6559" s="4" t="n">
        <v>308</v>
      </c>
      <c r="D6559" s="4" t="n">
        <v>93.17</v>
      </c>
      <c r="E6559" s="5" t="n">
        <v>48.3</v>
      </c>
      <c r="F6559" s="3" t="inlineStr">
        <is>
          <t>남이면</t>
        </is>
      </c>
      <c r="G6559" s="3" t="inlineStr">
        <is>
          <t>척산리</t>
        </is>
      </c>
      <c r="H6559" s="3" t="inlineStr">
        <is>
          <t>자연녹지지역</t>
        </is>
      </c>
      <c r="I6559" s="3" t="inlineStr">
        <is>
          <t>답</t>
        </is>
      </c>
      <c r="J6559" s="3" t="inlineStr">
        <is>
          <t>남이면</t>
        </is>
      </c>
    </row>
    <row r="6560">
      <c r="A6560" s="3" t="n">
        <v>2025</v>
      </c>
      <c r="B6560" s="4" t="n">
        <v>10700</v>
      </c>
      <c r="C6560" s="4" t="n">
        <v>1646</v>
      </c>
      <c r="D6560" s="4" t="n">
        <v>497.915</v>
      </c>
      <c r="E6560" s="5" t="n">
        <v>21.5</v>
      </c>
      <c r="F6560" s="3" t="inlineStr">
        <is>
          <t>현도면</t>
        </is>
      </c>
      <c r="G6560" s="3" t="inlineStr">
        <is>
          <t>죽암리</t>
        </is>
      </c>
      <c r="H6560" s="3" t="inlineStr">
        <is>
          <t>생산관리지역</t>
        </is>
      </c>
      <c r="I6560" s="3" t="inlineStr">
        <is>
          <t>답</t>
        </is>
      </c>
      <c r="J6560" s="3" t="inlineStr">
        <is>
          <t>현도면</t>
        </is>
      </c>
    </row>
    <row r="6561">
      <c r="A6561" s="3" t="n">
        <v>2025</v>
      </c>
      <c r="B6561" s="4" t="n">
        <v>14100</v>
      </c>
      <c r="C6561" s="4" t="n">
        <v>2169</v>
      </c>
      <c r="D6561" s="4" t="n">
        <v>656.1224999999999</v>
      </c>
      <c r="E6561" s="5" t="n">
        <v>21.5</v>
      </c>
      <c r="F6561" s="3" t="inlineStr">
        <is>
          <t>현도면</t>
        </is>
      </c>
      <c r="G6561" s="3" t="inlineStr">
        <is>
          <t>죽암리</t>
        </is>
      </c>
      <c r="H6561" s="3" t="inlineStr">
        <is>
          <t>생산관리지역</t>
        </is>
      </c>
      <c r="I6561" s="3" t="inlineStr">
        <is>
          <t>답</t>
        </is>
      </c>
      <c r="J6561" s="3" t="inlineStr">
        <is>
          <t>현도면</t>
        </is>
      </c>
    </row>
    <row r="6562">
      <c r="A6562" s="3" t="n">
        <v>2025</v>
      </c>
      <c r="B6562" s="4" t="n">
        <v>28200</v>
      </c>
      <c r="C6562" s="4" t="n">
        <v>2343</v>
      </c>
      <c r="D6562" s="4" t="n">
        <v>708.7574999999999</v>
      </c>
      <c r="E6562" s="5" t="n">
        <v>39.8</v>
      </c>
      <c r="F6562" s="3" t="inlineStr">
        <is>
          <t>현도면</t>
        </is>
      </c>
      <c r="G6562" s="3" t="inlineStr">
        <is>
          <t>중척리</t>
        </is>
      </c>
      <c r="H6562" s="3" t="inlineStr">
        <is>
          <t>자연녹지지역</t>
        </is>
      </c>
      <c r="I6562" s="3" t="inlineStr">
        <is>
          <t>전</t>
        </is>
      </c>
      <c r="J6562" s="3" t="inlineStr">
        <is>
          <t>현도면</t>
        </is>
      </c>
    </row>
    <row r="6563">
      <c r="A6563" s="3" t="n">
        <v>2025</v>
      </c>
      <c r="B6563" s="4" t="n">
        <v>100000</v>
      </c>
      <c r="C6563" s="4" t="n">
        <v>2918.1</v>
      </c>
      <c r="D6563" s="4" t="n">
        <v>882.72525</v>
      </c>
      <c r="E6563" s="5" t="n">
        <v>113.3</v>
      </c>
      <c r="F6563" s="3" t="inlineStr">
        <is>
          <t>현도면</t>
        </is>
      </c>
      <c r="G6563" s="3" t="inlineStr">
        <is>
          <t>달계리</t>
        </is>
      </c>
      <c r="H6563" s="3" t="inlineStr">
        <is>
          <t>제1종일반주거지역</t>
        </is>
      </c>
      <c r="I6563" s="3" t="inlineStr">
        <is>
          <t>답</t>
        </is>
      </c>
      <c r="J6563" s="3" t="inlineStr">
        <is>
          <t>현도면</t>
        </is>
      </c>
    </row>
    <row r="6564">
      <c r="A6564" s="3" t="n">
        <v>2025</v>
      </c>
      <c r="B6564" s="4" t="n">
        <v>17317</v>
      </c>
      <c r="C6564" s="4" t="n">
        <v>1431</v>
      </c>
      <c r="D6564" s="4" t="n">
        <v>432.8775</v>
      </c>
      <c r="E6564" s="5" t="n">
        <v>40</v>
      </c>
      <c r="F6564" s="3" t="inlineStr">
        <is>
          <t>남이면</t>
        </is>
      </c>
      <c r="G6564" s="3" t="inlineStr">
        <is>
          <t>외천리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2025</v>
      </c>
      <c r="B6565" s="4" t="n">
        <v>363</v>
      </c>
      <c r="C6565" s="4" t="n">
        <v>30</v>
      </c>
      <c r="D6565" s="4" t="n">
        <v>9.074999999999999</v>
      </c>
      <c r="E6565" s="5" t="n">
        <v>40</v>
      </c>
      <c r="F6565" s="3" t="inlineStr">
        <is>
          <t>남이면</t>
        </is>
      </c>
      <c r="G6565" s="3" t="inlineStr">
        <is>
          <t>외천리</t>
        </is>
      </c>
      <c r="H6565" s="3" t="inlineStr">
        <is>
          <t>계획관리지역</t>
        </is>
      </c>
      <c r="I6565" s="3" t="inlineStr">
        <is>
          <t>전</t>
        </is>
      </c>
      <c r="J6565" s="3" t="inlineStr">
        <is>
          <t>남이면</t>
        </is>
      </c>
    </row>
    <row r="6566">
      <c r="A6566" s="3" t="n">
        <v>2025</v>
      </c>
      <c r="B6566" s="4" t="n">
        <v>6450</v>
      </c>
      <c r="C6566" s="4" t="n">
        <v>1174</v>
      </c>
      <c r="D6566" s="4" t="n">
        <v>355.135</v>
      </c>
      <c r="E6566" s="5" t="n">
        <v>18.2</v>
      </c>
      <c r="F6566" s="3" t="inlineStr">
        <is>
          <t>현도면</t>
        </is>
      </c>
      <c r="G6566" s="3" t="inlineStr">
        <is>
          <t>하석리</t>
        </is>
      </c>
      <c r="H6566" s="3" t="inlineStr">
        <is>
          <t>자연녹지지역</t>
        </is>
      </c>
      <c r="I6566" s="3" t="inlineStr">
        <is>
          <t>전</t>
        </is>
      </c>
      <c r="J6566" s="3" t="inlineStr">
        <is>
          <t>현도면</t>
        </is>
      </c>
    </row>
    <row r="6567">
      <c r="A6567" s="3" t="n">
        <v>2025</v>
      </c>
      <c r="B6567" s="4" t="n">
        <v>21700</v>
      </c>
      <c r="C6567" s="4" t="n">
        <v>582</v>
      </c>
      <c r="D6567" s="4" t="n">
        <v>176.055</v>
      </c>
      <c r="E6567" s="5" t="n">
        <v>123.3</v>
      </c>
      <c r="F6567" s="3" t="inlineStr">
        <is>
          <t>남이면</t>
        </is>
      </c>
      <c r="G6567" s="3" t="inlineStr">
        <is>
          <t>가마리</t>
        </is>
      </c>
      <c r="H6567" s="3" t="inlineStr">
        <is>
          <t>자연녹지지역</t>
        </is>
      </c>
      <c r="I6567" s="3" t="inlineStr">
        <is>
          <t>전</t>
        </is>
      </c>
      <c r="J6567" s="3" t="inlineStr">
        <is>
          <t>남이면</t>
        </is>
      </c>
    </row>
    <row r="6568">
      <c r="A6568" s="3" t="n">
        <v>2025</v>
      </c>
      <c r="B6568" s="4" t="n">
        <v>10600</v>
      </c>
      <c r="C6568" s="4" t="n">
        <v>1775</v>
      </c>
      <c r="D6568" s="4" t="n">
        <v>536.9375</v>
      </c>
      <c r="E6568" s="5" t="n">
        <v>19.7</v>
      </c>
      <c r="F6568" s="3" t="inlineStr">
        <is>
          <t>남이면</t>
        </is>
      </c>
      <c r="G6568" s="3" t="inlineStr">
        <is>
          <t>석실리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54147</v>
      </c>
      <c r="C6569" s="4" t="n">
        <v>730</v>
      </c>
      <c r="D6569" s="4" t="n">
        <v>220.825</v>
      </c>
      <c r="E6569" s="5" t="n">
        <v>245.2</v>
      </c>
      <c r="F6569" s="3" t="inlineStr">
        <is>
          <t>남이면</t>
        </is>
      </c>
      <c r="G6569" s="3" t="inlineStr">
        <is>
          <t>양촌리</t>
        </is>
      </c>
      <c r="H6569" s="3" t="inlineStr">
        <is>
          <t>자연녹지지역</t>
        </is>
      </c>
      <c r="I6569" s="3" t="inlineStr">
        <is>
          <t>대</t>
        </is>
      </c>
      <c r="J6569" s="3" t="inlineStr">
        <is>
          <t>남이면</t>
        </is>
      </c>
    </row>
    <row r="6570">
      <c r="A6570" s="3" t="n">
        <v>2026</v>
      </c>
      <c r="B6570" s="4" t="n">
        <v>683</v>
      </c>
      <c r="C6570" s="4" t="n">
        <v>28</v>
      </c>
      <c r="D6570" s="4" t="n">
        <v>8.469999999999999</v>
      </c>
      <c r="E6570" s="5" t="n">
        <v>80.59999999999999</v>
      </c>
      <c r="F6570" s="3" t="inlineStr">
        <is>
          <t>남이면</t>
        </is>
      </c>
      <c r="G6570" s="3" t="inlineStr">
        <is>
          <t>양촌리</t>
        </is>
      </c>
      <c r="H6570" s="3" t="inlineStr">
        <is>
          <t>자연녹지지역</t>
        </is>
      </c>
      <c r="I6570" s="3" t="inlineStr">
        <is>
          <t>도로</t>
        </is>
      </c>
      <c r="J6570" s="3" t="inlineStr">
        <is>
          <t>남이면</t>
        </is>
      </c>
    </row>
    <row r="6571">
      <c r="A6571" s="3" t="n">
        <v>2026</v>
      </c>
      <c r="B6571" s="4" t="n">
        <v>11250</v>
      </c>
      <c r="C6571" s="4" t="n">
        <v>2478</v>
      </c>
      <c r="D6571" s="4" t="n">
        <v>749.595</v>
      </c>
      <c r="E6571" s="5" t="n">
        <v>15</v>
      </c>
      <c r="F6571" s="3" t="inlineStr">
        <is>
          <t>현도면</t>
        </is>
      </c>
      <c r="G6571" s="3" t="inlineStr">
        <is>
          <t>상삼리</t>
        </is>
      </c>
      <c r="H6571" s="3" t="inlineStr">
        <is>
          <t>계획관리지역</t>
        </is>
      </c>
      <c r="I6571" s="3" t="inlineStr">
        <is>
          <t>임야</t>
        </is>
      </c>
      <c r="J6571" s="3" t="inlineStr">
        <is>
          <t>현도면</t>
        </is>
      </c>
    </row>
    <row r="6572">
      <c r="A6572" s="3" t="n">
        <v>2026</v>
      </c>
      <c r="B6572" s="4" t="n">
        <v>5160</v>
      </c>
      <c r="C6572" s="4" t="n">
        <v>428</v>
      </c>
      <c r="D6572" s="4" t="n">
        <v>129.47</v>
      </c>
      <c r="E6572" s="5" t="n">
        <v>39.9</v>
      </c>
      <c r="F6572" s="3" t="inlineStr">
        <is>
          <t>현도면</t>
        </is>
      </c>
      <c r="G6572" s="3" t="inlineStr">
        <is>
          <t>상삼리</t>
        </is>
      </c>
      <c r="H6572" s="3" t="inlineStr">
        <is>
          <t>계획관리지역</t>
        </is>
      </c>
      <c r="I6572" s="3" t="inlineStr">
        <is>
          <t>창고용지</t>
        </is>
      </c>
      <c r="J6572" s="3" t="inlineStr">
        <is>
          <t>현도면</t>
        </is>
      </c>
    </row>
    <row r="6573">
      <c r="A6573" s="3" t="n">
        <v>2026</v>
      </c>
      <c r="B6573" s="4" t="n">
        <v>10020</v>
      </c>
      <c r="C6573" s="4" t="n">
        <v>552</v>
      </c>
      <c r="D6573" s="4" t="n">
        <v>166.98</v>
      </c>
      <c r="E6573" s="5" t="n">
        <v>60</v>
      </c>
      <c r="F6573" s="3" t="inlineStr">
        <is>
          <t>현도면</t>
        </is>
      </c>
      <c r="G6573" s="3" t="inlineStr">
        <is>
          <t>상삼리</t>
        </is>
      </c>
      <c r="H6573" s="3" t="inlineStr">
        <is>
          <t>계획관리지역</t>
        </is>
      </c>
      <c r="I6573" s="3" t="inlineStr">
        <is>
          <t>대</t>
        </is>
      </c>
      <c r="J6573" s="3" t="inlineStr">
        <is>
          <t>현도면</t>
        </is>
      </c>
    </row>
    <row r="6574">
      <c r="A6574" s="3" t="n">
        <v>2026</v>
      </c>
      <c r="B6574" s="4" t="n">
        <v>8040</v>
      </c>
      <c r="C6574" s="4" t="n">
        <v>663</v>
      </c>
      <c r="D6574" s="4" t="n">
        <v>200.5575</v>
      </c>
      <c r="E6574" s="5" t="n">
        <v>40.1</v>
      </c>
      <c r="F6574" s="3" t="inlineStr">
        <is>
          <t>현도면</t>
        </is>
      </c>
      <c r="G6574" s="3" t="inlineStr">
        <is>
          <t>상삼리</t>
        </is>
      </c>
      <c r="H6574" s="3" t="inlineStr">
        <is>
          <t>계획관리지역</t>
        </is>
      </c>
      <c r="I6574" s="3" t="inlineStr">
        <is>
          <t>전</t>
        </is>
      </c>
      <c r="J6574" s="3" t="inlineStr">
        <is>
          <t>현도면</t>
        </is>
      </c>
    </row>
    <row r="6575">
      <c r="A6575" s="3" t="n">
        <v>2026</v>
      </c>
      <c r="B6575" s="4" t="n">
        <v>25710</v>
      </c>
      <c r="C6575" s="4" t="n">
        <v>2073</v>
      </c>
      <c r="D6575" s="4" t="n">
        <v>627.0825</v>
      </c>
      <c r="E6575" s="5" t="n">
        <v>41</v>
      </c>
      <c r="F6575" s="3" t="inlineStr">
        <is>
          <t>남이면</t>
        </is>
      </c>
      <c r="G6575" s="3" t="inlineStr">
        <is>
          <t>척산리</t>
        </is>
      </c>
      <c r="H6575" s="3" t="inlineStr">
        <is>
          <t>자연녹지지역</t>
        </is>
      </c>
      <c r="I6575" s="3" t="inlineStr">
        <is>
          <t>답</t>
        </is>
      </c>
      <c r="J6575" s="3" t="inlineStr">
        <is>
          <t>남이면</t>
        </is>
      </c>
    </row>
    <row r="6576">
      <c r="A6576" s="3" t="n">
        <v>2026</v>
      </c>
      <c r="B6576" s="4" t="n">
        <v>800</v>
      </c>
      <c r="C6576" s="4" t="n">
        <v>6</v>
      </c>
      <c r="D6576" s="4" t="n">
        <v>1.815</v>
      </c>
      <c r="E6576" s="5" t="n">
        <v>440.8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대</t>
        </is>
      </c>
      <c r="J6576" s="3" t="inlineStr">
        <is>
          <t>남이면</t>
        </is>
      </c>
    </row>
    <row r="6577">
      <c r="A6577" s="3" t="n">
        <v>2026</v>
      </c>
      <c r="B6577" s="4" t="n">
        <v>3700</v>
      </c>
      <c r="C6577" s="4" t="n">
        <v>72</v>
      </c>
      <c r="D6577" s="4" t="n">
        <v>21.78</v>
      </c>
      <c r="E6577" s="5" t="n">
        <v>169.9</v>
      </c>
      <c r="F6577" s="3" t="inlineStr">
        <is>
          <t>남이면</t>
        </is>
      </c>
      <c r="G6577" s="3" t="inlineStr">
        <is>
          <t>부용외천리</t>
        </is>
      </c>
      <c r="H6577" s="3" t="inlineStr">
        <is>
          <t>계획관리지역</t>
        </is>
      </c>
      <c r="I6577" s="3" t="inlineStr">
        <is>
          <t>임야</t>
        </is>
      </c>
      <c r="J6577" s="3" t="inlineStr">
        <is>
          <t>남이면</t>
        </is>
      </c>
    </row>
    <row r="6578">
      <c r="A6578" s="3" t="n">
        <v>2026</v>
      </c>
      <c r="B6578" s="4" t="n">
        <v>1300</v>
      </c>
      <c r="C6578" s="4" t="n">
        <v>38</v>
      </c>
      <c r="D6578" s="4" t="n">
        <v>11.495</v>
      </c>
      <c r="E6578" s="5" t="n">
        <v>113.1</v>
      </c>
      <c r="F6578" s="3" t="inlineStr">
        <is>
          <t>남이면</t>
        </is>
      </c>
      <c r="G6578" s="3" t="inlineStr">
        <is>
          <t>부용외천리</t>
        </is>
      </c>
      <c r="H6578" s="3" t="inlineStr">
        <is>
          <t>계획관리지역</t>
        </is>
      </c>
      <c r="I6578" s="3" t="inlineStr">
        <is>
          <t>임야</t>
        </is>
      </c>
      <c r="J6578" s="3" t="inlineStr">
        <is>
          <t>남이면</t>
        </is>
      </c>
    </row>
    <row r="6579">
      <c r="A6579" s="3" t="n">
        <v>2026</v>
      </c>
      <c r="B6579" s="4" t="n">
        <v>10000</v>
      </c>
      <c r="C6579" s="4" t="n">
        <v>37884</v>
      </c>
      <c r="D6579" s="4" t="n">
        <v>11459.91</v>
      </c>
      <c r="E6579" s="5" t="n">
        <v>0.9</v>
      </c>
      <c r="F6579" s="3" t="inlineStr">
        <is>
          <t>남이면</t>
        </is>
      </c>
      <c r="G6579" s="3" t="inlineStr">
        <is>
          <t>석실리</t>
        </is>
      </c>
      <c r="H6579" s="3" t="inlineStr">
        <is>
          <t>보전녹지지역</t>
        </is>
      </c>
      <c r="I6579" s="3" t="inlineStr">
        <is>
          <t>임야</t>
        </is>
      </c>
      <c r="J6579" s="3" t="inlineStr">
        <is>
          <t>남이면</t>
        </is>
      </c>
    </row>
    <row r="6580">
      <c r="A6580" s="3" t="n">
        <v>2026</v>
      </c>
      <c r="B6580" s="4" t="n">
        <v>76159</v>
      </c>
      <c r="C6580" s="4" t="n">
        <v>2289</v>
      </c>
      <c r="D6580" s="4" t="n">
        <v>692.4225</v>
      </c>
      <c r="E6580" s="5" t="n">
        <v>110</v>
      </c>
      <c r="F6580" s="3" t="inlineStr">
        <is>
          <t>현도면</t>
        </is>
      </c>
      <c r="G6580" s="3" t="inlineStr">
        <is>
          <t>상삼리</t>
        </is>
      </c>
      <c r="H6580" s="3" t="inlineStr">
        <is>
          <t>계획관리지역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2026</v>
      </c>
      <c r="B6581" s="4" t="n">
        <v>21227</v>
      </c>
      <c r="C6581" s="4" t="n">
        <v>638</v>
      </c>
      <c r="D6581" s="4" t="n">
        <v>192.995</v>
      </c>
      <c r="E6581" s="5" t="n">
        <v>110</v>
      </c>
      <c r="F6581" s="3" t="inlineStr">
        <is>
          <t>현도면</t>
        </is>
      </c>
      <c r="G6581" s="3" t="inlineStr">
        <is>
          <t>상삼리</t>
        </is>
      </c>
      <c r="H6581" s="3" t="inlineStr">
        <is>
          <t>계획관리지역</t>
        </is>
      </c>
      <c r="I6581" s="3" t="inlineStr">
        <is>
          <t>답</t>
        </is>
      </c>
      <c r="J6581" s="3" t="inlineStr">
        <is>
          <t>현도면</t>
        </is>
      </c>
    </row>
    <row r="6582">
      <c r="A6582" s="3" t="n">
        <v>2026</v>
      </c>
      <c r="B6582" s="4" t="n">
        <v>95157</v>
      </c>
      <c r="C6582" s="4" t="n">
        <v>2860</v>
      </c>
      <c r="D6582" s="4" t="n">
        <v>865.15</v>
      </c>
      <c r="E6582" s="5" t="n">
        <v>110</v>
      </c>
      <c r="F6582" s="3" t="inlineStr">
        <is>
          <t>현도면</t>
        </is>
      </c>
      <c r="G6582" s="3" t="inlineStr">
        <is>
          <t>상삼리</t>
        </is>
      </c>
      <c r="H6582" s="3" t="inlineStr">
        <is>
          <t>계획관리지역</t>
        </is>
      </c>
      <c r="I6582" s="3" t="inlineStr">
        <is>
          <t>답</t>
        </is>
      </c>
      <c r="J6582" s="3" t="inlineStr">
        <is>
          <t>현도면</t>
        </is>
      </c>
    </row>
    <row r="6583">
      <c r="A6583" s="3" t="n">
        <v>2026</v>
      </c>
      <c r="B6583" s="4" t="n">
        <v>83146</v>
      </c>
      <c r="C6583" s="4" t="n">
        <v>2499</v>
      </c>
      <c r="D6583" s="4" t="n">
        <v>755.9475</v>
      </c>
      <c r="E6583" s="5" t="n">
        <v>110</v>
      </c>
      <c r="F6583" s="3" t="inlineStr">
        <is>
          <t>현도면</t>
        </is>
      </c>
      <c r="G6583" s="3" t="inlineStr">
        <is>
          <t>상삼리</t>
        </is>
      </c>
      <c r="H6583" s="3" t="inlineStr">
        <is>
          <t>계획관리지역</t>
        </is>
      </c>
      <c r="I6583" s="3" t="inlineStr">
        <is>
          <t>답</t>
        </is>
      </c>
      <c r="J6583" s="3" t="inlineStr">
        <is>
          <t>현도면</t>
        </is>
      </c>
    </row>
    <row r="6584">
      <c r="A6584" s="3" t="n">
        <v>2026</v>
      </c>
      <c r="B6584" s="4" t="n">
        <v>91165</v>
      </c>
      <c r="C6584" s="4" t="n">
        <v>2740</v>
      </c>
      <c r="D6584" s="4" t="n">
        <v>828.85</v>
      </c>
      <c r="E6584" s="5" t="n">
        <v>110</v>
      </c>
      <c r="F6584" s="3" t="inlineStr">
        <is>
          <t>현도면</t>
        </is>
      </c>
      <c r="G6584" s="3" t="inlineStr">
        <is>
          <t>상삼리</t>
        </is>
      </c>
      <c r="H6584" s="3" t="inlineStr">
        <is>
          <t>계획관리지역</t>
        </is>
      </c>
      <c r="I6584" s="3" t="inlineStr">
        <is>
          <t>답</t>
        </is>
      </c>
      <c r="J6584" s="3" t="inlineStr">
        <is>
          <t>현도면</t>
        </is>
      </c>
    </row>
    <row r="6585">
      <c r="A6585" s="3" t="n">
        <v>2026</v>
      </c>
      <c r="B6585" s="4" t="n">
        <v>84144</v>
      </c>
      <c r="C6585" s="4" t="n">
        <v>2529</v>
      </c>
      <c r="D6585" s="4" t="n">
        <v>765.0224999999999</v>
      </c>
      <c r="E6585" s="5" t="n">
        <v>110</v>
      </c>
      <c r="F6585" s="3" t="inlineStr">
        <is>
          <t>현도면</t>
        </is>
      </c>
      <c r="G6585" s="3" t="inlineStr">
        <is>
          <t>상삼리</t>
        </is>
      </c>
      <c r="H6585" s="3" t="inlineStr">
        <is>
          <t>계획관리지역</t>
        </is>
      </c>
      <c r="I6585" s="3" t="inlineStr">
        <is>
          <t>답</t>
        </is>
      </c>
      <c r="J6585" s="3" t="inlineStr">
        <is>
          <t>현도면</t>
        </is>
      </c>
    </row>
    <row r="6586">
      <c r="A6586" s="3" t="n">
        <v>2026</v>
      </c>
      <c r="B6586" s="4" t="n">
        <v>29479</v>
      </c>
      <c r="C6586" s="4" t="n">
        <v>886</v>
      </c>
      <c r="D6586" s="4" t="n">
        <v>268.015</v>
      </c>
      <c r="E6586" s="5" t="n">
        <v>110</v>
      </c>
      <c r="F6586" s="3" t="inlineStr">
        <is>
          <t>현도면</t>
        </is>
      </c>
      <c r="G6586" s="3" t="inlineStr">
        <is>
          <t>상삼리</t>
        </is>
      </c>
      <c r="H6586" s="3" t="inlineStr">
        <is>
          <t>계획관리지역</t>
        </is>
      </c>
      <c r="I6586" s="3" t="inlineStr">
        <is>
          <t>답</t>
        </is>
      </c>
      <c r="J6586" s="3" t="inlineStr">
        <is>
          <t>현도면</t>
        </is>
      </c>
    </row>
    <row r="6587">
      <c r="A6587" s="3" t="n">
        <v>2026</v>
      </c>
      <c r="B6587" s="4" t="n">
        <v>1763</v>
      </c>
      <c r="C6587" s="4" t="n">
        <v>53</v>
      </c>
      <c r="D6587" s="4" t="n">
        <v>16.0325</v>
      </c>
      <c r="E6587" s="5" t="n">
        <v>110</v>
      </c>
      <c r="F6587" s="3" t="inlineStr">
        <is>
          <t>현도면</t>
        </is>
      </c>
      <c r="G6587" s="3" t="inlineStr">
        <is>
          <t>중삼리</t>
        </is>
      </c>
      <c r="H6587" s="3" t="inlineStr">
        <is>
          <t>계획관리지역</t>
        </is>
      </c>
      <c r="I6587" s="3" t="inlineStr">
        <is>
          <t>전</t>
        </is>
      </c>
      <c r="J6587" s="3" t="inlineStr">
        <is>
          <t>현도면</t>
        </is>
      </c>
    </row>
    <row r="6588">
      <c r="A6588" s="3" t="n">
        <v>2026</v>
      </c>
      <c r="B6588" s="4" t="n">
        <v>5200</v>
      </c>
      <c r="C6588" s="4" t="n">
        <v>774</v>
      </c>
      <c r="D6588" s="4" t="n">
        <v>234.135</v>
      </c>
      <c r="E6588" s="5" t="n">
        <v>22.2</v>
      </c>
      <c r="F6588" s="3" t="inlineStr">
        <is>
          <t>남이면</t>
        </is>
      </c>
      <c r="G6588" s="3" t="inlineStr">
        <is>
          <t>수대리</t>
        </is>
      </c>
      <c r="H6588" s="3" t="inlineStr">
        <is>
          <t>보전녹지지역</t>
        </is>
      </c>
      <c r="I6588" s="3" t="inlineStr">
        <is>
          <t>전</t>
        </is>
      </c>
      <c r="J6588" s="3" t="inlineStr">
        <is>
          <t>남이면</t>
        </is>
      </c>
    </row>
    <row r="6589">
      <c r="A6589" s="3" t="n">
        <v>2026</v>
      </c>
      <c r="B6589" s="4" t="n">
        <v>3800</v>
      </c>
      <c r="C6589" s="4" t="n">
        <v>914</v>
      </c>
      <c r="D6589" s="4" t="n">
        <v>276.485</v>
      </c>
      <c r="E6589" s="5" t="n">
        <v>13.7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개발제한구역</t>
        </is>
      </c>
      <c r="I6589" s="3" t="inlineStr">
        <is>
          <t>전</t>
        </is>
      </c>
      <c r="J6589" s="3" t="inlineStr">
        <is>
          <t>현도면</t>
        </is>
      </c>
    </row>
    <row r="6590">
      <c r="A6590" s="3" t="n">
        <v>2026</v>
      </c>
      <c r="B6590" s="4" t="n">
        <v>28170</v>
      </c>
      <c r="C6590" s="4" t="n">
        <v>384</v>
      </c>
      <c r="D6590" s="4" t="n">
        <v>116.16</v>
      </c>
      <c r="E6590" s="5" t="n">
        <v>242.5</v>
      </c>
      <c r="F6590" s="3" t="inlineStr">
        <is>
          <t>남이면</t>
        </is>
      </c>
      <c r="G6590" s="3" t="inlineStr">
        <is>
          <t>가마리</t>
        </is>
      </c>
      <c r="H6590" s="3" t="inlineStr">
        <is>
          <t>자연녹지지역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20026</v>
      </c>
      <c r="C6591" s="4" t="n">
        <v>273</v>
      </c>
      <c r="D6591" s="4" t="n">
        <v>82.5825</v>
      </c>
      <c r="E6591" s="5" t="n">
        <v>242.5</v>
      </c>
      <c r="F6591" s="3" t="inlineStr">
        <is>
          <t>남이면</t>
        </is>
      </c>
      <c r="G6591" s="3" t="inlineStr">
        <is>
          <t>가마리</t>
        </is>
      </c>
      <c r="H6591" s="3" t="inlineStr">
        <is>
          <t>자연녹지지역</t>
        </is>
      </c>
      <c r="I6591" s="3" t="inlineStr">
        <is>
          <t>대</t>
        </is>
      </c>
      <c r="J6591" s="3" t="inlineStr">
        <is>
          <t>남이면</t>
        </is>
      </c>
    </row>
    <row r="6592">
      <c r="A6592" s="3" t="n">
        <v>2026</v>
      </c>
      <c r="B6592" s="4" t="n">
        <v>1687</v>
      </c>
      <c r="C6592" s="4" t="n">
        <v>23</v>
      </c>
      <c r="D6592" s="4" t="n">
        <v>6.9575</v>
      </c>
      <c r="E6592" s="5" t="n">
        <v>242.5</v>
      </c>
      <c r="F6592" s="3" t="inlineStr">
        <is>
          <t>남이면</t>
        </is>
      </c>
      <c r="G6592" s="3" t="inlineStr">
        <is>
          <t>가마리</t>
        </is>
      </c>
      <c r="H6592" s="3" t="inlineStr">
        <is>
          <t>자연녹지지역</t>
        </is>
      </c>
      <c r="I6592" s="3" t="inlineStr">
        <is>
          <t>도로</t>
        </is>
      </c>
      <c r="J6592" s="3" t="inlineStr">
        <is>
          <t>남이면</t>
        </is>
      </c>
    </row>
    <row r="6593">
      <c r="A6593" s="3" t="n">
        <v>2026</v>
      </c>
      <c r="B6593" s="4" t="n">
        <v>1907</v>
      </c>
      <c r="C6593" s="4" t="n">
        <v>26</v>
      </c>
      <c r="D6593" s="4" t="n">
        <v>7.865</v>
      </c>
      <c r="E6593" s="5" t="n">
        <v>242.5</v>
      </c>
      <c r="F6593" s="3" t="inlineStr">
        <is>
          <t>남이면</t>
        </is>
      </c>
      <c r="G6593" s="3" t="inlineStr">
        <is>
          <t>가마리</t>
        </is>
      </c>
      <c r="H6593" s="3" t="inlineStr">
        <is>
          <t>자연녹지지역</t>
        </is>
      </c>
      <c r="I6593" s="3" t="inlineStr">
        <is>
          <t>대</t>
        </is>
      </c>
      <c r="J6593" s="3" t="inlineStr">
        <is>
          <t>남이면</t>
        </is>
      </c>
    </row>
    <row r="6594">
      <c r="A6594" s="3" t="n">
        <v>2026</v>
      </c>
      <c r="B6594" s="4" t="n">
        <v>900</v>
      </c>
      <c r="C6594" s="4" t="n">
        <v>147</v>
      </c>
      <c r="D6594" s="4" t="n">
        <v>44.4675</v>
      </c>
      <c r="E6594" s="5" t="n">
        <v>20.2</v>
      </c>
      <c r="F6594" s="3" t="inlineStr">
        <is>
          <t>현도면</t>
        </is>
      </c>
      <c r="G6594" s="3" t="inlineStr">
        <is>
          <t>선동리</t>
        </is>
      </c>
      <c r="H6594" s="3" t="inlineStr">
        <is>
          <t>제1종일반주거지역</t>
        </is>
      </c>
      <c r="I6594" s="3" t="inlineStr">
        <is>
          <t>임야</t>
        </is>
      </c>
      <c r="J6594" s="3" t="inlineStr">
        <is>
          <t>현도면</t>
        </is>
      </c>
    </row>
    <row r="6595">
      <c r="A6595" s="3" t="n">
        <v>2026</v>
      </c>
      <c r="B6595" s="4" t="n">
        <v>6300</v>
      </c>
      <c r="C6595" s="4" t="n">
        <v>5225</v>
      </c>
      <c r="D6595" s="4" t="n">
        <v>1580.5625</v>
      </c>
      <c r="E6595" s="5" t="n">
        <v>4</v>
      </c>
      <c r="F6595" s="3" t="inlineStr">
        <is>
          <t>남이면</t>
        </is>
      </c>
      <c r="G6595" s="3" t="inlineStr">
        <is>
          <t>수대리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2025</v>
      </c>
      <c r="B6596" s="4" t="n">
        <v>102500</v>
      </c>
      <c r="C6596" s="4" t="n">
        <v>2053</v>
      </c>
      <c r="D6596" s="4" t="n">
        <v>621.0325</v>
      </c>
      <c r="E6596" s="5" t="n">
        <v>165</v>
      </c>
      <c r="F6596" s="3" t="inlineStr">
        <is>
          <t>장군면</t>
        </is>
      </c>
      <c r="G6596" s="3" t="inlineStr">
        <is>
          <t>봉안리</t>
        </is>
      </c>
      <c r="H6596" s="3" t="inlineStr">
        <is>
          <t>농림지역</t>
        </is>
      </c>
      <c r="I6596" s="3" t="inlineStr">
        <is>
          <t>답</t>
        </is>
      </c>
      <c r="J6596" s="3" t="inlineStr">
        <is>
          <t>장군면</t>
        </is>
      </c>
    </row>
    <row r="6597">
      <c r="A6597" s="3" t="n">
        <v>2026</v>
      </c>
      <c r="B6597" s="4" t="n">
        <v>15000</v>
      </c>
      <c r="C6597" s="4" t="n">
        <v>762</v>
      </c>
      <c r="D6597" s="4" t="n">
        <v>230.505</v>
      </c>
      <c r="E6597" s="5" t="n">
        <v>65.09999999999999</v>
      </c>
      <c r="F6597" s="3" t="inlineStr">
        <is>
          <t>금남면</t>
        </is>
      </c>
      <c r="G6597" s="3" t="inlineStr">
        <is>
          <t>영치리</t>
        </is>
      </c>
      <c r="H6597" s="3" t="inlineStr">
        <is>
          <t>개발제한구역</t>
        </is>
      </c>
      <c r="I6597" s="3" t="inlineStr">
        <is>
          <t>전</t>
        </is>
      </c>
      <c r="J6597" s="3" t="inlineStr">
        <is>
          <t>금남면</t>
        </is>
      </c>
    </row>
    <row r="6598">
      <c r="A6598" s="3" t="n">
        <v>2026</v>
      </c>
      <c r="B6598" s="4" t="n">
        <v>83000</v>
      </c>
      <c r="C6598" s="4" t="n">
        <v>808</v>
      </c>
      <c r="D6598" s="4" t="n">
        <v>244.42</v>
      </c>
      <c r="E6598" s="5" t="n">
        <v>339.6</v>
      </c>
      <c r="F6598" s="3" t="inlineStr">
        <is>
          <t>연동면</t>
        </is>
      </c>
      <c r="G6598" s="3" t="inlineStr">
        <is>
          <t>내판리</t>
        </is>
      </c>
      <c r="H6598" s="3" t="inlineStr">
        <is>
          <t>계획관리지역</t>
        </is>
      </c>
      <c r="I6598" s="3" t="inlineStr">
        <is>
          <t>철도용지</t>
        </is>
      </c>
      <c r="J6598" s="3" t="inlineStr">
        <is>
          <t>연동면</t>
        </is>
      </c>
    </row>
    <row r="6599">
      <c r="A6599" s="3" t="n">
        <v>2026</v>
      </c>
      <c r="B6599" s="4" t="n">
        <v>7200</v>
      </c>
      <c r="C6599" s="4" t="n">
        <v>1251</v>
      </c>
      <c r="D6599" s="4" t="n">
        <v>378.4275</v>
      </c>
      <c r="E6599" s="5" t="n">
        <v>19</v>
      </c>
      <c r="F6599" s="3" t="inlineStr">
        <is>
          <t>전의면</t>
        </is>
      </c>
      <c r="G6599" s="3" t="inlineStr">
        <is>
          <t>다방리</t>
        </is>
      </c>
      <c r="H6599" s="3" t="inlineStr">
        <is>
          <t>생산관리지역</t>
        </is>
      </c>
      <c r="I6599" s="3" t="inlineStr">
        <is>
          <t>전</t>
        </is>
      </c>
      <c r="J6599" s="3" t="inlineStr">
        <is>
          <t>전의면</t>
        </is>
      </c>
    </row>
    <row r="6600">
      <c r="A6600" s="3" t="n">
        <v>2026</v>
      </c>
      <c r="B6600" s="4" t="n">
        <v>300</v>
      </c>
      <c r="C6600" s="4" t="n">
        <v>141</v>
      </c>
      <c r="D6600" s="4" t="n">
        <v>42.6525</v>
      </c>
      <c r="E6600" s="5" t="n">
        <v>7</v>
      </c>
      <c r="F6600" s="3" t="inlineStr">
        <is>
          <t>전의면</t>
        </is>
      </c>
      <c r="G6600" s="3" t="inlineStr">
        <is>
          <t>다방리</t>
        </is>
      </c>
      <c r="H6600" s="3" t="inlineStr">
        <is>
          <t>생산관리지역</t>
        </is>
      </c>
      <c r="I6600" s="3" t="inlineStr">
        <is>
          <t>답</t>
        </is>
      </c>
      <c r="J6600" s="3" t="inlineStr">
        <is>
          <t>전의면</t>
        </is>
      </c>
    </row>
    <row r="6601">
      <c r="A6601" s="3" t="n">
        <v>2026</v>
      </c>
      <c r="B6601" s="4" t="n">
        <v>2000</v>
      </c>
      <c r="C6601" s="4" t="n">
        <v>176</v>
      </c>
      <c r="D6601" s="4" t="n">
        <v>53.23999999999999</v>
      </c>
      <c r="E6601" s="5" t="n">
        <v>37.6</v>
      </c>
      <c r="F6601" s="3" t="inlineStr">
        <is>
          <t>전의면</t>
        </is>
      </c>
      <c r="G6601" s="3" t="inlineStr">
        <is>
          <t>다방리</t>
        </is>
      </c>
      <c r="H6601" s="3" t="inlineStr">
        <is>
          <t>생산관리지역</t>
        </is>
      </c>
      <c r="I6601" s="3" t="inlineStr">
        <is>
          <t>임야</t>
        </is>
      </c>
      <c r="J6601" s="3" t="inlineStr">
        <is>
          <t>전의면</t>
        </is>
      </c>
    </row>
    <row r="6602">
      <c r="A6602" s="3" t="n">
        <v>2025</v>
      </c>
      <c r="B6602" s="4" t="n">
        <v>88000</v>
      </c>
      <c r="C6602" s="4" t="n">
        <v>423</v>
      </c>
      <c r="D6602" s="4" t="n">
        <v>127.9575</v>
      </c>
      <c r="E6602" s="5" t="n">
        <v>687.7</v>
      </c>
      <c r="F6602" s="3" t="inlineStr">
        <is>
          <t>장군면</t>
        </is>
      </c>
      <c r="G6602" s="3" t="inlineStr">
        <is>
          <t>금암리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장군면</t>
        </is>
      </c>
    </row>
    <row r="6603">
      <c r="A6603" s="3" t="n">
        <v>2025</v>
      </c>
      <c r="B6603" s="4" t="n">
        <v>42500</v>
      </c>
      <c r="C6603" s="4" t="n">
        <v>290</v>
      </c>
      <c r="D6603" s="4" t="n">
        <v>87.72499999999999</v>
      </c>
      <c r="E6603" s="5" t="n">
        <v>484.5</v>
      </c>
      <c r="F6603" s="3" t="inlineStr">
        <is>
          <t>고운동</t>
        </is>
      </c>
      <c r="G6603" s="3" t="inlineStr"/>
      <c r="H6603" s="3" t="inlineStr">
        <is>
          <t>제1종전용주거지역</t>
        </is>
      </c>
      <c r="I6603" s="3" t="inlineStr">
        <is>
          <t>대</t>
        </is>
      </c>
      <c r="J6603" s="3" t="inlineStr">
        <is>
          <t>고운동</t>
        </is>
      </c>
    </row>
    <row r="6604">
      <c r="A6604" s="3" t="n">
        <v>2025</v>
      </c>
      <c r="B6604" s="4" t="n">
        <v>147155</v>
      </c>
      <c r="C6604" s="4" t="n">
        <v>2001</v>
      </c>
      <c r="D6604" s="4" t="n">
        <v>605.3025</v>
      </c>
      <c r="E6604" s="5" t="n">
        <v>243.1</v>
      </c>
      <c r="F6604" s="3" t="inlineStr">
        <is>
          <t>연서면</t>
        </is>
      </c>
      <c r="G6604" s="3" t="inlineStr">
        <is>
          <t>부동리</t>
        </is>
      </c>
      <c r="H6604" s="3" t="inlineStr">
        <is>
          <t>계획관리지역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25460</v>
      </c>
      <c r="C6605" s="4" t="n">
        <v>223</v>
      </c>
      <c r="D6605" s="4" t="n">
        <v>67.4575</v>
      </c>
      <c r="E6605" s="5" t="n">
        <v>377.4</v>
      </c>
      <c r="F6605" s="3" t="inlineStr">
        <is>
          <t>연서면</t>
        </is>
      </c>
      <c r="G6605" s="3" t="inlineStr">
        <is>
          <t>부동리</t>
        </is>
      </c>
      <c r="H6605" s="3" t="inlineStr">
        <is>
          <t>계획관리지역</t>
        </is>
      </c>
      <c r="I6605" s="3" t="inlineStr">
        <is>
          <t>답</t>
        </is>
      </c>
      <c r="J6605" s="3" t="inlineStr">
        <is>
          <t>연서면</t>
        </is>
      </c>
    </row>
    <row r="6606">
      <c r="A6606" s="3" t="n">
        <v>2025</v>
      </c>
      <c r="B6606" s="4" t="n">
        <v>39768</v>
      </c>
      <c r="C6606" s="4" t="n">
        <v>523</v>
      </c>
      <c r="D6606" s="4" t="n">
        <v>158.2075</v>
      </c>
      <c r="E6606" s="5" t="n">
        <v>251.4</v>
      </c>
      <c r="F6606" s="3" t="inlineStr">
        <is>
          <t>장군면</t>
        </is>
      </c>
      <c r="G6606" s="3" t="inlineStr">
        <is>
          <t>산학리</t>
        </is>
      </c>
      <c r="H6606" s="3" t="inlineStr">
        <is>
          <t>보전관리지역</t>
        </is>
      </c>
      <c r="I6606" s="3" t="inlineStr">
        <is>
          <t>대</t>
        </is>
      </c>
      <c r="J6606" s="3" t="inlineStr">
        <is>
          <t>장군면</t>
        </is>
      </c>
    </row>
    <row r="6607">
      <c r="A6607" s="3" t="n">
        <v>2025</v>
      </c>
      <c r="B6607" s="4" t="n">
        <v>34408</v>
      </c>
      <c r="C6607" s="4" t="n">
        <v>451</v>
      </c>
      <c r="D6607" s="4" t="n">
        <v>136.4275</v>
      </c>
      <c r="E6607" s="5" t="n">
        <v>252.2</v>
      </c>
      <c r="F6607" s="3" t="inlineStr">
        <is>
          <t>장군면</t>
        </is>
      </c>
      <c r="G6607" s="3" t="inlineStr">
        <is>
          <t>산학리</t>
        </is>
      </c>
      <c r="H6607" s="3" t="inlineStr">
        <is>
          <t>보전관리지역</t>
        </is>
      </c>
      <c r="I6607" s="3" t="inlineStr">
        <is>
          <t>대</t>
        </is>
      </c>
      <c r="J6607" s="3" t="inlineStr">
        <is>
          <t>장군면</t>
        </is>
      </c>
    </row>
    <row r="6608">
      <c r="A6608" s="3" t="n">
        <v>2025</v>
      </c>
      <c r="B6608" s="4" t="n">
        <v>31515</v>
      </c>
      <c r="C6608" s="4" t="n">
        <v>793</v>
      </c>
      <c r="D6608" s="4" t="n">
        <v>239.8825</v>
      </c>
      <c r="E6608" s="5" t="n">
        <v>131.4</v>
      </c>
      <c r="F6608" s="3" t="inlineStr">
        <is>
          <t>장군면</t>
        </is>
      </c>
      <c r="G6608" s="3" t="inlineStr">
        <is>
          <t>태산리</t>
        </is>
      </c>
      <c r="H6608" s="3" t="inlineStr">
        <is>
          <t>보전관리지역</t>
        </is>
      </c>
      <c r="I6608" s="3" t="inlineStr">
        <is>
          <t>임야</t>
        </is>
      </c>
      <c r="J6608" s="3" t="inlineStr">
        <is>
          <t>장군면</t>
        </is>
      </c>
    </row>
    <row r="6609">
      <c r="A6609" s="3" t="n">
        <v>2025</v>
      </c>
      <c r="B6609" s="4" t="n">
        <v>29152</v>
      </c>
      <c r="C6609" s="4" t="n">
        <v>734</v>
      </c>
      <c r="D6609" s="4" t="n">
        <v>222.035</v>
      </c>
      <c r="E6609" s="5" t="n">
        <v>131.3</v>
      </c>
      <c r="F6609" s="3" t="inlineStr">
        <is>
          <t>장군면</t>
        </is>
      </c>
      <c r="G6609" s="3" t="inlineStr">
        <is>
          <t>태산리</t>
        </is>
      </c>
      <c r="H6609" s="3" t="inlineStr">
        <is>
          <t>보전관리지역</t>
        </is>
      </c>
      <c r="I6609" s="3" t="inlineStr">
        <is>
          <t>임야</t>
        </is>
      </c>
      <c r="J6609" s="3" t="inlineStr">
        <is>
          <t>장군면</t>
        </is>
      </c>
    </row>
    <row r="6610">
      <c r="A6610" s="3" t="n">
        <v>2025</v>
      </c>
      <c r="B6610" s="4" t="n">
        <v>20820</v>
      </c>
      <c r="C6610" s="4" t="n">
        <v>2294.6</v>
      </c>
      <c r="D6610" s="4" t="n">
        <v>694.1165</v>
      </c>
      <c r="E6610" s="5" t="n">
        <v>30</v>
      </c>
      <c r="F6610" s="3" t="inlineStr">
        <is>
          <t>부강면</t>
        </is>
      </c>
      <c r="G6610" s="3" t="inlineStr">
        <is>
          <t>행산리</t>
        </is>
      </c>
      <c r="H6610" s="3" t="inlineStr">
        <is>
          <t>농림지역</t>
        </is>
      </c>
      <c r="I6610" s="3" t="inlineStr">
        <is>
          <t>답</t>
        </is>
      </c>
      <c r="J6610" s="3" t="inlineStr">
        <is>
          <t>부강면</t>
        </is>
      </c>
    </row>
    <row r="6611">
      <c r="A6611" s="3" t="n">
        <v>2025</v>
      </c>
      <c r="B6611" s="4" t="n">
        <v>2000</v>
      </c>
      <c r="C6611" s="4" t="n">
        <v>6615</v>
      </c>
      <c r="D6611" s="4" t="n">
        <v>2001.0375</v>
      </c>
      <c r="E6611" s="5" t="n">
        <v>1</v>
      </c>
      <c r="F6611" s="3" t="inlineStr">
        <is>
          <t>전동면</t>
        </is>
      </c>
      <c r="G6611" s="3" t="inlineStr">
        <is>
          <t>봉대리</t>
        </is>
      </c>
      <c r="H6611" s="3" t="inlineStr">
        <is>
          <t>보전관리지역</t>
        </is>
      </c>
      <c r="I6611" s="3" t="inlineStr">
        <is>
          <t>임야</t>
        </is>
      </c>
      <c r="J6611" s="3" t="inlineStr">
        <is>
          <t>전동면</t>
        </is>
      </c>
    </row>
    <row r="6612">
      <c r="A6612" s="3" t="n">
        <v>2025</v>
      </c>
      <c r="B6612" s="4" t="n">
        <v>35000</v>
      </c>
      <c r="C6612" s="4" t="n">
        <v>1465.2</v>
      </c>
      <c r="D6612" s="4" t="n">
        <v>443.223</v>
      </c>
      <c r="E6612" s="5" t="n">
        <v>79</v>
      </c>
      <c r="F6612" s="3" t="inlineStr">
        <is>
          <t>금남면</t>
        </is>
      </c>
      <c r="G6612" s="3" t="inlineStr">
        <is>
          <t>부용리</t>
        </is>
      </c>
      <c r="H6612" s="3" t="inlineStr">
        <is>
          <t>개발제한구역</t>
        </is>
      </c>
      <c r="I6612" s="3" t="inlineStr">
        <is>
          <t>답</t>
        </is>
      </c>
      <c r="J6612" s="3" t="inlineStr">
        <is>
          <t>금남면</t>
        </is>
      </c>
    </row>
    <row r="6613">
      <c r="A6613" s="3" t="n">
        <v>2025</v>
      </c>
      <c r="B6613" s="4" t="n">
        <v>65076</v>
      </c>
      <c r="C6613" s="4" t="n">
        <v>2782.1</v>
      </c>
      <c r="D6613" s="4" t="n">
        <v>841.58525</v>
      </c>
      <c r="E6613" s="5" t="n">
        <v>77.3</v>
      </c>
      <c r="F6613" s="3" t="inlineStr">
        <is>
          <t>금남면</t>
        </is>
      </c>
      <c r="G6613" s="3" t="inlineStr">
        <is>
          <t>부용리</t>
        </is>
      </c>
      <c r="H6613" s="3" t="inlineStr">
        <is>
          <t>개발제한구역</t>
        </is>
      </c>
      <c r="I6613" s="3" t="inlineStr">
        <is>
          <t>답</t>
        </is>
      </c>
      <c r="J6613" s="3" t="inlineStr">
        <is>
          <t>금남면</t>
        </is>
      </c>
    </row>
    <row r="6614">
      <c r="A6614" s="3" t="n">
        <v>2025</v>
      </c>
      <c r="B6614" s="4" t="n">
        <v>25740</v>
      </c>
      <c r="C6614" s="4" t="n">
        <v>947</v>
      </c>
      <c r="D6614" s="4" t="n">
        <v>286.4675</v>
      </c>
      <c r="E6614" s="5" t="n">
        <v>89.90000000000001</v>
      </c>
      <c r="F6614" s="3" t="inlineStr">
        <is>
          <t>장군면</t>
        </is>
      </c>
      <c r="G6614" s="3" t="inlineStr">
        <is>
          <t>봉안리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장군면</t>
        </is>
      </c>
    </row>
    <row r="6615">
      <c r="A6615" s="3" t="n">
        <v>2025</v>
      </c>
      <c r="B6615" s="4" t="n">
        <v>25460</v>
      </c>
      <c r="C6615" s="4" t="n">
        <v>443</v>
      </c>
      <c r="D6615" s="4" t="n">
        <v>134.0075</v>
      </c>
      <c r="E6615" s="5" t="n">
        <v>190</v>
      </c>
      <c r="F6615" s="3" t="inlineStr">
        <is>
          <t>연동면</t>
        </is>
      </c>
      <c r="G6615" s="3" t="inlineStr">
        <is>
          <t>송용리</t>
        </is>
      </c>
      <c r="H6615" s="3" t="inlineStr">
        <is>
          <t>보전관리지역</t>
        </is>
      </c>
      <c r="I6615" s="3" t="inlineStr">
        <is>
          <t>대</t>
        </is>
      </c>
      <c r="J6615" s="3" t="inlineStr">
        <is>
          <t>연동면</t>
        </is>
      </c>
    </row>
    <row r="6616">
      <c r="A6616" s="3" t="n">
        <v>2025</v>
      </c>
      <c r="B6616" s="4" t="n">
        <v>21080</v>
      </c>
      <c r="C6616" s="4" t="n">
        <v>1025</v>
      </c>
      <c r="D6616" s="4" t="n">
        <v>310.0625</v>
      </c>
      <c r="E6616" s="5" t="n">
        <v>68</v>
      </c>
      <c r="F6616" s="3" t="inlineStr">
        <is>
          <t>금남면</t>
        </is>
      </c>
      <c r="G6616" s="3" t="inlineStr">
        <is>
          <t>박산리</t>
        </is>
      </c>
      <c r="H6616" s="3" t="inlineStr">
        <is>
          <t>자연녹지지역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34000</v>
      </c>
      <c r="C6617" s="4" t="n">
        <v>1405</v>
      </c>
      <c r="D6617" s="4" t="n">
        <v>425.0125</v>
      </c>
      <c r="E6617" s="5" t="n">
        <v>80</v>
      </c>
      <c r="F6617" s="3" t="inlineStr">
        <is>
          <t>연서면</t>
        </is>
      </c>
      <c r="G6617" s="3" t="inlineStr">
        <is>
          <t>국촌리</t>
        </is>
      </c>
      <c r="H6617" s="3" t="inlineStr">
        <is>
          <t>농림지역</t>
        </is>
      </c>
      <c r="I6617" s="3" t="inlineStr">
        <is>
          <t>과수원</t>
        </is>
      </c>
      <c r="J6617" s="3" t="inlineStr">
        <is>
          <t>연서면</t>
        </is>
      </c>
    </row>
    <row r="6618">
      <c r="A6618" s="3" t="n">
        <v>2025</v>
      </c>
      <c r="B6618" s="4" t="n">
        <v>540</v>
      </c>
      <c r="C6618" s="4" t="n">
        <v>120</v>
      </c>
      <c r="D6618" s="4" t="n">
        <v>36.3</v>
      </c>
      <c r="E6618" s="5" t="n">
        <v>14.9</v>
      </c>
      <c r="F6618" s="3" t="inlineStr">
        <is>
          <t>소정면</t>
        </is>
      </c>
      <c r="G6618" s="3" t="inlineStr">
        <is>
          <t>운당리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소정면</t>
        </is>
      </c>
    </row>
    <row r="6619">
      <c r="A6619" s="3" t="n">
        <v>2025</v>
      </c>
      <c r="B6619" s="4" t="n">
        <v>3695</v>
      </c>
      <c r="C6619" s="4" t="n">
        <v>407</v>
      </c>
      <c r="D6619" s="4" t="n">
        <v>123.1175</v>
      </c>
      <c r="E6619" s="5" t="n">
        <v>30</v>
      </c>
      <c r="F6619" s="3" t="inlineStr">
        <is>
          <t>전동면</t>
        </is>
      </c>
      <c r="G6619" s="3" t="inlineStr">
        <is>
          <t>심중리</t>
        </is>
      </c>
      <c r="H6619" s="3" t="inlineStr">
        <is>
          <t>계획관리지역</t>
        </is>
      </c>
      <c r="I6619" s="3" t="inlineStr">
        <is>
          <t>답</t>
        </is>
      </c>
      <c r="J6619" s="3" t="inlineStr">
        <is>
          <t>전동면</t>
        </is>
      </c>
    </row>
    <row r="6620">
      <c r="A6620" s="3" t="n">
        <v>2025</v>
      </c>
      <c r="B6620" s="4" t="n">
        <v>390</v>
      </c>
      <c r="C6620" s="4" t="n">
        <v>43</v>
      </c>
      <c r="D6620" s="4" t="n">
        <v>13.0075</v>
      </c>
      <c r="E6620" s="5" t="n">
        <v>30</v>
      </c>
      <c r="F6620" s="3" t="inlineStr">
        <is>
          <t>전동면</t>
        </is>
      </c>
      <c r="G6620" s="3" t="inlineStr">
        <is>
          <t>심중리</t>
        </is>
      </c>
      <c r="H6620" s="3" t="inlineStr">
        <is>
          <t>계획관리지역</t>
        </is>
      </c>
      <c r="I6620" s="3" t="inlineStr">
        <is>
          <t>답</t>
        </is>
      </c>
      <c r="J6620" s="3" t="inlineStr">
        <is>
          <t>전동면</t>
        </is>
      </c>
    </row>
    <row r="6621">
      <c r="A6621" s="3" t="n">
        <v>2025</v>
      </c>
      <c r="B6621" s="4" t="n">
        <v>38130</v>
      </c>
      <c r="C6621" s="4" t="n">
        <v>2073</v>
      </c>
      <c r="D6621" s="4" t="n">
        <v>627.0825</v>
      </c>
      <c r="E6621" s="5" t="n">
        <v>60.8</v>
      </c>
      <c r="F6621" s="3" t="inlineStr">
        <is>
          <t>전동면</t>
        </is>
      </c>
      <c r="G6621" s="3" t="inlineStr">
        <is>
          <t>심중리</t>
        </is>
      </c>
      <c r="H6621" s="3" t="inlineStr">
        <is>
          <t>계획관리지역</t>
        </is>
      </c>
      <c r="I6621" s="3" t="inlineStr">
        <is>
          <t>답</t>
        </is>
      </c>
      <c r="J6621" s="3" t="inlineStr">
        <is>
          <t>전동면</t>
        </is>
      </c>
    </row>
    <row r="6622">
      <c r="A6622" s="3" t="n">
        <v>2025</v>
      </c>
      <c r="B6622" s="4" t="n">
        <v>2240</v>
      </c>
      <c r="C6622" s="4" t="n">
        <v>122</v>
      </c>
      <c r="D6622" s="4" t="n">
        <v>36.905</v>
      </c>
      <c r="E6622" s="5" t="n">
        <v>60.7</v>
      </c>
      <c r="F6622" s="3" t="inlineStr">
        <is>
          <t>전동면</t>
        </is>
      </c>
      <c r="G6622" s="3" t="inlineStr">
        <is>
          <t>심중리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전동면</t>
        </is>
      </c>
    </row>
    <row r="6623">
      <c r="A6623" s="3" t="n">
        <v>2025</v>
      </c>
      <c r="B6623" s="4" t="n">
        <v>7045</v>
      </c>
      <c r="C6623" s="4" t="n">
        <v>776</v>
      </c>
      <c r="D6623" s="4" t="n">
        <v>234.74</v>
      </c>
      <c r="E6623" s="5" t="n">
        <v>30</v>
      </c>
      <c r="F6623" s="3" t="inlineStr">
        <is>
          <t>전동면</t>
        </is>
      </c>
      <c r="G6623" s="3" t="inlineStr">
        <is>
          <t>심중리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전동면</t>
        </is>
      </c>
    </row>
    <row r="6624">
      <c r="A6624" s="3" t="n">
        <v>2025</v>
      </c>
      <c r="B6624" s="4" t="n">
        <v>23862</v>
      </c>
      <c r="C6624" s="4" t="n">
        <v>267.4</v>
      </c>
      <c r="D6624" s="4" t="n">
        <v>80.88849999999999</v>
      </c>
      <c r="E6624" s="5" t="n">
        <v>295</v>
      </c>
      <c r="F6624" s="3" t="inlineStr">
        <is>
          <t>전의면</t>
        </is>
      </c>
      <c r="G6624" s="3" t="inlineStr">
        <is>
          <t>읍내리</t>
        </is>
      </c>
      <c r="H6624" s="3" t="inlineStr">
        <is>
          <t>제1종일반주거지역</t>
        </is>
      </c>
      <c r="I6624" s="3" t="inlineStr">
        <is>
          <t>대</t>
        </is>
      </c>
      <c r="J6624" s="3" t="inlineStr">
        <is>
          <t>전의면</t>
        </is>
      </c>
    </row>
    <row r="6625">
      <c r="A6625" s="3" t="n">
        <v>2025</v>
      </c>
      <c r="B6625" s="4" t="n">
        <v>22275</v>
      </c>
      <c r="C6625" s="4" t="n">
        <v>249.6</v>
      </c>
      <c r="D6625" s="4" t="n">
        <v>75.50399999999999</v>
      </c>
      <c r="E6625" s="5" t="n">
        <v>295</v>
      </c>
      <c r="F6625" s="3" t="inlineStr">
        <is>
          <t>전의면</t>
        </is>
      </c>
      <c r="G6625" s="3" t="inlineStr">
        <is>
          <t>읍내리</t>
        </is>
      </c>
      <c r="H6625" s="3" t="inlineStr">
        <is>
          <t>제1종일반주거지역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2025</v>
      </c>
      <c r="B6626" s="4" t="n">
        <v>10367</v>
      </c>
      <c r="C6626" s="4" t="n">
        <v>1456</v>
      </c>
      <c r="D6626" s="4" t="n">
        <v>440.44</v>
      </c>
      <c r="E6626" s="5" t="n">
        <v>23.5</v>
      </c>
      <c r="F6626" s="3" t="inlineStr">
        <is>
          <t>남이면</t>
        </is>
      </c>
      <c r="G6626" s="3" t="inlineStr">
        <is>
          <t>산막리</t>
        </is>
      </c>
      <c r="H6626" s="3" t="inlineStr">
        <is>
          <t>생산관리지역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2025</v>
      </c>
      <c r="B6627" s="4" t="n">
        <v>360</v>
      </c>
      <c r="C6627" s="4" t="n">
        <v>390</v>
      </c>
      <c r="D6627" s="4" t="n">
        <v>117.975</v>
      </c>
      <c r="E6627" s="5" t="n">
        <v>3.1</v>
      </c>
      <c r="F6627" s="3" t="inlineStr">
        <is>
          <t>남이면</t>
        </is>
      </c>
      <c r="G6627" s="3" t="inlineStr">
        <is>
          <t>외천리</t>
        </is>
      </c>
      <c r="H6627" s="3" t="inlineStr">
        <is>
          <t>계획관리지역</t>
        </is>
      </c>
      <c r="I6627" s="3" t="inlineStr">
        <is>
          <t>임야</t>
        </is>
      </c>
      <c r="J6627" s="3" t="inlineStr">
        <is>
          <t>남이면</t>
        </is>
      </c>
    </row>
    <row r="6628">
      <c r="A6628" s="3" t="n">
        <v>2025</v>
      </c>
      <c r="B6628" s="4" t="n">
        <v>12600</v>
      </c>
      <c r="C6628" s="4" t="n">
        <v>1040</v>
      </c>
      <c r="D6628" s="4" t="n">
        <v>314.6</v>
      </c>
      <c r="E6628" s="5" t="n">
        <v>40.1</v>
      </c>
      <c r="F6628" s="3" t="inlineStr">
        <is>
          <t>현도면</t>
        </is>
      </c>
      <c r="G6628" s="3" t="inlineStr">
        <is>
          <t>선동리</t>
        </is>
      </c>
      <c r="H6628" s="3" t="inlineStr">
        <is>
          <t>계획관리지역</t>
        </is>
      </c>
      <c r="I6628" s="3" t="inlineStr">
        <is>
          <t>묘지</t>
        </is>
      </c>
      <c r="J6628" s="3" t="inlineStr">
        <is>
          <t>현도면</t>
        </is>
      </c>
    </row>
    <row r="6629">
      <c r="A6629" s="3" t="n">
        <v>2025</v>
      </c>
      <c r="B6629" s="4" t="n">
        <v>14500</v>
      </c>
      <c r="C6629" s="4" t="n">
        <v>1987</v>
      </c>
      <c r="D6629" s="4" t="n">
        <v>601.0675</v>
      </c>
      <c r="E6629" s="5" t="n">
        <v>24.1</v>
      </c>
      <c r="F6629" s="3" t="inlineStr">
        <is>
          <t>남이면</t>
        </is>
      </c>
      <c r="G6629" s="3" t="inlineStr">
        <is>
          <t>상발리</t>
        </is>
      </c>
      <c r="H6629" s="3" t="inlineStr">
        <is>
          <t>자연녹지지역</t>
        </is>
      </c>
      <c r="I6629" s="3" t="inlineStr">
        <is>
          <t>대</t>
        </is>
      </c>
      <c r="J6629" s="3" t="inlineStr">
        <is>
          <t>남이면</t>
        </is>
      </c>
    </row>
    <row r="6630">
      <c r="A6630" s="3" t="n">
        <v>2025</v>
      </c>
      <c r="B6630" s="4" t="n">
        <v>5000</v>
      </c>
      <c r="C6630" s="4" t="n">
        <v>526.8</v>
      </c>
      <c r="D6630" s="4" t="n">
        <v>159.357</v>
      </c>
      <c r="E6630" s="5" t="n">
        <v>31.4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자연녹지지역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2025</v>
      </c>
      <c r="B6631" s="4" t="n">
        <v>11500</v>
      </c>
      <c r="C6631" s="4" t="n">
        <v>1686</v>
      </c>
      <c r="D6631" s="4" t="n">
        <v>510.015</v>
      </c>
      <c r="E6631" s="5" t="n">
        <v>22.5</v>
      </c>
      <c r="F6631" s="3" t="inlineStr">
        <is>
          <t>남이면</t>
        </is>
      </c>
      <c r="G6631" s="3" t="inlineStr">
        <is>
          <t>가좌리</t>
        </is>
      </c>
      <c r="H6631" s="3" t="inlineStr">
        <is>
          <t>자연녹지지역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2025</v>
      </c>
      <c r="B6632" s="4" t="n">
        <v>94573</v>
      </c>
      <c r="C6632" s="4" t="n">
        <v>2511</v>
      </c>
      <c r="D6632" s="4" t="n">
        <v>759.5775</v>
      </c>
      <c r="E6632" s="5" t="n">
        <v>124.5</v>
      </c>
      <c r="F6632" s="3" t="inlineStr">
        <is>
          <t>남이면</t>
        </is>
      </c>
      <c r="G6632" s="3" t="inlineStr">
        <is>
          <t>구암리</t>
        </is>
      </c>
      <c r="H6632" s="3" t="inlineStr">
        <is>
          <t>보전녹지지역</t>
        </is>
      </c>
      <c r="I6632" s="3" t="inlineStr">
        <is>
          <t>임야</t>
        </is>
      </c>
      <c r="J6632" s="3" t="inlineStr">
        <is>
          <t>남이면</t>
        </is>
      </c>
    </row>
    <row r="6633">
      <c r="A6633" s="3" t="n">
        <v>2025</v>
      </c>
      <c r="B6633" s="4" t="n">
        <v>122000</v>
      </c>
      <c r="C6633" s="4" t="n">
        <v>3962</v>
      </c>
      <c r="D6633" s="4" t="n">
        <v>1198.505</v>
      </c>
      <c r="E6633" s="5" t="n">
        <v>101.8</v>
      </c>
      <c r="F6633" s="3" t="inlineStr">
        <is>
          <t>남이면</t>
        </is>
      </c>
      <c r="G6633" s="3" t="inlineStr">
        <is>
          <t>구암리</t>
        </is>
      </c>
      <c r="H6633" s="3" t="inlineStr">
        <is>
          <t>자연녹지지역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2025</v>
      </c>
      <c r="B6634" s="4" t="n">
        <v>39200</v>
      </c>
      <c r="C6634" s="4" t="n">
        <v>1499</v>
      </c>
      <c r="D6634" s="4" t="n">
        <v>453.4475</v>
      </c>
      <c r="E6634" s="5" t="n">
        <v>86.40000000000001</v>
      </c>
      <c r="F6634" s="3" t="inlineStr">
        <is>
          <t>남이면</t>
        </is>
      </c>
      <c r="G6634" s="3" t="inlineStr">
        <is>
          <t>양촌리</t>
        </is>
      </c>
      <c r="H6634" s="3" t="inlineStr">
        <is>
          <t>자연녹지지역</t>
        </is>
      </c>
      <c r="I6634" s="3" t="inlineStr">
        <is>
          <t>임야</t>
        </is>
      </c>
      <c r="J6634" s="3" t="inlineStr">
        <is>
          <t>남이면</t>
        </is>
      </c>
    </row>
    <row r="6635">
      <c r="A6635" s="3" t="n">
        <v>2025</v>
      </c>
      <c r="B6635" s="4" t="n">
        <v>20800</v>
      </c>
      <c r="C6635" s="4" t="n">
        <v>794</v>
      </c>
      <c r="D6635" s="4" t="n">
        <v>240.185</v>
      </c>
      <c r="E6635" s="5" t="n">
        <v>86.59999999999999</v>
      </c>
      <c r="F6635" s="3" t="inlineStr">
        <is>
          <t>남이면</t>
        </is>
      </c>
      <c r="G6635" s="3" t="inlineStr">
        <is>
          <t>양촌리</t>
        </is>
      </c>
      <c r="H6635" s="3" t="inlineStr">
        <is>
          <t>자연녹지지역</t>
        </is>
      </c>
      <c r="I6635" s="3" t="inlineStr">
        <is>
          <t>전</t>
        </is>
      </c>
      <c r="J6635" s="3" t="inlineStr">
        <is>
          <t>남이면</t>
        </is>
      </c>
    </row>
    <row r="6636">
      <c r="A6636" s="3" t="n">
        <v>2025</v>
      </c>
      <c r="B6636" s="4" t="n">
        <v>21000</v>
      </c>
      <c r="C6636" s="4" t="n">
        <v>4436</v>
      </c>
      <c r="D6636" s="4" t="n">
        <v>1341.89</v>
      </c>
      <c r="E6636" s="5" t="n">
        <v>15.6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계획관리지역</t>
        </is>
      </c>
      <c r="I6636" s="3" t="inlineStr">
        <is>
          <t>임야</t>
        </is>
      </c>
      <c r="J6636" s="3" t="inlineStr">
        <is>
          <t>남이면</t>
        </is>
      </c>
    </row>
    <row r="6637">
      <c r="A6637" s="3" t="n">
        <v>2025</v>
      </c>
      <c r="B6637" s="4" t="n">
        <v>43290</v>
      </c>
      <c r="C6637" s="4" t="n">
        <v>1101</v>
      </c>
      <c r="D6637" s="4" t="n">
        <v>333.0525</v>
      </c>
      <c r="E6637" s="5" t="n">
        <v>130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2025</v>
      </c>
      <c r="B6638" s="4" t="n">
        <v>7600</v>
      </c>
      <c r="C6638" s="4" t="n">
        <v>598</v>
      </c>
      <c r="D6638" s="4" t="n">
        <v>180.895</v>
      </c>
      <c r="E6638" s="5" t="n">
        <v>42</v>
      </c>
      <c r="F6638" s="3" t="inlineStr">
        <is>
          <t>남이면</t>
        </is>
      </c>
      <c r="G6638" s="3" t="inlineStr">
        <is>
          <t>문동리</t>
        </is>
      </c>
      <c r="H6638" s="3" t="inlineStr">
        <is>
          <t>자연환경보전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2025</v>
      </c>
      <c r="B6639" s="4" t="n">
        <v>45540</v>
      </c>
      <c r="C6639" s="4" t="n">
        <v>689</v>
      </c>
      <c r="D6639" s="4" t="n">
        <v>208.4225</v>
      </c>
      <c r="E6639" s="5" t="n">
        <v>218.5</v>
      </c>
      <c r="F6639" s="3" t="inlineStr">
        <is>
          <t>남이면</t>
        </is>
      </c>
      <c r="G6639" s="3" t="inlineStr">
        <is>
          <t>석판리</t>
        </is>
      </c>
      <c r="H6639" s="3" t="inlineStr">
        <is>
          <t>자연녹지지역</t>
        </is>
      </c>
      <c r="I6639" s="3" t="inlineStr">
        <is>
          <t>대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851</v>
      </c>
      <c r="D6640" s="4" t="n">
        <v>257.4275</v>
      </c>
      <c r="E6640" s="5" t="n">
        <v>132.1</v>
      </c>
      <c r="F6640" s="3" t="inlineStr">
        <is>
          <t>남이면</t>
        </is>
      </c>
      <c r="G6640" s="3" t="inlineStr">
        <is>
          <t>양촌리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2495</v>
      </c>
      <c r="C6641" s="4" t="n">
        <v>66</v>
      </c>
      <c r="D6641" s="4" t="n">
        <v>19.965</v>
      </c>
      <c r="E6641" s="5" t="n">
        <v>125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대</t>
        </is>
      </c>
      <c r="J6641" s="3" t="inlineStr">
        <is>
          <t>남이면</t>
        </is>
      </c>
    </row>
    <row r="6642">
      <c r="A6642" s="3" t="n">
        <v>2025</v>
      </c>
      <c r="B6642" s="4" t="n">
        <v>3637</v>
      </c>
      <c r="C6642" s="4" t="n">
        <v>717</v>
      </c>
      <c r="D6642" s="4" t="n">
        <v>216.8925</v>
      </c>
      <c r="E6642" s="5" t="n">
        <v>16.8</v>
      </c>
      <c r="F6642" s="3" t="inlineStr">
        <is>
          <t>현도면</t>
        </is>
      </c>
      <c r="G6642" s="3" t="inlineStr">
        <is>
          <t>죽암리</t>
        </is>
      </c>
      <c r="H6642" s="3" t="inlineStr">
        <is>
          <t>생산관리지역</t>
        </is>
      </c>
      <c r="I6642" s="3" t="inlineStr">
        <is>
          <t>답</t>
        </is>
      </c>
      <c r="J6642" s="3" t="inlineStr">
        <is>
          <t>현도면</t>
        </is>
      </c>
    </row>
    <row r="6643">
      <c r="A6643" s="3" t="n">
        <v>2025</v>
      </c>
      <c r="B6643" s="4" t="n">
        <v>3511</v>
      </c>
      <c r="C6643" s="4" t="n">
        <v>700</v>
      </c>
      <c r="D6643" s="4" t="n">
        <v>211.75</v>
      </c>
      <c r="E6643" s="5" t="n">
        <v>16.6</v>
      </c>
      <c r="F6643" s="3" t="inlineStr">
        <is>
          <t>현도면</t>
        </is>
      </c>
      <c r="G6643" s="3" t="inlineStr">
        <is>
          <t>죽암리</t>
        </is>
      </c>
      <c r="H6643" s="3" t="inlineStr">
        <is>
          <t>생산관리지역</t>
        </is>
      </c>
      <c r="I6643" s="3" t="inlineStr">
        <is>
          <t>답</t>
        </is>
      </c>
      <c r="J6643" s="3" t="inlineStr">
        <is>
          <t>현도면</t>
        </is>
      </c>
    </row>
    <row r="6644">
      <c r="A6644" s="3" t="n">
        <v>2025</v>
      </c>
      <c r="B6644" s="4" t="n">
        <v>3247</v>
      </c>
      <c r="C6644" s="4" t="n">
        <v>655</v>
      </c>
      <c r="D6644" s="4" t="n">
        <v>198.1375</v>
      </c>
      <c r="E6644" s="5" t="n">
        <v>16.4</v>
      </c>
      <c r="F6644" s="3" t="inlineStr">
        <is>
          <t>현도면</t>
        </is>
      </c>
      <c r="G6644" s="3" t="inlineStr">
        <is>
          <t>죽암리</t>
        </is>
      </c>
      <c r="H6644" s="3" t="inlineStr">
        <is>
          <t>생산관리지역</t>
        </is>
      </c>
      <c r="I6644" s="3" t="inlineStr">
        <is>
          <t>답</t>
        </is>
      </c>
      <c r="J6644" s="3" t="inlineStr">
        <is>
          <t>현도면</t>
        </is>
      </c>
    </row>
    <row r="6645">
      <c r="A6645" s="3" t="n">
        <v>2024</v>
      </c>
      <c r="B6645" s="4" t="n">
        <v>422</v>
      </c>
      <c r="C6645" s="4" t="n">
        <v>6</v>
      </c>
      <c r="D6645" s="4" t="n">
        <v>1.815</v>
      </c>
      <c r="E6645" s="5" t="n">
        <v>232.5</v>
      </c>
      <c r="F6645" s="3" t="inlineStr">
        <is>
          <t>장군면</t>
        </is>
      </c>
      <c r="G6645" s="3" t="inlineStr">
        <is>
          <t>산학리</t>
        </is>
      </c>
      <c r="H6645" s="3" t="inlineStr">
        <is>
          <t>계획관리지역</t>
        </is>
      </c>
      <c r="I6645" s="3" t="inlineStr">
        <is>
          <t>도로</t>
        </is>
      </c>
      <c r="J6645" s="3" t="inlineStr">
        <is>
          <t>장군면</t>
        </is>
      </c>
    </row>
    <row r="6646">
      <c r="A6646" s="3" t="n">
        <v>2024</v>
      </c>
      <c r="B6646" s="4" t="n">
        <v>2575</v>
      </c>
      <c r="C6646" s="4" t="n">
        <v>37</v>
      </c>
      <c r="D6646" s="4" t="n">
        <v>11.1925</v>
      </c>
      <c r="E6646" s="5" t="n">
        <v>230.1</v>
      </c>
      <c r="F6646" s="3" t="inlineStr">
        <is>
          <t>장군면</t>
        </is>
      </c>
      <c r="G6646" s="3" t="inlineStr">
        <is>
          <t>산학리</t>
        </is>
      </c>
      <c r="H6646" s="3" t="inlineStr">
        <is>
          <t>계획관리지역</t>
        </is>
      </c>
      <c r="I6646" s="3" t="inlineStr">
        <is>
          <t>도로</t>
        </is>
      </c>
      <c r="J6646" s="3" t="inlineStr">
        <is>
          <t>장군면</t>
        </is>
      </c>
    </row>
    <row r="6647">
      <c r="A6647" s="3" t="n">
        <v>2024</v>
      </c>
      <c r="B6647" s="4" t="n">
        <v>45310</v>
      </c>
      <c r="C6647" s="4" t="n">
        <v>651</v>
      </c>
      <c r="D6647" s="4" t="n">
        <v>196.9275</v>
      </c>
      <c r="E6647" s="5" t="n">
        <v>230.1</v>
      </c>
      <c r="F6647" s="3" t="inlineStr">
        <is>
          <t>장군면</t>
        </is>
      </c>
      <c r="G6647" s="3" t="inlineStr">
        <is>
          <t>산학리</t>
        </is>
      </c>
      <c r="H6647" s="3" t="inlineStr">
        <is>
          <t>계획관리지역</t>
        </is>
      </c>
      <c r="I6647" s="3" t="inlineStr">
        <is>
          <t>도로</t>
        </is>
      </c>
      <c r="J6647" s="3" t="inlineStr">
        <is>
          <t>장군면</t>
        </is>
      </c>
    </row>
    <row r="6648">
      <c r="A6648" s="3" t="n">
        <v>2024</v>
      </c>
      <c r="B6648" s="4" t="n">
        <v>46500</v>
      </c>
      <c r="C6648" s="4" t="n">
        <v>329.9</v>
      </c>
      <c r="D6648" s="4" t="n">
        <v>99.79474999999999</v>
      </c>
      <c r="E6648" s="5" t="n">
        <v>466</v>
      </c>
      <c r="F6648" s="3" t="inlineStr">
        <is>
          <t>고운동</t>
        </is>
      </c>
      <c r="G6648" s="3" t="inlineStr"/>
      <c r="H6648" s="3" t="inlineStr">
        <is>
          <t>제1종전용주거지역</t>
        </is>
      </c>
      <c r="I6648" s="3" t="inlineStr">
        <is>
          <t>대</t>
        </is>
      </c>
      <c r="J6648" s="3" t="inlineStr">
        <is>
          <t>고운동</t>
        </is>
      </c>
    </row>
    <row r="6649">
      <c r="A6649" s="3" t="n">
        <v>2024</v>
      </c>
      <c r="B6649" s="4" t="n">
        <v>17837</v>
      </c>
      <c r="C6649" s="4" t="n">
        <v>282</v>
      </c>
      <c r="D6649" s="4" t="n">
        <v>85.30499999999999</v>
      </c>
      <c r="E6649" s="5" t="n">
        <v>209.1</v>
      </c>
      <c r="F6649" s="3" t="inlineStr">
        <is>
          <t>조치원읍</t>
        </is>
      </c>
      <c r="G6649" s="3" t="inlineStr">
        <is>
          <t>번암리</t>
        </is>
      </c>
      <c r="H6649" s="3" t="inlineStr">
        <is>
          <t>일반공업지역</t>
        </is>
      </c>
      <c r="I6649" s="3" t="inlineStr">
        <is>
          <t>답</t>
        </is>
      </c>
      <c r="J6649" s="3" t="inlineStr">
        <is>
          <t>조치원읍</t>
        </is>
      </c>
    </row>
    <row r="6650">
      <c r="A6650" s="3" t="n">
        <v>2024</v>
      </c>
      <c r="B6650" s="4" t="n">
        <v>2024</v>
      </c>
      <c r="C6650" s="4" t="n">
        <v>32</v>
      </c>
      <c r="D6650" s="4" t="n">
        <v>9.68</v>
      </c>
      <c r="E6650" s="5" t="n">
        <v>209.1</v>
      </c>
      <c r="F6650" s="3" t="inlineStr">
        <is>
          <t>조치원읍</t>
        </is>
      </c>
      <c r="G6650" s="3" t="inlineStr">
        <is>
          <t>번암리</t>
        </is>
      </c>
      <c r="H6650" s="3" t="inlineStr">
        <is>
          <t>일반공업지역</t>
        </is>
      </c>
      <c r="I6650" s="3" t="inlineStr">
        <is>
          <t>답</t>
        </is>
      </c>
      <c r="J6650" s="3" t="inlineStr">
        <is>
          <t>조치원읍</t>
        </is>
      </c>
    </row>
    <row r="6651">
      <c r="A6651" s="3" t="n">
        <v>2024</v>
      </c>
      <c r="B6651" s="4" t="n">
        <v>2593</v>
      </c>
      <c r="C6651" s="4" t="n">
        <v>41</v>
      </c>
      <c r="D6651" s="4" t="n">
        <v>12.4025</v>
      </c>
      <c r="E6651" s="5" t="n">
        <v>209.1</v>
      </c>
      <c r="F6651" s="3" t="inlineStr">
        <is>
          <t>조치원읍</t>
        </is>
      </c>
      <c r="G6651" s="3" t="inlineStr">
        <is>
          <t>번암리</t>
        </is>
      </c>
      <c r="H6651" s="3" t="inlineStr">
        <is>
          <t>일반공업지역</t>
        </is>
      </c>
      <c r="I6651" s="3" t="inlineStr">
        <is>
          <t>답</t>
        </is>
      </c>
      <c r="J6651" s="3" t="inlineStr">
        <is>
          <t>조치원읍</t>
        </is>
      </c>
    </row>
    <row r="6652">
      <c r="A6652" s="3" t="n">
        <v>2024</v>
      </c>
      <c r="B6652" s="4" t="n">
        <v>15876</v>
      </c>
      <c r="C6652" s="4" t="n">
        <v>251</v>
      </c>
      <c r="D6652" s="4" t="n">
        <v>75.92749999999999</v>
      </c>
      <c r="E6652" s="5" t="n">
        <v>209.1</v>
      </c>
      <c r="F6652" s="3" t="inlineStr">
        <is>
          <t>조치원읍</t>
        </is>
      </c>
      <c r="G6652" s="3" t="inlineStr">
        <is>
          <t>번암리</t>
        </is>
      </c>
      <c r="H6652" s="3" t="inlineStr">
        <is>
          <t>일반공업지역</t>
        </is>
      </c>
      <c r="I6652" s="3" t="inlineStr">
        <is>
          <t>답</t>
        </is>
      </c>
      <c r="J6652" s="3" t="inlineStr">
        <is>
          <t>조치원읍</t>
        </is>
      </c>
    </row>
    <row r="6653">
      <c r="A6653" s="3" t="n">
        <v>2024</v>
      </c>
      <c r="B6653" s="4" t="n">
        <v>4491</v>
      </c>
      <c r="C6653" s="4" t="n">
        <v>71</v>
      </c>
      <c r="D6653" s="4" t="n">
        <v>21.4775</v>
      </c>
      <c r="E6653" s="5" t="n">
        <v>209.1</v>
      </c>
      <c r="F6653" s="3" t="inlineStr">
        <is>
          <t>조치원읍</t>
        </is>
      </c>
      <c r="G6653" s="3" t="inlineStr">
        <is>
          <t>번암리</t>
        </is>
      </c>
      <c r="H6653" s="3" t="inlineStr">
        <is>
          <t>일반공업지역</t>
        </is>
      </c>
      <c r="I6653" s="3" t="inlineStr">
        <is>
          <t>답</t>
        </is>
      </c>
      <c r="J6653" s="3" t="inlineStr">
        <is>
          <t>조치원읍</t>
        </is>
      </c>
    </row>
    <row r="6654">
      <c r="A6654" s="3" t="n">
        <v>2024</v>
      </c>
      <c r="B6654" s="4" t="n">
        <v>4301</v>
      </c>
      <c r="C6654" s="4" t="n">
        <v>68</v>
      </c>
      <c r="D6654" s="4" t="n">
        <v>20.57</v>
      </c>
      <c r="E6654" s="5" t="n">
        <v>209.1</v>
      </c>
      <c r="F6654" s="3" t="inlineStr">
        <is>
          <t>조치원읍</t>
        </is>
      </c>
      <c r="G6654" s="3" t="inlineStr">
        <is>
          <t>번암리</t>
        </is>
      </c>
      <c r="H6654" s="3" t="inlineStr">
        <is>
          <t>일반공업지역</t>
        </is>
      </c>
      <c r="I6654" s="3" t="inlineStr">
        <is>
          <t>답</t>
        </is>
      </c>
      <c r="J6654" s="3" t="inlineStr">
        <is>
          <t>조치원읍</t>
        </is>
      </c>
    </row>
    <row r="6655">
      <c r="A6655" s="3" t="n">
        <v>2024</v>
      </c>
      <c r="B6655" s="4" t="n">
        <v>1392</v>
      </c>
      <c r="C6655" s="4" t="n">
        <v>22</v>
      </c>
      <c r="D6655" s="4" t="n">
        <v>6.654999999999999</v>
      </c>
      <c r="E6655" s="5" t="n">
        <v>209.2</v>
      </c>
      <c r="F6655" s="3" t="inlineStr">
        <is>
          <t>조치원읍</t>
        </is>
      </c>
      <c r="G6655" s="3" t="inlineStr">
        <is>
          <t>번암리</t>
        </is>
      </c>
      <c r="H6655" s="3" t="inlineStr">
        <is>
          <t>일반공업지역</t>
        </is>
      </c>
      <c r="I6655" s="3" t="inlineStr">
        <is>
          <t>답</t>
        </is>
      </c>
      <c r="J6655" s="3" t="inlineStr">
        <is>
          <t>조치원읍</t>
        </is>
      </c>
    </row>
    <row r="6656">
      <c r="A6656" s="3" t="n">
        <v>2024</v>
      </c>
      <c r="B6656" s="4" t="n">
        <v>2657</v>
      </c>
      <c r="C6656" s="4" t="n">
        <v>42</v>
      </c>
      <c r="D6656" s="4" t="n">
        <v>12.705</v>
      </c>
      <c r="E6656" s="5" t="n">
        <v>209.1</v>
      </c>
      <c r="F6656" s="3" t="inlineStr">
        <is>
          <t>조치원읍</t>
        </is>
      </c>
      <c r="G6656" s="3" t="inlineStr">
        <is>
          <t>번암리</t>
        </is>
      </c>
      <c r="H6656" s="3" t="inlineStr">
        <is>
          <t>일반공업지역</t>
        </is>
      </c>
      <c r="I6656" s="3" t="inlineStr">
        <is>
          <t>답</t>
        </is>
      </c>
      <c r="J6656" s="3" t="inlineStr">
        <is>
          <t>조치원읍</t>
        </is>
      </c>
    </row>
    <row r="6657">
      <c r="A6657" s="3" t="n">
        <v>2024</v>
      </c>
      <c r="B6657" s="4" t="n">
        <v>7527</v>
      </c>
      <c r="C6657" s="4" t="n">
        <v>119</v>
      </c>
      <c r="D6657" s="4" t="n">
        <v>35.9975</v>
      </c>
      <c r="E6657" s="5" t="n">
        <v>209.1</v>
      </c>
      <c r="F6657" s="3" t="inlineStr">
        <is>
          <t>조치원읍</t>
        </is>
      </c>
      <c r="G6657" s="3" t="inlineStr">
        <is>
          <t>번암리</t>
        </is>
      </c>
      <c r="H6657" s="3" t="inlineStr">
        <is>
          <t>일반공업지역</t>
        </is>
      </c>
      <c r="I6657" s="3" t="inlineStr">
        <is>
          <t>답</t>
        </is>
      </c>
      <c r="J6657" s="3" t="inlineStr">
        <is>
          <t>조치원읍</t>
        </is>
      </c>
    </row>
    <row r="6658">
      <c r="A6658" s="3" t="n">
        <v>2024</v>
      </c>
      <c r="B6658" s="4" t="n">
        <v>3416</v>
      </c>
      <c r="C6658" s="4" t="n">
        <v>54</v>
      </c>
      <c r="D6658" s="4" t="n">
        <v>16.335</v>
      </c>
      <c r="E6658" s="5" t="n">
        <v>209.1</v>
      </c>
      <c r="F6658" s="3" t="inlineStr">
        <is>
          <t>조치원읍</t>
        </is>
      </c>
      <c r="G6658" s="3" t="inlineStr">
        <is>
          <t>번암리</t>
        </is>
      </c>
      <c r="H6658" s="3" t="inlineStr">
        <is>
          <t>일반공업지역</t>
        </is>
      </c>
      <c r="I6658" s="3" t="inlineStr">
        <is>
          <t>답</t>
        </is>
      </c>
      <c r="J6658" s="3" t="inlineStr">
        <is>
          <t>조치원읍</t>
        </is>
      </c>
    </row>
    <row r="6659">
      <c r="A6659" s="3" t="n">
        <v>2024</v>
      </c>
      <c r="B6659" s="4" t="n">
        <v>949</v>
      </c>
      <c r="C6659" s="4" t="n">
        <v>15</v>
      </c>
      <c r="D6659" s="4" t="n">
        <v>4.5375</v>
      </c>
      <c r="E6659" s="5" t="n">
        <v>209.1</v>
      </c>
      <c r="F6659" s="3" t="inlineStr">
        <is>
          <t>조치원읍</t>
        </is>
      </c>
      <c r="G6659" s="3" t="inlineStr">
        <is>
          <t>번암리</t>
        </is>
      </c>
      <c r="H6659" s="3" t="inlineStr">
        <is>
          <t>일반공업지역</t>
        </is>
      </c>
      <c r="I6659" s="3" t="inlineStr">
        <is>
          <t>답</t>
        </is>
      </c>
      <c r="J6659" s="3" t="inlineStr">
        <is>
          <t>조치원읍</t>
        </is>
      </c>
    </row>
    <row r="6660">
      <c r="A6660" s="3" t="n">
        <v>2024</v>
      </c>
      <c r="B6660" s="4" t="n">
        <v>9849</v>
      </c>
      <c r="C6660" s="4" t="n">
        <v>148</v>
      </c>
      <c r="D6660" s="4" t="n">
        <v>44.77</v>
      </c>
      <c r="E6660" s="5" t="n">
        <v>220</v>
      </c>
      <c r="F6660" s="3" t="inlineStr">
        <is>
          <t>조치원읍</t>
        </is>
      </c>
      <c r="G6660" s="3" t="inlineStr">
        <is>
          <t>번암리</t>
        </is>
      </c>
      <c r="H6660" s="3" t="inlineStr">
        <is>
          <t>일반공업지역</t>
        </is>
      </c>
      <c r="I6660" s="3" t="inlineStr">
        <is>
          <t>공장용지</t>
        </is>
      </c>
      <c r="J6660" s="3" t="inlineStr">
        <is>
          <t>조치원읍</t>
        </is>
      </c>
    </row>
    <row r="6661">
      <c r="A6661" s="3" t="n">
        <v>2024</v>
      </c>
      <c r="B6661" s="4" t="n">
        <v>35026</v>
      </c>
      <c r="C6661" s="4" t="n">
        <v>500</v>
      </c>
      <c r="D6661" s="4" t="n">
        <v>151.25</v>
      </c>
      <c r="E6661" s="5" t="n">
        <v>231.6</v>
      </c>
      <c r="F6661" s="3" t="inlineStr">
        <is>
          <t>장군면</t>
        </is>
      </c>
      <c r="G6661" s="3" t="inlineStr">
        <is>
          <t>대교리</t>
        </is>
      </c>
      <c r="H6661" s="3" t="inlineStr">
        <is>
          <t>보전관리지역</t>
        </is>
      </c>
      <c r="I6661" s="3" t="inlineStr">
        <is>
          <t>대</t>
        </is>
      </c>
      <c r="J6661" s="3" t="inlineStr">
        <is>
          <t>장군면</t>
        </is>
      </c>
    </row>
    <row r="6662">
      <c r="A6662" s="3" t="n">
        <v>2024</v>
      </c>
      <c r="B6662" s="4" t="n">
        <v>2228</v>
      </c>
      <c r="C6662" s="4" t="n">
        <v>79</v>
      </c>
      <c r="D6662" s="4" t="n">
        <v>23.8975</v>
      </c>
      <c r="E6662" s="5" t="n">
        <v>93.2</v>
      </c>
      <c r="F6662" s="3" t="inlineStr">
        <is>
          <t>소정면</t>
        </is>
      </c>
      <c r="G6662" s="3" t="inlineStr">
        <is>
          <t>소정리</t>
        </is>
      </c>
      <c r="H6662" s="3" t="inlineStr">
        <is>
          <t>계획관리지역</t>
        </is>
      </c>
      <c r="I6662" s="3" t="inlineStr">
        <is>
          <t>대</t>
        </is>
      </c>
      <c r="J6662" s="3" t="inlineStr">
        <is>
          <t>소정면</t>
        </is>
      </c>
    </row>
    <row r="6663">
      <c r="A6663" s="3" t="n">
        <v>2024</v>
      </c>
      <c r="B6663" s="4" t="n">
        <v>26800</v>
      </c>
      <c r="C6663" s="4" t="n">
        <v>1265</v>
      </c>
      <c r="D6663" s="4" t="n">
        <v>382.6625</v>
      </c>
      <c r="E6663" s="5" t="n">
        <v>70</v>
      </c>
      <c r="F6663" s="3" t="inlineStr">
        <is>
          <t>금남면</t>
        </is>
      </c>
      <c r="G6663" s="3" t="inlineStr">
        <is>
          <t>남곡리</t>
        </is>
      </c>
      <c r="H6663" s="3" t="inlineStr">
        <is>
          <t>개발제한구역</t>
        </is>
      </c>
      <c r="I6663" s="3" t="inlineStr">
        <is>
          <t>답</t>
        </is>
      </c>
      <c r="J6663" s="3" t="inlineStr">
        <is>
          <t>금남면</t>
        </is>
      </c>
    </row>
    <row r="6664">
      <c r="A6664" s="3" t="n">
        <v>2024</v>
      </c>
      <c r="B6664" s="4" t="n">
        <v>20500</v>
      </c>
      <c r="C6664" s="4" t="n">
        <v>1045</v>
      </c>
      <c r="D6664" s="4" t="n">
        <v>316.1125</v>
      </c>
      <c r="E6664" s="5" t="n">
        <v>64.90000000000001</v>
      </c>
      <c r="F6664" s="3" t="inlineStr">
        <is>
          <t>금남면</t>
        </is>
      </c>
      <c r="G6664" s="3" t="inlineStr">
        <is>
          <t>영대리</t>
        </is>
      </c>
      <c r="H6664" s="3" t="inlineStr">
        <is>
          <t>개발제한구역</t>
        </is>
      </c>
      <c r="I6664" s="3" t="inlineStr">
        <is>
          <t>전</t>
        </is>
      </c>
      <c r="J6664" s="3" t="inlineStr">
        <is>
          <t>금남면</t>
        </is>
      </c>
    </row>
    <row r="6665">
      <c r="A6665" s="3" t="n">
        <v>2024</v>
      </c>
      <c r="B6665" s="4" t="n">
        <v>11610</v>
      </c>
      <c r="C6665" s="4" t="n">
        <v>479</v>
      </c>
      <c r="D6665" s="4" t="n">
        <v>144.8975</v>
      </c>
      <c r="E6665" s="5" t="n">
        <v>80.09999999999999</v>
      </c>
      <c r="F6665" s="3" t="inlineStr">
        <is>
          <t>연기면</t>
        </is>
      </c>
      <c r="G6665" s="3" t="inlineStr">
        <is>
          <t>수산리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연기면</t>
        </is>
      </c>
    </row>
    <row r="6666">
      <c r="A6666" s="3" t="n">
        <v>2023</v>
      </c>
      <c r="B6666" s="4" t="n">
        <v>10000</v>
      </c>
      <c r="C6666" s="4" t="n">
        <v>2889</v>
      </c>
      <c r="D6666" s="4" t="n">
        <v>873.9225</v>
      </c>
      <c r="E6666" s="5" t="n">
        <v>11.4</v>
      </c>
      <c r="F6666" s="3" t="inlineStr">
        <is>
          <t>소정면</t>
        </is>
      </c>
      <c r="G6666" s="3" t="inlineStr">
        <is>
          <t>고등리</t>
        </is>
      </c>
      <c r="H6666" s="3" t="inlineStr">
        <is>
          <t>농림지역</t>
        </is>
      </c>
      <c r="I6666" s="3" t="inlineStr">
        <is>
          <t>임야</t>
        </is>
      </c>
      <c r="J6666" s="3" t="inlineStr">
        <is>
          <t>소정면</t>
        </is>
      </c>
    </row>
    <row r="6667">
      <c r="A6667" s="3" t="n">
        <v>2023</v>
      </c>
      <c r="B6667" s="4" t="n">
        <v>1432</v>
      </c>
      <c r="C6667" s="4" t="n">
        <v>47</v>
      </c>
      <c r="D6667" s="4" t="n">
        <v>14.2175</v>
      </c>
      <c r="E6667" s="5" t="n">
        <v>100.7</v>
      </c>
      <c r="F6667" s="3" t="inlineStr">
        <is>
          <t>소정면</t>
        </is>
      </c>
      <c r="G6667" s="3" t="inlineStr">
        <is>
          <t>대곡리</t>
        </is>
      </c>
      <c r="H6667" s="3" t="inlineStr">
        <is>
          <t>계획관리지역</t>
        </is>
      </c>
      <c r="I6667" s="3" t="inlineStr">
        <is>
          <t>주차장</t>
        </is>
      </c>
      <c r="J6667" s="3" t="inlineStr">
        <is>
          <t>소정면</t>
        </is>
      </c>
    </row>
    <row r="6668">
      <c r="A6668" s="3" t="n">
        <v>2023</v>
      </c>
      <c r="B6668" s="4" t="n">
        <v>20442</v>
      </c>
      <c r="C6668" s="4" t="n">
        <v>795</v>
      </c>
      <c r="D6668" s="4" t="n">
        <v>240.4875</v>
      </c>
      <c r="E6668" s="5" t="n">
        <v>85</v>
      </c>
      <c r="F6668" s="3" t="inlineStr">
        <is>
          <t>소정면</t>
        </is>
      </c>
      <c r="G6668" s="3" t="inlineStr">
        <is>
          <t>대곡리</t>
        </is>
      </c>
      <c r="H6668" s="3" t="inlineStr">
        <is>
          <t>계획관리지역</t>
        </is>
      </c>
      <c r="I6668" s="3" t="inlineStr">
        <is>
          <t>답</t>
        </is>
      </c>
      <c r="J6668" s="3" t="inlineStr">
        <is>
          <t>소정면</t>
        </is>
      </c>
    </row>
    <row r="6669">
      <c r="A6669" s="3" t="n">
        <v>2023</v>
      </c>
      <c r="B6669" s="4" t="n">
        <v>9627</v>
      </c>
      <c r="C6669" s="4" t="n">
        <v>316</v>
      </c>
      <c r="D6669" s="4" t="n">
        <v>95.59</v>
      </c>
      <c r="E6669" s="5" t="n">
        <v>100.7</v>
      </c>
      <c r="F6669" s="3" t="inlineStr">
        <is>
          <t>소정면</t>
        </is>
      </c>
      <c r="G6669" s="3" t="inlineStr">
        <is>
          <t>대곡리</t>
        </is>
      </c>
      <c r="H6669" s="3" t="inlineStr">
        <is>
          <t>계획관리지역</t>
        </is>
      </c>
      <c r="I6669" s="3" t="inlineStr">
        <is>
          <t>주차장</t>
        </is>
      </c>
      <c r="J6669" s="3" t="inlineStr">
        <is>
          <t>소정면</t>
        </is>
      </c>
    </row>
    <row r="6670">
      <c r="A6670" s="3" t="n">
        <v>2023</v>
      </c>
      <c r="B6670" s="4" t="n">
        <v>18332</v>
      </c>
      <c r="C6670" s="4" t="n">
        <v>404</v>
      </c>
      <c r="D6670" s="4" t="n">
        <v>122.21</v>
      </c>
      <c r="E6670" s="5" t="n">
        <v>150</v>
      </c>
      <c r="F6670" s="3" t="inlineStr">
        <is>
          <t>연기면</t>
        </is>
      </c>
      <c r="G6670" s="3" t="inlineStr">
        <is>
          <t>수산리</t>
        </is>
      </c>
      <c r="H6670" s="3" t="inlineStr">
        <is>
          <t>보전관리지역</t>
        </is>
      </c>
      <c r="I6670" s="3" t="inlineStr">
        <is>
          <t>임야</t>
        </is>
      </c>
      <c r="J6670" s="3" t="inlineStr">
        <is>
          <t>연기면</t>
        </is>
      </c>
    </row>
    <row r="6671">
      <c r="A6671" s="3" t="n">
        <v>2023</v>
      </c>
      <c r="B6671" s="4" t="n">
        <v>40300</v>
      </c>
      <c r="C6671" s="4" t="n">
        <v>277.8</v>
      </c>
      <c r="D6671" s="4" t="n">
        <v>84.03449999999999</v>
      </c>
      <c r="E6671" s="5" t="n">
        <v>479.6</v>
      </c>
      <c r="F6671" s="3" t="inlineStr">
        <is>
          <t>한솔동</t>
        </is>
      </c>
      <c r="G6671" s="3" t="inlineStr"/>
      <c r="H6671" s="3" t="inlineStr">
        <is>
          <t>제1종전용주거지역</t>
        </is>
      </c>
      <c r="I6671" s="3" t="inlineStr">
        <is>
          <t>대</t>
        </is>
      </c>
      <c r="J6671" s="3" t="inlineStr">
        <is>
          <t>한솔동</t>
        </is>
      </c>
    </row>
    <row r="6672">
      <c r="A6672" s="3" t="n">
        <v>2023</v>
      </c>
      <c r="B6672" s="4" t="n">
        <v>7916</v>
      </c>
      <c r="C6672" s="4" t="n">
        <v>237</v>
      </c>
      <c r="D6672" s="4" t="n">
        <v>71.6925</v>
      </c>
      <c r="E6672" s="5" t="n">
        <v>110.4</v>
      </c>
      <c r="F6672" s="3" t="inlineStr">
        <is>
          <t>장군면</t>
        </is>
      </c>
      <c r="G6672" s="3" t="inlineStr">
        <is>
          <t>금암리</t>
        </is>
      </c>
      <c r="H6672" s="3" t="inlineStr">
        <is>
          <t>보전관리지역</t>
        </is>
      </c>
      <c r="I6672" s="3" t="inlineStr">
        <is>
          <t>도로</t>
        </is>
      </c>
      <c r="J6672" s="3" t="inlineStr">
        <is>
          <t>장군면</t>
        </is>
      </c>
    </row>
    <row r="6673">
      <c r="A6673" s="3" t="n">
        <v>2023</v>
      </c>
      <c r="B6673" s="4" t="n">
        <v>3774</v>
      </c>
      <c r="C6673" s="4" t="n">
        <v>113</v>
      </c>
      <c r="D6673" s="4" t="n">
        <v>34.1825</v>
      </c>
      <c r="E6673" s="5" t="n">
        <v>110.4</v>
      </c>
      <c r="F6673" s="3" t="inlineStr">
        <is>
          <t>장군면</t>
        </is>
      </c>
      <c r="G6673" s="3" t="inlineStr">
        <is>
          <t>금암리</t>
        </is>
      </c>
      <c r="H6673" s="3" t="inlineStr">
        <is>
          <t>보전관리지역</t>
        </is>
      </c>
      <c r="I6673" s="3" t="inlineStr">
        <is>
          <t>대</t>
        </is>
      </c>
      <c r="J6673" s="3" t="inlineStr">
        <is>
          <t>장군면</t>
        </is>
      </c>
    </row>
    <row r="6674">
      <c r="A6674" s="3" t="n">
        <v>2023</v>
      </c>
      <c r="B6674" s="4" t="n">
        <v>67</v>
      </c>
      <c r="C6674" s="4" t="n">
        <v>2</v>
      </c>
      <c r="D6674" s="4" t="n">
        <v>0.605</v>
      </c>
      <c r="E6674" s="5" t="n">
        <v>110.7</v>
      </c>
      <c r="F6674" s="3" t="inlineStr">
        <is>
          <t>장군면</t>
        </is>
      </c>
      <c r="G6674" s="3" t="inlineStr">
        <is>
          <t>금암리</t>
        </is>
      </c>
      <c r="H6674" s="3" t="inlineStr">
        <is>
          <t>보전관리지역</t>
        </is>
      </c>
      <c r="I6674" s="3" t="inlineStr">
        <is>
          <t>대</t>
        </is>
      </c>
      <c r="J6674" s="3" t="inlineStr">
        <is>
          <t>장군면</t>
        </is>
      </c>
    </row>
    <row r="6675">
      <c r="A6675" s="3" t="n">
        <v>2023</v>
      </c>
      <c r="B6675" s="4" t="n">
        <v>668</v>
      </c>
      <c r="C6675" s="4" t="n">
        <v>20</v>
      </c>
      <c r="D6675" s="4" t="n">
        <v>6.05</v>
      </c>
      <c r="E6675" s="5" t="n">
        <v>110.4</v>
      </c>
      <c r="F6675" s="3" t="inlineStr">
        <is>
          <t>장군면</t>
        </is>
      </c>
      <c r="G6675" s="3" t="inlineStr">
        <is>
          <t>금암리</t>
        </is>
      </c>
      <c r="H6675" s="3" t="inlineStr">
        <is>
          <t>보전관리지역</t>
        </is>
      </c>
      <c r="I6675" s="3" t="inlineStr">
        <is>
          <t>도로</t>
        </is>
      </c>
      <c r="J6675" s="3" t="inlineStr">
        <is>
          <t>장군면</t>
        </is>
      </c>
    </row>
    <row r="6676">
      <c r="A6676" s="3" t="n">
        <v>2023</v>
      </c>
      <c r="B6676" s="4" t="n">
        <v>22244</v>
      </c>
      <c r="C6676" s="4" t="n">
        <v>666</v>
      </c>
      <c r="D6676" s="4" t="n">
        <v>201.465</v>
      </c>
      <c r="E6676" s="5" t="n">
        <v>110.4</v>
      </c>
      <c r="F6676" s="3" t="inlineStr">
        <is>
          <t>장군면</t>
        </is>
      </c>
      <c r="G6676" s="3" t="inlineStr">
        <is>
          <t>금암리</t>
        </is>
      </c>
      <c r="H6676" s="3" t="inlineStr">
        <is>
          <t>보전관리지역</t>
        </is>
      </c>
      <c r="I6676" s="3" t="inlineStr">
        <is>
          <t>도로</t>
        </is>
      </c>
      <c r="J6676" s="3" t="inlineStr">
        <is>
          <t>장군면</t>
        </is>
      </c>
    </row>
    <row r="6677">
      <c r="A6677" s="3" t="n">
        <v>2023</v>
      </c>
      <c r="B6677" s="4" t="n">
        <v>247</v>
      </c>
      <c r="C6677" s="4" t="n">
        <v>7.4</v>
      </c>
      <c r="D6677" s="4" t="n">
        <v>2.2385</v>
      </c>
      <c r="E6677" s="5" t="n">
        <v>110.3</v>
      </c>
      <c r="F6677" s="3" t="inlineStr">
        <is>
          <t>장군면</t>
        </is>
      </c>
      <c r="G6677" s="3" t="inlineStr">
        <is>
          <t>금암리</t>
        </is>
      </c>
      <c r="H6677" s="3" t="inlineStr">
        <is>
          <t>보전관리지역</t>
        </is>
      </c>
      <c r="I6677" s="3" t="inlineStr">
        <is>
          <t>대</t>
        </is>
      </c>
      <c r="J6677" s="3" t="inlineStr">
        <is>
          <t>장군면</t>
        </is>
      </c>
    </row>
    <row r="6678">
      <c r="A6678" s="3" t="n">
        <v>2023</v>
      </c>
      <c r="B6678" s="4" t="n">
        <v>3560</v>
      </c>
      <c r="C6678" s="4" t="n">
        <v>106.6</v>
      </c>
      <c r="D6678" s="4" t="n">
        <v>32.2465</v>
      </c>
      <c r="E6678" s="5" t="n">
        <v>110.4</v>
      </c>
      <c r="F6678" s="3" t="inlineStr">
        <is>
          <t>장군면</t>
        </is>
      </c>
      <c r="G6678" s="3" t="inlineStr">
        <is>
          <t>금암리</t>
        </is>
      </c>
      <c r="H6678" s="3" t="inlineStr">
        <is>
          <t>보전관리지역</t>
        </is>
      </c>
      <c r="I6678" s="3" t="inlineStr">
        <is>
          <t>대</t>
        </is>
      </c>
      <c r="J6678" s="3" t="inlineStr">
        <is>
          <t>장군면</t>
        </is>
      </c>
    </row>
    <row r="6679">
      <c r="A6679" s="3" t="n">
        <v>2023</v>
      </c>
      <c r="B6679" s="4" t="n">
        <v>1319</v>
      </c>
      <c r="C6679" s="4" t="n">
        <v>39.5</v>
      </c>
      <c r="D6679" s="4" t="n">
        <v>11.94875</v>
      </c>
      <c r="E6679" s="5" t="n">
        <v>110.4</v>
      </c>
      <c r="F6679" s="3" t="inlineStr">
        <is>
          <t>장군면</t>
        </is>
      </c>
      <c r="G6679" s="3" t="inlineStr">
        <is>
          <t>금암리</t>
        </is>
      </c>
      <c r="H6679" s="3" t="inlineStr">
        <is>
          <t>보전관리지역</t>
        </is>
      </c>
      <c r="I6679" s="3" t="inlineStr">
        <is>
          <t>공원</t>
        </is>
      </c>
      <c r="J6679" s="3" t="inlineStr">
        <is>
          <t>장군면</t>
        </is>
      </c>
    </row>
    <row r="6680">
      <c r="A6680" s="3" t="n">
        <v>2023</v>
      </c>
      <c r="B6680" s="4" t="n">
        <v>104</v>
      </c>
      <c r="C6680" s="4" t="n">
        <v>3.1</v>
      </c>
      <c r="D6680" s="4" t="n">
        <v>0.93775</v>
      </c>
      <c r="E6680" s="5" t="n">
        <v>110.9</v>
      </c>
      <c r="F6680" s="3" t="inlineStr">
        <is>
          <t>장군면</t>
        </is>
      </c>
      <c r="G6680" s="3" t="inlineStr">
        <is>
          <t>금암리</t>
        </is>
      </c>
      <c r="H6680" s="3" t="inlineStr">
        <is>
          <t>보전관리지역</t>
        </is>
      </c>
      <c r="I6680" s="3" t="inlineStr">
        <is>
          <t>대</t>
        </is>
      </c>
      <c r="J6680" s="3" t="inlineStr">
        <is>
          <t>장군면</t>
        </is>
      </c>
    </row>
    <row r="6681">
      <c r="A6681" s="3" t="n">
        <v>2023</v>
      </c>
      <c r="B6681" s="4" t="n">
        <v>114</v>
      </c>
      <c r="C6681" s="4" t="n">
        <v>3.4</v>
      </c>
      <c r="D6681" s="4" t="n">
        <v>1.0285</v>
      </c>
      <c r="E6681" s="5" t="n">
        <v>110.8</v>
      </c>
      <c r="F6681" s="3" t="inlineStr">
        <is>
          <t>장군면</t>
        </is>
      </c>
      <c r="G6681" s="3" t="inlineStr">
        <is>
          <t>금암리</t>
        </is>
      </c>
      <c r="H6681" s="3" t="inlineStr">
        <is>
          <t>보전관리지역</t>
        </is>
      </c>
      <c r="I6681" s="3" t="inlineStr">
        <is>
          <t>대</t>
        </is>
      </c>
      <c r="J6681" s="3" t="inlineStr">
        <is>
          <t>장군면</t>
        </is>
      </c>
    </row>
    <row r="6682">
      <c r="A6682" s="3" t="n">
        <v>2023</v>
      </c>
      <c r="B6682" s="4" t="n">
        <v>969</v>
      </c>
      <c r="C6682" s="4" t="n">
        <v>29</v>
      </c>
      <c r="D6682" s="4" t="n">
        <v>8.772499999999999</v>
      </c>
      <c r="E6682" s="5" t="n">
        <v>110.5</v>
      </c>
      <c r="F6682" s="3" t="inlineStr">
        <is>
          <t>장군면</t>
        </is>
      </c>
      <c r="G6682" s="3" t="inlineStr">
        <is>
          <t>금암리</t>
        </is>
      </c>
      <c r="H6682" s="3" t="inlineStr">
        <is>
          <t>보전관리지역</t>
        </is>
      </c>
      <c r="I6682" s="3" t="inlineStr">
        <is>
          <t>공원</t>
        </is>
      </c>
      <c r="J6682" s="3" t="inlineStr">
        <is>
          <t>장군면</t>
        </is>
      </c>
    </row>
    <row r="6683">
      <c r="A6683" s="3" t="n">
        <v>2023</v>
      </c>
      <c r="B6683" s="4" t="n">
        <v>267</v>
      </c>
      <c r="C6683" s="4" t="n">
        <v>8</v>
      </c>
      <c r="D6683" s="4" t="n">
        <v>2.42</v>
      </c>
      <c r="E6683" s="5" t="n">
        <v>110.3</v>
      </c>
      <c r="F6683" s="3" t="inlineStr">
        <is>
          <t>장군면</t>
        </is>
      </c>
      <c r="G6683" s="3" t="inlineStr">
        <is>
          <t>금암리</t>
        </is>
      </c>
      <c r="H6683" s="3" t="inlineStr">
        <is>
          <t>보전관리지역</t>
        </is>
      </c>
      <c r="I6683" s="3" t="inlineStr">
        <is>
          <t>대</t>
        </is>
      </c>
      <c r="J6683" s="3" t="inlineStr">
        <is>
          <t>장군면</t>
        </is>
      </c>
    </row>
    <row r="6684">
      <c r="A6684" s="3" t="n">
        <v>2023</v>
      </c>
      <c r="B6684" s="4" t="n">
        <v>6814</v>
      </c>
      <c r="C6684" s="4" t="n">
        <v>204</v>
      </c>
      <c r="D6684" s="4" t="n">
        <v>61.71</v>
      </c>
      <c r="E6684" s="5" t="n">
        <v>110.4</v>
      </c>
      <c r="F6684" s="3" t="inlineStr">
        <is>
          <t>장군면</t>
        </is>
      </c>
      <c r="G6684" s="3" t="inlineStr">
        <is>
          <t>금암리</t>
        </is>
      </c>
      <c r="H6684" s="3" t="inlineStr">
        <is>
          <t>보전관리지역</t>
        </is>
      </c>
      <c r="I6684" s="3" t="inlineStr">
        <is>
          <t>대</t>
        </is>
      </c>
      <c r="J6684" s="3" t="inlineStr">
        <is>
          <t>장군면</t>
        </is>
      </c>
    </row>
    <row r="6685">
      <c r="A6685" s="3" t="n">
        <v>2023</v>
      </c>
      <c r="B6685" s="4" t="n">
        <v>434</v>
      </c>
      <c r="C6685" s="4" t="n">
        <v>13</v>
      </c>
      <c r="D6685" s="4" t="n">
        <v>3.9325</v>
      </c>
      <c r="E6685" s="5" t="n">
        <v>110.4</v>
      </c>
      <c r="F6685" s="3" t="inlineStr">
        <is>
          <t>장군면</t>
        </is>
      </c>
      <c r="G6685" s="3" t="inlineStr">
        <is>
          <t>금암리</t>
        </is>
      </c>
      <c r="H6685" s="3" t="inlineStr">
        <is>
          <t>보전관리지역</t>
        </is>
      </c>
      <c r="I6685" s="3" t="inlineStr">
        <is>
          <t>도로</t>
        </is>
      </c>
      <c r="J6685" s="3" t="inlineStr">
        <is>
          <t>장군면</t>
        </is>
      </c>
    </row>
    <row r="6686">
      <c r="A6686" s="3" t="n">
        <v>2022</v>
      </c>
      <c r="B6686" s="4" t="n">
        <v>27730</v>
      </c>
      <c r="C6686" s="4" t="n">
        <v>2192</v>
      </c>
      <c r="D6686" s="4" t="n">
        <v>663.0799999999999</v>
      </c>
      <c r="E6686" s="5" t="n">
        <v>41.8</v>
      </c>
      <c r="F6686" s="3" t="inlineStr">
        <is>
          <t>소정면</t>
        </is>
      </c>
      <c r="G6686" s="3" t="inlineStr">
        <is>
          <t>소정리</t>
        </is>
      </c>
      <c r="H6686" s="3" t="inlineStr">
        <is>
          <t>계획관리지역</t>
        </is>
      </c>
      <c r="I6686" s="3" t="inlineStr">
        <is>
          <t>전</t>
        </is>
      </c>
      <c r="J6686" s="3" t="inlineStr">
        <is>
          <t>소정면</t>
        </is>
      </c>
    </row>
    <row r="6687">
      <c r="A6687" s="3" t="n">
        <v>2022</v>
      </c>
      <c r="B6687" s="4" t="n">
        <v>5270</v>
      </c>
      <c r="C6687" s="4" t="n">
        <v>417</v>
      </c>
      <c r="D6687" s="4" t="n">
        <v>126.1425</v>
      </c>
      <c r="E6687" s="5" t="n">
        <v>41.8</v>
      </c>
      <c r="F6687" s="3" t="inlineStr">
        <is>
          <t>소정면</t>
        </is>
      </c>
      <c r="G6687" s="3" t="inlineStr">
        <is>
          <t>소정리</t>
        </is>
      </c>
      <c r="H6687" s="3" t="inlineStr">
        <is>
          <t>계획관리지역</t>
        </is>
      </c>
      <c r="I6687" s="3" t="inlineStr">
        <is>
          <t>전</t>
        </is>
      </c>
      <c r="J6687" s="3" t="inlineStr">
        <is>
          <t>소정면</t>
        </is>
      </c>
    </row>
    <row r="6688">
      <c r="A6688" s="3" t="n">
        <v>2022</v>
      </c>
      <c r="B6688" s="4" t="n">
        <v>12500</v>
      </c>
      <c r="C6688" s="4" t="n">
        <v>555</v>
      </c>
      <c r="D6688" s="4" t="n">
        <v>167.8875</v>
      </c>
      <c r="E6688" s="5" t="n">
        <v>74.5</v>
      </c>
      <c r="F6688" s="3" t="inlineStr">
        <is>
          <t>금남면</t>
        </is>
      </c>
      <c r="G6688" s="3" t="inlineStr">
        <is>
          <t>원봉리</t>
        </is>
      </c>
      <c r="H6688" s="3" t="inlineStr">
        <is>
          <t>계획관리지역</t>
        </is>
      </c>
      <c r="I6688" s="3" t="inlineStr">
        <is>
          <t>전</t>
        </is>
      </c>
      <c r="J6688" s="3" t="inlineStr">
        <is>
          <t>금남면</t>
        </is>
      </c>
    </row>
    <row r="6689">
      <c r="A6689" s="3" t="n">
        <v>2022</v>
      </c>
      <c r="B6689" s="4" t="n">
        <v>80000</v>
      </c>
      <c r="C6689" s="4" t="n">
        <v>1395</v>
      </c>
      <c r="D6689" s="4" t="n">
        <v>421.9875</v>
      </c>
      <c r="E6689" s="5" t="n">
        <v>189.6</v>
      </c>
      <c r="F6689" s="3" t="inlineStr">
        <is>
          <t>금남면</t>
        </is>
      </c>
      <c r="G6689" s="3" t="inlineStr">
        <is>
          <t>신촌리</t>
        </is>
      </c>
      <c r="H6689" s="3" t="inlineStr">
        <is>
          <t>제1종일반주거지역</t>
        </is>
      </c>
      <c r="I6689" s="3" t="inlineStr">
        <is>
          <t>전</t>
        </is>
      </c>
      <c r="J6689" s="3" t="inlineStr">
        <is>
          <t>금남면</t>
        </is>
      </c>
    </row>
    <row r="6690">
      <c r="A6690" s="3" t="n">
        <v>2022</v>
      </c>
      <c r="B6690" s="4" t="n">
        <v>24400</v>
      </c>
      <c r="C6690" s="4" t="n">
        <v>417</v>
      </c>
      <c r="D6690" s="4" t="n">
        <v>126.1425</v>
      </c>
      <c r="E6690" s="5" t="n">
        <v>193.4</v>
      </c>
      <c r="F6690" s="3" t="inlineStr">
        <is>
          <t>금남면</t>
        </is>
      </c>
      <c r="G6690" s="3" t="inlineStr">
        <is>
          <t>신촌리</t>
        </is>
      </c>
      <c r="H6690" s="3" t="inlineStr">
        <is>
          <t>제1종일반주거지역</t>
        </is>
      </c>
      <c r="I6690" s="3" t="inlineStr">
        <is>
          <t>전</t>
        </is>
      </c>
      <c r="J6690" s="3" t="inlineStr">
        <is>
          <t>금남면</t>
        </is>
      </c>
    </row>
    <row r="6691">
      <c r="A6691" s="3" t="n">
        <v>2022</v>
      </c>
      <c r="B6691" s="4" t="n">
        <v>2500</v>
      </c>
      <c r="C6691" s="4" t="n">
        <v>945</v>
      </c>
      <c r="D6691" s="4" t="n">
        <v>285.8625</v>
      </c>
      <c r="E6691" s="5" t="n">
        <v>8.699999999999999</v>
      </c>
      <c r="F6691" s="3" t="inlineStr">
        <is>
          <t>연서면</t>
        </is>
      </c>
      <c r="G6691" s="3" t="inlineStr">
        <is>
          <t>쌍류리</t>
        </is>
      </c>
      <c r="H6691" s="3" t="inlineStr">
        <is>
          <t>생산관리지역</t>
        </is>
      </c>
      <c r="I6691" s="3" t="inlineStr">
        <is>
          <t>답</t>
        </is>
      </c>
      <c r="J6691" s="3" t="inlineStr">
        <is>
          <t>연서면</t>
        </is>
      </c>
    </row>
    <row r="6692">
      <c r="A6692" s="3" t="n">
        <v>2022</v>
      </c>
      <c r="B6692" s="4" t="n">
        <v>11471</v>
      </c>
      <c r="C6692" s="4" t="n">
        <v>495</v>
      </c>
      <c r="D6692" s="4" t="n">
        <v>149.7375</v>
      </c>
      <c r="E6692" s="5" t="n">
        <v>76.59999999999999</v>
      </c>
      <c r="F6692" s="3" t="inlineStr">
        <is>
          <t>장군면</t>
        </is>
      </c>
      <c r="G6692" s="3" t="inlineStr">
        <is>
          <t>대교리</t>
        </is>
      </c>
      <c r="H6692" s="3" t="inlineStr">
        <is>
          <t>계획관리지역</t>
        </is>
      </c>
      <c r="I6692" s="3" t="inlineStr">
        <is>
          <t>전</t>
        </is>
      </c>
      <c r="J6692" s="3" t="inlineStr">
        <is>
          <t>장군면</t>
        </is>
      </c>
    </row>
    <row r="6693">
      <c r="A6693" s="3" t="n">
        <v>2022</v>
      </c>
      <c r="B6693" s="4" t="n">
        <v>2924</v>
      </c>
      <c r="C6693" s="4" t="n">
        <v>96</v>
      </c>
      <c r="D6693" s="4" t="n">
        <v>29.04</v>
      </c>
      <c r="E6693" s="5" t="n">
        <v>100.7</v>
      </c>
      <c r="F6693" s="3" t="inlineStr">
        <is>
          <t>전의면</t>
        </is>
      </c>
      <c r="G6693" s="3" t="inlineStr">
        <is>
          <t>읍내리</t>
        </is>
      </c>
      <c r="H6693" s="3" t="inlineStr">
        <is>
          <t>자연녹지지역</t>
        </is>
      </c>
      <c r="I6693" s="3" t="inlineStr">
        <is>
          <t>전</t>
        </is>
      </c>
      <c r="J6693" s="3" t="inlineStr">
        <is>
          <t>전의면</t>
        </is>
      </c>
    </row>
    <row r="6694">
      <c r="A6694" s="3" t="n">
        <v>2022</v>
      </c>
      <c r="B6694" s="4" t="n">
        <v>10575</v>
      </c>
      <c r="C6694" s="4" t="n">
        <v>478</v>
      </c>
      <c r="D6694" s="4" t="n">
        <v>144.595</v>
      </c>
      <c r="E6694" s="5" t="n">
        <v>73.09999999999999</v>
      </c>
      <c r="F6694" s="3" t="inlineStr">
        <is>
          <t>전의면</t>
        </is>
      </c>
      <c r="G6694" s="3" t="inlineStr">
        <is>
          <t>읍내리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전의면</t>
        </is>
      </c>
    </row>
    <row r="6695">
      <c r="A6695" s="3" t="n">
        <v>2022</v>
      </c>
      <c r="B6695" s="4" t="n">
        <v>11969</v>
      </c>
      <c r="C6695" s="4" t="n">
        <v>558</v>
      </c>
      <c r="D6695" s="4" t="n">
        <v>168.795</v>
      </c>
      <c r="E6695" s="5" t="n">
        <v>70.90000000000001</v>
      </c>
      <c r="F6695" s="3" t="inlineStr">
        <is>
          <t>전의면</t>
        </is>
      </c>
      <c r="G6695" s="3" t="inlineStr">
        <is>
          <t>읍내리</t>
        </is>
      </c>
      <c r="H6695" s="3" t="inlineStr">
        <is>
          <t>자연녹지지역</t>
        </is>
      </c>
      <c r="I6695" s="3" t="inlineStr">
        <is>
          <t>임야</t>
        </is>
      </c>
      <c r="J6695" s="3" t="inlineStr">
        <is>
          <t>전의면</t>
        </is>
      </c>
    </row>
    <row r="6696">
      <c r="A6696" s="3" t="n">
        <v>2022</v>
      </c>
      <c r="B6696" s="4" t="n">
        <v>1094</v>
      </c>
      <c r="C6696" s="4" t="n">
        <v>51</v>
      </c>
      <c r="D6696" s="4" t="n">
        <v>15.4275</v>
      </c>
      <c r="E6696" s="5" t="n">
        <v>70.90000000000001</v>
      </c>
      <c r="F6696" s="3" t="inlineStr">
        <is>
          <t>전의면</t>
        </is>
      </c>
      <c r="G6696" s="3" t="inlineStr">
        <is>
          <t>읍내리</t>
        </is>
      </c>
      <c r="H6696" s="3" t="inlineStr">
        <is>
          <t>농림지역</t>
        </is>
      </c>
      <c r="I6696" s="3" t="inlineStr">
        <is>
          <t>임야</t>
        </is>
      </c>
      <c r="J6696" s="3" t="inlineStr">
        <is>
          <t>전의면</t>
        </is>
      </c>
    </row>
    <row r="6697">
      <c r="A6697" s="3" t="n">
        <v>2022</v>
      </c>
      <c r="B6697" s="4" t="n">
        <v>2379</v>
      </c>
      <c r="C6697" s="4" t="n">
        <v>78</v>
      </c>
      <c r="D6697" s="4" t="n">
        <v>23.595</v>
      </c>
      <c r="E6697" s="5" t="n">
        <v>100.8</v>
      </c>
      <c r="F6697" s="3" t="inlineStr">
        <is>
          <t>전의면</t>
        </is>
      </c>
      <c r="G6697" s="3" t="inlineStr">
        <is>
          <t>읍내리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전의면</t>
        </is>
      </c>
    </row>
    <row r="6698">
      <c r="A6698" s="3" t="n">
        <v>2022</v>
      </c>
      <c r="B6698" s="4" t="n">
        <v>9300</v>
      </c>
      <c r="C6698" s="4" t="n">
        <v>317</v>
      </c>
      <c r="D6698" s="4" t="n">
        <v>95.8925</v>
      </c>
      <c r="E6698" s="5" t="n">
        <v>97</v>
      </c>
      <c r="F6698" s="3" t="inlineStr">
        <is>
          <t>전동면</t>
        </is>
      </c>
      <c r="G6698" s="3" t="inlineStr">
        <is>
          <t>송성리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전동면</t>
        </is>
      </c>
    </row>
    <row r="6699">
      <c r="A6699" s="3" t="n">
        <v>2022</v>
      </c>
      <c r="B6699" s="4" t="n">
        <v>63670</v>
      </c>
      <c r="C6699" s="4" t="n">
        <v>4210</v>
      </c>
      <c r="D6699" s="4" t="n">
        <v>1273.525</v>
      </c>
      <c r="E6699" s="5" t="n">
        <v>50</v>
      </c>
      <c r="F6699" s="3" t="inlineStr">
        <is>
          <t>금남면</t>
        </is>
      </c>
      <c r="G6699" s="3" t="inlineStr">
        <is>
          <t>영곡리</t>
        </is>
      </c>
      <c r="H6699" s="3" t="inlineStr">
        <is>
          <t>보전관리지역</t>
        </is>
      </c>
      <c r="I6699" s="3" t="inlineStr">
        <is>
          <t>임야</t>
        </is>
      </c>
      <c r="J6699" s="3" t="inlineStr">
        <is>
          <t>금남면</t>
        </is>
      </c>
    </row>
    <row r="6700">
      <c r="A6700" s="3" t="n">
        <v>2022</v>
      </c>
      <c r="B6700" s="4" t="n">
        <v>54000</v>
      </c>
      <c r="C6700" s="4" t="n">
        <v>2980</v>
      </c>
      <c r="D6700" s="4" t="n">
        <v>901.4499999999999</v>
      </c>
      <c r="E6700" s="5" t="n">
        <v>59.9</v>
      </c>
      <c r="F6700" s="3" t="inlineStr">
        <is>
          <t>연서면</t>
        </is>
      </c>
      <c r="G6700" s="3" t="inlineStr">
        <is>
          <t>고복리</t>
        </is>
      </c>
      <c r="H6700" s="3" t="inlineStr">
        <is>
          <t>농림지역</t>
        </is>
      </c>
      <c r="I6700" s="3" t="inlineStr">
        <is>
          <t>답</t>
        </is>
      </c>
      <c r="J6700" s="3" t="inlineStr">
        <is>
          <t>연서면</t>
        </is>
      </c>
    </row>
    <row r="6701">
      <c r="A6701" s="3" t="n">
        <v>2025</v>
      </c>
      <c r="B6701" s="4" t="n">
        <v>5770</v>
      </c>
      <c r="C6701" s="4" t="n">
        <v>502</v>
      </c>
      <c r="D6701" s="4" t="n">
        <v>151.855</v>
      </c>
      <c r="E6701" s="5" t="n">
        <v>38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6135</v>
      </c>
      <c r="C6702" s="4" t="n">
        <v>204</v>
      </c>
      <c r="D6702" s="4" t="n">
        <v>61.71</v>
      </c>
      <c r="E6702" s="5" t="n">
        <v>99.40000000000001</v>
      </c>
      <c r="F6702" s="3" t="inlineStr">
        <is>
          <t>남이면</t>
        </is>
      </c>
      <c r="G6702" s="3" t="inlineStr">
        <is>
          <t>양촌리</t>
        </is>
      </c>
      <c r="H6702" s="3" t="inlineStr">
        <is>
          <t>자연녹지지역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1865</v>
      </c>
      <c r="C6703" s="4" t="n">
        <v>62</v>
      </c>
      <c r="D6703" s="4" t="n">
        <v>18.755</v>
      </c>
      <c r="E6703" s="5" t="n">
        <v>99.40000000000001</v>
      </c>
      <c r="F6703" s="3" t="inlineStr">
        <is>
          <t>남이면</t>
        </is>
      </c>
      <c r="G6703" s="3" t="inlineStr">
        <is>
          <t>양촌리</t>
        </is>
      </c>
      <c r="H6703" s="3" t="inlineStr">
        <is>
          <t>자연녹지지역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11657</v>
      </c>
      <c r="C6704" s="4" t="n">
        <v>204</v>
      </c>
      <c r="D6704" s="4" t="n">
        <v>61.71</v>
      </c>
      <c r="E6704" s="5" t="n">
        <v>188.9</v>
      </c>
      <c r="F6704" s="3" t="inlineStr">
        <is>
          <t>남이면</t>
        </is>
      </c>
      <c r="G6704" s="3" t="inlineStr">
        <is>
          <t>양촌리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3543</v>
      </c>
      <c r="C6705" s="4" t="n">
        <v>62</v>
      </c>
      <c r="D6705" s="4" t="n">
        <v>18.755</v>
      </c>
      <c r="E6705" s="5" t="n">
        <v>188.9</v>
      </c>
      <c r="F6705" s="3" t="inlineStr">
        <is>
          <t>남이면</t>
        </is>
      </c>
      <c r="G6705" s="3" t="inlineStr">
        <is>
          <t>양촌리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54000</v>
      </c>
      <c r="C6706" s="4" t="n">
        <v>2797</v>
      </c>
      <c r="D6706" s="4" t="n">
        <v>846.0925</v>
      </c>
      <c r="E6706" s="5" t="n">
        <v>63.8</v>
      </c>
      <c r="F6706" s="3" t="inlineStr">
        <is>
          <t>남이면</t>
        </is>
      </c>
      <c r="G6706" s="3" t="inlineStr">
        <is>
          <t>대련리</t>
        </is>
      </c>
      <c r="H6706" s="3" t="inlineStr">
        <is>
          <t>자연녹지지역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59080</v>
      </c>
      <c r="C6707" s="4" t="n">
        <v>1920</v>
      </c>
      <c r="D6707" s="4" t="n">
        <v>580.8</v>
      </c>
      <c r="E6707" s="5" t="n">
        <v>101.7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보전녹지지역</t>
        </is>
      </c>
      <c r="I6707" s="3" t="inlineStr">
        <is>
          <t>대</t>
        </is>
      </c>
      <c r="J6707" s="3" t="inlineStr">
        <is>
          <t>남이면</t>
        </is>
      </c>
    </row>
    <row r="6708">
      <c r="A6708" s="3" t="n">
        <v>2025</v>
      </c>
      <c r="B6708" s="4" t="n">
        <v>60000</v>
      </c>
      <c r="C6708" s="4" t="n">
        <v>1920</v>
      </c>
      <c r="D6708" s="4" t="n">
        <v>580.8</v>
      </c>
      <c r="E6708" s="5" t="n">
        <v>103.3</v>
      </c>
      <c r="F6708" s="3" t="inlineStr">
        <is>
          <t>남이면</t>
        </is>
      </c>
      <c r="G6708" s="3" t="inlineStr">
        <is>
          <t>수대리</t>
        </is>
      </c>
      <c r="H6708" s="3" t="inlineStr">
        <is>
          <t>보전녹지지역</t>
        </is>
      </c>
      <c r="I6708" s="3" t="inlineStr">
        <is>
          <t>대</t>
        </is>
      </c>
      <c r="J6708" s="3" t="inlineStr">
        <is>
          <t>남이면</t>
        </is>
      </c>
    </row>
    <row r="6709">
      <c r="A6709" s="3" t="n">
        <v>2025</v>
      </c>
      <c r="B6709" s="4" t="n">
        <v>17120</v>
      </c>
      <c r="C6709" s="4" t="n">
        <v>613</v>
      </c>
      <c r="D6709" s="4" t="n">
        <v>185.4325</v>
      </c>
      <c r="E6709" s="5" t="n">
        <v>92.3</v>
      </c>
      <c r="F6709" s="3" t="inlineStr">
        <is>
          <t>남이면</t>
        </is>
      </c>
      <c r="G6709" s="3" t="inlineStr">
        <is>
          <t>문동리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24700</v>
      </c>
      <c r="C6710" s="4" t="n">
        <v>1901</v>
      </c>
      <c r="D6710" s="4" t="n">
        <v>575.0525</v>
      </c>
      <c r="E6710" s="5" t="n">
        <v>43</v>
      </c>
      <c r="F6710" s="3" t="inlineStr">
        <is>
          <t>현도면</t>
        </is>
      </c>
      <c r="G6710" s="3" t="inlineStr">
        <is>
          <t>우록리</t>
        </is>
      </c>
      <c r="H6710" s="3" t="inlineStr">
        <is>
          <t>보전관리지역</t>
        </is>
      </c>
      <c r="I6710" s="3" t="inlineStr">
        <is>
          <t>전</t>
        </is>
      </c>
      <c r="J6710" s="3" t="inlineStr">
        <is>
          <t>현도면</t>
        </is>
      </c>
    </row>
    <row r="6711">
      <c r="A6711" s="3" t="n">
        <v>2025</v>
      </c>
      <c r="B6711" s="4" t="n">
        <v>10760</v>
      </c>
      <c r="C6711" s="4" t="n">
        <v>1031</v>
      </c>
      <c r="D6711" s="4" t="n">
        <v>311.8775</v>
      </c>
      <c r="E6711" s="5" t="n">
        <v>34.5</v>
      </c>
      <c r="F6711" s="3" t="inlineStr">
        <is>
          <t>현도면</t>
        </is>
      </c>
      <c r="G6711" s="3" t="inlineStr">
        <is>
          <t>죽전리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현도면</t>
        </is>
      </c>
    </row>
    <row r="6712">
      <c r="A6712" s="3" t="n">
        <v>2025</v>
      </c>
      <c r="B6712" s="4" t="n">
        <v>13761</v>
      </c>
      <c r="C6712" s="4" t="n">
        <v>518</v>
      </c>
      <c r="D6712" s="4" t="n">
        <v>156.695</v>
      </c>
      <c r="E6712" s="5" t="n">
        <v>87.8</v>
      </c>
      <c r="F6712" s="3" t="inlineStr">
        <is>
          <t>남이면</t>
        </is>
      </c>
      <c r="G6712" s="3" t="inlineStr">
        <is>
          <t>상발리</t>
        </is>
      </c>
      <c r="H6712" s="3" t="inlineStr">
        <is>
          <t>자연녹지지역</t>
        </is>
      </c>
      <c r="I6712" s="3" t="inlineStr">
        <is>
          <t>전</t>
        </is>
      </c>
      <c r="J6712" s="3" t="inlineStr">
        <is>
          <t>남이면</t>
        </is>
      </c>
    </row>
    <row r="6713">
      <c r="A6713" s="3" t="n">
        <v>2025</v>
      </c>
      <c r="B6713" s="4" t="n">
        <v>22602</v>
      </c>
      <c r="C6713" s="4" t="n">
        <v>706</v>
      </c>
      <c r="D6713" s="4" t="n">
        <v>213.565</v>
      </c>
      <c r="E6713" s="5" t="n">
        <v>105.8</v>
      </c>
      <c r="F6713" s="3" t="inlineStr">
        <is>
          <t>남이면</t>
        </is>
      </c>
      <c r="G6713" s="3" t="inlineStr">
        <is>
          <t>상발리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남이면</t>
        </is>
      </c>
    </row>
    <row r="6714">
      <c r="A6714" s="3" t="n">
        <v>2025</v>
      </c>
      <c r="B6714" s="4" t="n">
        <v>11237</v>
      </c>
      <c r="C6714" s="4" t="n">
        <v>351</v>
      </c>
      <c r="D6714" s="4" t="n">
        <v>106.1775</v>
      </c>
      <c r="E6714" s="5" t="n">
        <v>105.8</v>
      </c>
      <c r="F6714" s="3" t="inlineStr">
        <is>
          <t>남이면</t>
        </is>
      </c>
      <c r="G6714" s="3" t="inlineStr">
        <is>
          <t>상발리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15000</v>
      </c>
      <c r="C6715" s="4" t="n">
        <v>1452</v>
      </c>
      <c r="D6715" s="4" t="n">
        <v>439.23</v>
      </c>
      <c r="E6715" s="5" t="n">
        <v>34.2</v>
      </c>
      <c r="F6715" s="3" t="inlineStr">
        <is>
          <t>현도면</t>
        </is>
      </c>
      <c r="G6715" s="3" t="inlineStr">
        <is>
          <t>노산리</t>
        </is>
      </c>
      <c r="H6715" s="3" t="inlineStr">
        <is>
          <t>자연녹지지역</t>
        </is>
      </c>
      <c r="I6715" s="3" t="inlineStr">
        <is>
          <t>답</t>
        </is>
      </c>
      <c r="J6715" s="3" t="inlineStr">
        <is>
          <t>현도면</t>
        </is>
      </c>
    </row>
    <row r="6716">
      <c r="A6716" s="3" t="n">
        <v>2025</v>
      </c>
      <c r="B6716" s="4" t="n">
        <v>2900</v>
      </c>
      <c r="C6716" s="4" t="n">
        <v>289</v>
      </c>
      <c r="D6716" s="4" t="n">
        <v>87.4225</v>
      </c>
      <c r="E6716" s="5" t="n">
        <v>33.2</v>
      </c>
      <c r="F6716" s="3" t="inlineStr">
        <is>
          <t>현도면</t>
        </is>
      </c>
      <c r="G6716" s="3" t="inlineStr">
        <is>
          <t>노산리</t>
        </is>
      </c>
      <c r="H6716" s="3" t="inlineStr">
        <is>
          <t>자연녹지지역</t>
        </is>
      </c>
      <c r="I6716" s="3" t="inlineStr">
        <is>
          <t>답</t>
        </is>
      </c>
      <c r="J6716" s="3" t="inlineStr">
        <is>
          <t>현도면</t>
        </is>
      </c>
    </row>
    <row r="6717">
      <c r="A6717" s="3" t="n">
        <v>2025</v>
      </c>
      <c r="B6717" s="4" t="n">
        <v>24100</v>
      </c>
      <c r="C6717" s="4" t="n">
        <v>521</v>
      </c>
      <c r="D6717" s="4" t="n">
        <v>157.6025</v>
      </c>
      <c r="E6717" s="5" t="n">
        <v>152.9</v>
      </c>
      <c r="F6717" s="3" t="inlineStr">
        <is>
          <t>남이면</t>
        </is>
      </c>
      <c r="G6717" s="3" t="inlineStr">
        <is>
          <t>가마리</t>
        </is>
      </c>
      <c r="H6717" s="3" t="inlineStr">
        <is>
          <t>보전녹지지역</t>
        </is>
      </c>
      <c r="I6717" s="3" t="inlineStr">
        <is>
          <t>임야</t>
        </is>
      </c>
      <c r="J6717" s="3" t="inlineStr">
        <is>
          <t>남이면</t>
        </is>
      </c>
    </row>
    <row r="6718">
      <c r="A6718" s="3" t="n">
        <v>2025</v>
      </c>
      <c r="B6718" s="4" t="n">
        <v>330150</v>
      </c>
      <c r="C6718" s="4" t="n">
        <v>11896</v>
      </c>
      <c r="D6718" s="4" t="n">
        <v>3598.54</v>
      </c>
      <c r="E6718" s="5" t="n">
        <v>91.7</v>
      </c>
      <c r="F6718" s="3" t="inlineStr">
        <is>
          <t>남이면</t>
        </is>
      </c>
      <c r="G6718" s="3" t="inlineStr">
        <is>
          <t>구미리</t>
        </is>
      </c>
      <c r="H6718" s="3" t="inlineStr">
        <is>
          <t>계획관리지역</t>
        </is>
      </c>
      <c r="I6718" s="3" t="inlineStr">
        <is>
          <t>임야</t>
        </is>
      </c>
      <c r="J6718" s="3" t="inlineStr">
        <is>
          <t>남이면</t>
        </is>
      </c>
    </row>
    <row r="6719">
      <c r="A6719" s="3" t="n">
        <v>2025</v>
      </c>
      <c r="B6719" s="4" t="n">
        <v>40600</v>
      </c>
      <c r="C6719" s="4" t="n">
        <v>791</v>
      </c>
      <c r="D6719" s="4" t="n">
        <v>239.2775</v>
      </c>
      <c r="E6719" s="5" t="n">
        <v>169.7</v>
      </c>
      <c r="F6719" s="3" t="inlineStr">
        <is>
          <t>남이면</t>
        </is>
      </c>
      <c r="G6719" s="3" t="inlineStr">
        <is>
          <t>구미리</t>
        </is>
      </c>
      <c r="H6719" s="3" t="inlineStr">
        <is>
          <t>계획관리지역</t>
        </is>
      </c>
      <c r="I6719" s="3" t="inlineStr">
        <is>
          <t>대</t>
        </is>
      </c>
      <c r="J6719" s="3" t="inlineStr">
        <is>
          <t>남이면</t>
        </is>
      </c>
    </row>
    <row r="6720">
      <c r="A6720" s="3" t="n">
        <v>2025</v>
      </c>
      <c r="B6720" s="4" t="n">
        <v>6800</v>
      </c>
      <c r="C6720" s="4" t="n">
        <v>253</v>
      </c>
      <c r="D6720" s="4" t="n">
        <v>76.5325</v>
      </c>
      <c r="E6720" s="5" t="n">
        <v>88.90000000000001</v>
      </c>
      <c r="F6720" s="3" t="inlineStr">
        <is>
          <t>남이면</t>
        </is>
      </c>
      <c r="G6720" s="3" t="inlineStr">
        <is>
          <t>구미리</t>
        </is>
      </c>
      <c r="H6720" s="3" t="inlineStr">
        <is>
          <t>계획관리지역</t>
        </is>
      </c>
      <c r="I6720" s="3" t="inlineStr">
        <is>
          <t>임야</t>
        </is>
      </c>
      <c r="J6720" s="3" t="inlineStr">
        <is>
          <t>남이면</t>
        </is>
      </c>
    </row>
    <row r="6721">
      <c r="A6721" s="3" t="n">
        <v>2025</v>
      </c>
      <c r="B6721" s="4" t="n">
        <v>6100</v>
      </c>
      <c r="C6721" s="4" t="n">
        <v>119</v>
      </c>
      <c r="D6721" s="4" t="n">
        <v>35.9975</v>
      </c>
      <c r="E6721" s="5" t="n">
        <v>169.5</v>
      </c>
      <c r="F6721" s="3" t="inlineStr">
        <is>
          <t>남이면</t>
        </is>
      </c>
      <c r="G6721" s="3" t="inlineStr">
        <is>
          <t>구미리</t>
        </is>
      </c>
      <c r="H6721" s="3" t="inlineStr">
        <is>
          <t>계획관리지역</t>
        </is>
      </c>
      <c r="I6721" s="3" t="inlineStr">
        <is>
          <t>대</t>
        </is>
      </c>
      <c r="J6721" s="3" t="inlineStr">
        <is>
          <t>남이면</t>
        </is>
      </c>
    </row>
    <row r="6722">
      <c r="A6722" s="3" t="n">
        <v>2025</v>
      </c>
      <c r="B6722" s="4" t="n">
        <v>25000</v>
      </c>
      <c r="C6722" s="4" t="n">
        <v>1271</v>
      </c>
      <c r="D6722" s="4" t="n">
        <v>384.4775</v>
      </c>
      <c r="E6722" s="5" t="n">
        <v>65</v>
      </c>
      <c r="F6722" s="3" t="inlineStr">
        <is>
          <t>남이면</t>
        </is>
      </c>
      <c r="G6722" s="3" t="inlineStr">
        <is>
          <t>수대리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1910</v>
      </c>
      <c r="C6723" s="4" t="n">
        <v>56</v>
      </c>
      <c r="D6723" s="4" t="n">
        <v>16.94</v>
      </c>
      <c r="E6723" s="5" t="n">
        <v>112.8</v>
      </c>
      <c r="F6723" s="3" t="inlineStr">
        <is>
          <t>현도면</t>
        </is>
      </c>
      <c r="G6723" s="3" t="inlineStr">
        <is>
          <t>상삼리</t>
        </is>
      </c>
      <c r="H6723" s="3" t="inlineStr">
        <is>
          <t>계획관리지역</t>
        </is>
      </c>
      <c r="I6723" s="3" t="inlineStr">
        <is>
          <t>공장용지</t>
        </is>
      </c>
      <c r="J6723" s="3" t="inlineStr">
        <is>
          <t>현도면</t>
        </is>
      </c>
    </row>
    <row r="6724">
      <c r="A6724" s="3" t="n">
        <v>2025</v>
      </c>
      <c r="B6724" s="4" t="n">
        <v>1220</v>
      </c>
      <c r="C6724" s="4" t="n">
        <v>33</v>
      </c>
      <c r="D6724" s="4" t="n">
        <v>9.9825</v>
      </c>
      <c r="E6724" s="5" t="n">
        <v>122.2</v>
      </c>
      <c r="F6724" s="3" t="inlineStr">
        <is>
          <t>남이면</t>
        </is>
      </c>
      <c r="G6724" s="3" t="inlineStr">
        <is>
          <t>가마리</t>
        </is>
      </c>
      <c r="H6724" s="3" t="inlineStr">
        <is>
          <t>자연녹지지역</t>
        </is>
      </c>
      <c r="I6724" s="3" t="inlineStr">
        <is>
          <t>전</t>
        </is>
      </c>
      <c r="J6724" s="3" t="inlineStr">
        <is>
          <t>남이면</t>
        </is>
      </c>
    </row>
    <row r="6725">
      <c r="A6725" s="3" t="n">
        <v>2025</v>
      </c>
      <c r="B6725" s="4" t="n">
        <v>2292</v>
      </c>
      <c r="C6725" s="4" t="n">
        <v>62</v>
      </c>
      <c r="D6725" s="4" t="n">
        <v>18.755</v>
      </c>
      <c r="E6725" s="5" t="n">
        <v>122.2</v>
      </c>
      <c r="F6725" s="3" t="inlineStr">
        <is>
          <t>남이면</t>
        </is>
      </c>
      <c r="G6725" s="3" t="inlineStr">
        <is>
          <t>가마리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16268</v>
      </c>
      <c r="C6726" s="4" t="n">
        <v>440</v>
      </c>
      <c r="D6726" s="4" t="n">
        <v>133.1</v>
      </c>
      <c r="E6726" s="5" t="n">
        <v>122.2</v>
      </c>
      <c r="F6726" s="3" t="inlineStr">
        <is>
          <t>남이면</t>
        </is>
      </c>
      <c r="G6726" s="3" t="inlineStr">
        <is>
          <t>가마리</t>
        </is>
      </c>
      <c r="H6726" s="3" t="inlineStr">
        <is>
          <t>자연녹지지역</t>
        </is>
      </c>
      <c r="I6726" s="3" t="inlineStr">
        <is>
          <t>전</t>
        </is>
      </c>
      <c r="J6726" s="3" t="inlineStr">
        <is>
          <t>남이면</t>
        </is>
      </c>
    </row>
    <row r="6727">
      <c r="A6727" s="3" t="n">
        <v>2025</v>
      </c>
      <c r="B6727" s="4" t="n">
        <v>65106</v>
      </c>
      <c r="C6727" s="4" t="n">
        <v>1620</v>
      </c>
      <c r="D6727" s="4" t="n">
        <v>490.05</v>
      </c>
      <c r="E6727" s="5" t="n">
        <v>132.9</v>
      </c>
      <c r="F6727" s="3" t="inlineStr">
        <is>
          <t>남이면</t>
        </is>
      </c>
      <c r="G6727" s="3" t="inlineStr">
        <is>
          <t>가마리</t>
        </is>
      </c>
      <c r="H6727" s="3" t="inlineStr">
        <is>
          <t>자연녹지지역</t>
        </is>
      </c>
      <c r="I6727" s="3" t="inlineStr">
        <is>
          <t>전</t>
        </is>
      </c>
      <c r="J6727" s="3" t="inlineStr">
        <is>
          <t>남이면</t>
        </is>
      </c>
    </row>
    <row r="6728">
      <c r="A6728" s="3" t="n">
        <v>2025</v>
      </c>
      <c r="B6728" s="4" t="n">
        <v>2852</v>
      </c>
      <c r="C6728" s="4" t="n">
        <v>71</v>
      </c>
      <c r="D6728" s="4" t="n">
        <v>21.4775</v>
      </c>
      <c r="E6728" s="5" t="n">
        <v>132.8</v>
      </c>
      <c r="F6728" s="3" t="inlineStr">
        <is>
          <t>남이면</t>
        </is>
      </c>
      <c r="G6728" s="3" t="inlineStr">
        <is>
          <t>가마리</t>
        </is>
      </c>
      <c r="H6728" s="3" t="inlineStr">
        <is>
          <t>자연녹지지역</t>
        </is>
      </c>
      <c r="I6728" s="3" t="inlineStr">
        <is>
          <t>전</t>
        </is>
      </c>
      <c r="J6728" s="3" t="inlineStr">
        <is>
          <t>남이면</t>
        </is>
      </c>
    </row>
    <row r="6729">
      <c r="A6729" s="3" t="n">
        <v>2025</v>
      </c>
      <c r="B6729" s="4" t="n">
        <v>442</v>
      </c>
      <c r="C6729" s="4" t="n">
        <v>11</v>
      </c>
      <c r="D6729" s="4" t="n">
        <v>3.3275</v>
      </c>
      <c r="E6729" s="5" t="n">
        <v>132.8</v>
      </c>
      <c r="F6729" s="3" t="inlineStr">
        <is>
          <t>남이면</t>
        </is>
      </c>
      <c r="G6729" s="3" t="inlineStr">
        <is>
          <t>가마리</t>
        </is>
      </c>
      <c r="H6729" s="3" t="inlineStr">
        <is>
          <t>자연녹지지역</t>
        </is>
      </c>
      <c r="I6729" s="3" t="inlineStr">
        <is>
          <t>전</t>
        </is>
      </c>
      <c r="J6729" s="3" t="inlineStr">
        <is>
          <t>남이면</t>
        </is>
      </c>
    </row>
    <row r="6730">
      <c r="A6730" s="3" t="n">
        <v>2025</v>
      </c>
      <c r="B6730" s="4" t="n">
        <v>12680</v>
      </c>
      <c r="C6730" s="4" t="n">
        <v>1048</v>
      </c>
      <c r="D6730" s="4" t="n">
        <v>317.02</v>
      </c>
      <c r="E6730" s="5" t="n">
        <v>40</v>
      </c>
      <c r="F6730" s="3" t="inlineStr">
        <is>
          <t>남이면</t>
        </is>
      </c>
      <c r="G6730" s="3" t="inlineStr">
        <is>
          <t>구암리</t>
        </is>
      </c>
      <c r="H6730" s="3" t="inlineStr">
        <is>
          <t>자연녹지지역</t>
        </is>
      </c>
      <c r="I6730" s="3" t="inlineStr">
        <is>
          <t>답</t>
        </is>
      </c>
      <c r="J6730" s="3" t="inlineStr">
        <is>
          <t>남이면</t>
        </is>
      </c>
    </row>
    <row r="6731">
      <c r="A6731" s="3" t="n">
        <v>2025</v>
      </c>
      <c r="B6731" s="4" t="n">
        <v>4500</v>
      </c>
      <c r="C6731" s="4" t="n">
        <v>947.4</v>
      </c>
      <c r="D6731" s="4" t="n">
        <v>286.5885</v>
      </c>
      <c r="E6731" s="5" t="n">
        <v>15.7</v>
      </c>
      <c r="F6731" s="3" t="inlineStr">
        <is>
          <t>현도면</t>
        </is>
      </c>
      <c r="G6731" s="3" t="inlineStr">
        <is>
          <t>달계리</t>
        </is>
      </c>
      <c r="H6731" s="3" t="inlineStr">
        <is>
          <t>자연녹지지역</t>
        </is>
      </c>
      <c r="I6731" s="3" t="inlineStr">
        <is>
          <t>전</t>
        </is>
      </c>
      <c r="J6731" s="3" t="inlineStr">
        <is>
          <t>현도면</t>
        </is>
      </c>
    </row>
    <row r="6732">
      <c r="A6732" s="3" t="n">
        <v>2025</v>
      </c>
      <c r="B6732" s="4" t="n">
        <v>5500</v>
      </c>
      <c r="C6732" s="4" t="n">
        <v>448</v>
      </c>
      <c r="D6732" s="4" t="n">
        <v>135.52</v>
      </c>
      <c r="E6732" s="5" t="n">
        <v>40.6</v>
      </c>
      <c r="F6732" s="3" t="inlineStr">
        <is>
          <t>현도면</t>
        </is>
      </c>
      <c r="G6732" s="3" t="inlineStr">
        <is>
          <t>달계리</t>
        </is>
      </c>
      <c r="H6732" s="3" t="inlineStr">
        <is>
          <t>자연녹지지역</t>
        </is>
      </c>
      <c r="I6732" s="3" t="inlineStr">
        <is>
          <t>대</t>
        </is>
      </c>
      <c r="J6732" s="3" t="inlineStr">
        <is>
          <t>현도면</t>
        </is>
      </c>
    </row>
    <row r="6733">
      <c r="A6733" s="3" t="n">
        <v>2024</v>
      </c>
      <c r="B6733" s="4" t="n">
        <v>2777</v>
      </c>
      <c r="C6733" s="4" t="n">
        <v>67</v>
      </c>
      <c r="D6733" s="4" t="n">
        <v>20.2675</v>
      </c>
      <c r="E6733" s="5" t="n">
        <v>137</v>
      </c>
      <c r="F6733" s="3" t="inlineStr">
        <is>
          <t>남이면</t>
        </is>
      </c>
      <c r="G6733" s="3" t="inlineStr">
        <is>
          <t>양촌리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2024</v>
      </c>
      <c r="B6734" s="4" t="n">
        <v>13099</v>
      </c>
      <c r="C6734" s="4" t="n">
        <v>316</v>
      </c>
      <c r="D6734" s="4" t="n">
        <v>95.59</v>
      </c>
      <c r="E6734" s="5" t="n">
        <v>137</v>
      </c>
      <c r="F6734" s="3" t="inlineStr">
        <is>
          <t>남이면</t>
        </is>
      </c>
      <c r="G6734" s="3" t="inlineStr">
        <is>
          <t>양촌리</t>
        </is>
      </c>
      <c r="H6734" s="3" t="inlineStr">
        <is>
          <t>자연녹지지역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2024</v>
      </c>
      <c r="B6735" s="4" t="n">
        <v>45000</v>
      </c>
      <c r="C6735" s="4" t="n">
        <v>18645</v>
      </c>
      <c r="D6735" s="4" t="n">
        <v>5640.1125</v>
      </c>
      <c r="E6735" s="5" t="n">
        <v>8</v>
      </c>
      <c r="F6735" s="3" t="inlineStr">
        <is>
          <t>남이면</t>
        </is>
      </c>
      <c r="G6735" s="3" t="inlineStr">
        <is>
          <t>비룡리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2024</v>
      </c>
      <c r="B6736" s="4" t="n">
        <v>5450</v>
      </c>
      <c r="C6736" s="4" t="n">
        <v>707</v>
      </c>
      <c r="D6736" s="4" t="n">
        <v>213.8675</v>
      </c>
      <c r="E6736" s="5" t="n">
        <v>25.5</v>
      </c>
      <c r="F6736" s="3" t="inlineStr">
        <is>
          <t>남이면</t>
        </is>
      </c>
      <c r="G6736" s="3" t="inlineStr">
        <is>
          <t>산막리</t>
        </is>
      </c>
      <c r="H6736" s="3" t="inlineStr">
        <is>
          <t>생산관리지역</t>
        </is>
      </c>
      <c r="I6736" s="3" t="inlineStr">
        <is>
          <t>전</t>
        </is>
      </c>
      <c r="J6736" s="3" t="inlineStr">
        <is>
          <t>남이면</t>
        </is>
      </c>
    </row>
    <row r="6737">
      <c r="A6737" s="3" t="n">
        <v>2024</v>
      </c>
      <c r="B6737" s="4" t="n">
        <v>26800</v>
      </c>
      <c r="C6737" s="4" t="n">
        <v>888</v>
      </c>
      <c r="D6737" s="4" t="n">
        <v>268.62</v>
      </c>
      <c r="E6737" s="5" t="n">
        <v>99.8</v>
      </c>
      <c r="F6737" s="3" t="inlineStr">
        <is>
          <t>남이면</t>
        </is>
      </c>
      <c r="G6737" s="3" t="inlineStr">
        <is>
          <t>척산리</t>
        </is>
      </c>
      <c r="H6737" s="3" t="inlineStr">
        <is>
          <t>계획관리지역</t>
        </is>
      </c>
      <c r="I6737" s="3" t="inlineStr">
        <is>
          <t>답</t>
        </is>
      </c>
      <c r="J6737" s="3" t="inlineStr">
        <is>
          <t>남이면</t>
        </is>
      </c>
    </row>
    <row r="6738">
      <c r="A6738" s="3" t="n">
        <v>2024</v>
      </c>
      <c r="B6738" s="4" t="n">
        <v>36800</v>
      </c>
      <c r="C6738" s="4" t="n">
        <v>1217</v>
      </c>
      <c r="D6738" s="4" t="n">
        <v>368.1425</v>
      </c>
      <c r="E6738" s="5" t="n">
        <v>100</v>
      </c>
      <c r="F6738" s="3" t="inlineStr">
        <is>
          <t>남이면</t>
        </is>
      </c>
      <c r="G6738" s="3" t="inlineStr">
        <is>
          <t>척산리</t>
        </is>
      </c>
      <c r="H6738" s="3" t="inlineStr">
        <is>
          <t>계획관리지역</t>
        </is>
      </c>
      <c r="I6738" s="3" t="inlineStr">
        <is>
          <t>주차장</t>
        </is>
      </c>
      <c r="J6738" s="3" t="inlineStr">
        <is>
          <t>남이면</t>
        </is>
      </c>
    </row>
    <row r="6739">
      <c r="A6739" s="3" t="n">
        <v>2024</v>
      </c>
      <c r="B6739" s="4" t="n">
        <v>31400</v>
      </c>
      <c r="C6739" s="4" t="n">
        <v>1037</v>
      </c>
      <c r="D6739" s="4" t="n">
        <v>313.6925</v>
      </c>
      <c r="E6739" s="5" t="n">
        <v>100.1</v>
      </c>
      <c r="F6739" s="3" t="inlineStr">
        <is>
          <t>현도면</t>
        </is>
      </c>
      <c r="G6739" s="3" t="inlineStr">
        <is>
          <t>양지리</t>
        </is>
      </c>
      <c r="H6739" s="3" t="inlineStr">
        <is>
          <t>제1종일반주거지역</t>
        </is>
      </c>
      <c r="I6739" s="3" t="inlineStr">
        <is>
          <t>전</t>
        </is>
      </c>
      <c r="J6739" s="3" t="inlineStr">
        <is>
          <t>현도면</t>
        </is>
      </c>
    </row>
    <row r="6740">
      <c r="A6740" s="3" t="n">
        <v>2024</v>
      </c>
      <c r="B6740" s="4" t="n">
        <v>2100</v>
      </c>
      <c r="C6740" s="4" t="n">
        <v>72</v>
      </c>
      <c r="D6740" s="4" t="n">
        <v>21.78</v>
      </c>
      <c r="E6740" s="5" t="n">
        <v>96.40000000000001</v>
      </c>
      <c r="F6740" s="3" t="inlineStr">
        <is>
          <t>현도면</t>
        </is>
      </c>
      <c r="G6740" s="3" t="inlineStr">
        <is>
          <t>양지리</t>
        </is>
      </c>
      <c r="H6740" s="3" t="inlineStr">
        <is>
          <t>제1종일반주거지역</t>
        </is>
      </c>
      <c r="I6740" s="3" t="inlineStr">
        <is>
          <t>전</t>
        </is>
      </c>
      <c r="J6740" s="3" t="inlineStr">
        <is>
          <t>현도면</t>
        </is>
      </c>
    </row>
    <row r="6741">
      <c r="A6741" s="3" t="n">
        <v>2024</v>
      </c>
      <c r="B6741" s="4" t="n">
        <v>5450</v>
      </c>
      <c r="C6741" s="4" t="n">
        <v>707</v>
      </c>
      <c r="D6741" s="4" t="n">
        <v>213.8675</v>
      </c>
      <c r="E6741" s="5" t="n">
        <v>25.5</v>
      </c>
      <c r="F6741" s="3" t="inlineStr">
        <is>
          <t>남이면</t>
        </is>
      </c>
      <c r="G6741" s="3" t="inlineStr">
        <is>
          <t>산막리</t>
        </is>
      </c>
      <c r="H6741" s="3" t="inlineStr">
        <is>
          <t>생산관리지역</t>
        </is>
      </c>
      <c r="I6741" s="3" t="inlineStr">
        <is>
          <t>전</t>
        </is>
      </c>
      <c r="J6741" s="3" t="inlineStr">
        <is>
          <t>남이면</t>
        </is>
      </c>
    </row>
    <row r="6742">
      <c r="A6742" s="3" t="n">
        <v>2024</v>
      </c>
      <c r="B6742" s="4" t="n">
        <v>7000</v>
      </c>
      <c r="C6742" s="4" t="n">
        <v>754</v>
      </c>
      <c r="D6742" s="4" t="n">
        <v>228.085</v>
      </c>
      <c r="E6742" s="5" t="n">
        <v>30.7</v>
      </c>
      <c r="F6742" s="3" t="inlineStr">
        <is>
          <t>남이면</t>
        </is>
      </c>
      <c r="G6742" s="3" t="inlineStr">
        <is>
          <t>석실리</t>
        </is>
      </c>
      <c r="H6742" s="3" t="inlineStr">
        <is>
          <t>보전녹지지역</t>
        </is>
      </c>
      <c r="I6742" s="3" t="inlineStr">
        <is>
          <t>전</t>
        </is>
      </c>
      <c r="J6742" s="3" t="inlineStr">
        <is>
          <t>남이면</t>
        </is>
      </c>
    </row>
    <row r="6743">
      <c r="A6743" s="3" t="n">
        <v>2024</v>
      </c>
      <c r="B6743" s="4" t="n">
        <v>11500</v>
      </c>
      <c r="C6743" s="4" t="n">
        <v>1364</v>
      </c>
      <c r="D6743" s="4" t="n">
        <v>412.61</v>
      </c>
      <c r="E6743" s="5" t="n">
        <v>27.9</v>
      </c>
      <c r="F6743" s="3" t="inlineStr">
        <is>
          <t>현도면</t>
        </is>
      </c>
      <c r="G6743" s="3" t="inlineStr">
        <is>
          <t>양지리</t>
        </is>
      </c>
      <c r="H6743" s="3" t="inlineStr">
        <is>
          <t>자연녹지지역</t>
        </is>
      </c>
      <c r="I6743" s="3" t="inlineStr">
        <is>
          <t>전</t>
        </is>
      </c>
      <c r="J6743" s="3" t="inlineStr">
        <is>
          <t>현도면</t>
        </is>
      </c>
    </row>
    <row r="6744">
      <c r="A6744" s="3" t="n">
        <v>2024</v>
      </c>
      <c r="B6744" s="4" t="n">
        <v>17000</v>
      </c>
      <c r="C6744" s="4" t="n">
        <v>1461</v>
      </c>
      <c r="D6744" s="4" t="n">
        <v>441.9525</v>
      </c>
      <c r="E6744" s="5" t="n">
        <v>38.5</v>
      </c>
      <c r="F6744" s="3" t="inlineStr">
        <is>
          <t>남이면</t>
        </is>
      </c>
      <c r="G6744" s="3" t="inlineStr">
        <is>
          <t>문동리</t>
        </is>
      </c>
      <c r="H6744" s="3" t="inlineStr">
        <is>
          <t>보전녹지지역</t>
        </is>
      </c>
      <c r="I6744" s="3" t="inlineStr">
        <is>
          <t>임야</t>
        </is>
      </c>
      <c r="J6744" s="3" t="inlineStr">
        <is>
          <t>남이면</t>
        </is>
      </c>
    </row>
    <row r="6745">
      <c r="A6745" s="3" t="n">
        <v>2024</v>
      </c>
      <c r="B6745" s="4" t="n">
        <v>1500</v>
      </c>
      <c r="C6745" s="4" t="n">
        <v>49</v>
      </c>
      <c r="D6745" s="4" t="n">
        <v>14.8225</v>
      </c>
      <c r="E6745" s="5" t="n">
        <v>101.2</v>
      </c>
      <c r="F6745" s="3" t="inlineStr">
        <is>
          <t>남이면</t>
        </is>
      </c>
      <c r="G6745" s="3" t="inlineStr">
        <is>
          <t>양촌리</t>
        </is>
      </c>
      <c r="H6745" s="3" t="inlineStr">
        <is>
          <t>자연녹지지역</t>
        </is>
      </c>
      <c r="I6745" s="3" t="inlineStr">
        <is>
          <t>도로</t>
        </is>
      </c>
      <c r="J6745" s="3" t="inlineStr">
        <is>
          <t>남이면</t>
        </is>
      </c>
    </row>
    <row r="6746">
      <c r="A6746" s="3" t="n">
        <v>2024</v>
      </c>
      <c r="B6746" s="4" t="n">
        <v>1500</v>
      </c>
      <c r="C6746" s="4" t="n">
        <v>49</v>
      </c>
      <c r="D6746" s="4" t="n">
        <v>14.8225</v>
      </c>
      <c r="E6746" s="5" t="n">
        <v>101.2</v>
      </c>
      <c r="F6746" s="3" t="inlineStr">
        <is>
          <t>남이면</t>
        </is>
      </c>
      <c r="G6746" s="3" t="inlineStr">
        <is>
          <t>수대리</t>
        </is>
      </c>
      <c r="H6746" s="3" t="inlineStr">
        <is>
          <t>기타</t>
        </is>
      </c>
      <c r="I6746" s="3" t="inlineStr">
        <is>
          <t>도로</t>
        </is>
      </c>
      <c r="J6746" s="3" t="inlineStr">
        <is>
          <t>남이면</t>
        </is>
      </c>
    </row>
    <row r="6747">
      <c r="A6747" s="3" t="n">
        <v>2024</v>
      </c>
      <c r="B6747" s="4" t="n">
        <v>10000</v>
      </c>
      <c r="C6747" s="4" t="n">
        <v>532</v>
      </c>
      <c r="D6747" s="4" t="n">
        <v>160.93</v>
      </c>
      <c r="E6747" s="5" t="n">
        <v>62.1</v>
      </c>
      <c r="F6747" s="3" t="inlineStr">
        <is>
          <t>현도면</t>
        </is>
      </c>
      <c r="G6747" s="3" t="inlineStr">
        <is>
          <t>시동리</t>
        </is>
      </c>
      <c r="H6747" s="3" t="inlineStr">
        <is>
          <t>생산관리지역</t>
        </is>
      </c>
      <c r="I6747" s="3" t="inlineStr">
        <is>
          <t>답</t>
        </is>
      </c>
      <c r="J6747" s="3" t="inlineStr">
        <is>
          <t>현도면</t>
        </is>
      </c>
    </row>
    <row r="6748">
      <c r="A6748" s="3" t="n">
        <v>2024</v>
      </c>
      <c r="B6748" s="4" t="n">
        <v>16871</v>
      </c>
      <c r="C6748" s="4" t="n">
        <v>234</v>
      </c>
      <c r="D6748" s="4" t="n">
        <v>70.785</v>
      </c>
      <c r="E6748" s="5" t="n">
        <v>238.3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2024</v>
      </c>
      <c r="B6749" s="4" t="n">
        <v>9000</v>
      </c>
      <c r="C6749" s="4" t="n">
        <v>3856</v>
      </c>
      <c r="D6749" s="4" t="n">
        <v>1166.44</v>
      </c>
      <c r="E6749" s="5" t="n">
        <v>7.7</v>
      </c>
      <c r="F6749" s="3" t="inlineStr">
        <is>
          <t>남이면</t>
        </is>
      </c>
      <c r="G6749" s="3" t="inlineStr">
        <is>
          <t>문동리</t>
        </is>
      </c>
      <c r="H6749" s="3" t="inlineStr">
        <is>
          <t>보전관리지역</t>
        </is>
      </c>
      <c r="I6749" s="3" t="inlineStr">
        <is>
          <t>임야</t>
        </is>
      </c>
      <c r="J6749" s="3" t="inlineStr">
        <is>
          <t>남이면</t>
        </is>
      </c>
    </row>
    <row r="6750">
      <c r="A6750" s="3" t="n">
        <v>2024</v>
      </c>
      <c r="B6750" s="4" t="n">
        <v>26400</v>
      </c>
      <c r="C6750" s="4" t="n">
        <v>919</v>
      </c>
      <c r="D6750" s="4" t="n">
        <v>277.9975</v>
      </c>
      <c r="E6750" s="5" t="n">
        <v>95</v>
      </c>
      <c r="F6750" s="3" t="inlineStr">
        <is>
          <t>남이면</t>
        </is>
      </c>
      <c r="G6750" s="3" t="inlineStr">
        <is>
          <t>가좌리</t>
        </is>
      </c>
      <c r="H6750" s="3" t="inlineStr">
        <is>
          <t>자연녹지지역</t>
        </is>
      </c>
      <c r="I6750" s="3" t="inlineStr">
        <is>
          <t>답</t>
        </is>
      </c>
      <c r="J6750" s="3" t="inlineStr">
        <is>
          <t>남이면</t>
        </is>
      </c>
    </row>
    <row r="6751">
      <c r="A6751" s="3" t="n">
        <v>2024</v>
      </c>
      <c r="B6751" s="4" t="n">
        <v>26400</v>
      </c>
      <c r="C6751" s="4" t="n">
        <v>918</v>
      </c>
      <c r="D6751" s="4" t="n">
        <v>277.695</v>
      </c>
      <c r="E6751" s="5" t="n">
        <v>95.09999999999999</v>
      </c>
      <c r="F6751" s="3" t="inlineStr">
        <is>
          <t>남이면</t>
        </is>
      </c>
      <c r="G6751" s="3" t="inlineStr">
        <is>
          <t>가좌리</t>
        </is>
      </c>
      <c r="H6751" s="3" t="inlineStr">
        <is>
          <t>자연녹지지역</t>
        </is>
      </c>
      <c r="I6751" s="3" t="inlineStr">
        <is>
          <t>답</t>
        </is>
      </c>
      <c r="J6751" s="3" t="inlineStr">
        <is>
          <t>남이면</t>
        </is>
      </c>
    </row>
    <row r="6752">
      <c r="A6752" s="3" t="n">
        <v>2023</v>
      </c>
      <c r="B6752" s="4" t="n">
        <v>8684</v>
      </c>
      <c r="C6752" s="4" t="n">
        <v>260</v>
      </c>
      <c r="D6752" s="4" t="n">
        <v>78.64999999999999</v>
      </c>
      <c r="E6752" s="5" t="n">
        <v>110.4</v>
      </c>
      <c r="F6752" s="3" t="inlineStr">
        <is>
          <t>장군면</t>
        </is>
      </c>
      <c r="G6752" s="3" t="inlineStr">
        <is>
          <t>금암리</t>
        </is>
      </c>
      <c r="H6752" s="3" t="inlineStr">
        <is>
          <t>보전관리지역</t>
        </is>
      </c>
      <c r="I6752" s="3" t="inlineStr">
        <is>
          <t>대</t>
        </is>
      </c>
      <c r="J6752" s="3" t="inlineStr">
        <is>
          <t>장군면</t>
        </is>
      </c>
    </row>
    <row r="6753">
      <c r="A6753" s="3" t="n">
        <v>2024</v>
      </c>
      <c r="B6753" s="4" t="n">
        <v>34848</v>
      </c>
      <c r="C6753" s="4" t="n">
        <v>457</v>
      </c>
      <c r="D6753" s="4" t="n">
        <v>138.2425</v>
      </c>
      <c r="E6753" s="5" t="n">
        <v>252.1</v>
      </c>
      <c r="F6753" s="3" t="inlineStr">
        <is>
          <t>장군면</t>
        </is>
      </c>
      <c r="G6753" s="3" t="inlineStr">
        <is>
          <t>산학리</t>
        </is>
      </c>
      <c r="H6753" s="3" t="inlineStr">
        <is>
          <t>보전관리지역</t>
        </is>
      </c>
      <c r="I6753" s="3" t="inlineStr">
        <is>
          <t>대</t>
        </is>
      </c>
      <c r="J6753" s="3" t="inlineStr">
        <is>
          <t>장군면</t>
        </is>
      </c>
    </row>
    <row r="6754">
      <c r="A6754" s="3" t="n">
        <v>2023</v>
      </c>
      <c r="B6754" s="4" t="n">
        <v>6146</v>
      </c>
      <c r="C6754" s="4" t="n">
        <v>184</v>
      </c>
      <c r="D6754" s="4" t="n">
        <v>55.66</v>
      </c>
      <c r="E6754" s="5" t="n">
        <v>110.4</v>
      </c>
      <c r="F6754" s="3" t="inlineStr">
        <is>
          <t>장군면</t>
        </is>
      </c>
      <c r="G6754" s="3" t="inlineStr">
        <is>
          <t>금암리</t>
        </is>
      </c>
      <c r="H6754" s="3" t="inlineStr">
        <is>
          <t>보전관리지역</t>
        </is>
      </c>
      <c r="I6754" s="3" t="inlineStr">
        <is>
          <t>대</t>
        </is>
      </c>
      <c r="J6754" s="3" t="inlineStr">
        <is>
          <t>장군면</t>
        </is>
      </c>
    </row>
    <row r="6755">
      <c r="A6755" s="3" t="n">
        <v>2023</v>
      </c>
      <c r="B6755" s="4" t="n">
        <v>18332</v>
      </c>
      <c r="C6755" s="4" t="n">
        <v>404</v>
      </c>
      <c r="D6755" s="4" t="n">
        <v>122.21</v>
      </c>
      <c r="E6755" s="5" t="n">
        <v>150</v>
      </c>
      <c r="F6755" s="3" t="inlineStr">
        <is>
          <t>연기면</t>
        </is>
      </c>
      <c r="G6755" s="3" t="inlineStr">
        <is>
          <t>수산리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연기면</t>
        </is>
      </c>
    </row>
    <row r="6756">
      <c r="A6756" s="3" t="n">
        <v>2023</v>
      </c>
      <c r="B6756" s="4" t="n">
        <v>57600</v>
      </c>
      <c r="C6756" s="4" t="n">
        <v>1709</v>
      </c>
      <c r="D6756" s="4" t="n">
        <v>516.9725</v>
      </c>
      <c r="E6756" s="5" t="n">
        <v>111.4</v>
      </c>
      <c r="F6756" s="3" t="inlineStr">
        <is>
          <t>부강면</t>
        </is>
      </c>
      <c r="G6756" s="3" t="inlineStr">
        <is>
          <t>노호리</t>
        </is>
      </c>
      <c r="H6756" s="3" t="inlineStr">
        <is>
          <t>계획관리지역</t>
        </is>
      </c>
      <c r="I6756" s="3" t="inlineStr">
        <is>
          <t>철도용지</t>
        </is>
      </c>
      <c r="J6756" s="3" t="inlineStr">
        <is>
          <t>부강면</t>
        </is>
      </c>
    </row>
    <row r="6757">
      <c r="A6757" s="3" t="n">
        <v>2023</v>
      </c>
      <c r="B6757" s="4" t="n">
        <v>2400</v>
      </c>
      <c r="C6757" s="4" t="n">
        <v>72</v>
      </c>
      <c r="D6757" s="4" t="n">
        <v>21.78</v>
      </c>
      <c r="E6757" s="5" t="n">
        <v>110.2</v>
      </c>
      <c r="F6757" s="3" t="inlineStr">
        <is>
          <t>부강면</t>
        </is>
      </c>
      <c r="G6757" s="3" t="inlineStr">
        <is>
          <t>노호리</t>
        </is>
      </c>
      <c r="H6757" s="3" t="inlineStr">
        <is>
          <t>계획관리지역</t>
        </is>
      </c>
      <c r="I6757" s="3" t="inlineStr">
        <is>
          <t>철도용지</t>
        </is>
      </c>
      <c r="J6757" s="3" t="inlineStr">
        <is>
          <t>부강면</t>
        </is>
      </c>
    </row>
    <row r="6758">
      <c r="A6758" s="3" t="n">
        <v>2023</v>
      </c>
      <c r="B6758" s="4" t="n">
        <v>48000</v>
      </c>
      <c r="C6758" s="4" t="n">
        <v>1174</v>
      </c>
      <c r="D6758" s="4" t="n">
        <v>355.135</v>
      </c>
      <c r="E6758" s="5" t="n">
        <v>135.2</v>
      </c>
      <c r="F6758" s="3" t="inlineStr">
        <is>
          <t>연기면</t>
        </is>
      </c>
      <c r="G6758" s="3" t="inlineStr">
        <is>
          <t>보통리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연기면</t>
        </is>
      </c>
    </row>
    <row r="6759">
      <c r="A6759" s="3" t="n">
        <v>2023</v>
      </c>
      <c r="B6759" s="4" t="n">
        <v>48500</v>
      </c>
      <c r="C6759" s="4" t="n">
        <v>2507</v>
      </c>
      <c r="D6759" s="4" t="n">
        <v>758.3674999999999</v>
      </c>
      <c r="E6759" s="5" t="n">
        <v>64</v>
      </c>
      <c r="F6759" s="3" t="inlineStr">
        <is>
          <t>전의면</t>
        </is>
      </c>
      <c r="G6759" s="3" t="inlineStr">
        <is>
          <t>서정리</t>
        </is>
      </c>
      <c r="H6759" s="3" t="inlineStr">
        <is>
          <t>농림지역</t>
        </is>
      </c>
      <c r="I6759" s="3" t="inlineStr">
        <is>
          <t>답</t>
        </is>
      </c>
      <c r="J6759" s="3" t="inlineStr">
        <is>
          <t>전의면</t>
        </is>
      </c>
    </row>
    <row r="6760">
      <c r="A6760" s="3" t="n">
        <v>2023</v>
      </c>
      <c r="B6760" s="4" t="n">
        <v>14000</v>
      </c>
      <c r="C6760" s="4" t="n">
        <v>746</v>
      </c>
      <c r="D6760" s="4" t="n">
        <v>225.665</v>
      </c>
      <c r="E6760" s="5" t="n">
        <v>62</v>
      </c>
      <c r="F6760" s="3" t="inlineStr">
        <is>
          <t>장군면</t>
        </is>
      </c>
      <c r="G6760" s="3" t="inlineStr">
        <is>
          <t>금암리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장군면</t>
        </is>
      </c>
    </row>
    <row r="6761">
      <c r="A6761" s="3" t="n">
        <v>2023</v>
      </c>
      <c r="B6761" s="4" t="n">
        <v>22000</v>
      </c>
      <c r="C6761" s="4" t="n">
        <v>1263</v>
      </c>
      <c r="D6761" s="4" t="n">
        <v>382.0575</v>
      </c>
      <c r="E6761" s="5" t="n">
        <v>57.6</v>
      </c>
      <c r="F6761" s="3" t="inlineStr">
        <is>
          <t>장군면</t>
        </is>
      </c>
      <c r="G6761" s="3" t="inlineStr">
        <is>
          <t>금암리</t>
        </is>
      </c>
      <c r="H6761" s="3" t="inlineStr">
        <is>
          <t>농림지역</t>
        </is>
      </c>
      <c r="I6761" s="3" t="inlineStr">
        <is>
          <t>임야</t>
        </is>
      </c>
      <c r="J6761" s="3" t="inlineStr">
        <is>
          <t>장군면</t>
        </is>
      </c>
    </row>
    <row r="6762">
      <c r="A6762" s="3" t="n">
        <v>2023</v>
      </c>
      <c r="B6762" s="4" t="n">
        <v>17248</v>
      </c>
      <c r="C6762" s="4" t="n">
        <v>583</v>
      </c>
      <c r="D6762" s="4" t="n">
        <v>176.3575</v>
      </c>
      <c r="E6762" s="5" t="n">
        <v>97.8</v>
      </c>
      <c r="F6762" s="3" t="inlineStr">
        <is>
          <t>전의면</t>
        </is>
      </c>
      <c r="G6762" s="3" t="inlineStr">
        <is>
          <t>신정리</t>
        </is>
      </c>
      <c r="H6762" s="3" t="inlineStr">
        <is>
          <t>계획관리지역</t>
        </is>
      </c>
      <c r="I6762" s="3" t="inlineStr">
        <is>
          <t>전</t>
        </is>
      </c>
      <c r="J6762" s="3" t="inlineStr">
        <is>
          <t>전의면</t>
        </is>
      </c>
    </row>
    <row r="6763">
      <c r="A6763" s="3" t="n">
        <v>2023</v>
      </c>
      <c r="B6763" s="4" t="n">
        <v>50000</v>
      </c>
      <c r="C6763" s="4" t="n">
        <v>350</v>
      </c>
      <c r="D6763" s="4" t="n">
        <v>105.875</v>
      </c>
      <c r="E6763" s="5" t="n">
        <v>472.3</v>
      </c>
      <c r="F6763" s="3" t="inlineStr">
        <is>
          <t>반곡동</t>
        </is>
      </c>
      <c r="G6763" s="3" t="inlineStr"/>
      <c r="H6763" s="3" t="inlineStr">
        <is>
          <t>제1종전용주거지역</t>
        </is>
      </c>
      <c r="I6763" s="3" t="inlineStr">
        <is>
          <t>대</t>
        </is>
      </c>
      <c r="J6763" s="3" t="inlineStr">
        <is>
          <t>반곡동</t>
        </is>
      </c>
    </row>
    <row r="6764">
      <c r="A6764" s="3" t="n">
        <v>2022</v>
      </c>
      <c r="B6764" s="4" t="n">
        <v>15720</v>
      </c>
      <c r="C6764" s="4" t="n">
        <v>262</v>
      </c>
      <c r="D6764" s="4" t="n">
        <v>79.255</v>
      </c>
      <c r="E6764" s="5" t="n">
        <v>198.3</v>
      </c>
      <c r="F6764" s="3" t="inlineStr">
        <is>
          <t>조치원읍</t>
        </is>
      </c>
      <c r="G6764" s="3" t="inlineStr">
        <is>
          <t>상리</t>
        </is>
      </c>
      <c r="H6764" s="3" t="inlineStr">
        <is>
          <t>제2종일반주거지역</t>
        </is>
      </c>
      <c r="I6764" s="3" t="inlineStr">
        <is>
          <t>대</t>
        </is>
      </c>
      <c r="J6764" s="3" t="inlineStr">
        <is>
          <t>조치원읍</t>
        </is>
      </c>
    </row>
    <row r="6765">
      <c r="A6765" s="3" t="n">
        <v>2022</v>
      </c>
      <c r="B6765" s="4" t="n">
        <v>883</v>
      </c>
      <c r="C6765" s="4" t="n">
        <v>102</v>
      </c>
      <c r="D6765" s="4" t="n">
        <v>30.855</v>
      </c>
      <c r="E6765" s="5" t="n">
        <v>28.6</v>
      </c>
      <c r="F6765" s="3" t="inlineStr">
        <is>
          <t>연서면</t>
        </is>
      </c>
      <c r="G6765" s="3" t="inlineStr">
        <is>
          <t>쌍류리</t>
        </is>
      </c>
      <c r="H6765" s="3" t="inlineStr">
        <is>
          <t>농림지역</t>
        </is>
      </c>
      <c r="I6765" s="3" t="inlineStr">
        <is>
          <t>임야</t>
        </is>
      </c>
      <c r="J6765" s="3" t="inlineStr">
        <is>
          <t>연서면</t>
        </is>
      </c>
    </row>
    <row r="6766">
      <c r="A6766" s="3" t="n">
        <v>2022</v>
      </c>
      <c r="B6766" s="4" t="n">
        <v>40767</v>
      </c>
      <c r="C6766" s="4" t="n">
        <v>4710</v>
      </c>
      <c r="D6766" s="4" t="n">
        <v>1424.775</v>
      </c>
      <c r="E6766" s="5" t="n">
        <v>28.6</v>
      </c>
      <c r="F6766" s="3" t="inlineStr">
        <is>
          <t>연서면</t>
        </is>
      </c>
      <c r="G6766" s="3" t="inlineStr">
        <is>
          <t>쌍류리</t>
        </is>
      </c>
      <c r="H6766" s="3" t="inlineStr">
        <is>
          <t>농림지역</t>
        </is>
      </c>
      <c r="I6766" s="3" t="inlineStr">
        <is>
          <t>임야</t>
        </is>
      </c>
      <c r="J6766" s="3" t="inlineStr">
        <is>
          <t>연서면</t>
        </is>
      </c>
    </row>
    <row r="6767">
      <c r="A6767" s="3" t="n">
        <v>2022</v>
      </c>
      <c r="B6767" s="4" t="n">
        <v>46350</v>
      </c>
      <c r="C6767" s="4" t="n">
        <v>1021</v>
      </c>
      <c r="D6767" s="4" t="n">
        <v>308.8525</v>
      </c>
      <c r="E6767" s="5" t="n">
        <v>150.1</v>
      </c>
      <c r="F6767" s="3" t="inlineStr">
        <is>
          <t>연서면</t>
        </is>
      </c>
      <c r="G6767" s="3" t="inlineStr">
        <is>
          <t>쌍류리</t>
        </is>
      </c>
      <c r="H6767" s="3" t="inlineStr">
        <is>
          <t>계획관리지역</t>
        </is>
      </c>
      <c r="I6767" s="3" t="inlineStr">
        <is>
          <t>대</t>
        </is>
      </c>
      <c r="J6767" s="3" t="inlineStr">
        <is>
          <t>연서면</t>
        </is>
      </c>
    </row>
    <row r="6768">
      <c r="A6768" s="3" t="n">
        <v>2022</v>
      </c>
      <c r="B6768" s="4" t="n">
        <v>6000</v>
      </c>
      <c r="C6768" s="4" t="n">
        <v>652</v>
      </c>
      <c r="D6768" s="4" t="n">
        <v>197.23</v>
      </c>
      <c r="E6768" s="5" t="n">
        <v>30.4</v>
      </c>
      <c r="F6768" s="3" t="inlineStr">
        <is>
          <t>연서면</t>
        </is>
      </c>
      <c r="G6768" s="3" t="inlineStr">
        <is>
          <t>쌍류리</t>
        </is>
      </c>
      <c r="H6768" s="3" t="inlineStr">
        <is>
          <t>농림지역</t>
        </is>
      </c>
      <c r="I6768" s="3" t="inlineStr">
        <is>
          <t>임야</t>
        </is>
      </c>
      <c r="J6768" s="3" t="inlineStr">
        <is>
          <t>연서면</t>
        </is>
      </c>
    </row>
    <row r="6769">
      <c r="A6769" s="3" t="n">
        <v>2022</v>
      </c>
      <c r="B6769" s="4" t="n">
        <v>101500</v>
      </c>
      <c r="C6769" s="4" t="n">
        <v>427</v>
      </c>
      <c r="D6769" s="4" t="n">
        <v>129.1675</v>
      </c>
      <c r="E6769" s="5" t="n">
        <v>785.8</v>
      </c>
      <c r="F6769" s="3" t="inlineStr">
        <is>
          <t>조치원읍</t>
        </is>
      </c>
      <c r="G6769" s="3" t="inlineStr">
        <is>
          <t>상리</t>
        </is>
      </c>
      <c r="H6769" s="3" t="inlineStr">
        <is>
          <t>일반상업지역</t>
        </is>
      </c>
      <c r="I6769" s="3" t="inlineStr">
        <is>
          <t>대</t>
        </is>
      </c>
      <c r="J6769" s="3" t="inlineStr">
        <is>
          <t>조치원읍</t>
        </is>
      </c>
    </row>
    <row r="6770">
      <c r="A6770" s="3" t="n">
        <v>2022</v>
      </c>
      <c r="B6770" s="4" t="n">
        <v>14991</v>
      </c>
      <c r="C6770" s="4" t="n">
        <v>248</v>
      </c>
      <c r="D6770" s="4" t="n">
        <v>75.02</v>
      </c>
      <c r="E6770" s="5" t="n">
        <v>199.8</v>
      </c>
      <c r="F6770" s="3" t="inlineStr">
        <is>
          <t>연기면</t>
        </is>
      </c>
      <c r="G6770" s="3" t="inlineStr">
        <is>
          <t>눌왕리</t>
        </is>
      </c>
      <c r="H6770" s="3" t="inlineStr">
        <is>
          <t>계획관리지역</t>
        </is>
      </c>
      <c r="I6770" s="3" t="inlineStr">
        <is>
          <t>과수원</t>
        </is>
      </c>
      <c r="J6770" s="3" t="inlineStr">
        <is>
          <t>연기면</t>
        </is>
      </c>
    </row>
    <row r="6771">
      <c r="A6771" s="3" t="n">
        <v>2022</v>
      </c>
      <c r="B6771" s="4" t="n">
        <v>22783</v>
      </c>
      <c r="C6771" s="4" t="n">
        <v>376.9</v>
      </c>
      <c r="D6771" s="4" t="n">
        <v>114.01225</v>
      </c>
      <c r="E6771" s="5" t="n">
        <v>199.8</v>
      </c>
      <c r="F6771" s="3" t="inlineStr">
        <is>
          <t>연기면</t>
        </is>
      </c>
      <c r="G6771" s="3" t="inlineStr">
        <is>
          <t>눌왕리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2022</v>
      </c>
      <c r="B6772" s="4" t="n">
        <v>62981</v>
      </c>
      <c r="C6772" s="4" t="n">
        <v>1388</v>
      </c>
      <c r="D6772" s="4" t="n">
        <v>419.87</v>
      </c>
      <c r="E6772" s="5" t="n">
        <v>150</v>
      </c>
      <c r="F6772" s="3" t="inlineStr">
        <is>
          <t>연기면</t>
        </is>
      </c>
      <c r="G6772" s="3" t="inlineStr">
        <is>
          <t>눌왕리</t>
        </is>
      </c>
      <c r="H6772" s="3" t="inlineStr">
        <is>
          <t>계획관리지역</t>
        </is>
      </c>
      <c r="I6772" s="3" t="inlineStr">
        <is>
          <t>임야</t>
        </is>
      </c>
      <c r="J6772" s="3" t="inlineStr">
        <is>
          <t>연기면</t>
        </is>
      </c>
    </row>
    <row r="6773">
      <c r="A6773" s="3" t="n">
        <v>2022</v>
      </c>
      <c r="B6773" s="4" t="n">
        <v>18926</v>
      </c>
      <c r="C6773" s="4" t="n">
        <v>313.1</v>
      </c>
      <c r="D6773" s="4" t="n">
        <v>94.71275</v>
      </c>
      <c r="E6773" s="5" t="n">
        <v>199.8</v>
      </c>
      <c r="F6773" s="3" t="inlineStr">
        <is>
          <t>연기면</t>
        </is>
      </c>
      <c r="G6773" s="3" t="inlineStr">
        <is>
          <t>눌왕리</t>
        </is>
      </c>
      <c r="H6773" s="3" t="inlineStr">
        <is>
          <t>계획관리지역</t>
        </is>
      </c>
      <c r="I6773" s="3" t="inlineStr">
        <is>
          <t>전</t>
        </is>
      </c>
      <c r="J6773" s="3" t="inlineStr">
        <is>
          <t>연기면</t>
        </is>
      </c>
    </row>
    <row r="6774">
      <c r="A6774" s="3" t="n">
        <v>2022</v>
      </c>
      <c r="B6774" s="4" t="n">
        <v>1900</v>
      </c>
      <c r="C6774" s="4" t="n">
        <v>238</v>
      </c>
      <c r="D6774" s="4" t="n">
        <v>71.995</v>
      </c>
      <c r="E6774" s="5" t="n">
        <v>26.4</v>
      </c>
      <c r="F6774" s="3" t="inlineStr">
        <is>
          <t>전동면</t>
        </is>
      </c>
      <c r="G6774" s="3" t="inlineStr">
        <is>
          <t>송곡리</t>
        </is>
      </c>
      <c r="H6774" s="3" t="inlineStr">
        <is>
          <t>계획관리지역</t>
        </is>
      </c>
      <c r="I6774" s="3" t="inlineStr">
        <is>
          <t>대</t>
        </is>
      </c>
      <c r="J6774" s="3" t="inlineStr">
        <is>
          <t>전동면</t>
        </is>
      </c>
    </row>
    <row r="6775">
      <c r="A6775" s="3" t="n">
        <v>2022</v>
      </c>
      <c r="B6775" s="4" t="n">
        <v>4100</v>
      </c>
      <c r="C6775" s="4" t="n">
        <v>509</v>
      </c>
      <c r="D6775" s="4" t="n">
        <v>153.9725</v>
      </c>
      <c r="E6775" s="5" t="n">
        <v>26.6</v>
      </c>
      <c r="F6775" s="3" t="inlineStr">
        <is>
          <t>전동면</t>
        </is>
      </c>
      <c r="G6775" s="3" t="inlineStr">
        <is>
          <t>송곡리</t>
        </is>
      </c>
      <c r="H6775" s="3" t="inlineStr">
        <is>
          <t>계획관리지역</t>
        </is>
      </c>
      <c r="I6775" s="3" t="inlineStr">
        <is>
          <t>대</t>
        </is>
      </c>
      <c r="J6775" s="3" t="inlineStr">
        <is>
          <t>전동면</t>
        </is>
      </c>
    </row>
    <row r="6776">
      <c r="A6776" s="3" t="n">
        <v>2022</v>
      </c>
      <c r="B6776" s="4" t="n">
        <v>10000</v>
      </c>
      <c r="C6776" s="4" t="n">
        <v>896</v>
      </c>
      <c r="D6776" s="4" t="n">
        <v>271.04</v>
      </c>
      <c r="E6776" s="5" t="n">
        <v>36.9</v>
      </c>
      <c r="F6776" s="3" t="inlineStr">
        <is>
          <t>전동면</t>
        </is>
      </c>
      <c r="G6776" s="3" t="inlineStr">
        <is>
          <t>심중리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전동면</t>
        </is>
      </c>
    </row>
    <row r="6777">
      <c r="A6777" s="3" t="n">
        <v>2022</v>
      </c>
      <c r="B6777" s="4" t="n">
        <v>90000</v>
      </c>
      <c r="C6777" s="4" t="n">
        <v>2674</v>
      </c>
      <c r="D6777" s="4" t="n">
        <v>808.885</v>
      </c>
      <c r="E6777" s="5" t="n">
        <v>111.3</v>
      </c>
      <c r="F6777" s="3" t="inlineStr">
        <is>
          <t>장군면</t>
        </is>
      </c>
      <c r="G6777" s="3" t="inlineStr">
        <is>
          <t>송학리</t>
        </is>
      </c>
      <c r="H6777" s="3" t="inlineStr">
        <is>
          <t>생산관리지역</t>
        </is>
      </c>
      <c r="I6777" s="3" t="inlineStr">
        <is>
          <t>전</t>
        </is>
      </c>
      <c r="J6777" s="3" t="inlineStr">
        <is>
          <t>장군면</t>
        </is>
      </c>
    </row>
    <row r="6778">
      <c r="A6778" s="3" t="n">
        <v>2022</v>
      </c>
      <c r="B6778" s="4" t="n">
        <v>62981</v>
      </c>
      <c r="C6778" s="4" t="n">
        <v>1388</v>
      </c>
      <c r="D6778" s="4" t="n">
        <v>419.87</v>
      </c>
      <c r="E6778" s="5" t="n">
        <v>150</v>
      </c>
      <c r="F6778" s="3" t="inlineStr">
        <is>
          <t>연기면</t>
        </is>
      </c>
      <c r="G6778" s="3" t="inlineStr">
        <is>
          <t>눌왕리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연기면</t>
        </is>
      </c>
    </row>
    <row r="6779">
      <c r="A6779" s="3" t="n">
        <v>2022</v>
      </c>
      <c r="B6779" s="4" t="n">
        <v>14991</v>
      </c>
      <c r="C6779" s="4" t="n">
        <v>248</v>
      </c>
      <c r="D6779" s="4" t="n">
        <v>75.02</v>
      </c>
      <c r="E6779" s="5" t="n">
        <v>199.8</v>
      </c>
      <c r="F6779" s="3" t="inlineStr">
        <is>
          <t>연기면</t>
        </is>
      </c>
      <c r="G6779" s="3" t="inlineStr">
        <is>
          <t>눌왕리</t>
        </is>
      </c>
      <c r="H6779" s="3" t="inlineStr">
        <is>
          <t>계획관리지역</t>
        </is>
      </c>
      <c r="I6779" s="3" t="inlineStr">
        <is>
          <t>과수원</t>
        </is>
      </c>
      <c r="J6779" s="3" t="inlineStr">
        <is>
          <t>연기면</t>
        </is>
      </c>
    </row>
    <row r="6780">
      <c r="A6780" s="3" t="n">
        <v>2022</v>
      </c>
      <c r="B6780" s="4" t="n">
        <v>22783</v>
      </c>
      <c r="C6780" s="4" t="n">
        <v>376.9</v>
      </c>
      <c r="D6780" s="4" t="n">
        <v>114.01225</v>
      </c>
      <c r="E6780" s="5" t="n">
        <v>199.8</v>
      </c>
      <c r="F6780" s="3" t="inlineStr">
        <is>
          <t>연기면</t>
        </is>
      </c>
      <c r="G6780" s="3" t="inlineStr">
        <is>
          <t>눌왕리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4500</v>
      </c>
      <c r="C6781" s="4" t="n">
        <v>291</v>
      </c>
      <c r="D6781" s="4" t="n">
        <v>88.0275</v>
      </c>
      <c r="E6781" s="5" t="n">
        <v>51.1</v>
      </c>
      <c r="F6781" s="3" t="inlineStr">
        <is>
          <t>연서면</t>
        </is>
      </c>
      <c r="G6781" s="3" t="inlineStr">
        <is>
          <t>쌍류리</t>
        </is>
      </c>
      <c r="H6781" s="3" t="inlineStr">
        <is>
          <t>생산관리지역</t>
        </is>
      </c>
      <c r="I6781" s="3" t="inlineStr">
        <is>
          <t>전</t>
        </is>
      </c>
      <c r="J6781" s="3" t="inlineStr">
        <is>
          <t>연서면</t>
        </is>
      </c>
    </row>
    <row r="6782">
      <c r="A6782" s="3" t="n">
        <v>2023</v>
      </c>
      <c r="B6782" s="4" t="n">
        <v>45000</v>
      </c>
      <c r="C6782" s="4" t="n">
        <v>1679</v>
      </c>
      <c r="D6782" s="4" t="n">
        <v>507.8975</v>
      </c>
      <c r="E6782" s="5" t="n">
        <v>88.59999999999999</v>
      </c>
      <c r="F6782" s="3" t="inlineStr">
        <is>
          <t>현도면</t>
        </is>
      </c>
      <c r="G6782" s="3" t="inlineStr">
        <is>
          <t>우록리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현도면</t>
        </is>
      </c>
    </row>
    <row r="6783">
      <c r="A6783" s="3" t="n">
        <v>2023</v>
      </c>
      <c r="B6783" s="4" t="n">
        <v>60000</v>
      </c>
      <c r="C6783" s="4" t="n">
        <v>3663</v>
      </c>
      <c r="D6783" s="4" t="n">
        <v>1108.0575</v>
      </c>
      <c r="E6783" s="5" t="n">
        <v>54.1</v>
      </c>
      <c r="F6783" s="3" t="inlineStr">
        <is>
          <t>남이면</t>
        </is>
      </c>
      <c r="G6783" s="3" t="inlineStr">
        <is>
          <t>수대리</t>
        </is>
      </c>
      <c r="H6783" s="3" t="inlineStr">
        <is>
          <t>자연녹지지역</t>
        </is>
      </c>
      <c r="I6783" s="3" t="inlineStr">
        <is>
          <t>답</t>
        </is>
      </c>
      <c r="J6783" s="3" t="inlineStr">
        <is>
          <t>남이면</t>
        </is>
      </c>
    </row>
    <row r="6784">
      <c r="A6784" s="3" t="n">
        <v>2023</v>
      </c>
      <c r="B6784" s="4" t="n">
        <v>29451</v>
      </c>
      <c r="C6784" s="4" t="n">
        <v>2434</v>
      </c>
      <c r="D6784" s="4" t="n">
        <v>736.285</v>
      </c>
      <c r="E6784" s="5" t="n">
        <v>40</v>
      </c>
      <c r="F6784" s="3" t="inlineStr">
        <is>
          <t>남이면</t>
        </is>
      </c>
      <c r="G6784" s="3" t="inlineStr">
        <is>
          <t>척산리</t>
        </is>
      </c>
      <c r="H6784" s="3" t="inlineStr">
        <is>
          <t>계획관리지역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2023</v>
      </c>
      <c r="B6785" s="4" t="n">
        <v>9500</v>
      </c>
      <c r="C6785" s="4" t="n">
        <v>1715</v>
      </c>
      <c r="D6785" s="4" t="n">
        <v>518.7875</v>
      </c>
      <c r="E6785" s="5" t="n">
        <v>18.3</v>
      </c>
      <c r="F6785" s="3" t="inlineStr">
        <is>
          <t>현도면</t>
        </is>
      </c>
      <c r="G6785" s="3" t="inlineStr">
        <is>
          <t>하석리</t>
        </is>
      </c>
      <c r="H6785" s="3" t="inlineStr">
        <is>
          <t>개발제한구역</t>
        </is>
      </c>
      <c r="I6785" s="3" t="inlineStr">
        <is>
          <t>전</t>
        </is>
      </c>
      <c r="J6785" s="3" t="inlineStr">
        <is>
          <t>현도면</t>
        </is>
      </c>
    </row>
    <row r="6786">
      <c r="A6786" s="3" t="n">
        <v>2023</v>
      </c>
      <c r="B6786" s="4" t="n">
        <v>16588</v>
      </c>
      <c r="C6786" s="4" t="n">
        <v>404</v>
      </c>
      <c r="D6786" s="4" t="n">
        <v>122.21</v>
      </c>
      <c r="E6786" s="5" t="n">
        <v>135.7</v>
      </c>
      <c r="F6786" s="3" t="inlineStr">
        <is>
          <t>남이면</t>
        </is>
      </c>
      <c r="G6786" s="3" t="inlineStr">
        <is>
          <t>구암리</t>
        </is>
      </c>
      <c r="H6786" s="3" t="inlineStr">
        <is>
          <t>보전녹지지역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2023</v>
      </c>
      <c r="B6787" s="4" t="n">
        <v>4450</v>
      </c>
      <c r="C6787" s="4" t="n">
        <v>295</v>
      </c>
      <c r="D6787" s="4" t="n">
        <v>89.2375</v>
      </c>
      <c r="E6787" s="5" t="n">
        <v>49.9</v>
      </c>
      <c r="F6787" s="3" t="inlineStr">
        <is>
          <t>현도면</t>
        </is>
      </c>
      <c r="G6787" s="3" t="inlineStr">
        <is>
          <t>매봉리</t>
        </is>
      </c>
      <c r="H6787" s="3" t="inlineStr">
        <is>
          <t>자연녹지지역</t>
        </is>
      </c>
      <c r="I6787" s="3" t="inlineStr">
        <is>
          <t>전</t>
        </is>
      </c>
      <c r="J6787" s="3" t="inlineStr">
        <is>
          <t>현도면</t>
        </is>
      </c>
    </row>
    <row r="6788">
      <c r="A6788" s="3" t="n">
        <v>2023</v>
      </c>
      <c r="B6788" s="4" t="n">
        <v>17450</v>
      </c>
      <c r="C6788" s="4" t="n">
        <v>1156</v>
      </c>
      <c r="D6788" s="4" t="n">
        <v>349.69</v>
      </c>
      <c r="E6788" s="5" t="n">
        <v>49.9</v>
      </c>
      <c r="F6788" s="3" t="inlineStr">
        <is>
          <t>남이면</t>
        </is>
      </c>
      <c r="G6788" s="3" t="inlineStr">
        <is>
          <t>가마리</t>
        </is>
      </c>
      <c r="H6788" s="3" t="inlineStr">
        <is>
          <t>보전녹지지역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2023</v>
      </c>
      <c r="B6789" s="4" t="n">
        <v>10000</v>
      </c>
      <c r="C6789" s="4" t="n">
        <v>365</v>
      </c>
      <c r="D6789" s="4" t="n">
        <v>110.4125</v>
      </c>
      <c r="E6789" s="5" t="n">
        <v>90.59999999999999</v>
      </c>
      <c r="F6789" s="3" t="inlineStr">
        <is>
          <t>남이면</t>
        </is>
      </c>
      <c r="G6789" s="3" t="inlineStr">
        <is>
          <t>부용외천리</t>
        </is>
      </c>
      <c r="H6789" s="3" t="inlineStr">
        <is>
          <t>계획관리지역</t>
        </is>
      </c>
      <c r="I6789" s="3" t="inlineStr">
        <is>
          <t>창고용지</t>
        </is>
      </c>
      <c r="J6789" s="3" t="inlineStr">
        <is>
          <t>남이면</t>
        </is>
      </c>
    </row>
    <row r="6790">
      <c r="A6790" s="3" t="n">
        <v>2023</v>
      </c>
      <c r="B6790" s="4" t="n">
        <v>5000</v>
      </c>
      <c r="C6790" s="4" t="n">
        <v>173</v>
      </c>
      <c r="D6790" s="4" t="n">
        <v>52.3325</v>
      </c>
      <c r="E6790" s="5" t="n">
        <v>95.5</v>
      </c>
      <c r="F6790" s="3" t="inlineStr">
        <is>
          <t>남이면</t>
        </is>
      </c>
      <c r="G6790" s="3" t="inlineStr">
        <is>
          <t>부용외천리</t>
        </is>
      </c>
      <c r="H6790" s="3" t="inlineStr">
        <is>
          <t>계획관리지역</t>
        </is>
      </c>
      <c r="I6790" s="3" t="inlineStr">
        <is>
          <t>창고용지</t>
        </is>
      </c>
      <c r="J6790" s="3" t="inlineStr">
        <is>
          <t>남이면</t>
        </is>
      </c>
    </row>
    <row r="6791">
      <c r="A6791" s="3" t="n">
        <v>2023</v>
      </c>
      <c r="B6791" s="4" t="n">
        <v>16000</v>
      </c>
      <c r="C6791" s="4" t="n">
        <v>1525</v>
      </c>
      <c r="D6791" s="4" t="n">
        <v>461.3125</v>
      </c>
      <c r="E6791" s="5" t="n">
        <v>34.7</v>
      </c>
      <c r="F6791" s="3" t="inlineStr">
        <is>
          <t>현도면</t>
        </is>
      </c>
      <c r="G6791" s="3" t="inlineStr">
        <is>
          <t>죽전리</t>
        </is>
      </c>
      <c r="H6791" s="3" t="inlineStr">
        <is>
          <t>개발제한구역</t>
        </is>
      </c>
      <c r="I6791" s="3" t="inlineStr">
        <is>
          <t>답</t>
        </is>
      </c>
      <c r="J6791" s="3" t="inlineStr">
        <is>
          <t>현도면</t>
        </is>
      </c>
    </row>
    <row r="6792">
      <c r="A6792" s="3" t="n">
        <v>2023</v>
      </c>
      <c r="B6792" s="4" t="n">
        <v>3400</v>
      </c>
      <c r="C6792" s="4" t="n">
        <v>112</v>
      </c>
      <c r="D6792" s="4" t="n">
        <v>33.88</v>
      </c>
      <c r="E6792" s="5" t="n">
        <v>100.4</v>
      </c>
      <c r="F6792" s="3" t="inlineStr">
        <is>
          <t>현도면</t>
        </is>
      </c>
      <c r="G6792" s="3" t="inlineStr">
        <is>
          <t>하석리</t>
        </is>
      </c>
      <c r="H6792" s="3" t="inlineStr">
        <is>
          <t>자연녹지지역</t>
        </is>
      </c>
      <c r="I6792" s="3" t="inlineStr">
        <is>
          <t>대</t>
        </is>
      </c>
      <c r="J6792" s="3" t="inlineStr">
        <is>
          <t>현도면</t>
        </is>
      </c>
    </row>
    <row r="6793">
      <c r="A6793" s="3" t="n">
        <v>2023</v>
      </c>
      <c r="B6793" s="4" t="n">
        <v>12000</v>
      </c>
      <c r="C6793" s="4" t="n">
        <v>1050</v>
      </c>
      <c r="D6793" s="4" t="n">
        <v>317.625</v>
      </c>
      <c r="E6793" s="5" t="n">
        <v>37.8</v>
      </c>
      <c r="F6793" s="3" t="inlineStr">
        <is>
          <t>남이면</t>
        </is>
      </c>
      <c r="G6793" s="3" t="inlineStr">
        <is>
          <t>척산리</t>
        </is>
      </c>
      <c r="H6793" s="3" t="inlineStr">
        <is>
          <t>자연녹지지역</t>
        </is>
      </c>
      <c r="I6793" s="3" t="inlineStr">
        <is>
          <t>전</t>
        </is>
      </c>
      <c r="J6793" s="3" t="inlineStr">
        <is>
          <t>남이면</t>
        </is>
      </c>
    </row>
    <row r="6794">
      <c r="A6794" s="3" t="n">
        <v>2023</v>
      </c>
      <c r="B6794" s="4" t="n">
        <v>1250</v>
      </c>
      <c r="C6794" s="4" t="n">
        <v>218</v>
      </c>
      <c r="D6794" s="4" t="n">
        <v>65.94499999999999</v>
      </c>
      <c r="E6794" s="5" t="n">
        <v>19</v>
      </c>
      <c r="F6794" s="3" t="inlineStr">
        <is>
          <t>남이면</t>
        </is>
      </c>
      <c r="G6794" s="3" t="inlineStr">
        <is>
          <t>외천리</t>
        </is>
      </c>
      <c r="H6794" s="3" t="inlineStr">
        <is>
          <t>계획관리지역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2023</v>
      </c>
      <c r="B6795" s="4" t="n">
        <v>28500</v>
      </c>
      <c r="C6795" s="4" t="n">
        <v>2097</v>
      </c>
      <c r="D6795" s="4" t="n">
        <v>634.3425</v>
      </c>
      <c r="E6795" s="5" t="n">
        <v>44.9</v>
      </c>
      <c r="F6795" s="3" t="inlineStr">
        <is>
          <t>현도면</t>
        </is>
      </c>
      <c r="G6795" s="3" t="inlineStr">
        <is>
          <t>노산리</t>
        </is>
      </c>
      <c r="H6795" s="3" t="inlineStr">
        <is>
          <t>개발제한구역</t>
        </is>
      </c>
      <c r="I6795" s="3" t="inlineStr">
        <is>
          <t>전</t>
        </is>
      </c>
      <c r="J6795" s="3" t="inlineStr">
        <is>
          <t>현도면</t>
        </is>
      </c>
    </row>
    <row r="6796">
      <c r="A6796" s="3" t="n">
        <v>2023</v>
      </c>
      <c r="B6796" s="4" t="n">
        <v>22000</v>
      </c>
      <c r="C6796" s="4" t="n">
        <v>2079</v>
      </c>
      <c r="D6796" s="4" t="n">
        <v>628.8975</v>
      </c>
      <c r="E6796" s="5" t="n">
        <v>35</v>
      </c>
      <c r="F6796" s="3" t="inlineStr">
        <is>
          <t>남이면</t>
        </is>
      </c>
      <c r="G6796" s="3" t="inlineStr">
        <is>
          <t>가좌리</t>
        </is>
      </c>
      <c r="H6796" s="3" t="inlineStr">
        <is>
          <t>자연녹지지역</t>
        </is>
      </c>
      <c r="I6796" s="3" t="inlineStr">
        <is>
          <t>답</t>
        </is>
      </c>
      <c r="J6796" s="3" t="inlineStr">
        <is>
          <t>남이면</t>
        </is>
      </c>
    </row>
    <row r="6797">
      <c r="A6797" s="3" t="n">
        <v>2023</v>
      </c>
      <c r="B6797" s="4" t="n">
        <v>28000</v>
      </c>
      <c r="C6797" s="4" t="n">
        <v>2360</v>
      </c>
      <c r="D6797" s="4" t="n">
        <v>713.9</v>
      </c>
      <c r="E6797" s="5" t="n">
        <v>39.2</v>
      </c>
      <c r="F6797" s="3" t="inlineStr">
        <is>
          <t>현도면</t>
        </is>
      </c>
      <c r="G6797" s="3" t="inlineStr">
        <is>
          <t>노산리</t>
        </is>
      </c>
      <c r="H6797" s="3" t="inlineStr">
        <is>
          <t>개발제한구역</t>
        </is>
      </c>
      <c r="I6797" s="3" t="inlineStr">
        <is>
          <t>답</t>
        </is>
      </c>
      <c r="J6797" s="3" t="inlineStr">
        <is>
          <t>현도면</t>
        </is>
      </c>
    </row>
    <row r="6798">
      <c r="A6798" s="3" t="n">
        <v>2023</v>
      </c>
      <c r="B6798" s="4" t="n">
        <v>1100</v>
      </c>
      <c r="C6798" s="4" t="n">
        <v>316</v>
      </c>
      <c r="D6798" s="4" t="n">
        <v>95.59</v>
      </c>
      <c r="E6798" s="5" t="n">
        <v>11.5</v>
      </c>
      <c r="F6798" s="3" t="inlineStr">
        <is>
          <t>남이면</t>
        </is>
      </c>
      <c r="G6798" s="3" t="inlineStr">
        <is>
          <t>비룡리</t>
        </is>
      </c>
      <c r="H6798" s="3" t="inlineStr">
        <is>
          <t>농림지역</t>
        </is>
      </c>
      <c r="I6798" s="3" t="inlineStr">
        <is>
          <t>전</t>
        </is>
      </c>
      <c r="J6798" s="3" t="inlineStr">
        <is>
          <t>남이면</t>
        </is>
      </c>
    </row>
    <row r="6799">
      <c r="A6799" s="3" t="n">
        <v>2023</v>
      </c>
      <c r="B6799" s="4" t="n">
        <v>500</v>
      </c>
      <c r="C6799" s="4" t="n">
        <v>160</v>
      </c>
      <c r="D6799" s="4" t="n">
        <v>48.4</v>
      </c>
      <c r="E6799" s="5" t="n">
        <v>10.3</v>
      </c>
      <c r="F6799" s="3" t="inlineStr">
        <is>
          <t>남이면</t>
        </is>
      </c>
      <c r="G6799" s="3" t="inlineStr">
        <is>
          <t>비룡리</t>
        </is>
      </c>
      <c r="H6799" s="3" t="inlineStr">
        <is>
          <t>농림지역</t>
        </is>
      </c>
      <c r="I6799" s="3" t="inlineStr">
        <is>
          <t>전</t>
        </is>
      </c>
      <c r="J6799" s="3" t="inlineStr">
        <is>
          <t>남이면</t>
        </is>
      </c>
    </row>
    <row r="6800">
      <c r="A6800" s="3" t="n">
        <v>2023</v>
      </c>
      <c r="B6800" s="4" t="n">
        <v>2000</v>
      </c>
      <c r="C6800" s="4" t="n">
        <v>578</v>
      </c>
      <c r="D6800" s="4" t="n">
        <v>174.845</v>
      </c>
      <c r="E6800" s="5" t="n">
        <v>11.4</v>
      </c>
      <c r="F6800" s="3" t="inlineStr">
        <is>
          <t>남이면</t>
        </is>
      </c>
      <c r="G6800" s="3" t="inlineStr">
        <is>
          <t>비룡리</t>
        </is>
      </c>
      <c r="H6800" s="3" t="inlineStr">
        <is>
          <t>농림지역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2023</v>
      </c>
      <c r="B6801" s="4" t="n">
        <v>200</v>
      </c>
      <c r="C6801" s="4" t="n">
        <v>66</v>
      </c>
      <c r="D6801" s="4" t="n">
        <v>19.965</v>
      </c>
      <c r="E6801" s="5" t="n">
        <v>10</v>
      </c>
      <c r="F6801" s="3" t="inlineStr">
        <is>
          <t>남이면</t>
        </is>
      </c>
      <c r="G6801" s="3" t="inlineStr">
        <is>
          <t>비룡리</t>
        </is>
      </c>
      <c r="H6801" s="3" t="inlineStr">
        <is>
          <t>농림지역</t>
        </is>
      </c>
      <c r="I6801" s="3" t="inlineStr">
        <is>
          <t>답</t>
        </is>
      </c>
      <c r="J6801" s="3" t="inlineStr">
        <is>
          <t>남이면</t>
        </is>
      </c>
    </row>
    <row r="6802">
      <c r="A6802" s="3" t="n">
        <v>2023</v>
      </c>
      <c r="B6802" s="4" t="n">
        <v>21300</v>
      </c>
      <c r="C6802" s="4" t="n">
        <v>1412</v>
      </c>
      <c r="D6802" s="4" t="n">
        <v>427.13</v>
      </c>
      <c r="E6802" s="5" t="n">
        <v>49.9</v>
      </c>
      <c r="F6802" s="3" t="inlineStr">
        <is>
          <t>남이면</t>
        </is>
      </c>
      <c r="G6802" s="3" t="inlineStr">
        <is>
          <t>대련리</t>
        </is>
      </c>
      <c r="H6802" s="3" t="inlineStr">
        <is>
          <t>자연녹지지역</t>
        </is>
      </c>
      <c r="I6802" s="3" t="inlineStr">
        <is>
          <t>전</t>
        </is>
      </c>
      <c r="J6802" s="3" t="inlineStr">
        <is>
          <t>남이면</t>
        </is>
      </c>
    </row>
    <row r="6803">
      <c r="A6803" s="3" t="n">
        <v>2023</v>
      </c>
      <c r="B6803" s="4" t="n">
        <v>18995</v>
      </c>
      <c r="C6803" s="4" t="n">
        <v>482</v>
      </c>
      <c r="D6803" s="4" t="n">
        <v>145.805</v>
      </c>
      <c r="E6803" s="5" t="n">
        <v>130.3</v>
      </c>
      <c r="F6803" s="3" t="inlineStr">
        <is>
          <t>남이면</t>
        </is>
      </c>
      <c r="G6803" s="3" t="inlineStr">
        <is>
          <t>양촌리</t>
        </is>
      </c>
      <c r="H6803" s="3" t="inlineStr">
        <is>
          <t>보전녹지지역</t>
        </is>
      </c>
      <c r="I6803" s="3" t="inlineStr">
        <is>
          <t>임야</t>
        </is>
      </c>
      <c r="J6803" s="3" t="inlineStr">
        <is>
          <t>남이면</t>
        </is>
      </c>
    </row>
    <row r="6804">
      <c r="A6804" s="3" t="n">
        <v>2025</v>
      </c>
      <c r="B6804" s="4" t="n">
        <v>16689</v>
      </c>
      <c r="C6804" s="4" t="n">
        <v>238</v>
      </c>
      <c r="D6804" s="4" t="n">
        <v>71.995</v>
      </c>
      <c r="E6804" s="5" t="n">
        <v>231.8</v>
      </c>
      <c r="F6804" s="3" t="inlineStr">
        <is>
          <t>금남면</t>
        </is>
      </c>
      <c r="G6804" s="3" t="inlineStr">
        <is>
          <t>원봉리</t>
        </is>
      </c>
      <c r="H6804" s="3" t="inlineStr">
        <is>
          <t>계획관리지역</t>
        </is>
      </c>
      <c r="I6804" s="3" t="inlineStr">
        <is>
          <t>답</t>
        </is>
      </c>
      <c r="J6804" s="3" t="inlineStr">
        <is>
          <t>금남면</t>
        </is>
      </c>
    </row>
    <row r="6805">
      <c r="A6805" s="3" t="n">
        <v>2026</v>
      </c>
      <c r="B6805" s="4" t="n">
        <v>900</v>
      </c>
      <c r="C6805" s="4" t="n">
        <v>221</v>
      </c>
      <c r="D6805" s="4" t="n">
        <v>66.85249999999999</v>
      </c>
      <c r="E6805" s="5" t="n">
        <v>13.5</v>
      </c>
      <c r="F6805" s="3" t="inlineStr">
        <is>
          <t>금남면</t>
        </is>
      </c>
      <c r="G6805" s="3" t="inlineStr">
        <is>
          <t>박산리</t>
        </is>
      </c>
      <c r="H6805" s="3" t="inlineStr">
        <is>
          <t>개발제한구역</t>
        </is>
      </c>
      <c r="I6805" s="3" t="inlineStr">
        <is>
          <t>묘지</t>
        </is>
      </c>
      <c r="J6805" s="3" t="inlineStr">
        <is>
          <t>금남면</t>
        </is>
      </c>
    </row>
    <row r="6806">
      <c r="A6806" s="3" t="n">
        <v>2026</v>
      </c>
      <c r="B6806" s="4" t="n">
        <v>846</v>
      </c>
      <c r="C6806" s="4" t="n">
        <v>331</v>
      </c>
      <c r="D6806" s="4" t="n">
        <v>100.1275</v>
      </c>
      <c r="E6806" s="5" t="n">
        <v>8.4</v>
      </c>
      <c r="F6806" s="3" t="inlineStr">
        <is>
          <t>장군면</t>
        </is>
      </c>
      <c r="G6806" s="3" t="inlineStr">
        <is>
          <t>용암리</t>
        </is>
      </c>
      <c r="H6806" s="3" t="inlineStr">
        <is>
          <t>보전관리지역</t>
        </is>
      </c>
      <c r="I6806" s="3" t="inlineStr">
        <is>
          <t>임야</t>
        </is>
      </c>
      <c r="J6806" s="3" t="inlineStr">
        <is>
          <t>장군면</t>
        </is>
      </c>
    </row>
    <row r="6807">
      <c r="A6807" s="3" t="n">
        <v>2026</v>
      </c>
      <c r="B6807" s="4" t="n">
        <v>56295</v>
      </c>
      <c r="C6807" s="4" t="n">
        <v>634</v>
      </c>
      <c r="D6807" s="4" t="n">
        <v>191.785</v>
      </c>
      <c r="E6807" s="5" t="n">
        <v>293.5</v>
      </c>
      <c r="F6807" s="3" t="inlineStr">
        <is>
          <t>장군면</t>
        </is>
      </c>
      <c r="G6807" s="3" t="inlineStr">
        <is>
          <t>금암리</t>
        </is>
      </c>
      <c r="H6807" s="3" t="inlineStr">
        <is>
          <t>계획관리지역</t>
        </is>
      </c>
      <c r="I6807" s="3" t="inlineStr">
        <is>
          <t>대</t>
        </is>
      </c>
      <c r="J6807" s="3" t="inlineStr">
        <is>
          <t>장군면</t>
        </is>
      </c>
    </row>
    <row r="6808">
      <c r="A6808" s="3" t="n">
        <v>2026</v>
      </c>
      <c r="B6808" s="4" t="n">
        <v>3285</v>
      </c>
      <c r="C6808" s="4" t="n">
        <v>37</v>
      </c>
      <c r="D6808" s="4" t="n">
        <v>11.1925</v>
      </c>
      <c r="E6808" s="5" t="n">
        <v>293.5</v>
      </c>
      <c r="F6808" s="3" t="inlineStr">
        <is>
          <t>장군면</t>
        </is>
      </c>
      <c r="G6808" s="3" t="inlineStr">
        <is>
          <t>금암리</t>
        </is>
      </c>
      <c r="H6808" s="3" t="inlineStr">
        <is>
          <t>계획관리지역</t>
        </is>
      </c>
      <c r="I6808" s="3" t="inlineStr">
        <is>
          <t>대</t>
        </is>
      </c>
      <c r="J6808" s="3" t="inlineStr">
        <is>
          <t>장군면</t>
        </is>
      </c>
    </row>
    <row r="6809">
      <c r="A6809" s="3" t="n">
        <v>2026</v>
      </c>
      <c r="B6809" s="4" t="n">
        <v>888</v>
      </c>
      <c r="C6809" s="4" t="n">
        <v>10</v>
      </c>
      <c r="D6809" s="4" t="n">
        <v>3.025</v>
      </c>
      <c r="E6809" s="5" t="n">
        <v>293.6</v>
      </c>
      <c r="F6809" s="3" t="inlineStr">
        <is>
          <t>장군면</t>
        </is>
      </c>
      <c r="G6809" s="3" t="inlineStr">
        <is>
          <t>금암리</t>
        </is>
      </c>
      <c r="H6809" s="3" t="inlineStr">
        <is>
          <t>계획관리지역</t>
        </is>
      </c>
      <c r="I6809" s="3" t="inlineStr">
        <is>
          <t>대</t>
        </is>
      </c>
      <c r="J6809" s="3" t="inlineStr">
        <is>
          <t>장군면</t>
        </is>
      </c>
    </row>
    <row r="6810">
      <c r="A6810" s="3" t="n">
        <v>2026</v>
      </c>
      <c r="B6810" s="4" t="n">
        <v>3956</v>
      </c>
      <c r="C6810" s="4" t="n">
        <v>45</v>
      </c>
      <c r="D6810" s="4" t="n">
        <v>13.6125</v>
      </c>
      <c r="E6810" s="5" t="n">
        <v>290.6</v>
      </c>
      <c r="F6810" s="3" t="inlineStr">
        <is>
          <t>장군면</t>
        </is>
      </c>
      <c r="G6810" s="3" t="inlineStr">
        <is>
          <t>금암리</t>
        </is>
      </c>
      <c r="H6810" s="3" t="inlineStr">
        <is>
          <t>계획관리지역</t>
        </is>
      </c>
      <c r="I6810" s="3" t="inlineStr">
        <is>
          <t>대</t>
        </is>
      </c>
      <c r="J6810" s="3" t="inlineStr">
        <is>
          <t>장군면</t>
        </is>
      </c>
    </row>
    <row r="6811">
      <c r="A6811" s="3" t="n">
        <v>2026</v>
      </c>
      <c r="B6811" s="4" t="n">
        <v>28000</v>
      </c>
      <c r="C6811" s="4" t="n">
        <v>1553</v>
      </c>
      <c r="D6811" s="4" t="n">
        <v>469.7825</v>
      </c>
      <c r="E6811" s="5" t="n">
        <v>59.6</v>
      </c>
      <c r="F6811" s="3" t="inlineStr">
        <is>
          <t>부강면</t>
        </is>
      </c>
      <c r="G6811" s="3" t="inlineStr">
        <is>
          <t>행산리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부강면</t>
        </is>
      </c>
    </row>
    <row r="6812">
      <c r="A6812" s="3" t="n">
        <v>2026</v>
      </c>
      <c r="B6812" s="4" t="n">
        <v>15000</v>
      </c>
      <c r="C6812" s="4" t="n">
        <v>947</v>
      </c>
      <c r="D6812" s="4" t="n">
        <v>286.4675</v>
      </c>
      <c r="E6812" s="5" t="n">
        <v>52.4</v>
      </c>
      <c r="F6812" s="3" t="inlineStr">
        <is>
          <t>금남면</t>
        </is>
      </c>
      <c r="G6812" s="3" t="inlineStr">
        <is>
          <t>영곡리</t>
        </is>
      </c>
      <c r="H6812" s="3" t="inlineStr">
        <is>
          <t>계획관리지역</t>
        </is>
      </c>
      <c r="I6812" s="3" t="inlineStr">
        <is>
          <t>전</t>
        </is>
      </c>
      <c r="J6812" s="3" t="inlineStr">
        <is>
          <t>금남면</t>
        </is>
      </c>
    </row>
    <row r="6813">
      <c r="A6813" s="3" t="n">
        <v>2026</v>
      </c>
      <c r="B6813" s="4" t="n">
        <v>50500</v>
      </c>
      <c r="C6813" s="4" t="n">
        <v>427</v>
      </c>
      <c r="D6813" s="4" t="n">
        <v>129.1675</v>
      </c>
      <c r="E6813" s="5" t="n">
        <v>391</v>
      </c>
      <c r="F6813" s="3" t="inlineStr">
        <is>
          <t>다정동</t>
        </is>
      </c>
      <c r="G6813" s="3" t="inlineStr"/>
      <c r="H6813" s="3" t="inlineStr">
        <is>
          <t>제1종전용주거지역</t>
        </is>
      </c>
      <c r="I6813" s="3" t="inlineStr">
        <is>
          <t>대</t>
        </is>
      </c>
      <c r="J6813" s="3" t="inlineStr">
        <is>
          <t>다정동</t>
        </is>
      </c>
    </row>
    <row r="6814">
      <c r="A6814" s="3" t="n">
        <v>2026</v>
      </c>
      <c r="B6814" s="4" t="n">
        <v>10000</v>
      </c>
      <c r="C6814" s="4" t="n">
        <v>579</v>
      </c>
      <c r="D6814" s="4" t="n">
        <v>175.1475</v>
      </c>
      <c r="E6814" s="5" t="n">
        <v>57.1</v>
      </c>
      <c r="F6814" s="3" t="inlineStr">
        <is>
          <t>연동면</t>
        </is>
      </c>
      <c r="G6814" s="3" t="inlineStr">
        <is>
          <t>명학리</t>
        </is>
      </c>
      <c r="H6814" s="3" t="inlineStr">
        <is>
          <t>보전관리지역</t>
        </is>
      </c>
      <c r="I6814" s="3" t="inlineStr">
        <is>
          <t>전</t>
        </is>
      </c>
      <c r="J6814" s="3" t="inlineStr">
        <is>
          <t>연동면</t>
        </is>
      </c>
    </row>
    <row r="6815">
      <c r="A6815" s="3" t="n">
        <v>2026</v>
      </c>
      <c r="B6815" s="4" t="n">
        <v>314000</v>
      </c>
      <c r="C6815" s="4" t="n">
        <v>6612.5</v>
      </c>
      <c r="D6815" s="4" t="n">
        <v>2000.28125</v>
      </c>
      <c r="E6815" s="5" t="n">
        <v>157</v>
      </c>
      <c r="F6815" s="3" t="inlineStr">
        <is>
          <t>전동면</t>
        </is>
      </c>
      <c r="G6815" s="3" t="inlineStr">
        <is>
          <t>심중리</t>
        </is>
      </c>
      <c r="H6815" s="3" t="inlineStr">
        <is>
          <t>일반공업지역</t>
        </is>
      </c>
      <c r="I6815" s="3" t="inlineStr">
        <is>
          <t>공장용지</t>
        </is>
      </c>
      <c r="J6815" s="3" t="inlineStr">
        <is>
          <t>전동면</t>
        </is>
      </c>
    </row>
    <row r="6816">
      <c r="A6816" s="3" t="n">
        <v>2026</v>
      </c>
      <c r="B6816" s="4" t="n">
        <v>60000</v>
      </c>
      <c r="C6816" s="4" t="n">
        <v>596</v>
      </c>
      <c r="D6816" s="4" t="n">
        <v>180.29</v>
      </c>
      <c r="E6816" s="5" t="n">
        <v>332.8</v>
      </c>
      <c r="F6816" s="3" t="inlineStr">
        <is>
          <t>연서면</t>
        </is>
      </c>
      <c r="G6816" s="3" t="inlineStr">
        <is>
          <t>월하리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연서면</t>
        </is>
      </c>
    </row>
    <row r="6817">
      <c r="A6817" s="3" t="n">
        <v>2026</v>
      </c>
      <c r="B6817" s="4" t="n">
        <v>3348</v>
      </c>
      <c r="C6817" s="4" t="n">
        <v>419</v>
      </c>
      <c r="D6817" s="4" t="n">
        <v>126.7475</v>
      </c>
      <c r="E6817" s="5" t="n">
        <v>26.4</v>
      </c>
      <c r="F6817" s="3" t="inlineStr">
        <is>
          <t>전동면</t>
        </is>
      </c>
      <c r="G6817" s="3" t="inlineStr">
        <is>
          <t>봉대리</t>
        </is>
      </c>
      <c r="H6817" s="3" t="inlineStr">
        <is>
          <t>생산관리지역</t>
        </is>
      </c>
      <c r="I6817" s="3" t="inlineStr">
        <is>
          <t>과수원</t>
        </is>
      </c>
      <c r="J6817" s="3" t="inlineStr">
        <is>
          <t>전동면</t>
        </is>
      </c>
    </row>
    <row r="6818">
      <c r="A6818" s="3" t="n">
        <v>2026</v>
      </c>
      <c r="B6818" s="4" t="n">
        <v>7591</v>
      </c>
      <c r="C6818" s="4" t="n">
        <v>950</v>
      </c>
      <c r="D6818" s="4" t="n">
        <v>287.375</v>
      </c>
      <c r="E6818" s="5" t="n">
        <v>26.4</v>
      </c>
      <c r="F6818" s="3" t="inlineStr">
        <is>
          <t>전동면</t>
        </is>
      </c>
      <c r="G6818" s="3" t="inlineStr">
        <is>
          <t>봉대리</t>
        </is>
      </c>
      <c r="H6818" s="3" t="inlineStr">
        <is>
          <t>생산관리지역</t>
        </is>
      </c>
      <c r="I6818" s="3" t="inlineStr">
        <is>
          <t>과수원</t>
        </is>
      </c>
      <c r="J6818" s="3" t="inlineStr">
        <is>
          <t>전동면</t>
        </is>
      </c>
    </row>
    <row r="6819">
      <c r="A6819" s="3" t="n">
        <v>2026</v>
      </c>
      <c r="B6819" s="4" t="n">
        <v>400</v>
      </c>
      <c r="C6819" s="4" t="n">
        <v>50</v>
      </c>
      <c r="D6819" s="4" t="n">
        <v>15.125</v>
      </c>
      <c r="E6819" s="5" t="n">
        <v>26.4</v>
      </c>
      <c r="F6819" s="3" t="inlineStr">
        <is>
          <t>전동면</t>
        </is>
      </c>
      <c r="G6819" s="3" t="inlineStr">
        <is>
          <t>봉대리</t>
        </is>
      </c>
      <c r="H6819" s="3" t="inlineStr">
        <is>
          <t>생산관리지역</t>
        </is>
      </c>
      <c r="I6819" s="3" t="inlineStr">
        <is>
          <t>과수원</t>
        </is>
      </c>
      <c r="J6819" s="3" t="inlineStr">
        <is>
          <t>전동면</t>
        </is>
      </c>
    </row>
    <row r="6820">
      <c r="A6820" s="3" t="n">
        <v>2026</v>
      </c>
      <c r="B6820" s="4" t="n">
        <v>232</v>
      </c>
      <c r="C6820" s="4" t="n">
        <v>29</v>
      </c>
      <c r="D6820" s="4" t="n">
        <v>8.772499999999999</v>
      </c>
      <c r="E6820" s="5" t="n">
        <v>26.4</v>
      </c>
      <c r="F6820" s="3" t="inlineStr">
        <is>
          <t>전동면</t>
        </is>
      </c>
      <c r="G6820" s="3" t="inlineStr">
        <is>
          <t>봉대리</t>
        </is>
      </c>
      <c r="H6820" s="3" t="inlineStr">
        <is>
          <t>생산관리지역</t>
        </is>
      </c>
      <c r="I6820" s="3" t="inlineStr">
        <is>
          <t>과수원</t>
        </is>
      </c>
      <c r="J6820" s="3" t="inlineStr">
        <is>
          <t>전동면</t>
        </is>
      </c>
    </row>
    <row r="6821">
      <c r="A6821" s="3" t="n">
        <v>2026</v>
      </c>
      <c r="B6821" s="4" t="n">
        <v>39628</v>
      </c>
      <c r="C6821" s="4" t="n">
        <v>604</v>
      </c>
      <c r="D6821" s="4" t="n">
        <v>182.71</v>
      </c>
      <c r="E6821" s="5" t="n">
        <v>216.9</v>
      </c>
      <c r="F6821" s="3" t="inlineStr">
        <is>
          <t>금남면</t>
        </is>
      </c>
      <c r="G6821" s="3" t="inlineStr">
        <is>
          <t>성덕리</t>
        </is>
      </c>
      <c r="H6821" s="3" t="inlineStr">
        <is>
          <t>보전관리지역</t>
        </is>
      </c>
      <c r="I6821" s="3" t="inlineStr">
        <is>
          <t>임야</t>
        </is>
      </c>
      <c r="J6821" s="3" t="inlineStr">
        <is>
          <t>금남면</t>
        </is>
      </c>
    </row>
    <row r="6822">
      <c r="A6822" s="3" t="n">
        <v>2026</v>
      </c>
      <c r="B6822" s="4" t="n">
        <v>168</v>
      </c>
      <c r="C6822" s="4" t="n">
        <v>21</v>
      </c>
      <c r="D6822" s="4" t="n">
        <v>6.3525</v>
      </c>
      <c r="E6822" s="5" t="n">
        <v>26.4</v>
      </c>
      <c r="F6822" s="3" t="inlineStr">
        <is>
          <t>전동면</t>
        </is>
      </c>
      <c r="G6822" s="3" t="inlineStr">
        <is>
          <t>봉대리</t>
        </is>
      </c>
      <c r="H6822" s="3" t="inlineStr">
        <is>
          <t>생산관리지역</t>
        </is>
      </c>
      <c r="I6822" s="3" t="inlineStr">
        <is>
          <t>과수원</t>
        </is>
      </c>
      <c r="J6822" s="3" t="inlineStr">
        <is>
          <t>전동면</t>
        </is>
      </c>
    </row>
    <row r="6823">
      <c r="A6823" s="3" t="n">
        <v>2026</v>
      </c>
      <c r="B6823" s="4" t="n">
        <v>4475</v>
      </c>
      <c r="C6823" s="4" t="n">
        <v>560</v>
      </c>
      <c r="D6823" s="4" t="n">
        <v>169.4</v>
      </c>
      <c r="E6823" s="5" t="n">
        <v>26.4</v>
      </c>
      <c r="F6823" s="3" t="inlineStr">
        <is>
          <t>전동면</t>
        </is>
      </c>
      <c r="G6823" s="3" t="inlineStr">
        <is>
          <t>봉대리</t>
        </is>
      </c>
      <c r="H6823" s="3" t="inlineStr">
        <is>
          <t>생산관리지역</t>
        </is>
      </c>
      <c r="I6823" s="3" t="inlineStr">
        <is>
          <t>과수원</t>
        </is>
      </c>
      <c r="J6823" s="3" t="inlineStr">
        <is>
          <t>전동면</t>
        </is>
      </c>
    </row>
    <row r="6824">
      <c r="A6824" s="3" t="n">
        <v>2026</v>
      </c>
      <c r="B6824" s="4" t="n">
        <v>80</v>
      </c>
      <c r="C6824" s="4" t="n">
        <v>10</v>
      </c>
      <c r="D6824" s="4" t="n">
        <v>3.025</v>
      </c>
      <c r="E6824" s="5" t="n">
        <v>26.4</v>
      </c>
      <c r="F6824" s="3" t="inlineStr">
        <is>
          <t>전동면</t>
        </is>
      </c>
      <c r="G6824" s="3" t="inlineStr">
        <is>
          <t>봉대리</t>
        </is>
      </c>
      <c r="H6824" s="3" t="inlineStr">
        <is>
          <t>생산관리지역</t>
        </is>
      </c>
      <c r="I6824" s="3" t="inlineStr">
        <is>
          <t>과수원</t>
        </is>
      </c>
      <c r="J6824" s="3" t="inlineStr">
        <is>
          <t>전동면</t>
        </is>
      </c>
    </row>
    <row r="6825">
      <c r="A6825" s="3" t="n">
        <v>2026</v>
      </c>
      <c r="B6825" s="4" t="n">
        <v>3875</v>
      </c>
      <c r="C6825" s="4" t="n">
        <v>485</v>
      </c>
      <c r="D6825" s="4" t="n">
        <v>146.7125</v>
      </c>
      <c r="E6825" s="5" t="n">
        <v>26.4</v>
      </c>
      <c r="F6825" s="3" t="inlineStr">
        <is>
          <t>전동면</t>
        </is>
      </c>
      <c r="G6825" s="3" t="inlineStr">
        <is>
          <t>봉대리</t>
        </is>
      </c>
      <c r="H6825" s="3" t="inlineStr">
        <is>
          <t>생산관리지역</t>
        </is>
      </c>
      <c r="I6825" s="3" t="inlineStr">
        <is>
          <t>과수원</t>
        </is>
      </c>
      <c r="J6825" s="3" t="inlineStr">
        <is>
          <t>전동면</t>
        </is>
      </c>
    </row>
    <row r="6826">
      <c r="A6826" s="3" t="n">
        <v>2026</v>
      </c>
      <c r="B6826" s="4" t="n">
        <v>1502</v>
      </c>
      <c r="C6826" s="4" t="n">
        <v>188</v>
      </c>
      <c r="D6826" s="4" t="n">
        <v>56.87</v>
      </c>
      <c r="E6826" s="5" t="n">
        <v>26.4</v>
      </c>
      <c r="F6826" s="3" t="inlineStr">
        <is>
          <t>전동면</t>
        </is>
      </c>
      <c r="G6826" s="3" t="inlineStr">
        <is>
          <t>봉대리</t>
        </is>
      </c>
      <c r="H6826" s="3" t="inlineStr">
        <is>
          <t>생산관리지역</t>
        </is>
      </c>
      <c r="I6826" s="3" t="inlineStr">
        <is>
          <t>과수원</t>
        </is>
      </c>
      <c r="J6826" s="3" t="inlineStr">
        <is>
          <t>전동면</t>
        </is>
      </c>
    </row>
    <row r="6827">
      <c r="A6827" s="3" t="n">
        <v>2026</v>
      </c>
      <c r="B6827" s="4" t="n">
        <v>112</v>
      </c>
      <c r="C6827" s="4" t="n">
        <v>14</v>
      </c>
      <c r="D6827" s="4" t="n">
        <v>4.234999999999999</v>
      </c>
      <c r="E6827" s="5" t="n">
        <v>26.4</v>
      </c>
      <c r="F6827" s="3" t="inlineStr">
        <is>
          <t>전동면</t>
        </is>
      </c>
      <c r="G6827" s="3" t="inlineStr">
        <is>
          <t>봉대리</t>
        </is>
      </c>
      <c r="H6827" s="3" t="inlineStr">
        <is>
          <t>생산관리지역</t>
        </is>
      </c>
      <c r="I6827" s="3" t="inlineStr">
        <is>
          <t>과수원</t>
        </is>
      </c>
      <c r="J6827" s="3" t="inlineStr">
        <is>
          <t>전동면</t>
        </is>
      </c>
    </row>
    <row r="6828">
      <c r="A6828" s="3" t="n">
        <v>2026</v>
      </c>
      <c r="B6828" s="4" t="n">
        <v>3995</v>
      </c>
      <c r="C6828" s="4" t="n">
        <v>500</v>
      </c>
      <c r="D6828" s="4" t="n">
        <v>151.25</v>
      </c>
      <c r="E6828" s="5" t="n">
        <v>26.4</v>
      </c>
      <c r="F6828" s="3" t="inlineStr">
        <is>
          <t>전동면</t>
        </is>
      </c>
      <c r="G6828" s="3" t="inlineStr">
        <is>
          <t>봉대리</t>
        </is>
      </c>
      <c r="H6828" s="3" t="inlineStr">
        <is>
          <t>생산관리지역</t>
        </is>
      </c>
      <c r="I6828" s="3" t="inlineStr">
        <is>
          <t>과수원</t>
        </is>
      </c>
      <c r="J6828" s="3" t="inlineStr">
        <is>
          <t>전동면</t>
        </is>
      </c>
    </row>
    <row r="6829">
      <c r="A6829" s="3" t="n">
        <v>2026</v>
      </c>
      <c r="B6829" s="4" t="n">
        <v>104</v>
      </c>
      <c r="C6829" s="4" t="n">
        <v>13</v>
      </c>
      <c r="D6829" s="4" t="n">
        <v>3.9325</v>
      </c>
      <c r="E6829" s="5" t="n">
        <v>26.4</v>
      </c>
      <c r="F6829" s="3" t="inlineStr">
        <is>
          <t>전동면</t>
        </is>
      </c>
      <c r="G6829" s="3" t="inlineStr">
        <is>
          <t>봉대리</t>
        </is>
      </c>
      <c r="H6829" s="3" t="inlineStr">
        <is>
          <t>생산관리지역</t>
        </is>
      </c>
      <c r="I6829" s="3" t="inlineStr">
        <is>
          <t>과수원</t>
        </is>
      </c>
      <c r="J6829" s="3" t="inlineStr">
        <is>
          <t>전동면</t>
        </is>
      </c>
    </row>
    <row r="6830">
      <c r="A6830" s="3" t="n">
        <v>2026</v>
      </c>
      <c r="B6830" s="4" t="n">
        <v>1358</v>
      </c>
      <c r="C6830" s="4" t="n">
        <v>170</v>
      </c>
      <c r="D6830" s="4" t="n">
        <v>51.425</v>
      </c>
      <c r="E6830" s="5" t="n">
        <v>26.4</v>
      </c>
      <c r="F6830" s="3" t="inlineStr">
        <is>
          <t>전동면</t>
        </is>
      </c>
      <c r="G6830" s="3" t="inlineStr">
        <is>
          <t>봉대리</t>
        </is>
      </c>
      <c r="H6830" s="3" t="inlineStr">
        <is>
          <t>생산관리지역</t>
        </is>
      </c>
      <c r="I6830" s="3" t="inlineStr">
        <is>
          <t>과수원</t>
        </is>
      </c>
      <c r="J6830" s="3" t="inlineStr">
        <is>
          <t>전동면</t>
        </is>
      </c>
    </row>
    <row r="6831">
      <c r="A6831" s="3" t="n">
        <v>2026</v>
      </c>
      <c r="B6831" s="4" t="n">
        <v>488</v>
      </c>
      <c r="C6831" s="4" t="n">
        <v>62</v>
      </c>
      <c r="D6831" s="4" t="n">
        <v>18.755</v>
      </c>
      <c r="E6831" s="5" t="n">
        <v>26</v>
      </c>
      <c r="F6831" s="3" t="inlineStr">
        <is>
          <t>전동면</t>
        </is>
      </c>
      <c r="G6831" s="3" t="inlineStr">
        <is>
          <t>봉대리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전동면</t>
        </is>
      </c>
    </row>
    <row r="6832">
      <c r="A6832" s="3" t="n">
        <v>2026</v>
      </c>
      <c r="B6832" s="4" t="n">
        <v>64</v>
      </c>
      <c r="C6832" s="4" t="n">
        <v>8</v>
      </c>
      <c r="D6832" s="4" t="n">
        <v>2.42</v>
      </c>
      <c r="E6832" s="5" t="n">
        <v>26.4</v>
      </c>
      <c r="F6832" s="3" t="inlineStr">
        <is>
          <t>전동면</t>
        </is>
      </c>
      <c r="G6832" s="3" t="inlineStr">
        <is>
          <t>봉대리</t>
        </is>
      </c>
      <c r="H6832" s="3" t="inlineStr">
        <is>
          <t>생산관리지역</t>
        </is>
      </c>
      <c r="I6832" s="3" t="inlineStr">
        <is>
          <t>과수원</t>
        </is>
      </c>
      <c r="J6832" s="3" t="inlineStr">
        <is>
          <t>전동면</t>
        </is>
      </c>
    </row>
    <row r="6833">
      <c r="A6833" s="3" t="n">
        <v>2026</v>
      </c>
      <c r="B6833" s="4" t="n">
        <v>4650</v>
      </c>
      <c r="C6833" s="4" t="n">
        <v>582</v>
      </c>
      <c r="D6833" s="4" t="n">
        <v>176.055</v>
      </c>
      <c r="E6833" s="5" t="n">
        <v>26.4</v>
      </c>
      <c r="F6833" s="3" t="inlineStr">
        <is>
          <t>전동면</t>
        </is>
      </c>
      <c r="G6833" s="3" t="inlineStr">
        <is>
          <t>봉대리</t>
        </is>
      </c>
      <c r="H6833" s="3" t="inlineStr">
        <is>
          <t>생산관리지역</t>
        </is>
      </c>
      <c r="I6833" s="3" t="inlineStr">
        <is>
          <t>과수원</t>
        </is>
      </c>
      <c r="J6833" s="3" t="inlineStr">
        <is>
          <t>전동면</t>
        </is>
      </c>
    </row>
    <row r="6834">
      <c r="A6834" s="3" t="n">
        <v>2024</v>
      </c>
      <c r="B6834" s="4" t="n">
        <v>6000</v>
      </c>
      <c r="C6834" s="4" t="n">
        <v>331</v>
      </c>
      <c r="D6834" s="4" t="n">
        <v>100.1275</v>
      </c>
      <c r="E6834" s="5" t="n">
        <v>59.9</v>
      </c>
      <c r="F6834" s="3" t="inlineStr">
        <is>
          <t>전의면</t>
        </is>
      </c>
      <c r="G6834" s="3" t="inlineStr">
        <is>
          <t>영당리</t>
        </is>
      </c>
      <c r="H6834" s="3" t="inlineStr">
        <is>
          <t>계획관리지역</t>
        </is>
      </c>
      <c r="I6834" s="3" t="inlineStr">
        <is>
          <t>대</t>
        </is>
      </c>
      <c r="J6834" s="3" t="inlineStr">
        <is>
          <t>전의면</t>
        </is>
      </c>
    </row>
    <row r="6835">
      <c r="A6835" s="3" t="n">
        <v>2024</v>
      </c>
      <c r="B6835" s="4" t="n">
        <v>9380</v>
      </c>
      <c r="C6835" s="4" t="n">
        <v>1267</v>
      </c>
      <c r="D6835" s="4" t="n">
        <v>383.2675</v>
      </c>
      <c r="E6835" s="5" t="n">
        <v>24.5</v>
      </c>
      <c r="F6835" s="3" t="inlineStr">
        <is>
          <t>금남면</t>
        </is>
      </c>
      <c r="G6835" s="3" t="inlineStr">
        <is>
          <t>신촌리</t>
        </is>
      </c>
      <c r="H6835" s="3" t="inlineStr">
        <is>
          <t>보전녹지지역</t>
        </is>
      </c>
      <c r="I6835" s="3" t="inlineStr">
        <is>
          <t>임야</t>
        </is>
      </c>
      <c r="J6835" s="3" t="inlineStr">
        <is>
          <t>금남면</t>
        </is>
      </c>
    </row>
    <row r="6836">
      <c r="A6836" s="3" t="n">
        <v>2024</v>
      </c>
      <c r="B6836" s="4" t="n">
        <v>36679</v>
      </c>
      <c r="C6836" s="4" t="n">
        <v>745.2</v>
      </c>
      <c r="D6836" s="4" t="n">
        <v>225.423</v>
      </c>
      <c r="E6836" s="5" t="n">
        <v>162.7</v>
      </c>
      <c r="F6836" s="3" t="inlineStr">
        <is>
          <t>전동면</t>
        </is>
      </c>
      <c r="G6836" s="3" t="inlineStr">
        <is>
          <t>심중리</t>
        </is>
      </c>
      <c r="H6836" s="3" t="inlineStr">
        <is>
          <t>준공업지역</t>
        </is>
      </c>
      <c r="I6836" s="3" t="inlineStr">
        <is>
          <t>공장용지</t>
        </is>
      </c>
      <c r="J6836" s="3" t="inlineStr">
        <is>
          <t>전동면</t>
        </is>
      </c>
    </row>
    <row r="6837">
      <c r="A6837" s="3" t="n">
        <v>2024</v>
      </c>
      <c r="B6837" s="4" t="n">
        <v>17050</v>
      </c>
      <c r="C6837" s="4" t="n">
        <v>1741.4</v>
      </c>
      <c r="D6837" s="4" t="n">
        <v>526.7735</v>
      </c>
      <c r="E6837" s="5" t="n">
        <v>32.4</v>
      </c>
      <c r="F6837" s="3" t="inlineStr">
        <is>
          <t>연동면</t>
        </is>
      </c>
      <c r="G6837" s="3" t="inlineStr">
        <is>
          <t>응암리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연동면</t>
        </is>
      </c>
    </row>
    <row r="6838">
      <c r="A6838" s="3" t="n">
        <v>2024</v>
      </c>
      <c r="B6838" s="4" t="n">
        <v>2000</v>
      </c>
      <c r="C6838" s="4" t="n">
        <v>48</v>
      </c>
      <c r="D6838" s="4" t="n">
        <v>14.52</v>
      </c>
      <c r="E6838" s="5" t="n">
        <v>137.7</v>
      </c>
      <c r="F6838" s="3" t="inlineStr">
        <is>
          <t>조치원읍</t>
        </is>
      </c>
      <c r="G6838" s="3" t="inlineStr">
        <is>
          <t>신안리</t>
        </is>
      </c>
      <c r="H6838" s="3" t="inlineStr">
        <is>
          <t>제2종일반주거지역</t>
        </is>
      </c>
      <c r="I6838" s="3" t="inlineStr">
        <is>
          <t>도로</t>
        </is>
      </c>
      <c r="J6838" s="3" t="inlineStr">
        <is>
          <t>조치원읍</t>
        </is>
      </c>
    </row>
    <row r="6839">
      <c r="A6839" s="3" t="n">
        <v>2024</v>
      </c>
      <c r="B6839" s="4" t="n">
        <v>780</v>
      </c>
      <c r="C6839" s="4" t="n">
        <v>11</v>
      </c>
      <c r="D6839" s="4" t="n">
        <v>3.3275</v>
      </c>
      <c r="E6839" s="5" t="n">
        <v>234.4</v>
      </c>
      <c r="F6839" s="3" t="inlineStr">
        <is>
          <t>조치원읍</t>
        </is>
      </c>
      <c r="G6839" s="3" t="inlineStr">
        <is>
          <t>신안리</t>
        </is>
      </c>
      <c r="H6839" s="3" t="inlineStr">
        <is>
          <t>제2종일반주거지역</t>
        </is>
      </c>
      <c r="I6839" s="3" t="inlineStr">
        <is>
          <t>대</t>
        </is>
      </c>
      <c r="J6839" s="3" t="inlineStr">
        <is>
          <t>조치원읍</t>
        </is>
      </c>
    </row>
    <row r="6840">
      <c r="A6840" s="3" t="n">
        <v>2024</v>
      </c>
      <c r="B6840" s="4" t="n">
        <v>10000</v>
      </c>
      <c r="C6840" s="4" t="n">
        <v>104</v>
      </c>
      <c r="D6840" s="4" t="n">
        <v>31.46</v>
      </c>
      <c r="E6840" s="5" t="n">
        <v>317.9</v>
      </c>
      <c r="F6840" s="3" t="inlineStr">
        <is>
          <t>조치원읍</t>
        </is>
      </c>
      <c r="G6840" s="3" t="inlineStr">
        <is>
          <t>신안리</t>
        </is>
      </c>
      <c r="H6840" s="3" t="inlineStr">
        <is>
          <t>제2종일반주거지역</t>
        </is>
      </c>
      <c r="I6840" s="3" t="inlineStr">
        <is>
          <t>대</t>
        </is>
      </c>
      <c r="J6840" s="3" t="inlineStr">
        <is>
          <t>조치원읍</t>
        </is>
      </c>
    </row>
    <row r="6841">
      <c r="A6841" s="3" t="n">
        <v>2024</v>
      </c>
      <c r="B6841" s="4" t="n">
        <v>1220</v>
      </c>
      <c r="C6841" s="4" t="n">
        <v>23</v>
      </c>
      <c r="D6841" s="4" t="n">
        <v>6.9575</v>
      </c>
      <c r="E6841" s="5" t="n">
        <v>175.4</v>
      </c>
      <c r="F6841" s="3" t="inlineStr">
        <is>
          <t>조치원읍</t>
        </is>
      </c>
      <c r="G6841" s="3" t="inlineStr">
        <is>
          <t>신안리</t>
        </is>
      </c>
      <c r="H6841" s="3" t="inlineStr">
        <is>
          <t>제2종일반주거지역</t>
        </is>
      </c>
      <c r="I6841" s="3" t="inlineStr">
        <is>
          <t>도로</t>
        </is>
      </c>
      <c r="J6841" s="3" t="inlineStr">
        <is>
          <t>조치원읍</t>
        </is>
      </c>
    </row>
    <row r="6842">
      <c r="A6842" s="3" t="n">
        <v>2024</v>
      </c>
      <c r="B6842" s="4" t="n">
        <v>29000</v>
      </c>
      <c r="C6842" s="4" t="n">
        <v>438</v>
      </c>
      <c r="D6842" s="4" t="n">
        <v>132.495</v>
      </c>
      <c r="E6842" s="5" t="n">
        <v>218.9</v>
      </c>
      <c r="F6842" s="3" t="inlineStr">
        <is>
          <t>조치원읍</t>
        </is>
      </c>
      <c r="G6842" s="3" t="inlineStr">
        <is>
          <t>신안리</t>
        </is>
      </c>
      <c r="H6842" s="3" t="inlineStr">
        <is>
          <t>제2종일반주거지역</t>
        </is>
      </c>
      <c r="I6842" s="3" t="inlineStr">
        <is>
          <t>대</t>
        </is>
      </c>
      <c r="J6842" s="3" t="inlineStr">
        <is>
          <t>조치원읍</t>
        </is>
      </c>
    </row>
    <row r="6843">
      <c r="A6843" s="3" t="n">
        <v>2024</v>
      </c>
      <c r="B6843" s="4" t="n">
        <v>28000</v>
      </c>
      <c r="C6843" s="4" t="n">
        <v>265</v>
      </c>
      <c r="D6843" s="4" t="n">
        <v>80.16249999999999</v>
      </c>
      <c r="E6843" s="5" t="n">
        <v>349.3</v>
      </c>
      <c r="F6843" s="3" t="inlineStr">
        <is>
          <t>조치원읍</t>
        </is>
      </c>
      <c r="G6843" s="3" t="inlineStr">
        <is>
          <t>신안리</t>
        </is>
      </c>
      <c r="H6843" s="3" t="inlineStr">
        <is>
          <t>제2종일반주거지역</t>
        </is>
      </c>
      <c r="I6843" s="3" t="inlineStr">
        <is>
          <t>대</t>
        </is>
      </c>
      <c r="J6843" s="3" t="inlineStr">
        <is>
          <t>조치원읍</t>
        </is>
      </c>
    </row>
    <row r="6844">
      <c r="A6844" s="3" t="n">
        <v>2024</v>
      </c>
      <c r="B6844" s="4" t="n">
        <v>9747</v>
      </c>
      <c r="C6844" s="4" t="n">
        <v>1653</v>
      </c>
      <c r="D6844" s="4" t="n">
        <v>500.0325</v>
      </c>
      <c r="E6844" s="5" t="n">
        <v>19.5</v>
      </c>
      <c r="F6844" s="3" t="inlineStr">
        <is>
          <t>전의면</t>
        </is>
      </c>
      <c r="G6844" s="3" t="inlineStr">
        <is>
          <t>관정리</t>
        </is>
      </c>
      <c r="H6844" s="3" t="inlineStr">
        <is>
          <t>농림지역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11781</v>
      </c>
      <c r="C6845" s="4" t="n">
        <v>1998</v>
      </c>
      <c r="D6845" s="4" t="n">
        <v>604.395</v>
      </c>
      <c r="E6845" s="5" t="n">
        <v>19.5</v>
      </c>
      <c r="F6845" s="3" t="inlineStr">
        <is>
          <t>전의면</t>
        </is>
      </c>
      <c r="G6845" s="3" t="inlineStr">
        <is>
          <t>관정리</t>
        </is>
      </c>
      <c r="H6845" s="3" t="inlineStr">
        <is>
          <t>농림지역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1500</v>
      </c>
      <c r="C6846" s="4" t="n">
        <v>290</v>
      </c>
      <c r="D6846" s="4" t="n">
        <v>87.72499999999999</v>
      </c>
      <c r="E6846" s="5" t="n">
        <v>17.1</v>
      </c>
      <c r="F6846" s="3" t="inlineStr">
        <is>
          <t>전동면</t>
        </is>
      </c>
      <c r="G6846" s="3" t="inlineStr">
        <is>
          <t>노장리</t>
        </is>
      </c>
      <c r="H6846" s="3" t="inlineStr">
        <is>
          <t>계획관리지역</t>
        </is>
      </c>
      <c r="I6846" s="3" t="inlineStr">
        <is>
          <t>전</t>
        </is>
      </c>
      <c r="J6846" s="3" t="inlineStr">
        <is>
          <t>전동면</t>
        </is>
      </c>
    </row>
    <row r="6847">
      <c r="A6847" s="3" t="n">
        <v>2024</v>
      </c>
      <c r="B6847" s="4" t="n">
        <v>28500</v>
      </c>
      <c r="C6847" s="4" t="n">
        <v>696</v>
      </c>
      <c r="D6847" s="4" t="n">
        <v>210.54</v>
      </c>
      <c r="E6847" s="5" t="n">
        <v>135.4</v>
      </c>
      <c r="F6847" s="3" t="inlineStr">
        <is>
          <t>금남면</t>
        </is>
      </c>
      <c r="G6847" s="3" t="inlineStr">
        <is>
          <t>영곡리</t>
        </is>
      </c>
      <c r="H6847" s="3" t="inlineStr">
        <is>
          <t>보전관리지역</t>
        </is>
      </c>
      <c r="I6847" s="3" t="inlineStr">
        <is>
          <t>과수원</t>
        </is>
      </c>
      <c r="J6847" s="3" t="inlineStr">
        <is>
          <t>금남면</t>
        </is>
      </c>
    </row>
    <row r="6848">
      <c r="A6848" s="3" t="n">
        <v>2024</v>
      </c>
      <c r="B6848" s="4" t="n">
        <v>9100</v>
      </c>
      <c r="C6848" s="4" t="n">
        <v>600</v>
      </c>
      <c r="D6848" s="4" t="n">
        <v>181.5</v>
      </c>
      <c r="E6848" s="5" t="n">
        <v>50.1</v>
      </c>
      <c r="F6848" s="3" t="inlineStr">
        <is>
          <t>전동면</t>
        </is>
      </c>
      <c r="G6848" s="3" t="inlineStr">
        <is>
          <t>송곡리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전동면</t>
        </is>
      </c>
    </row>
    <row r="6849">
      <c r="A6849" s="3" t="n">
        <v>2024</v>
      </c>
      <c r="B6849" s="4" t="n">
        <v>43360</v>
      </c>
      <c r="C6849" s="4" t="n">
        <v>1876</v>
      </c>
      <c r="D6849" s="4" t="n">
        <v>567.49</v>
      </c>
      <c r="E6849" s="5" t="n">
        <v>76.40000000000001</v>
      </c>
      <c r="F6849" s="3" t="inlineStr">
        <is>
          <t>장군면</t>
        </is>
      </c>
      <c r="G6849" s="3" t="inlineStr">
        <is>
          <t>산학리</t>
        </is>
      </c>
      <c r="H6849" s="3" t="inlineStr">
        <is>
          <t>계획관리지역</t>
        </is>
      </c>
      <c r="I6849" s="3" t="inlineStr">
        <is>
          <t>답</t>
        </is>
      </c>
      <c r="J6849" s="3" t="inlineStr">
        <is>
          <t>장군면</t>
        </is>
      </c>
    </row>
    <row r="6850">
      <c r="A6850" s="3" t="n">
        <v>2024</v>
      </c>
      <c r="B6850" s="4" t="n">
        <v>12180</v>
      </c>
      <c r="C6850" s="4" t="n">
        <v>655</v>
      </c>
      <c r="D6850" s="4" t="n">
        <v>198.1375</v>
      </c>
      <c r="E6850" s="5" t="n">
        <v>61.5</v>
      </c>
      <c r="F6850" s="3" t="inlineStr">
        <is>
          <t>전동면</t>
        </is>
      </c>
      <c r="G6850" s="3" t="inlineStr">
        <is>
          <t>송곡리</t>
        </is>
      </c>
      <c r="H6850" s="3" t="inlineStr">
        <is>
          <t>보전관리지역</t>
        </is>
      </c>
      <c r="I6850" s="3" t="inlineStr">
        <is>
          <t>임야</t>
        </is>
      </c>
      <c r="J6850" s="3" t="inlineStr">
        <is>
          <t>전동면</t>
        </is>
      </c>
    </row>
    <row r="6851">
      <c r="A6851" s="3" t="n">
        <v>2024</v>
      </c>
      <c r="B6851" s="4" t="n">
        <v>82500</v>
      </c>
      <c r="C6851" s="4" t="n">
        <v>1540</v>
      </c>
      <c r="D6851" s="4" t="n">
        <v>465.85</v>
      </c>
      <c r="E6851" s="5" t="n">
        <v>177.1</v>
      </c>
      <c r="F6851" s="3" t="inlineStr">
        <is>
          <t>연서면</t>
        </is>
      </c>
      <c r="G6851" s="3" t="inlineStr">
        <is>
          <t>와촌리</t>
        </is>
      </c>
      <c r="H6851" s="3" t="inlineStr">
        <is>
          <t>계획관리지역</t>
        </is>
      </c>
      <c r="I6851" s="3" t="inlineStr">
        <is>
          <t>전</t>
        </is>
      </c>
      <c r="J6851" s="3" t="inlineStr">
        <is>
          <t>연서면</t>
        </is>
      </c>
    </row>
    <row r="6852">
      <c r="A6852" s="3" t="n">
        <v>2024</v>
      </c>
      <c r="B6852" s="4" t="n">
        <v>500</v>
      </c>
      <c r="C6852" s="4" t="n">
        <v>10</v>
      </c>
      <c r="D6852" s="4" t="n">
        <v>3.025</v>
      </c>
      <c r="E6852" s="5" t="n">
        <v>165.3</v>
      </c>
      <c r="F6852" s="3" t="inlineStr">
        <is>
          <t>연서면</t>
        </is>
      </c>
      <c r="G6852" s="3" t="inlineStr">
        <is>
          <t>와촌리</t>
        </is>
      </c>
      <c r="H6852" s="3" t="inlineStr">
        <is>
          <t>계획관리지역</t>
        </is>
      </c>
      <c r="I6852" s="3" t="inlineStr">
        <is>
          <t>도로</t>
        </is>
      </c>
      <c r="J6852" s="3" t="inlineStr">
        <is>
          <t>연서면</t>
        </is>
      </c>
    </row>
    <row r="6853">
      <c r="A6853" s="3" t="n">
        <v>2024</v>
      </c>
      <c r="B6853" s="4" t="n">
        <v>10000</v>
      </c>
      <c r="C6853" s="4" t="n">
        <v>554</v>
      </c>
      <c r="D6853" s="4" t="n">
        <v>167.585</v>
      </c>
      <c r="E6853" s="5" t="n">
        <v>59.7</v>
      </c>
      <c r="F6853" s="3" t="inlineStr">
        <is>
          <t>장군면</t>
        </is>
      </c>
      <c r="G6853" s="3" t="inlineStr">
        <is>
          <t>용암리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장군면</t>
        </is>
      </c>
    </row>
    <row r="6854">
      <c r="A6854" s="3" t="n">
        <v>2024</v>
      </c>
      <c r="B6854" s="4" t="n">
        <v>2000</v>
      </c>
      <c r="C6854" s="4" t="n">
        <v>41</v>
      </c>
      <c r="D6854" s="4" t="n">
        <v>12.4025</v>
      </c>
      <c r="E6854" s="5" t="n">
        <v>161.3</v>
      </c>
      <c r="F6854" s="3" t="inlineStr">
        <is>
          <t>장군면</t>
        </is>
      </c>
      <c r="G6854" s="3" t="inlineStr">
        <is>
          <t>용암리</t>
        </is>
      </c>
      <c r="H6854" s="3" t="inlineStr">
        <is>
          <t>계획관리지역</t>
        </is>
      </c>
      <c r="I6854" s="3" t="inlineStr">
        <is>
          <t>대</t>
        </is>
      </c>
      <c r="J6854" s="3" t="inlineStr">
        <is>
          <t>장군면</t>
        </is>
      </c>
    </row>
    <row r="6855">
      <c r="A6855" s="3" t="n">
        <v>2024</v>
      </c>
      <c r="B6855" s="4" t="n">
        <v>52000</v>
      </c>
      <c r="C6855" s="4" t="n">
        <v>394.6</v>
      </c>
      <c r="D6855" s="4" t="n">
        <v>119.3665</v>
      </c>
      <c r="E6855" s="5" t="n">
        <v>435.6</v>
      </c>
      <c r="F6855" s="3" t="inlineStr">
        <is>
          <t>고운동</t>
        </is>
      </c>
      <c r="G6855" s="3" t="inlineStr"/>
      <c r="H6855" s="3" t="inlineStr">
        <is>
          <t>제1종전용주거지역</t>
        </is>
      </c>
      <c r="I6855" s="3" t="inlineStr">
        <is>
          <t>대</t>
        </is>
      </c>
      <c r="J6855" s="3" t="inlineStr">
        <is>
          <t>고운동</t>
        </is>
      </c>
    </row>
    <row r="6856">
      <c r="A6856" s="3" t="n">
        <v>2025</v>
      </c>
      <c r="B6856" s="4" t="n">
        <v>27311</v>
      </c>
      <c r="C6856" s="4" t="n">
        <v>377</v>
      </c>
      <c r="D6856" s="4" t="n">
        <v>114.0425</v>
      </c>
      <c r="E6856" s="5" t="n">
        <v>239.5</v>
      </c>
      <c r="F6856" s="3" t="inlineStr">
        <is>
          <t>금남면</t>
        </is>
      </c>
      <c r="G6856" s="3" t="inlineStr">
        <is>
          <t>원봉리</t>
        </is>
      </c>
      <c r="H6856" s="3" t="inlineStr">
        <is>
          <t>계획관리지역</t>
        </is>
      </c>
      <c r="I6856" s="3" t="inlineStr">
        <is>
          <t>답</t>
        </is>
      </c>
      <c r="J6856" s="3" t="inlineStr">
        <is>
          <t>금남면</t>
        </is>
      </c>
    </row>
    <row r="6857">
      <c r="A6857" s="3" t="n">
        <v>2025</v>
      </c>
      <c r="B6857" s="4" t="n">
        <v>2903</v>
      </c>
      <c r="C6857" s="4" t="n">
        <v>77</v>
      </c>
      <c r="D6857" s="4" t="n">
        <v>23.2925</v>
      </c>
      <c r="E6857" s="5" t="n">
        <v>124.6</v>
      </c>
      <c r="F6857" s="3" t="inlineStr">
        <is>
          <t>전동면</t>
        </is>
      </c>
      <c r="G6857" s="3" t="inlineStr">
        <is>
          <t>송곡리</t>
        </is>
      </c>
      <c r="H6857" s="3" t="inlineStr">
        <is>
          <t>계획관리지역</t>
        </is>
      </c>
      <c r="I6857" s="3" t="inlineStr">
        <is>
          <t>대</t>
        </is>
      </c>
      <c r="J6857" s="3" t="inlineStr">
        <is>
          <t>전동면</t>
        </is>
      </c>
    </row>
    <row r="6858">
      <c r="A6858" s="3" t="n">
        <v>2025</v>
      </c>
      <c r="B6858" s="4" t="n">
        <v>1860</v>
      </c>
      <c r="C6858" s="4" t="n">
        <v>2300</v>
      </c>
      <c r="D6858" s="4" t="n">
        <v>695.75</v>
      </c>
      <c r="E6858" s="5" t="n">
        <v>2.7</v>
      </c>
      <c r="F6858" s="3" t="inlineStr">
        <is>
          <t>전동면</t>
        </is>
      </c>
      <c r="G6858" s="3" t="inlineStr">
        <is>
          <t>청람리</t>
        </is>
      </c>
      <c r="H6858" s="3" t="inlineStr">
        <is>
          <t>생산관리지역</t>
        </is>
      </c>
      <c r="I6858" s="3" t="inlineStr">
        <is>
          <t>임야</t>
        </is>
      </c>
      <c r="J6858" s="3" t="inlineStr">
        <is>
          <t>전동면</t>
        </is>
      </c>
    </row>
    <row r="6859">
      <c r="A6859" s="3" t="n">
        <v>2025</v>
      </c>
      <c r="B6859" s="4" t="n">
        <v>1140</v>
      </c>
      <c r="C6859" s="4" t="n">
        <v>2370</v>
      </c>
      <c r="D6859" s="4" t="n">
        <v>716.925</v>
      </c>
      <c r="E6859" s="5" t="n">
        <v>1.6</v>
      </c>
      <c r="F6859" s="3" t="inlineStr">
        <is>
          <t>전동면</t>
        </is>
      </c>
      <c r="G6859" s="3" t="inlineStr">
        <is>
          <t>청람리</t>
        </is>
      </c>
      <c r="H6859" s="3" t="inlineStr">
        <is>
          <t>농림지역</t>
        </is>
      </c>
      <c r="I6859" s="3" t="inlineStr">
        <is>
          <t>임야</t>
        </is>
      </c>
      <c r="J6859" s="3" t="inlineStr">
        <is>
          <t>전동면</t>
        </is>
      </c>
    </row>
    <row r="6860">
      <c r="A6860" s="3" t="n">
        <v>2025</v>
      </c>
      <c r="B6860" s="4" t="n">
        <v>12000</v>
      </c>
      <c r="C6860" s="4" t="n">
        <v>660</v>
      </c>
      <c r="D6860" s="4" t="n">
        <v>199.65</v>
      </c>
      <c r="E6860" s="5" t="n">
        <v>60.1</v>
      </c>
      <c r="F6860" s="3" t="inlineStr">
        <is>
          <t>장군면</t>
        </is>
      </c>
      <c r="G6860" s="3" t="inlineStr">
        <is>
          <t>산학리</t>
        </is>
      </c>
      <c r="H6860" s="3" t="inlineStr">
        <is>
          <t>농림지역</t>
        </is>
      </c>
      <c r="I6860" s="3" t="inlineStr">
        <is>
          <t>답</t>
        </is>
      </c>
      <c r="J6860" s="3" t="inlineStr">
        <is>
          <t>장군면</t>
        </is>
      </c>
    </row>
    <row r="6861">
      <c r="A6861" s="3" t="n">
        <v>2025</v>
      </c>
      <c r="B6861" s="4" t="n">
        <v>29247</v>
      </c>
      <c r="C6861" s="4" t="n">
        <v>254</v>
      </c>
      <c r="D6861" s="4" t="n">
        <v>76.83499999999999</v>
      </c>
      <c r="E6861" s="5" t="n">
        <v>380.6</v>
      </c>
      <c r="F6861" s="3" t="inlineStr">
        <is>
          <t>금남면</t>
        </is>
      </c>
      <c r="G6861" s="3" t="inlineStr">
        <is>
          <t>발산리</t>
        </is>
      </c>
      <c r="H6861" s="3" t="inlineStr">
        <is>
          <t>제1종일반주거지역</t>
        </is>
      </c>
      <c r="I6861" s="3" t="inlineStr">
        <is>
          <t>대</t>
        </is>
      </c>
      <c r="J6861" s="3" t="inlineStr">
        <is>
          <t>금남면</t>
        </is>
      </c>
    </row>
    <row r="6862">
      <c r="A6862" s="3" t="n">
        <v>2025</v>
      </c>
      <c r="B6862" s="4" t="n">
        <v>6753</v>
      </c>
      <c r="C6862" s="4" t="n">
        <v>60</v>
      </c>
      <c r="D6862" s="4" t="n">
        <v>18.15</v>
      </c>
      <c r="E6862" s="5" t="n">
        <v>372.1</v>
      </c>
      <c r="F6862" s="3" t="inlineStr">
        <is>
          <t>금남면</t>
        </is>
      </c>
      <c r="G6862" s="3" t="inlineStr">
        <is>
          <t>발산리</t>
        </is>
      </c>
      <c r="H6862" s="3" t="inlineStr">
        <is>
          <t>제1종일반주거지역</t>
        </is>
      </c>
      <c r="I6862" s="3" t="inlineStr">
        <is>
          <t>대</t>
        </is>
      </c>
      <c r="J6862" s="3" t="inlineStr">
        <is>
          <t>금남면</t>
        </is>
      </c>
    </row>
    <row r="6863">
      <c r="A6863" s="3" t="n">
        <v>2025</v>
      </c>
      <c r="B6863" s="4" t="n">
        <v>6755</v>
      </c>
      <c r="C6863" s="4" t="n">
        <v>64</v>
      </c>
      <c r="D6863" s="4" t="n">
        <v>19.36</v>
      </c>
      <c r="E6863" s="5" t="n">
        <v>348.9</v>
      </c>
      <c r="F6863" s="3" t="inlineStr">
        <is>
          <t>연기면</t>
        </is>
      </c>
      <c r="G6863" s="3" t="inlineStr">
        <is>
          <t>연기리</t>
        </is>
      </c>
      <c r="H6863" s="3" t="inlineStr">
        <is>
          <t>계획관리지역</t>
        </is>
      </c>
      <c r="I6863" s="3" t="inlineStr">
        <is>
          <t>대</t>
        </is>
      </c>
      <c r="J6863" s="3" t="inlineStr">
        <is>
          <t>연기면</t>
        </is>
      </c>
    </row>
    <row r="6864">
      <c r="A6864" s="3" t="n">
        <v>2025</v>
      </c>
      <c r="B6864" s="4" t="n">
        <v>5700</v>
      </c>
      <c r="C6864" s="4" t="n">
        <v>1134</v>
      </c>
      <c r="D6864" s="4" t="n">
        <v>343.035</v>
      </c>
      <c r="E6864" s="5" t="n">
        <v>16.6</v>
      </c>
      <c r="F6864" s="3" t="inlineStr">
        <is>
          <t>전의면</t>
        </is>
      </c>
      <c r="G6864" s="3" t="inlineStr">
        <is>
          <t>다방리</t>
        </is>
      </c>
      <c r="H6864" s="3" t="inlineStr">
        <is>
          <t>농림지역</t>
        </is>
      </c>
      <c r="I6864" s="3" t="inlineStr">
        <is>
          <t>전</t>
        </is>
      </c>
      <c r="J6864" s="3" t="inlineStr">
        <is>
          <t>전의면</t>
        </is>
      </c>
    </row>
    <row r="6865">
      <c r="A6865" s="3" t="n">
        <v>2025</v>
      </c>
      <c r="B6865" s="4" t="n">
        <v>8572</v>
      </c>
      <c r="C6865" s="4" t="n">
        <v>70</v>
      </c>
      <c r="D6865" s="4" t="n">
        <v>21.175</v>
      </c>
      <c r="E6865" s="5" t="n">
        <v>404.8</v>
      </c>
      <c r="F6865" s="3" t="inlineStr">
        <is>
          <t>금남면</t>
        </is>
      </c>
      <c r="G6865" s="3" t="inlineStr">
        <is>
          <t>용포리</t>
        </is>
      </c>
      <c r="H6865" s="3" t="inlineStr">
        <is>
          <t>제1종일반주거지역</t>
        </is>
      </c>
      <c r="I6865" s="3" t="inlineStr">
        <is>
          <t>답</t>
        </is>
      </c>
      <c r="J6865" s="3" t="inlineStr">
        <is>
          <t>금남면</t>
        </is>
      </c>
    </row>
    <row r="6866">
      <c r="A6866" s="3" t="n">
        <v>2025</v>
      </c>
      <c r="B6866" s="4" t="n">
        <v>5000</v>
      </c>
      <c r="C6866" s="4" t="n">
        <v>1651</v>
      </c>
      <c r="D6866" s="4" t="n">
        <v>499.4275</v>
      </c>
      <c r="E6866" s="5" t="n">
        <v>10</v>
      </c>
      <c r="F6866" s="3" t="inlineStr">
        <is>
          <t>전동면</t>
        </is>
      </c>
      <c r="G6866" s="3" t="inlineStr">
        <is>
          <t>봉대리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전동면</t>
        </is>
      </c>
    </row>
    <row r="6867">
      <c r="A6867" s="3" t="n">
        <v>2025</v>
      </c>
      <c r="B6867" s="4" t="n">
        <v>6882</v>
      </c>
      <c r="C6867" s="4" t="n">
        <v>367</v>
      </c>
      <c r="D6867" s="4" t="n">
        <v>111.0175</v>
      </c>
      <c r="E6867" s="5" t="n">
        <v>62</v>
      </c>
      <c r="F6867" s="3" t="inlineStr">
        <is>
          <t>소정면</t>
        </is>
      </c>
      <c r="G6867" s="3" t="inlineStr">
        <is>
          <t>대곡리</t>
        </is>
      </c>
      <c r="H6867" s="3" t="inlineStr">
        <is>
          <t>계획관리지역</t>
        </is>
      </c>
      <c r="I6867" s="3" t="inlineStr">
        <is>
          <t>대</t>
        </is>
      </c>
      <c r="J6867" s="3" t="inlineStr">
        <is>
          <t>소정면</t>
        </is>
      </c>
    </row>
    <row r="6868">
      <c r="A6868" s="3" t="n">
        <v>2025</v>
      </c>
      <c r="B6868" s="4" t="n">
        <v>4000</v>
      </c>
      <c r="C6868" s="4" t="n">
        <v>1279</v>
      </c>
      <c r="D6868" s="4" t="n">
        <v>386.8975</v>
      </c>
      <c r="E6868" s="5" t="n">
        <v>10.3</v>
      </c>
      <c r="F6868" s="3" t="inlineStr">
        <is>
          <t>전의면</t>
        </is>
      </c>
      <c r="G6868" s="3" t="inlineStr">
        <is>
          <t>서정리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전의면</t>
        </is>
      </c>
    </row>
    <row r="6869">
      <c r="A6869" s="3" t="n">
        <v>2025</v>
      </c>
      <c r="B6869" s="4" t="n">
        <v>1860</v>
      </c>
      <c r="C6869" s="4" t="n">
        <v>99</v>
      </c>
      <c r="D6869" s="4" t="n">
        <v>29.9475</v>
      </c>
      <c r="E6869" s="5" t="n">
        <v>62.1</v>
      </c>
      <c r="F6869" s="3" t="inlineStr">
        <is>
          <t>소정면</t>
        </is>
      </c>
      <c r="G6869" s="3" t="inlineStr">
        <is>
          <t>대곡리</t>
        </is>
      </c>
      <c r="H6869" s="3" t="inlineStr">
        <is>
          <t>계획관리지역</t>
        </is>
      </c>
      <c r="I6869" s="3" t="inlineStr">
        <is>
          <t>대</t>
        </is>
      </c>
      <c r="J6869" s="3" t="inlineStr">
        <is>
          <t>소정면</t>
        </is>
      </c>
    </row>
    <row r="6870">
      <c r="A6870" s="3" t="n">
        <v>2025</v>
      </c>
      <c r="B6870" s="4" t="n">
        <v>40000</v>
      </c>
      <c r="C6870" s="4" t="n">
        <v>658</v>
      </c>
      <c r="D6870" s="4" t="n">
        <v>199.045</v>
      </c>
      <c r="E6870" s="5" t="n">
        <v>201</v>
      </c>
      <c r="F6870" s="3" t="inlineStr">
        <is>
          <t>장군면</t>
        </is>
      </c>
      <c r="G6870" s="3" t="inlineStr">
        <is>
          <t>금암리</t>
        </is>
      </c>
      <c r="H6870" s="3" t="inlineStr">
        <is>
          <t>계획관리지역</t>
        </is>
      </c>
      <c r="I6870" s="3" t="inlineStr">
        <is>
          <t>잡종지</t>
        </is>
      </c>
      <c r="J6870" s="3" t="inlineStr">
        <is>
          <t>장군면</t>
        </is>
      </c>
    </row>
    <row r="6871">
      <c r="A6871" s="3" t="n">
        <v>2025</v>
      </c>
      <c r="B6871" s="4" t="n">
        <v>12000</v>
      </c>
      <c r="C6871" s="4" t="n">
        <v>145</v>
      </c>
      <c r="D6871" s="4" t="n">
        <v>43.8625</v>
      </c>
      <c r="E6871" s="5" t="n">
        <v>273.6</v>
      </c>
      <c r="F6871" s="3" t="inlineStr">
        <is>
          <t>조치원읍</t>
        </is>
      </c>
      <c r="G6871" s="3" t="inlineStr">
        <is>
          <t>번암리</t>
        </is>
      </c>
      <c r="H6871" s="3" t="inlineStr">
        <is>
          <t>제2종일반주거지역</t>
        </is>
      </c>
      <c r="I6871" s="3" t="inlineStr">
        <is>
          <t>대</t>
        </is>
      </c>
      <c r="J6871" s="3" t="inlineStr">
        <is>
          <t>조치원읍</t>
        </is>
      </c>
    </row>
    <row r="6872">
      <c r="A6872" s="3" t="n">
        <v>2025</v>
      </c>
      <c r="B6872" s="4" t="n">
        <v>15828</v>
      </c>
      <c r="C6872" s="4" t="n">
        <v>1000</v>
      </c>
      <c r="D6872" s="4" t="n">
        <v>302.5</v>
      </c>
      <c r="E6872" s="5" t="n">
        <v>52.3</v>
      </c>
      <c r="F6872" s="3" t="inlineStr">
        <is>
          <t>금남면</t>
        </is>
      </c>
      <c r="G6872" s="3" t="inlineStr">
        <is>
          <t>봉암리</t>
        </is>
      </c>
      <c r="H6872" s="3" t="inlineStr">
        <is>
          <t>개발제한구역</t>
        </is>
      </c>
      <c r="I6872" s="3" t="inlineStr">
        <is>
          <t>답</t>
        </is>
      </c>
      <c r="J6872" s="3" t="inlineStr">
        <is>
          <t>금남면</t>
        </is>
      </c>
    </row>
    <row r="6873">
      <c r="A6873" s="3" t="n">
        <v>2025</v>
      </c>
      <c r="B6873" s="4" t="n">
        <v>9402</v>
      </c>
      <c r="C6873" s="4" t="n">
        <v>594</v>
      </c>
      <c r="D6873" s="4" t="n">
        <v>179.685</v>
      </c>
      <c r="E6873" s="5" t="n">
        <v>52.3</v>
      </c>
      <c r="F6873" s="3" t="inlineStr">
        <is>
          <t>금남면</t>
        </is>
      </c>
      <c r="G6873" s="3" t="inlineStr">
        <is>
          <t>봉암리</t>
        </is>
      </c>
      <c r="H6873" s="3" t="inlineStr">
        <is>
          <t>개발제한구역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2025</v>
      </c>
      <c r="B6874" s="4" t="n">
        <v>2770</v>
      </c>
      <c r="C6874" s="4" t="n">
        <v>175</v>
      </c>
      <c r="D6874" s="4" t="n">
        <v>52.9375</v>
      </c>
      <c r="E6874" s="5" t="n">
        <v>52.3</v>
      </c>
      <c r="F6874" s="3" t="inlineStr">
        <is>
          <t>금남면</t>
        </is>
      </c>
      <c r="G6874" s="3" t="inlineStr">
        <is>
          <t>봉암리</t>
        </is>
      </c>
      <c r="H6874" s="3" t="inlineStr">
        <is>
          <t>개발제한구역</t>
        </is>
      </c>
      <c r="I6874" s="3" t="inlineStr">
        <is>
          <t>도로</t>
        </is>
      </c>
      <c r="J6874" s="3" t="inlineStr">
        <is>
          <t>금남면</t>
        </is>
      </c>
    </row>
    <row r="6875">
      <c r="A6875" s="3" t="n">
        <v>2025</v>
      </c>
      <c r="B6875" s="4" t="n">
        <v>10000</v>
      </c>
      <c r="C6875" s="4" t="n">
        <v>410</v>
      </c>
      <c r="D6875" s="4" t="n">
        <v>124.025</v>
      </c>
      <c r="E6875" s="5" t="n">
        <v>80.59999999999999</v>
      </c>
      <c r="F6875" s="3" t="inlineStr">
        <is>
          <t>전동면</t>
        </is>
      </c>
      <c r="G6875" s="3" t="inlineStr">
        <is>
          <t>송곡리</t>
        </is>
      </c>
      <c r="H6875" s="3" t="inlineStr">
        <is>
          <t>계획관리지역</t>
        </is>
      </c>
      <c r="I6875" s="3" t="inlineStr">
        <is>
          <t>대</t>
        </is>
      </c>
      <c r="J6875" s="3" t="inlineStr">
        <is>
          <t>전동면</t>
        </is>
      </c>
    </row>
    <row r="6876">
      <c r="A6876" s="3" t="n">
        <v>2025</v>
      </c>
      <c r="B6876" s="4" t="n">
        <v>5500</v>
      </c>
      <c r="C6876" s="4" t="n">
        <v>281</v>
      </c>
      <c r="D6876" s="4" t="n">
        <v>85.0025</v>
      </c>
      <c r="E6876" s="5" t="n">
        <v>64.7</v>
      </c>
      <c r="F6876" s="3" t="inlineStr">
        <is>
          <t>소정면</t>
        </is>
      </c>
      <c r="G6876" s="3" t="inlineStr">
        <is>
          <t>고등리</t>
        </is>
      </c>
      <c r="H6876" s="3" t="inlineStr">
        <is>
          <t>계획관리지역</t>
        </is>
      </c>
      <c r="I6876" s="3" t="inlineStr">
        <is>
          <t>대</t>
        </is>
      </c>
      <c r="J6876" s="3" t="inlineStr">
        <is>
          <t>소정면</t>
        </is>
      </c>
    </row>
    <row r="6877">
      <c r="A6877" s="3" t="n">
        <v>2025</v>
      </c>
      <c r="B6877" s="4" t="n">
        <v>200</v>
      </c>
      <c r="C6877" s="4" t="n">
        <v>2</v>
      </c>
      <c r="D6877" s="4" t="n">
        <v>0.605</v>
      </c>
      <c r="E6877" s="5" t="n">
        <v>330.6</v>
      </c>
      <c r="F6877" s="3" t="inlineStr">
        <is>
          <t>부강면</t>
        </is>
      </c>
      <c r="G6877" s="3" t="inlineStr">
        <is>
          <t>부강리</t>
        </is>
      </c>
      <c r="H6877" s="3" t="inlineStr">
        <is>
          <t>제2종일반주거지역</t>
        </is>
      </c>
      <c r="I6877" s="3" t="inlineStr">
        <is>
          <t>대</t>
        </is>
      </c>
      <c r="J6877" s="3" t="inlineStr">
        <is>
          <t>부강면</t>
        </is>
      </c>
    </row>
    <row r="6878">
      <c r="A6878" s="3" t="n">
        <v>2025</v>
      </c>
      <c r="B6878" s="4" t="n">
        <v>307614</v>
      </c>
      <c r="C6878" s="4" t="n">
        <v>8802.5</v>
      </c>
      <c r="D6878" s="4" t="n">
        <v>2662.75625</v>
      </c>
      <c r="E6878" s="5" t="n">
        <v>115.5</v>
      </c>
      <c r="F6878" s="3" t="inlineStr">
        <is>
          <t>전의면</t>
        </is>
      </c>
      <c r="G6878" s="3" t="inlineStr">
        <is>
          <t>양곡리</t>
        </is>
      </c>
      <c r="H6878" s="3" t="inlineStr">
        <is>
          <t>일반공업지역</t>
        </is>
      </c>
      <c r="I6878" s="3" t="inlineStr">
        <is>
          <t>공장용지</t>
        </is>
      </c>
      <c r="J6878" s="3" t="inlineStr">
        <is>
          <t>전의면</t>
        </is>
      </c>
    </row>
    <row r="6879">
      <c r="A6879" s="3" t="n">
        <v>2023</v>
      </c>
      <c r="B6879" s="4" t="n">
        <v>1523</v>
      </c>
      <c r="C6879" s="4" t="n">
        <v>12.8</v>
      </c>
      <c r="D6879" s="4" t="n">
        <v>3.872</v>
      </c>
      <c r="E6879" s="5" t="n">
        <v>393.3</v>
      </c>
      <c r="F6879" s="3" t="inlineStr">
        <is>
          <t>고운동</t>
        </is>
      </c>
      <c r="G6879" s="3" t="inlineStr"/>
      <c r="H6879" s="3" t="inlineStr">
        <is>
          <t>제1종전용주거지역</t>
        </is>
      </c>
      <c r="I6879" s="3" t="inlineStr">
        <is>
          <t>주차장</t>
        </is>
      </c>
      <c r="J6879" s="3" t="inlineStr">
        <is>
          <t>고운동</t>
        </is>
      </c>
    </row>
    <row r="6880">
      <c r="A6880" s="3" t="n">
        <v>2023</v>
      </c>
      <c r="B6880" s="4" t="n">
        <v>31170</v>
      </c>
      <c r="C6880" s="4" t="n">
        <v>722</v>
      </c>
      <c r="D6880" s="4" t="n">
        <v>218.405</v>
      </c>
      <c r="E6880" s="5" t="n">
        <v>142.7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농림지역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2023</v>
      </c>
      <c r="B6881" s="4" t="n">
        <v>95000</v>
      </c>
      <c r="C6881" s="4" t="n">
        <v>23405</v>
      </c>
      <c r="D6881" s="4" t="n">
        <v>7080.0125</v>
      </c>
      <c r="E6881" s="5" t="n">
        <v>13.4</v>
      </c>
      <c r="F6881" s="3" t="inlineStr">
        <is>
          <t>부강면</t>
        </is>
      </c>
      <c r="G6881" s="3" t="inlineStr">
        <is>
          <t>문곡리</t>
        </is>
      </c>
      <c r="H6881" s="3" t="inlineStr">
        <is>
          <t>농림지역</t>
        </is>
      </c>
      <c r="I6881" s="3" t="inlineStr">
        <is>
          <t>임야</t>
        </is>
      </c>
      <c r="J6881" s="3" t="inlineStr">
        <is>
          <t>부강면</t>
        </is>
      </c>
    </row>
    <row r="6882">
      <c r="A6882" s="3" t="n">
        <v>2023</v>
      </c>
      <c r="B6882" s="4" t="n">
        <v>5000</v>
      </c>
      <c r="C6882" s="4" t="n">
        <v>526</v>
      </c>
      <c r="D6882" s="4" t="n">
        <v>159.115</v>
      </c>
      <c r="E6882" s="5" t="n">
        <v>31.4</v>
      </c>
      <c r="F6882" s="3" t="inlineStr">
        <is>
          <t>연서면</t>
        </is>
      </c>
      <c r="G6882" s="3" t="inlineStr">
        <is>
          <t>쌍류리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연서면</t>
        </is>
      </c>
    </row>
    <row r="6883">
      <c r="A6883" s="3" t="n">
        <v>2023</v>
      </c>
      <c r="B6883" s="4" t="n">
        <v>21351</v>
      </c>
      <c r="C6883" s="4" t="n">
        <v>178</v>
      </c>
      <c r="D6883" s="4" t="n">
        <v>53.845</v>
      </c>
      <c r="E6883" s="5" t="n">
        <v>396.5</v>
      </c>
      <c r="F6883" s="3" t="inlineStr">
        <is>
          <t>연동면</t>
        </is>
      </c>
      <c r="G6883" s="3" t="inlineStr">
        <is>
          <t>명학리</t>
        </is>
      </c>
      <c r="H6883" s="3" t="inlineStr">
        <is>
          <t>계획관리지역</t>
        </is>
      </c>
      <c r="I6883" s="3" t="inlineStr">
        <is>
          <t>잡종지</t>
        </is>
      </c>
      <c r="J6883" s="3" t="inlineStr">
        <is>
          <t>연동면</t>
        </is>
      </c>
    </row>
    <row r="6884">
      <c r="A6884" s="3" t="n">
        <v>2023</v>
      </c>
      <c r="B6884" s="4" t="n">
        <v>11348</v>
      </c>
      <c r="C6884" s="4" t="n">
        <v>95</v>
      </c>
      <c r="D6884" s="4" t="n">
        <v>28.7375</v>
      </c>
      <c r="E6884" s="5" t="n">
        <v>394.9</v>
      </c>
      <c r="F6884" s="3" t="inlineStr">
        <is>
          <t>연동면</t>
        </is>
      </c>
      <c r="G6884" s="3" t="inlineStr">
        <is>
          <t>명학리</t>
        </is>
      </c>
      <c r="H6884" s="3" t="inlineStr">
        <is>
          <t>계획관리지역</t>
        </is>
      </c>
      <c r="I6884" s="3" t="inlineStr">
        <is>
          <t>잡종지</t>
        </is>
      </c>
      <c r="J6884" s="3" t="inlineStr">
        <is>
          <t>연동면</t>
        </is>
      </c>
    </row>
    <row r="6885">
      <c r="A6885" s="3" t="n">
        <v>2023</v>
      </c>
      <c r="B6885" s="4" t="n">
        <v>64715</v>
      </c>
      <c r="C6885" s="4" t="n">
        <v>537</v>
      </c>
      <c r="D6885" s="4" t="n">
        <v>162.4425</v>
      </c>
      <c r="E6885" s="5" t="n">
        <v>398.4</v>
      </c>
      <c r="F6885" s="3" t="inlineStr">
        <is>
          <t>연동면</t>
        </is>
      </c>
      <c r="G6885" s="3" t="inlineStr">
        <is>
          <t>명학리</t>
        </is>
      </c>
      <c r="H6885" s="3" t="inlineStr">
        <is>
          <t>계획관리지역</t>
        </is>
      </c>
      <c r="I6885" s="3" t="inlineStr">
        <is>
          <t>대</t>
        </is>
      </c>
      <c r="J6885" s="3" t="inlineStr">
        <is>
          <t>연동면</t>
        </is>
      </c>
    </row>
    <row r="6886">
      <c r="A6886" s="3" t="n">
        <v>2022</v>
      </c>
      <c r="B6886" s="4" t="n">
        <v>11063</v>
      </c>
      <c r="C6886" s="4" t="n">
        <v>733</v>
      </c>
      <c r="D6886" s="4" t="n">
        <v>221.7325</v>
      </c>
      <c r="E6886" s="5" t="n">
        <v>49.9</v>
      </c>
      <c r="F6886" s="3" t="inlineStr">
        <is>
          <t>전의면</t>
        </is>
      </c>
      <c r="G6886" s="3" t="inlineStr">
        <is>
          <t>양곡리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전의면</t>
        </is>
      </c>
    </row>
    <row r="6887">
      <c r="A6887" s="3" t="n">
        <v>2022</v>
      </c>
      <c r="B6887" s="4" t="n">
        <v>11063</v>
      </c>
      <c r="C6887" s="4" t="n">
        <v>733</v>
      </c>
      <c r="D6887" s="4" t="n">
        <v>221.7325</v>
      </c>
      <c r="E6887" s="5" t="n">
        <v>49.9</v>
      </c>
      <c r="F6887" s="3" t="inlineStr">
        <is>
          <t>전의면</t>
        </is>
      </c>
      <c r="G6887" s="3" t="inlineStr">
        <is>
          <t>양곡리</t>
        </is>
      </c>
      <c r="H6887" s="3" t="inlineStr">
        <is>
          <t>계획관리지역</t>
        </is>
      </c>
      <c r="I6887" s="3" t="inlineStr">
        <is>
          <t>답</t>
        </is>
      </c>
      <c r="J6887" s="3" t="inlineStr">
        <is>
          <t>전의면</t>
        </is>
      </c>
    </row>
    <row r="6888">
      <c r="A6888" s="3" t="n">
        <v>2022</v>
      </c>
      <c r="B6888" s="4" t="n">
        <v>10550</v>
      </c>
      <c r="C6888" s="4" t="n">
        <v>699</v>
      </c>
      <c r="D6888" s="4" t="n">
        <v>211.4475</v>
      </c>
      <c r="E6888" s="5" t="n">
        <v>49.9</v>
      </c>
      <c r="F6888" s="3" t="inlineStr">
        <is>
          <t>전의면</t>
        </is>
      </c>
      <c r="G6888" s="3" t="inlineStr">
        <is>
          <t>양곡리</t>
        </is>
      </c>
      <c r="H6888" s="3" t="inlineStr">
        <is>
          <t>계획관리지역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2022</v>
      </c>
      <c r="B6889" s="4" t="n">
        <v>10324</v>
      </c>
      <c r="C6889" s="4" t="n">
        <v>684</v>
      </c>
      <c r="D6889" s="4" t="n">
        <v>206.91</v>
      </c>
      <c r="E6889" s="5" t="n">
        <v>49.9</v>
      </c>
      <c r="F6889" s="3" t="inlineStr">
        <is>
          <t>전의면</t>
        </is>
      </c>
      <c r="G6889" s="3" t="inlineStr">
        <is>
          <t>양곡리</t>
        </is>
      </c>
      <c r="H6889" s="3" t="inlineStr">
        <is>
          <t>계획관리지역</t>
        </is>
      </c>
      <c r="I6889" s="3" t="inlineStr">
        <is>
          <t>답</t>
        </is>
      </c>
      <c r="J6889" s="3" t="inlineStr">
        <is>
          <t>전의면</t>
        </is>
      </c>
    </row>
    <row r="6890">
      <c r="A6890" s="3" t="n">
        <v>2022</v>
      </c>
      <c r="B6890" s="4" t="n">
        <v>30000</v>
      </c>
      <c r="C6890" s="4" t="n">
        <v>690</v>
      </c>
      <c r="D6890" s="4" t="n">
        <v>208.725</v>
      </c>
      <c r="E6890" s="5" t="n">
        <v>143.7</v>
      </c>
      <c r="F6890" s="3" t="inlineStr">
        <is>
          <t>장군면</t>
        </is>
      </c>
      <c r="G6890" s="3" t="inlineStr">
        <is>
          <t>송학리</t>
        </is>
      </c>
      <c r="H6890" s="3" t="inlineStr">
        <is>
          <t>계획관리지역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2022</v>
      </c>
      <c r="B6891" s="4" t="n">
        <v>20000</v>
      </c>
      <c r="C6891" s="4" t="n">
        <v>446</v>
      </c>
      <c r="D6891" s="4" t="n">
        <v>134.915</v>
      </c>
      <c r="E6891" s="5" t="n">
        <v>148.2</v>
      </c>
      <c r="F6891" s="3" t="inlineStr">
        <is>
          <t>장군면</t>
        </is>
      </c>
      <c r="G6891" s="3" t="inlineStr">
        <is>
          <t>송학리</t>
        </is>
      </c>
      <c r="H6891" s="3" t="inlineStr">
        <is>
          <t>계획관리지역</t>
        </is>
      </c>
      <c r="I6891" s="3" t="inlineStr">
        <is>
          <t>전</t>
        </is>
      </c>
      <c r="J6891" s="3" t="inlineStr">
        <is>
          <t>장군면</t>
        </is>
      </c>
    </row>
    <row r="6892">
      <c r="A6892" s="3" t="n">
        <v>2022</v>
      </c>
      <c r="B6892" s="4" t="n">
        <v>30000</v>
      </c>
      <c r="C6892" s="4" t="n">
        <v>692</v>
      </c>
      <c r="D6892" s="4" t="n">
        <v>209.33</v>
      </c>
      <c r="E6892" s="5" t="n">
        <v>143.3</v>
      </c>
      <c r="F6892" s="3" t="inlineStr">
        <is>
          <t>장군면</t>
        </is>
      </c>
      <c r="G6892" s="3" t="inlineStr">
        <is>
          <t>송학리</t>
        </is>
      </c>
      <c r="H6892" s="3" t="inlineStr">
        <is>
          <t>계획관리지역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2022</v>
      </c>
      <c r="B6893" s="4" t="n">
        <v>67900</v>
      </c>
      <c r="C6893" s="4" t="n">
        <v>1544</v>
      </c>
      <c r="D6893" s="4" t="n">
        <v>467.06</v>
      </c>
      <c r="E6893" s="5" t="n">
        <v>145.4</v>
      </c>
      <c r="F6893" s="3" t="inlineStr">
        <is>
          <t>장군면</t>
        </is>
      </c>
      <c r="G6893" s="3" t="inlineStr">
        <is>
          <t>송학리</t>
        </is>
      </c>
      <c r="H6893" s="3" t="inlineStr">
        <is>
          <t>계획관리지역</t>
        </is>
      </c>
      <c r="I6893" s="3" t="inlineStr">
        <is>
          <t>목장용지</t>
        </is>
      </c>
      <c r="J6893" s="3" t="inlineStr">
        <is>
          <t>장군면</t>
        </is>
      </c>
    </row>
    <row r="6894">
      <c r="A6894" s="3" t="n">
        <v>2022</v>
      </c>
      <c r="B6894" s="4" t="n">
        <v>51300</v>
      </c>
      <c r="C6894" s="4" t="n">
        <v>1167</v>
      </c>
      <c r="D6894" s="4" t="n">
        <v>353.0175</v>
      </c>
      <c r="E6894" s="5" t="n">
        <v>145.3</v>
      </c>
      <c r="F6894" s="3" t="inlineStr">
        <is>
          <t>장군면</t>
        </is>
      </c>
      <c r="G6894" s="3" t="inlineStr">
        <is>
          <t>송학리</t>
        </is>
      </c>
      <c r="H6894" s="3" t="inlineStr">
        <is>
          <t>계획관리지역</t>
        </is>
      </c>
      <c r="I6894" s="3" t="inlineStr">
        <is>
          <t>목장용지</t>
        </is>
      </c>
      <c r="J6894" s="3" t="inlineStr">
        <is>
          <t>장군면</t>
        </is>
      </c>
    </row>
    <row r="6895">
      <c r="A6895" s="3" t="n">
        <v>2022</v>
      </c>
      <c r="B6895" s="4" t="n">
        <v>50800</v>
      </c>
      <c r="C6895" s="4" t="n">
        <v>1155</v>
      </c>
      <c r="D6895" s="4" t="n">
        <v>349.3875</v>
      </c>
      <c r="E6895" s="5" t="n">
        <v>145.4</v>
      </c>
      <c r="F6895" s="3" t="inlineStr">
        <is>
          <t>장군면</t>
        </is>
      </c>
      <c r="G6895" s="3" t="inlineStr">
        <is>
          <t>송학리</t>
        </is>
      </c>
      <c r="H6895" s="3" t="inlineStr">
        <is>
          <t>계획관리지역</t>
        </is>
      </c>
      <c r="I6895" s="3" t="inlineStr">
        <is>
          <t>목장용지</t>
        </is>
      </c>
      <c r="J6895" s="3" t="inlineStr">
        <is>
          <t>장군면</t>
        </is>
      </c>
    </row>
    <row r="6896">
      <c r="A6896" s="3" t="n">
        <v>2022</v>
      </c>
      <c r="B6896" s="4" t="n">
        <v>2980</v>
      </c>
      <c r="C6896" s="4" t="n">
        <v>152</v>
      </c>
      <c r="D6896" s="4" t="n">
        <v>45.98</v>
      </c>
      <c r="E6896" s="5" t="n">
        <v>64.8</v>
      </c>
      <c r="F6896" s="3" t="inlineStr">
        <is>
          <t>부강면</t>
        </is>
      </c>
      <c r="G6896" s="3" t="inlineStr">
        <is>
          <t>문곡리</t>
        </is>
      </c>
      <c r="H6896" s="3" t="inlineStr">
        <is>
          <t>생산관리지역</t>
        </is>
      </c>
      <c r="I6896" s="3" t="inlineStr">
        <is>
          <t>전</t>
        </is>
      </c>
      <c r="J6896" s="3" t="inlineStr">
        <is>
          <t>부강면</t>
        </is>
      </c>
    </row>
    <row r="6897">
      <c r="A6897" s="3" t="n">
        <v>2022</v>
      </c>
      <c r="B6897" s="4" t="n">
        <v>170</v>
      </c>
      <c r="C6897" s="4" t="n">
        <v>10</v>
      </c>
      <c r="D6897" s="4" t="n">
        <v>3.025</v>
      </c>
      <c r="E6897" s="5" t="n">
        <v>56.2</v>
      </c>
      <c r="F6897" s="3" t="inlineStr">
        <is>
          <t>부강면</t>
        </is>
      </c>
      <c r="G6897" s="3" t="inlineStr">
        <is>
          <t>문곡리</t>
        </is>
      </c>
      <c r="H6897" s="3" t="inlineStr">
        <is>
          <t>생산관리지역</t>
        </is>
      </c>
      <c r="I6897" s="3" t="inlineStr">
        <is>
          <t>임야</t>
        </is>
      </c>
      <c r="J6897" s="3" t="inlineStr">
        <is>
          <t>부강면</t>
        </is>
      </c>
    </row>
    <row r="6898">
      <c r="A6898" s="3" t="n">
        <v>2025</v>
      </c>
      <c r="B6898" s="4" t="n">
        <v>11500</v>
      </c>
      <c r="C6898" s="4" t="n">
        <v>1686</v>
      </c>
      <c r="D6898" s="4" t="n">
        <v>510.015</v>
      </c>
      <c r="E6898" s="5" t="n">
        <v>22.5</v>
      </c>
      <c r="F6898" s="3" t="inlineStr">
        <is>
          <t>남이면</t>
        </is>
      </c>
      <c r="G6898" s="3" t="inlineStr">
        <is>
          <t>가좌리</t>
        </is>
      </c>
      <c r="H6898" s="3" t="inlineStr">
        <is>
          <t>자연녹지지역</t>
        </is>
      </c>
      <c r="I6898" s="3" t="inlineStr">
        <is>
          <t>전</t>
        </is>
      </c>
      <c r="J6898" s="3" t="inlineStr">
        <is>
          <t>남이면</t>
        </is>
      </c>
    </row>
    <row r="6899">
      <c r="A6899" s="3" t="n">
        <v>2025</v>
      </c>
      <c r="B6899" s="4" t="n">
        <v>6500</v>
      </c>
      <c r="C6899" s="4" t="n">
        <v>2053</v>
      </c>
      <c r="D6899" s="4" t="n">
        <v>621.0325</v>
      </c>
      <c r="E6899" s="5" t="n">
        <v>10.5</v>
      </c>
      <c r="F6899" s="3" t="inlineStr">
        <is>
          <t>남이면</t>
        </is>
      </c>
      <c r="G6899" s="3" t="inlineStr">
        <is>
          <t>대련리</t>
        </is>
      </c>
      <c r="H6899" s="3" t="inlineStr">
        <is>
          <t>보전녹지지역</t>
        </is>
      </c>
      <c r="I6899" s="3" t="inlineStr">
        <is>
          <t>전</t>
        </is>
      </c>
      <c r="J6899" s="3" t="inlineStr">
        <is>
          <t>남이면</t>
        </is>
      </c>
    </row>
    <row r="6900">
      <c r="A6900" s="3" t="n">
        <v>2025</v>
      </c>
      <c r="B6900" s="4" t="n">
        <v>13886</v>
      </c>
      <c r="C6900" s="4" t="n">
        <v>1587</v>
      </c>
      <c r="D6900" s="4" t="n">
        <v>480.0675</v>
      </c>
      <c r="E6900" s="5" t="n">
        <v>28.9</v>
      </c>
      <c r="F6900" s="3" t="inlineStr">
        <is>
          <t>현도면</t>
        </is>
      </c>
      <c r="G6900" s="3" t="inlineStr">
        <is>
          <t>매봉리</t>
        </is>
      </c>
      <c r="H6900" s="3" t="inlineStr">
        <is>
          <t>자연녹지지역</t>
        </is>
      </c>
      <c r="I6900" s="3" t="inlineStr">
        <is>
          <t>답</t>
        </is>
      </c>
      <c r="J6900" s="3" t="inlineStr">
        <is>
          <t>현도면</t>
        </is>
      </c>
    </row>
    <row r="6901">
      <c r="A6901" s="3" t="n">
        <v>2025</v>
      </c>
      <c r="B6901" s="4" t="n">
        <v>58200</v>
      </c>
      <c r="C6901" s="4" t="n">
        <v>2646</v>
      </c>
      <c r="D6901" s="4" t="n">
        <v>800.415</v>
      </c>
      <c r="E6901" s="5" t="n">
        <v>72.7</v>
      </c>
      <c r="F6901" s="3" t="inlineStr">
        <is>
          <t>남이면</t>
        </is>
      </c>
      <c r="G6901" s="3" t="inlineStr">
        <is>
          <t>가마리</t>
        </is>
      </c>
      <c r="H6901" s="3" t="inlineStr">
        <is>
          <t>자연녹지지역</t>
        </is>
      </c>
      <c r="I6901" s="3" t="inlineStr">
        <is>
          <t>전</t>
        </is>
      </c>
      <c r="J6901" s="3" t="inlineStr">
        <is>
          <t>남이면</t>
        </is>
      </c>
    </row>
    <row r="6902">
      <c r="A6902" s="3" t="n">
        <v>2025</v>
      </c>
      <c r="B6902" s="4" t="n">
        <v>3700</v>
      </c>
      <c r="C6902" s="4" t="n">
        <v>568</v>
      </c>
      <c r="D6902" s="4" t="n">
        <v>171.82</v>
      </c>
      <c r="E6902" s="5" t="n">
        <v>21.5</v>
      </c>
      <c r="F6902" s="3" t="inlineStr">
        <is>
          <t>남이면</t>
        </is>
      </c>
      <c r="G6902" s="3" t="inlineStr">
        <is>
          <t>가마리</t>
        </is>
      </c>
      <c r="H6902" s="3" t="inlineStr">
        <is>
          <t>자연녹지지역</t>
        </is>
      </c>
      <c r="I6902" s="3" t="inlineStr">
        <is>
          <t>임야</t>
        </is>
      </c>
      <c r="J6902" s="3" t="inlineStr">
        <is>
          <t>남이면</t>
        </is>
      </c>
    </row>
    <row r="6903">
      <c r="A6903" s="3" t="n">
        <v>2025</v>
      </c>
      <c r="B6903" s="4" t="n">
        <v>200</v>
      </c>
      <c r="C6903" s="4" t="n">
        <v>275</v>
      </c>
      <c r="D6903" s="4" t="n">
        <v>83.1875</v>
      </c>
      <c r="E6903" s="5" t="n">
        <v>2.4</v>
      </c>
      <c r="F6903" s="3" t="inlineStr">
        <is>
          <t>남이면</t>
        </is>
      </c>
      <c r="G6903" s="3" t="inlineStr">
        <is>
          <t>가마리</t>
        </is>
      </c>
      <c r="H6903" s="3" t="inlineStr">
        <is>
          <t>보전녹지지역</t>
        </is>
      </c>
      <c r="I6903" s="3" t="inlineStr">
        <is>
          <t>임야</t>
        </is>
      </c>
      <c r="J6903" s="3" t="inlineStr">
        <is>
          <t>남이면</t>
        </is>
      </c>
    </row>
    <row r="6904">
      <c r="A6904" s="3" t="n">
        <v>2025</v>
      </c>
      <c r="B6904" s="4" t="n">
        <v>4370</v>
      </c>
      <c r="C6904" s="4" t="n">
        <v>466</v>
      </c>
      <c r="D6904" s="4" t="n">
        <v>140.965</v>
      </c>
      <c r="E6904" s="5" t="n">
        <v>31</v>
      </c>
      <c r="F6904" s="3" t="inlineStr">
        <is>
          <t>현도면</t>
        </is>
      </c>
      <c r="G6904" s="3" t="inlineStr">
        <is>
          <t>중척리</t>
        </is>
      </c>
      <c r="H6904" s="3" t="inlineStr">
        <is>
          <t>자연녹지지역</t>
        </is>
      </c>
      <c r="I6904" s="3" t="inlineStr">
        <is>
          <t>전</t>
        </is>
      </c>
      <c r="J6904" s="3" t="inlineStr">
        <is>
          <t>현도면</t>
        </is>
      </c>
    </row>
    <row r="6905">
      <c r="A6905" s="3" t="n">
        <v>2024</v>
      </c>
      <c r="B6905" s="4" t="n">
        <v>281029</v>
      </c>
      <c r="C6905" s="4" t="n">
        <v>1203</v>
      </c>
      <c r="D6905" s="4" t="n">
        <v>363.9075</v>
      </c>
      <c r="E6905" s="5" t="n">
        <v>772.3</v>
      </c>
      <c r="F6905" s="3" t="inlineStr">
        <is>
          <t>연기면</t>
        </is>
      </c>
      <c r="G6905" s="3" t="inlineStr">
        <is>
          <t>연기리</t>
        </is>
      </c>
      <c r="H6905" s="3" t="inlineStr">
        <is>
          <t>계획관리지역</t>
        </is>
      </c>
      <c r="I6905" s="3" t="inlineStr">
        <is>
          <t>주유소용지</t>
        </is>
      </c>
      <c r="J6905" s="3" t="inlineStr">
        <is>
          <t>연기면</t>
        </is>
      </c>
    </row>
    <row r="6906">
      <c r="A6906" s="3" t="n">
        <v>2026</v>
      </c>
      <c r="B6906" s="4" t="n">
        <v>416</v>
      </c>
      <c r="C6906" s="4" t="n">
        <v>52</v>
      </c>
      <c r="D6906" s="4" t="n">
        <v>15.73</v>
      </c>
      <c r="E6906" s="5" t="n">
        <v>26.4</v>
      </c>
      <c r="F6906" s="3" t="inlineStr">
        <is>
          <t>전동면</t>
        </is>
      </c>
      <c r="G6906" s="3" t="inlineStr">
        <is>
          <t>봉대리</t>
        </is>
      </c>
      <c r="H6906" s="3" t="inlineStr">
        <is>
          <t>생산관리지역</t>
        </is>
      </c>
      <c r="I6906" s="3" t="inlineStr">
        <is>
          <t>과수원</t>
        </is>
      </c>
      <c r="J6906" s="3" t="inlineStr">
        <is>
          <t>전동면</t>
        </is>
      </c>
    </row>
    <row r="6907">
      <c r="A6907" s="3" t="n">
        <v>2025</v>
      </c>
      <c r="B6907" s="4" t="n">
        <v>1129</v>
      </c>
      <c r="C6907" s="4" t="n">
        <v>350</v>
      </c>
      <c r="D6907" s="4" t="n">
        <v>105.875</v>
      </c>
      <c r="E6907" s="5" t="n">
        <v>10.7</v>
      </c>
      <c r="F6907" s="3" t="inlineStr">
        <is>
          <t>전동면</t>
        </is>
      </c>
      <c r="G6907" s="3" t="inlineStr">
        <is>
          <t>노장리</t>
        </is>
      </c>
      <c r="H6907" s="3" t="inlineStr">
        <is>
          <t>계획관리지역</t>
        </is>
      </c>
      <c r="I6907" s="3" t="inlineStr">
        <is>
          <t>임야</t>
        </is>
      </c>
      <c r="J6907" s="3" t="inlineStr">
        <is>
          <t>전동면</t>
        </is>
      </c>
    </row>
    <row r="6908">
      <c r="A6908" s="3" t="n">
        <v>2025</v>
      </c>
      <c r="B6908" s="4" t="n">
        <v>1998</v>
      </c>
      <c r="C6908" s="4" t="n">
        <v>22</v>
      </c>
      <c r="D6908" s="4" t="n">
        <v>6.654999999999999</v>
      </c>
      <c r="E6908" s="5" t="n">
        <v>300.2</v>
      </c>
      <c r="F6908" s="3" t="inlineStr">
        <is>
          <t>금남면</t>
        </is>
      </c>
      <c r="G6908" s="3" t="inlineStr">
        <is>
          <t>영곡리</t>
        </is>
      </c>
      <c r="H6908" s="3" t="inlineStr">
        <is>
          <t>보전관리지역</t>
        </is>
      </c>
      <c r="I6908" s="3" t="inlineStr">
        <is>
          <t>전</t>
        </is>
      </c>
      <c r="J6908" s="3" t="inlineStr">
        <is>
          <t>금남면</t>
        </is>
      </c>
    </row>
    <row r="6909">
      <c r="A6909" s="3" t="n">
        <v>2025</v>
      </c>
      <c r="B6909" s="4" t="n">
        <v>6000</v>
      </c>
      <c r="C6909" s="4" t="n">
        <v>174</v>
      </c>
      <c r="D6909" s="4" t="n">
        <v>52.635</v>
      </c>
      <c r="E6909" s="5" t="n">
        <v>114</v>
      </c>
      <c r="F6909" s="3" t="inlineStr">
        <is>
          <t>금남면</t>
        </is>
      </c>
      <c r="G6909" s="3" t="inlineStr">
        <is>
          <t>영곡리</t>
        </is>
      </c>
      <c r="H6909" s="3" t="inlineStr">
        <is>
          <t>보전관리지역</t>
        </is>
      </c>
      <c r="I6909" s="3" t="inlineStr">
        <is>
          <t>임야</t>
        </is>
      </c>
      <c r="J6909" s="3" t="inlineStr">
        <is>
          <t>금남면</t>
        </is>
      </c>
    </row>
    <row r="6910">
      <c r="A6910" s="3" t="n">
        <v>2025</v>
      </c>
      <c r="B6910" s="4" t="n">
        <v>23750</v>
      </c>
      <c r="C6910" s="4" t="n">
        <v>828</v>
      </c>
      <c r="D6910" s="4" t="n">
        <v>250.47</v>
      </c>
      <c r="E6910" s="5" t="n">
        <v>94.8</v>
      </c>
      <c r="F6910" s="3" t="inlineStr">
        <is>
          <t>장군면</t>
        </is>
      </c>
      <c r="G6910" s="3" t="inlineStr">
        <is>
          <t>대교리</t>
        </is>
      </c>
      <c r="H6910" s="3" t="inlineStr">
        <is>
          <t>보전관리지역</t>
        </is>
      </c>
      <c r="I6910" s="3" t="inlineStr">
        <is>
          <t>임야</t>
        </is>
      </c>
      <c r="J6910" s="3" t="inlineStr">
        <is>
          <t>장군면</t>
        </is>
      </c>
    </row>
    <row r="6911">
      <c r="A6911" s="3" t="n">
        <v>2026</v>
      </c>
      <c r="B6911" s="4" t="n">
        <v>7235</v>
      </c>
      <c r="C6911" s="4" t="n">
        <v>133</v>
      </c>
      <c r="D6911" s="4" t="n">
        <v>40.2325</v>
      </c>
      <c r="E6911" s="5" t="n">
        <v>179.8</v>
      </c>
      <c r="F6911" s="3" t="inlineStr">
        <is>
          <t>전동면</t>
        </is>
      </c>
      <c r="G6911" s="3" t="inlineStr">
        <is>
          <t>심중리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전동면</t>
        </is>
      </c>
    </row>
    <row r="6912">
      <c r="A6912" s="3" t="n">
        <v>2026</v>
      </c>
      <c r="B6912" s="4" t="n">
        <v>1210</v>
      </c>
      <c r="C6912" s="4" t="n">
        <v>35</v>
      </c>
      <c r="D6912" s="4" t="n">
        <v>10.5875</v>
      </c>
      <c r="E6912" s="5" t="n">
        <v>114.3</v>
      </c>
      <c r="F6912" s="3" t="inlineStr">
        <is>
          <t>금남면</t>
        </is>
      </c>
      <c r="G6912" s="3" t="inlineStr">
        <is>
          <t>영곡리</t>
        </is>
      </c>
      <c r="H6912" s="3" t="inlineStr">
        <is>
          <t>보전관리지역</t>
        </is>
      </c>
      <c r="I6912" s="3" t="inlineStr">
        <is>
          <t>전</t>
        </is>
      </c>
      <c r="J6912" s="3" t="inlineStr">
        <is>
          <t>금남면</t>
        </is>
      </c>
    </row>
    <row r="6913">
      <c r="A6913" s="3" t="n">
        <v>2026</v>
      </c>
      <c r="B6913" s="4" t="n">
        <v>456071</v>
      </c>
      <c r="C6913" s="4" t="n">
        <v>16309</v>
      </c>
      <c r="D6913" s="4" t="n">
        <v>4933.4725</v>
      </c>
      <c r="E6913" s="5" t="n">
        <v>92.40000000000001</v>
      </c>
      <c r="F6913" s="3" t="inlineStr">
        <is>
          <t>전동면</t>
        </is>
      </c>
      <c r="G6913" s="3" t="inlineStr">
        <is>
          <t>송성리</t>
        </is>
      </c>
      <c r="H6913" s="3" t="inlineStr">
        <is>
          <t>계획관리지역</t>
        </is>
      </c>
      <c r="I6913" s="3" t="inlineStr">
        <is>
          <t>공장용지</t>
        </is>
      </c>
      <c r="J6913" s="3" t="inlineStr">
        <is>
          <t>전동면</t>
        </is>
      </c>
    </row>
    <row r="6914">
      <c r="A6914" s="3" t="n">
        <v>2026</v>
      </c>
      <c r="B6914" s="4" t="n">
        <v>38563</v>
      </c>
      <c r="C6914" s="4" t="n">
        <v>1379</v>
      </c>
      <c r="D6914" s="4" t="n">
        <v>417.1475</v>
      </c>
      <c r="E6914" s="5" t="n">
        <v>92.40000000000001</v>
      </c>
      <c r="F6914" s="3" t="inlineStr">
        <is>
          <t>전동면</t>
        </is>
      </c>
      <c r="G6914" s="3" t="inlineStr">
        <is>
          <t>송성리</t>
        </is>
      </c>
      <c r="H6914" s="3" t="inlineStr">
        <is>
          <t>계획관리지역</t>
        </is>
      </c>
      <c r="I6914" s="3" t="inlineStr">
        <is>
          <t>공장용지</t>
        </is>
      </c>
      <c r="J6914" s="3" t="inlineStr">
        <is>
          <t>전동면</t>
        </is>
      </c>
    </row>
    <row r="6915">
      <c r="A6915" s="3" t="n">
        <v>2026</v>
      </c>
      <c r="B6915" s="4" t="n">
        <v>49253</v>
      </c>
      <c r="C6915" s="4" t="n">
        <v>1471</v>
      </c>
      <c r="D6915" s="4" t="n">
        <v>444.9775</v>
      </c>
      <c r="E6915" s="5" t="n">
        <v>110.7</v>
      </c>
      <c r="F6915" s="3" t="inlineStr">
        <is>
          <t>전동면</t>
        </is>
      </c>
      <c r="G6915" s="3" t="inlineStr">
        <is>
          <t>송성리</t>
        </is>
      </c>
      <c r="H6915" s="3" t="inlineStr">
        <is>
          <t>계획관리지역</t>
        </is>
      </c>
      <c r="I6915" s="3" t="inlineStr">
        <is>
          <t>공장용지</t>
        </is>
      </c>
      <c r="J6915" s="3" t="inlineStr">
        <is>
          <t>전동면</t>
        </is>
      </c>
    </row>
    <row r="6916">
      <c r="A6916" s="3" t="n">
        <v>2026</v>
      </c>
      <c r="B6916" s="4" t="n">
        <v>3987</v>
      </c>
      <c r="C6916" s="4" t="n">
        <v>512</v>
      </c>
      <c r="D6916" s="4" t="n">
        <v>154.88</v>
      </c>
      <c r="E6916" s="5" t="n">
        <v>25.7</v>
      </c>
      <c r="F6916" s="3" t="inlineStr">
        <is>
          <t>전동면</t>
        </is>
      </c>
      <c r="G6916" s="3" t="inlineStr">
        <is>
          <t>송성리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전동면</t>
        </is>
      </c>
    </row>
    <row r="6917">
      <c r="A6917" s="3" t="n">
        <v>2026</v>
      </c>
      <c r="B6917" s="4" t="n">
        <v>2126</v>
      </c>
      <c r="C6917" s="4" t="n">
        <v>255</v>
      </c>
      <c r="D6917" s="4" t="n">
        <v>77.1375</v>
      </c>
      <c r="E6917" s="5" t="n">
        <v>27.6</v>
      </c>
      <c r="F6917" s="3" t="inlineStr">
        <is>
          <t>전동면</t>
        </is>
      </c>
      <c r="G6917" s="3" t="inlineStr">
        <is>
          <t>송성리</t>
        </is>
      </c>
      <c r="H6917" s="3" t="inlineStr">
        <is>
          <t>계획관리지역</t>
        </is>
      </c>
      <c r="I6917" s="3" t="inlineStr">
        <is>
          <t>하천</t>
        </is>
      </c>
      <c r="J6917" s="3" t="inlineStr">
        <is>
          <t>전동면</t>
        </is>
      </c>
    </row>
    <row r="6918">
      <c r="A6918" s="3" t="n">
        <v>2026</v>
      </c>
      <c r="B6918" s="4" t="n">
        <v>760</v>
      </c>
      <c r="C6918" s="4" t="n">
        <v>846</v>
      </c>
      <c r="D6918" s="4" t="n">
        <v>255.915</v>
      </c>
      <c r="E6918" s="5" t="n">
        <v>3</v>
      </c>
      <c r="F6918" s="3" t="inlineStr">
        <is>
          <t>전의면</t>
        </is>
      </c>
      <c r="G6918" s="3" t="inlineStr">
        <is>
          <t>달전리</t>
        </is>
      </c>
      <c r="H6918" s="3" t="inlineStr">
        <is>
          <t>계획관리지역</t>
        </is>
      </c>
      <c r="I6918" s="3" t="inlineStr">
        <is>
          <t>전</t>
        </is>
      </c>
      <c r="J6918" s="3" t="inlineStr">
        <is>
          <t>전의면</t>
        </is>
      </c>
    </row>
    <row r="6919">
      <c r="A6919" s="3" t="n">
        <v>2026</v>
      </c>
      <c r="B6919" s="4" t="n">
        <v>540</v>
      </c>
      <c r="C6919" s="4" t="n">
        <v>605</v>
      </c>
      <c r="D6919" s="4" t="n">
        <v>183.0125</v>
      </c>
      <c r="E6919" s="5" t="n">
        <v>3</v>
      </c>
      <c r="F6919" s="3" t="inlineStr">
        <is>
          <t>전의면</t>
        </is>
      </c>
      <c r="G6919" s="3" t="inlineStr">
        <is>
          <t>달전리</t>
        </is>
      </c>
      <c r="H6919" s="3" t="inlineStr">
        <is>
          <t>계획관리지역</t>
        </is>
      </c>
      <c r="I6919" s="3" t="inlineStr">
        <is>
          <t>전</t>
        </is>
      </c>
      <c r="J6919" s="3" t="inlineStr">
        <is>
          <t>전의면</t>
        </is>
      </c>
    </row>
    <row r="6920">
      <c r="A6920" s="3" t="n">
        <v>2026</v>
      </c>
      <c r="B6920" s="4" t="n">
        <v>700</v>
      </c>
      <c r="C6920" s="4" t="n">
        <v>949</v>
      </c>
      <c r="D6920" s="4" t="n">
        <v>287.0725</v>
      </c>
      <c r="E6920" s="5" t="n">
        <v>2.4</v>
      </c>
      <c r="F6920" s="3" t="inlineStr">
        <is>
          <t>전의면</t>
        </is>
      </c>
      <c r="G6920" s="3" t="inlineStr">
        <is>
          <t>달전리</t>
        </is>
      </c>
      <c r="H6920" s="3" t="inlineStr">
        <is>
          <t>보전관리지역</t>
        </is>
      </c>
      <c r="I6920" s="3" t="inlineStr">
        <is>
          <t>하천</t>
        </is>
      </c>
      <c r="J6920" s="3" t="inlineStr">
        <is>
          <t>전의면</t>
        </is>
      </c>
    </row>
    <row r="6921">
      <c r="A6921" s="3" t="n">
        <v>2026</v>
      </c>
      <c r="B6921" s="4" t="n">
        <v>2560</v>
      </c>
      <c r="C6921" s="4" t="n">
        <v>56</v>
      </c>
      <c r="D6921" s="4" t="n">
        <v>16.94</v>
      </c>
      <c r="E6921" s="5" t="n">
        <v>151.1</v>
      </c>
      <c r="F6921" s="3" t="inlineStr">
        <is>
          <t>부강면</t>
        </is>
      </c>
      <c r="G6921" s="3" t="inlineStr">
        <is>
          <t>노호리</t>
        </is>
      </c>
      <c r="H6921" s="3" t="inlineStr">
        <is>
          <t>계획관리지역</t>
        </is>
      </c>
      <c r="I6921" s="3" t="inlineStr">
        <is>
          <t>도로</t>
        </is>
      </c>
      <c r="J6921" s="3" t="inlineStr">
        <is>
          <t>부강면</t>
        </is>
      </c>
    </row>
    <row r="6922">
      <c r="A6922" s="3" t="n">
        <v>2026</v>
      </c>
      <c r="B6922" s="4" t="n">
        <v>1055</v>
      </c>
      <c r="C6922" s="4" t="n">
        <v>23</v>
      </c>
      <c r="D6922" s="4" t="n">
        <v>6.9575</v>
      </c>
      <c r="E6922" s="5" t="n">
        <v>151.6</v>
      </c>
      <c r="F6922" s="3" t="inlineStr">
        <is>
          <t>부강면</t>
        </is>
      </c>
      <c r="G6922" s="3" t="inlineStr">
        <is>
          <t>노호리</t>
        </is>
      </c>
      <c r="H6922" s="3" t="inlineStr">
        <is>
          <t>계획관리지역</t>
        </is>
      </c>
      <c r="I6922" s="3" t="inlineStr">
        <is>
          <t>도로</t>
        </is>
      </c>
      <c r="J6922" s="3" t="inlineStr">
        <is>
          <t>부강면</t>
        </is>
      </c>
    </row>
    <row r="6923">
      <c r="A6923" s="3" t="n">
        <v>2026</v>
      </c>
      <c r="B6923" s="4" t="n">
        <v>31866</v>
      </c>
      <c r="C6923" s="4" t="n">
        <v>680</v>
      </c>
      <c r="D6923" s="4" t="n">
        <v>205.7</v>
      </c>
      <c r="E6923" s="5" t="n">
        <v>154.9</v>
      </c>
      <c r="F6923" s="3" t="inlineStr">
        <is>
          <t>부강면</t>
        </is>
      </c>
      <c r="G6923" s="3" t="inlineStr">
        <is>
          <t>노호리</t>
        </is>
      </c>
      <c r="H6923" s="3" t="inlineStr">
        <is>
          <t>계획관리지역</t>
        </is>
      </c>
      <c r="I6923" s="3" t="inlineStr">
        <is>
          <t>공장용지</t>
        </is>
      </c>
      <c r="J6923" s="3" t="inlineStr">
        <is>
          <t>부강면</t>
        </is>
      </c>
    </row>
    <row r="6924">
      <c r="A6924" s="3" t="n">
        <v>2026</v>
      </c>
      <c r="B6924" s="4" t="n">
        <v>3979</v>
      </c>
      <c r="C6924" s="4" t="n">
        <v>1190</v>
      </c>
      <c r="D6924" s="4" t="n">
        <v>359.975</v>
      </c>
      <c r="E6924" s="5" t="n">
        <v>11.1</v>
      </c>
      <c r="F6924" s="3" t="inlineStr">
        <is>
          <t>부강면</t>
        </is>
      </c>
      <c r="G6924" s="3" t="inlineStr">
        <is>
          <t>갈산리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2026</v>
      </c>
      <c r="B6925" s="4" t="n">
        <v>17935</v>
      </c>
      <c r="C6925" s="4" t="n">
        <v>4760</v>
      </c>
      <c r="D6925" s="4" t="n">
        <v>1439.9</v>
      </c>
      <c r="E6925" s="5" t="n">
        <v>12.5</v>
      </c>
      <c r="F6925" s="3" t="inlineStr">
        <is>
          <t>부강면</t>
        </is>
      </c>
      <c r="G6925" s="3" t="inlineStr">
        <is>
          <t>갈산리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2026</v>
      </c>
      <c r="B6926" s="4" t="n">
        <v>16</v>
      </c>
      <c r="C6926" s="4" t="n">
        <v>2</v>
      </c>
      <c r="D6926" s="4" t="n">
        <v>0.605</v>
      </c>
      <c r="E6926" s="5" t="n">
        <v>26.4</v>
      </c>
      <c r="F6926" s="3" t="inlineStr">
        <is>
          <t>전동면</t>
        </is>
      </c>
      <c r="G6926" s="3" t="inlineStr">
        <is>
          <t>봉대리</t>
        </is>
      </c>
      <c r="H6926" s="3" t="inlineStr">
        <is>
          <t>생산관리지역</t>
        </is>
      </c>
      <c r="I6926" s="3" t="inlineStr">
        <is>
          <t>답</t>
        </is>
      </c>
      <c r="J6926" s="3" t="inlineStr">
        <is>
          <t>전동면</t>
        </is>
      </c>
    </row>
    <row r="6927">
      <c r="A6927" s="3" t="n">
        <v>2026</v>
      </c>
      <c r="B6927" s="4" t="n">
        <v>5713</v>
      </c>
      <c r="C6927" s="4" t="n">
        <v>715</v>
      </c>
      <c r="D6927" s="4" t="n">
        <v>216.2875</v>
      </c>
      <c r="E6927" s="5" t="n">
        <v>26.4</v>
      </c>
      <c r="F6927" s="3" t="inlineStr">
        <is>
          <t>전동면</t>
        </is>
      </c>
      <c r="G6927" s="3" t="inlineStr">
        <is>
          <t>봉대리</t>
        </is>
      </c>
      <c r="H6927" s="3" t="inlineStr">
        <is>
          <t>생산관리지역</t>
        </is>
      </c>
      <c r="I6927" s="3" t="inlineStr">
        <is>
          <t>과수원</t>
        </is>
      </c>
      <c r="J6927" s="3" t="inlineStr">
        <is>
          <t>전동면</t>
        </is>
      </c>
    </row>
    <row r="6928">
      <c r="A6928" s="3" t="n">
        <v>2026</v>
      </c>
      <c r="B6928" s="4" t="n">
        <v>304</v>
      </c>
      <c r="C6928" s="4" t="n">
        <v>38</v>
      </c>
      <c r="D6928" s="4" t="n">
        <v>11.495</v>
      </c>
      <c r="E6928" s="5" t="n">
        <v>26.4</v>
      </c>
      <c r="F6928" s="3" t="inlineStr">
        <is>
          <t>전동면</t>
        </is>
      </c>
      <c r="G6928" s="3" t="inlineStr">
        <is>
          <t>봉대리</t>
        </is>
      </c>
      <c r="H6928" s="3" t="inlineStr">
        <is>
          <t>생산관리지역</t>
        </is>
      </c>
      <c r="I6928" s="3" t="inlineStr">
        <is>
          <t>과수원</t>
        </is>
      </c>
      <c r="J6928" s="3" t="inlineStr">
        <is>
          <t>전동면</t>
        </is>
      </c>
    </row>
    <row r="6929">
      <c r="A6929" s="3" t="n">
        <v>2026</v>
      </c>
      <c r="B6929" s="4" t="n">
        <v>7591</v>
      </c>
      <c r="C6929" s="4" t="n">
        <v>950</v>
      </c>
      <c r="D6929" s="4" t="n">
        <v>287.375</v>
      </c>
      <c r="E6929" s="5" t="n">
        <v>26.4</v>
      </c>
      <c r="F6929" s="3" t="inlineStr">
        <is>
          <t>전동면</t>
        </is>
      </c>
      <c r="G6929" s="3" t="inlineStr">
        <is>
          <t>봉대리</t>
        </is>
      </c>
      <c r="H6929" s="3" t="inlineStr">
        <is>
          <t>생산관리지역</t>
        </is>
      </c>
      <c r="I6929" s="3" t="inlineStr">
        <is>
          <t>과수원</t>
        </is>
      </c>
      <c r="J6929" s="3" t="inlineStr">
        <is>
          <t>전동면</t>
        </is>
      </c>
    </row>
    <row r="6930">
      <c r="A6930" s="3" t="n">
        <v>2026</v>
      </c>
      <c r="B6930" s="4" t="n">
        <v>400</v>
      </c>
      <c r="C6930" s="4" t="n">
        <v>50</v>
      </c>
      <c r="D6930" s="4" t="n">
        <v>15.125</v>
      </c>
      <c r="E6930" s="5" t="n">
        <v>26.4</v>
      </c>
      <c r="F6930" s="3" t="inlineStr">
        <is>
          <t>전동면</t>
        </is>
      </c>
      <c r="G6930" s="3" t="inlineStr">
        <is>
          <t>봉대리</t>
        </is>
      </c>
      <c r="H6930" s="3" t="inlineStr">
        <is>
          <t>생산관리지역</t>
        </is>
      </c>
      <c r="I6930" s="3" t="inlineStr">
        <is>
          <t>과수원</t>
        </is>
      </c>
      <c r="J6930" s="3" t="inlineStr">
        <is>
          <t>전동면</t>
        </is>
      </c>
    </row>
    <row r="6931">
      <c r="A6931" s="3" t="n">
        <v>2026</v>
      </c>
      <c r="B6931" s="4" t="n">
        <v>232</v>
      </c>
      <c r="C6931" s="4" t="n">
        <v>29</v>
      </c>
      <c r="D6931" s="4" t="n">
        <v>8.772499999999999</v>
      </c>
      <c r="E6931" s="5" t="n">
        <v>26.4</v>
      </c>
      <c r="F6931" s="3" t="inlineStr">
        <is>
          <t>전동면</t>
        </is>
      </c>
      <c r="G6931" s="3" t="inlineStr">
        <is>
          <t>봉대리</t>
        </is>
      </c>
      <c r="H6931" s="3" t="inlineStr">
        <is>
          <t>생산관리지역</t>
        </is>
      </c>
      <c r="I6931" s="3" t="inlineStr">
        <is>
          <t>과수원</t>
        </is>
      </c>
      <c r="J6931" s="3" t="inlineStr">
        <is>
          <t>전동면</t>
        </is>
      </c>
    </row>
    <row r="6932">
      <c r="A6932" s="3" t="n">
        <v>2026</v>
      </c>
      <c r="B6932" s="4" t="n">
        <v>898</v>
      </c>
      <c r="C6932" s="4" t="n">
        <v>114</v>
      </c>
      <c r="D6932" s="4" t="n">
        <v>34.485</v>
      </c>
      <c r="E6932" s="5" t="n">
        <v>26</v>
      </c>
      <c r="F6932" s="3" t="inlineStr">
        <is>
          <t>전동면</t>
        </is>
      </c>
      <c r="G6932" s="3" t="inlineStr">
        <is>
          <t>봉대리</t>
        </is>
      </c>
      <c r="H6932" s="3" t="inlineStr">
        <is>
          <t>생산관리지역</t>
        </is>
      </c>
      <c r="I6932" s="3" t="inlineStr">
        <is>
          <t>답</t>
        </is>
      </c>
      <c r="J6932" s="3" t="inlineStr">
        <is>
          <t>전동면</t>
        </is>
      </c>
    </row>
    <row r="6933">
      <c r="A6933" s="3" t="n">
        <v>2026</v>
      </c>
      <c r="B6933" s="4" t="n">
        <v>4688</v>
      </c>
      <c r="C6933" s="4" t="n">
        <v>595</v>
      </c>
      <c r="D6933" s="4" t="n">
        <v>179.9875</v>
      </c>
      <c r="E6933" s="5" t="n">
        <v>26</v>
      </c>
      <c r="F6933" s="3" t="inlineStr">
        <is>
          <t>전동면</t>
        </is>
      </c>
      <c r="G6933" s="3" t="inlineStr">
        <is>
          <t>봉대리</t>
        </is>
      </c>
      <c r="H6933" s="3" t="inlineStr">
        <is>
          <t>생산관리지역</t>
        </is>
      </c>
      <c r="I6933" s="3" t="inlineStr">
        <is>
          <t>답</t>
        </is>
      </c>
      <c r="J6933" s="3" t="inlineStr">
        <is>
          <t>전동면</t>
        </is>
      </c>
    </row>
    <row r="6934">
      <c r="A6934" s="3" t="n">
        <v>2026</v>
      </c>
      <c r="B6934" s="4" t="n">
        <v>1008</v>
      </c>
      <c r="C6934" s="4" t="n">
        <v>128</v>
      </c>
      <c r="D6934" s="4" t="n">
        <v>38.72</v>
      </c>
      <c r="E6934" s="5" t="n">
        <v>26</v>
      </c>
      <c r="F6934" s="3" t="inlineStr">
        <is>
          <t>전동면</t>
        </is>
      </c>
      <c r="G6934" s="3" t="inlineStr">
        <is>
          <t>봉대리</t>
        </is>
      </c>
      <c r="H6934" s="3" t="inlineStr">
        <is>
          <t>생산관리지역</t>
        </is>
      </c>
      <c r="I6934" s="3" t="inlineStr">
        <is>
          <t>답</t>
        </is>
      </c>
      <c r="J6934" s="3" t="inlineStr">
        <is>
          <t>전동면</t>
        </is>
      </c>
    </row>
    <row r="6935">
      <c r="A6935" s="3" t="n">
        <v>2026</v>
      </c>
      <c r="B6935" s="4" t="n">
        <v>4703</v>
      </c>
      <c r="C6935" s="4" t="n">
        <v>597</v>
      </c>
      <c r="D6935" s="4" t="n">
        <v>180.5925</v>
      </c>
      <c r="E6935" s="5" t="n">
        <v>26</v>
      </c>
      <c r="F6935" s="3" t="inlineStr">
        <is>
          <t>전동면</t>
        </is>
      </c>
      <c r="G6935" s="3" t="inlineStr">
        <is>
          <t>봉대리</t>
        </is>
      </c>
      <c r="H6935" s="3" t="inlineStr">
        <is>
          <t>생산관리지역</t>
        </is>
      </c>
      <c r="I6935" s="3" t="inlineStr">
        <is>
          <t>답</t>
        </is>
      </c>
      <c r="J6935" s="3" t="inlineStr">
        <is>
          <t>전동면</t>
        </is>
      </c>
    </row>
    <row r="6936">
      <c r="A6936" s="3" t="n">
        <v>2026</v>
      </c>
      <c r="B6936" s="4" t="n">
        <v>1454</v>
      </c>
      <c r="C6936" s="4" t="n">
        <v>182</v>
      </c>
      <c r="D6936" s="4" t="n">
        <v>55.055</v>
      </c>
      <c r="E6936" s="5" t="n">
        <v>26.4</v>
      </c>
      <c r="F6936" s="3" t="inlineStr">
        <is>
          <t>전동면</t>
        </is>
      </c>
      <c r="G6936" s="3" t="inlineStr">
        <is>
          <t>봉대리</t>
        </is>
      </c>
      <c r="H6936" s="3" t="inlineStr">
        <is>
          <t>생산관리지역</t>
        </is>
      </c>
      <c r="I6936" s="3" t="inlineStr">
        <is>
          <t>과수원</t>
        </is>
      </c>
      <c r="J6936" s="3" t="inlineStr">
        <is>
          <t>전동면</t>
        </is>
      </c>
    </row>
    <row r="6937">
      <c r="A6937" s="3" t="n">
        <v>2026</v>
      </c>
      <c r="B6937" s="4" t="n">
        <v>8</v>
      </c>
      <c r="C6937" s="4" t="n">
        <v>1</v>
      </c>
      <c r="D6937" s="4" t="n">
        <v>0.3025</v>
      </c>
      <c r="E6937" s="5" t="n">
        <v>26.4</v>
      </c>
      <c r="F6937" s="3" t="inlineStr">
        <is>
          <t>전동면</t>
        </is>
      </c>
      <c r="G6937" s="3" t="inlineStr">
        <is>
          <t>봉대리</t>
        </is>
      </c>
      <c r="H6937" s="3" t="inlineStr">
        <is>
          <t>생산관리지역</t>
        </is>
      </c>
      <c r="I6937" s="3" t="inlineStr">
        <is>
          <t>과수원</t>
        </is>
      </c>
      <c r="J6937" s="3" t="inlineStr">
        <is>
          <t>전동면</t>
        </is>
      </c>
    </row>
    <row r="6938">
      <c r="A6938" s="3" t="n">
        <v>2026</v>
      </c>
      <c r="B6938" s="4" t="n">
        <v>5857</v>
      </c>
      <c r="C6938" s="4" t="n">
        <v>733</v>
      </c>
      <c r="D6938" s="4" t="n">
        <v>221.7325</v>
      </c>
      <c r="E6938" s="5" t="n">
        <v>26.4</v>
      </c>
      <c r="F6938" s="3" t="inlineStr">
        <is>
          <t>전동면</t>
        </is>
      </c>
      <c r="G6938" s="3" t="inlineStr">
        <is>
          <t>봉대리</t>
        </is>
      </c>
      <c r="H6938" s="3" t="inlineStr">
        <is>
          <t>생산관리지역</t>
        </is>
      </c>
      <c r="I6938" s="3" t="inlineStr">
        <is>
          <t>과수원</t>
        </is>
      </c>
      <c r="J6938" s="3" t="inlineStr">
        <is>
          <t>전동면</t>
        </is>
      </c>
    </row>
    <row r="6939">
      <c r="A6939" s="3" t="n">
        <v>2026</v>
      </c>
      <c r="B6939" s="4" t="n">
        <v>423</v>
      </c>
      <c r="C6939" s="4" t="n">
        <v>53</v>
      </c>
      <c r="D6939" s="4" t="n">
        <v>16.0325</v>
      </c>
      <c r="E6939" s="5" t="n">
        <v>26.4</v>
      </c>
      <c r="F6939" s="3" t="inlineStr">
        <is>
          <t>전동면</t>
        </is>
      </c>
      <c r="G6939" s="3" t="inlineStr">
        <is>
          <t>봉대리</t>
        </is>
      </c>
      <c r="H6939" s="3" t="inlineStr">
        <is>
          <t>생산관리지역</t>
        </is>
      </c>
      <c r="I6939" s="3" t="inlineStr">
        <is>
          <t>과수원</t>
        </is>
      </c>
      <c r="J6939" s="3" t="inlineStr">
        <is>
          <t>전동면</t>
        </is>
      </c>
    </row>
    <row r="6940">
      <c r="A6940" s="3" t="n">
        <v>2026</v>
      </c>
      <c r="B6940" s="4" t="n">
        <v>3567</v>
      </c>
      <c r="C6940" s="4" t="n">
        <v>449</v>
      </c>
      <c r="D6940" s="4" t="n">
        <v>135.8225</v>
      </c>
      <c r="E6940" s="5" t="n">
        <v>26.3</v>
      </c>
      <c r="F6940" s="3" t="inlineStr">
        <is>
          <t>전동면</t>
        </is>
      </c>
      <c r="G6940" s="3" t="inlineStr">
        <is>
          <t>봉대리</t>
        </is>
      </c>
      <c r="H6940" s="3" t="inlineStr">
        <is>
          <t>생산관리지역</t>
        </is>
      </c>
      <c r="I6940" s="3" t="inlineStr">
        <is>
          <t>과수원</t>
        </is>
      </c>
      <c r="J6940" s="3" t="inlineStr">
        <is>
          <t>전동면</t>
        </is>
      </c>
    </row>
    <row r="6941">
      <c r="A6941" s="3" t="n">
        <v>2026</v>
      </c>
      <c r="B6941" s="4" t="n">
        <v>1176</v>
      </c>
      <c r="C6941" s="4" t="n">
        <v>148</v>
      </c>
      <c r="D6941" s="4" t="n">
        <v>44.77</v>
      </c>
      <c r="E6941" s="5" t="n">
        <v>26.3</v>
      </c>
      <c r="F6941" s="3" t="inlineStr">
        <is>
          <t>전동면</t>
        </is>
      </c>
      <c r="G6941" s="3" t="inlineStr">
        <is>
          <t>봉대리</t>
        </is>
      </c>
      <c r="H6941" s="3" t="inlineStr">
        <is>
          <t>생산관리지역</t>
        </is>
      </c>
      <c r="I6941" s="3" t="inlineStr">
        <is>
          <t>전</t>
        </is>
      </c>
      <c r="J6941" s="3" t="inlineStr">
        <is>
          <t>전동면</t>
        </is>
      </c>
    </row>
    <row r="6942">
      <c r="A6942" s="3" t="n">
        <v>2026</v>
      </c>
      <c r="B6942" s="4" t="n">
        <v>230</v>
      </c>
      <c r="C6942" s="4" t="n">
        <v>29</v>
      </c>
      <c r="D6942" s="4" t="n">
        <v>8.772499999999999</v>
      </c>
      <c r="E6942" s="5" t="n">
        <v>26.2</v>
      </c>
      <c r="F6942" s="3" t="inlineStr">
        <is>
          <t>전동면</t>
        </is>
      </c>
      <c r="G6942" s="3" t="inlineStr">
        <is>
          <t>봉대리</t>
        </is>
      </c>
      <c r="H6942" s="3" t="inlineStr">
        <is>
          <t>생산관리지역</t>
        </is>
      </c>
      <c r="I6942" s="3" t="inlineStr">
        <is>
          <t>과수원</t>
        </is>
      </c>
      <c r="J6942" s="3" t="inlineStr">
        <is>
          <t>전동면</t>
        </is>
      </c>
    </row>
    <row r="6943">
      <c r="A6943" s="3" t="n">
        <v>2026</v>
      </c>
      <c r="B6943" s="4" t="n">
        <v>548</v>
      </c>
      <c r="C6943" s="4" t="n">
        <v>69</v>
      </c>
      <c r="D6943" s="4" t="n">
        <v>20.8725</v>
      </c>
      <c r="E6943" s="5" t="n">
        <v>26.3</v>
      </c>
      <c r="F6943" s="3" t="inlineStr">
        <is>
          <t>전동면</t>
        </is>
      </c>
      <c r="G6943" s="3" t="inlineStr">
        <is>
          <t>봉대리</t>
        </is>
      </c>
      <c r="H6943" s="3" t="inlineStr">
        <is>
          <t>생산관리지역</t>
        </is>
      </c>
      <c r="I6943" s="3" t="inlineStr">
        <is>
          <t>전</t>
        </is>
      </c>
      <c r="J6943" s="3" t="inlineStr">
        <is>
          <t>전동면</t>
        </is>
      </c>
    </row>
    <row r="6944">
      <c r="A6944" s="3" t="n">
        <v>2026</v>
      </c>
      <c r="B6944" s="4" t="n">
        <v>2509</v>
      </c>
      <c r="C6944" s="4" t="n">
        <v>322</v>
      </c>
      <c r="D6944" s="4" t="n">
        <v>97.405</v>
      </c>
      <c r="E6944" s="5" t="n">
        <v>25.8</v>
      </c>
      <c r="F6944" s="3" t="inlineStr">
        <is>
          <t>전동면</t>
        </is>
      </c>
      <c r="G6944" s="3" t="inlineStr">
        <is>
          <t>봉대리</t>
        </is>
      </c>
      <c r="H6944" s="3" t="inlineStr">
        <is>
          <t>생산관리지역</t>
        </is>
      </c>
      <c r="I6944" s="3" t="inlineStr">
        <is>
          <t>과수원</t>
        </is>
      </c>
      <c r="J6944" s="3" t="inlineStr">
        <is>
          <t>전동면</t>
        </is>
      </c>
    </row>
    <row r="6945">
      <c r="A6945" s="3" t="n">
        <v>2026</v>
      </c>
      <c r="B6945" s="4" t="n">
        <v>319</v>
      </c>
      <c r="C6945" s="4" t="n">
        <v>41</v>
      </c>
      <c r="D6945" s="4" t="n">
        <v>12.4025</v>
      </c>
      <c r="E6945" s="5" t="n">
        <v>25.7</v>
      </c>
      <c r="F6945" s="3" t="inlineStr">
        <is>
          <t>전동면</t>
        </is>
      </c>
      <c r="G6945" s="3" t="inlineStr">
        <is>
          <t>봉대리</t>
        </is>
      </c>
      <c r="H6945" s="3" t="inlineStr">
        <is>
          <t>생산관리지역</t>
        </is>
      </c>
      <c r="I6945" s="3" t="inlineStr">
        <is>
          <t>전</t>
        </is>
      </c>
      <c r="J6945" s="3" t="inlineStr">
        <is>
          <t>전동면</t>
        </is>
      </c>
    </row>
    <row r="6946">
      <c r="A6946" s="3" t="n">
        <v>2026</v>
      </c>
      <c r="B6946" s="4" t="n">
        <v>436</v>
      </c>
      <c r="C6946" s="4" t="n">
        <v>56</v>
      </c>
      <c r="D6946" s="4" t="n">
        <v>16.94</v>
      </c>
      <c r="E6946" s="5" t="n">
        <v>25.7</v>
      </c>
      <c r="F6946" s="3" t="inlineStr">
        <is>
          <t>전동면</t>
        </is>
      </c>
      <c r="G6946" s="3" t="inlineStr">
        <is>
          <t>봉대리</t>
        </is>
      </c>
      <c r="H6946" s="3" t="inlineStr">
        <is>
          <t>생산관리지역</t>
        </is>
      </c>
      <c r="I6946" s="3" t="inlineStr">
        <is>
          <t>과수원</t>
        </is>
      </c>
      <c r="J6946" s="3" t="inlineStr">
        <is>
          <t>전동면</t>
        </is>
      </c>
    </row>
    <row r="6947">
      <c r="A6947" s="3" t="n">
        <v>2026</v>
      </c>
      <c r="B6947" s="4" t="n">
        <v>2563</v>
      </c>
      <c r="C6947" s="4" t="n">
        <v>329</v>
      </c>
      <c r="D6947" s="4" t="n">
        <v>99.52249999999999</v>
      </c>
      <c r="E6947" s="5" t="n">
        <v>25.8</v>
      </c>
      <c r="F6947" s="3" t="inlineStr">
        <is>
          <t>전동면</t>
        </is>
      </c>
      <c r="G6947" s="3" t="inlineStr">
        <is>
          <t>봉대리</t>
        </is>
      </c>
      <c r="H6947" s="3" t="inlineStr">
        <is>
          <t>생산관리지역</t>
        </is>
      </c>
      <c r="I6947" s="3" t="inlineStr">
        <is>
          <t>전</t>
        </is>
      </c>
      <c r="J6947" s="3" t="inlineStr">
        <is>
          <t>전동면</t>
        </is>
      </c>
    </row>
    <row r="6948">
      <c r="A6948" s="3" t="n">
        <v>2026</v>
      </c>
      <c r="B6948" s="4" t="n">
        <v>3795</v>
      </c>
      <c r="C6948" s="4" t="n">
        <v>475</v>
      </c>
      <c r="D6948" s="4" t="n">
        <v>143.6875</v>
      </c>
      <c r="E6948" s="5" t="n">
        <v>26.4</v>
      </c>
      <c r="F6948" s="3" t="inlineStr">
        <is>
          <t>전동면</t>
        </is>
      </c>
      <c r="G6948" s="3" t="inlineStr">
        <is>
          <t>봉대리</t>
        </is>
      </c>
      <c r="H6948" s="3" t="inlineStr">
        <is>
          <t>생산관리지역</t>
        </is>
      </c>
      <c r="I6948" s="3" t="inlineStr">
        <is>
          <t>과수원</t>
        </is>
      </c>
      <c r="J6948" s="3" t="inlineStr">
        <is>
          <t>전동면</t>
        </is>
      </c>
    </row>
    <row r="6949">
      <c r="A6949" s="3" t="n">
        <v>2026</v>
      </c>
      <c r="B6949" s="4" t="n">
        <v>160</v>
      </c>
      <c r="C6949" s="4" t="n">
        <v>20</v>
      </c>
      <c r="D6949" s="4" t="n">
        <v>6.05</v>
      </c>
      <c r="E6949" s="5" t="n">
        <v>26.4</v>
      </c>
      <c r="F6949" s="3" t="inlineStr">
        <is>
          <t>전동면</t>
        </is>
      </c>
      <c r="G6949" s="3" t="inlineStr">
        <is>
          <t>봉대리</t>
        </is>
      </c>
      <c r="H6949" s="3" t="inlineStr">
        <is>
          <t>생산관리지역</t>
        </is>
      </c>
      <c r="I6949" s="3" t="inlineStr">
        <is>
          <t>과수원</t>
        </is>
      </c>
      <c r="J6949" s="3" t="inlineStr">
        <is>
          <t>전동면</t>
        </is>
      </c>
    </row>
    <row r="6950">
      <c r="A6950" s="3" t="n">
        <v>2026</v>
      </c>
      <c r="B6950" s="4" t="n">
        <v>4618</v>
      </c>
      <c r="C6950" s="4" t="n">
        <v>578</v>
      </c>
      <c r="D6950" s="4" t="n">
        <v>174.845</v>
      </c>
      <c r="E6950" s="5" t="n">
        <v>26.4</v>
      </c>
      <c r="F6950" s="3" t="inlineStr">
        <is>
          <t>전동면</t>
        </is>
      </c>
      <c r="G6950" s="3" t="inlineStr">
        <is>
          <t>봉대리</t>
        </is>
      </c>
      <c r="H6950" s="3" t="inlineStr">
        <is>
          <t>생산관리지역</t>
        </is>
      </c>
      <c r="I6950" s="3" t="inlineStr">
        <is>
          <t>과수원</t>
        </is>
      </c>
      <c r="J6950" s="3" t="inlineStr">
        <is>
          <t>전동면</t>
        </is>
      </c>
    </row>
    <row r="6951">
      <c r="A6951" s="3" t="n">
        <v>2026</v>
      </c>
      <c r="B6951" s="4" t="n">
        <v>80</v>
      </c>
      <c r="C6951" s="4" t="n">
        <v>10</v>
      </c>
      <c r="D6951" s="4" t="n">
        <v>3.025</v>
      </c>
      <c r="E6951" s="5" t="n">
        <v>26.4</v>
      </c>
      <c r="F6951" s="3" t="inlineStr">
        <is>
          <t>전동면</t>
        </is>
      </c>
      <c r="G6951" s="3" t="inlineStr">
        <is>
          <t>봉대리</t>
        </is>
      </c>
      <c r="H6951" s="3" t="inlineStr">
        <is>
          <t>생산관리지역</t>
        </is>
      </c>
      <c r="I6951" s="3" t="inlineStr">
        <is>
          <t>과수원</t>
        </is>
      </c>
      <c r="J6951" s="3" t="inlineStr">
        <is>
          <t>전동면</t>
        </is>
      </c>
    </row>
    <row r="6952">
      <c r="A6952" s="3" t="n">
        <v>2026</v>
      </c>
      <c r="B6952" s="4" t="n">
        <v>5841</v>
      </c>
      <c r="C6952" s="4" t="n">
        <v>731</v>
      </c>
      <c r="D6952" s="4" t="n">
        <v>221.1275</v>
      </c>
      <c r="E6952" s="5" t="n">
        <v>26.4</v>
      </c>
      <c r="F6952" s="3" t="inlineStr">
        <is>
          <t>전동면</t>
        </is>
      </c>
      <c r="G6952" s="3" t="inlineStr">
        <is>
          <t>봉대리</t>
        </is>
      </c>
      <c r="H6952" s="3" t="inlineStr">
        <is>
          <t>생산관리지역</t>
        </is>
      </c>
      <c r="I6952" s="3" t="inlineStr">
        <is>
          <t>과수원</t>
        </is>
      </c>
      <c r="J6952" s="3" t="inlineStr">
        <is>
          <t>전동면</t>
        </is>
      </c>
    </row>
    <row r="6953">
      <c r="A6953" s="3" t="n">
        <v>2026</v>
      </c>
      <c r="B6953" s="4" t="n">
        <v>599</v>
      </c>
      <c r="C6953" s="4" t="n">
        <v>75</v>
      </c>
      <c r="D6953" s="4" t="n">
        <v>22.6875</v>
      </c>
      <c r="E6953" s="5" t="n">
        <v>26.4</v>
      </c>
      <c r="F6953" s="3" t="inlineStr">
        <is>
          <t>전동면</t>
        </is>
      </c>
      <c r="G6953" s="3" t="inlineStr">
        <is>
          <t>봉대리</t>
        </is>
      </c>
      <c r="H6953" s="3" t="inlineStr">
        <is>
          <t>생산관리지역</t>
        </is>
      </c>
      <c r="I6953" s="3" t="inlineStr">
        <is>
          <t>과수원</t>
        </is>
      </c>
      <c r="J6953" s="3" t="inlineStr">
        <is>
          <t>전동면</t>
        </is>
      </c>
    </row>
    <row r="6954">
      <c r="A6954" s="3" t="n">
        <v>2026</v>
      </c>
      <c r="B6954" s="4" t="n">
        <v>3348</v>
      </c>
      <c r="C6954" s="4" t="n">
        <v>419</v>
      </c>
      <c r="D6954" s="4" t="n">
        <v>126.7475</v>
      </c>
      <c r="E6954" s="5" t="n">
        <v>26.4</v>
      </c>
      <c r="F6954" s="3" t="inlineStr">
        <is>
          <t>전동면</t>
        </is>
      </c>
      <c r="G6954" s="3" t="inlineStr">
        <is>
          <t>봉대리</t>
        </is>
      </c>
      <c r="H6954" s="3" t="inlineStr">
        <is>
          <t>생산관리지역</t>
        </is>
      </c>
      <c r="I6954" s="3" t="inlineStr">
        <is>
          <t>과수원</t>
        </is>
      </c>
      <c r="J6954" s="3" t="inlineStr">
        <is>
          <t>전동면</t>
        </is>
      </c>
    </row>
    <row r="6955">
      <c r="A6955" s="3" t="n">
        <v>2026</v>
      </c>
      <c r="B6955" s="4" t="n">
        <v>224</v>
      </c>
      <c r="C6955" s="4" t="n">
        <v>28</v>
      </c>
      <c r="D6955" s="4" t="n">
        <v>8.469999999999999</v>
      </c>
      <c r="E6955" s="5" t="n">
        <v>26.4</v>
      </c>
      <c r="F6955" s="3" t="inlineStr">
        <is>
          <t>전동면</t>
        </is>
      </c>
      <c r="G6955" s="3" t="inlineStr">
        <is>
          <t>봉대리</t>
        </is>
      </c>
      <c r="H6955" s="3" t="inlineStr">
        <is>
          <t>생산관리지역</t>
        </is>
      </c>
      <c r="I6955" s="3" t="inlineStr">
        <is>
          <t>과수원</t>
        </is>
      </c>
      <c r="J6955" s="3" t="inlineStr">
        <is>
          <t>전동면</t>
        </is>
      </c>
    </row>
    <row r="6956">
      <c r="A6956" s="3" t="n">
        <v>2026</v>
      </c>
      <c r="B6956" s="4" t="n">
        <v>4491</v>
      </c>
      <c r="C6956" s="4" t="n">
        <v>562</v>
      </c>
      <c r="D6956" s="4" t="n">
        <v>170.005</v>
      </c>
      <c r="E6956" s="5" t="n">
        <v>26.4</v>
      </c>
      <c r="F6956" s="3" t="inlineStr">
        <is>
          <t>전동면</t>
        </is>
      </c>
      <c r="G6956" s="3" t="inlineStr">
        <is>
          <t>봉대리</t>
        </is>
      </c>
      <c r="H6956" s="3" t="inlineStr">
        <is>
          <t>생산관리지역</t>
        </is>
      </c>
      <c r="I6956" s="3" t="inlineStr">
        <is>
          <t>과수원</t>
        </is>
      </c>
      <c r="J6956" s="3" t="inlineStr">
        <is>
          <t>전동면</t>
        </is>
      </c>
    </row>
    <row r="6957">
      <c r="A6957" s="3" t="n">
        <v>2026</v>
      </c>
      <c r="B6957" s="4" t="n">
        <v>5490</v>
      </c>
      <c r="C6957" s="4" t="n">
        <v>202</v>
      </c>
      <c r="D6957" s="4" t="n">
        <v>61.105</v>
      </c>
      <c r="E6957" s="5" t="n">
        <v>89.8</v>
      </c>
      <c r="F6957" s="3" t="inlineStr">
        <is>
          <t>연서면</t>
        </is>
      </c>
      <c r="G6957" s="3" t="inlineStr">
        <is>
          <t>국촌리</t>
        </is>
      </c>
      <c r="H6957" s="3" t="inlineStr">
        <is>
          <t>계획관리지역</t>
        </is>
      </c>
      <c r="I6957" s="3" t="inlineStr">
        <is>
          <t>대</t>
        </is>
      </c>
      <c r="J6957" s="3" t="inlineStr">
        <is>
          <t>연서면</t>
        </is>
      </c>
    </row>
    <row r="6958">
      <c r="A6958" s="3" t="n">
        <v>2024</v>
      </c>
      <c r="B6958" s="4" t="n">
        <v>249971</v>
      </c>
      <c r="C6958" s="4" t="n">
        <v>1067</v>
      </c>
      <c r="D6958" s="4" t="n">
        <v>322.7675</v>
      </c>
      <c r="E6958" s="5" t="n">
        <v>774.5</v>
      </c>
      <c r="F6958" s="3" t="inlineStr">
        <is>
          <t>연기면</t>
        </is>
      </c>
      <c r="G6958" s="3" t="inlineStr">
        <is>
          <t>연기리</t>
        </is>
      </c>
      <c r="H6958" s="3" t="inlineStr">
        <is>
          <t>계획관리지역</t>
        </is>
      </c>
      <c r="I6958" s="3" t="inlineStr">
        <is>
          <t>잡종지</t>
        </is>
      </c>
      <c r="J6958" s="3" t="inlineStr">
        <is>
          <t>연기면</t>
        </is>
      </c>
    </row>
    <row r="6959">
      <c r="A6959" s="3" t="n">
        <v>2024</v>
      </c>
      <c r="B6959" s="4" t="n">
        <v>2300</v>
      </c>
      <c r="C6959" s="4" t="n">
        <v>131</v>
      </c>
      <c r="D6959" s="4" t="n">
        <v>39.6275</v>
      </c>
      <c r="E6959" s="5" t="n">
        <v>58</v>
      </c>
      <c r="F6959" s="3" t="inlineStr">
        <is>
          <t>전의면</t>
        </is>
      </c>
      <c r="G6959" s="3" t="inlineStr">
        <is>
          <t>양곡리</t>
        </is>
      </c>
      <c r="H6959" s="3" t="inlineStr">
        <is>
          <t>계획관리지역</t>
        </is>
      </c>
      <c r="I6959" s="3" t="inlineStr">
        <is>
          <t>전</t>
        </is>
      </c>
      <c r="J6959" s="3" t="inlineStr">
        <is>
          <t>전의면</t>
        </is>
      </c>
    </row>
    <row r="6960">
      <c r="A6960" s="3" t="n">
        <v>2024</v>
      </c>
      <c r="B6960" s="4" t="n">
        <v>950</v>
      </c>
      <c r="C6960" s="4" t="n">
        <v>129</v>
      </c>
      <c r="D6960" s="4" t="n">
        <v>39.0225</v>
      </c>
      <c r="E6960" s="5" t="n">
        <v>24.3</v>
      </c>
      <c r="F6960" s="3" t="inlineStr">
        <is>
          <t>전동면</t>
        </is>
      </c>
      <c r="G6960" s="3" t="inlineStr">
        <is>
          <t>청람리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전동면</t>
        </is>
      </c>
    </row>
    <row r="6961">
      <c r="A6961" s="3" t="n">
        <v>2024</v>
      </c>
      <c r="B6961" s="4" t="n">
        <v>120</v>
      </c>
      <c r="C6961" s="4" t="n">
        <v>83</v>
      </c>
      <c r="D6961" s="4" t="n">
        <v>25.1075</v>
      </c>
      <c r="E6961" s="5" t="n">
        <v>4.8</v>
      </c>
      <c r="F6961" s="3" t="inlineStr">
        <is>
          <t>전동면</t>
        </is>
      </c>
      <c r="G6961" s="3" t="inlineStr">
        <is>
          <t>청람리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전동면</t>
        </is>
      </c>
    </row>
    <row r="6962">
      <c r="A6962" s="3" t="n">
        <v>2024</v>
      </c>
      <c r="B6962" s="4" t="n">
        <v>8000</v>
      </c>
      <c r="C6962" s="4" t="n">
        <v>3305</v>
      </c>
      <c r="D6962" s="4" t="n">
        <v>999.7624999999999</v>
      </c>
      <c r="E6962" s="5" t="n">
        <v>8</v>
      </c>
      <c r="F6962" s="3" t="inlineStr">
        <is>
          <t>전동면</t>
        </is>
      </c>
      <c r="G6962" s="3" t="inlineStr">
        <is>
          <t>송정리</t>
        </is>
      </c>
      <c r="H6962" s="3" t="inlineStr">
        <is>
          <t>보전관리지역</t>
        </is>
      </c>
      <c r="I6962" s="3" t="inlineStr">
        <is>
          <t>임야</t>
        </is>
      </c>
      <c r="J6962" s="3" t="inlineStr">
        <is>
          <t>전동면</t>
        </is>
      </c>
    </row>
    <row r="6963">
      <c r="A6963" s="3" t="n">
        <v>2024</v>
      </c>
      <c r="B6963" s="4" t="n">
        <v>8000</v>
      </c>
      <c r="C6963" s="4" t="n">
        <v>3305</v>
      </c>
      <c r="D6963" s="4" t="n">
        <v>999.7624999999999</v>
      </c>
      <c r="E6963" s="5" t="n">
        <v>8</v>
      </c>
      <c r="F6963" s="3" t="inlineStr">
        <is>
          <t>전동면</t>
        </is>
      </c>
      <c r="G6963" s="3" t="inlineStr">
        <is>
          <t>송정리</t>
        </is>
      </c>
      <c r="H6963" s="3" t="inlineStr">
        <is>
          <t>보전관리지역</t>
        </is>
      </c>
      <c r="I6963" s="3" t="inlineStr">
        <is>
          <t>임야</t>
        </is>
      </c>
      <c r="J6963" s="3" t="inlineStr">
        <is>
          <t>전동면</t>
        </is>
      </c>
    </row>
    <row r="6964">
      <c r="A6964" s="3" t="n">
        <v>2024</v>
      </c>
      <c r="B6964" s="4" t="n">
        <v>24750</v>
      </c>
      <c r="C6964" s="4" t="n">
        <v>1487</v>
      </c>
      <c r="D6964" s="4" t="n">
        <v>449.8175</v>
      </c>
      <c r="E6964" s="5" t="n">
        <v>55</v>
      </c>
      <c r="F6964" s="3" t="inlineStr">
        <is>
          <t>소정면</t>
        </is>
      </c>
      <c r="G6964" s="3" t="inlineStr">
        <is>
          <t>대곡리</t>
        </is>
      </c>
      <c r="H6964" s="3" t="inlineStr">
        <is>
          <t>계획관리지역</t>
        </is>
      </c>
      <c r="I6964" s="3" t="inlineStr">
        <is>
          <t>전</t>
        </is>
      </c>
      <c r="J6964" s="3" t="inlineStr">
        <is>
          <t>소정면</t>
        </is>
      </c>
    </row>
    <row r="6965">
      <c r="A6965" s="3" t="n">
        <v>2025</v>
      </c>
      <c r="B6965" s="4" t="n">
        <v>44658</v>
      </c>
      <c r="C6965" s="4" t="n">
        <v>522</v>
      </c>
      <c r="D6965" s="4" t="n">
        <v>157.905</v>
      </c>
      <c r="E6965" s="5" t="n">
        <v>282.8</v>
      </c>
      <c r="F6965" s="3" t="inlineStr">
        <is>
          <t>장군면</t>
        </is>
      </c>
      <c r="G6965" s="3" t="inlineStr">
        <is>
          <t>산학리</t>
        </is>
      </c>
      <c r="H6965" s="3" t="inlineStr">
        <is>
          <t>보전관리지역</t>
        </is>
      </c>
      <c r="I6965" s="3" t="inlineStr">
        <is>
          <t>대</t>
        </is>
      </c>
      <c r="J6965" s="3" t="inlineStr">
        <is>
          <t>장군면</t>
        </is>
      </c>
    </row>
    <row r="6966">
      <c r="A6966" s="3" t="n">
        <v>2025</v>
      </c>
      <c r="B6966" s="4" t="n">
        <v>44658</v>
      </c>
      <c r="C6966" s="4" t="n">
        <v>522</v>
      </c>
      <c r="D6966" s="4" t="n">
        <v>157.905</v>
      </c>
      <c r="E6966" s="5" t="n">
        <v>282.8</v>
      </c>
      <c r="F6966" s="3" t="inlineStr">
        <is>
          <t>장군면</t>
        </is>
      </c>
      <c r="G6966" s="3" t="inlineStr">
        <is>
          <t>산학리</t>
        </is>
      </c>
      <c r="H6966" s="3" t="inlineStr">
        <is>
          <t>보전관리지역</t>
        </is>
      </c>
      <c r="I6966" s="3" t="inlineStr">
        <is>
          <t>대</t>
        </is>
      </c>
      <c r="J6966" s="3" t="inlineStr">
        <is>
          <t>장군면</t>
        </is>
      </c>
    </row>
    <row r="6967">
      <c r="A6967" s="3" t="n">
        <v>2023</v>
      </c>
      <c r="B6967" s="4" t="n">
        <v>21000</v>
      </c>
      <c r="C6967" s="4" t="n">
        <v>434</v>
      </c>
      <c r="D6967" s="4" t="n">
        <v>131.285</v>
      </c>
      <c r="E6967" s="5" t="n">
        <v>160</v>
      </c>
      <c r="F6967" s="3" t="inlineStr">
        <is>
          <t>장군면</t>
        </is>
      </c>
      <c r="G6967" s="3" t="inlineStr">
        <is>
          <t>금암리</t>
        </is>
      </c>
      <c r="H6967" s="3" t="inlineStr">
        <is>
          <t>계획관리지역</t>
        </is>
      </c>
      <c r="I6967" s="3" t="inlineStr">
        <is>
          <t>임야</t>
        </is>
      </c>
      <c r="J6967" s="3" t="inlineStr">
        <is>
          <t>장군면</t>
        </is>
      </c>
    </row>
    <row r="6968">
      <c r="A6968" s="3" t="n">
        <v>2023</v>
      </c>
      <c r="B6968" s="4" t="n">
        <v>6000</v>
      </c>
      <c r="C6968" s="4" t="n">
        <v>1165</v>
      </c>
      <c r="D6968" s="4" t="n">
        <v>352.4125</v>
      </c>
      <c r="E6968" s="5" t="n">
        <v>17</v>
      </c>
      <c r="F6968" s="3" t="inlineStr">
        <is>
          <t>전동면</t>
        </is>
      </c>
      <c r="G6968" s="3" t="inlineStr">
        <is>
          <t>봉대리</t>
        </is>
      </c>
      <c r="H6968" s="3" t="inlineStr">
        <is>
          <t>생산관리지역</t>
        </is>
      </c>
      <c r="I6968" s="3" t="inlineStr">
        <is>
          <t>과수원</t>
        </is>
      </c>
      <c r="J6968" s="3" t="inlineStr">
        <is>
          <t>전동면</t>
        </is>
      </c>
    </row>
    <row r="6969">
      <c r="A6969" s="3" t="n">
        <v>2023</v>
      </c>
      <c r="B6969" s="4" t="n">
        <v>34700</v>
      </c>
      <c r="C6969" s="4" t="n">
        <v>258</v>
      </c>
      <c r="D6969" s="4" t="n">
        <v>78.045</v>
      </c>
      <c r="E6969" s="5" t="n">
        <v>444.6</v>
      </c>
      <c r="F6969" s="3" t="inlineStr">
        <is>
          <t>조치원읍</t>
        </is>
      </c>
      <c r="G6969" s="3" t="inlineStr">
        <is>
          <t>서창리</t>
        </is>
      </c>
      <c r="H6969" s="3" t="inlineStr">
        <is>
          <t>제2종일반주거지역</t>
        </is>
      </c>
      <c r="I6969" s="3" t="inlineStr">
        <is>
          <t>대</t>
        </is>
      </c>
      <c r="J6969" s="3" t="inlineStr">
        <is>
          <t>조치원읍</t>
        </is>
      </c>
    </row>
    <row r="6970">
      <c r="A6970" s="3" t="n">
        <v>2023</v>
      </c>
      <c r="B6970" s="4" t="n">
        <v>48000</v>
      </c>
      <c r="C6970" s="4" t="n">
        <v>425</v>
      </c>
      <c r="D6970" s="4" t="n">
        <v>128.5625</v>
      </c>
      <c r="E6970" s="5" t="n">
        <v>373.4</v>
      </c>
      <c r="F6970" s="3" t="inlineStr">
        <is>
          <t>연동면</t>
        </is>
      </c>
      <c r="G6970" s="3" t="inlineStr">
        <is>
          <t>명학리</t>
        </is>
      </c>
      <c r="H6970" s="3" t="inlineStr">
        <is>
          <t>계획관리지역</t>
        </is>
      </c>
      <c r="I6970" s="3" t="inlineStr">
        <is>
          <t>잡종지</t>
        </is>
      </c>
      <c r="J6970" s="3" t="inlineStr">
        <is>
          <t>연동면</t>
        </is>
      </c>
    </row>
    <row r="6971">
      <c r="A6971" s="3" t="n">
        <v>2023</v>
      </c>
      <c r="B6971" s="4" t="n">
        <v>63000</v>
      </c>
      <c r="C6971" s="4" t="n">
        <v>508</v>
      </c>
      <c r="D6971" s="4" t="n">
        <v>153.67</v>
      </c>
      <c r="E6971" s="5" t="n">
        <v>410</v>
      </c>
      <c r="F6971" s="3" t="inlineStr">
        <is>
          <t>장군면</t>
        </is>
      </c>
      <c r="G6971" s="3" t="inlineStr">
        <is>
          <t>봉안리</t>
        </is>
      </c>
      <c r="H6971" s="3" t="inlineStr">
        <is>
          <t>계획관리지역</t>
        </is>
      </c>
      <c r="I6971" s="3" t="inlineStr">
        <is>
          <t>전</t>
        </is>
      </c>
      <c r="J6971" s="3" t="inlineStr">
        <is>
          <t>장군면</t>
        </is>
      </c>
    </row>
    <row r="6972">
      <c r="A6972" s="3" t="n">
        <v>2023</v>
      </c>
      <c r="B6972" s="4" t="n">
        <v>1600</v>
      </c>
      <c r="C6972" s="4" t="n">
        <v>13</v>
      </c>
      <c r="D6972" s="4" t="n">
        <v>3.9325</v>
      </c>
      <c r="E6972" s="5" t="n">
        <v>406.9</v>
      </c>
      <c r="F6972" s="3" t="inlineStr">
        <is>
          <t>장군면</t>
        </is>
      </c>
      <c r="G6972" s="3" t="inlineStr">
        <is>
          <t>봉안리</t>
        </is>
      </c>
      <c r="H6972" s="3" t="inlineStr">
        <is>
          <t>계획관리지역</t>
        </is>
      </c>
      <c r="I6972" s="3" t="inlineStr">
        <is>
          <t>임야</t>
        </is>
      </c>
      <c r="J6972" s="3" t="inlineStr">
        <is>
          <t>장군면</t>
        </is>
      </c>
    </row>
    <row r="6973">
      <c r="A6973" s="3" t="n">
        <v>2023</v>
      </c>
      <c r="B6973" s="4" t="n">
        <v>48935</v>
      </c>
      <c r="C6973" s="4" t="n">
        <v>492</v>
      </c>
      <c r="D6973" s="4" t="n">
        <v>148.83</v>
      </c>
      <c r="E6973" s="5" t="n">
        <v>328.8</v>
      </c>
      <c r="F6973" s="3" t="inlineStr">
        <is>
          <t>장군면</t>
        </is>
      </c>
      <c r="G6973" s="3" t="inlineStr">
        <is>
          <t>대교리</t>
        </is>
      </c>
      <c r="H6973" s="3" t="inlineStr">
        <is>
          <t>보전관리지역</t>
        </is>
      </c>
      <c r="I6973" s="3" t="inlineStr">
        <is>
          <t>대</t>
        </is>
      </c>
      <c r="J6973" s="3" t="inlineStr">
        <is>
          <t>장군면</t>
        </is>
      </c>
    </row>
    <row r="6974">
      <c r="A6974" s="3" t="n">
        <v>2022</v>
      </c>
      <c r="B6974" s="4" t="n">
        <v>6835</v>
      </c>
      <c r="C6974" s="4" t="n">
        <v>368</v>
      </c>
      <c r="D6974" s="4" t="n">
        <v>111.32</v>
      </c>
      <c r="E6974" s="5" t="n">
        <v>61.4</v>
      </c>
      <c r="F6974" s="3" t="inlineStr">
        <is>
          <t>소정면</t>
        </is>
      </c>
      <c r="G6974" s="3" t="inlineStr">
        <is>
          <t>고등리</t>
        </is>
      </c>
      <c r="H6974" s="3" t="inlineStr">
        <is>
          <t>계획관리지역</t>
        </is>
      </c>
      <c r="I6974" s="3" t="inlineStr">
        <is>
          <t>전</t>
        </is>
      </c>
      <c r="J6974" s="3" t="inlineStr">
        <is>
          <t>소정면</t>
        </is>
      </c>
    </row>
    <row r="6975">
      <c r="A6975" s="3" t="n">
        <v>2022</v>
      </c>
      <c r="B6975" s="4" t="n">
        <v>266634</v>
      </c>
      <c r="C6975" s="4" t="n">
        <v>17474</v>
      </c>
      <c r="D6975" s="4" t="n">
        <v>5285.885</v>
      </c>
      <c r="E6975" s="5" t="n">
        <v>50.4</v>
      </c>
      <c r="F6975" s="3" t="inlineStr">
        <is>
          <t>부강면</t>
        </is>
      </c>
      <c r="G6975" s="3" t="inlineStr">
        <is>
          <t>노호리</t>
        </is>
      </c>
      <c r="H6975" s="3" t="inlineStr">
        <is>
          <t>계획관리지역</t>
        </is>
      </c>
      <c r="I6975" s="3" t="inlineStr">
        <is>
          <t>임야</t>
        </is>
      </c>
      <c r="J6975" s="3" t="inlineStr">
        <is>
          <t>부강면</t>
        </is>
      </c>
    </row>
    <row r="6976">
      <c r="A6976" s="3" t="n">
        <v>2022</v>
      </c>
      <c r="B6976" s="4" t="n">
        <v>20889</v>
      </c>
      <c r="C6976" s="4" t="n">
        <v>1369</v>
      </c>
      <c r="D6976" s="4" t="n">
        <v>414.1225</v>
      </c>
      <c r="E6976" s="5" t="n">
        <v>50.4</v>
      </c>
      <c r="F6976" s="3" t="inlineStr">
        <is>
          <t>부강면</t>
        </is>
      </c>
      <c r="G6976" s="3" t="inlineStr">
        <is>
          <t>노호리</t>
        </is>
      </c>
      <c r="H6976" s="3" t="inlineStr">
        <is>
          <t>계획관리지역</t>
        </is>
      </c>
      <c r="I6976" s="3" t="inlineStr">
        <is>
          <t>전</t>
        </is>
      </c>
      <c r="J6976" s="3" t="inlineStr">
        <is>
          <t>부강면</t>
        </is>
      </c>
    </row>
    <row r="6977">
      <c r="A6977" s="3" t="n">
        <v>2022</v>
      </c>
      <c r="B6977" s="4" t="n">
        <v>3555</v>
      </c>
      <c r="C6977" s="4" t="n">
        <v>233</v>
      </c>
      <c r="D6977" s="4" t="n">
        <v>70.4825</v>
      </c>
      <c r="E6977" s="5" t="n">
        <v>50.4</v>
      </c>
      <c r="F6977" s="3" t="inlineStr">
        <is>
          <t>부강면</t>
        </is>
      </c>
      <c r="G6977" s="3" t="inlineStr">
        <is>
          <t>노호리</t>
        </is>
      </c>
      <c r="H6977" s="3" t="inlineStr">
        <is>
          <t>보전관리지역</t>
        </is>
      </c>
      <c r="I6977" s="3" t="inlineStr">
        <is>
          <t>임야</t>
        </is>
      </c>
      <c r="J6977" s="3" t="inlineStr">
        <is>
          <t>부강면</t>
        </is>
      </c>
    </row>
    <row r="6978">
      <c r="A6978" s="3" t="n">
        <v>2022</v>
      </c>
      <c r="B6978" s="4" t="n">
        <v>4547</v>
      </c>
      <c r="C6978" s="4" t="n">
        <v>298</v>
      </c>
      <c r="D6978" s="4" t="n">
        <v>90.145</v>
      </c>
      <c r="E6978" s="5" t="n">
        <v>50.4</v>
      </c>
      <c r="F6978" s="3" t="inlineStr">
        <is>
          <t>부강면</t>
        </is>
      </c>
      <c r="G6978" s="3" t="inlineStr">
        <is>
          <t>노호리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부강면</t>
        </is>
      </c>
    </row>
    <row r="6979">
      <c r="A6979" s="3" t="n">
        <v>2022</v>
      </c>
      <c r="B6979" s="4" t="n">
        <v>10025</v>
      </c>
      <c r="C6979" s="4" t="n">
        <v>657</v>
      </c>
      <c r="D6979" s="4" t="n">
        <v>198.7425</v>
      </c>
      <c r="E6979" s="5" t="n">
        <v>50.4</v>
      </c>
      <c r="F6979" s="3" t="inlineStr">
        <is>
          <t>부강면</t>
        </is>
      </c>
      <c r="G6979" s="3" t="inlineStr">
        <is>
          <t>노호리</t>
        </is>
      </c>
      <c r="H6979" s="3" t="inlineStr">
        <is>
          <t>계획관리지역</t>
        </is>
      </c>
      <c r="I6979" s="3" t="inlineStr">
        <is>
          <t>임야</t>
        </is>
      </c>
      <c r="J6979" s="3" t="inlineStr">
        <is>
          <t>부강면</t>
        </is>
      </c>
    </row>
    <row r="6980">
      <c r="A6980" s="3" t="n">
        <v>2022</v>
      </c>
      <c r="B6980" s="4" t="n">
        <v>140000</v>
      </c>
      <c r="C6980" s="4" t="n">
        <v>1893</v>
      </c>
      <c r="D6980" s="4" t="n">
        <v>572.6324999999999</v>
      </c>
      <c r="E6980" s="5" t="n">
        <v>244.5</v>
      </c>
      <c r="F6980" s="3" t="inlineStr">
        <is>
          <t>연서면</t>
        </is>
      </c>
      <c r="G6980" s="3" t="inlineStr">
        <is>
          <t>와촌리</t>
        </is>
      </c>
      <c r="H6980" s="3" t="inlineStr">
        <is>
          <t>계획관리지역</t>
        </is>
      </c>
      <c r="I6980" s="3" t="inlineStr">
        <is>
          <t>전</t>
        </is>
      </c>
      <c r="J6980" s="3" t="inlineStr">
        <is>
          <t>연서면</t>
        </is>
      </c>
    </row>
    <row r="6981">
      <c r="A6981" s="3" t="n">
        <v>2022</v>
      </c>
      <c r="B6981" s="4" t="n">
        <v>198682</v>
      </c>
      <c r="C6981" s="4" t="n">
        <v>821</v>
      </c>
      <c r="D6981" s="4" t="n">
        <v>248.3525</v>
      </c>
      <c r="E6981" s="5" t="n">
        <v>800</v>
      </c>
      <c r="F6981" s="3" t="inlineStr">
        <is>
          <t>조치원읍</t>
        </is>
      </c>
      <c r="G6981" s="3" t="inlineStr">
        <is>
          <t>신안리</t>
        </is>
      </c>
      <c r="H6981" s="3" t="inlineStr">
        <is>
          <t>제2종일반주거지역</t>
        </is>
      </c>
      <c r="I6981" s="3" t="inlineStr">
        <is>
          <t>잡종지</t>
        </is>
      </c>
      <c r="J6981" s="3" t="inlineStr">
        <is>
          <t>조치원읍</t>
        </is>
      </c>
    </row>
    <row r="6982">
      <c r="A6982" s="3" t="n">
        <v>2022</v>
      </c>
      <c r="B6982" s="4" t="n">
        <v>49000</v>
      </c>
      <c r="C6982" s="4" t="n">
        <v>4604</v>
      </c>
      <c r="D6982" s="4" t="n">
        <v>1392.71</v>
      </c>
      <c r="E6982" s="5" t="n">
        <v>35.2</v>
      </c>
      <c r="F6982" s="3" t="inlineStr">
        <is>
          <t>연서면</t>
        </is>
      </c>
      <c r="G6982" s="3" t="inlineStr">
        <is>
          <t>쌍류리</t>
        </is>
      </c>
      <c r="H6982" s="3" t="inlineStr">
        <is>
          <t>농림지역</t>
        </is>
      </c>
      <c r="I6982" s="3" t="inlineStr">
        <is>
          <t>임야</t>
        </is>
      </c>
      <c r="J6982" s="3" t="inlineStr">
        <is>
          <t>연서면</t>
        </is>
      </c>
    </row>
    <row r="6983">
      <c r="A6983" s="3" t="n">
        <v>2022</v>
      </c>
      <c r="B6983" s="4" t="n">
        <v>16000</v>
      </c>
      <c r="C6983" s="4" t="n">
        <v>357</v>
      </c>
      <c r="D6983" s="4" t="n">
        <v>107.9925</v>
      </c>
      <c r="E6983" s="5" t="n">
        <v>148.2</v>
      </c>
      <c r="F6983" s="3" t="inlineStr">
        <is>
          <t>연서면</t>
        </is>
      </c>
      <c r="G6983" s="3" t="inlineStr">
        <is>
          <t>쌍류리</t>
        </is>
      </c>
      <c r="H6983" s="3" t="inlineStr">
        <is>
          <t>계획관리지역</t>
        </is>
      </c>
      <c r="I6983" s="3" t="inlineStr">
        <is>
          <t>대</t>
        </is>
      </c>
      <c r="J6983" s="3" t="inlineStr">
        <is>
          <t>연서면</t>
        </is>
      </c>
    </row>
    <row r="6984">
      <c r="A6984" s="3" t="n">
        <v>2024</v>
      </c>
      <c r="B6984" s="4" t="n">
        <v>31000</v>
      </c>
      <c r="C6984" s="4" t="n">
        <v>1487</v>
      </c>
      <c r="D6984" s="4" t="n">
        <v>449.8175</v>
      </c>
      <c r="E6984" s="5" t="n">
        <v>68.90000000000001</v>
      </c>
      <c r="F6984" s="3" t="inlineStr">
        <is>
          <t>부강면</t>
        </is>
      </c>
      <c r="G6984" s="3" t="inlineStr">
        <is>
          <t>부강리</t>
        </is>
      </c>
      <c r="H6984" s="3" t="inlineStr">
        <is>
          <t>자연녹지지역</t>
        </is>
      </c>
      <c r="I6984" s="3" t="inlineStr">
        <is>
          <t>전</t>
        </is>
      </c>
      <c r="J6984" s="3" t="inlineStr">
        <is>
          <t>부강면</t>
        </is>
      </c>
    </row>
    <row r="6985">
      <c r="A6985" s="3" t="n">
        <v>2026</v>
      </c>
      <c r="B6985" s="4" t="n">
        <v>38132</v>
      </c>
      <c r="C6985" s="4" t="n">
        <v>7537</v>
      </c>
      <c r="D6985" s="4" t="n">
        <v>2279.9425</v>
      </c>
      <c r="E6985" s="5" t="n">
        <v>16.7</v>
      </c>
      <c r="F6985" s="3" t="inlineStr">
        <is>
          <t>부강면</t>
        </is>
      </c>
      <c r="G6985" s="3" t="inlineStr">
        <is>
          <t>산수리</t>
        </is>
      </c>
      <c r="H6985" s="3" t="inlineStr">
        <is>
          <t>계획관리지역</t>
        </is>
      </c>
      <c r="I6985" s="3" t="inlineStr">
        <is>
          <t>임야</t>
        </is>
      </c>
      <c r="J6985" s="3" t="inlineStr">
        <is>
          <t>부강면</t>
        </is>
      </c>
    </row>
    <row r="6986">
      <c r="A6986" s="3" t="n">
        <v>2026</v>
      </c>
      <c r="B6986" s="4" t="n">
        <v>259200</v>
      </c>
      <c r="C6986" s="4" t="n">
        <v>2160</v>
      </c>
      <c r="D6986" s="4" t="n">
        <v>653.4</v>
      </c>
      <c r="E6986" s="5" t="n">
        <v>396.7</v>
      </c>
      <c r="F6986" s="3" t="inlineStr">
        <is>
          <t>장군면</t>
        </is>
      </c>
      <c r="G6986" s="3" t="inlineStr">
        <is>
          <t>금암리</t>
        </is>
      </c>
      <c r="H6986" s="3" t="inlineStr">
        <is>
          <t>자연녹지지역</t>
        </is>
      </c>
      <c r="I6986" s="3" t="inlineStr">
        <is>
          <t>대</t>
        </is>
      </c>
      <c r="J6986" s="3" t="inlineStr">
        <is>
          <t>장군면</t>
        </is>
      </c>
    </row>
    <row r="6987">
      <c r="A6987" s="3" t="n">
        <v>2024</v>
      </c>
      <c r="B6987" s="4" t="n">
        <v>20000</v>
      </c>
      <c r="C6987" s="4" t="n">
        <v>957</v>
      </c>
      <c r="D6987" s="4" t="n">
        <v>289.4925</v>
      </c>
      <c r="E6987" s="5" t="n">
        <v>69.09999999999999</v>
      </c>
      <c r="F6987" s="3" t="inlineStr">
        <is>
          <t>현도면</t>
        </is>
      </c>
      <c r="G6987" s="3" t="inlineStr">
        <is>
          <t>중삼리</t>
        </is>
      </c>
      <c r="H6987" s="3" t="inlineStr">
        <is>
          <t>계획관리지역</t>
        </is>
      </c>
      <c r="I6987" s="3" t="inlineStr">
        <is>
          <t>답</t>
        </is>
      </c>
      <c r="J6987" s="3" t="inlineStr">
        <is>
          <t>현도면</t>
        </is>
      </c>
    </row>
    <row r="6988">
      <c r="A6988" s="3" t="n">
        <v>2024</v>
      </c>
      <c r="B6988" s="4" t="n">
        <v>10000</v>
      </c>
      <c r="C6988" s="4" t="n">
        <v>491</v>
      </c>
      <c r="D6988" s="4" t="n">
        <v>148.5275</v>
      </c>
      <c r="E6988" s="5" t="n">
        <v>67.3</v>
      </c>
      <c r="F6988" s="3" t="inlineStr">
        <is>
          <t>현도면</t>
        </is>
      </c>
      <c r="G6988" s="3" t="inlineStr">
        <is>
          <t>중삼리</t>
        </is>
      </c>
      <c r="H6988" s="3" t="inlineStr">
        <is>
          <t>계획관리지역</t>
        </is>
      </c>
      <c r="I6988" s="3" t="inlineStr">
        <is>
          <t>답</t>
        </is>
      </c>
      <c r="J6988" s="3" t="inlineStr">
        <is>
          <t>현도면</t>
        </is>
      </c>
    </row>
    <row r="6989">
      <c r="A6989" s="3" t="n">
        <v>2024</v>
      </c>
      <c r="B6989" s="4" t="n">
        <v>2760</v>
      </c>
      <c r="C6989" s="4" t="n">
        <v>311</v>
      </c>
      <c r="D6989" s="4" t="n">
        <v>94.0775</v>
      </c>
      <c r="E6989" s="5" t="n">
        <v>29.3</v>
      </c>
      <c r="F6989" s="3" t="inlineStr">
        <is>
          <t>현도면</t>
        </is>
      </c>
      <c r="G6989" s="3" t="inlineStr">
        <is>
          <t>하석리</t>
        </is>
      </c>
      <c r="H6989" s="3" t="inlineStr">
        <is>
          <t>자연녹지지역</t>
        </is>
      </c>
      <c r="I6989" s="3" t="inlineStr">
        <is>
          <t>대</t>
        </is>
      </c>
      <c r="J6989" s="3" t="inlineStr">
        <is>
          <t>현도면</t>
        </is>
      </c>
    </row>
    <row r="6990">
      <c r="A6990" s="3" t="n">
        <v>2024</v>
      </c>
      <c r="B6990" s="4" t="n">
        <v>10690</v>
      </c>
      <c r="C6990" s="4" t="n">
        <v>1107</v>
      </c>
      <c r="D6990" s="4" t="n">
        <v>334.8675</v>
      </c>
      <c r="E6990" s="5" t="n">
        <v>31.9</v>
      </c>
      <c r="F6990" s="3" t="inlineStr">
        <is>
          <t>남이면</t>
        </is>
      </c>
      <c r="G6990" s="3" t="inlineStr">
        <is>
          <t>팔봉리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2024</v>
      </c>
      <c r="B6991" s="4" t="n">
        <v>10865</v>
      </c>
      <c r="C6991" s="4" t="n">
        <v>671</v>
      </c>
      <c r="D6991" s="4" t="n">
        <v>202.9775</v>
      </c>
      <c r="E6991" s="5" t="n">
        <v>53.5</v>
      </c>
      <c r="F6991" s="3" t="inlineStr">
        <is>
          <t>남이면</t>
        </is>
      </c>
      <c r="G6991" s="3" t="inlineStr">
        <is>
          <t>척산리</t>
        </is>
      </c>
      <c r="H6991" s="3" t="inlineStr">
        <is>
          <t>계획관리지역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2024</v>
      </c>
      <c r="B6992" s="4" t="n">
        <v>9135</v>
      </c>
      <c r="C6992" s="4" t="n">
        <v>564</v>
      </c>
      <c r="D6992" s="4" t="n">
        <v>170.61</v>
      </c>
      <c r="E6992" s="5" t="n">
        <v>53.5</v>
      </c>
      <c r="F6992" s="3" t="inlineStr">
        <is>
          <t>남이면</t>
        </is>
      </c>
      <c r="G6992" s="3" t="inlineStr">
        <is>
          <t>척산리</t>
        </is>
      </c>
      <c r="H6992" s="3" t="inlineStr">
        <is>
          <t>계획관리지역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2024</v>
      </c>
      <c r="B6993" s="4" t="n">
        <v>5300</v>
      </c>
      <c r="C6993" s="4" t="n">
        <v>350</v>
      </c>
      <c r="D6993" s="4" t="n">
        <v>105.875</v>
      </c>
      <c r="E6993" s="5" t="n">
        <v>50.1</v>
      </c>
      <c r="F6993" s="3" t="inlineStr">
        <is>
          <t>현도면</t>
        </is>
      </c>
      <c r="G6993" s="3" t="inlineStr">
        <is>
          <t>시동리</t>
        </is>
      </c>
      <c r="H6993" s="3" t="inlineStr">
        <is>
          <t>생산관리지역</t>
        </is>
      </c>
      <c r="I6993" s="3" t="inlineStr">
        <is>
          <t>답</t>
        </is>
      </c>
      <c r="J6993" s="3" t="inlineStr">
        <is>
          <t>현도면</t>
        </is>
      </c>
    </row>
    <row r="6994">
      <c r="A6994" s="3" t="n">
        <v>2024</v>
      </c>
      <c r="B6994" s="4" t="n">
        <v>7800</v>
      </c>
      <c r="C6994" s="4" t="n">
        <v>1620</v>
      </c>
      <c r="D6994" s="4" t="n">
        <v>490.05</v>
      </c>
      <c r="E6994" s="5" t="n">
        <v>15.9</v>
      </c>
      <c r="F6994" s="3" t="inlineStr">
        <is>
          <t>현도면</t>
        </is>
      </c>
      <c r="G6994" s="3" t="inlineStr">
        <is>
          <t>하석리</t>
        </is>
      </c>
      <c r="H6994" s="3" t="inlineStr">
        <is>
          <t>자연녹지지역</t>
        </is>
      </c>
      <c r="I6994" s="3" t="inlineStr">
        <is>
          <t>답</t>
        </is>
      </c>
      <c r="J6994" s="3" t="inlineStr">
        <is>
          <t>현도면</t>
        </is>
      </c>
    </row>
    <row r="6995">
      <c r="A6995" s="3" t="n">
        <v>2024</v>
      </c>
      <c r="B6995" s="4" t="n">
        <v>10640</v>
      </c>
      <c r="C6995" s="4" t="n">
        <v>1408</v>
      </c>
      <c r="D6995" s="4" t="n">
        <v>425.92</v>
      </c>
      <c r="E6995" s="5" t="n">
        <v>25</v>
      </c>
      <c r="F6995" s="3" t="inlineStr">
        <is>
          <t>남이면</t>
        </is>
      </c>
      <c r="G6995" s="3" t="inlineStr">
        <is>
          <t>산막리</t>
        </is>
      </c>
      <c r="H6995" s="3" t="inlineStr">
        <is>
          <t>생산관리지역</t>
        </is>
      </c>
      <c r="I6995" s="3" t="inlineStr">
        <is>
          <t>답</t>
        </is>
      </c>
      <c r="J6995" s="3" t="inlineStr">
        <is>
          <t>남이면</t>
        </is>
      </c>
    </row>
    <row r="6996">
      <c r="A6996" s="3" t="n">
        <v>2024</v>
      </c>
      <c r="B6996" s="4" t="n">
        <v>2950</v>
      </c>
      <c r="C6996" s="4" t="n">
        <v>929</v>
      </c>
      <c r="D6996" s="4" t="n">
        <v>281.0225</v>
      </c>
      <c r="E6996" s="5" t="n">
        <v>10.5</v>
      </c>
      <c r="F6996" s="3" t="inlineStr">
        <is>
          <t>남이면</t>
        </is>
      </c>
      <c r="G6996" s="3" t="inlineStr">
        <is>
          <t>부용외천리</t>
        </is>
      </c>
      <c r="H6996" s="3" t="inlineStr">
        <is>
          <t>계획관리지역</t>
        </is>
      </c>
      <c r="I6996" s="3" t="inlineStr">
        <is>
          <t>전</t>
        </is>
      </c>
      <c r="J6996" s="3" t="inlineStr">
        <is>
          <t>남이면</t>
        </is>
      </c>
    </row>
    <row r="6997">
      <c r="A6997" s="3" t="n">
        <v>2024</v>
      </c>
      <c r="B6997" s="4" t="n">
        <v>24000</v>
      </c>
      <c r="C6997" s="4" t="n">
        <v>7927</v>
      </c>
      <c r="D6997" s="4" t="n">
        <v>2397.9175</v>
      </c>
      <c r="E6997" s="5" t="n">
        <v>10</v>
      </c>
      <c r="F6997" s="3" t="inlineStr">
        <is>
          <t>남이면</t>
        </is>
      </c>
      <c r="G6997" s="3" t="inlineStr">
        <is>
          <t>팔봉리</t>
        </is>
      </c>
      <c r="H6997" s="3" t="inlineStr">
        <is>
          <t>보전녹지지역</t>
        </is>
      </c>
      <c r="I6997" s="3" t="inlineStr">
        <is>
          <t>임야</t>
        </is>
      </c>
      <c r="J6997" s="3" t="inlineStr">
        <is>
          <t>남이면</t>
        </is>
      </c>
    </row>
    <row r="6998">
      <c r="A6998" s="3" t="n">
        <v>2024</v>
      </c>
      <c r="B6998" s="4" t="n">
        <v>27327</v>
      </c>
      <c r="C6998" s="4" t="n">
        <v>795</v>
      </c>
      <c r="D6998" s="4" t="n">
        <v>240.4875</v>
      </c>
      <c r="E6998" s="5" t="n">
        <v>113.6</v>
      </c>
      <c r="F6998" s="3" t="inlineStr">
        <is>
          <t>현도면</t>
        </is>
      </c>
      <c r="G6998" s="3" t="inlineStr">
        <is>
          <t>중삼리</t>
        </is>
      </c>
      <c r="H6998" s="3" t="inlineStr">
        <is>
          <t>계획관리지역</t>
        </is>
      </c>
      <c r="I6998" s="3" t="inlineStr">
        <is>
          <t>전</t>
        </is>
      </c>
      <c r="J6998" s="3" t="inlineStr">
        <is>
          <t>현도면</t>
        </is>
      </c>
    </row>
    <row r="6999">
      <c r="A6999" s="3" t="n">
        <v>2024</v>
      </c>
      <c r="B6999" s="4" t="n">
        <v>67958</v>
      </c>
      <c r="C6999" s="4" t="n">
        <v>1620</v>
      </c>
      <c r="D6999" s="4" t="n">
        <v>490.05</v>
      </c>
      <c r="E6999" s="5" t="n">
        <v>138.7</v>
      </c>
      <c r="F6999" s="3" t="inlineStr">
        <is>
          <t>현도면</t>
        </is>
      </c>
      <c r="G6999" s="3" t="inlineStr">
        <is>
          <t>중삼리</t>
        </is>
      </c>
      <c r="H6999" s="3" t="inlineStr">
        <is>
          <t>계획관리지역</t>
        </is>
      </c>
      <c r="I6999" s="3" t="inlineStr">
        <is>
          <t>전</t>
        </is>
      </c>
      <c r="J6999" s="3" t="inlineStr">
        <is>
          <t>현도면</t>
        </is>
      </c>
    </row>
    <row r="7000">
      <c r="A7000" s="3" t="n">
        <v>2024</v>
      </c>
      <c r="B7000" s="4" t="n">
        <v>23257</v>
      </c>
      <c r="C7000" s="4" t="n">
        <v>615</v>
      </c>
      <c r="D7000" s="4" t="n">
        <v>186.0375</v>
      </c>
      <c r="E7000" s="5" t="n">
        <v>125</v>
      </c>
      <c r="F7000" s="3" t="inlineStr">
        <is>
          <t>현도면</t>
        </is>
      </c>
      <c r="G7000" s="3" t="inlineStr">
        <is>
          <t>중삼리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현도면</t>
        </is>
      </c>
    </row>
    <row r="7001">
      <c r="A7001" s="3" t="n">
        <v>2024</v>
      </c>
      <c r="B7001" s="4" t="n">
        <v>10740</v>
      </c>
      <c r="C7001" s="4" t="n">
        <v>284</v>
      </c>
      <c r="D7001" s="4" t="n">
        <v>85.91</v>
      </c>
      <c r="E7001" s="5" t="n">
        <v>125</v>
      </c>
      <c r="F7001" s="3" t="inlineStr">
        <is>
          <t>현도면</t>
        </is>
      </c>
      <c r="G7001" s="3" t="inlineStr">
        <is>
          <t>중삼리</t>
        </is>
      </c>
      <c r="H7001" s="3" t="inlineStr">
        <is>
          <t>계획관리지역</t>
        </is>
      </c>
      <c r="I7001" s="3" t="inlineStr">
        <is>
          <t>전</t>
        </is>
      </c>
      <c r="J7001" s="3" t="inlineStr">
        <is>
          <t>현도면</t>
        </is>
      </c>
    </row>
    <row r="7002">
      <c r="A7002" s="3" t="n">
        <v>2024</v>
      </c>
      <c r="B7002" s="4" t="n">
        <v>6664</v>
      </c>
      <c r="C7002" s="4" t="n">
        <v>187</v>
      </c>
      <c r="D7002" s="4" t="n">
        <v>56.5675</v>
      </c>
      <c r="E7002" s="5" t="n">
        <v>117.8</v>
      </c>
      <c r="F7002" s="3" t="inlineStr">
        <is>
          <t>현도면</t>
        </is>
      </c>
      <c r="G7002" s="3" t="inlineStr">
        <is>
          <t>중삼리</t>
        </is>
      </c>
      <c r="H7002" s="3" t="inlineStr">
        <is>
          <t>계획관리지역</t>
        </is>
      </c>
      <c r="I7002" s="3" t="inlineStr">
        <is>
          <t>전</t>
        </is>
      </c>
      <c r="J7002" s="3" t="inlineStr">
        <is>
          <t>현도면</t>
        </is>
      </c>
    </row>
    <row r="7003">
      <c r="A7003" s="3" t="n">
        <v>2024</v>
      </c>
      <c r="B7003" s="4" t="n">
        <v>3842</v>
      </c>
      <c r="C7003" s="4" t="n">
        <v>116</v>
      </c>
      <c r="D7003" s="4" t="n">
        <v>35.09</v>
      </c>
      <c r="E7003" s="5" t="n">
        <v>109.5</v>
      </c>
      <c r="F7003" s="3" t="inlineStr">
        <is>
          <t>현도면</t>
        </is>
      </c>
      <c r="G7003" s="3" t="inlineStr">
        <is>
          <t>중삼리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현도면</t>
        </is>
      </c>
    </row>
    <row r="7004">
      <c r="A7004" s="3" t="n">
        <v>2024</v>
      </c>
      <c r="B7004" s="4" t="n">
        <v>17493</v>
      </c>
      <c r="C7004" s="4" t="n">
        <v>1611</v>
      </c>
      <c r="D7004" s="4" t="n">
        <v>487.3275</v>
      </c>
      <c r="E7004" s="5" t="n">
        <v>35.9</v>
      </c>
      <c r="F7004" s="3" t="inlineStr">
        <is>
          <t>현도면</t>
        </is>
      </c>
      <c r="G7004" s="3" t="inlineStr">
        <is>
          <t>중삼리</t>
        </is>
      </c>
      <c r="H7004" s="3" t="inlineStr">
        <is>
          <t>계획관리지역</t>
        </is>
      </c>
      <c r="I7004" s="3" t="inlineStr">
        <is>
          <t>임야</t>
        </is>
      </c>
      <c r="J7004" s="3" t="inlineStr">
        <is>
          <t>현도면</t>
        </is>
      </c>
    </row>
    <row r="7005">
      <c r="A7005" s="3" t="n">
        <v>2023</v>
      </c>
      <c r="B7005" s="4" t="n">
        <v>60000</v>
      </c>
      <c r="C7005" s="4" t="n">
        <v>2985</v>
      </c>
      <c r="D7005" s="4" t="n">
        <v>902.9625</v>
      </c>
      <c r="E7005" s="5" t="n">
        <v>66.40000000000001</v>
      </c>
      <c r="F7005" s="3" t="inlineStr">
        <is>
          <t>연서면</t>
        </is>
      </c>
      <c r="G7005" s="3" t="inlineStr">
        <is>
          <t>봉암리</t>
        </is>
      </c>
      <c r="H7005" s="3" t="inlineStr">
        <is>
          <t>농림지역</t>
        </is>
      </c>
      <c r="I7005" s="3" t="inlineStr">
        <is>
          <t>답</t>
        </is>
      </c>
      <c r="J7005" s="3" t="inlineStr">
        <is>
          <t>연서면</t>
        </is>
      </c>
    </row>
    <row r="7006">
      <c r="A7006" s="3" t="n">
        <v>2023</v>
      </c>
      <c r="B7006" s="4" t="n">
        <v>45590</v>
      </c>
      <c r="C7006" s="4" t="n">
        <v>320.7</v>
      </c>
      <c r="D7006" s="4" t="n">
        <v>97.01174999999999</v>
      </c>
      <c r="E7006" s="5" t="n">
        <v>469.9</v>
      </c>
      <c r="F7006" s="3" t="inlineStr">
        <is>
          <t>조치원읍</t>
        </is>
      </c>
      <c r="G7006" s="3" t="inlineStr">
        <is>
          <t>침산리</t>
        </is>
      </c>
      <c r="H7006" s="3" t="inlineStr">
        <is>
          <t>제2종일반주거지역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2023</v>
      </c>
      <c r="B7007" s="4" t="n">
        <v>24219</v>
      </c>
      <c r="C7007" s="4" t="n">
        <v>348</v>
      </c>
      <c r="D7007" s="4" t="n">
        <v>105.27</v>
      </c>
      <c r="E7007" s="5" t="n">
        <v>230.1</v>
      </c>
      <c r="F7007" s="3" t="inlineStr">
        <is>
          <t>전의면</t>
        </is>
      </c>
      <c r="G7007" s="3" t="inlineStr">
        <is>
          <t>달전리</t>
        </is>
      </c>
      <c r="H7007" s="3" t="inlineStr">
        <is>
          <t>보전관리지역</t>
        </is>
      </c>
      <c r="I7007" s="3" t="inlineStr">
        <is>
          <t>답</t>
        </is>
      </c>
      <c r="J7007" s="3" t="inlineStr">
        <is>
          <t>전의면</t>
        </is>
      </c>
    </row>
    <row r="7008">
      <c r="A7008" s="3" t="n">
        <v>2023</v>
      </c>
      <c r="B7008" s="4" t="n">
        <v>3850</v>
      </c>
      <c r="C7008" s="4" t="n">
        <v>2205</v>
      </c>
      <c r="D7008" s="4" t="n">
        <v>667.0124999999999</v>
      </c>
      <c r="E7008" s="5" t="n">
        <v>5.8</v>
      </c>
      <c r="F7008" s="3" t="inlineStr">
        <is>
          <t>전동면</t>
        </is>
      </c>
      <c r="G7008" s="3" t="inlineStr">
        <is>
          <t>송정리</t>
        </is>
      </c>
      <c r="H7008" s="3" t="inlineStr">
        <is>
          <t>농림지역</t>
        </is>
      </c>
      <c r="I7008" s="3" t="inlineStr">
        <is>
          <t>임야</t>
        </is>
      </c>
      <c r="J7008" s="3" t="inlineStr">
        <is>
          <t>전동면</t>
        </is>
      </c>
    </row>
    <row r="7009">
      <c r="A7009" s="3" t="n">
        <v>2023</v>
      </c>
      <c r="B7009" s="4" t="n">
        <v>1150</v>
      </c>
      <c r="C7009" s="4" t="n">
        <v>660</v>
      </c>
      <c r="D7009" s="4" t="n">
        <v>199.65</v>
      </c>
      <c r="E7009" s="5" t="n">
        <v>5.8</v>
      </c>
      <c r="F7009" s="3" t="inlineStr">
        <is>
          <t>전동면</t>
        </is>
      </c>
      <c r="G7009" s="3" t="inlineStr">
        <is>
          <t>송정리</t>
        </is>
      </c>
      <c r="H7009" s="3" t="inlineStr">
        <is>
          <t>농림지역</t>
        </is>
      </c>
      <c r="I7009" s="3" t="inlineStr">
        <is>
          <t>임야</t>
        </is>
      </c>
      <c r="J7009" s="3" t="inlineStr">
        <is>
          <t>전동면</t>
        </is>
      </c>
    </row>
    <row r="7010">
      <c r="A7010" s="3" t="n">
        <v>2023</v>
      </c>
      <c r="B7010" s="4" t="n">
        <v>68858</v>
      </c>
      <c r="C7010" s="4" t="n">
        <v>1669</v>
      </c>
      <c r="D7010" s="4" t="n">
        <v>504.8725</v>
      </c>
      <c r="E7010" s="5" t="n">
        <v>136.4</v>
      </c>
      <c r="F7010" s="3" t="inlineStr">
        <is>
          <t>부강면</t>
        </is>
      </c>
      <c r="G7010" s="3" t="inlineStr">
        <is>
          <t>문곡리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부강면</t>
        </is>
      </c>
    </row>
    <row r="7011">
      <c r="A7011" s="3" t="n">
        <v>2023</v>
      </c>
      <c r="B7011" s="4" t="n">
        <v>49142</v>
      </c>
      <c r="C7011" s="4" t="n">
        <v>1024</v>
      </c>
      <c r="D7011" s="4" t="n">
        <v>309.76</v>
      </c>
      <c r="E7011" s="5" t="n">
        <v>158.6</v>
      </c>
      <c r="F7011" s="3" t="inlineStr">
        <is>
          <t>부강면</t>
        </is>
      </c>
      <c r="G7011" s="3" t="inlineStr">
        <is>
          <t>문곡리</t>
        </is>
      </c>
      <c r="H7011" s="3" t="inlineStr">
        <is>
          <t>계획관리지역</t>
        </is>
      </c>
      <c r="I7011" s="3" t="inlineStr">
        <is>
          <t>답</t>
        </is>
      </c>
      <c r="J7011" s="3" t="inlineStr">
        <is>
          <t>부강면</t>
        </is>
      </c>
    </row>
    <row r="7012">
      <c r="A7012" s="3" t="n">
        <v>2023</v>
      </c>
      <c r="B7012" s="4" t="n">
        <v>43000</v>
      </c>
      <c r="C7012" s="4" t="n">
        <v>33553</v>
      </c>
      <c r="D7012" s="4" t="n">
        <v>10149.7825</v>
      </c>
      <c r="E7012" s="5" t="n">
        <v>4.2</v>
      </c>
      <c r="F7012" s="3" t="inlineStr">
        <is>
          <t>전의면</t>
        </is>
      </c>
      <c r="G7012" s="3" t="inlineStr">
        <is>
          <t>다방리</t>
        </is>
      </c>
      <c r="H7012" s="3" t="inlineStr">
        <is>
          <t>농림지역</t>
        </is>
      </c>
      <c r="I7012" s="3" t="inlineStr">
        <is>
          <t>임야</t>
        </is>
      </c>
      <c r="J7012" s="3" t="inlineStr">
        <is>
          <t>전의면</t>
        </is>
      </c>
    </row>
    <row r="7013">
      <c r="A7013" s="3" t="n">
        <v>2023</v>
      </c>
      <c r="B7013" s="4" t="n">
        <v>16000</v>
      </c>
      <c r="C7013" s="4" t="n">
        <v>532</v>
      </c>
      <c r="D7013" s="4" t="n">
        <v>160.93</v>
      </c>
      <c r="E7013" s="5" t="n">
        <v>99.40000000000001</v>
      </c>
      <c r="F7013" s="3" t="inlineStr">
        <is>
          <t>전의면</t>
        </is>
      </c>
      <c r="G7013" s="3" t="inlineStr">
        <is>
          <t>신흥리</t>
        </is>
      </c>
      <c r="H7013" s="3" t="inlineStr">
        <is>
          <t>계획관리지역</t>
        </is>
      </c>
      <c r="I7013" s="3" t="inlineStr">
        <is>
          <t>전</t>
        </is>
      </c>
      <c r="J7013" s="3" t="inlineStr">
        <is>
          <t>전의면</t>
        </is>
      </c>
    </row>
    <row r="7014">
      <c r="A7014" s="3" t="n">
        <v>2022</v>
      </c>
      <c r="B7014" s="4" t="n">
        <v>6530</v>
      </c>
      <c r="C7014" s="4" t="n">
        <v>129</v>
      </c>
      <c r="D7014" s="4" t="n">
        <v>39.0225</v>
      </c>
      <c r="E7014" s="5" t="n">
        <v>167.3</v>
      </c>
      <c r="F7014" s="3" t="inlineStr">
        <is>
          <t>전의면</t>
        </is>
      </c>
      <c r="G7014" s="3" t="inlineStr">
        <is>
          <t>읍내리</t>
        </is>
      </c>
      <c r="H7014" s="3" t="inlineStr">
        <is>
          <t>농림지역</t>
        </is>
      </c>
      <c r="I7014" s="3" t="inlineStr">
        <is>
          <t>전</t>
        </is>
      </c>
      <c r="J7014" s="3" t="inlineStr">
        <is>
          <t>전의면</t>
        </is>
      </c>
    </row>
    <row r="7015">
      <c r="A7015" s="3" t="n">
        <v>2022</v>
      </c>
      <c r="B7015" s="4" t="n">
        <v>2240</v>
      </c>
      <c r="C7015" s="4" t="n">
        <v>2116</v>
      </c>
      <c r="D7015" s="4" t="n">
        <v>640.09</v>
      </c>
      <c r="E7015" s="5" t="n">
        <v>3.5</v>
      </c>
      <c r="F7015" s="3" t="inlineStr">
        <is>
          <t>전동면</t>
        </is>
      </c>
      <c r="G7015" s="3" t="inlineStr">
        <is>
          <t>보덕리</t>
        </is>
      </c>
      <c r="H7015" s="3" t="inlineStr">
        <is>
          <t>농림지역</t>
        </is>
      </c>
      <c r="I7015" s="3" t="inlineStr">
        <is>
          <t>임야</t>
        </is>
      </c>
      <c r="J7015" s="3" t="inlineStr">
        <is>
          <t>전동면</t>
        </is>
      </c>
    </row>
    <row r="7016">
      <c r="A7016" s="3" t="n">
        <v>2022</v>
      </c>
      <c r="B7016" s="4" t="n">
        <v>3220</v>
      </c>
      <c r="C7016" s="4" t="n">
        <v>3042</v>
      </c>
      <c r="D7016" s="4" t="n">
        <v>920.2049999999999</v>
      </c>
      <c r="E7016" s="5" t="n">
        <v>3.5</v>
      </c>
      <c r="F7016" s="3" t="inlineStr">
        <is>
          <t>전동면</t>
        </is>
      </c>
      <c r="G7016" s="3" t="inlineStr">
        <is>
          <t>보덕리</t>
        </is>
      </c>
      <c r="H7016" s="3" t="inlineStr">
        <is>
          <t>농림지역</t>
        </is>
      </c>
      <c r="I7016" s="3" t="inlineStr">
        <is>
          <t>임야</t>
        </is>
      </c>
      <c r="J7016" s="3" t="inlineStr">
        <is>
          <t>전동면</t>
        </is>
      </c>
    </row>
    <row r="7017">
      <c r="A7017" s="3" t="n">
        <v>2022</v>
      </c>
      <c r="B7017" s="4" t="n">
        <v>3500</v>
      </c>
      <c r="C7017" s="4" t="n">
        <v>3306</v>
      </c>
      <c r="D7017" s="4" t="n">
        <v>1000.065</v>
      </c>
      <c r="E7017" s="5" t="n">
        <v>3.5</v>
      </c>
      <c r="F7017" s="3" t="inlineStr">
        <is>
          <t>전동면</t>
        </is>
      </c>
      <c r="G7017" s="3" t="inlineStr">
        <is>
          <t>보덕리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전동면</t>
        </is>
      </c>
    </row>
    <row r="7018">
      <c r="A7018" s="3" t="n">
        <v>2022</v>
      </c>
      <c r="B7018" s="4" t="n">
        <v>3955</v>
      </c>
      <c r="C7018" s="4" t="n">
        <v>3734</v>
      </c>
      <c r="D7018" s="4" t="n">
        <v>1129.535</v>
      </c>
      <c r="E7018" s="5" t="n">
        <v>3.5</v>
      </c>
      <c r="F7018" s="3" t="inlineStr">
        <is>
          <t>전동면</t>
        </is>
      </c>
      <c r="G7018" s="3" t="inlineStr">
        <is>
          <t>보덕리</t>
        </is>
      </c>
      <c r="H7018" s="3" t="inlineStr">
        <is>
          <t>농림지역</t>
        </is>
      </c>
      <c r="I7018" s="3" t="inlineStr">
        <is>
          <t>임야</t>
        </is>
      </c>
      <c r="J7018" s="3" t="inlineStr">
        <is>
          <t>전동면</t>
        </is>
      </c>
    </row>
    <row r="7019">
      <c r="A7019" s="3" t="n">
        <v>2022</v>
      </c>
      <c r="B7019" s="4" t="n">
        <v>49000</v>
      </c>
      <c r="C7019" s="4" t="n">
        <v>662</v>
      </c>
      <c r="D7019" s="4" t="n">
        <v>200.255</v>
      </c>
      <c r="E7019" s="5" t="n">
        <v>244.7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2022</v>
      </c>
      <c r="B7020" s="4" t="n">
        <v>43480</v>
      </c>
      <c r="C7020" s="4" t="n">
        <v>17970</v>
      </c>
      <c r="D7020" s="4" t="n">
        <v>5435.925</v>
      </c>
      <c r="E7020" s="5" t="n">
        <v>8</v>
      </c>
      <c r="F7020" s="3" t="inlineStr">
        <is>
          <t>전의면</t>
        </is>
      </c>
      <c r="G7020" s="3" t="inlineStr">
        <is>
          <t>노곡리</t>
        </is>
      </c>
      <c r="H7020" s="3" t="inlineStr">
        <is>
          <t>농림지역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2022</v>
      </c>
      <c r="B7021" s="4" t="n">
        <v>1500</v>
      </c>
      <c r="C7021" s="4" t="n">
        <v>221</v>
      </c>
      <c r="D7021" s="4" t="n">
        <v>66.85249999999999</v>
      </c>
      <c r="E7021" s="5" t="n">
        <v>22.4</v>
      </c>
      <c r="F7021" s="3" t="inlineStr">
        <is>
          <t>전의면</t>
        </is>
      </c>
      <c r="G7021" s="3" t="inlineStr">
        <is>
          <t>신정리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전의면</t>
        </is>
      </c>
    </row>
    <row r="7022">
      <c r="A7022" s="3" t="n">
        <v>2022</v>
      </c>
      <c r="B7022" s="4" t="n">
        <v>3000</v>
      </c>
      <c r="C7022" s="4" t="n">
        <v>99</v>
      </c>
      <c r="D7022" s="4" t="n">
        <v>29.9475</v>
      </c>
      <c r="E7022" s="5" t="n">
        <v>100.2</v>
      </c>
      <c r="F7022" s="3" t="inlineStr">
        <is>
          <t>연서면</t>
        </is>
      </c>
      <c r="G7022" s="3" t="inlineStr">
        <is>
          <t>기룡리</t>
        </is>
      </c>
      <c r="H7022" s="3" t="inlineStr">
        <is>
          <t>농림지역</t>
        </is>
      </c>
      <c r="I7022" s="3" t="inlineStr">
        <is>
          <t>전</t>
        </is>
      </c>
      <c r="J7022" s="3" t="inlineStr">
        <is>
          <t>연서면</t>
        </is>
      </c>
    </row>
    <row r="7023">
      <c r="A7023" s="3" t="n">
        <v>2022</v>
      </c>
      <c r="B7023" s="4" t="n">
        <v>6000</v>
      </c>
      <c r="C7023" s="4" t="n">
        <v>200</v>
      </c>
      <c r="D7023" s="4" t="n">
        <v>60.5</v>
      </c>
      <c r="E7023" s="5" t="n">
        <v>99.2</v>
      </c>
      <c r="F7023" s="3" t="inlineStr">
        <is>
          <t>연서면</t>
        </is>
      </c>
      <c r="G7023" s="3" t="inlineStr">
        <is>
          <t>성제리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연서면</t>
        </is>
      </c>
    </row>
    <row r="7024">
      <c r="A7024" s="3" t="n">
        <v>2022</v>
      </c>
      <c r="B7024" s="4" t="n">
        <v>21960</v>
      </c>
      <c r="C7024" s="4" t="n">
        <v>1210</v>
      </c>
      <c r="D7024" s="4" t="n">
        <v>366.025</v>
      </c>
      <c r="E7024" s="5" t="n">
        <v>60</v>
      </c>
      <c r="F7024" s="3" t="inlineStr">
        <is>
          <t>연서면</t>
        </is>
      </c>
      <c r="G7024" s="3" t="inlineStr">
        <is>
          <t>고복리</t>
        </is>
      </c>
      <c r="H7024" s="3" t="inlineStr">
        <is>
          <t>농림지역</t>
        </is>
      </c>
      <c r="I7024" s="3" t="inlineStr">
        <is>
          <t>답</t>
        </is>
      </c>
      <c r="J7024" s="3" t="inlineStr">
        <is>
          <t>연서면</t>
        </is>
      </c>
    </row>
    <row r="7025">
      <c r="A7025" s="3" t="n">
        <v>2022</v>
      </c>
      <c r="B7025" s="4" t="n">
        <v>4038</v>
      </c>
      <c r="C7025" s="4" t="n">
        <v>89</v>
      </c>
      <c r="D7025" s="4" t="n">
        <v>26.9225</v>
      </c>
      <c r="E7025" s="5" t="n">
        <v>150</v>
      </c>
      <c r="F7025" s="3" t="inlineStr">
        <is>
          <t>전의면</t>
        </is>
      </c>
      <c r="G7025" s="3" t="inlineStr">
        <is>
          <t>읍내리</t>
        </is>
      </c>
      <c r="H7025" s="3" t="inlineStr">
        <is>
          <t>농림지역</t>
        </is>
      </c>
      <c r="I7025" s="3" t="inlineStr">
        <is>
          <t>임야</t>
        </is>
      </c>
      <c r="J7025" s="3" t="inlineStr">
        <is>
          <t>전의면</t>
        </is>
      </c>
    </row>
    <row r="7026">
      <c r="A7026" s="3" t="n">
        <v>2022</v>
      </c>
      <c r="B7026" s="4" t="n">
        <v>700</v>
      </c>
      <c r="C7026" s="4" t="n">
        <v>73</v>
      </c>
      <c r="D7026" s="4" t="n">
        <v>22.0825</v>
      </c>
      <c r="E7026" s="5" t="n">
        <v>31.7</v>
      </c>
      <c r="F7026" s="3" t="inlineStr">
        <is>
          <t>전의면</t>
        </is>
      </c>
      <c r="G7026" s="3" t="inlineStr">
        <is>
          <t>서정리</t>
        </is>
      </c>
      <c r="H7026" s="3" t="inlineStr">
        <is>
          <t>계획관리지역</t>
        </is>
      </c>
      <c r="I7026" s="3" t="inlineStr">
        <is>
          <t>도로</t>
        </is>
      </c>
      <c r="J7026" s="3" t="inlineStr">
        <is>
          <t>전의면</t>
        </is>
      </c>
    </row>
    <row r="7027">
      <c r="A7027" s="3" t="n">
        <v>2022</v>
      </c>
      <c r="B7027" s="4" t="n">
        <v>300</v>
      </c>
      <c r="C7027" s="4" t="n">
        <v>35</v>
      </c>
      <c r="D7027" s="4" t="n">
        <v>10.5875</v>
      </c>
      <c r="E7027" s="5" t="n">
        <v>28.3</v>
      </c>
      <c r="F7027" s="3" t="inlineStr">
        <is>
          <t>전의면</t>
        </is>
      </c>
      <c r="G7027" s="3" t="inlineStr">
        <is>
          <t>서정리</t>
        </is>
      </c>
      <c r="H7027" s="3" t="inlineStr">
        <is>
          <t>계획관리지역</t>
        </is>
      </c>
      <c r="I7027" s="3" t="inlineStr">
        <is>
          <t>도로</t>
        </is>
      </c>
      <c r="J7027" s="3" t="inlineStr">
        <is>
          <t>전의면</t>
        </is>
      </c>
    </row>
    <row r="7028">
      <c r="A7028" s="3" t="n">
        <v>2022</v>
      </c>
      <c r="B7028" s="4" t="n">
        <v>9776</v>
      </c>
      <c r="C7028" s="4" t="n">
        <v>1197</v>
      </c>
      <c r="D7028" s="4" t="n">
        <v>362.0925</v>
      </c>
      <c r="E7028" s="5" t="n">
        <v>27</v>
      </c>
      <c r="F7028" s="3" t="inlineStr">
        <is>
          <t>전의면</t>
        </is>
      </c>
      <c r="G7028" s="3" t="inlineStr">
        <is>
          <t>관정리</t>
        </is>
      </c>
      <c r="H7028" s="3" t="inlineStr">
        <is>
          <t>계획관리지역</t>
        </is>
      </c>
      <c r="I7028" s="3" t="inlineStr">
        <is>
          <t>전</t>
        </is>
      </c>
      <c r="J7028" s="3" t="inlineStr">
        <is>
          <t>전의면</t>
        </is>
      </c>
    </row>
    <row r="7029">
      <c r="A7029" s="3" t="n">
        <v>2022</v>
      </c>
      <c r="B7029" s="4" t="n">
        <v>6600</v>
      </c>
      <c r="C7029" s="4" t="n">
        <v>623</v>
      </c>
      <c r="D7029" s="4" t="n">
        <v>188.4575</v>
      </c>
      <c r="E7029" s="5" t="n">
        <v>35</v>
      </c>
      <c r="F7029" s="3" t="inlineStr">
        <is>
          <t>전의면</t>
        </is>
      </c>
      <c r="G7029" s="3" t="inlineStr">
        <is>
          <t>관정리</t>
        </is>
      </c>
      <c r="H7029" s="3" t="inlineStr">
        <is>
          <t>계획관리지역</t>
        </is>
      </c>
      <c r="I7029" s="3" t="inlineStr">
        <is>
          <t>전</t>
        </is>
      </c>
      <c r="J7029" s="3" t="inlineStr">
        <is>
          <t>전의면</t>
        </is>
      </c>
    </row>
    <row r="7030">
      <c r="A7030" s="3" t="n">
        <v>2023</v>
      </c>
      <c r="B7030" s="4" t="n">
        <v>9000</v>
      </c>
      <c r="C7030" s="4" t="n">
        <v>146</v>
      </c>
      <c r="D7030" s="4" t="n">
        <v>44.165</v>
      </c>
      <c r="E7030" s="5" t="n">
        <v>203.8</v>
      </c>
      <c r="F7030" s="3" t="inlineStr">
        <is>
          <t>조치원읍</t>
        </is>
      </c>
      <c r="G7030" s="3" t="inlineStr">
        <is>
          <t>신흥리</t>
        </is>
      </c>
      <c r="H7030" s="3" t="inlineStr">
        <is>
          <t>제2종일반주거지역</t>
        </is>
      </c>
      <c r="I7030" s="3" t="inlineStr">
        <is>
          <t>전</t>
        </is>
      </c>
      <c r="J7030" s="3" t="inlineStr">
        <is>
          <t>조치원읍</t>
        </is>
      </c>
    </row>
    <row r="7031">
      <c r="A7031" s="3" t="n">
        <v>2023</v>
      </c>
      <c r="B7031" s="4" t="n">
        <v>100</v>
      </c>
      <c r="C7031" s="4" t="n">
        <v>2</v>
      </c>
      <c r="D7031" s="4" t="n">
        <v>0.605</v>
      </c>
      <c r="E7031" s="5" t="n">
        <v>165.3</v>
      </c>
      <c r="F7031" s="3" t="inlineStr">
        <is>
          <t>조치원읍</t>
        </is>
      </c>
      <c r="G7031" s="3" t="inlineStr">
        <is>
          <t>신흥리</t>
        </is>
      </c>
      <c r="H7031" s="3" t="inlineStr">
        <is>
          <t>제2종일반주거지역</t>
        </is>
      </c>
      <c r="I7031" s="3" t="inlineStr">
        <is>
          <t>전</t>
        </is>
      </c>
      <c r="J7031" s="3" t="inlineStr">
        <is>
          <t>조치원읍</t>
        </is>
      </c>
    </row>
    <row r="7032">
      <c r="A7032" s="3" t="n">
        <v>2023</v>
      </c>
      <c r="B7032" s="4" t="n">
        <v>9000</v>
      </c>
      <c r="C7032" s="4" t="n">
        <v>146</v>
      </c>
      <c r="D7032" s="4" t="n">
        <v>44.165</v>
      </c>
      <c r="E7032" s="5" t="n">
        <v>203.8</v>
      </c>
      <c r="F7032" s="3" t="inlineStr">
        <is>
          <t>조치원읍</t>
        </is>
      </c>
      <c r="G7032" s="3" t="inlineStr">
        <is>
          <t>신흥리</t>
        </is>
      </c>
      <c r="H7032" s="3" t="inlineStr">
        <is>
          <t>제2종일반주거지역</t>
        </is>
      </c>
      <c r="I7032" s="3" t="inlineStr">
        <is>
          <t>전</t>
        </is>
      </c>
      <c r="J7032" s="3" t="inlineStr">
        <is>
          <t>조치원읍</t>
        </is>
      </c>
    </row>
    <row r="7033">
      <c r="A7033" s="3" t="n">
        <v>2023</v>
      </c>
      <c r="B7033" s="4" t="n">
        <v>100</v>
      </c>
      <c r="C7033" s="4" t="n">
        <v>2</v>
      </c>
      <c r="D7033" s="4" t="n">
        <v>0.605</v>
      </c>
      <c r="E7033" s="5" t="n">
        <v>165.3</v>
      </c>
      <c r="F7033" s="3" t="inlineStr">
        <is>
          <t>조치원읍</t>
        </is>
      </c>
      <c r="G7033" s="3" t="inlineStr">
        <is>
          <t>신흥리</t>
        </is>
      </c>
      <c r="H7033" s="3" t="inlineStr">
        <is>
          <t>제2종일반주거지역</t>
        </is>
      </c>
      <c r="I7033" s="3" t="inlineStr">
        <is>
          <t>전</t>
        </is>
      </c>
      <c r="J7033" s="3" t="inlineStr">
        <is>
          <t>조치원읍</t>
        </is>
      </c>
    </row>
    <row r="7034">
      <c r="A7034" s="3" t="n">
        <v>2023</v>
      </c>
      <c r="B7034" s="4" t="n">
        <v>48400</v>
      </c>
      <c r="C7034" s="4" t="n">
        <v>2964</v>
      </c>
      <c r="D7034" s="4" t="n">
        <v>896.61</v>
      </c>
      <c r="E7034" s="5" t="n">
        <v>54</v>
      </c>
      <c r="F7034" s="3" t="inlineStr">
        <is>
          <t>부강면</t>
        </is>
      </c>
      <c r="G7034" s="3" t="inlineStr">
        <is>
          <t>금호리</t>
        </is>
      </c>
      <c r="H7034" s="3" t="inlineStr">
        <is>
          <t>농림지역</t>
        </is>
      </c>
      <c r="I7034" s="3" t="inlineStr">
        <is>
          <t>답</t>
        </is>
      </c>
      <c r="J7034" s="3" t="inlineStr">
        <is>
          <t>부강면</t>
        </is>
      </c>
    </row>
    <row r="7035">
      <c r="A7035" s="3" t="n">
        <v>2023</v>
      </c>
      <c r="B7035" s="4" t="n">
        <v>40000</v>
      </c>
      <c r="C7035" s="4" t="n">
        <v>318</v>
      </c>
      <c r="D7035" s="4" t="n">
        <v>96.19499999999999</v>
      </c>
      <c r="E7035" s="5" t="n">
        <v>415.8</v>
      </c>
      <c r="F7035" s="3" t="inlineStr">
        <is>
          <t>한솔동</t>
        </is>
      </c>
      <c r="G7035" s="3" t="inlineStr"/>
      <c r="H7035" s="3" t="inlineStr">
        <is>
          <t>제1종전용주거지역</t>
        </is>
      </c>
      <c r="I7035" s="3" t="inlineStr">
        <is>
          <t>대</t>
        </is>
      </c>
      <c r="J7035" s="3" t="inlineStr">
        <is>
          <t>한솔동</t>
        </is>
      </c>
    </row>
    <row r="7036">
      <c r="A7036" s="3" t="n">
        <v>2023</v>
      </c>
      <c r="B7036" s="4" t="n">
        <v>58113</v>
      </c>
      <c r="C7036" s="4" t="n">
        <v>484</v>
      </c>
      <c r="D7036" s="4" t="n">
        <v>146.41</v>
      </c>
      <c r="E7036" s="5" t="n">
        <v>396.9</v>
      </c>
      <c r="F7036" s="3" t="inlineStr">
        <is>
          <t>연동면</t>
        </is>
      </c>
      <c r="G7036" s="3" t="inlineStr">
        <is>
          <t>명학리</t>
        </is>
      </c>
      <c r="H7036" s="3" t="inlineStr">
        <is>
          <t>계획관리지역</t>
        </is>
      </c>
      <c r="I7036" s="3" t="inlineStr">
        <is>
          <t>잡종지</t>
        </is>
      </c>
      <c r="J7036" s="3" t="inlineStr">
        <is>
          <t>연동면</t>
        </is>
      </c>
    </row>
    <row r="7037">
      <c r="A7037" s="3" t="n">
        <v>2022</v>
      </c>
      <c r="B7037" s="4" t="n">
        <v>10092</v>
      </c>
      <c r="C7037" s="4" t="n">
        <v>2780</v>
      </c>
      <c r="D7037" s="4" t="n">
        <v>840.9499999999999</v>
      </c>
      <c r="E7037" s="5" t="n">
        <v>12</v>
      </c>
      <c r="F7037" s="3" t="inlineStr">
        <is>
          <t>연동면</t>
        </is>
      </c>
      <c r="G7037" s="3" t="inlineStr">
        <is>
          <t>합강리</t>
        </is>
      </c>
      <c r="H7037" s="3" t="inlineStr">
        <is>
          <t>농림지역</t>
        </is>
      </c>
      <c r="I7037" s="3" t="inlineStr">
        <is>
          <t>임야</t>
        </is>
      </c>
      <c r="J7037" s="3" t="inlineStr">
        <is>
          <t>연동면</t>
        </is>
      </c>
    </row>
    <row r="7038">
      <c r="A7038" s="3" t="n">
        <v>2022</v>
      </c>
      <c r="B7038" s="4" t="n">
        <v>9308</v>
      </c>
      <c r="C7038" s="4" t="n">
        <v>2564</v>
      </c>
      <c r="D7038" s="4" t="n">
        <v>775.61</v>
      </c>
      <c r="E7038" s="5" t="n">
        <v>12</v>
      </c>
      <c r="F7038" s="3" t="inlineStr">
        <is>
          <t>연동면</t>
        </is>
      </c>
      <c r="G7038" s="3" t="inlineStr">
        <is>
          <t>합강리</t>
        </is>
      </c>
      <c r="H7038" s="3" t="inlineStr">
        <is>
          <t>농림지역</t>
        </is>
      </c>
      <c r="I7038" s="3" t="inlineStr">
        <is>
          <t>임야</t>
        </is>
      </c>
      <c r="J7038" s="3" t="inlineStr">
        <is>
          <t>연동면</t>
        </is>
      </c>
    </row>
    <row r="7039">
      <c r="A7039" s="3" t="n">
        <v>2022</v>
      </c>
      <c r="B7039" s="4" t="n">
        <v>10092</v>
      </c>
      <c r="C7039" s="4" t="n">
        <v>2780</v>
      </c>
      <c r="D7039" s="4" t="n">
        <v>840.9499999999999</v>
      </c>
      <c r="E7039" s="5" t="n">
        <v>12</v>
      </c>
      <c r="F7039" s="3" t="inlineStr">
        <is>
          <t>연동면</t>
        </is>
      </c>
      <c r="G7039" s="3" t="inlineStr">
        <is>
          <t>합강리</t>
        </is>
      </c>
      <c r="H7039" s="3" t="inlineStr">
        <is>
          <t>농림지역</t>
        </is>
      </c>
      <c r="I7039" s="3" t="inlineStr">
        <is>
          <t>임야</t>
        </is>
      </c>
      <c r="J7039" s="3" t="inlineStr">
        <is>
          <t>연동면</t>
        </is>
      </c>
    </row>
    <row r="7040">
      <c r="A7040" s="3" t="n">
        <v>2022</v>
      </c>
      <c r="B7040" s="4" t="n">
        <v>9308</v>
      </c>
      <c r="C7040" s="4" t="n">
        <v>2564</v>
      </c>
      <c r="D7040" s="4" t="n">
        <v>775.61</v>
      </c>
      <c r="E7040" s="5" t="n">
        <v>12</v>
      </c>
      <c r="F7040" s="3" t="inlineStr">
        <is>
          <t>연동면</t>
        </is>
      </c>
      <c r="G7040" s="3" t="inlineStr">
        <is>
          <t>합강리</t>
        </is>
      </c>
      <c r="H7040" s="3" t="inlineStr">
        <is>
          <t>농림지역</t>
        </is>
      </c>
      <c r="I7040" s="3" t="inlineStr">
        <is>
          <t>임야</t>
        </is>
      </c>
      <c r="J7040" s="3" t="inlineStr">
        <is>
          <t>연동면</t>
        </is>
      </c>
    </row>
    <row r="7041">
      <c r="A7041" s="3" t="n">
        <v>2022</v>
      </c>
      <c r="B7041" s="4" t="n">
        <v>62340</v>
      </c>
      <c r="C7041" s="4" t="n">
        <v>711</v>
      </c>
      <c r="D7041" s="4" t="n">
        <v>215.0775</v>
      </c>
      <c r="E7041" s="5" t="n">
        <v>289.8</v>
      </c>
      <c r="F7041" s="3" t="inlineStr">
        <is>
          <t>연서면</t>
        </is>
      </c>
      <c r="G7041" s="3" t="inlineStr">
        <is>
          <t>성제리</t>
        </is>
      </c>
      <c r="H7041" s="3" t="inlineStr">
        <is>
          <t>제1종일반주거지역</t>
        </is>
      </c>
      <c r="I7041" s="3" t="inlineStr">
        <is>
          <t>전</t>
        </is>
      </c>
      <c r="J7041" s="3" t="inlineStr">
        <is>
          <t>연서면</t>
        </is>
      </c>
    </row>
    <row r="7042">
      <c r="A7042" s="3" t="n">
        <v>2022</v>
      </c>
      <c r="B7042" s="4" t="n">
        <v>110550</v>
      </c>
      <c r="C7042" s="4" t="n">
        <v>1261</v>
      </c>
      <c r="D7042" s="4" t="n">
        <v>381.4525</v>
      </c>
      <c r="E7042" s="5" t="n">
        <v>289.8</v>
      </c>
      <c r="F7042" s="3" t="inlineStr">
        <is>
          <t>연서면</t>
        </is>
      </c>
      <c r="G7042" s="3" t="inlineStr">
        <is>
          <t>성제리</t>
        </is>
      </c>
      <c r="H7042" s="3" t="inlineStr">
        <is>
          <t>제1종일반주거지역</t>
        </is>
      </c>
      <c r="I7042" s="3" t="inlineStr">
        <is>
          <t>전</t>
        </is>
      </c>
      <c r="J7042" s="3" t="inlineStr">
        <is>
          <t>연서면</t>
        </is>
      </c>
    </row>
    <row r="7043">
      <c r="A7043" s="3" t="n">
        <v>2022</v>
      </c>
      <c r="B7043" s="4" t="n">
        <v>7485</v>
      </c>
      <c r="C7043" s="4" t="n">
        <v>165</v>
      </c>
      <c r="D7043" s="4" t="n">
        <v>49.9125</v>
      </c>
      <c r="E7043" s="5" t="n">
        <v>150</v>
      </c>
      <c r="F7043" s="3" t="inlineStr">
        <is>
          <t>연서면</t>
        </is>
      </c>
      <c r="G7043" s="3" t="inlineStr">
        <is>
          <t>성제리</t>
        </is>
      </c>
      <c r="H7043" s="3" t="inlineStr">
        <is>
          <t>제1종일반주거지역</t>
        </is>
      </c>
      <c r="I7043" s="3" t="inlineStr">
        <is>
          <t>과수원</t>
        </is>
      </c>
      <c r="J7043" s="3" t="inlineStr">
        <is>
          <t>연서면</t>
        </is>
      </c>
    </row>
    <row r="7044">
      <c r="A7044" s="3" t="n">
        <v>2022</v>
      </c>
      <c r="B7044" s="4" t="n">
        <v>765</v>
      </c>
      <c r="C7044" s="4" t="n">
        <v>17</v>
      </c>
      <c r="D7044" s="4" t="n">
        <v>5.1425</v>
      </c>
      <c r="E7044" s="5" t="n">
        <v>148.8</v>
      </c>
      <c r="F7044" s="3" t="inlineStr">
        <is>
          <t>연서면</t>
        </is>
      </c>
      <c r="G7044" s="3" t="inlineStr">
        <is>
          <t>성제리</t>
        </is>
      </c>
      <c r="H7044" s="3" t="inlineStr">
        <is>
          <t>제1종일반주거지역</t>
        </is>
      </c>
      <c r="I7044" s="3" t="inlineStr">
        <is>
          <t>과수원</t>
        </is>
      </c>
      <c r="J7044" s="3" t="inlineStr">
        <is>
          <t>연서면</t>
        </is>
      </c>
    </row>
    <row r="7045">
      <c r="A7045" s="3" t="n">
        <v>2022</v>
      </c>
      <c r="B7045" s="4" t="n">
        <v>1940</v>
      </c>
      <c r="C7045" s="4" t="n">
        <v>22</v>
      </c>
      <c r="D7045" s="4" t="n">
        <v>6.654999999999999</v>
      </c>
      <c r="E7045" s="5" t="n">
        <v>291.5</v>
      </c>
      <c r="F7045" s="3" t="inlineStr">
        <is>
          <t>연서면</t>
        </is>
      </c>
      <c r="G7045" s="3" t="inlineStr">
        <is>
          <t>성제리</t>
        </is>
      </c>
      <c r="H7045" s="3" t="inlineStr">
        <is>
          <t>제1종일반주거지역</t>
        </is>
      </c>
      <c r="I7045" s="3" t="inlineStr">
        <is>
          <t>전</t>
        </is>
      </c>
      <c r="J7045" s="3" t="inlineStr">
        <is>
          <t>연서면</t>
        </is>
      </c>
    </row>
    <row r="7046">
      <c r="A7046" s="3" t="n">
        <v>2022</v>
      </c>
      <c r="B7046" s="4" t="n">
        <v>15070</v>
      </c>
      <c r="C7046" s="4" t="n">
        <v>172</v>
      </c>
      <c r="D7046" s="4" t="n">
        <v>52.03</v>
      </c>
      <c r="E7046" s="5" t="n">
        <v>289.6</v>
      </c>
      <c r="F7046" s="3" t="inlineStr">
        <is>
          <t>연서면</t>
        </is>
      </c>
      <c r="G7046" s="3" t="inlineStr">
        <is>
          <t>성제리</t>
        </is>
      </c>
      <c r="H7046" s="3" t="inlineStr">
        <is>
          <t>제1종일반주거지역</t>
        </is>
      </c>
      <c r="I7046" s="3" t="inlineStr">
        <is>
          <t>전</t>
        </is>
      </c>
      <c r="J7046" s="3" t="inlineStr">
        <is>
          <t>연서면</t>
        </is>
      </c>
    </row>
    <row r="7047">
      <c r="A7047" s="3" t="n">
        <v>2022</v>
      </c>
      <c r="B7047" s="4" t="n">
        <v>1850</v>
      </c>
      <c r="C7047" s="4" t="n">
        <v>21</v>
      </c>
      <c r="D7047" s="4" t="n">
        <v>6.3525</v>
      </c>
      <c r="E7047" s="5" t="n">
        <v>291.2</v>
      </c>
      <c r="F7047" s="3" t="inlineStr">
        <is>
          <t>연서면</t>
        </is>
      </c>
      <c r="G7047" s="3" t="inlineStr">
        <is>
          <t>성제리</t>
        </is>
      </c>
      <c r="H7047" s="3" t="inlineStr">
        <is>
          <t>제1종일반주거지역</t>
        </is>
      </c>
      <c r="I7047" s="3" t="inlineStr">
        <is>
          <t>전</t>
        </is>
      </c>
      <c r="J7047" s="3" t="inlineStr">
        <is>
          <t>연서면</t>
        </is>
      </c>
    </row>
    <row r="7048">
      <c r="A7048" s="3" t="n">
        <v>2022</v>
      </c>
      <c r="B7048" s="4" t="n">
        <v>7380</v>
      </c>
      <c r="C7048" s="4" t="n">
        <v>12198</v>
      </c>
      <c r="D7048" s="4" t="n">
        <v>3689.895</v>
      </c>
      <c r="E7048" s="5" t="n">
        <v>2</v>
      </c>
      <c r="F7048" s="3" t="inlineStr">
        <is>
          <t>전동면</t>
        </is>
      </c>
      <c r="G7048" s="3" t="inlineStr">
        <is>
          <t>보덕리</t>
        </is>
      </c>
      <c r="H7048" s="3" t="inlineStr">
        <is>
          <t>농림지역</t>
        </is>
      </c>
      <c r="I7048" s="3" t="inlineStr">
        <is>
          <t>임야</t>
        </is>
      </c>
      <c r="J7048" s="3" t="inlineStr">
        <is>
          <t>전동면</t>
        </is>
      </c>
    </row>
    <row r="7049">
      <c r="A7049" s="3" t="n">
        <v>2022</v>
      </c>
      <c r="B7049" s="4" t="n">
        <v>2801</v>
      </c>
      <c r="C7049" s="4" t="n">
        <v>247</v>
      </c>
      <c r="D7049" s="4" t="n">
        <v>74.7175</v>
      </c>
      <c r="E7049" s="5" t="n">
        <v>37.5</v>
      </c>
      <c r="F7049" s="3" t="inlineStr">
        <is>
          <t>장군면</t>
        </is>
      </c>
      <c r="G7049" s="3" t="inlineStr">
        <is>
          <t>평기리</t>
        </is>
      </c>
      <c r="H7049" s="3" t="inlineStr">
        <is>
          <t>계획관리지역</t>
        </is>
      </c>
      <c r="I7049" s="3" t="inlineStr">
        <is>
          <t>도로</t>
        </is>
      </c>
      <c r="J7049" s="3" t="inlineStr">
        <is>
          <t>장군면</t>
        </is>
      </c>
    </row>
    <row r="7050">
      <c r="A7050" s="3" t="n">
        <v>2022</v>
      </c>
      <c r="B7050" s="4" t="n">
        <v>18769</v>
      </c>
      <c r="C7050" s="4" t="n">
        <v>3913</v>
      </c>
      <c r="D7050" s="4" t="n">
        <v>1183.6825</v>
      </c>
      <c r="E7050" s="5" t="n">
        <v>15.9</v>
      </c>
      <c r="F7050" s="3" t="inlineStr">
        <is>
          <t>장군면</t>
        </is>
      </c>
      <c r="G7050" s="3" t="inlineStr">
        <is>
          <t>평기리</t>
        </is>
      </c>
      <c r="H7050" s="3" t="inlineStr">
        <is>
          <t>보전관리지역</t>
        </is>
      </c>
      <c r="I7050" s="3" t="inlineStr">
        <is>
          <t>임야</t>
        </is>
      </c>
      <c r="J7050" s="3" t="inlineStr">
        <is>
          <t>장군면</t>
        </is>
      </c>
    </row>
    <row r="7051">
      <c r="A7051" s="3" t="n">
        <v>2022</v>
      </c>
      <c r="B7051" s="4" t="n">
        <v>5602</v>
      </c>
      <c r="C7051" s="4" t="n">
        <v>995</v>
      </c>
      <c r="D7051" s="4" t="n">
        <v>300.9875</v>
      </c>
      <c r="E7051" s="5" t="n">
        <v>18.6</v>
      </c>
      <c r="F7051" s="3" t="inlineStr">
        <is>
          <t>장군면</t>
        </is>
      </c>
      <c r="G7051" s="3" t="inlineStr">
        <is>
          <t>평기리</t>
        </is>
      </c>
      <c r="H7051" s="3" t="inlineStr">
        <is>
          <t>보전관리지역</t>
        </is>
      </c>
      <c r="I7051" s="3" t="inlineStr">
        <is>
          <t>임야</t>
        </is>
      </c>
      <c r="J7051" s="3" t="inlineStr">
        <is>
          <t>장군면</t>
        </is>
      </c>
    </row>
    <row r="7052">
      <c r="A7052" s="3" t="n">
        <v>2022</v>
      </c>
      <c r="B7052" s="4" t="n">
        <v>1049</v>
      </c>
      <c r="C7052" s="4" t="n">
        <v>648</v>
      </c>
      <c r="D7052" s="4" t="n">
        <v>196.02</v>
      </c>
      <c r="E7052" s="5" t="n">
        <v>5.4</v>
      </c>
      <c r="F7052" s="3" t="inlineStr">
        <is>
          <t>장군면</t>
        </is>
      </c>
      <c r="G7052" s="3" t="inlineStr">
        <is>
          <t>평기리</t>
        </is>
      </c>
      <c r="H7052" s="3" t="inlineStr">
        <is>
          <t>보전관리지역</t>
        </is>
      </c>
      <c r="I7052" s="3" t="inlineStr">
        <is>
          <t>도로</t>
        </is>
      </c>
      <c r="J7052" s="3" t="inlineStr">
        <is>
          <t>장군면</t>
        </is>
      </c>
    </row>
    <row r="7053">
      <c r="A7053" s="3" t="n">
        <v>2022</v>
      </c>
      <c r="B7053" s="4" t="n">
        <v>13500</v>
      </c>
      <c r="C7053" s="4" t="n">
        <v>446</v>
      </c>
      <c r="D7053" s="4" t="n">
        <v>134.915</v>
      </c>
      <c r="E7053" s="5" t="n">
        <v>100.1</v>
      </c>
      <c r="F7053" s="3" t="inlineStr">
        <is>
          <t>연동면</t>
        </is>
      </c>
      <c r="G7053" s="3" t="inlineStr">
        <is>
          <t>노송리</t>
        </is>
      </c>
      <c r="H7053" s="3" t="inlineStr">
        <is>
          <t>계획관리지역</t>
        </is>
      </c>
      <c r="I7053" s="3" t="inlineStr">
        <is>
          <t>대</t>
        </is>
      </c>
      <c r="J7053" s="3" t="inlineStr">
        <is>
          <t>연동면</t>
        </is>
      </c>
    </row>
    <row r="7054">
      <c r="A7054" s="3" t="n">
        <v>2022</v>
      </c>
      <c r="B7054" s="4" t="n">
        <v>82271</v>
      </c>
      <c r="C7054" s="4" t="n">
        <v>2104</v>
      </c>
      <c r="D7054" s="4" t="n">
        <v>636.46</v>
      </c>
      <c r="E7054" s="5" t="n">
        <v>129.3</v>
      </c>
      <c r="F7054" s="3" t="inlineStr">
        <is>
          <t>연서면</t>
        </is>
      </c>
      <c r="G7054" s="3" t="inlineStr">
        <is>
          <t>고복리</t>
        </is>
      </c>
      <c r="H7054" s="3" t="inlineStr">
        <is>
          <t>보전관리지역</t>
        </is>
      </c>
      <c r="I7054" s="3" t="inlineStr">
        <is>
          <t>임야</t>
        </is>
      </c>
      <c r="J7054" s="3" t="inlineStr">
        <is>
          <t>연서면</t>
        </is>
      </c>
    </row>
    <row r="7055">
      <c r="A7055" s="3" t="n">
        <v>2022</v>
      </c>
      <c r="B7055" s="4" t="n">
        <v>1439</v>
      </c>
      <c r="C7055" s="4" t="n">
        <v>35</v>
      </c>
      <c r="D7055" s="4" t="n">
        <v>10.5875</v>
      </c>
      <c r="E7055" s="5" t="n">
        <v>135.9</v>
      </c>
      <c r="F7055" s="3" t="inlineStr">
        <is>
          <t>연서면</t>
        </is>
      </c>
      <c r="G7055" s="3" t="inlineStr">
        <is>
          <t>고복리</t>
        </is>
      </c>
      <c r="H7055" s="3" t="inlineStr">
        <is>
          <t>보전관리지역</t>
        </is>
      </c>
      <c r="I7055" s="3" t="inlineStr">
        <is>
          <t>대</t>
        </is>
      </c>
      <c r="J7055" s="3" t="inlineStr">
        <is>
          <t>연서면</t>
        </is>
      </c>
    </row>
    <row r="7056">
      <c r="A7056" s="3" t="n">
        <v>2022</v>
      </c>
      <c r="B7056" s="4" t="n">
        <v>19500</v>
      </c>
      <c r="C7056" s="4" t="n">
        <v>880</v>
      </c>
      <c r="D7056" s="4" t="n">
        <v>266.2</v>
      </c>
      <c r="E7056" s="5" t="n">
        <v>73.3</v>
      </c>
      <c r="F7056" s="3" t="inlineStr">
        <is>
          <t>연서면</t>
        </is>
      </c>
      <c r="G7056" s="3" t="inlineStr">
        <is>
          <t>와촌리</t>
        </is>
      </c>
      <c r="H7056" s="3" t="inlineStr">
        <is>
          <t>보전관리지역</t>
        </is>
      </c>
      <c r="I7056" s="3" t="inlineStr">
        <is>
          <t>임야</t>
        </is>
      </c>
      <c r="J7056" s="3" t="inlineStr">
        <is>
          <t>연서면</t>
        </is>
      </c>
    </row>
    <row r="7057">
      <c r="A7057" s="3" t="n">
        <v>2022</v>
      </c>
      <c r="B7057" s="4" t="n">
        <v>35500</v>
      </c>
      <c r="C7057" s="4" t="n">
        <v>1845</v>
      </c>
      <c r="D7057" s="4" t="n">
        <v>558.1125</v>
      </c>
      <c r="E7057" s="5" t="n">
        <v>63.6</v>
      </c>
      <c r="F7057" s="3" t="inlineStr">
        <is>
          <t>금남면</t>
        </is>
      </c>
      <c r="G7057" s="3" t="inlineStr">
        <is>
          <t>영치리</t>
        </is>
      </c>
      <c r="H7057" s="3" t="inlineStr">
        <is>
          <t>개발제한구역</t>
        </is>
      </c>
      <c r="I7057" s="3" t="inlineStr">
        <is>
          <t>전</t>
        </is>
      </c>
      <c r="J7057" s="3" t="inlineStr">
        <is>
          <t>금남면</t>
        </is>
      </c>
    </row>
    <row r="7058">
      <c r="A7058" s="3" t="n">
        <v>2022</v>
      </c>
      <c r="B7058" s="4" t="n">
        <v>29200</v>
      </c>
      <c r="C7058" s="4" t="n">
        <v>345</v>
      </c>
      <c r="D7058" s="4" t="n">
        <v>104.3625</v>
      </c>
      <c r="E7058" s="5" t="n">
        <v>279.8</v>
      </c>
      <c r="F7058" s="3" t="inlineStr">
        <is>
          <t>금남면</t>
        </is>
      </c>
      <c r="G7058" s="3" t="inlineStr">
        <is>
          <t>대박리</t>
        </is>
      </c>
      <c r="H7058" s="3" t="inlineStr">
        <is>
          <t>보전관리지역</t>
        </is>
      </c>
      <c r="I7058" s="3" t="inlineStr">
        <is>
          <t>임야</t>
        </is>
      </c>
      <c r="J7058" s="3" t="inlineStr">
        <is>
          <t>금남면</t>
        </is>
      </c>
    </row>
    <row r="7059">
      <c r="A7059" s="3" t="n">
        <v>2022</v>
      </c>
      <c r="B7059" s="4" t="n">
        <v>149399</v>
      </c>
      <c r="C7059" s="4" t="n">
        <v>3804</v>
      </c>
      <c r="D7059" s="4" t="n">
        <v>1150.71</v>
      </c>
      <c r="E7059" s="5" t="n">
        <v>129.8</v>
      </c>
      <c r="F7059" s="3" t="inlineStr">
        <is>
          <t>연동면</t>
        </is>
      </c>
      <c r="G7059" s="3" t="inlineStr">
        <is>
          <t>응암리</t>
        </is>
      </c>
      <c r="H7059" s="3" t="inlineStr">
        <is>
          <t>계획관리지역</t>
        </is>
      </c>
      <c r="I7059" s="3" t="inlineStr">
        <is>
          <t>임야</t>
        </is>
      </c>
      <c r="J7059" s="3" t="inlineStr">
        <is>
          <t>연동면</t>
        </is>
      </c>
    </row>
    <row r="7060">
      <c r="A7060" s="3" t="n">
        <v>2022</v>
      </c>
      <c r="B7060" s="4" t="n">
        <v>24612</v>
      </c>
      <c r="C7060" s="4" t="n">
        <v>628</v>
      </c>
      <c r="D7060" s="4" t="n">
        <v>189.97</v>
      </c>
      <c r="E7060" s="5" t="n">
        <v>129.6</v>
      </c>
      <c r="F7060" s="3" t="inlineStr">
        <is>
          <t>연동면</t>
        </is>
      </c>
      <c r="G7060" s="3" t="inlineStr">
        <is>
          <t>응암리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연동면</t>
        </is>
      </c>
    </row>
    <row r="7061">
      <c r="A7061" s="3" t="n">
        <v>2023</v>
      </c>
      <c r="B7061" s="4" t="n">
        <v>15000</v>
      </c>
      <c r="C7061" s="4" t="n">
        <v>985</v>
      </c>
      <c r="D7061" s="4" t="n">
        <v>297.9625</v>
      </c>
      <c r="E7061" s="5" t="n">
        <v>50.3</v>
      </c>
      <c r="F7061" s="3" t="inlineStr">
        <is>
          <t>남이면</t>
        </is>
      </c>
      <c r="G7061" s="3" t="inlineStr">
        <is>
          <t>부용외천리</t>
        </is>
      </c>
      <c r="H7061" s="3" t="inlineStr">
        <is>
          <t>계획관리지역</t>
        </is>
      </c>
      <c r="I7061" s="3" t="inlineStr">
        <is>
          <t>답</t>
        </is>
      </c>
      <c r="J7061" s="3" t="inlineStr">
        <is>
          <t>남이면</t>
        </is>
      </c>
    </row>
    <row r="7062">
      <c r="A7062" s="3" t="n">
        <v>2023</v>
      </c>
      <c r="B7062" s="4" t="n">
        <v>4600</v>
      </c>
      <c r="C7062" s="4" t="n">
        <v>311</v>
      </c>
      <c r="D7062" s="4" t="n">
        <v>94.0775</v>
      </c>
      <c r="E7062" s="5" t="n">
        <v>48.9</v>
      </c>
      <c r="F7062" s="3" t="inlineStr">
        <is>
          <t>현도면</t>
        </is>
      </c>
      <c r="G7062" s="3" t="inlineStr">
        <is>
          <t>우록리</t>
        </is>
      </c>
      <c r="H7062" s="3" t="inlineStr">
        <is>
          <t>계획관리지역</t>
        </is>
      </c>
      <c r="I7062" s="3" t="inlineStr">
        <is>
          <t>전</t>
        </is>
      </c>
      <c r="J7062" s="3" t="inlineStr">
        <is>
          <t>현도면</t>
        </is>
      </c>
    </row>
    <row r="7063">
      <c r="A7063" s="3" t="n">
        <v>2023</v>
      </c>
      <c r="B7063" s="4" t="n">
        <v>18330</v>
      </c>
      <c r="C7063" s="4" t="n">
        <v>2433</v>
      </c>
      <c r="D7063" s="4" t="n">
        <v>735.9825</v>
      </c>
      <c r="E7063" s="5" t="n">
        <v>24.9</v>
      </c>
      <c r="F7063" s="3" t="inlineStr">
        <is>
          <t>남이면</t>
        </is>
      </c>
      <c r="G7063" s="3" t="inlineStr">
        <is>
          <t>산막리</t>
        </is>
      </c>
      <c r="H7063" s="3" t="inlineStr">
        <is>
          <t>생산관리지역</t>
        </is>
      </c>
      <c r="I7063" s="3" t="inlineStr">
        <is>
          <t>답</t>
        </is>
      </c>
      <c r="J7063" s="3" t="inlineStr">
        <is>
          <t>남이면</t>
        </is>
      </c>
    </row>
    <row r="7064">
      <c r="A7064" s="3" t="n">
        <v>2023</v>
      </c>
      <c r="B7064" s="4" t="n">
        <v>2170</v>
      </c>
      <c r="C7064" s="4" t="n">
        <v>288</v>
      </c>
      <c r="D7064" s="4" t="n">
        <v>87.12</v>
      </c>
      <c r="E7064" s="5" t="n">
        <v>24.9</v>
      </c>
      <c r="F7064" s="3" t="inlineStr">
        <is>
          <t>남이면</t>
        </is>
      </c>
      <c r="G7064" s="3" t="inlineStr">
        <is>
          <t>산막리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남이면</t>
        </is>
      </c>
    </row>
    <row r="7065">
      <c r="A7065" s="3" t="n">
        <v>2023</v>
      </c>
      <c r="B7065" s="4" t="n">
        <v>1400</v>
      </c>
      <c r="C7065" s="4" t="n">
        <v>340</v>
      </c>
      <c r="D7065" s="4" t="n">
        <v>102.85</v>
      </c>
      <c r="E7065" s="5" t="n">
        <v>13.6</v>
      </c>
      <c r="F7065" s="3" t="inlineStr">
        <is>
          <t>현도면</t>
        </is>
      </c>
      <c r="G7065" s="3" t="inlineStr">
        <is>
          <t>하석리</t>
        </is>
      </c>
      <c r="H7065" s="3" t="inlineStr">
        <is>
          <t>개발제한구역</t>
        </is>
      </c>
      <c r="I7065" s="3" t="inlineStr">
        <is>
          <t>전</t>
        </is>
      </c>
      <c r="J7065" s="3" t="inlineStr">
        <is>
          <t>현도면</t>
        </is>
      </c>
    </row>
    <row r="7066">
      <c r="A7066" s="3" t="n">
        <v>2023</v>
      </c>
      <c r="B7066" s="4" t="n">
        <v>19530</v>
      </c>
      <c r="C7066" s="4" t="n">
        <v>1845</v>
      </c>
      <c r="D7066" s="4" t="n">
        <v>558.1125</v>
      </c>
      <c r="E7066" s="5" t="n">
        <v>35</v>
      </c>
      <c r="F7066" s="3" t="inlineStr">
        <is>
          <t>현도면</t>
        </is>
      </c>
      <c r="G7066" s="3" t="inlineStr">
        <is>
          <t>우록리</t>
        </is>
      </c>
      <c r="H7066" s="3" t="inlineStr">
        <is>
          <t>농림지역</t>
        </is>
      </c>
      <c r="I7066" s="3" t="inlineStr">
        <is>
          <t>답</t>
        </is>
      </c>
      <c r="J7066" s="3" t="inlineStr">
        <is>
          <t>현도면</t>
        </is>
      </c>
    </row>
    <row r="7067">
      <c r="A7067" s="3" t="n">
        <v>2023</v>
      </c>
      <c r="B7067" s="4" t="n">
        <v>10000</v>
      </c>
      <c r="C7067" s="4" t="n">
        <v>1040</v>
      </c>
      <c r="D7067" s="4" t="n">
        <v>314.6</v>
      </c>
      <c r="E7067" s="5" t="n">
        <v>31.8</v>
      </c>
      <c r="F7067" s="3" t="inlineStr">
        <is>
          <t>현도면</t>
        </is>
      </c>
      <c r="G7067" s="3" t="inlineStr">
        <is>
          <t>노산리</t>
        </is>
      </c>
      <c r="H7067" s="3" t="inlineStr">
        <is>
          <t>개발제한구역</t>
        </is>
      </c>
      <c r="I7067" s="3" t="inlineStr">
        <is>
          <t>답</t>
        </is>
      </c>
      <c r="J7067" s="3" t="inlineStr">
        <is>
          <t>현도면</t>
        </is>
      </c>
    </row>
    <row r="7068">
      <c r="A7068" s="3" t="n">
        <v>2023</v>
      </c>
      <c r="B7068" s="4" t="n">
        <v>10000</v>
      </c>
      <c r="C7068" s="4" t="n">
        <v>1296</v>
      </c>
      <c r="D7068" s="4" t="n">
        <v>392.04</v>
      </c>
      <c r="E7068" s="5" t="n">
        <v>25.5</v>
      </c>
      <c r="F7068" s="3" t="inlineStr">
        <is>
          <t>남이면</t>
        </is>
      </c>
      <c r="G7068" s="3" t="inlineStr">
        <is>
          <t>갈원리</t>
        </is>
      </c>
      <c r="H7068" s="3" t="inlineStr">
        <is>
          <t>계획관리지역</t>
        </is>
      </c>
      <c r="I7068" s="3" t="inlineStr">
        <is>
          <t>전</t>
        </is>
      </c>
      <c r="J7068" s="3" t="inlineStr">
        <is>
          <t>남이면</t>
        </is>
      </c>
    </row>
    <row r="7069">
      <c r="A7069" s="3" t="n">
        <v>2023</v>
      </c>
      <c r="B7069" s="4" t="n">
        <v>3509</v>
      </c>
      <c r="C7069" s="4" t="n">
        <v>58</v>
      </c>
      <c r="D7069" s="4" t="n">
        <v>17.545</v>
      </c>
      <c r="E7069" s="5" t="n">
        <v>200</v>
      </c>
      <c r="F7069" s="3" t="inlineStr">
        <is>
          <t>남이면</t>
        </is>
      </c>
      <c r="G7069" s="3" t="inlineStr">
        <is>
          <t>양촌리</t>
        </is>
      </c>
      <c r="H7069" s="3" t="inlineStr">
        <is>
          <t>보전녹지지역</t>
        </is>
      </c>
      <c r="I7069" s="3" t="inlineStr">
        <is>
          <t>임야</t>
        </is>
      </c>
      <c r="J7069" s="3" t="inlineStr">
        <is>
          <t>남이면</t>
        </is>
      </c>
    </row>
    <row r="7070">
      <c r="A7070" s="3" t="n">
        <v>2023</v>
      </c>
      <c r="B7070" s="4" t="n">
        <v>1573</v>
      </c>
      <c r="C7070" s="4" t="n">
        <v>26</v>
      </c>
      <c r="D7070" s="4" t="n">
        <v>7.865</v>
      </c>
      <c r="E7070" s="5" t="n">
        <v>200</v>
      </c>
      <c r="F7070" s="3" t="inlineStr">
        <is>
          <t>남이면</t>
        </is>
      </c>
      <c r="G7070" s="3" t="inlineStr">
        <is>
          <t>양촌리</t>
        </is>
      </c>
      <c r="H7070" s="3" t="inlineStr">
        <is>
          <t>보전녹지지역</t>
        </is>
      </c>
      <c r="I7070" s="3" t="inlineStr">
        <is>
          <t>임야</t>
        </is>
      </c>
      <c r="J7070" s="3" t="inlineStr">
        <is>
          <t>남이면</t>
        </is>
      </c>
    </row>
    <row r="7071">
      <c r="A7071" s="3" t="n">
        <v>2023</v>
      </c>
      <c r="B7071" s="4" t="n">
        <v>1815</v>
      </c>
      <c r="C7071" s="4" t="n">
        <v>30</v>
      </c>
      <c r="D7071" s="4" t="n">
        <v>9.074999999999999</v>
      </c>
      <c r="E7071" s="5" t="n">
        <v>200</v>
      </c>
      <c r="F7071" s="3" t="inlineStr">
        <is>
          <t>남이면</t>
        </is>
      </c>
      <c r="G7071" s="3" t="inlineStr">
        <is>
          <t>양촌리</t>
        </is>
      </c>
      <c r="H7071" s="3" t="inlineStr">
        <is>
          <t>보전녹지지역</t>
        </is>
      </c>
      <c r="I7071" s="3" t="inlineStr">
        <is>
          <t>임야</t>
        </is>
      </c>
      <c r="J7071" s="3" t="inlineStr">
        <is>
          <t>남이면</t>
        </is>
      </c>
    </row>
    <row r="7072">
      <c r="A7072" s="3" t="n">
        <v>2023</v>
      </c>
      <c r="B7072" s="4" t="n">
        <v>134645</v>
      </c>
      <c r="C7072" s="4" t="n">
        <v>4685</v>
      </c>
      <c r="D7072" s="4" t="n">
        <v>1417.2125</v>
      </c>
      <c r="E7072" s="5" t="n">
        <v>95</v>
      </c>
      <c r="F7072" s="3" t="inlineStr">
        <is>
          <t>남이면</t>
        </is>
      </c>
      <c r="G7072" s="3" t="inlineStr">
        <is>
          <t>구암리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남이면</t>
        </is>
      </c>
    </row>
    <row r="7073">
      <c r="A7073" s="3" t="n">
        <v>2023</v>
      </c>
      <c r="B7073" s="4" t="n">
        <v>12700</v>
      </c>
      <c r="C7073" s="4" t="n">
        <v>442</v>
      </c>
      <c r="D7073" s="4" t="n">
        <v>133.705</v>
      </c>
      <c r="E7073" s="5" t="n">
        <v>95</v>
      </c>
      <c r="F7073" s="3" t="inlineStr">
        <is>
          <t>남이면</t>
        </is>
      </c>
      <c r="G7073" s="3" t="inlineStr">
        <is>
          <t>구암리</t>
        </is>
      </c>
      <c r="H7073" s="3" t="inlineStr">
        <is>
          <t>보전녹지지역</t>
        </is>
      </c>
      <c r="I7073" s="3" t="inlineStr">
        <is>
          <t>전</t>
        </is>
      </c>
      <c r="J7073" s="3" t="inlineStr">
        <is>
          <t>남이면</t>
        </is>
      </c>
    </row>
    <row r="7074">
      <c r="A7074" s="3" t="n">
        <v>2023</v>
      </c>
      <c r="B7074" s="4" t="n">
        <v>21030</v>
      </c>
      <c r="C7074" s="4" t="n">
        <v>2319</v>
      </c>
      <c r="D7074" s="4" t="n">
        <v>701.4974999999999</v>
      </c>
      <c r="E7074" s="5" t="n">
        <v>30</v>
      </c>
      <c r="F7074" s="3" t="inlineStr">
        <is>
          <t>현도면</t>
        </is>
      </c>
      <c r="G7074" s="3" t="inlineStr">
        <is>
          <t>노산리</t>
        </is>
      </c>
      <c r="H7074" s="3" t="inlineStr">
        <is>
          <t>개발제한구역</t>
        </is>
      </c>
      <c r="I7074" s="3" t="inlineStr">
        <is>
          <t>임야</t>
        </is>
      </c>
      <c r="J7074" s="3" t="inlineStr">
        <is>
          <t>현도면</t>
        </is>
      </c>
    </row>
    <row r="7075">
      <c r="A7075" s="3" t="n">
        <v>2023</v>
      </c>
      <c r="B7075" s="4" t="n">
        <v>13481</v>
      </c>
      <c r="C7075" s="4" t="n">
        <v>645</v>
      </c>
      <c r="D7075" s="4" t="n">
        <v>195.1125</v>
      </c>
      <c r="E7075" s="5" t="n">
        <v>69.09999999999999</v>
      </c>
      <c r="F7075" s="3" t="inlineStr">
        <is>
          <t>현도면</t>
        </is>
      </c>
      <c r="G7075" s="3" t="inlineStr">
        <is>
          <t>노산리</t>
        </is>
      </c>
      <c r="H7075" s="3" t="inlineStr">
        <is>
          <t>제1종일반주거지역</t>
        </is>
      </c>
      <c r="I7075" s="3" t="inlineStr">
        <is>
          <t>임야</t>
        </is>
      </c>
      <c r="J7075" s="3" t="inlineStr">
        <is>
          <t>현도면</t>
        </is>
      </c>
    </row>
    <row r="7076">
      <c r="A7076" s="3" t="n">
        <v>2023</v>
      </c>
      <c r="B7076" s="4" t="n">
        <v>5727</v>
      </c>
      <c r="C7076" s="4" t="n">
        <v>273</v>
      </c>
      <c r="D7076" s="4" t="n">
        <v>82.5825</v>
      </c>
      <c r="E7076" s="5" t="n">
        <v>69.3</v>
      </c>
      <c r="F7076" s="3" t="inlineStr">
        <is>
          <t>현도면</t>
        </is>
      </c>
      <c r="G7076" s="3" t="inlineStr">
        <is>
          <t>노산리</t>
        </is>
      </c>
      <c r="H7076" s="3" t="inlineStr">
        <is>
          <t>제1종일반주거지역</t>
        </is>
      </c>
      <c r="I7076" s="3" t="inlineStr">
        <is>
          <t>임야</t>
        </is>
      </c>
      <c r="J7076" s="3" t="inlineStr">
        <is>
          <t>현도면</t>
        </is>
      </c>
    </row>
    <row r="7077">
      <c r="A7077" s="3" t="n">
        <v>2023</v>
      </c>
      <c r="B7077" s="4" t="n">
        <v>5106</v>
      </c>
      <c r="C7077" s="4" t="n">
        <v>243</v>
      </c>
      <c r="D7077" s="4" t="n">
        <v>73.50749999999999</v>
      </c>
      <c r="E7077" s="5" t="n">
        <v>69.5</v>
      </c>
      <c r="F7077" s="3" t="inlineStr">
        <is>
          <t>현도면</t>
        </is>
      </c>
      <c r="G7077" s="3" t="inlineStr">
        <is>
          <t>노산리</t>
        </is>
      </c>
      <c r="H7077" s="3" t="inlineStr">
        <is>
          <t>제1종일반주거지역</t>
        </is>
      </c>
      <c r="I7077" s="3" t="inlineStr">
        <is>
          <t>임야</t>
        </is>
      </c>
      <c r="J7077" s="3" t="inlineStr">
        <is>
          <t>현도면</t>
        </is>
      </c>
    </row>
    <row r="7078">
      <c r="A7078" s="3" t="n">
        <v>2023</v>
      </c>
      <c r="B7078" s="4" t="n">
        <v>1656</v>
      </c>
      <c r="C7078" s="4" t="n">
        <v>79</v>
      </c>
      <c r="D7078" s="4" t="n">
        <v>23.8975</v>
      </c>
      <c r="E7078" s="5" t="n">
        <v>69.3</v>
      </c>
      <c r="F7078" s="3" t="inlineStr">
        <is>
          <t>현도면</t>
        </is>
      </c>
      <c r="G7078" s="3" t="inlineStr">
        <is>
          <t>노산리</t>
        </is>
      </c>
      <c r="H7078" s="3" t="inlineStr">
        <is>
          <t>제1종일반주거지역</t>
        </is>
      </c>
      <c r="I7078" s="3" t="inlineStr">
        <is>
          <t>전</t>
        </is>
      </c>
      <c r="J7078" s="3" t="inlineStr">
        <is>
          <t>현도면</t>
        </is>
      </c>
    </row>
    <row r="7079">
      <c r="A7079" s="3" t="n">
        <v>2023</v>
      </c>
      <c r="B7079" s="4" t="n">
        <v>4613</v>
      </c>
      <c r="C7079" s="4" t="n">
        <v>820</v>
      </c>
      <c r="D7079" s="4" t="n">
        <v>248.05</v>
      </c>
      <c r="E7079" s="5" t="n">
        <v>18.6</v>
      </c>
      <c r="F7079" s="3" t="inlineStr">
        <is>
          <t>현도면</t>
        </is>
      </c>
      <c r="G7079" s="3" t="inlineStr">
        <is>
          <t>하석리</t>
        </is>
      </c>
      <c r="H7079" s="3" t="inlineStr">
        <is>
          <t>개발제한구역</t>
        </is>
      </c>
      <c r="I7079" s="3" t="inlineStr">
        <is>
          <t>답</t>
        </is>
      </c>
      <c r="J7079" s="3" t="inlineStr">
        <is>
          <t>현도면</t>
        </is>
      </c>
    </row>
    <row r="7080">
      <c r="A7080" s="3" t="n">
        <v>2023</v>
      </c>
      <c r="B7080" s="4" t="n">
        <v>2138</v>
      </c>
      <c r="C7080" s="4" t="n">
        <v>380</v>
      </c>
      <c r="D7080" s="4" t="n">
        <v>114.95</v>
      </c>
      <c r="E7080" s="5" t="n">
        <v>18.6</v>
      </c>
      <c r="F7080" s="3" t="inlineStr">
        <is>
          <t>현도면</t>
        </is>
      </c>
      <c r="G7080" s="3" t="inlineStr">
        <is>
          <t>하석리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현도면</t>
        </is>
      </c>
    </row>
    <row r="7081">
      <c r="A7081" s="3" t="n">
        <v>2023</v>
      </c>
      <c r="B7081" s="4" t="n">
        <v>22000</v>
      </c>
      <c r="C7081" s="4" t="n">
        <v>1260</v>
      </c>
      <c r="D7081" s="4" t="n">
        <v>381.15</v>
      </c>
      <c r="E7081" s="5" t="n">
        <v>57.7</v>
      </c>
      <c r="F7081" s="3" t="inlineStr">
        <is>
          <t>남이면</t>
        </is>
      </c>
      <c r="G7081" s="3" t="inlineStr">
        <is>
          <t>척산리</t>
        </is>
      </c>
      <c r="H7081" s="3" t="inlineStr">
        <is>
          <t>자연녹지지역</t>
        </is>
      </c>
      <c r="I7081" s="3" t="inlineStr">
        <is>
          <t>전</t>
        </is>
      </c>
      <c r="J7081" s="3" t="inlineStr">
        <is>
          <t>남이면</t>
        </is>
      </c>
    </row>
    <row r="7082">
      <c r="A7082" s="3" t="n">
        <v>2023</v>
      </c>
      <c r="B7082" s="4" t="n">
        <v>20000</v>
      </c>
      <c r="C7082" s="4" t="n">
        <v>1055</v>
      </c>
      <c r="D7082" s="4" t="n">
        <v>319.1375</v>
      </c>
      <c r="E7082" s="5" t="n">
        <v>62.7</v>
      </c>
      <c r="F7082" s="3" t="inlineStr">
        <is>
          <t>남이면</t>
        </is>
      </c>
      <c r="G7082" s="3" t="inlineStr">
        <is>
          <t>척산리</t>
        </is>
      </c>
      <c r="H7082" s="3" t="inlineStr">
        <is>
          <t>자연녹지지역</t>
        </is>
      </c>
      <c r="I7082" s="3" t="inlineStr">
        <is>
          <t>전</t>
        </is>
      </c>
      <c r="J7082" s="3" t="inlineStr">
        <is>
          <t>남이면</t>
        </is>
      </c>
    </row>
    <row r="7083">
      <c r="A7083" s="3" t="n">
        <v>2023</v>
      </c>
      <c r="B7083" s="4" t="n">
        <v>12000</v>
      </c>
      <c r="C7083" s="4" t="n">
        <v>1097</v>
      </c>
      <c r="D7083" s="4" t="n">
        <v>331.8425</v>
      </c>
      <c r="E7083" s="5" t="n">
        <v>36.2</v>
      </c>
      <c r="F7083" s="3" t="inlineStr">
        <is>
          <t>현도면</t>
        </is>
      </c>
      <c r="G7083" s="3" t="inlineStr">
        <is>
          <t>중척리</t>
        </is>
      </c>
      <c r="H7083" s="3" t="inlineStr">
        <is>
          <t>개발제한구역</t>
        </is>
      </c>
      <c r="I7083" s="3" t="inlineStr">
        <is>
          <t>전</t>
        </is>
      </c>
      <c r="J7083" s="3" t="inlineStr">
        <is>
          <t>현도면</t>
        </is>
      </c>
    </row>
    <row r="7084">
      <c r="A7084" s="3" t="n">
        <v>2022</v>
      </c>
      <c r="B7084" s="4" t="n">
        <v>149399</v>
      </c>
      <c r="C7084" s="4" t="n">
        <v>3804</v>
      </c>
      <c r="D7084" s="4" t="n">
        <v>1150.71</v>
      </c>
      <c r="E7084" s="5" t="n">
        <v>129.8</v>
      </c>
      <c r="F7084" s="3" t="inlineStr">
        <is>
          <t>연동면</t>
        </is>
      </c>
      <c r="G7084" s="3" t="inlineStr">
        <is>
          <t>응암리</t>
        </is>
      </c>
      <c r="H7084" s="3" t="inlineStr">
        <is>
          <t>계획관리지역</t>
        </is>
      </c>
      <c r="I7084" s="3" t="inlineStr">
        <is>
          <t>임야</t>
        </is>
      </c>
      <c r="J7084" s="3" t="inlineStr">
        <is>
          <t>연동면</t>
        </is>
      </c>
    </row>
    <row r="7085">
      <c r="A7085" s="3" t="n">
        <v>2022</v>
      </c>
      <c r="B7085" s="4" t="n">
        <v>7340</v>
      </c>
      <c r="C7085" s="4" t="n">
        <v>165</v>
      </c>
      <c r="D7085" s="4" t="n">
        <v>49.9125</v>
      </c>
      <c r="E7085" s="5" t="n">
        <v>147.1</v>
      </c>
      <c r="F7085" s="3" t="inlineStr">
        <is>
          <t>전의면</t>
        </is>
      </c>
      <c r="G7085" s="3" t="inlineStr">
        <is>
          <t>읍내리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전의면</t>
        </is>
      </c>
    </row>
    <row r="7086">
      <c r="A7086" s="3" t="n">
        <v>2022</v>
      </c>
      <c r="B7086" s="4" t="n">
        <v>5899</v>
      </c>
      <c r="C7086" s="4" t="n">
        <v>130</v>
      </c>
      <c r="D7086" s="4" t="n">
        <v>39.325</v>
      </c>
      <c r="E7086" s="5" t="n">
        <v>150</v>
      </c>
      <c r="F7086" s="3" t="inlineStr">
        <is>
          <t>전의면</t>
        </is>
      </c>
      <c r="G7086" s="3" t="inlineStr">
        <is>
          <t>읍내리</t>
        </is>
      </c>
      <c r="H7086" s="3" t="inlineStr">
        <is>
          <t>제1종일반주거지역</t>
        </is>
      </c>
      <c r="I7086" s="3" t="inlineStr">
        <is>
          <t>전</t>
        </is>
      </c>
      <c r="J7086" s="3" t="inlineStr">
        <is>
          <t>전의면</t>
        </is>
      </c>
    </row>
    <row r="7087">
      <c r="A7087" s="3" t="n">
        <v>2022</v>
      </c>
      <c r="B7087" s="4" t="n">
        <v>5037</v>
      </c>
      <c r="C7087" s="4" t="n">
        <v>111</v>
      </c>
      <c r="D7087" s="4" t="n">
        <v>33.5775</v>
      </c>
      <c r="E7087" s="5" t="n">
        <v>150</v>
      </c>
      <c r="F7087" s="3" t="inlineStr">
        <is>
          <t>전의면</t>
        </is>
      </c>
      <c r="G7087" s="3" t="inlineStr">
        <is>
          <t>읍내리</t>
        </is>
      </c>
      <c r="H7087" s="3" t="inlineStr">
        <is>
          <t>자연녹지지역</t>
        </is>
      </c>
      <c r="I7087" s="3" t="inlineStr">
        <is>
          <t>전</t>
        </is>
      </c>
      <c r="J7087" s="3" t="inlineStr">
        <is>
          <t>전의면</t>
        </is>
      </c>
    </row>
    <row r="7088">
      <c r="A7088" s="3" t="n">
        <v>2022</v>
      </c>
      <c r="B7088" s="4" t="n">
        <v>6034</v>
      </c>
      <c r="C7088" s="4" t="n">
        <v>133</v>
      </c>
      <c r="D7088" s="4" t="n">
        <v>40.2325</v>
      </c>
      <c r="E7088" s="5" t="n">
        <v>150</v>
      </c>
      <c r="F7088" s="3" t="inlineStr">
        <is>
          <t>전의면</t>
        </is>
      </c>
      <c r="G7088" s="3" t="inlineStr">
        <is>
          <t>읍내리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전의면</t>
        </is>
      </c>
    </row>
    <row r="7089">
      <c r="A7089" s="3" t="n">
        <v>2022</v>
      </c>
      <c r="B7089" s="4" t="n">
        <v>31500</v>
      </c>
      <c r="C7089" s="4" t="n">
        <v>18000</v>
      </c>
      <c r="D7089" s="4" t="n">
        <v>5445</v>
      </c>
      <c r="E7089" s="5" t="n">
        <v>5.8</v>
      </c>
      <c r="F7089" s="3" t="inlineStr">
        <is>
          <t>전동면</t>
        </is>
      </c>
      <c r="G7089" s="3" t="inlineStr">
        <is>
          <t>송성리</t>
        </is>
      </c>
      <c r="H7089" s="3" t="inlineStr">
        <is>
          <t>농림지역</t>
        </is>
      </c>
      <c r="I7089" s="3" t="inlineStr">
        <is>
          <t>임야</t>
        </is>
      </c>
      <c r="J7089" s="3" t="inlineStr">
        <is>
          <t>전동면</t>
        </is>
      </c>
    </row>
    <row r="7090">
      <c r="A7090" s="3" t="n">
        <v>2022</v>
      </c>
      <c r="B7090" s="4" t="n">
        <v>15750</v>
      </c>
      <c r="C7090" s="4" t="n">
        <v>9000</v>
      </c>
      <c r="D7090" s="4" t="n">
        <v>2722.5</v>
      </c>
      <c r="E7090" s="5" t="n">
        <v>5.8</v>
      </c>
      <c r="F7090" s="3" t="inlineStr">
        <is>
          <t>전동면</t>
        </is>
      </c>
      <c r="G7090" s="3" t="inlineStr">
        <is>
          <t>송성리</t>
        </is>
      </c>
      <c r="H7090" s="3" t="inlineStr">
        <is>
          <t>농림지역</t>
        </is>
      </c>
      <c r="I7090" s="3" t="inlineStr">
        <is>
          <t>임야</t>
        </is>
      </c>
      <c r="J7090" s="3" t="inlineStr">
        <is>
          <t>전동면</t>
        </is>
      </c>
    </row>
    <row r="7091">
      <c r="A7091" s="3" t="n">
        <v>2022</v>
      </c>
      <c r="B7091" s="4" t="n">
        <v>15750</v>
      </c>
      <c r="C7091" s="4" t="n">
        <v>9000</v>
      </c>
      <c r="D7091" s="4" t="n">
        <v>2722.5</v>
      </c>
      <c r="E7091" s="5" t="n">
        <v>5.8</v>
      </c>
      <c r="F7091" s="3" t="inlineStr">
        <is>
          <t>전동면</t>
        </is>
      </c>
      <c r="G7091" s="3" t="inlineStr">
        <is>
          <t>송성리</t>
        </is>
      </c>
      <c r="H7091" s="3" t="inlineStr">
        <is>
          <t>농림지역</t>
        </is>
      </c>
      <c r="I7091" s="3" t="inlineStr">
        <is>
          <t>임야</t>
        </is>
      </c>
      <c r="J7091" s="3" t="inlineStr">
        <is>
          <t>전동면</t>
        </is>
      </c>
    </row>
    <row r="7092">
      <c r="A7092" s="3" t="n">
        <v>2022</v>
      </c>
      <c r="B7092" s="4" t="n">
        <v>31500</v>
      </c>
      <c r="C7092" s="4" t="n">
        <v>18000</v>
      </c>
      <c r="D7092" s="4" t="n">
        <v>5445</v>
      </c>
      <c r="E7092" s="5" t="n">
        <v>5.8</v>
      </c>
      <c r="F7092" s="3" t="inlineStr">
        <is>
          <t>전동면</t>
        </is>
      </c>
      <c r="G7092" s="3" t="inlineStr">
        <is>
          <t>송성리</t>
        </is>
      </c>
      <c r="H7092" s="3" t="inlineStr">
        <is>
          <t>농림지역</t>
        </is>
      </c>
      <c r="I7092" s="3" t="inlineStr">
        <is>
          <t>임야</t>
        </is>
      </c>
      <c r="J7092" s="3" t="inlineStr">
        <is>
          <t>전동면</t>
        </is>
      </c>
    </row>
    <row r="7093">
      <c r="A7093" s="3" t="n">
        <v>2022</v>
      </c>
      <c r="B7093" s="4" t="n">
        <v>15750</v>
      </c>
      <c r="C7093" s="4" t="n">
        <v>9000</v>
      </c>
      <c r="D7093" s="4" t="n">
        <v>2722.5</v>
      </c>
      <c r="E7093" s="5" t="n">
        <v>5.8</v>
      </c>
      <c r="F7093" s="3" t="inlineStr">
        <is>
          <t>전동면</t>
        </is>
      </c>
      <c r="G7093" s="3" t="inlineStr">
        <is>
          <t>송성리</t>
        </is>
      </c>
      <c r="H7093" s="3" t="inlineStr">
        <is>
          <t>농림지역</t>
        </is>
      </c>
      <c r="I7093" s="3" t="inlineStr">
        <is>
          <t>임야</t>
        </is>
      </c>
      <c r="J7093" s="3" t="inlineStr">
        <is>
          <t>전동면</t>
        </is>
      </c>
    </row>
    <row r="7094">
      <c r="A7094" s="3" t="n">
        <v>2022</v>
      </c>
      <c r="B7094" s="4" t="n">
        <v>15750</v>
      </c>
      <c r="C7094" s="4" t="n">
        <v>9000</v>
      </c>
      <c r="D7094" s="4" t="n">
        <v>2722.5</v>
      </c>
      <c r="E7094" s="5" t="n">
        <v>5.8</v>
      </c>
      <c r="F7094" s="3" t="inlineStr">
        <is>
          <t>전동면</t>
        </is>
      </c>
      <c r="G7094" s="3" t="inlineStr">
        <is>
          <t>송성리</t>
        </is>
      </c>
      <c r="H7094" s="3" t="inlineStr">
        <is>
          <t>농림지역</t>
        </is>
      </c>
      <c r="I7094" s="3" t="inlineStr">
        <is>
          <t>임야</t>
        </is>
      </c>
      <c r="J7094" s="3" t="inlineStr">
        <is>
          <t>전동면</t>
        </is>
      </c>
    </row>
    <row r="7095">
      <c r="A7095" s="3" t="n">
        <v>2022</v>
      </c>
      <c r="B7095" s="4" t="n">
        <v>13500</v>
      </c>
      <c r="C7095" s="4" t="n">
        <v>316</v>
      </c>
      <c r="D7095" s="4" t="n">
        <v>95.59</v>
      </c>
      <c r="E7095" s="5" t="n">
        <v>141.2</v>
      </c>
      <c r="F7095" s="3" t="inlineStr">
        <is>
          <t>부강면</t>
        </is>
      </c>
      <c r="G7095" s="3" t="inlineStr">
        <is>
          <t>문곡리</t>
        </is>
      </c>
      <c r="H7095" s="3" t="inlineStr">
        <is>
          <t>계획관리지역</t>
        </is>
      </c>
      <c r="I7095" s="3" t="inlineStr">
        <is>
          <t>대</t>
        </is>
      </c>
      <c r="J7095" s="3" t="inlineStr">
        <is>
          <t>부강면</t>
        </is>
      </c>
    </row>
    <row r="7096">
      <c r="A7096" s="3" t="n">
        <v>2022</v>
      </c>
      <c r="B7096" s="4" t="n">
        <v>85000</v>
      </c>
      <c r="C7096" s="4" t="n">
        <v>1227</v>
      </c>
      <c r="D7096" s="4" t="n">
        <v>371.1675</v>
      </c>
      <c r="E7096" s="5" t="n">
        <v>229</v>
      </c>
      <c r="F7096" s="3" t="inlineStr">
        <is>
          <t>연서면</t>
        </is>
      </c>
      <c r="G7096" s="3" t="inlineStr">
        <is>
          <t>봉암리</t>
        </is>
      </c>
      <c r="H7096" s="3" t="inlineStr">
        <is>
          <t>농림지역</t>
        </is>
      </c>
      <c r="I7096" s="3" t="inlineStr">
        <is>
          <t>답</t>
        </is>
      </c>
      <c r="J7096" s="3" t="inlineStr">
        <is>
          <t>연서면</t>
        </is>
      </c>
    </row>
    <row r="7097">
      <c r="A7097" s="3" t="n">
        <v>2022</v>
      </c>
      <c r="B7097" s="4" t="n">
        <v>85000</v>
      </c>
      <c r="C7097" s="4" t="n">
        <v>1226</v>
      </c>
      <c r="D7097" s="4" t="n">
        <v>370.865</v>
      </c>
      <c r="E7097" s="5" t="n">
        <v>229.2</v>
      </c>
      <c r="F7097" s="3" t="inlineStr">
        <is>
          <t>연서면</t>
        </is>
      </c>
      <c r="G7097" s="3" t="inlineStr">
        <is>
          <t>봉암리</t>
        </is>
      </c>
      <c r="H7097" s="3" t="inlineStr">
        <is>
          <t>농림지역</t>
        </is>
      </c>
      <c r="I7097" s="3" t="inlineStr">
        <is>
          <t>답</t>
        </is>
      </c>
      <c r="J7097" s="3" t="inlineStr">
        <is>
          <t>연서면</t>
        </is>
      </c>
    </row>
    <row r="7098">
      <c r="A7098" s="3" t="n">
        <v>2022</v>
      </c>
      <c r="B7098" s="4" t="n">
        <v>13000</v>
      </c>
      <c r="C7098" s="4" t="n">
        <v>156</v>
      </c>
      <c r="D7098" s="4" t="n">
        <v>47.19</v>
      </c>
      <c r="E7098" s="5" t="n">
        <v>275.5</v>
      </c>
      <c r="F7098" s="3" t="inlineStr">
        <is>
          <t>금남면</t>
        </is>
      </c>
      <c r="G7098" s="3" t="inlineStr">
        <is>
          <t>용포리</t>
        </is>
      </c>
      <c r="H7098" s="3" t="inlineStr">
        <is>
          <t>제2종일반주거지역</t>
        </is>
      </c>
      <c r="I7098" s="3" t="inlineStr">
        <is>
          <t>대</t>
        </is>
      </c>
      <c r="J7098" s="3" t="inlineStr">
        <is>
          <t>금남면</t>
        </is>
      </c>
    </row>
    <row r="7099">
      <c r="A7099" s="3" t="n">
        <v>2022</v>
      </c>
      <c r="B7099" s="4" t="n">
        <v>3000</v>
      </c>
      <c r="C7099" s="4" t="n">
        <v>66</v>
      </c>
      <c r="D7099" s="4" t="n">
        <v>19.965</v>
      </c>
      <c r="E7099" s="5" t="n">
        <v>150.3</v>
      </c>
      <c r="F7099" s="3" t="inlineStr">
        <is>
          <t>금남면</t>
        </is>
      </c>
      <c r="G7099" s="3" t="inlineStr">
        <is>
          <t>축산리</t>
        </is>
      </c>
      <c r="H7099" s="3" t="inlineStr">
        <is>
          <t>자연녹지지역</t>
        </is>
      </c>
      <c r="I7099" s="3" t="inlineStr">
        <is>
          <t>답</t>
        </is>
      </c>
      <c r="J7099" s="3" t="inlineStr">
        <is>
          <t>금남면</t>
        </is>
      </c>
    </row>
    <row r="7100">
      <c r="A7100" s="3" t="n">
        <v>2022</v>
      </c>
      <c r="B7100" s="4" t="n">
        <v>17000</v>
      </c>
      <c r="C7100" s="4" t="n">
        <v>397</v>
      </c>
      <c r="D7100" s="4" t="n">
        <v>120.0925</v>
      </c>
      <c r="E7100" s="5" t="n">
        <v>141.6</v>
      </c>
      <c r="F7100" s="3" t="inlineStr">
        <is>
          <t>장군면</t>
        </is>
      </c>
      <c r="G7100" s="3" t="inlineStr">
        <is>
          <t>대교리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장군면</t>
        </is>
      </c>
    </row>
    <row r="7101">
      <c r="A7101" s="3" t="n">
        <v>2022</v>
      </c>
      <c r="B7101" s="4" t="n">
        <v>1270</v>
      </c>
      <c r="C7101" s="4" t="n">
        <v>28</v>
      </c>
      <c r="D7101" s="4" t="n">
        <v>8.469999999999999</v>
      </c>
      <c r="E7101" s="5" t="n">
        <v>149.9</v>
      </c>
      <c r="F7101" s="3" t="inlineStr">
        <is>
          <t>전의면</t>
        </is>
      </c>
      <c r="G7101" s="3" t="inlineStr">
        <is>
          <t>읍내리</t>
        </is>
      </c>
      <c r="H7101" s="3" t="inlineStr">
        <is>
          <t>자연녹지지역</t>
        </is>
      </c>
      <c r="I7101" s="3" t="inlineStr">
        <is>
          <t>임야</t>
        </is>
      </c>
      <c r="J7101" s="3" t="inlineStr">
        <is>
          <t>전의면</t>
        </is>
      </c>
    </row>
    <row r="7102">
      <c r="A7102" s="3" t="n">
        <v>2022</v>
      </c>
      <c r="B7102" s="4" t="n">
        <v>27000</v>
      </c>
      <c r="C7102" s="4" t="n">
        <v>1299</v>
      </c>
      <c r="D7102" s="4" t="n">
        <v>392.9475</v>
      </c>
      <c r="E7102" s="5" t="n">
        <v>68.7</v>
      </c>
      <c r="F7102" s="3" t="inlineStr">
        <is>
          <t>금남면</t>
        </is>
      </c>
      <c r="G7102" s="3" t="inlineStr">
        <is>
          <t>영대리</t>
        </is>
      </c>
      <c r="H7102" s="3" t="inlineStr">
        <is>
          <t>개발제한구역</t>
        </is>
      </c>
      <c r="I7102" s="3" t="inlineStr">
        <is>
          <t>답</t>
        </is>
      </c>
      <c r="J7102" s="3" t="inlineStr">
        <is>
          <t>금남면</t>
        </is>
      </c>
    </row>
    <row r="7103">
      <c r="A7103" s="3" t="n">
        <v>2022</v>
      </c>
      <c r="B7103" s="4" t="n">
        <v>2000</v>
      </c>
      <c r="C7103" s="4" t="n">
        <v>655</v>
      </c>
      <c r="D7103" s="4" t="n">
        <v>198.1375</v>
      </c>
      <c r="E7103" s="5" t="n">
        <v>10.1</v>
      </c>
      <c r="F7103" s="3" t="inlineStr">
        <is>
          <t>전동면</t>
        </is>
      </c>
      <c r="G7103" s="3" t="inlineStr">
        <is>
          <t>청송리</t>
        </is>
      </c>
      <c r="H7103" s="3" t="inlineStr">
        <is>
          <t>계획관리지역</t>
        </is>
      </c>
      <c r="I7103" s="3" t="inlineStr">
        <is>
          <t>전</t>
        </is>
      </c>
      <c r="J7103" s="3" t="inlineStr">
        <is>
          <t>전동면</t>
        </is>
      </c>
    </row>
    <row r="7104">
      <c r="A7104" s="3" t="n">
        <v>2022</v>
      </c>
      <c r="B7104" s="4" t="n">
        <v>2300</v>
      </c>
      <c r="C7104" s="4" t="n">
        <v>694</v>
      </c>
      <c r="D7104" s="4" t="n">
        <v>209.935</v>
      </c>
      <c r="E7104" s="5" t="n">
        <v>11</v>
      </c>
      <c r="F7104" s="3" t="inlineStr">
        <is>
          <t>전동면</t>
        </is>
      </c>
      <c r="G7104" s="3" t="inlineStr">
        <is>
          <t>청송리</t>
        </is>
      </c>
      <c r="H7104" s="3" t="inlineStr">
        <is>
          <t>계획관리지역</t>
        </is>
      </c>
      <c r="I7104" s="3" t="inlineStr">
        <is>
          <t>전</t>
        </is>
      </c>
      <c r="J7104" s="3" t="inlineStr">
        <is>
          <t>전동면</t>
        </is>
      </c>
    </row>
    <row r="7105">
      <c r="A7105" s="3" t="n">
        <v>2022</v>
      </c>
      <c r="B7105" s="4" t="n">
        <v>2000</v>
      </c>
      <c r="C7105" s="4" t="n">
        <v>133</v>
      </c>
      <c r="D7105" s="4" t="n">
        <v>40.2325</v>
      </c>
      <c r="E7105" s="5" t="n">
        <v>49.7</v>
      </c>
      <c r="F7105" s="3" t="inlineStr">
        <is>
          <t>금남면</t>
        </is>
      </c>
      <c r="G7105" s="3" t="inlineStr">
        <is>
          <t>남곡리</t>
        </is>
      </c>
      <c r="H7105" s="3" t="inlineStr">
        <is>
          <t>개발제한구역</t>
        </is>
      </c>
      <c r="I7105" s="3" t="inlineStr">
        <is>
          <t>답</t>
        </is>
      </c>
      <c r="J7105" s="3" t="inlineStr">
        <is>
          <t>금남면</t>
        </is>
      </c>
    </row>
    <row r="7106">
      <c r="A7106" s="3" t="n">
        <v>2023</v>
      </c>
      <c r="B7106" s="4" t="n">
        <v>9155</v>
      </c>
      <c r="C7106" s="4" t="n">
        <v>2479</v>
      </c>
      <c r="D7106" s="4" t="n">
        <v>749.8974999999999</v>
      </c>
      <c r="E7106" s="5" t="n">
        <v>12.2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자연환경보전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3033</v>
      </c>
      <c r="C7107" s="4" t="n">
        <v>280</v>
      </c>
      <c r="D7107" s="4" t="n">
        <v>84.7</v>
      </c>
      <c r="E7107" s="5" t="n">
        <v>35.8</v>
      </c>
      <c r="F7107" s="3" t="inlineStr">
        <is>
          <t>현도면</t>
        </is>
      </c>
      <c r="G7107" s="3" t="inlineStr">
        <is>
          <t>중삼리</t>
        </is>
      </c>
      <c r="H7107" s="3" t="inlineStr">
        <is>
          <t>계획관리지역</t>
        </is>
      </c>
      <c r="I7107" s="3" t="inlineStr">
        <is>
          <t>임야</t>
        </is>
      </c>
      <c r="J7107" s="3" t="inlineStr">
        <is>
          <t>현도면</t>
        </is>
      </c>
    </row>
    <row r="7108">
      <c r="A7108" s="3" t="n">
        <v>2025</v>
      </c>
      <c r="B7108" s="4" t="n">
        <v>350</v>
      </c>
      <c r="C7108" s="4" t="n">
        <v>753</v>
      </c>
      <c r="D7108" s="4" t="n">
        <v>227.7825</v>
      </c>
      <c r="E7108" s="5" t="n">
        <v>1.5</v>
      </c>
      <c r="F7108" s="3" t="inlineStr">
        <is>
          <t>남이면</t>
        </is>
      </c>
      <c r="G7108" s="3" t="inlineStr">
        <is>
          <t>석실리</t>
        </is>
      </c>
      <c r="H7108" s="3" t="inlineStr">
        <is>
          <t>보전녹지지역</t>
        </is>
      </c>
      <c r="I7108" s="3" t="inlineStr">
        <is>
          <t>임야</t>
        </is>
      </c>
      <c r="J7108" s="3" t="inlineStr">
        <is>
          <t>남이면</t>
        </is>
      </c>
    </row>
    <row r="7109">
      <c r="A7109" s="3" t="n">
        <v>2026</v>
      </c>
      <c r="B7109" s="4" t="n">
        <v>4700</v>
      </c>
      <c r="C7109" s="4" t="n">
        <v>1481</v>
      </c>
      <c r="D7109" s="4" t="n">
        <v>448.0025</v>
      </c>
      <c r="E7109" s="5" t="n">
        <v>10.5</v>
      </c>
      <c r="F7109" s="3" t="inlineStr">
        <is>
          <t>현도면</t>
        </is>
      </c>
      <c r="G7109" s="3" t="inlineStr">
        <is>
          <t>노산리</t>
        </is>
      </c>
      <c r="H7109" s="3" t="inlineStr">
        <is>
          <t>자연녹지지역</t>
        </is>
      </c>
      <c r="I7109" s="3" t="inlineStr">
        <is>
          <t>답</t>
        </is>
      </c>
      <c r="J7109" s="3" t="inlineStr">
        <is>
          <t>현도면</t>
        </is>
      </c>
    </row>
    <row r="7110">
      <c r="A7110" s="3" t="n">
        <v>2026</v>
      </c>
      <c r="B7110" s="4" t="n">
        <v>6875</v>
      </c>
      <c r="C7110" s="4" t="n">
        <v>992</v>
      </c>
      <c r="D7110" s="4" t="n">
        <v>300.08</v>
      </c>
      <c r="E7110" s="5" t="n">
        <v>22.9</v>
      </c>
      <c r="F7110" s="3" t="inlineStr">
        <is>
          <t>남이면</t>
        </is>
      </c>
      <c r="G7110" s="3" t="inlineStr">
        <is>
          <t>산막리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남이면</t>
        </is>
      </c>
    </row>
    <row r="7111">
      <c r="A7111" s="3" t="n">
        <v>2025</v>
      </c>
      <c r="B7111" s="4" t="n">
        <v>8150</v>
      </c>
      <c r="C7111" s="4" t="n">
        <v>539</v>
      </c>
      <c r="D7111" s="4" t="n">
        <v>163.0475</v>
      </c>
      <c r="E7111" s="5" t="n">
        <v>50</v>
      </c>
      <c r="F7111" s="3" t="inlineStr">
        <is>
          <t>강내면</t>
        </is>
      </c>
      <c r="G7111" s="3" t="inlineStr">
        <is>
          <t>다락리</t>
        </is>
      </c>
      <c r="H7111" s="3" t="inlineStr">
        <is>
          <t>계획관리지역</t>
        </is>
      </c>
      <c r="I7111" s="3" t="inlineStr">
        <is>
          <t>전</t>
        </is>
      </c>
      <c r="J7111" s="3" t="inlineStr">
        <is>
          <t>강내면</t>
        </is>
      </c>
    </row>
    <row r="7112">
      <c r="A7112" s="3" t="n">
        <v>2025</v>
      </c>
      <c r="B7112" s="4" t="n">
        <v>9000</v>
      </c>
      <c r="C7112" s="4" t="n">
        <v>258</v>
      </c>
      <c r="D7112" s="4" t="n">
        <v>78.045</v>
      </c>
      <c r="E7112" s="5" t="n">
        <v>115.3</v>
      </c>
      <c r="F7112" s="3" t="inlineStr">
        <is>
          <t>강내면</t>
        </is>
      </c>
      <c r="G7112" s="3" t="inlineStr">
        <is>
          <t>학천리</t>
        </is>
      </c>
      <c r="H7112" s="3" t="inlineStr">
        <is>
          <t>자연녹지지역</t>
        </is>
      </c>
      <c r="I7112" s="3" t="inlineStr">
        <is>
          <t>전</t>
        </is>
      </c>
      <c r="J7112" s="3" t="inlineStr">
        <is>
          <t>강내면</t>
        </is>
      </c>
    </row>
    <row r="7113">
      <c r="A7113" s="3" t="n">
        <v>2025</v>
      </c>
      <c r="B7113" s="4" t="n">
        <v>14504</v>
      </c>
      <c r="C7113" s="4" t="n">
        <v>1922</v>
      </c>
      <c r="D7113" s="4" t="n">
        <v>581.405</v>
      </c>
      <c r="E7113" s="5" t="n">
        <v>24.9</v>
      </c>
      <c r="F7113" s="3" t="inlineStr">
        <is>
          <t>강내면</t>
        </is>
      </c>
      <c r="G7113" s="3" t="inlineStr">
        <is>
          <t>태성리</t>
        </is>
      </c>
      <c r="H7113" s="3" t="inlineStr">
        <is>
          <t>계획관리지역</t>
        </is>
      </c>
      <c r="I7113" s="3" t="inlineStr">
        <is>
          <t>임야</t>
        </is>
      </c>
      <c r="J7113" s="3" t="inlineStr">
        <is>
          <t>강내면</t>
        </is>
      </c>
    </row>
    <row r="7114">
      <c r="A7114" s="3" t="n">
        <v>2025</v>
      </c>
      <c r="B7114" s="4" t="n">
        <v>12096</v>
      </c>
      <c r="C7114" s="4" t="n">
        <v>1603</v>
      </c>
      <c r="D7114" s="4" t="n">
        <v>484.9075</v>
      </c>
      <c r="E7114" s="5" t="n">
        <v>24.9</v>
      </c>
      <c r="F7114" s="3" t="inlineStr">
        <is>
          <t>강내면</t>
        </is>
      </c>
      <c r="G7114" s="3" t="inlineStr">
        <is>
          <t>태성리</t>
        </is>
      </c>
      <c r="H7114" s="3" t="inlineStr">
        <is>
          <t>계획관리지역</t>
        </is>
      </c>
      <c r="I7114" s="3" t="inlineStr">
        <is>
          <t>임야</t>
        </is>
      </c>
      <c r="J7114" s="3" t="inlineStr">
        <is>
          <t>강내면</t>
        </is>
      </c>
    </row>
    <row r="7115">
      <c r="A7115" s="3" t="n">
        <v>2025</v>
      </c>
      <c r="B7115" s="4" t="n">
        <v>14300</v>
      </c>
      <c r="C7115" s="4" t="n">
        <v>630</v>
      </c>
      <c r="D7115" s="4" t="n">
        <v>190.575</v>
      </c>
      <c r="E7115" s="5" t="n">
        <v>75</v>
      </c>
      <c r="F7115" s="3" t="inlineStr">
        <is>
          <t>강내면</t>
        </is>
      </c>
      <c r="G7115" s="3" t="inlineStr">
        <is>
          <t>다락리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강내면</t>
        </is>
      </c>
    </row>
    <row r="7116">
      <c r="A7116" s="3" t="n">
        <v>2026</v>
      </c>
      <c r="B7116" s="4" t="n">
        <v>45000</v>
      </c>
      <c r="C7116" s="4" t="n">
        <v>4934</v>
      </c>
      <c r="D7116" s="4" t="n">
        <v>1492.535</v>
      </c>
      <c r="E7116" s="5" t="n">
        <v>30.2</v>
      </c>
      <c r="F7116" s="3" t="inlineStr">
        <is>
          <t>전의면</t>
        </is>
      </c>
      <c r="G7116" s="3" t="inlineStr">
        <is>
          <t>달전리</t>
        </is>
      </c>
      <c r="H7116" s="3" t="inlineStr">
        <is>
          <t>보전관리지역</t>
        </is>
      </c>
      <c r="I7116" s="3" t="inlineStr">
        <is>
          <t>전</t>
        </is>
      </c>
      <c r="J7116" s="3" t="inlineStr">
        <is>
          <t>전의면</t>
        </is>
      </c>
    </row>
    <row r="7117">
      <c r="A7117" s="3" t="n">
        <v>2026</v>
      </c>
      <c r="B7117" s="4" t="n">
        <v>1560</v>
      </c>
      <c r="C7117" s="4" t="n">
        <v>196</v>
      </c>
      <c r="D7117" s="4" t="n">
        <v>59.29</v>
      </c>
      <c r="E7117" s="5" t="n">
        <v>26.3</v>
      </c>
      <c r="F7117" s="3" t="inlineStr">
        <is>
          <t>전의면</t>
        </is>
      </c>
      <c r="G7117" s="3" t="inlineStr">
        <is>
          <t>달전리</t>
        </is>
      </c>
      <c r="H7117" s="3" t="inlineStr">
        <is>
          <t>보전관리지역</t>
        </is>
      </c>
      <c r="I7117" s="3" t="inlineStr">
        <is>
          <t>전</t>
        </is>
      </c>
      <c r="J7117" s="3" t="inlineStr">
        <is>
          <t>전의면</t>
        </is>
      </c>
    </row>
    <row r="7118">
      <c r="A7118" s="3" t="n">
        <v>2026</v>
      </c>
      <c r="B7118" s="4" t="n">
        <v>21650</v>
      </c>
      <c r="C7118" s="4" t="n">
        <v>2331</v>
      </c>
      <c r="D7118" s="4" t="n">
        <v>705.1274999999999</v>
      </c>
      <c r="E7118" s="5" t="n">
        <v>30.7</v>
      </c>
      <c r="F7118" s="3" t="inlineStr">
        <is>
          <t>연서면</t>
        </is>
      </c>
      <c r="G7118" s="3" t="inlineStr">
        <is>
          <t>청라리</t>
        </is>
      </c>
      <c r="H7118" s="3" t="inlineStr">
        <is>
          <t>생산관리지역</t>
        </is>
      </c>
      <c r="I7118" s="3" t="inlineStr">
        <is>
          <t>답</t>
        </is>
      </c>
      <c r="J7118" s="3" t="inlineStr">
        <is>
          <t>연서면</t>
        </is>
      </c>
    </row>
    <row r="7119">
      <c r="A7119" s="3" t="n">
        <v>2025</v>
      </c>
      <c r="B7119" s="4" t="n">
        <v>39500</v>
      </c>
      <c r="C7119" s="4" t="n">
        <v>1719</v>
      </c>
      <c r="D7119" s="4" t="n">
        <v>519.9974999999999</v>
      </c>
      <c r="E7119" s="5" t="n">
        <v>76</v>
      </c>
      <c r="F7119" s="3" t="inlineStr">
        <is>
          <t>남이면</t>
        </is>
      </c>
      <c r="G7119" s="3" t="inlineStr">
        <is>
          <t>팔봉리</t>
        </is>
      </c>
      <c r="H7119" s="3" t="inlineStr">
        <is>
          <t>자연녹지지역</t>
        </is>
      </c>
      <c r="I7119" s="3" t="inlineStr">
        <is>
          <t>전</t>
        </is>
      </c>
      <c r="J7119" s="3" t="inlineStr">
        <is>
          <t>남이면</t>
        </is>
      </c>
    </row>
    <row r="7120">
      <c r="A7120" s="3" t="n">
        <v>2025</v>
      </c>
      <c r="B7120" s="4" t="n">
        <v>860</v>
      </c>
      <c r="C7120" s="4" t="n">
        <v>16</v>
      </c>
      <c r="D7120" s="4" t="n">
        <v>4.84</v>
      </c>
      <c r="E7120" s="5" t="n">
        <v>177.7</v>
      </c>
      <c r="F7120" s="3" t="inlineStr">
        <is>
          <t>남이면</t>
        </is>
      </c>
      <c r="G7120" s="3" t="inlineStr">
        <is>
          <t>양촌리</t>
        </is>
      </c>
      <c r="H7120" s="3" t="inlineStr">
        <is>
          <t>자연녹지지역</t>
        </is>
      </c>
      <c r="I7120" s="3" t="inlineStr">
        <is>
          <t>전</t>
        </is>
      </c>
      <c r="J7120" s="3" t="inlineStr">
        <is>
          <t>남이면</t>
        </is>
      </c>
    </row>
    <row r="7121">
      <c r="A7121" s="3" t="n">
        <v>2025</v>
      </c>
      <c r="B7121" s="4" t="n">
        <v>1000</v>
      </c>
      <c r="C7121" s="4" t="n">
        <v>33</v>
      </c>
      <c r="D7121" s="4" t="n">
        <v>9.9825</v>
      </c>
      <c r="E7121" s="5" t="n">
        <v>100.2</v>
      </c>
      <c r="F7121" s="3" t="inlineStr">
        <is>
          <t>남이면</t>
        </is>
      </c>
      <c r="G7121" s="3" t="inlineStr">
        <is>
          <t>양촌리</t>
        </is>
      </c>
      <c r="H7121" s="3" t="inlineStr">
        <is>
          <t>자연녹지지역</t>
        </is>
      </c>
      <c r="I7121" s="3" t="inlineStr">
        <is>
          <t>대</t>
        </is>
      </c>
      <c r="J7121" s="3" t="inlineStr">
        <is>
          <t>남이면</t>
        </is>
      </c>
    </row>
    <row r="7122">
      <c r="A7122" s="3" t="n">
        <v>2025</v>
      </c>
      <c r="B7122" s="4" t="n">
        <v>2156</v>
      </c>
      <c r="C7122" s="4" t="n">
        <v>120</v>
      </c>
      <c r="D7122" s="4" t="n">
        <v>36.3</v>
      </c>
      <c r="E7122" s="5" t="n">
        <v>59.4</v>
      </c>
      <c r="F7122" s="3" t="inlineStr">
        <is>
          <t>남이면</t>
        </is>
      </c>
      <c r="G7122" s="3" t="inlineStr">
        <is>
          <t>척산리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남이면</t>
        </is>
      </c>
    </row>
    <row r="7123">
      <c r="A7123" s="3" t="n">
        <v>2025</v>
      </c>
      <c r="B7123" s="4" t="n">
        <v>898</v>
      </c>
      <c r="C7123" s="4" t="n">
        <v>50</v>
      </c>
      <c r="D7123" s="4" t="n">
        <v>15.125</v>
      </c>
      <c r="E7123" s="5" t="n">
        <v>59.4</v>
      </c>
      <c r="F7123" s="3" t="inlineStr">
        <is>
          <t>남이면</t>
        </is>
      </c>
      <c r="G7123" s="3" t="inlineStr">
        <is>
          <t>척산리</t>
        </is>
      </c>
      <c r="H7123" s="3" t="inlineStr">
        <is>
          <t>생산관리지역</t>
        </is>
      </c>
      <c r="I7123" s="3" t="inlineStr">
        <is>
          <t>답</t>
        </is>
      </c>
      <c r="J7123" s="3" t="inlineStr">
        <is>
          <t>남이면</t>
        </is>
      </c>
    </row>
    <row r="7124">
      <c r="A7124" s="3" t="n">
        <v>2025</v>
      </c>
      <c r="B7124" s="4" t="n">
        <v>646</v>
      </c>
      <c r="C7124" s="4" t="n">
        <v>36</v>
      </c>
      <c r="D7124" s="4" t="n">
        <v>10.89</v>
      </c>
      <c r="E7124" s="5" t="n">
        <v>59.3</v>
      </c>
      <c r="F7124" s="3" t="inlineStr">
        <is>
          <t>남이면</t>
        </is>
      </c>
      <c r="G7124" s="3" t="inlineStr">
        <is>
          <t>척산리</t>
        </is>
      </c>
      <c r="H7124" s="3" t="inlineStr">
        <is>
          <t>생산관리지역</t>
        </is>
      </c>
      <c r="I7124" s="3" t="inlineStr">
        <is>
          <t>도로</t>
        </is>
      </c>
      <c r="J7124" s="3" t="inlineStr">
        <is>
          <t>남이면</t>
        </is>
      </c>
    </row>
    <row r="7125">
      <c r="A7125" s="3" t="n">
        <v>2025</v>
      </c>
      <c r="B7125" s="4" t="n">
        <v>9000</v>
      </c>
      <c r="C7125" s="4" t="n">
        <v>1568</v>
      </c>
      <c r="D7125" s="4" t="n">
        <v>474.32</v>
      </c>
      <c r="E7125" s="5" t="n">
        <v>19</v>
      </c>
      <c r="F7125" s="3" t="inlineStr">
        <is>
          <t>현도면</t>
        </is>
      </c>
      <c r="G7125" s="3" t="inlineStr">
        <is>
          <t>노산리</t>
        </is>
      </c>
      <c r="H7125" s="3" t="inlineStr">
        <is>
          <t>개발제한구역</t>
        </is>
      </c>
      <c r="I7125" s="3" t="inlineStr">
        <is>
          <t>답</t>
        </is>
      </c>
      <c r="J7125" s="3" t="inlineStr">
        <is>
          <t>현도면</t>
        </is>
      </c>
    </row>
    <row r="7126">
      <c r="A7126" s="3" t="n">
        <v>2025</v>
      </c>
      <c r="B7126" s="4" t="n">
        <v>3930</v>
      </c>
      <c r="C7126" s="4" t="n">
        <v>185</v>
      </c>
      <c r="D7126" s="4" t="n">
        <v>55.9625</v>
      </c>
      <c r="E7126" s="5" t="n">
        <v>70.2</v>
      </c>
      <c r="F7126" s="3" t="inlineStr">
        <is>
          <t>남이면</t>
        </is>
      </c>
      <c r="G7126" s="3" t="inlineStr">
        <is>
          <t>수대리</t>
        </is>
      </c>
      <c r="H7126" s="3" t="inlineStr">
        <is>
          <t>자연녹지지역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2025</v>
      </c>
      <c r="B7127" s="4" t="n">
        <v>70</v>
      </c>
      <c r="C7127" s="4" t="n">
        <v>3</v>
      </c>
      <c r="D7127" s="4" t="n">
        <v>0.9075</v>
      </c>
      <c r="E7127" s="5" t="n">
        <v>77.09999999999999</v>
      </c>
      <c r="F7127" s="3" t="inlineStr">
        <is>
          <t>남이면</t>
        </is>
      </c>
      <c r="G7127" s="3" t="inlineStr">
        <is>
          <t>수대리</t>
        </is>
      </c>
      <c r="H7127" s="3" t="inlineStr">
        <is>
          <t>자연녹지지역</t>
        </is>
      </c>
      <c r="I7127" s="3" t="inlineStr">
        <is>
          <t>전</t>
        </is>
      </c>
      <c r="J7127" s="3" t="inlineStr">
        <is>
          <t>남이면</t>
        </is>
      </c>
    </row>
    <row r="7128">
      <c r="A7128" s="3" t="n">
        <v>2025</v>
      </c>
      <c r="B7128" s="4" t="n">
        <v>150</v>
      </c>
      <c r="C7128" s="4" t="n">
        <v>2</v>
      </c>
      <c r="D7128" s="4" t="n">
        <v>0.605</v>
      </c>
      <c r="E7128" s="5" t="n">
        <v>247.9</v>
      </c>
      <c r="F7128" s="3" t="inlineStr">
        <is>
          <t>남이면</t>
        </is>
      </c>
      <c r="G7128" s="3" t="inlineStr">
        <is>
          <t>수대리</t>
        </is>
      </c>
      <c r="H7128" s="3" t="inlineStr">
        <is>
          <t>자연녹지지역</t>
        </is>
      </c>
      <c r="I7128" s="3" t="inlineStr">
        <is>
          <t>도로</t>
        </is>
      </c>
      <c r="J7128" s="3" t="inlineStr">
        <is>
          <t>남이면</t>
        </is>
      </c>
    </row>
    <row r="7129">
      <c r="A7129" s="3" t="n">
        <v>2025</v>
      </c>
      <c r="B7129" s="4" t="n">
        <v>13454</v>
      </c>
      <c r="C7129" s="4" t="n">
        <v>261</v>
      </c>
      <c r="D7129" s="4" t="n">
        <v>78.9525</v>
      </c>
      <c r="E7129" s="5" t="n">
        <v>170.4</v>
      </c>
      <c r="F7129" s="3" t="inlineStr">
        <is>
          <t>현도면</t>
        </is>
      </c>
      <c r="G7129" s="3" t="inlineStr">
        <is>
          <t>노산리</t>
        </is>
      </c>
      <c r="H7129" s="3" t="inlineStr">
        <is>
          <t>제1종일반주거지역</t>
        </is>
      </c>
      <c r="I7129" s="3" t="inlineStr">
        <is>
          <t>대</t>
        </is>
      </c>
      <c r="J7129" s="3" t="inlineStr">
        <is>
          <t>현도면</t>
        </is>
      </c>
    </row>
    <row r="7130">
      <c r="A7130" s="3" t="n">
        <v>2025</v>
      </c>
      <c r="B7130" s="4" t="n">
        <v>11959</v>
      </c>
      <c r="C7130" s="4" t="n">
        <v>232</v>
      </c>
      <c r="D7130" s="4" t="n">
        <v>70.17999999999999</v>
      </c>
      <c r="E7130" s="5" t="n">
        <v>170.4</v>
      </c>
      <c r="F7130" s="3" t="inlineStr">
        <is>
          <t>현도면</t>
        </is>
      </c>
      <c r="G7130" s="3" t="inlineStr">
        <is>
          <t>노산리</t>
        </is>
      </c>
      <c r="H7130" s="3" t="inlineStr">
        <is>
          <t>개발제한구역</t>
        </is>
      </c>
      <c r="I7130" s="3" t="inlineStr">
        <is>
          <t>대</t>
        </is>
      </c>
      <c r="J7130" s="3" t="inlineStr">
        <is>
          <t>현도면</t>
        </is>
      </c>
    </row>
    <row r="7131">
      <c r="A7131" s="3" t="n">
        <v>2025</v>
      </c>
      <c r="B7131" s="4" t="n">
        <v>24588</v>
      </c>
      <c r="C7131" s="4" t="n">
        <v>477</v>
      </c>
      <c r="D7131" s="4" t="n">
        <v>144.2925</v>
      </c>
      <c r="E7131" s="5" t="n">
        <v>170.4</v>
      </c>
      <c r="F7131" s="3" t="inlineStr">
        <is>
          <t>현도면</t>
        </is>
      </c>
      <c r="G7131" s="3" t="inlineStr">
        <is>
          <t>노산리</t>
        </is>
      </c>
      <c r="H7131" s="3" t="inlineStr">
        <is>
          <t>제1종일반주거지역</t>
        </is>
      </c>
      <c r="I7131" s="3" t="inlineStr">
        <is>
          <t>대</t>
        </is>
      </c>
      <c r="J7131" s="3" t="inlineStr">
        <is>
          <t>현도면</t>
        </is>
      </c>
    </row>
    <row r="7132">
      <c r="A7132" s="3" t="n">
        <v>2025</v>
      </c>
      <c r="B7132" s="4" t="n">
        <v>76728</v>
      </c>
      <c r="C7132" s="4" t="n">
        <v>919</v>
      </c>
      <c r="D7132" s="4" t="n">
        <v>277.9975</v>
      </c>
      <c r="E7132" s="5" t="n">
        <v>276</v>
      </c>
      <c r="F7132" s="3" t="inlineStr">
        <is>
          <t>현도면</t>
        </is>
      </c>
      <c r="G7132" s="3" t="inlineStr">
        <is>
          <t>매봉리</t>
        </is>
      </c>
      <c r="H7132" s="3" t="inlineStr">
        <is>
          <t>제2종일반주거지역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2025</v>
      </c>
      <c r="B7133" s="4" t="n">
        <v>17272</v>
      </c>
      <c r="C7133" s="4" t="n">
        <v>207</v>
      </c>
      <c r="D7133" s="4" t="n">
        <v>62.6175</v>
      </c>
      <c r="E7133" s="5" t="n">
        <v>275.8</v>
      </c>
      <c r="F7133" s="3" t="inlineStr">
        <is>
          <t>현도면</t>
        </is>
      </c>
      <c r="G7133" s="3" t="inlineStr">
        <is>
          <t>매봉리</t>
        </is>
      </c>
      <c r="H7133" s="3" t="inlineStr">
        <is>
          <t>제2종일반주거지역</t>
        </is>
      </c>
      <c r="I7133" s="3" t="inlineStr">
        <is>
          <t>답</t>
        </is>
      </c>
      <c r="J7133" s="3" t="inlineStr">
        <is>
          <t>현도면</t>
        </is>
      </c>
    </row>
    <row r="7134">
      <c r="A7134" s="3" t="n">
        <v>2025</v>
      </c>
      <c r="B7134" s="4" t="n">
        <v>20000</v>
      </c>
      <c r="C7134" s="4" t="n">
        <v>129</v>
      </c>
      <c r="D7134" s="4" t="n">
        <v>39.0225</v>
      </c>
      <c r="E7134" s="5" t="n">
        <v>512.5</v>
      </c>
      <c r="F7134" s="3" t="inlineStr">
        <is>
          <t>현도면</t>
        </is>
      </c>
      <c r="G7134" s="3" t="inlineStr">
        <is>
          <t>선동리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현도면</t>
        </is>
      </c>
    </row>
    <row r="7135">
      <c r="A7135" s="3" t="n">
        <v>2025</v>
      </c>
      <c r="B7135" s="4" t="n">
        <v>400</v>
      </c>
      <c r="C7135" s="4" t="n">
        <v>297</v>
      </c>
      <c r="D7135" s="4" t="n">
        <v>89.8425</v>
      </c>
      <c r="E7135" s="5" t="n">
        <v>4.5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2025</v>
      </c>
      <c r="B7136" s="4" t="n">
        <v>10191</v>
      </c>
      <c r="C7136" s="4" t="n">
        <v>237</v>
      </c>
      <c r="D7136" s="4" t="n">
        <v>71.6925</v>
      </c>
      <c r="E7136" s="5" t="n">
        <v>142.1</v>
      </c>
      <c r="F7136" s="3" t="inlineStr">
        <is>
          <t>현도면</t>
        </is>
      </c>
      <c r="G7136" s="3" t="inlineStr">
        <is>
          <t>선동리</t>
        </is>
      </c>
      <c r="H7136" s="3" t="inlineStr">
        <is>
          <t>용도미지정</t>
        </is>
      </c>
      <c r="I7136" s="3" t="inlineStr">
        <is>
          <t>대</t>
        </is>
      </c>
      <c r="J7136" s="3" t="inlineStr">
        <is>
          <t>현도면</t>
        </is>
      </c>
    </row>
    <row r="7137">
      <c r="A7137" s="3" t="n">
        <v>2025</v>
      </c>
      <c r="B7137" s="4" t="n">
        <v>11000</v>
      </c>
      <c r="C7137" s="4" t="n">
        <v>1190</v>
      </c>
      <c r="D7137" s="4" t="n">
        <v>359.975</v>
      </c>
      <c r="E7137" s="5" t="n">
        <v>30.6</v>
      </c>
      <c r="F7137" s="3" t="inlineStr">
        <is>
          <t>남이면</t>
        </is>
      </c>
      <c r="G7137" s="3" t="inlineStr">
        <is>
          <t>수대리</t>
        </is>
      </c>
      <c r="H7137" s="3" t="inlineStr">
        <is>
          <t>보전녹지지역</t>
        </is>
      </c>
      <c r="I7137" s="3" t="inlineStr">
        <is>
          <t>전</t>
        </is>
      </c>
      <c r="J7137" s="3" t="inlineStr">
        <is>
          <t>남이면</t>
        </is>
      </c>
    </row>
    <row r="7138">
      <c r="A7138" s="3" t="n">
        <v>2025</v>
      </c>
      <c r="B7138" s="4" t="n">
        <v>8500</v>
      </c>
      <c r="C7138" s="4" t="n">
        <v>873</v>
      </c>
      <c r="D7138" s="4" t="n">
        <v>264.0825</v>
      </c>
      <c r="E7138" s="5" t="n">
        <v>32.2</v>
      </c>
      <c r="F7138" s="3" t="inlineStr">
        <is>
          <t>남이면</t>
        </is>
      </c>
      <c r="G7138" s="3" t="inlineStr">
        <is>
          <t>수대리</t>
        </is>
      </c>
      <c r="H7138" s="3" t="inlineStr">
        <is>
          <t>자연녹지지역</t>
        </is>
      </c>
      <c r="I7138" s="3" t="inlineStr">
        <is>
          <t>전</t>
        </is>
      </c>
      <c r="J7138" s="3" t="inlineStr">
        <is>
          <t>남이면</t>
        </is>
      </c>
    </row>
    <row r="7139">
      <c r="A7139" s="3" t="n">
        <v>2024</v>
      </c>
      <c r="B7139" s="4" t="n">
        <v>19000</v>
      </c>
      <c r="C7139" s="4" t="n">
        <v>1954</v>
      </c>
      <c r="D7139" s="4" t="n">
        <v>591.085</v>
      </c>
      <c r="E7139" s="5" t="n">
        <v>32.1</v>
      </c>
      <c r="F7139" s="3" t="inlineStr">
        <is>
          <t>부강면</t>
        </is>
      </c>
      <c r="G7139" s="3" t="inlineStr">
        <is>
          <t>행산리</t>
        </is>
      </c>
      <c r="H7139" s="3" t="inlineStr">
        <is>
          <t>농림지역</t>
        </is>
      </c>
      <c r="I7139" s="3" t="inlineStr">
        <is>
          <t>답</t>
        </is>
      </c>
      <c r="J7139" s="3" t="inlineStr">
        <is>
          <t>부강면</t>
        </is>
      </c>
    </row>
    <row r="7140">
      <c r="A7140" s="3" t="n">
        <v>2024</v>
      </c>
      <c r="B7140" s="4" t="n">
        <v>22000</v>
      </c>
      <c r="C7140" s="4" t="n">
        <v>1653</v>
      </c>
      <c r="D7140" s="4" t="n">
        <v>500.0325</v>
      </c>
      <c r="E7140" s="5" t="n">
        <v>44</v>
      </c>
      <c r="F7140" s="3" t="inlineStr">
        <is>
          <t>금남면</t>
        </is>
      </c>
      <c r="G7140" s="3" t="inlineStr">
        <is>
          <t>도암리</t>
        </is>
      </c>
      <c r="H7140" s="3" t="inlineStr">
        <is>
          <t>생산관리지역</t>
        </is>
      </c>
      <c r="I7140" s="3" t="inlineStr">
        <is>
          <t>임야</t>
        </is>
      </c>
      <c r="J7140" s="3" t="inlineStr">
        <is>
          <t>금남면</t>
        </is>
      </c>
    </row>
    <row r="7141">
      <c r="A7141" s="3" t="n">
        <v>2024</v>
      </c>
      <c r="B7141" s="4" t="n">
        <v>3000</v>
      </c>
      <c r="C7141" s="4" t="n">
        <v>202</v>
      </c>
      <c r="D7141" s="4" t="n">
        <v>61.105</v>
      </c>
      <c r="E7141" s="5" t="n">
        <v>49.1</v>
      </c>
      <c r="F7141" s="3" t="inlineStr">
        <is>
          <t>금남면</t>
        </is>
      </c>
      <c r="G7141" s="3" t="inlineStr">
        <is>
          <t>달전리</t>
        </is>
      </c>
      <c r="H7141" s="3" t="inlineStr">
        <is>
          <t>개발제한구역</t>
        </is>
      </c>
      <c r="I7141" s="3" t="inlineStr">
        <is>
          <t>전</t>
        </is>
      </c>
      <c r="J7141" s="3" t="inlineStr">
        <is>
          <t>금남면</t>
        </is>
      </c>
    </row>
    <row r="7142">
      <c r="A7142" s="3" t="n">
        <v>2024</v>
      </c>
      <c r="B7142" s="4" t="n">
        <v>47000</v>
      </c>
      <c r="C7142" s="4" t="n">
        <v>1626</v>
      </c>
      <c r="D7142" s="4" t="n">
        <v>491.865</v>
      </c>
      <c r="E7142" s="5" t="n">
        <v>95.59999999999999</v>
      </c>
      <c r="F7142" s="3" t="inlineStr">
        <is>
          <t>금남면</t>
        </is>
      </c>
      <c r="G7142" s="3" t="inlineStr">
        <is>
          <t>남곡리</t>
        </is>
      </c>
      <c r="H7142" s="3" t="inlineStr">
        <is>
          <t>제1종일반주거지역</t>
        </is>
      </c>
      <c r="I7142" s="3" t="inlineStr">
        <is>
          <t>전</t>
        </is>
      </c>
      <c r="J7142" s="3" t="inlineStr">
        <is>
          <t>금남면</t>
        </is>
      </c>
    </row>
    <row r="7143">
      <c r="A7143" s="3" t="n">
        <v>2024</v>
      </c>
      <c r="B7143" s="4" t="n">
        <v>35000</v>
      </c>
      <c r="C7143" s="4" t="n">
        <v>1736</v>
      </c>
      <c r="D7143" s="4" t="n">
        <v>525.14</v>
      </c>
      <c r="E7143" s="5" t="n">
        <v>66.59999999999999</v>
      </c>
      <c r="F7143" s="3" t="inlineStr">
        <is>
          <t>부강면</t>
        </is>
      </c>
      <c r="G7143" s="3" t="inlineStr">
        <is>
          <t>행산리</t>
        </is>
      </c>
      <c r="H7143" s="3" t="inlineStr">
        <is>
          <t>계획관리지역</t>
        </is>
      </c>
      <c r="I7143" s="3" t="inlineStr">
        <is>
          <t>전</t>
        </is>
      </c>
      <c r="J7143" s="3" t="inlineStr">
        <is>
          <t>부강면</t>
        </is>
      </c>
    </row>
    <row r="7144">
      <c r="A7144" s="3" t="n">
        <v>2025</v>
      </c>
      <c r="B7144" s="4" t="n">
        <v>3397</v>
      </c>
      <c r="C7144" s="4" t="n">
        <v>138</v>
      </c>
      <c r="D7144" s="4" t="n">
        <v>41.745</v>
      </c>
      <c r="E7144" s="5" t="n">
        <v>81.40000000000001</v>
      </c>
      <c r="F7144" s="3" t="inlineStr">
        <is>
          <t>전의면</t>
        </is>
      </c>
      <c r="G7144" s="3" t="inlineStr">
        <is>
          <t>신흥리</t>
        </is>
      </c>
      <c r="H7144" s="3" t="inlineStr">
        <is>
          <t>계획관리지역</t>
        </is>
      </c>
      <c r="I7144" s="3" t="inlineStr">
        <is>
          <t>답</t>
        </is>
      </c>
      <c r="J7144" s="3" t="inlineStr">
        <is>
          <t>전의면</t>
        </is>
      </c>
    </row>
    <row r="7145">
      <c r="A7145" s="3" t="n">
        <v>2025</v>
      </c>
      <c r="B7145" s="4" t="n">
        <v>443</v>
      </c>
      <c r="C7145" s="4" t="n">
        <v>18</v>
      </c>
      <c r="D7145" s="4" t="n">
        <v>5.445</v>
      </c>
      <c r="E7145" s="5" t="n">
        <v>81.40000000000001</v>
      </c>
      <c r="F7145" s="3" t="inlineStr">
        <is>
          <t>전의면</t>
        </is>
      </c>
      <c r="G7145" s="3" t="inlineStr">
        <is>
          <t>신흥리</t>
        </is>
      </c>
      <c r="H7145" s="3" t="inlineStr">
        <is>
          <t>계획관리지역</t>
        </is>
      </c>
      <c r="I7145" s="3" t="inlineStr">
        <is>
          <t>답</t>
        </is>
      </c>
      <c r="J7145" s="3" t="inlineStr">
        <is>
          <t>전의면</t>
        </is>
      </c>
    </row>
    <row r="7146">
      <c r="A7146" s="3" t="n">
        <v>2025</v>
      </c>
      <c r="B7146" s="4" t="n">
        <v>66500</v>
      </c>
      <c r="C7146" s="4" t="n">
        <v>348</v>
      </c>
      <c r="D7146" s="4" t="n">
        <v>105.27</v>
      </c>
      <c r="E7146" s="5" t="n">
        <v>631.7</v>
      </c>
      <c r="F7146" s="3" t="inlineStr">
        <is>
          <t>반곡동</t>
        </is>
      </c>
      <c r="G7146" s="3" t="inlineStr"/>
      <c r="H7146" s="3" t="inlineStr">
        <is>
          <t>제1종전용주거지역</t>
        </is>
      </c>
      <c r="I7146" s="3" t="inlineStr">
        <is>
          <t>대</t>
        </is>
      </c>
      <c r="J7146" s="3" t="inlineStr">
        <is>
          <t>반곡동</t>
        </is>
      </c>
    </row>
    <row r="7147">
      <c r="A7147" s="3" t="n">
        <v>2023</v>
      </c>
      <c r="B7147" s="4" t="n">
        <v>30000</v>
      </c>
      <c r="C7147" s="4" t="n">
        <v>368</v>
      </c>
      <c r="D7147" s="4" t="n">
        <v>111.32</v>
      </c>
      <c r="E7147" s="5" t="n">
        <v>269.5</v>
      </c>
      <c r="F7147" s="3" t="inlineStr">
        <is>
          <t>금남면</t>
        </is>
      </c>
      <c r="G7147" s="3" t="inlineStr">
        <is>
          <t>원봉리</t>
        </is>
      </c>
      <c r="H7147" s="3" t="inlineStr">
        <is>
          <t>계획관리지역</t>
        </is>
      </c>
      <c r="I7147" s="3" t="inlineStr">
        <is>
          <t>대</t>
        </is>
      </c>
      <c r="J7147" s="3" t="inlineStr">
        <is>
          <t>금남면</t>
        </is>
      </c>
    </row>
    <row r="7148">
      <c r="A7148" s="3" t="n">
        <v>2023</v>
      </c>
      <c r="B7148" s="4" t="n">
        <v>52000</v>
      </c>
      <c r="C7148" s="4" t="n">
        <v>290.7</v>
      </c>
      <c r="D7148" s="4" t="n">
        <v>87.93674999999999</v>
      </c>
      <c r="E7148" s="5" t="n">
        <v>591.3</v>
      </c>
      <c r="F7148" s="3" t="inlineStr">
        <is>
          <t>연기면</t>
        </is>
      </c>
      <c r="G7148" s="3" t="inlineStr">
        <is>
          <t>연기리</t>
        </is>
      </c>
      <c r="H7148" s="3" t="inlineStr">
        <is>
          <t>계획관리지역</t>
        </is>
      </c>
      <c r="I7148" s="3" t="inlineStr">
        <is>
          <t>전</t>
        </is>
      </c>
      <c r="J7148" s="3" t="inlineStr">
        <is>
          <t>연기면</t>
        </is>
      </c>
    </row>
    <row r="7149">
      <c r="A7149" s="3" t="n">
        <v>2023</v>
      </c>
      <c r="B7149" s="4" t="n">
        <v>4089</v>
      </c>
      <c r="C7149" s="4" t="n">
        <v>250</v>
      </c>
      <c r="D7149" s="4" t="n">
        <v>75.625</v>
      </c>
      <c r="E7149" s="5" t="n">
        <v>54.1</v>
      </c>
      <c r="F7149" s="3" t="inlineStr">
        <is>
          <t>연동면</t>
        </is>
      </c>
      <c r="G7149" s="3" t="inlineStr">
        <is>
          <t>응암리</t>
        </is>
      </c>
      <c r="H7149" s="3" t="inlineStr">
        <is>
          <t>계획관리지역</t>
        </is>
      </c>
      <c r="I7149" s="3" t="inlineStr">
        <is>
          <t>전</t>
        </is>
      </c>
      <c r="J7149" s="3" t="inlineStr">
        <is>
          <t>연동면</t>
        </is>
      </c>
    </row>
    <row r="7150">
      <c r="A7150" s="3" t="n">
        <v>2023</v>
      </c>
      <c r="B7150" s="4" t="n">
        <v>23448</v>
      </c>
      <c r="C7150" s="4" t="n">
        <v>1650</v>
      </c>
      <c r="D7150" s="4" t="n">
        <v>499.125</v>
      </c>
      <c r="E7150" s="5" t="n">
        <v>47</v>
      </c>
      <c r="F7150" s="3" t="inlineStr">
        <is>
          <t>연동면</t>
        </is>
      </c>
      <c r="G7150" s="3" t="inlineStr">
        <is>
          <t>응암리</t>
        </is>
      </c>
      <c r="H7150" s="3" t="inlineStr">
        <is>
          <t>계획관리지역</t>
        </is>
      </c>
      <c r="I7150" s="3" t="inlineStr">
        <is>
          <t>전</t>
        </is>
      </c>
      <c r="J7150" s="3" t="inlineStr">
        <is>
          <t>연동면</t>
        </is>
      </c>
    </row>
    <row r="7151">
      <c r="A7151" s="3" t="n">
        <v>2023</v>
      </c>
      <c r="B7151" s="4" t="n">
        <v>464</v>
      </c>
      <c r="C7151" s="4" t="n">
        <v>43</v>
      </c>
      <c r="D7151" s="4" t="n">
        <v>13.0075</v>
      </c>
      <c r="E7151" s="5" t="n">
        <v>35.7</v>
      </c>
      <c r="F7151" s="3" t="inlineStr">
        <is>
          <t>연동면</t>
        </is>
      </c>
      <c r="G7151" s="3" t="inlineStr">
        <is>
          <t>응암리</t>
        </is>
      </c>
      <c r="H7151" s="3" t="inlineStr">
        <is>
          <t>계획관리지역</t>
        </is>
      </c>
      <c r="I7151" s="3" t="inlineStr">
        <is>
          <t>전</t>
        </is>
      </c>
      <c r="J7151" s="3" t="inlineStr">
        <is>
          <t>연동면</t>
        </is>
      </c>
    </row>
    <row r="7152">
      <c r="A7152" s="3" t="n">
        <v>2023</v>
      </c>
      <c r="B7152" s="4" t="n">
        <v>9420</v>
      </c>
      <c r="C7152" s="4" t="n">
        <v>1799</v>
      </c>
      <c r="D7152" s="4" t="n">
        <v>544.1975</v>
      </c>
      <c r="E7152" s="5" t="n">
        <v>17.3</v>
      </c>
      <c r="F7152" s="3" t="inlineStr">
        <is>
          <t>부강면</t>
        </is>
      </c>
      <c r="G7152" s="3" t="inlineStr">
        <is>
          <t>금호리</t>
        </is>
      </c>
      <c r="H7152" s="3" t="inlineStr">
        <is>
          <t>보전관리지역</t>
        </is>
      </c>
      <c r="I7152" s="3" t="inlineStr">
        <is>
          <t>도로</t>
        </is>
      </c>
      <c r="J7152" s="3" t="inlineStr">
        <is>
          <t>부강면</t>
        </is>
      </c>
    </row>
    <row r="7153">
      <c r="A7153" s="3" t="n">
        <v>2023</v>
      </c>
      <c r="B7153" s="4" t="n">
        <v>220</v>
      </c>
      <c r="C7153" s="4" t="n">
        <v>42</v>
      </c>
      <c r="D7153" s="4" t="n">
        <v>12.705</v>
      </c>
      <c r="E7153" s="5" t="n">
        <v>17.3</v>
      </c>
      <c r="F7153" s="3" t="inlineStr">
        <is>
          <t>부강면</t>
        </is>
      </c>
      <c r="G7153" s="3" t="inlineStr">
        <is>
          <t>금호리</t>
        </is>
      </c>
      <c r="H7153" s="3" t="inlineStr">
        <is>
          <t>계획관리지역</t>
        </is>
      </c>
      <c r="I7153" s="3" t="inlineStr">
        <is>
          <t>도로</t>
        </is>
      </c>
      <c r="J7153" s="3" t="inlineStr">
        <is>
          <t>부강면</t>
        </is>
      </c>
    </row>
    <row r="7154">
      <c r="A7154" s="3" t="n">
        <v>2023</v>
      </c>
      <c r="B7154" s="4" t="n">
        <v>1432</v>
      </c>
      <c r="C7154" s="4" t="n">
        <v>47</v>
      </c>
      <c r="D7154" s="4" t="n">
        <v>14.2175</v>
      </c>
      <c r="E7154" s="5" t="n">
        <v>100.7</v>
      </c>
      <c r="F7154" s="3" t="inlineStr">
        <is>
          <t>소정면</t>
        </is>
      </c>
      <c r="G7154" s="3" t="inlineStr">
        <is>
          <t>대곡리</t>
        </is>
      </c>
      <c r="H7154" s="3" t="inlineStr">
        <is>
          <t>계획관리지역</t>
        </is>
      </c>
      <c r="I7154" s="3" t="inlineStr">
        <is>
          <t>주차장</t>
        </is>
      </c>
      <c r="J7154" s="3" t="inlineStr">
        <is>
          <t>소정면</t>
        </is>
      </c>
    </row>
    <row r="7155">
      <c r="A7155" s="3" t="n">
        <v>2023</v>
      </c>
      <c r="B7155" s="4" t="n">
        <v>9627</v>
      </c>
      <c r="C7155" s="4" t="n">
        <v>316</v>
      </c>
      <c r="D7155" s="4" t="n">
        <v>95.59</v>
      </c>
      <c r="E7155" s="5" t="n">
        <v>100.7</v>
      </c>
      <c r="F7155" s="3" t="inlineStr">
        <is>
          <t>소정면</t>
        </is>
      </c>
      <c r="G7155" s="3" t="inlineStr">
        <is>
          <t>대곡리</t>
        </is>
      </c>
      <c r="H7155" s="3" t="inlineStr">
        <is>
          <t>계획관리지역</t>
        </is>
      </c>
      <c r="I7155" s="3" t="inlineStr">
        <is>
          <t>주차장</t>
        </is>
      </c>
      <c r="J7155" s="3" t="inlineStr">
        <is>
          <t>소정면</t>
        </is>
      </c>
    </row>
    <row r="7156">
      <c r="A7156" s="3" t="n">
        <v>2023</v>
      </c>
      <c r="B7156" s="4" t="n">
        <v>29281</v>
      </c>
      <c r="C7156" s="4" t="n">
        <v>1088</v>
      </c>
      <c r="D7156" s="4" t="n">
        <v>329.12</v>
      </c>
      <c r="E7156" s="5" t="n">
        <v>89</v>
      </c>
      <c r="F7156" s="3" t="inlineStr">
        <is>
          <t>금남면</t>
        </is>
      </c>
      <c r="G7156" s="3" t="inlineStr">
        <is>
          <t>박산리</t>
        </is>
      </c>
      <c r="H7156" s="3" t="inlineStr">
        <is>
          <t>개발제한구역</t>
        </is>
      </c>
      <c r="I7156" s="3" t="inlineStr">
        <is>
          <t>답</t>
        </is>
      </c>
      <c r="J7156" s="3" t="inlineStr">
        <is>
          <t>금남면</t>
        </is>
      </c>
    </row>
    <row r="7157">
      <c r="A7157" s="3" t="n">
        <v>2023</v>
      </c>
      <c r="B7157" s="4" t="n">
        <v>3000</v>
      </c>
      <c r="C7157" s="4" t="n">
        <v>238</v>
      </c>
      <c r="D7157" s="4" t="n">
        <v>71.995</v>
      </c>
      <c r="E7157" s="5" t="n">
        <v>41.7</v>
      </c>
      <c r="F7157" s="3" t="inlineStr">
        <is>
          <t>연서면</t>
        </is>
      </c>
      <c r="G7157" s="3" t="inlineStr">
        <is>
          <t>와촌리</t>
        </is>
      </c>
      <c r="H7157" s="3" t="inlineStr">
        <is>
          <t>보전관리지역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2023</v>
      </c>
      <c r="B7158" s="4" t="n">
        <v>3000</v>
      </c>
      <c r="C7158" s="4" t="n">
        <v>992</v>
      </c>
      <c r="D7158" s="4" t="n">
        <v>300.08</v>
      </c>
      <c r="E7158" s="5" t="n">
        <v>10</v>
      </c>
      <c r="F7158" s="3" t="inlineStr">
        <is>
          <t>장군면</t>
        </is>
      </c>
      <c r="G7158" s="3" t="inlineStr">
        <is>
          <t>태산리</t>
        </is>
      </c>
      <c r="H7158" s="3" t="inlineStr">
        <is>
          <t>보전관리지역</t>
        </is>
      </c>
      <c r="I7158" s="3" t="inlineStr">
        <is>
          <t>임야</t>
        </is>
      </c>
      <c r="J7158" s="3" t="inlineStr">
        <is>
          <t>장군면</t>
        </is>
      </c>
    </row>
    <row r="7159">
      <c r="A7159" s="3" t="n">
        <v>2023</v>
      </c>
      <c r="B7159" s="4" t="n">
        <v>2000</v>
      </c>
      <c r="C7159" s="4" t="n">
        <v>1293</v>
      </c>
      <c r="D7159" s="4" t="n">
        <v>391.1325</v>
      </c>
      <c r="E7159" s="5" t="n">
        <v>5.1</v>
      </c>
      <c r="F7159" s="3" t="inlineStr">
        <is>
          <t>전동면</t>
        </is>
      </c>
      <c r="G7159" s="3" t="inlineStr">
        <is>
          <t>미곡리</t>
        </is>
      </c>
      <c r="H7159" s="3" t="inlineStr">
        <is>
          <t>생산관리지역</t>
        </is>
      </c>
      <c r="I7159" s="3" t="inlineStr">
        <is>
          <t>답</t>
        </is>
      </c>
      <c r="J7159" s="3" t="inlineStr">
        <is>
          <t>전동면</t>
        </is>
      </c>
    </row>
    <row r="7160">
      <c r="A7160" s="3" t="n">
        <v>2023</v>
      </c>
      <c r="B7160" s="4" t="n">
        <v>150</v>
      </c>
      <c r="C7160" s="4" t="n">
        <v>18</v>
      </c>
      <c r="D7160" s="4" t="n">
        <v>5.445</v>
      </c>
      <c r="E7160" s="5" t="n">
        <v>27.5</v>
      </c>
      <c r="F7160" s="3" t="inlineStr">
        <is>
          <t>조치원읍</t>
        </is>
      </c>
      <c r="G7160" s="3" t="inlineStr">
        <is>
          <t>신안리</t>
        </is>
      </c>
      <c r="H7160" s="3" t="inlineStr">
        <is>
          <t>자연녹지지역</t>
        </is>
      </c>
      <c r="I7160" s="3" t="inlineStr">
        <is>
          <t>전</t>
        </is>
      </c>
      <c r="J7160" s="3" t="inlineStr">
        <is>
          <t>조치원읍</t>
        </is>
      </c>
    </row>
    <row r="7161">
      <c r="A7161" s="3" t="n">
        <v>2023</v>
      </c>
      <c r="B7161" s="4" t="n">
        <v>2200</v>
      </c>
      <c r="C7161" s="4" t="n">
        <v>91</v>
      </c>
      <c r="D7161" s="4" t="n">
        <v>27.5275</v>
      </c>
      <c r="E7161" s="5" t="n">
        <v>79.90000000000001</v>
      </c>
      <c r="F7161" s="3" t="inlineStr">
        <is>
          <t>조치원읍</t>
        </is>
      </c>
      <c r="G7161" s="3" t="inlineStr">
        <is>
          <t>신안리</t>
        </is>
      </c>
      <c r="H7161" s="3" t="inlineStr">
        <is>
          <t>자연녹지지역</t>
        </is>
      </c>
      <c r="I7161" s="3" t="inlineStr">
        <is>
          <t>주차장</t>
        </is>
      </c>
      <c r="J7161" s="3" t="inlineStr">
        <is>
          <t>조치원읍</t>
        </is>
      </c>
    </row>
    <row r="7162">
      <c r="A7162" s="3" t="n">
        <v>2023</v>
      </c>
      <c r="B7162" s="4" t="n">
        <v>3500</v>
      </c>
      <c r="C7162" s="4" t="n">
        <v>311</v>
      </c>
      <c r="D7162" s="4" t="n">
        <v>94.0775</v>
      </c>
      <c r="E7162" s="5" t="n">
        <v>37.2</v>
      </c>
      <c r="F7162" s="3" t="inlineStr">
        <is>
          <t>조치원읍</t>
        </is>
      </c>
      <c r="G7162" s="3" t="inlineStr">
        <is>
          <t>신안리</t>
        </is>
      </c>
      <c r="H7162" s="3" t="inlineStr">
        <is>
          <t>자연녹지지역</t>
        </is>
      </c>
      <c r="I7162" s="3" t="inlineStr">
        <is>
          <t>전</t>
        </is>
      </c>
      <c r="J7162" s="3" t="inlineStr">
        <is>
          <t>조치원읍</t>
        </is>
      </c>
    </row>
    <row r="7163">
      <c r="A7163" s="3" t="n">
        <v>2023</v>
      </c>
      <c r="B7163" s="4" t="n">
        <v>59000</v>
      </c>
      <c r="C7163" s="4" t="n">
        <v>1007</v>
      </c>
      <c r="D7163" s="4" t="n">
        <v>304.6175</v>
      </c>
      <c r="E7163" s="5" t="n">
        <v>193.7</v>
      </c>
      <c r="F7163" s="3" t="inlineStr">
        <is>
          <t>금남면</t>
        </is>
      </c>
      <c r="G7163" s="3" t="inlineStr">
        <is>
          <t>원봉리</t>
        </is>
      </c>
      <c r="H7163" s="3" t="inlineStr">
        <is>
          <t>보전관리지역</t>
        </is>
      </c>
      <c r="I7163" s="3" t="inlineStr">
        <is>
          <t>임야</t>
        </is>
      </c>
      <c r="J7163" s="3" t="inlineStr">
        <is>
          <t>금남면</t>
        </is>
      </c>
    </row>
    <row r="7164">
      <c r="A7164" s="3" t="n">
        <v>2023</v>
      </c>
      <c r="B7164" s="4" t="n">
        <v>27700</v>
      </c>
      <c r="C7164" s="4" t="n">
        <v>2410</v>
      </c>
      <c r="D7164" s="4" t="n">
        <v>729.025</v>
      </c>
      <c r="E7164" s="5" t="n">
        <v>38</v>
      </c>
      <c r="F7164" s="3" t="inlineStr">
        <is>
          <t>금남면</t>
        </is>
      </c>
      <c r="G7164" s="3" t="inlineStr">
        <is>
          <t>영대리</t>
        </is>
      </c>
      <c r="H7164" s="3" t="inlineStr">
        <is>
          <t>개발제한구역</t>
        </is>
      </c>
      <c r="I7164" s="3" t="inlineStr">
        <is>
          <t>답</t>
        </is>
      </c>
      <c r="J7164" s="3" t="inlineStr">
        <is>
          <t>금남면</t>
        </is>
      </c>
    </row>
    <row r="7165">
      <c r="A7165" s="3" t="n">
        <v>2023</v>
      </c>
      <c r="B7165" s="4" t="n">
        <v>2300</v>
      </c>
      <c r="C7165" s="4" t="n">
        <v>723</v>
      </c>
      <c r="D7165" s="4" t="n">
        <v>218.7075</v>
      </c>
      <c r="E7165" s="5" t="n">
        <v>10.5</v>
      </c>
      <c r="F7165" s="3" t="inlineStr">
        <is>
          <t>금남면</t>
        </is>
      </c>
      <c r="G7165" s="3" t="inlineStr">
        <is>
          <t>황용리</t>
        </is>
      </c>
      <c r="H7165" s="3" t="inlineStr">
        <is>
          <t>개발제한구역</t>
        </is>
      </c>
      <c r="I7165" s="3" t="inlineStr">
        <is>
          <t>답</t>
        </is>
      </c>
      <c r="J7165" s="3" t="inlineStr">
        <is>
          <t>금남면</t>
        </is>
      </c>
    </row>
    <row r="7166">
      <c r="A7166" s="3" t="n">
        <v>2026</v>
      </c>
      <c r="B7166" s="4" t="n">
        <v>50000</v>
      </c>
      <c r="C7166" s="4" t="n">
        <v>3477</v>
      </c>
      <c r="D7166" s="4" t="n">
        <v>1051.7925</v>
      </c>
      <c r="E7166" s="5" t="n">
        <v>47.5</v>
      </c>
      <c r="F7166" s="3" t="inlineStr">
        <is>
          <t>남이면</t>
        </is>
      </c>
      <c r="G7166" s="3" t="inlineStr">
        <is>
          <t>외천리</t>
        </is>
      </c>
      <c r="H7166" s="3" t="inlineStr">
        <is>
          <t>계획관리지역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2026</v>
      </c>
      <c r="B7167" s="4" t="n">
        <v>30483</v>
      </c>
      <c r="C7167" s="4" t="n">
        <v>2400</v>
      </c>
      <c r="D7167" s="4" t="n">
        <v>726</v>
      </c>
      <c r="E7167" s="5" t="n">
        <v>42</v>
      </c>
      <c r="F7167" s="3" t="inlineStr">
        <is>
          <t>남이면</t>
        </is>
      </c>
      <c r="G7167" s="3" t="inlineStr">
        <is>
          <t>척산리</t>
        </is>
      </c>
      <c r="H7167" s="3" t="inlineStr">
        <is>
          <t>자연녹지지역</t>
        </is>
      </c>
      <c r="I7167" s="3" t="inlineStr">
        <is>
          <t>전</t>
        </is>
      </c>
      <c r="J7167" s="3" t="inlineStr">
        <is>
          <t>남이면</t>
        </is>
      </c>
    </row>
    <row r="7168">
      <c r="A7168" s="3" t="n">
        <v>2026</v>
      </c>
      <c r="B7168" s="4" t="n">
        <v>33417</v>
      </c>
      <c r="C7168" s="4" t="n">
        <v>2631</v>
      </c>
      <c r="D7168" s="4" t="n">
        <v>795.8774999999999</v>
      </c>
      <c r="E7168" s="5" t="n">
        <v>42</v>
      </c>
      <c r="F7168" s="3" t="inlineStr">
        <is>
          <t>남이면</t>
        </is>
      </c>
      <c r="G7168" s="3" t="inlineStr">
        <is>
          <t>척산리</t>
        </is>
      </c>
      <c r="H7168" s="3" t="inlineStr">
        <is>
          <t>자연녹지지역</t>
        </is>
      </c>
      <c r="I7168" s="3" t="inlineStr">
        <is>
          <t>전</t>
        </is>
      </c>
      <c r="J7168" s="3" t="inlineStr">
        <is>
          <t>남이면</t>
        </is>
      </c>
    </row>
    <row r="7169">
      <c r="A7169" s="3" t="n">
        <v>2026</v>
      </c>
      <c r="B7169" s="4" t="n">
        <v>2518</v>
      </c>
      <c r="C7169" s="4" t="n">
        <v>185</v>
      </c>
      <c r="D7169" s="4" t="n">
        <v>55.9625</v>
      </c>
      <c r="E7169" s="5" t="n">
        <v>45</v>
      </c>
      <c r="F7169" s="3" t="inlineStr">
        <is>
          <t>남이면</t>
        </is>
      </c>
      <c r="G7169" s="3" t="inlineStr">
        <is>
          <t>척산리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2026</v>
      </c>
      <c r="B7170" s="4" t="n">
        <v>1300</v>
      </c>
      <c r="C7170" s="4" t="n">
        <v>664</v>
      </c>
      <c r="D7170" s="4" t="n">
        <v>200.86</v>
      </c>
      <c r="E7170" s="5" t="n">
        <v>6.5</v>
      </c>
      <c r="F7170" s="3" t="inlineStr">
        <is>
          <t>남이면</t>
        </is>
      </c>
      <c r="G7170" s="3" t="inlineStr">
        <is>
          <t>척산리</t>
        </is>
      </c>
      <c r="H7170" s="3" t="inlineStr">
        <is>
          <t>자연녹지지역</t>
        </is>
      </c>
      <c r="I7170" s="3" t="inlineStr">
        <is>
          <t>전</t>
        </is>
      </c>
      <c r="J7170" s="3" t="inlineStr">
        <is>
          <t>남이면</t>
        </is>
      </c>
    </row>
    <row r="7171">
      <c r="A7171" s="3" t="n">
        <v>2026</v>
      </c>
      <c r="B7171" s="4" t="n">
        <v>11000</v>
      </c>
      <c r="C7171" s="4" t="n">
        <v>2003</v>
      </c>
      <c r="D7171" s="4" t="n">
        <v>605.9075</v>
      </c>
      <c r="E7171" s="5" t="n">
        <v>18.2</v>
      </c>
      <c r="F7171" s="3" t="inlineStr">
        <is>
          <t>남이면</t>
        </is>
      </c>
      <c r="G7171" s="3" t="inlineStr">
        <is>
          <t>부용외천리</t>
        </is>
      </c>
      <c r="H7171" s="3" t="inlineStr">
        <is>
          <t>보전관리지역</t>
        </is>
      </c>
      <c r="I7171" s="3" t="inlineStr">
        <is>
          <t>전</t>
        </is>
      </c>
      <c r="J7171" s="3" t="inlineStr">
        <is>
          <t>남이면</t>
        </is>
      </c>
    </row>
    <row r="7172">
      <c r="A7172" s="3" t="n">
        <v>2026</v>
      </c>
      <c r="B7172" s="4" t="n">
        <v>7500</v>
      </c>
      <c r="C7172" s="4" t="n">
        <v>605</v>
      </c>
      <c r="D7172" s="4" t="n">
        <v>183.0125</v>
      </c>
      <c r="E7172" s="5" t="n">
        <v>41</v>
      </c>
      <c r="F7172" s="3" t="inlineStr">
        <is>
          <t>남이면</t>
        </is>
      </c>
      <c r="G7172" s="3" t="inlineStr">
        <is>
          <t>팔봉리</t>
        </is>
      </c>
      <c r="H7172" s="3" t="inlineStr">
        <is>
          <t>보전관리지역</t>
        </is>
      </c>
      <c r="I7172" s="3" t="inlineStr">
        <is>
          <t>대</t>
        </is>
      </c>
      <c r="J7172" s="3" t="inlineStr">
        <is>
          <t>남이면</t>
        </is>
      </c>
    </row>
    <row r="7173">
      <c r="A7173" s="3" t="n">
        <v>2026</v>
      </c>
      <c r="B7173" s="4" t="n">
        <v>53453</v>
      </c>
      <c r="C7173" s="4" t="n">
        <v>3962</v>
      </c>
      <c r="D7173" s="4" t="n">
        <v>1198.505</v>
      </c>
      <c r="E7173" s="5" t="n">
        <v>44.6</v>
      </c>
      <c r="F7173" s="3" t="inlineStr">
        <is>
          <t>남이면</t>
        </is>
      </c>
      <c r="G7173" s="3" t="inlineStr">
        <is>
          <t>척산리</t>
        </is>
      </c>
      <c r="H7173" s="3" t="inlineStr">
        <is>
          <t>계획관리지역</t>
        </is>
      </c>
      <c r="I7173" s="3" t="inlineStr">
        <is>
          <t>임야</t>
        </is>
      </c>
      <c r="J7173" s="3" t="inlineStr">
        <is>
          <t>남이면</t>
        </is>
      </c>
    </row>
    <row r="7174">
      <c r="A7174" s="3" t="n">
        <v>2026</v>
      </c>
      <c r="B7174" s="4" t="n">
        <v>1889</v>
      </c>
      <c r="C7174" s="4" t="n">
        <v>140</v>
      </c>
      <c r="D7174" s="4" t="n">
        <v>42.35</v>
      </c>
      <c r="E7174" s="5" t="n">
        <v>44.6</v>
      </c>
      <c r="F7174" s="3" t="inlineStr">
        <is>
          <t>남이면</t>
        </is>
      </c>
      <c r="G7174" s="3" t="inlineStr">
        <is>
          <t>척산리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남이면</t>
        </is>
      </c>
    </row>
    <row r="7175">
      <c r="A7175" s="3" t="n">
        <v>2026</v>
      </c>
      <c r="B7175" s="4" t="n">
        <v>5397</v>
      </c>
      <c r="C7175" s="4" t="n">
        <v>400</v>
      </c>
      <c r="D7175" s="4" t="n">
        <v>121</v>
      </c>
      <c r="E7175" s="5" t="n">
        <v>44.6</v>
      </c>
      <c r="F7175" s="3" t="inlineStr">
        <is>
          <t>남이면</t>
        </is>
      </c>
      <c r="G7175" s="3" t="inlineStr">
        <is>
          <t>척산리</t>
        </is>
      </c>
      <c r="H7175" s="3" t="inlineStr">
        <is>
          <t>계획관리지역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2026</v>
      </c>
      <c r="B7176" s="4" t="n">
        <v>75190</v>
      </c>
      <c r="C7176" s="4" t="n">
        <v>1347</v>
      </c>
      <c r="D7176" s="4" t="n">
        <v>407.4675</v>
      </c>
      <c r="E7176" s="5" t="n">
        <v>184.5</v>
      </c>
      <c r="F7176" s="3" t="inlineStr">
        <is>
          <t>현도면</t>
        </is>
      </c>
      <c r="G7176" s="3" t="inlineStr">
        <is>
          <t>선동리</t>
        </is>
      </c>
      <c r="H7176" s="3" t="inlineStr">
        <is>
          <t>용도미지정</t>
        </is>
      </c>
      <c r="I7176" s="3" t="inlineStr">
        <is>
          <t>대</t>
        </is>
      </c>
      <c r="J7176" s="3" t="inlineStr">
        <is>
          <t>현도면</t>
        </is>
      </c>
    </row>
    <row r="7177">
      <c r="A7177" s="3" t="n">
        <v>2026</v>
      </c>
      <c r="B7177" s="4" t="n">
        <v>7000</v>
      </c>
      <c r="C7177" s="4" t="n">
        <v>605</v>
      </c>
      <c r="D7177" s="4" t="n">
        <v>183.0125</v>
      </c>
      <c r="E7177" s="5" t="n">
        <v>38.2</v>
      </c>
      <c r="F7177" s="3" t="inlineStr">
        <is>
          <t>남이면</t>
        </is>
      </c>
      <c r="G7177" s="3" t="inlineStr">
        <is>
          <t>팔봉리</t>
        </is>
      </c>
      <c r="H7177" s="3" t="inlineStr">
        <is>
          <t>보전관리지역</t>
        </is>
      </c>
      <c r="I7177" s="3" t="inlineStr">
        <is>
          <t>대</t>
        </is>
      </c>
      <c r="J7177" s="3" t="inlineStr">
        <is>
          <t>남이면</t>
        </is>
      </c>
    </row>
    <row r="7178">
      <c r="A7178" s="3" t="n">
        <v>2026</v>
      </c>
      <c r="B7178" s="4" t="n">
        <v>2500</v>
      </c>
      <c r="C7178" s="4" t="n">
        <v>594.3</v>
      </c>
      <c r="D7178" s="4" t="n">
        <v>179.77575</v>
      </c>
      <c r="E7178" s="5" t="n">
        <v>13.9</v>
      </c>
      <c r="F7178" s="3" t="inlineStr">
        <is>
          <t>현도면</t>
        </is>
      </c>
      <c r="G7178" s="3" t="inlineStr">
        <is>
          <t>노산리</t>
        </is>
      </c>
      <c r="H7178" s="3" t="inlineStr">
        <is>
          <t>제1종일반주거지역</t>
        </is>
      </c>
      <c r="I7178" s="3" t="inlineStr">
        <is>
          <t>임야</t>
        </is>
      </c>
      <c r="J7178" s="3" t="inlineStr">
        <is>
          <t>현도면</t>
        </is>
      </c>
    </row>
    <row r="7179">
      <c r="A7179" s="3" t="n">
        <v>2026</v>
      </c>
      <c r="B7179" s="4" t="n">
        <v>300</v>
      </c>
      <c r="C7179" s="4" t="n">
        <v>107</v>
      </c>
      <c r="D7179" s="4" t="n">
        <v>32.3675</v>
      </c>
      <c r="E7179" s="5" t="n">
        <v>9.300000000000001</v>
      </c>
      <c r="F7179" s="3" t="inlineStr">
        <is>
          <t>남이면</t>
        </is>
      </c>
      <c r="G7179" s="3" t="inlineStr">
        <is>
          <t>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2025</v>
      </c>
      <c r="B7180" s="4" t="n">
        <v>12606</v>
      </c>
      <c r="C7180" s="4" t="n">
        <v>1263</v>
      </c>
      <c r="D7180" s="4" t="n">
        <v>382.0575</v>
      </c>
      <c r="E7180" s="5" t="n">
        <v>33</v>
      </c>
      <c r="F7180" s="3" t="inlineStr">
        <is>
          <t>현도면</t>
        </is>
      </c>
      <c r="G7180" s="3" t="inlineStr">
        <is>
          <t>시목리</t>
        </is>
      </c>
      <c r="H7180" s="3" t="inlineStr">
        <is>
          <t>자연녹지지역</t>
        </is>
      </c>
      <c r="I7180" s="3" t="inlineStr">
        <is>
          <t>답</t>
        </is>
      </c>
      <c r="J7180" s="3" t="inlineStr">
        <is>
          <t>현도면</t>
        </is>
      </c>
    </row>
    <row r="7181">
      <c r="A7181" s="3" t="n">
        <v>2025</v>
      </c>
      <c r="B7181" s="4" t="n">
        <v>8500</v>
      </c>
      <c r="C7181" s="4" t="n">
        <v>15963</v>
      </c>
      <c r="D7181" s="4" t="n">
        <v>4828.8075</v>
      </c>
      <c r="E7181" s="5" t="n">
        <v>1.8</v>
      </c>
      <c r="F7181" s="3" t="inlineStr">
        <is>
          <t>남이면</t>
        </is>
      </c>
      <c r="G7181" s="3" t="inlineStr">
        <is>
          <t>가좌리</t>
        </is>
      </c>
      <c r="H7181" s="3" t="inlineStr">
        <is>
          <t>보전녹지지역</t>
        </is>
      </c>
      <c r="I7181" s="3" t="inlineStr">
        <is>
          <t>임야</t>
        </is>
      </c>
      <c r="J7181" s="3" t="inlineStr">
        <is>
          <t>남이면</t>
        </is>
      </c>
    </row>
    <row r="7182">
      <c r="A7182" s="3" t="n">
        <v>2025</v>
      </c>
      <c r="B7182" s="4" t="n">
        <v>6000</v>
      </c>
      <c r="C7182" s="4" t="n">
        <v>1983</v>
      </c>
      <c r="D7182" s="4" t="n">
        <v>599.8575</v>
      </c>
      <c r="E7182" s="5" t="n">
        <v>10</v>
      </c>
      <c r="F7182" s="3" t="inlineStr">
        <is>
          <t>남이면</t>
        </is>
      </c>
      <c r="G7182" s="3" t="inlineStr">
        <is>
          <t>부용외천리</t>
        </is>
      </c>
      <c r="H7182" s="3" t="inlineStr">
        <is>
          <t>보전관리지역</t>
        </is>
      </c>
      <c r="I7182" s="3" t="inlineStr">
        <is>
          <t>임야</t>
        </is>
      </c>
      <c r="J7182" s="3" t="inlineStr">
        <is>
          <t>남이면</t>
        </is>
      </c>
    </row>
    <row r="7183">
      <c r="A7183" s="3" t="n">
        <v>2025</v>
      </c>
      <c r="B7183" s="4" t="n">
        <v>2000</v>
      </c>
      <c r="C7183" s="4" t="n">
        <v>793</v>
      </c>
      <c r="D7183" s="4" t="n">
        <v>239.8825</v>
      </c>
      <c r="E7183" s="5" t="n">
        <v>8.300000000000001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2025</v>
      </c>
      <c r="B7184" s="4" t="n">
        <v>2100</v>
      </c>
      <c r="C7184" s="4" t="n">
        <v>982</v>
      </c>
      <c r="D7184" s="4" t="n">
        <v>297.055</v>
      </c>
      <c r="E7184" s="5" t="n">
        <v>7.1</v>
      </c>
      <c r="F7184" s="3" t="inlineStr">
        <is>
          <t>남이면</t>
        </is>
      </c>
      <c r="G7184" s="3" t="inlineStr">
        <is>
          <t>대련리</t>
        </is>
      </c>
      <c r="H7184" s="3" t="inlineStr">
        <is>
          <t>보전녹지지역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2025</v>
      </c>
      <c r="B7185" s="4" t="n">
        <v>35000</v>
      </c>
      <c r="C7185" s="4" t="n">
        <v>3071</v>
      </c>
      <c r="D7185" s="4" t="n">
        <v>928.9775</v>
      </c>
      <c r="E7185" s="5" t="n">
        <v>37.7</v>
      </c>
      <c r="F7185" s="3" t="inlineStr">
        <is>
          <t>현도면</t>
        </is>
      </c>
      <c r="G7185" s="3" t="inlineStr">
        <is>
          <t>중척리</t>
        </is>
      </c>
      <c r="H7185" s="3" t="inlineStr">
        <is>
          <t>자연녹지지역</t>
        </is>
      </c>
      <c r="I7185" s="3" t="inlineStr">
        <is>
          <t>전</t>
        </is>
      </c>
      <c r="J7185" s="3" t="inlineStr">
        <is>
          <t>현도면</t>
        </is>
      </c>
    </row>
    <row r="7186">
      <c r="A7186" s="3" t="n">
        <v>2025</v>
      </c>
      <c r="B7186" s="4" t="n">
        <v>30130</v>
      </c>
      <c r="C7186" s="4" t="n">
        <v>2846</v>
      </c>
      <c r="D7186" s="4" t="n">
        <v>860.915</v>
      </c>
      <c r="E7186" s="5" t="n">
        <v>35</v>
      </c>
      <c r="F7186" s="3" t="inlineStr">
        <is>
          <t>남이면</t>
        </is>
      </c>
      <c r="G7186" s="3" t="inlineStr">
        <is>
          <t>척산리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2025</v>
      </c>
      <c r="B7187" s="4" t="n">
        <v>3400</v>
      </c>
      <c r="C7187" s="4" t="n">
        <v>7797</v>
      </c>
      <c r="D7187" s="4" t="n">
        <v>2358.5925</v>
      </c>
      <c r="E7187" s="5" t="n">
        <v>1.4</v>
      </c>
      <c r="F7187" s="3" t="inlineStr">
        <is>
          <t>남이면</t>
        </is>
      </c>
      <c r="G7187" s="3" t="inlineStr">
        <is>
          <t>부용외천리</t>
        </is>
      </c>
      <c r="H7187" s="3" t="inlineStr">
        <is>
          <t>보전관리지역</t>
        </is>
      </c>
      <c r="I7187" s="3" t="inlineStr">
        <is>
          <t>임야</t>
        </is>
      </c>
      <c r="J7187" s="3" t="inlineStr">
        <is>
          <t>남이면</t>
        </is>
      </c>
    </row>
    <row r="7188">
      <c r="A7188" s="3" t="n">
        <v>2025</v>
      </c>
      <c r="B7188" s="4" t="n">
        <v>575</v>
      </c>
      <c r="C7188" s="4" t="n">
        <v>16</v>
      </c>
      <c r="D7188" s="4" t="n">
        <v>4.84</v>
      </c>
      <c r="E7188" s="5" t="n">
        <v>118.8</v>
      </c>
      <c r="F7188" s="3" t="inlineStr">
        <is>
          <t>남이면</t>
        </is>
      </c>
      <c r="G7188" s="3" t="inlineStr">
        <is>
          <t>양촌리</t>
        </is>
      </c>
      <c r="H7188" s="3" t="inlineStr">
        <is>
          <t>자연녹지지역</t>
        </is>
      </c>
      <c r="I7188" s="3" t="inlineStr">
        <is>
          <t>전</t>
        </is>
      </c>
      <c r="J7188" s="3" t="inlineStr">
        <is>
          <t>남이면</t>
        </is>
      </c>
    </row>
    <row r="7189">
      <c r="A7189" s="3" t="n">
        <v>2025</v>
      </c>
      <c r="B7189" s="4" t="n">
        <v>46909</v>
      </c>
      <c r="C7189" s="4" t="n">
        <v>1306</v>
      </c>
      <c r="D7189" s="4" t="n">
        <v>395.065</v>
      </c>
      <c r="E7189" s="5" t="n">
        <v>118.7</v>
      </c>
      <c r="F7189" s="3" t="inlineStr">
        <is>
          <t>남이면</t>
        </is>
      </c>
      <c r="G7189" s="3" t="inlineStr">
        <is>
          <t>양촌리</t>
        </is>
      </c>
      <c r="H7189" s="3" t="inlineStr">
        <is>
          <t>자연녹지지역</t>
        </is>
      </c>
      <c r="I7189" s="3" t="inlineStr">
        <is>
          <t>전</t>
        </is>
      </c>
      <c r="J7189" s="3" t="inlineStr">
        <is>
          <t>남이면</t>
        </is>
      </c>
    </row>
    <row r="7190">
      <c r="A7190" s="3" t="n">
        <v>2025</v>
      </c>
      <c r="B7190" s="4" t="n">
        <v>42563</v>
      </c>
      <c r="C7190" s="4" t="n">
        <v>1185</v>
      </c>
      <c r="D7190" s="4" t="n">
        <v>358.4625</v>
      </c>
      <c r="E7190" s="5" t="n">
        <v>118.7</v>
      </c>
      <c r="F7190" s="3" t="inlineStr">
        <is>
          <t>남이면</t>
        </is>
      </c>
      <c r="G7190" s="3" t="inlineStr">
        <is>
          <t>양촌리</t>
        </is>
      </c>
      <c r="H7190" s="3" t="inlineStr">
        <is>
          <t>자연녹지지역</t>
        </is>
      </c>
      <c r="I7190" s="3" t="inlineStr">
        <is>
          <t>전</t>
        </is>
      </c>
      <c r="J7190" s="3" t="inlineStr">
        <is>
          <t>남이면</t>
        </is>
      </c>
    </row>
    <row r="7191">
      <c r="A7191" s="3" t="n">
        <v>2025</v>
      </c>
      <c r="B7191" s="4" t="n">
        <v>32631</v>
      </c>
      <c r="C7191" s="4" t="n">
        <v>846</v>
      </c>
      <c r="D7191" s="4" t="n">
        <v>255.915</v>
      </c>
      <c r="E7191" s="5" t="n">
        <v>127.5</v>
      </c>
      <c r="F7191" s="3" t="inlineStr">
        <is>
          <t>남이면</t>
        </is>
      </c>
      <c r="G7191" s="3" t="inlineStr">
        <is>
          <t>양촌리</t>
        </is>
      </c>
      <c r="H7191" s="3" t="inlineStr">
        <is>
          <t>자연녹지지역</t>
        </is>
      </c>
      <c r="I7191" s="3" t="inlineStr">
        <is>
          <t>전</t>
        </is>
      </c>
      <c r="J7191" s="3" t="inlineStr">
        <is>
          <t>남이면</t>
        </is>
      </c>
    </row>
    <row r="7192">
      <c r="A7192" s="3" t="n">
        <v>2025</v>
      </c>
      <c r="B7192" s="4" t="n">
        <v>15660</v>
      </c>
      <c r="C7192" s="4" t="n">
        <v>436</v>
      </c>
      <c r="D7192" s="4" t="n">
        <v>131.89</v>
      </c>
      <c r="E7192" s="5" t="n">
        <v>118.7</v>
      </c>
      <c r="F7192" s="3" t="inlineStr">
        <is>
          <t>남이면</t>
        </is>
      </c>
      <c r="G7192" s="3" t="inlineStr">
        <is>
          <t>양촌리</t>
        </is>
      </c>
      <c r="H7192" s="3" t="inlineStr">
        <is>
          <t>자연녹지지역</t>
        </is>
      </c>
      <c r="I7192" s="3" t="inlineStr">
        <is>
          <t>답</t>
        </is>
      </c>
      <c r="J7192" s="3" t="inlineStr">
        <is>
          <t>남이면</t>
        </is>
      </c>
    </row>
    <row r="7193">
      <c r="A7193" s="3" t="n">
        <v>2025</v>
      </c>
      <c r="B7193" s="4" t="n">
        <v>93845</v>
      </c>
      <c r="C7193" s="4" t="n">
        <v>1183</v>
      </c>
      <c r="D7193" s="4" t="n">
        <v>357.8575</v>
      </c>
      <c r="E7193" s="5" t="n">
        <v>262.2</v>
      </c>
      <c r="F7193" s="3" t="inlineStr">
        <is>
          <t>남이면</t>
        </is>
      </c>
      <c r="G7193" s="3" t="inlineStr">
        <is>
          <t>양촌리</t>
        </is>
      </c>
      <c r="H7193" s="3" t="inlineStr">
        <is>
          <t>자연녹지지역</t>
        </is>
      </c>
      <c r="I7193" s="3" t="inlineStr">
        <is>
          <t>답</t>
        </is>
      </c>
      <c r="J7193" s="3" t="inlineStr">
        <is>
          <t>남이면</t>
        </is>
      </c>
    </row>
    <row r="7194">
      <c r="A7194" s="3" t="n">
        <v>2025</v>
      </c>
      <c r="B7194" s="4" t="n">
        <v>101514</v>
      </c>
      <c r="C7194" s="4" t="n">
        <v>1663</v>
      </c>
      <c r="D7194" s="4" t="n">
        <v>503.0575</v>
      </c>
      <c r="E7194" s="5" t="n">
        <v>201.8</v>
      </c>
      <c r="F7194" s="3" t="inlineStr">
        <is>
          <t>남이면</t>
        </is>
      </c>
      <c r="G7194" s="3" t="inlineStr">
        <is>
          <t>양촌리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남이면</t>
        </is>
      </c>
    </row>
    <row r="7195">
      <c r="A7195" s="3" t="n">
        <v>2025</v>
      </c>
      <c r="B7195" s="4" t="n">
        <v>26303</v>
      </c>
      <c r="C7195" s="4" t="n">
        <v>255</v>
      </c>
      <c r="D7195" s="4" t="n">
        <v>77.1375</v>
      </c>
      <c r="E7195" s="5" t="n">
        <v>341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전</t>
        </is>
      </c>
      <c r="J7195" s="3" t="inlineStr">
        <is>
          <t>남이면</t>
        </is>
      </c>
    </row>
    <row r="7196">
      <c r="A7196" s="3" t="n">
        <v>2025</v>
      </c>
      <c r="B7196" s="4" t="n">
        <v>2350</v>
      </c>
      <c r="C7196" s="4" t="n">
        <v>640</v>
      </c>
      <c r="D7196" s="4" t="n">
        <v>193.6</v>
      </c>
      <c r="E7196" s="5" t="n">
        <v>12.1</v>
      </c>
      <c r="F7196" s="3" t="inlineStr">
        <is>
          <t>현도면</t>
        </is>
      </c>
      <c r="G7196" s="3" t="inlineStr">
        <is>
          <t>하석리</t>
        </is>
      </c>
      <c r="H7196" s="3" t="inlineStr">
        <is>
          <t>자연녹지지역</t>
        </is>
      </c>
      <c r="I7196" s="3" t="inlineStr">
        <is>
          <t>임야</t>
        </is>
      </c>
      <c r="J7196" s="3" t="inlineStr">
        <is>
          <t>현도면</t>
        </is>
      </c>
    </row>
    <row r="7197">
      <c r="A7197" s="3" t="n">
        <v>2025</v>
      </c>
      <c r="B7197" s="4" t="n">
        <v>41000</v>
      </c>
      <c r="C7197" s="4" t="n">
        <v>1023</v>
      </c>
      <c r="D7197" s="4" t="n">
        <v>309.4575</v>
      </c>
      <c r="E7197" s="5" t="n">
        <v>132.5</v>
      </c>
      <c r="F7197" s="3" t="inlineStr">
        <is>
          <t>남이면</t>
        </is>
      </c>
      <c r="G7197" s="3" t="inlineStr">
        <is>
          <t>양촌리</t>
        </is>
      </c>
      <c r="H7197" s="3" t="inlineStr">
        <is>
          <t>자연녹지지역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6000</v>
      </c>
      <c r="C7198" s="4" t="n">
        <v>638</v>
      </c>
      <c r="D7198" s="4" t="n">
        <v>192.995</v>
      </c>
      <c r="E7198" s="5" t="n">
        <v>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대</t>
        </is>
      </c>
      <c r="J7198" s="3" t="inlineStr">
        <is>
          <t>남이면</t>
        </is>
      </c>
    </row>
    <row r="7199">
      <c r="A7199" s="3" t="n">
        <v>2025</v>
      </c>
      <c r="B7199" s="4" t="n">
        <v>7000</v>
      </c>
      <c r="C7199" s="4" t="n">
        <v>119</v>
      </c>
      <c r="D7199" s="4" t="n">
        <v>35.9975</v>
      </c>
      <c r="E7199" s="5" t="n">
        <v>194.5</v>
      </c>
      <c r="F7199" s="3" t="inlineStr">
        <is>
          <t>남이면</t>
        </is>
      </c>
      <c r="G7199" s="3" t="inlineStr">
        <is>
          <t>구미리</t>
        </is>
      </c>
      <c r="H7199" s="3" t="inlineStr">
        <is>
          <t>계획관리지역</t>
        </is>
      </c>
      <c r="I7199" s="3" t="inlineStr">
        <is>
          <t>대</t>
        </is>
      </c>
      <c r="J7199" s="3" t="inlineStr">
        <is>
          <t>남이면</t>
        </is>
      </c>
    </row>
    <row r="7200">
      <c r="A7200" s="3" t="n">
        <v>2025</v>
      </c>
      <c r="B7200" s="4" t="n">
        <v>46500</v>
      </c>
      <c r="C7200" s="4" t="n">
        <v>791</v>
      </c>
      <c r="D7200" s="4" t="n">
        <v>239.2775</v>
      </c>
      <c r="E7200" s="5" t="n">
        <v>194.3</v>
      </c>
      <c r="F7200" s="3" t="inlineStr">
        <is>
          <t>남이면</t>
        </is>
      </c>
      <c r="G7200" s="3" t="inlineStr">
        <is>
          <t>구미리</t>
        </is>
      </c>
      <c r="H7200" s="3" t="inlineStr">
        <is>
          <t>계획관리지역</t>
        </is>
      </c>
      <c r="I7200" s="3" t="inlineStr">
        <is>
          <t>대</t>
        </is>
      </c>
      <c r="J7200" s="3" t="inlineStr">
        <is>
          <t>남이면</t>
        </is>
      </c>
    </row>
    <row r="7201">
      <c r="A7201" s="3" t="n">
        <v>2025</v>
      </c>
      <c r="B7201" s="4" t="n">
        <v>6800</v>
      </c>
      <c r="C7201" s="4" t="n">
        <v>253</v>
      </c>
      <c r="D7201" s="4" t="n">
        <v>76.5325</v>
      </c>
      <c r="E7201" s="5" t="n">
        <v>88.90000000000001</v>
      </c>
      <c r="F7201" s="3" t="inlineStr">
        <is>
          <t>남이면</t>
        </is>
      </c>
      <c r="G7201" s="3" t="inlineStr">
        <is>
          <t>구미리</t>
        </is>
      </c>
      <c r="H7201" s="3" t="inlineStr">
        <is>
          <t>계획관리지역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2025</v>
      </c>
      <c r="B7202" s="4" t="n">
        <v>323350</v>
      </c>
      <c r="C7202" s="4" t="n">
        <v>11896</v>
      </c>
      <c r="D7202" s="4" t="n">
        <v>3598.54</v>
      </c>
      <c r="E7202" s="5" t="n">
        <v>89.90000000000001</v>
      </c>
      <c r="F7202" s="3" t="inlineStr">
        <is>
          <t>남이면</t>
        </is>
      </c>
      <c r="G7202" s="3" t="inlineStr">
        <is>
          <t>구미리</t>
        </is>
      </c>
      <c r="H7202" s="3" t="inlineStr">
        <is>
          <t>계획관리지역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2025</v>
      </c>
      <c r="B7203" s="4" t="n">
        <v>14300</v>
      </c>
      <c r="C7203" s="4" t="n">
        <v>2149</v>
      </c>
      <c r="D7203" s="4" t="n">
        <v>650.0725</v>
      </c>
      <c r="E7203" s="5" t="n">
        <v>22</v>
      </c>
      <c r="F7203" s="3" t="inlineStr">
        <is>
          <t>남이면</t>
        </is>
      </c>
      <c r="G7203" s="3" t="inlineStr">
        <is>
          <t>산막리</t>
        </is>
      </c>
      <c r="H7203" s="3" t="inlineStr">
        <is>
          <t>생산관리지역</t>
        </is>
      </c>
      <c r="I7203" s="3" t="inlineStr">
        <is>
          <t>답</t>
        </is>
      </c>
      <c r="J7203" s="3" t="inlineStr">
        <is>
          <t>남이면</t>
        </is>
      </c>
    </row>
    <row r="7204">
      <c r="A7204" s="3" t="n">
        <v>2025</v>
      </c>
      <c r="B7204" s="4" t="n">
        <v>16000</v>
      </c>
      <c r="C7204" s="4" t="n">
        <v>2668</v>
      </c>
      <c r="D7204" s="4" t="n">
        <v>807.0699999999999</v>
      </c>
      <c r="E7204" s="5" t="n">
        <v>19.8</v>
      </c>
      <c r="F7204" s="3" t="inlineStr">
        <is>
          <t>남이면</t>
        </is>
      </c>
      <c r="G7204" s="3" t="inlineStr">
        <is>
          <t>산막리</t>
        </is>
      </c>
      <c r="H7204" s="3" t="inlineStr">
        <is>
          <t>생산관리지역</t>
        </is>
      </c>
      <c r="I7204" s="3" t="inlineStr">
        <is>
          <t>답</t>
        </is>
      </c>
      <c r="J7204" s="3" t="inlineStr">
        <is>
          <t>남이면</t>
        </is>
      </c>
    </row>
    <row r="7205">
      <c r="A7205" s="3" t="n">
        <v>2025</v>
      </c>
      <c r="B7205" s="4" t="n">
        <v>10000</v>
      </c>
      <c r="C7205" s="4" t="n">
        <v>1689</v>
      </c>
      <c r="D7205" s="4" t="n">
        <v>510.9225</v>
      </c>
      <c r="E7205" s="5" t="n">
        <v>19.6</v>
      </c>
      <c r="F7205" s="3" t="inlineStr">
        <is>
          <t>남이면</t>
        </is>
      </c>
      <c r="G7205" s="3" t="inlineStr">
        <is>
          <t>산막리</t>
        </is>
      </c>
      <c r="H7205" s="3" t="inlineStr">
        <is>
          <t>생산관리지역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2025</v>
      </c>
      <c r="B7206" s="4" t="n">
        <v>54000</v>
      </c>
      <c r="C7206" s="4" t="n">
        <v>4608</v>
      </c>
      <c r="D7206" s="4" t="n">
        <v>1393.92</v>
      </c>
      <c r="E7206" s="5" t="n">
        <v>38.7</v>
      </c>
      <c r="F7206" s="3" t="inlineStr">
        <is>
          <t>남이면</t>
        </is>
      </c>
      <c r="G7206" s="3" t="inlineStr">
        <is>
          <t>외천리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남이면</t>
        </is>
      </c>
    </row>
    <row r="7207">
      <c r="A7207" s="3" t="n">
        <v>2025</v>
      </c>
      <c r="B7207" s="4" t="n">
        <v>4500</v>
      </c>
      <c r="C7207" s="4" t="n">
        <v>744</v>
      </c>
      <c r="D7207" s="4" t="n">
        <v>225.06</v>
      </c>
      <c r="E7207" s="5" t="n">
        <v>20</v>
      </c>
      <c r="F7207" s="3" t="inlineStr">
        <is>
          <t>현도면</t>
        </is>
      </c>
      <c r="G7207" s="3" t="inlineStr">
        <is>
          <t>노산리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현도면</t>
        </is>
      </c>
    </row>
    <row r="7208">
      <c r="A7208" s="3" t="n">
        <v>2025</v>
      </c>
      <c r="B7208" s="4" t="n">
        <v>32000</v>
      </c>
      <c r="C7208" s="4" t="n">
        <v>2000</v>
      </c>
      <c r="D7208" s="4" t="n">
        <v>605</v>
      </c>
      <c r="E7208" s="5" t="n">
        <v>52.9</v>
      </c>
      <c r="F7208" s="3" t="inlineStr">
        <is>
          <t>남이면</t>
        </is>
      </c>
      <c r="G7208" s="3" t="inlineStr">
        <is>
          <t>석판리</t>
        </is>
      </c>
      <c r="H7208" s="3" t="inlineStr">
        <is>
          <t>자연녹지지역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15028</v>
      </c>
      <c r="C7209" s="4" t="n">
        <v>384</v>
      </c>
      <c r="D7209" s="4" t="n">
        <v>116.16</v>
      </c>
      <c r="E7209" s="5" t="n">
        <v>129.4</v>
      </c>
      <c r="F7209" s="3" t="inlineStr">
        <is>
          <t>남이면</t>
        </is>
      </c>
      <c r="G7209" s="3" t="inlineStr">
        <is>
          <t>외천리</t>
        </is>
      </c>
      <c r="H7209" s="3" t="inlineStr">
        <is>
          <t>계획관리지역</t>
        </is>
      </c>
      <c r="I7209" s="3" t="inlineStr">
        <is>
          <t>대</t>
        </is>
      </c>
      <c r="J7209" s="3" t="inlineStr">
        <is>
          <t>남이면</t>
        </is>
      </c>
    </row>
    <row r="7210">
      <c r="A7210" s="3" t="n">
        <v>2025</v>
      </c>
      <c r="B7210" s="4" t="n">
        <v>4425</v>
      </c>
      <c r="C7210" s="4" t="n">
        <v>113</v>
      </c>
      <c r="D7210" s="4" t="n">
        <v>34.1825</v>
      </c>
      <c r="E7210" s="5" t="n">
        <v>129.5</v>
      </c>
      <c r="F7210" s="3" t="inlineStr">
        <is>
          <t>남이면</t>
        </is>
      </c>
      <c r="G7210" s="3" t="inlineStr">
        <is>
          <t>외천리</t>
        </is>
      </c>
      <c r="H7210" s="3" t="inlineStr">
        <is>
          <t>계획관리지역</t>
        </is>
      </c>
      <c r="I7210" s="3" t="inlineStr">
        <is>
          <t>대</t>
        </is>
      </c>
      <c r="J7210" s="3" t="inlineStr">
        <is>
          <t>남이면</t>
        </is>
      </c>
    </row>
    <row r="7211">
      <c r="A7211" s="3" t="n">
        <v>2025</v>
      </c>
      <c r="B7211" s="4" t="n">
        <v>5548</v>
      </c>
      <c r="C7211" s="4" t="n">
        <v>2940</v>
      </c>
      <c r="D7211" s="4" t="n">
        <v>889.35</v>
      </c>
      <c r="E7211" s="5" t="n">
        <v>6.2</v>
      </c>
      <c r="F7211" s="3" t="inlineStr">
        <is>
          <t>남이면</t>
        </is>
      </c>
      <c r="G7211" s="3" t="inlineStr">
        <is>
          <t>외천리</t>
        </is>
      </c>
      <c r="H7211" s="3" t="inlineStr">
        <is>
          <t>보전관리지역</t>
        </is>
      </c>
      <c r="I7211" s="3" t="inlineStr">
        <is>
          <t>임야</t>
        </is>
      </c>
      <c r="J7211" s="3" t="inlineStr">
        <is>
          <t>남이면</t>
        </is>
      </c>
    </row>
    <row r="7212">
      <c r="A7212" s="3" t="n">
        <v>2025</v>
      </c>
      <c r="B7212" s="4" t="n">
        <v>38200</v>
      </c>
      <c r="C7212" s="4" t="n">
        <v>3157</v>
      </c>
      <c r="D7212" s="4" t="n">
        <v>954.9924999999999</v>
      </c>
      <c r="E7212" s="5" t="n">
        <v>40</v>
      </c>
      <c r="F7212" s="3" t="inlineStr">
        <is>
          <t>남이면</t>
        </is>
      </c>
      <c r="G7212" s="3" t="inlineStr">
        <is>
          <t>구암리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2025</v>
      </c>
      <c r="B7213" s="4" t="n">
        <v>3700</v>
      </c>
      <c r="C7213" s="4" t="n">
        <v>253</v>
      </c>
      <c r="D7213" s="4" t="n">
        <v>76.5325</v>
      </c>
      <c r="E7213" s="5" t="n">
        <v>48.3</v>
      </c>
      <c r="F7213" s="3" t="inlineStr">
        <is>
          <t>현도면</t>
        </is>
      </c>
      <c r="G7213" s="3" t="inlineStr">
        <is>
          <t>죽전리</t>
        </is>
      </c>
      <c r="H7213" s="3" t="inlineStr">
        <is>
          <t>농림지역</t>
        </is>
      </c>
      <c r="I7213" s="3" t="inlineStr">
        <is>
          <t>답</t>
        </is>
      </c>
      <c r="J7213" s="3" t="inlineStr">
        <is>
          <t>현도면</t>
        </is>
      </c>
    </row>
    <row r="7214">
      <c r="A7214" s="3" t="n">
        <v>2025</v>
      </c>
      <c r="B7214" s="4" t="n">
        <v>54000</v>
      </c>
      <c r="C7214" s="4" t="n">
        <v>2797</v>
      </c>
      <c r="D7214" s="4" t="n">
        <v>846.0925</v>
      </c>
      <c r="E7214" s="5" t="n">
        <v>63.8</v>
      </c>
      <c r="F7214" s="3" t="inlineStr">
        <is>
          <t>남이면</t>
        </is>
      </c>
      <c r="G7214" s="3" t="inlineStr">
        <is>
          <t>대련리</t>
        </is>
      </c>
      <c r="H7214" s="3" t="inlineStr">
        <is>
          <t>자연녹지지역</t>
        </is>
      </c>
      <c r="I7214" s="3" t="inlineStr">
        <is>
          <t>답</t>
        </is>
      </c>
      <c r="J7214" s="3" t="inlineStr">
        <is>
          <t>남이면</t>
        </is>
      </c>
    </row>
    <row r="7215">
      <c r="A7215" s="3" t="n">
        <v>2025</v>
      </c>
      <c r="B7215" s="4" t="n">
        <v>57200</v>
      </c>
      <c r="C7215" s="4" t="n">
        <v>2155</v>
      </c>
      <c r="D7215" s="4" t="n">
        <v>651.8874999999999</v>
      </c>
      <c r="E7215" s="5" t="n">
        <v>87.7</v>
      </c>
      <c r="F7215" s="3" t="inlineStr">
        <is>
          <t>남이면</t>
        </is>
      </c>
      <c r="G7215" s="3" t="inlineStr">
        <is>
          <t>대련리</t>
        </is>
      </c>
      <c r="H7215" s="3" t="inlineStr">
        <is>
          <t>자연녹지지역</t>
        </is>
      </c>
      <c r="I7215" s="3" t="inlineStr">
        <is>
          <t>전</t>
        </is>
      </c>
      <c r="J7215" s="3" t="inlineStr">
        <is>
          <t>남이면</t>
        </is>
      </c>
    </row>
    <row r="7216">
      <c r="A7216" s="3" t="n">
        <v>2025</v>
      </c>
      <c r="B7216" s="4" t="n">
        <v>13800</v>
      </c>
      <c r="C7216" s="4" t="n">
        <v>1322</v>
      </c>
      <c r="D7216" s="4" t="n">
        <v>399.905</v>
      </c>
      <c r="E7216" s="5" t="n">
        <v>34.5</v>
      </c>
      <c r="F7216" s="3" t="inlineStr">
        <is>
          <t>현도면</t>
        </is>
      </c>
      <c r="G7216" s="3" t="inlineStr">
        <is>
          <t>죽전리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현도면</t>
        </is>
      </c>
    </row>
    <row r="7217">
      <c r="A7217" s="3" t="n">
        <v>2025</v>
      </c>
      <c r="B7217" s="4" t="n">
        <v>10800</v>
      </c>
      <c r="C7217" s="4" t="n">
        <v>1348</v>
      </c>
      <c r="D7217" s="4" t="n">
        <v>407.77</v>
      </c>
      <c r="E7217" s="5" t="n">
        <v>26.5</v>
      </c>
      <c r="F7217" s="3" t="inlineStr">
        <is>
          <t>현도면</t>
        </is>
      </c>
      <c r="G7217" s="3" t="inlineStr">
        <is>
          <t>중척리</t>
        </is>
      </c>
      <c r="H7217" s="3" t="inlineStr">
        <is>
          <t>자연녹지지역</t>
        </is>
      </c>
      <c r="I7217" s="3" t="inlineStr">
        <is>
          <t>전</t>
        </is>
      </c>
      <c r="J7217" s="3" t="inlineStr">
        <is>
          <t>현도면</t>
        </is>
      </c>
    </row>
    <row r="7218">
      <c r="A7218" s="3" t="n">
        <v>2025</v>
      </c>
      <c r="B7218" s="4" t="n">
        <v>16700</v>
      </c>
      <c r="C7218" s="4" t="n">
        <v>2067</v>
      </c>
      <c r="D7218" s="4" t="n">
        <v>625.2674999999999</v>
      </c>
      <c r="E7218" s="5" t="n">
        <v>26.7</v>
      </c>
      <c r="F7218" s="3" t="inlineStr">
        <is>
          <t>현도면</t>
        </is>
      </c>
      <c r="G7218" s="3" t="inlineStr">
        <is>
          <t>중척리</t>
        </is>
      </c>
      <c r="H7218" s="3" t="inlineStr">
        <is>
          <t>자연녹지지역</t>
        </is>
      </c>
      <c r="I7218" s="3" t="inlineStr">
        <is>
          <t>전</t>
        </is>
      </c>
      <c r="J7218" s="3" t="inlineStr">
        <is>
          <t>현도면</t>
        </is>
      </c>
    </row>
    <row r="7219">
      <c r="A7219" s="3" t="n">
        <v>2025</v>
      </c>
      <c r="B7219" s="4" t="n">
        <v>27500</v>
      </c>
      <c r="C7219" s="4" t="n">
        <v>2229</v>
      </c>
      <c r="D7219" s="4" t="n">
        <v>674.2725</v>
      </c>
      <c r="E7219" s="5" t="n">
        <v>40.8</v>
      </c>
      <c r="F7219" s="3" t="inlineStr">
        <is>
          <t>현도면</t>
        </is>
      </c>
      <c r="G7219" s="3" t="inlineStr">
        <is>
          <t>중척리</t>
        </is>
      </c>
      <c r="H7219" s="3" t="inlineStr">
        <is>
          <t>자연녹지지역</t>
        </is>
      </c>
      <c r="I7219" s="3" t="inlineStr">
        <is>
          <t>답</t>
        </is>
      </c>
      <c r="J7219" s="3" t="inlineStr">
        <is>
          <t>현도면</t>
        </is>
      </c>
    </row>
    <row r="7220">
      <c r="A7220" s="3" t="n">
        <v>2025</v>
      </c>
      <c r="B7220" s="4" t="n">
        <v>62000</v>
      </c>
      <c r="C7220" s="4" t="n">
        <v>2813</v>
      </c>
      <c r="D7220" s="4" t="n">
        <v>850.9325</v>
      </c>
      <c r="E7220" s="5" t="n">
        <v>72.90000000000001</v>
      </c>
      <c r="F7220" s="3" t="inlineStr">
        <is>
          <t>남이면</t>
        </is>
      </c>
      <c r="G7220" s="3" t="inlineStr">
        <is>
          <t>상발리</t>
        </is>
      </c>
      <c r="H7220" s="3" t="inlineStr">
        <is>
          <t>자연녹지지역</t>
        </is>
      </c>
      <c r="I7220" s="3" t="inlineStr">
        <is>
          <t>답</t>
        </is>
      </c>
      <c r="J7220" s="3" t="inlineStr">
        <is>
          <t>남이면</t>
        </is>
      </c>
    </row>
    <row r="7221">
      <c r="A7221" s="3" t="n">
        <v>2025</v>
      </c>
      <c r="B7221" s="4" t="n">
        <v>29200</v>
      </c>
      <c r="C7221" s="4" t="n">
        <v>1216</v>
      </c>
      <c r="D7221" s="4" t="n">
        <v>367.84</v>
      </c>
      <c r="E7221" s="5" t="n">
        <v>79.40000000000001</v>
      </c>
      <c r="F7221" s="3" t="inlineStr">
        <is>
          <t>남이면</t>
        </is>
      </c>
      <c r="G7221" s="3" t="inlineStr">
        <is>
          <t>외천리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남이면</t>
        </is>
      </c>
    </row>
    <row r="7222">
      <c r="A7222" s="3" t="n">
        <v>2025</v>
      </c>
      <c r="B7222" s="4" t="n">
        <v>9111</v>
      </c>
      <c r="C7222" s="4" t="n">
        <v>1029.3</v>
      </c>
      <c r="D7222" s="4" t="n">
        <v>311.36325</v>
      </c>
      <c r="E7222" s="5" t="n">
        <v>29.3</v>
      </c>
      <c r="F7222" s="3" t="inlineStr">
        <is>
          <t>남이면</t>
        </is>
      </c>
      <c r="G7222" s="3" t="inlineStr">
        <is>
          <t>갈원리</t>
        </is>
      </c>
      <c r="H7222" s="3" t="inlineStr">
        <is>
          <t>농림지역</t>
        </is>
      </c>
      <c r="I7222" s="3" t="inlineStr">
        <is>
          <t>답</t>
        </is>
      </c>
      <c r="J7222" s="3" t="inlineStr">
        <is>
          <t>남이면</t>
        </is>
      </c>
    </row>
    <row r="7223">
      <c r="A7223" s="3" t="n">
        <v>2025</v>
      </c>
      <c r="B7223" s="4" t="n">
        <v>95109</v>
      </c>
      <c r="C7223" s="4" t="n">
        <v>2139</v>
      </c>
      <c r="D7223" s="4" t="n">
        <v>647.0475</v>
      </c>
      <c r="E7223" s="5" t="n">
        <v>147</v>
      </c>
      <c r="F7223" s="3" t="inlineStr">
        <is>
          <t>남이면</t>
        </is>
      </c>
      <c r="G7223" s="3" t="inlineStr">
        <is>
          <t>가마리</t>
        </is>
      </c>
      <c r="H7223" s="3" t="inlineStr">
        <is>
          <t>자연녹지지역</t>
        </is>
      </c>
      <c r="I7223" s="3" t="inlineStr">
        <is>
          <t>답</t>
        </is>
      </c>
      <c r="J7223" s="3" t="inlineStr">
        <is>
          <t>남이면</t>
        </is>
      </c>
    </row>
    <row r="7224">
      <c r="A7224" s="3" t="n">
        <v>2025</v>
      </c>
      <c r="B7224" s="4" t="n">
        <v>11220</v>
      </c>
      <c r="C7224" s="4" t="n">
        <v>1427</v>
      </c>
      <c r="D7224" s="4" t="n">
        <v>431.6675</v>
      </c>
      <c r="E7224" s="5" t="n">
        <v>26</v>
      </c>
      <c r="F7224" s="3" t="inlineStr">
        <is>
          <t>남이면</t>
        </is>
      </c>
      <c r="G7224" s="3" t="inlineStr">
        <is>
          <t>구미리</t>
        </is>
      </c>
      <c r="H7224" s="3" t="inlineStr">
        <is>
          <t>계획관리지역</t>
        </is>
      </c>
      <c r="I7224" s="3" t="inlineStr">
        <is>
          <t>임야</t>
        </is>
      </c>
      <c r="J7224" s="3" t="inlineStr">
        <is>
          <t>남이면</t>
        </is>
      </c>
    </row>
    <row r="7225">
      <c r="A7225" s="3" t="n">
        <v>2025</v>
      </c>
      <c r="B7225" s="4" t="n">
        <v>3340</v>
      </c>
      <c r="C7225" s="4" t="n">
        <v>425</v>
      </c>
      <c r="D7225" s="4" t="n">
        <v>128.5625</v>
      </c>
      <c r="E7225" s="5" t="n">
        <v>26</v>
      </c>
      <c r="F7225" s="3" t="inlineStr">
        <is>
          <t>남이면</t>
        </is>
      </c>
      <c r="G7225" s="3" t="inlineStr">
        <is>
          <t>구미리</t>
        </is>
      </c>
      <c r="H7225" s="3" t="inlineStr">
        <is>
          <t>계획관리지역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16227</v>
      </c>
      <c r="C7226" s="4" t="n">
        <v>907</v>
      </c>
      <c r="D7226" s="4" t="n">
        <v>274.3675</v>
      </c>
      <c r="E7226" s="5" t="n">
        <v>59.1</v>
      </c>
      <c r="F7226" s="3" t="inlineStr">
        <is>
          <t>현도면</t>
        </is>
      </c>
      <c r="G7226" s="3" t="inlineStr">
        <is>
          <t>죽암리</t>
        </is>
      </c>
      <c r="H7226" s="3" t="inlineStr">
        <is>
          <t>계획관리지역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49216</v>
      </c>
      <c r="C7227" s="4" t="n">
        <v>1405</v>
      </c>
      <c r="D7227" s="4" t="n">
        <v>425.0125</v>
      </c>
      <c r="E7227" s="5" t="n">
        <v>115.8</v>
      </c>
      <c r="F7227" s="3" t="inlineStr">
        <is>
          <t>현도면</t>
        </is>
      </c>
      <c r="G7227" s="3" t="inlineStr">
        <is>
          <t>죽암리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현도면</t>
        </is>
      </c>
    </row>
    <row r="7228">
      <c r="A7228" s="3" t="n">
        <v>2025</v>
      </c>
      <c r="B7228" s="4" t="n">
        <v>107761</v>
      </c>
      <c r="C7228" s="4" t="n">
        <v>4768</v>
      </c>
      <c r="D7228" s="4" t="n">
        <v>1442.32</v>
      </c>
      <c r="E7228" s="5" t="n">
        <v>74.7</v>
      </c>
      <c r="F7228" s="3" t="inlineStr">
        <is>
          <t>현도면</t>
        </is>
      </c>
      <c r="G7228" s="3" t="inlineStr">
        <is>
          <t>죽암리</t>
        </is>
      </c>
      <c r="H7228" s="3" t="inlineStr">
        <is>
          <t>계획관리지역</t>
        </is>
      </c>
      <c r="I7228" s="3" t="inlineStr">
        <is>
          <t>공장용지</t>
        </is>
      </c>
      <c r="J7228" s="3" t="inlineStr">
        <is>
          <t>현도면</t>
        </is>
      </c>
    </row>
    <row r="7229">
      <c r="A7229" s="3" t="n">
        <v>2025</v>
      </c>
      <c r="B7229" s="4" t="n">
        <v>26000</v>
      </c>
      <c r="C7229" s="4" t="n">
        <v>2275</v>
      </c>
      <c r="D7229" s="4" t="n">
        <v>688.1875</v>
      </c>
      <c r="E7229" s="5" t="n">
        <v>37.8</v>
      </c>
      <c r="F7229" s="3" t="inlineStr">
        <is>
          <t>현도면</t>
        </is>
      </c>
      <c r="G7229" s="3" t="inlineStr">
        <is>
          <t>죽전리</t>
        </is>
      </c>
      <c r="H7229" s="3" t="inlineStr">
        <is>
          <t>개발제한구역</t>
        </is>
      </c>
      <c r="I7229" s="3" t="inlineStr">
        <is>
          <t>답</t>
        </is>
      </c>
      <c r="J7229" s="3" t="inlineStr">
        <is>
          <t>현도면</t>
        </is>
      </c>
    </row>
    <row r="7230">
      <c r="A7230" s="3" t="n">
        <v>2025</v>
      </c>
      <c r="B7230" s="4" t="n">
        <v>37681</v>
      </c>
      <c r="C7230" s="4" t="n">
        <v>1385</v>
      </c>
      <c r="D7230" s="4" t="n">
        <v>418.9625</v>
      </c>
      <c r="E7230" s="5" t="n">
        <v>89.90000000000001</v>
      </c>
      <c r="F7230" s="3" t="inlineStr">
        <is>
          <t>남이면</t>
        </is>
      </c>
      <c r="G7230" s="3" t="inlineStr">
        <is>
          <t>가좌리</t>
        </is>
      </c>
      <c r="H7230" s="3" t="inlineStr">
        <is>
          <t>자연녹지지역</t>
        </is>
      </c>
      <c r="I7230" s="3" t="inlineStr">
        <is>
          <t>답</t>
        </is>
      </c>
      <c r="J7230" s="3" t="inlineStr">
        <is>
          <t>남이면</t>
        </is>
      </c>
    </row>
    <row r="7231">
      <c r="A7231" s="3" t="n">
        <v>2025</v>
      </c>
      <c r="B7231" s="4" t="n">
        <v>44319</v>
      </c>
      <c r="C7231" s="4" t="n">
        <v>1629</v>
      </c>
      <c r="D7231" s="4" t="n">
        <v>492.7725</v>
      </c>
      <c r="E7231" s="5" t="n">
        <v>89.90000000000001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자연녹지지역</t>
        </is>
      </c>
      <c r="I7231" s="3" t="inlineStr">
        <is>
          <t>답</t>
        </is>
      </c>
      <c r="J7231" s="3" t="inlineStr">
        <is>
          <t>남이면</t>
        </is>
      </c>
    </row>
    <row r="7232">
      <c r="A7232" s="3" t="n">
        <v>2025</v>
      </c>
      <c r="B7232" s="4" t="n">
        <v>1000</v>
      </c>
      <c r="C7232" s="4" t="n">
        <v>278</v>
      </c>
      <c r="D7232" s="4" t="n">
        <v>84.095</v>
      </c>
      <c r="E7232" s="5" t="n">
        <v>11.9</v>
      </c>
      <c r="F7232" s="3" t="inlineStr">
        <is>
          <t>현도면</t>
        </is>
      </c>
      <c r="G7232" s="3" t="inlineStr">
        <is>
          <t>죽암리</t>
        </is>
      </c>
      <c r="H7232" s="3" t="inlineStr">
        <is>
          <t>생산관리지역</t>
        </is>
      </c>
      <c r="I7232" s="3" t="inlineStr">
        <is>
          <t>전</t>
        </is>
      </c>
      <c r="J7232" s="3" t="inlineStr">
        <is>
          <t>현도면</t>
        </is>
      </c>
    </row>
    <row r="7233">
      <c r="A7233" s="3" t="n">
        <v>2025</v>
      </c>
      <c r="B7233" s="4" t="n">
        <v>14000</v>
      </c>
      <c r="C7233" s="4" t="n">
        <v>853</v>
      </c>
      <c r="D7233" s="4" t="n">
        <v>258.0325</v>
      </c>
      <c r="E7233" s="5" t="n">
        <v>54.3</v>
      </c>
      <c r="F7233" s="3" t="inlineStr">
        <is>
          <t>남이면</t>
        </is>
      </c>
      <c r="G7233" s="3" t="inlineStr">
        <is>
          <t>문동리</t>
        </is>
      </c>
      <c r="H7233" s="3" t="inlineStr">
        <is>
          <t>자연녹지지역</t>
        </is>
      </c>
      <c r="I7233" s="3" t="inlineStr">
        <is>
          <t>대</t>
        </is>
      </c>
      <c r="J7233" s="3" t="inlineStr">
        <is>
          <t>남이면</t>
        </is>
      </c>
    </row>
    <row r="7234">
      <c r="A7234" s="3" t="n">
        <v>2025</v>
      </c>
      <c r="B7234" s="4" t="n">
        <v>5200</v>
      </c>
      <c r="C7234" s="4" t="n">
        <v>73</v>
      </c>
      <c r="D7234" s="4" t="n">
        <v>22.0825</v>
      </c>
      <c r="E7234" s="5" t="n">
        <v>235.5</v>
      </c>
      <c r="F7234" s="3" t="inlineStr">
        <is>
          <t>남이면</t>
        </is>
      </c>
      <c r="G7234" s="3" t="inlineStr">
        <is>
          <t>외천리</t>
        </is>
      </c>
      <c r="H7234" s="3" t="inlineStr">
        <is>
          <t>계획관리지역</t>
        </is>
      </c>
      <c r="I7234" s="3" t="inlineStr">
        <is>
          <t>도로</t>
        </is>
      </c>
      <c r="J7234" s="3" t="inlineStr">
        <is>
          <t>남이면</t>
        </is>
      </c>
    </row>
    <row r="7235">
      <c r="A7235" s="3" t="n">
        <v>2025</v>
      </c>
      <c r="B7235" s="4" t="n">
        <v>19000</v>
      </c>
      <c r="C7235" s="4" t="n">
        <v>918</v>
      </c>
      <c r="D7235" s="4" t="n">
        <v>277.695</v>
      </c>
      <c r="E7235" s="5" t="n">
        <v>68.40000000000001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전</t>
        </is>
      </c>
      <c r="J7235" s="3" t="inlineStr">
        <is>
          <t>남이면</t>
        </is>
      </c>
    </row>
    <row r="7236">
      <c r="A7236" s="3" t="n">
        <v>2024</v>
      </c>
      <c r="B7236" s="4" t="n">
        <v>31000</v>
      </c>
      <c r="C7236" s="4" t="n">
        <v>3182</v>
      </c>
      <c r="D7236" s="4" t="n">
        <v>962.5549999999999</v>
      </c>
      <c r="E7236" s="5" t="n">
        <v>32.2</v>
      </c>
      <c r="F7236" s="3" t="inlineStr">
        <is>
          <t>남이면</t>
        </is>
      </c>
      <c r="G7236" s="3" t="inlineStr">
        <is>
          <t>갈원리</t>
        </is>
      </c>
      <c r="H7236" s="3" t="inlineStr">
        <is>
          <t>생산관리지역</t>
        </is>
      </c>
      <c r="I7236" s="3" t="inlineStr">
        <is>
          <t>전</t>
        </is>
      </c>
      <c r="J7236" s="3" t="inlineStr">
        <is>
          <t>남이면</t>
        </is>
      </c>
    </row>
    <row r="7237">
      <c r="A7237" s="3" t="n">
        <v>2024</v>
      </c>
      <c r="B7237" s="4" t="n">
        <v>14892</v>
      </c>
      <c r="C7237" s="4" t="n">
        <v>486</v>
      </c>
      <c r="D7237" s="4" t="n">
        <v>147.015</v>
      </c>
      <c r="E7237" s="5" t="n">
        <v>101.3</v>
      </c>
      <c r="F7237" s="3" t="inlineStr">
        <is>
          <t>남이면</t>
        </is>
      </c>
      <c r="G7237" s="3" t="inlineStr">
        <is>
          <t>구암리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2024</v>
      </c>
      <c r="B7238" s="4" t="n">
        <v>21984</v>
      </c>
      <c r="C7238" s="4" t="n">
        <v>1091</v>
      </c>
      <c r="D7238" s="4" t="n">
        <v>330.0275</v>
      </c>
      <c r="E7238" s="5" t="n">
        <v>66.59999999999999</v>
      </c>
      <c r="F7238" s="3" t="inlineStr">
        <is>
          <t>남이면</t>
        </is>
      </c>
      <c r="G7238" s="3" t="inlineStr">
        <is>
          <t>가좌리</t>
        </is>
      </c>
      <c r="H7238" s="3" t="inlineStr">
        <is>
          <t>자연녹지지역</t>
        </is>
      </c>
      <c r="I7238" s="3" t="inlineStr">
        <is>
          <t>답</t>
        </is>
      </c>
      <c r="J7238" s="3" t="inlineStr">
        <is>
          <t>남이면</t>
        </is>
      </c>
    </row>
    <row r="7239">
      <c r="A7239" s="3" t="n">
        <v>2024</v>
      </c>
      <c r="B7239" s="4" t="n">
        <v>20000</v>
      </c>
      <c r="C7239" s="4" t="n">
        <v>860</v>
      </c>
      <c r="D7239" s="4" t="n">
        <v>260.15</v>
      </c>
      <c r="E7239" s="5" t="n">
        <v>76.90000000000001</v>
      </c>
      <c r="F7239" s="3" t="inlineStr">
        <is>
          <t>남이면</t>
        </is>
      </c>
      <c r="G7239" s="3" t="inlineStr">
        <is>
          <t>부용외천리</t>
        </is>
      </c>
      <c r="H7239" s="3" t="inlineStr">
        <is>
          <t>계획관리지역</t>
        </is>
      </c>
      <c r="I7239" s="3" t="inlineStr">
        <is>
          <t>전</t>
        </is>
      </c>
      <c r="J7239" s="3" t="inlineStr">
        <is>
          <t>남이면</t>
        </is>
      </c>
    </row>
    <row r="7240">
      <c r="A7240" s="3" t="n">
        <v>2024</v>
      </c>
      <c r="B7240" s="4" t="n">
        <v>10240</v>
      </c>
      <c r="C7240" s="4" t="n">
        <v>1577</v>
      </c>
      <c r="D7240" s="4" t="n">
        <v>477.0425</v>
      </c>
      <c r="E7240" s="5" t="n">
        <v>21.5</v>
      </c>
      <c r="F7240" s="3" t="inlineStr">
        <is>
          <t>남이면</t>
        </is>
      </c>
      <c r="G7240" s="3" t="inlineStr">
        <is>
          <t>팔봉리</t>
        </is>
      </c>
      <c r="H7240" s="3" t="inlineStr">
        <is>
          <t>보전녹지지역</t>
        </is>
      </c>
      <c r="I7240" s="3" t="inlineStr">
        <is>
          <t>전</t>
        </is>
      </c>
      <c r="J7240" s="3" t="inlineStr">
        <is>
          <t>남이면</t>
        </is>
      </c>
    </row>
    <row r="7241">
      <c r="A7241" s="3" t="n">
        <v>2024</v>
      </c>
      <c r="B7241" s="4" t="n">
        <v>9143</v>
      </c>
      <c r="C7241" s="4" t="n">
        <v>1408</v>
      </c>
      <c r="D7241" s="4" t="n">
        <v>425.92</v>
      </c>
      <c r="E7241" s="5" t="n">
        <v>21.5</v>
      </c>
      <c r="F7241" s="3" t="inlineStr">
        <is>
          <t>남이면</t>
        </is>
      </c>
      <c r="G7241" s="3" t="inlineStr">
        <is>
          <t>팔봉리</t>
        </is>
      </c>
      <c r="H7241" s="3" t="inlineStr">
        <is>
          <t>보전녹지지역</t>
        </is>
      </c>
      <c r="I7241" s="3" t="inlineStr">
        <is>
          <t>전</t>
        </is>
      </c>
      <c r="J7241" s="3" t="inlineStr">
        <is>
          <t>남이면</t>
        </is>
      </c>
    </row>
    <row r="7242">
      <c r="A7242" s="3" t="n">
        <v>2024</v>
      </c>
      <c r="B7242" s="4" t="n">
        <v>1981</v>
      </c>
      <c r="C7242" s="4" t="n">
        <v>305</v>
      </c>
      <c r="D7242" s="4" t="n">
        <v>92.2625</v>
      </c>
      <c r="E7242" s="5" t="n">
        <v>21.5</v>
      </c>
      <c r="F7242" s="3" t="inlineStr">
        <is>
          <t>남이면</t>
        </is>
      </c>
      <c r="G7242" s="3" t="inlineStr">
        <is>
          <t>팔봉리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2024</v>
      </c>
      <c r="B7243" s="4" t="n">
        <v>38637</v>
      </c>
      <c r="C7243" s="4" t="n">
        <v>5950</v>
      </c>
      <c r="D7243" s="4" t="n">
        <v>1799.875</v>
      </c>
      <c r="E7243" s="5" t="n">
        <v>21.5</v>
      </c>
      <c r="F7243" s="3" t="inlineStr">
        <is>
          <t>남이면</t>
        </is>
      </c>
      <c r="G7243" s="3" t="inlineStr">
        <is>
          <t>팔봉리</t>
        </is>
      </c>
      <c r="H7243" s="3" t="inlineStr">
        <is>
          <t>자연녹지지역</t>
        </is>
      </c>
      <c r="I7243" s="3" t="inlineStr">
        <is>
          <t>임야</t>
        </is>
      </c>
      <c r="J7243" s="3" t="inlineStr">
        <is>
          <t>남이면</t>
        </is>
      </c>
    </row>
    <row r="7244">
      <c r="A7244" s="3" t="n">
        <v>2024</v>
      </c>
      <c r="B7244" s="4" t="n">
        <v>8550</v>
      </c>
      <c r="C7244" s="4" t="n">
        <v>205</v>
      </c>
      <c r="D7244" s="4" t="n">
        <v>62.0125</v>
      </c>
      <c r="E7244" s="5" t="n">
        <v>137.9</v>
      </c>
      <c r="F7244" s="3" t="inlineStr">
        <is>
          <t>남이면</t>
        </is>
      </c>
      <c r="G7244" s="3" t="inlineStr">
        <is>
          <t>석실리</t>
        </is>
      </c>
      <c r="H7244" s="3" t="inlineStr">
        <is>
          <t>자연녹지지역</t>
        </is>
      </c>
      <c r="I7244" s="3" t="inlineStr">
        <is>
          <t>공장용지</t>
        </is>
      </c>
      <c r="J7244" s="3" t="inlineStr">
        <is>
          <t>남이면</t>
        </is>
      </c>
    </row>
    <row r="7245">
      <c r="A7245" s="3" t="n">
        <v>2024</v>
      </c>
      <c r="B7245" s="4" t="n">
        <v>75180</v>
      </c>
      <c r="C7245" s="4" t="n">
        <v>1800</v>
      </c>
      <c r="D7245" s="4" t="n">
        <v>544.5</v>
      </c>
      <c r="E7245" s="5" t="n">
        <v>138.1</v>
      </c>
      <c r="F7245" s="3" t="inlineStr">
        <is>
          <t>남이면</t>
        </is>
      </c>
      <c r="G7245" s="3" t="inlineStr">
        <is>
          <t>석실리</t>
        </is>
      </c>
      <c r="H7245" s="3" t="inlineStr">
        <is>
          <t>자연녹지지역</t>
        </is>
      </c>
      <c r="I7245" s="3" t="inlineStr">
        <is>
          <t>공장용지</t>
        </is>
      </c>
      <c r="J7245" s="3" t="inlineStr">
        <is>
          <t>남이면</t>
        </is>
      </c>
    </row>
    <row r="7246">
      <c r="A7246" s="3" t="n">
        <v>2024</v>
      </c>
      <c r="B7246" s="4" t="n">
        <v>101910</v>
      </c>
      <c r="C7246" s="4" t="n">
        <v>2440</v>
      </c>
      <c r="D7246" s="4" t="n">
        <v>738.1</v>
      </c>
      <c r="E7246" s="5" t="n">
        <v>138.1</v>
      </c>
      <c r="F7246" s="3" t="inlineStr">
        <is>
          <t>남이면</t>
        </is>
      </c>
      <c r="G7246" s="3" t="inlineStr">
        <is>
          <t>석실리</t>
        </is>
      </c>
      <c r="H7246" s="3" t="inlineStr">
        <is>
          <t>자연녹지지역</t>
        </is>
      </c>
      <c r="I7246" s="3" t="inlineStr">
        <is>
          <t>공장용지</t>
        </is>
      </c>
      <c r="J7246" s="3" t="inlineStr">
        <is>
          <t>남이면</t>
        </is>
      </c>
    </row>
    <row r="7247">
      <c r="A7247" s="3" t="n">
        <v>2024</v>
      </c>
      <c r="B7247" s="4" t="n">
        <v>2750</v>
      </c>
      <c r="C7247" s="4" t="n">
        <v>80</v>
      </c>
      <c r="D7247" s="4" t="n">
        <v>24.2</v>
      </c>
      <c r="E7247" s="5" t="n">
        <v>113.6</v>
      </c>
      <c r="F7247" s="3" t="inlineStr">
        <is>
          <t>남이면</t>
        </is>
      </c>
      <c r="G7247" s="3" t="inlineStr">
        <is>
          <t>석실리</t>
        </is>
      </c>
      <c r="H7247" s="3" t="inlineStr">
        <is>
          <t>자연녹지지역</t>
        </is>
      </c>
      <c r="I7247" s="3" t="inlineStr">
        <is>
          <t>공장용지</t>
        </is>
      </c>
      <c r="J7247" s="3" t="inlineStr">
        <is>
          <t>남이면</t>
        </is>
      </c>
    </row>
    <row r="7248">
      <c r="A7248" s="3" t="n">
        <v>2024</v>
      </c>
      <c r="B7248" s="4" t="n">
        <v>16500</v>
      </c>
      <c r="C7248" s="4" t="n">
        <v>608</v>
      </c>
      <c r="D7248" s="4" t="n">
        <v>183.92</v>
      </c>
      <c r="E7248" s="5" t="n">
        <v>89.7</v>
      </c>
      <c r="F7248" s="3" t="inlineStr">
        <is>
          <t>남이면</t>
        </is>
      </c>
      <c r="G7248" s="3" t="inlineStr">
        <is>
          <t>부용외천리</t>
        </is>
      </c>
      <c r="H7248" s="3" t="inlineStr">
        <is>
          <t>계획관리지역</t>
        </is>
      </c>
      <c r="I7248" s="3" t="inlineStr">
        <is>
          <t>과수원</t>
        </is>
      </c>
      <c r="J7248" s="3" t="inlineStr">
        <is>
          <t>남이면</t>
        </is>
      </c>
    </row>
    <row r="7249">
      <c r="A7249" s="3" t="n">
        <v>2024</v>
      </c>
      <c r="B7249" s="4" t="n">
        <v>21000</v>
      </c>
      <c r="C7249" s="4" t="n">
        <v>1535</v>
      </c>
      <c r="D7249" s="4" t="n">
        <v>464.3375</v>
      </c>
      <c r="E7249" s="5" t="n">
        <v>45.2</v>
      </c>
      <c r="F7249" s="3" t="inlineStr">
        <is>
          <t>남이면</t>
        </is>
      </c>
      <c r="G7249" s="3" t="inlineStr">
        <is>
          <t>석실리</t>
        </is>
      </c>
      <c r="H7249" s="3" t="inlineStr">
        <is>
          <t>자연녹지지역</t>
        </is>
      </c>
      <c r="I7249" s="3" t="inlineStr">
        <is>
          <t>전</t>
        </is>
      </c>
      <c r="J7249" s="3" t="inlineStr">
        <is>
          <t>남이면</t>
        </is>
      </c>
    </row>
    <row r="7250">
      <c r="A7250" s="3" t="n">
        <v>2024</v>
      </c>
      <c r="B7250" s="4" t="n">
        <v>36400</v>
      </c>
      <c r="C7250" s="4" t="n">
        <v>668</v>
      </c>
      <c r="D7250" s="4" t="n">
        <v>202.07</v>
      </c>
      <c r="E7250" s="5" t="n">
        <v>180.1</v>
      </c>
      <c r="F7250" s="3" t="inlineStr">
        <is>
          <t>남이면</t>
        </is>
      </c>
      <c r="G7250" s="3" t="inlineStr">
        <is>
          <t>가좌리</t>
        </is>
      </c>
      <c r="H7250" s="3" t="inlineStr">
        <is>
          <t>보전녹지지역</t>
        </is>
      </c>
      <c r="I7250" s="3" t="inlineStr">
        <is>
          <t>주유소용지</t>
        </is>
      </c>
      <c r="J7250" s="3" t="inlineStr">
        <is>
          <t>남이면</t>
        </is>
      </c>
    </row>
    <row r="7251">
      <c r="A7251" s="3" t="n">
        <v>2024</v>
      </c>
      <c r="B7251" s="4" t="n">
        <v>4300</v>
      </c>
      <c r="C7251" s="4" t="n">
        <v>80</v>
      </c>
      <c r="D7251" s="4" t="n">
        <v>24.2</v>
      </c>
      <c r="E7251" s="5" t="n">
        <v>177.7</v>
      </c>
      <c r="F7251" s="3" t="inlineStr">
        <is>
          <t>남이면</t>
        </is>
      </c>
      <c r="G7251" s="3" t="inlineStr">
        <is>
          <t>가좌리</t>
        </is>
      </c>
      <c r="H7251" s="3" t="inlineStr">
        <is>
          <t>자연녹지지역</t>
        </is>
      </c>
      <c r="I7251" s="3" t="inlineStr">
        <is>
          <t>공장용지</t>
        </is>
      </c>
      <c r="J7251" s="3" t="inlineStr">
        <is>
          <t>남이면</t>
        </is>
      </c>
    </row>
    <row r="7252">
      <c r="A7252" s="3" t="n">
        <v>2024</v>
      </c>
      <c r="B7252" s="4" t="n">
        <v>1000</v>
      </c>
      <c r="C7252" s="4" t="n">
        <v>18</v>
      </c>
      <c r="D7252" s="4" t="n">
        <v>5.445</v>
      </c>
      <c r="E7252" s="5" t="n">
        <v>183.7</v>
      </c>
      <c r="F7252" s="3" t="inlineStr">
        <is>
          <t>남이면</t>
        </is>
      </c>
      <c r="G7252" s="3" t="inlineStr">
        <is>
          <t>가좌리</t>
        </is>
      </c>
      <c r="H7252" s="3" t="inlineStr">
        <is>
          <t>자연녹지지역</t>
        </is>
      </c>
      <c r="I7252" s="3" t="inlineStr">
        <is>
          <t>주유소용지</t>
        </is>
      </c>
      <c r="J7252" s="3" t="inlineStr">
        <is>
          <t>남이면</t>
        </is>
      </c>
    </row>
    <row r="7253">
      <c r="A7253" s="3" t="n">
        <v>2024</v>
      </c>
      <c r="B7253" s="4" t="n">
        <v>3450</v>
      </c>
      <c r="C7253" s="4" t="n">
        <v>380</v>
      </c>
      <c r="D7253" s="4" t="n">
        <v>114.95</v>
      </c>
      <c r="E7253" s="5" t="n">
        <v>30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생산관리지역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32550</v>
      </c>
      <c r="C7254" s="4" t="n">
        <v>3603</v>
      </c>
      <c r="D7254" s="4" t="n">
        <v>1089.9075</v>
      </c>
      <c r="E7254" s="5" t="n">
        <v>29.9</v>
      </c>
      <c r="F7254" s="3" t="inlineStr">
        <is>
          <t>남이면</t>
        </is>
      </c>
      <c r="G7254" s="3" t="inlineStr">
        <is>
          <t>척산리</t>
        </is>
      </c>
      <c r="H7254" s="3" t="inlineStr">
        <is>
          <t>생산관리지역</t>
        </is>
      </c>
      <c r="I7254" s="3" t="inlineStr">
        <is>
          <t>답</t>
        </is>
      </c>
      <c r="J7254" s="3" t="inlineStr">
        <is>
          <t>남이면</t>
        </is>
      </c>
    </row>
    <row r="7255">
      <c r="A7255" s="3" t="n">
        <v>2024</v>
      </c>
      <c r="B7255" s="4" t="n">
        <v>3331</v>
      </c>
      <c r="C7255" s="4" t="n">
        <v>110</v>
      </c>
      <c r="D7255" s="4" t="n">
        <v>33.275</v>
      </c>
      <c r="E7255" s="5" t="n">
        <v>100.1</v>
      </c>
      <c r="F7255" s="3" t="inlineStr">
        <is>
          <t>남이면</t>
        </is>
      </c>
      <c r="G7255" s="3" t="inlineStr">
        <is>
          <t>척산리</t>
        </is>
      </c>
      <c r="H7255" s="3" t="inlineStr">
        <is>
          <t>계획관리지역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2024</v>
      </c>
      <c r="B7256" s="4" t="n">
        <v>20006</v>
      </c>
      <c r="C7256" s="4" t="n">
        <v>696</v>
      </c>
      <c r="D7256" s="4" t="n">
        <v>210.54</v>
      </c>
      <c r="E7256" s="5" t="n">
        <v>95</v>
      </c>
      <c r="F7256" s="3" t="inlineStr">
        <is>
          <t>남이면</t>
        </is>
      </c>
      <c r="G7256" s="3" t="inlineStr">
        <is>
          <t>척산리</t>
        </is>
      </c>
      <c r="H7256" s="3" t="inlineStr">
        <is>
          <t>계획관리지역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2024</v>
      </c>
      <c r="B7257" s="4" t="n">
        <v>5575</v>
      </c>
      <c r="C7257" s="4" t="n">
        <v>740</v>
      </c>
      <c r="D7257" s="4" t="n">
        <v>223.85</v>
      </c>
      <c r="E7257" s="5" t="n">
        <v>24.9</v>
      </c>
      <c r="F7257" s="3" t="inlineStr">
        <is>
          <t>남이면</t>
        </is>
      </c>
      <c r="G7257" s="3" t="inlineStr">
        <is>
          <t>부용외천리</t>
        </is>
      </c>
      <c r="H7257" s="3" t="inlineStr">
        <is>
          <t>보전관리지역</t>
        </is>
      </c>
      <c r="I7257" s="3" t="inlineStr">
        <is>
          <t>답</t>
        </is>
      </c>
      <c r="J7257" s="3" t="inlineStr">
        <is>
          <t>남이면</t>
        </is>
      </c>
    </row>
    <row r="7258">
      <c r="A7258" s="3" t="n">
        <v>2024</v>
      </c>
      <c r="B7258" s="4" t="n">
        <v>35200</v>
      </c>
      <c r="C7258" s="4" t="n">
        <v>4655</v>
      </c>
      <c r="D7258" s="4" t="n">
        <v>1408.1375</v>
      </c>
      <c r="E7258" s="5" t="n">
        <v>25</v>
      </c>
      <c r="F7258" s="3" t="inlineStr">
        <is>
          <t>남이면</t>
        </is>
      </c>
      <c r="G7258" s="3" t="inlineStr">
        <is>
          <t>부용외천리</t>
        </is>
      </c>
      <c r="H7258" s="3" t="inlineStr">
        <is>
          <t>보전관리지역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8200</v>
      </c>
      <c r="C7259" s="4" t="n">
        <v>1871</v>
      </c>
      <c r="D7259" s="4" t="n">
        <v>565.9775</v>
      </c>
      <c r="E7259" s="5" t="n">
        <v>14.5</v>
      </c>
      <c r="F7259" s="3" t="inlineStr">
        <is>
          <t>현도면</t>
        </is>
      </c>
      <c r="G7259" s="3" t="inlineStr">
        <is>
          <t>우록리</t>
        </is>
      </c>
      <c r="H7259" s="3" t="inlineStr">
        <is>
          <t>보전관리지역</t>
        </is>
      </c>
      <c r="I7259" s="3" t="inlineStr">
        <is>
          <t>전</t>
        </is>
      </c>
      <c r="J7259" s="3" t="inlineStr">
        <is>
          <t>현도면</t>
        </is>
      </c>
    </row>
    <row r="7260">
      <c r="A7260" s="3" t="n">
        <v>2024</v>
      </c>
      <c r="B7260" s="4" t="n">
        <v>1100</v>
      </c>
      <c r="C7260" s="4" t="n">
        <v>255</v>
      </c>
      <c r="D7260" s="4" t="n">
        <v>77.1375</v>
      </c>
      <c r="E7260" s="5" t="n">
        <v>14.3</v>
      </c>
      <c r="F7260" s="3" t="inlineStr">
        <is>
          <t>현도면</t>
        </is>
      </c>
      <c r="G7260" s="3" t="inlineStr">
        <is>
          <t>우록리</t>
        </is>
      </c>
      <c r="H7260" s="3" t="inlineStr">
        <is>
          <t>보전관리지역</t>
        </is>
      </c>
      <c r="I7260" s="3" t="inlineStr">
        <is>
          <t>전</t>
        </is>
      </c>
      <c r="J7260" s="3" t="inlineStr">
        <is>
          <t>현도면</t>
        </is>
      </c>
    </row>
    <row r="7261">
      <c r="A7261" s="3" t="n">
        <v>2024</v>
      </c>
      <c r="B7261" s="4" t="n">
        <v>27327</v>
      </c>
      <c r="C7261" s="4" t="n">
        <v>795</v>
      </c>
      <c r="D7261" s="4" t="n">
        <v>240.4875</v>
      </c>
      <c r="E7261" s="5" t="n">
        <v>113.6</v>
      </c>
      <c r="F7261" s="3" t="inlineStr">
        <is>
          <t>현도면</t>
        </is>
      </c>
      <c r="G7261" s="3" t="inlineStr">
        <is>
          <t>중삼리</t>
        </is>
      </c>
      <c r="H7261" s="3" t="inlineStr">
        <is>
          <t>계획관리지역</t>
        </is>
      </c>
      <c r="I7261" s="3" t="inlineStr">
        <is>
          <t>전</t>
        </is>
      </c>
      <c r="J7261" s="3" t="inlineStr">
        <is>
          <t>현도면</t>
        </is>
      </c>
    </row>
    <row r="7262">
      <c r="A7262" s="3" t="n">
        <v>2022</v>
      </c>
      <c r="B7262" s="4" t="n">
        <v>5720</v>
      </c>
      <c r="C7262" s="4" t="n">
        <v>147</v>
      </c>
      <c r="D7262" s="4" t="n">
        <v>44.4675</v>
      </c>
      <c r="E7262" s="5" t="n">
        <v>128.6</v>
      </c>
      <c r="F7262" s="3" t="inlineStr">
        <is>
          <t>연서면</t>
        </is>
      </c>
      <c r="G7262" s="3" t="inlineStr">
        <is>
          <t>신대리</t>
        </is>
      </c>
      <c r="H7262" s="3" t="inlineStr">
        <is>
          <t>계획관리지역</t>
        </is>
      </c>
      <c r="I7262" s="3" t="inlineStr">
        <is>
          <t>전</t>
        </is>
      </c>
      <c r="J7262" s="3" t="inlineStr">
        <is>
          <t>연서면</t>
        </is>
      </c>
    </row>
    <row r="7263">
      <c r="A7263" s="3" t="n">
        <v>2022</v>
      </c>
      <c r="B7263" s="4" t="n">
        <v>53880</v>
      </c>
      <c r="C7263" s="4" t="n">
        <v>2366</v>
      </c>
      <c r="D7263" s="4" t="n">
        <v>715.715</v>
      </c>
      <c r="E7263" s="5" t="n">
        <v>75.3</v>
      </c>
      <c r="F7263" s="3" t="inlineStr">
        <is>
          <t>소정면</t>
        </is>
      </c>
      <c r="G7263" s="3" t="inlineStr">
        <is>
          <t>고등리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소정면</t>
        </is>
      </c>
    </row>
    <row r="7264">
      <c r="A7264" s="3" t="n">
        <v>2022</v>
      </c>
      <c r="B7264" s="4" t="n">
        <v>20500</v>
      </c>
      <c r="C7264" s="4" t="n">
        <v>607</v>
      </c>
      <c r="D7264" s="4" t="n">
        <v>183.6175</v>
      </c>
      <c r="E7264" s="5" t="n">
        <v>111.6</v>
      </c>
      <c r="F7264" s="3" t="inlineStr">
        <is>
          <t>소정면</t>
        </is>
      </c>
      <c r="G7264" s="3" t="inlineStr">
        <is>
          <t>고등리</t>
        </is>
      </c>
      <c r="H7264" s="3" t="inlineStr">
        <is>
          <t>계획관리지역</t>
        </is>
      </c>
      <c r="I7264" s="3" t="inlineStr">
        <is>
          <t>임야</t>
        </is>
      </c>
      <c r="J7264" s="3" t="inlineStr">
        <is>
          <t>소정면</t>
        </is>
      </c>
    </row>
    <row r="7265">
      <c r="A7265" s="3" t="n">
        <v>2022</v>
      </c>
      <c r="B7265" s="4" t="n">
        <v>18000</v>
      </c>
      <c r="C7265" s="4" t="n">
        <v>472</v>
      </c>
      <c r="D7265" s="4" t="n">
        <v>142.78</v>
      </c>
      <c r="E7265" s="5" t="n">
        <v>126.1</v>
      </c>
      <c r="F7265" s="3" t="inlineStr">
        <is>
          <t>부강면</t>
        </is>
      </c>
      <c r="G7265" s="3" t="inlineStr">
        <is>
          <t>금호리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부강면</t>
        </is>
      </c>
    </row>
    <row r="7266">
      <c r="A7266" s="3" t="n">
        <v>2022</v>
      </c>
      <c r="B7266" s="4" t="n">
        <v>18500</v>
      </c>
      <c r="C7266" s="4" t="n">
        <v>480</v>
      </c>
      <c r="D7266" s="4" t="n">
        <v>145.2</v>
      </c>
      <c r="E7266" s="5" t="n">
        <v>127.4</v>
      </c>
      <c r="F7266" s="3" t="inlineStr">
        <is>
          <t>부강면</t>
        </is>
      </c>
      <c r="G7266" s="3" t="inlineStr">
        <is>
          <t>금호리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부강면</t>
        </is>
      </c>
    </row>
    <row r="7267">
      <c r="A7267" s="3" t="n">
        <v>2022</v>
      </c>
      <c r="B7267" s="4" t="n">
        <v>1820</v>
      </c>
      <c r="C7267" s="4" t="n">
        <v>301</v>
      </c>
      <c r="D7267" s="4" t="n">
        <v>91.05249999999999</v>
      </c>
      <c r="E7267" s="5" t="n">
        <v>20</v>
      </c>
      <c r="F7267" s="3" t="inlineStr">
        <is>
          <t>부강면</t>
        </is>
      </c>
      <c r="G7267" s="3" t="inlineStr">
        <is>
          <t>등곡리</t>
        </is>
      </c>
      <c r="H7267" s="3" t="inlineStr">
        <is>
          <t>계획관리지역</t>
        </is>
      </c>
      <c r="I7267" s="3" t="inlineStr">
        <is>
          <t>도로</t>
        </is>
      </c>
      <c r="J7267" s="3" t="inlineStr">
        <is>
          <t>부강면</t>
        </is>
      </c>
    </row>
    <row r="7268">
      <c r="A7268" s="3" t="n">
        <v>2022</v>
      </c>
      <c r="B7268" s="4" t="n">
        <v>360684</v>
      </c>
      <c r="C7268" s="4" t="n">
        <v>6610.3</v>
      </c>
      <c r="D7268" s="4" t="n">
        <v>1999.61575</v>
      </c>
      <c r="E7268" s="5" t="n">
        <v>180.4</v>
      </c>
      <c r="F7268" s="3" t="inlineStr">
        <is>
          <t>전동면</t>
        </is>
      </c>
      <c r="G7268" s="3" t="inlineStr">
        <is>
          <t>심중리</t>
        </is>
      </c>
      <c r="H7268" s="3" t="inlineStr">
        <is>
          <t>일반공업지역</t>
        </is>
      </c>
      <c r="I7268" s="3" t="inlineStr">
        <is>
          <t>공장용지</t>
        </is>
      </c>
      <c r="J7268" s="3" t="inlineStr">
        <is>
          <t>전동면</t>
        </is>
      </c>
    </row>
    <row r="7269">
      <c r="A7269" s="3" t="n">
        <v>2022</v>
      </c>
      <c r="B7269" s="4" t="n">
        <v>42100</v>
      </c>
      <c r="C7269" s="4" t="n">
        <v>2326</v>
      </c>
      <c r="D7269" s="4" t="n">
        <v>703.615</v>
      </c>
      <c r="E7269" s="5" t="n">
        <v>59.8</v>
      </c>
      <c r="F7269" s="3" t="inlineStr">
        <is>
          <t>연기면</t>
        </is>
      </c>
      <c r="G7269" s="3" t="inlineStr">
        <is>
          <t>수산리</t>
        </is>
      </c>
      <c r="H7269" s="3" t="inlineStr">
        <is>
          <t>보전관리지역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2022</v>
      </c>
      <c r="B7270" s="4" t="n">
        <v>77000</v>
      </c>
      <c r="C7270" s="4" t="n">
        <v>2770</v>
      </c>
      <c r="D7270" s="4" t="n">
        <v>837.925</v>
      </c>
      <c r="E7270" s="5" t="n">
        <v>91.90000000000001</v>
      </c>
      <c r="F7270" s="3" t="inlineStr">
        <is>
          <t>연기면</t>
        </is>
      </c>
      <c r="G7270" s="3" t="inlineStr">
        <is>
          <t>수산리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연기면</t>
        </is>
      </c>
    </row>
    <row r="7271">
      <c r="A7271" s="3" t="n">
        <v>2025</v>
      </c>
      <c r="B7271" s="4" t="n">
        <v>13070</v>
      </c>
      <c r="C7271" s="4" t="n">
        <v>674</v>
      </c>
      <c r="D7271" s="4" t="n">
        <v>203.885</v>
      </c>
      <c r="E7271" s="5" t="n">
        <v>64.09999999999999</v>
      </c>
      <c r="F7271" s="3" t="inlineStr">
        <is>
          <t>전의면</t>
        </is>
      </c>
      <c r="G7271" s="3" t="inlineStr">
        <is>
          <t>달전리</t>
        </is>
      </c>
      <c r="H7271" s="3" t="inlineStr">
        <is>
          <t>계획관리지역</t>
        </is>
      </c>
      <c r="I7271" s="3" t="inlineStr">
        <is>
          <t>대</t>
        </is>
      </c>
      <c r="J7271" s="3" t="inlineStr">
        <is>
          <t>전의면</t>
        </is>
      </c>
    </row>
    <row r="7272">
      <c r="A7272" s="3" t="n">
        <v>2026</v>
      </c>
      <c r="B7272" s="4" t="n">
        <v>560</v>
      </c>
      <c r="C7272" s="4" t="n">
        <v>14</v>
      </c>
      <c r="D7272" s="4" t="n">
        <v>4.234999999999999</v>
      </c>
      <c r="E7272" s="5" t="n">
        <v>132.2</v>
      </c>
      <c r="F7272" s="3" t="inlineStr">
        <is>
          <t>연기면</t>
        </is>
      </c>
      <c r="G7272" s="3" t="inlineStr">
        <is>
          <t>연기리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연기면</t>
        </is>
      </c>
    </row>
    <row r="7273">
      <c r="A7273" s="3" t="n">
        <v>2026</v>
      </c>
      <c r="B7273" s="4" t="n">
        <v>2157</v>
      </c>
      <c r="C7273" s="4" t="n">
        <v>13</v>
      </c>
      <c r="D7273" s="4" t="n">
        <v>3.9325</v>
      </c>
      <c r="E7273" s="5" t="n">
        <v>548.5</v>
      </c>
      <c r="F7273" s="3" t="inlineStr">
        <is>
          <t>연기면</t>
        </is>
      </c>
      <c r="G7273" s="3" t="inlineStr">
        <is>
          <t>연기리</t>
        </is>
      </c>
      <c r="H7273" s="3" t="inlineStr">
        <is>
          <t>계획관리지역</t>
        </is>
      </c>
      <c r="I7273" s="3" t="inlineStr">
        <is>
          <t>대</t>
        </is>
      </c>
      <c r="J7273" s="3" t="inlineStr">
        <is>
          <t>연기면</t>
        </is>
      </c>
    </row>
    <row r="7274">
      <c r="A7274" s="3" t="n">
        <v>2024</v>
      </c>
      <c r="B7274" s="4" t="n">
        <v>17050</v>
      </c>
      <c r="C7274" s="4" t="n">
        <v>1741.4</v>
      </c>
      <c r="D7274" s="4" t="n">
        <v>526.7735</v>
      </c>
      <c r="E7274" s="5" t="n">
        <v>32.4</v>
      </c>
      <c r="F7274" s="3" t="inlineStr">
        <is>
          <t>연동면</t>
        </is>
      </c>
      <c r="G7274" s="3" t="inlineStr">
        <is>
          <t>응암리</t>
        </is>
      </c>
      <c r="H7274" s="3" t="inlineStr">
        <is>
          <t>농림지역</t>
        </is>
      </c>
      <c r="I7274" s="3" t="inlineStr">
        <is>
          <t>답</t>
        </is>
      </c>
      <c r="J7274" s="3" t="inlineStr">
        <is>
          <t>연동면</t>
        </is>
      </c>
    </row>
    <row r="7275">
      <c r="A7275" s="3" t="n">
        <v>2024</v>
      </c>
      <c r="B7275" s="4" t="n">
        <v>815</v>
      </c>
      <c r="C7275" s="4" t="n">
        <v>247</v>
      </c>
      <c r="D7275" s="4" t="n">
        <v>74.7175</v>
      </c>
      <c r="E7275" s="5" t="n">
        <v>10.9</v>
      </c>
      <c r="F7275" s="3" t="inlineStr">
        <is>
          <t>전의면</t>
        </is>
      </c>
      <c r="G7275" s="3" t="inlineStr">
        <is>
          <t>신정리</t>
        </is>
      </c>
      <c r="H7275" s="3" t="inlineStr">
        <is>
          <t>계획관리지역</t>
        </is>
      </c>
      <c r="I7275" s="3" t="inlineStr">
        <is>
          <t>답</t>
        </is>
      </c>
      <c r="J7275" s="3" t="inlineStr">
        <is>
          <t>전의면</t>
        </is>
      </c>
    </row>
    <row r="7276">
      <c r="A7276" s="3" t="n">
        <v>2024</v>
      </c>
      <c r="B7276" s="4" t="n">
        <v>8700</v>
      </c>
      <c r="C7276" s="4" t="n">
        <v>1424</v>
      </c>
      <c r="D7276" s="4" t="n">
        <v>430.76</v>
      </c>
      <c r="E7276" s="5" t="n">
        <v>20.2</v>
      </c>
      <c r="F7276" s="3" t="inlineStr">
        <is>
          <t>전동면</t>
        </is>
      </c>
      <c r="G7276" s="3" t="inlineStr">
        <is>
          <t>청람리</t>
        </is>
      </c>
      <c r="H7276" s="3" t="inlineStr">
        <is>
          <t>농림지역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2024</v>
      </c>
      <c r="B7277" s="4" t="n">
        <v>240</v>
      </c>
      <c r="C7277" s="4" t="n">
        <v>25</v>
      </c>
      <c r="D7277" s="4" t="n">
        <v>7.5625</v>
      </c>
      <c r="E7277" s="5" t="n">
        <v>31.7</v>
      </c>
      <c r="F7277" s="3" t="inlineStr">
        <is>
          <t>금남면</t>
        </is>
      </c>
      <c r="G7277" s="3" t="inlineStr">
        <is>
          <t>호탄리</t>
        </is>
      </c>
      <c r="H7277" s="3" t="inlineStr">
        <is>
          <t>제1종일반주거지역</t>
        </is>
      </c>
      <c r="I7277" s="3" t="inlineStr">
        <is>
          <t>창고용지</t>
        </is>
      </c>
      <c r="J7277" s="3" t="inlineStr">
        <is>
          <t>금남면</t>
        </is>
      </c>
    </row>
    <row r="7278">
      <c r="A7278" s="3" t="n">
        <v>2024</v>
      </c>
      <c r="B7278" s="4" t="n">
        <v>57907</v>
      </c>
      <c r="C7278" s="4" t="n">
        <v>1679.5</v>
      </c>
      <c r="D7278" s="4" t="n">
        <v>508.04875</v>
      </c>
      <c r="E7278" s="5" t="n">
        <v>114</v>
      </c>
      <c r="F7278" s="3" t="inlineStr">
        <is>
          <t>연동면</t>
        </is>
      </c>
      <c r="G7278" s="3" t="inlineStr">
        <is>
          <t>응암리</t>
        </is>
      </c>
      <c r="H7278" s="3" t="inlineStr">
        <is>
          <t>농림지역</t>
        </is>
      </c>
      <c r="I7278" s="3" t="inlineStr">
        <is>
          <t>답</t>
        </is>
      </c>
      <c r="J7278" s="3" t="inlineStr">
        <is>
          <t>연동면</t>
        </is>
      </c>
    </row>
    <row r="7279">
      <c r="A7279" s="3" t="n">
        <v>2024</v>
      </c>
      <c r="B7279" s="4" t="n">
        <v>22487</v>
      </c>
      <c r="C7279" s="4" t="n">
        <v>660</v>
      </c>
      <c r="D7279" s="4" t="n">
        <v>199.65</v>
      </c>
      <c r="E7279" s="5" t="n">
        <v>112.6</v>
      </c>
      <c r="F7279" s="3" t="inlineStr">
        <is>
          <t>연동면</t>
        </is>
      </c>
      <c r="G7279" s="3" t="inlineStr">
        <is>
          <t>응암리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연동면</t>
        </is>
      </c>
    </row>
    <row r="7280">
      <c r="A7280" s="3" t="n">
        <v>2024</v>
      </c>
      <c r="B7280" s="4" t="n">
        <v>29606</v>
      </c>
      <c r="C7280" s="4" t="n">
        <v>869.2</v>
      </c>
      <c r="D7280" s="4" t="n">
        <v>262.933</v>
      </c>
      <c r="E7280" s="5" t="n">
        <v>112.6</v>
      </c>
      <c r="F7280" s="3" t="inlineStr">
        <is>
          <t>연동면</t>
        </is>
      </c>
      <c r="G7280" s="3" t="inlineStr">
        <is>
          <t>응암리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연동면</t>
        </is>
      </c>
    </row>
    <row r="7281">
      <c r="A7281" s="3" t="n">
        <v>2024</v>
      </c>
      <c r="B7281" s="4" t="n">
        <v>15000</v>
      </c>
      <c r="C7281" s="4" t="n">
        <v>323</v>
      </c>
      <c r="D7281" s="4" t="n">
        <v>97.7075</v>
      </c>
      <c r="E7281" s="5" t="n">
        <v>153.5</v>
      </c>
      <c r="F7281" s="3" t="inlineStr">
        <is>
          <t>금남면</t>
        </is>
      </c>
      <c r="G7281" s="3" t="inlineStr">
        <is>
          <t>성강리</t>
        </is>
      </c>
      <c r="H7281" s="3" t="inlineStr">
        <is>
          <t>생산관리지역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2024</v>
      </c>
      <c r="B7282" s="4" t="n">
        <v>18000</v>
      </c>
      <c r="C7282" s="4" t="n">
        <v>400</v>
      </c>
      <c r="D7282" s="4" t="n">
        <v>121</v>
      </c>
      <c r="E7282" s="5" t="n">
        <v>148.8</v>
      </c>
      <c r="F7282" s="3" t="inlineStr">
        <is>
          <t>금남면</t>
        </is>
      </c>
      <c r="G7282" s="3" t="inlineStr">
        <is>
          <t>성강리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금남면</t>
        </is>
      </c>
    </row>
    <row r="7283">
      <c r="A7283" s="3" t="n">
        <v>2024</v>
      </c>
      <c r="B7283" s="4" t="n">
        <v>172258</v>
      </c>
      <c r="C7283" s="4" t="n">
        <v>476</v>
      </c>
      <c r="D7283" s="4" t="n">
        <v>143.99</v>
      </c>
      <c r="E7283" s="5" t="n">
        <v>1196.3</v>
      </c>
      <c r="F7283" s="3" t="inlineStr">
        <is>
          <t>조치원읍</t>
        </is>
      </c>
      <c r="G7283" s="3" t="inlineStr">
        <is>
          <t>죽림리</t>
        </is>
      </c>
      <c r="H7283" s="3" t="inlineStr">
        <is>
          <t>일반상업지역</t>
        </is>
      </c>
      <c r="I7283" s="3" t="inlineStr">
        <is>
          <t>대</t>
        </is>
      </c>
      <c r="J7283" s="3" t="inlineStr">
        <is>
          <t>조치원읍</t>
        </is>
      </c>
    </row>
    <row r="7284">
      <c r="A7284" s="3" t="n">
        <v>2024</v>
      </c>
      <c r="B7284" s="4" t="n">
        <v>315926</v>
      </c>
      <c r="C7284" s="4" t="n">
        <v>873</v>
      </c>
      <c r="D7284" s="4" t="n">
        <v>264.0825</v>
      </c>
      <c r="E7284" s="5" t="n">
        <v>1196.3</v>
      </c>
      <c r="F7284" s="3" t="inlineStr">
        <is>
          <t>조치원읍</t>
        </is>
      </c>
      <c r="G7284" s="3" t="inlineStr">
        <is>
          <t>죽림리</t>
        </is>
      </c>
      <c r="H7284" s="3" t="inlineStr">
        <is>
          <t>일반상업지역</t>
        </is>
      </c>
      <c r="I7284" s="3" t="inlineStr">
        <is>
          <t>전</t>
        </is>
      </c>
      <c r="J7284" s="3" t="inlineStr">
        <is>
          <t>조치원읍</t>
        </is>
      </c>
    </row>
    <row r="7285">
      <c r="A7285" s="3" t="n">
        <v>2024</v>
      </c>
      <c r="B7285" s="4" t="n">
        <v>23550</v>
      </c>
      <c r="C7285" s="4" t="n">
        <v>5190</v>
      </c>
      <c r="D7285" s="4" t="n">
        <v>1569.975</v>
      </c>
      <c r="E7285" s="5" t="n">
        <v>15</v>
      </c>
      <c r="F7285" s="3" t="inlineStr">
        <is>
          <t>전의면</t>
        </is>
      </c>
      <c r="G7285" s="3" t="inlineStr">
        <is>
          <t>다방리</t>
        </is>
      </c>
      <c r="H7285" s="3" t="inlineStr">
        <is>
          <t>생산관리지역</t>
        </is>
      </c>
      <c r="I7285" s="3" t="inlineStr">
        <is>
          <t>전</t>
        </is>
      </c>
      <c r="J7285" s="3" t="inlineStr">
        <is>
          <t>전의면</t>
        </is>
      </c>
    </row>
    <row r="7286">
      <c r="A7286" s="3" t="n">
        <v>2024</v>
      </c>
      <c r="B7286" s="4" t="n">
        <v>2055</v>
      </c>
      <c r="C7286" s="4" t="n">
        <v>1359</v>
      </c>
      <c r="D7286" s="4" t="n">
        <v>411.0975</v>
      </c>
      <c r="E7286" s="5" t="n">
        <v>5</v>
      </c>
      <c r="F7286" s="3" t="inlineStr">
        <is>
          <t>전의면</t>
        </is>
      </c>
      <c r="G7286" s="3" t="inlineStr">
        <is>
          <t>다방리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전의면</t>
        </is>
      </c>
    </row>
    <row r="7287">
      <c r="A7287" s="3" t="n">
        <v>2024</v>
      </c>
      <c r="B7287" s="4" t="n">
        <v>390</v>
      </c>
      <c r="C7287" s="4" t="n">
        <v>258</v>
      </c>
      <c r="D7287" s="4" t="n">
        <v>78.045</v>
      </c>
      <c r="E7287" s="5" t="n">
        <v>5</v>
      </c>
      <c r="F7287" s="3" t="inlineStr">
        <is>
          <t>전의면</t>
        </is>
      </c>
      <c r="G7287" s="3" t="inlineStr">
        <is>
          <t>다방리</t>
        </is>
      </c>
      <c r="H7287" s="3" t="inlineStr">
        <is>
          <t>생산관리지역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2024</v>
      </c>
      <c r="B7288" s="4" t="n">
        <v>565</v>
      </c>
      <c r="C7288" s="4" t="n">
        <v>374</v>
      </c>
      <c r="D7288" s="4" t="n">
        <v>113.135</v>
      </c>
      <c r="E7288" s="5" t="n">
        <v>5</v>
      </c>
      <c r="F7288" s="3" t="inlineStr">
        <is>
          <t>전의면</t>
        </is>
      </c>
      <c r="G7288" s="3" t="inlineStr">
        <is>
          <t>다방리</t>
        </is>
      </c>
      <c r="H7288" s="3" t="inlineStr">
        <is>
          <t>생산관리지역</t>
        </is>
      </c>
      <c r="I7288" s="3" t="inlineStr">
        <is>
          <t>전</t>
        </is>
      </c>
      <c r="J7288" s="3" t="inlineStr">
        <is>
          <t>전의면</t>
        </is>
      </c>
    </row>
    <row r="7289">
      <c r="A7289" s="3" t="n">
        <v>2024</v>
      </c>
      <c r="B7289" s="4" t="n">
        <v>735</v>
      </c>
      <c r="C7289" s="4" t="n">
        <v>486</v>
      </c>
      <c r="D7289" s="4" t="n">
        <v>147.015</v>
      </c>
      <c r="E7289" s="5" t="n">
        <v>5</v>
      </c>
      <c r="F7289" s="3" t="inlineStr">
        <is>
          <t>전의면</t>
        </is>
      </c>
      <c r="G7289" s="3" t="inlineStr">
        <is>
          <t>다방리</t>
        </is>
      </c>
      <c r="H7289" s="3" t="inlineStr">
        <is>
          <t>생산관리지역</t>
        </is>
      </c>
      <c r="I7289" s="3" t="inlineStr">
        <is>
          <t>전</t>
        </is>
      </c>
      <c r="J7289" s="3" t="inlineStr">
        <is>
          <t>전의면</t>
        </is>
      </c>
    </row>
    <row r="7290">
      <c r="A7290" s="3" t="n">
        <v>2024</v>
      </c>
      <c r="B7290" s="4" t="n">
        <v>1665</v>
      </c>
      <c r="C7290" s="4" t="n">
        <v>1101</v>
      </c>
      <c r="D7290" s="4" t="n">
        <v>333.0525</v>
      </c>
      <c r="E7290" s="5" t="n">
        <v>5</v>
      </c>
      <c r="F7290" s="3" t="inlineStr">
        <is>
          <t>전의면</t>
        </is>
      </c>
      <c r="G7290" s="3" t="inlineStr">
        <is>
          <t>다방리</t>
        </is>
      </c>
      <c r="H7290" s="3" t="inlineStr">
        <is>
          <t>생산관리지역</t>
        </is>
      </c>
      <c r="I7290" s="3" t="inlineStr">
        <is>
          <t>전</t>
        </is>
      </c>
      <c r="J7290" s="3" t="inlineStr">
        <is>
          <t>전의면</t>
        </is>
      </c>
    </row>
    <row r="7291">
      <c r="A7291" s="3" t="n">
        <v>2024</v>
      </c>
      <c r="B7291" s="4" t="n">
        <v>885</v>
      </c>
      <c r="C7291" s="4" t="n">
        <v>585</v>
      </c>
      <c r="D7291" s="4" t="n">
        <v>176.9625</v>
      </c>
      <c r="E7291" s="5" t="n">
        <v>5</v>
      </c>
      <c r="F7291" s="3" t="inlineStr">
        <is>
          <t>전의면</t>
        </is>
      </c>
      <c r="G7291" s="3" t="inlineStr">
        <is>
          <t>다방리</t>
        </is>
      </c>
      <c r="H7291" s="3" t="inlineStr">
        <is>
          <t>농림지역</t>
        </is>
      </c>
      <c r="I7291" s="3" t="inlineStr">
        <is>
          <t>전</t>
        </is>
      </c>
      <c r="J7291" s="3" t="inlineStr">
        <is>
          <t>전의면</t>
        </is>
      </c>
    </row>
    <row r="7292">
      <c r="A7292" s="3" t="n">
        <v>2024</v>
      </c>
      <c r="B7292" s="4" t="n">
        <v>960</v>
      </c>
      <c r="C7292" s="4" t="n">
        <v>635</v>
      </c>
      <c r="D7292" s="4" t="n">
        <v>192.0875</v>
      </c>
      <c r="E7292" s="5" t="n">
        <v>5</v>
      </c>
      <c r="F7292" s="3" t="inlineStr">
        <is>
          <t>전의면</t>
        </is>
      </c>
      <c r="G7292" s="3" t="inlineStr">
        <is>
          <t>다방리</t>
        </is>
      </c>
      <c r="H7292" s="3" t="inlineStr">
        <is>
          <t>보전관리지역</t>
        </is>
      </c>
      <c r="I7292" s="3" t="inlineStr">
        <is>
          <t>전</t>
        </is>
      </c>
      <c r="J7292" s="3" t="inlineStr">
        <is>
          <t>전의면</t>
        </is>
      </c>
    </row>
    <row r="7293">
      <c r="A7293" s="3" t="n">
        <v>2024</v>
      </c>
      <c r="B7293" s="4" t="n">
        <v>1260</v>
      </c>
      <c r="C7293" s="4" t="n">
        <v>833</v>
      </c>
      <c r="D7293" s="4" t="n">
        <v>251.9825</v>
      </c>
      <c r="E7293" s="5" t="n">
        <v>5</v>
      </c>
      <c r="F7293" s="3" t="inlineStr">
        <is>
          <t>전의면</t>
        </is>
      </c>
      <c r="G7293" s="3" t="inlineStr">
        <is>
          <t>다방리</t>
        </is>
      </c>
      <c r="H7293" s="3" t="inlineStr">
        <is>
          <t>농림지역</t>
        </is>
      </c>
      <c r="I7293" s="3" t="inlineStr">
        <is>
          <t>전</t>
        </is>
      </c>
      <c r="J7293" s="3" t="inlineStr">
        <is>
          <t>전의면</t>
        </is>
      </c>
    </row>
    <row r="7294">
      <c r="A7294" s="3" t="n">
        <v>2024</v>
      </c>
      <c r="B7294" s="4" t="n">
        <v>395</v>
      </c>
      <c r="C7294" s="4" t="n">
        <v>261</v>
      </c>
      <c r="D7294" s="4" t="n">
        <v>78.9525</v>
      </c>
      <c r="E7294" s="5" t="n">
        <v>5</v>
      </c>
      <c r="F7294" s="3" t="inlineStr">
        <is>
          <t>전의면</t>
        </is>
      </c>
      <c r="G7294" s="3" t="inlineStr">
        <is>
          <t>다방리</t>
        </is>
      </c>
      <c r="H7294" s="3" t="inlineStr">
        <is>
          <t>농림지역</t>
        </is>
      </c>
      <c r="I7294" s="3" t="inlineStr">
        <is>
          <t>전</t>
        </is>
      </c>
      <c r="J7294" s="3" t="inlineStr">
        <is>
          <t>전의면</t>
        </is>
      </c>
    </row>
    <row r="7295">
      <c r="A7295" s="3" t="n">
        <v>2024</v>
      </c>
      <c r="B7295" s="4" t="n">
        <v>1250</v>
      </c>
      <c r="C7295" s="4" t="n">
        <v>826</v>
      </c>
      <c r="D7295" s="4" t="n">
        <v>249.865</v>
      </c>
      <c r="E7295" s="5" t="n">
        <v>5</v>
      </c>
      <c r="F7295" s="3" t="inlineStr">
        <is>
          <t>전의면</t>
        </is>
      </c>
      <c r="G7295" s="3" t="inlineStr">
        <is>
          <t>다방리</t>
        </is>
      </c>
      <c r="H7295" s="3" t="inlineStr">
        <is>
          <t>농림지역</t>
        </is>
      </c>
      <c r="I7295" s="3" t="inlineStr">
        <is>
          <t>전</t>
        </is>
      </c>
      <c r="J7295" s="3" t="inlineStr">
        <is>
          <t>전의면</t>
        </is>
      </c>
    </row>
    <row r="7296">
      <c r="A7296" s="3" t="n">
        <v>2024</v>
      </c>
      <c r="B7296" s="4" t="n">
        <v>345</v>
      </c>
      <c r="C7296" s="4" t="n">
        <v>228</v>
      </c>
      <c r="D7296" s="4" t="n">
        <v>68.97</v>
      </c>
      <c r="E7296" s="5" t="n">
        <v>5</v>
      </c>
      <c r="F7296" s="3" t="inlineStr">
        <is>
          <t>전의면</t>
        </is>
      </c>
      <c r="G7296" s="3" t="inlineStr">
        <is>
          <t>다방리</t>
        </is>
      </c>
      <c r="H7296" s="3" t="inlineStr">
        <is>
          <t>보전관리지역</t>
        </is>
      </c>
      <c r="I7296" s="3" t="inlineStr">
        <is>
          <t>전</t>
        </is>
      </c>
      <c r="J7296" s="3" t="inlineStr">
        <is>
          <t>전의면</t>
        </is>
      </c>
    </row>
    <row r="7297">
      <c r="A7297" s="3" t="n">
        <v>2024</v>
      </c>
      <c r="B7297" s="4" t="n">
        <v>1485</v>
      </c>
      <c r="C7297" s="4" t="n">
        <v>982</v>
      </c>
      <c r="D7297" s="4" t="n">
        <v>297.055</v>
      </c>
      <c r="E7297" s="5" t="n">
        <v>5</v>
      </c>
      <c r="F7297" s="3" t="inlineStr">
        <is>
          <t>전의면</t>
        </is>
      </c>
      <c r="G7297" s="3" t="inlineStr">
        <is>
          <t>다방리</t>
        </is>
      </c>
      <c r="H7297" s="3" t="inlineStr">
        <is>
          <t>농림지역</t>
        </is>
      </c>
      <c r="I7297" s="3" t="inlineStr">
        <is>
          <t>전</t>
        </is>
      </c>
      <c r="J7297" s="3" t="inlineStr">
        <is>
          <t>전의면</t>
        </is>
      </c>
    </row>
    <row r="7298">
      <c r="A7298" s="3" t="n">
        <v>2024</v>
      </c>
      <c r="B7298" s="4" t="n">
        <v>3420</v>
      </c>
      <c r="C7298" s="4" t="n">
        <v>2261</v>
      </c>
      <c r="D7298" s="4" t="n">
        <v>683.9525</v>
      </c>
      <c r="E7298" s="5" t="n">
        <v>5</v>
      </c>
      <c r="F7298" s="3" t="inlineStr">
        <is>
          <t>전의면</t>
        </is>
      </c>
      <c r="G7298" s="3" t="inlineStr">
        <is>
          <t>다방리</t>
        </is>
      </c>
      <c r="H7298" s="3" t="inlineStr">
        <is>
          <t>생산관리지역</t>
        </is>
      </c>
      <c r="I7298" s="3" t="inlineStr">
        <is>
          <t>답</t>
        </is>
      </c>
      <c r="J7298" s="3" t="inlineStr">
        <is>
          <t>전의면</t>
        </is>
      </c>
    </row>
    <row r="7299">
      <c r="A7299" s="3" t="n">
        <v>2025</v>
      </c>
      <c r="B7299" s="4" t="n">
        <v>3395</v>
      </c>
      <c r="C7299" s="4" t="n">
        <v>176</v>
      </c>
      <c r="D7299" s="4" t="n">
        <v>53.23999999999999</v>
      </c>
      <c r="E7299" s="5" t="n">
        <v>63.8</v>
      </c>
      <c r="F7299" s="3" t="inlineStr">
        <is>
          <t>전의면</t>
        </is>
      </c>
      <c r="G7299" s="3" t="inlineStr">
        <is>
          <t>달전리</t>
        </is>
      </c>
      <c r="H7299" s="3" t="inlineStr">
        <is>
          <t>계획관리지역</t>
        </is>
      </c>
      <c r="I7299" s="3" t="inlineStr">
        <is>
          <t>전</t>
        </is>
      </c>
      <c r="J7299" s="3" t="inlineStr">
        <is>
          <t>전의면</t>
        </is>
      </c>
    </row>
    <row r="7300">
      <c r="A7300" s="3" t="n">
        <v>2025</v>
      </c>
      <c r="B7300" s="4" t="n">
        <v>3715</v>
      </c>
      <c r="C7300" s="4" t="n">
        <v>191</v>
      </c>
      <c r="D7300" s="4" t="n">
        <v>57.7775</v>
      </c>
      <c r="E7300" s="5" t="n">
        <v>64.3</v>
      </c>
      <c r="F7300" s="3" t="inlineStr">
        <is>
          <t>전의면</t>
        </is>
      </c>
      <c r="G7300" s="3" t="inlineStr">
        <is>
          <t>달전리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전의면</t>
        </is>
      </c>
    </row>
    <row r="7301">
      <c r="A7301" s="3" t="n">
        <v>2025</v>
      </c>
      <c r="B7301" s="4" t="n">
        <v>10000</v>
      </c>
      <c r="C7301" s="4" t="n">
        <v>9289</v>
      </c>
      <c r="D7301" s="4" t="n">
        <v>2809.9225</v>
      </c>
      <c r="E7301" s="5" t="n">
        <v>3.6</v>
      </c>
      <c r="F7301" s="3" t="inlineStr">
        <is>
          <t>전의면</t>
        </is>
      </c>
      <c r="G7301" s="3" t="inlineStr">
        <is>
          <t>달전리</t>
        </is>
      </c>
      <c r="H7301" s="3" t="inlineStr">
        <is>
          <t>보전관리지역</t>
        </is>
      </c>
      <c r="I7301" s="3" t="inlineStr">
        <is>
          <t>임야</t>
        </is>
      </c>
      <c r="J7301" s="3" t="inlineStr">
        <is>
          <t>전의면</t>
        </is>
      </c>
    </row>
    <row r="7302">
      <c r="A7302" s="3" t="n">
        <v>2025</v>
      </c>
      <c r="B7302" s="4" t="n">
        <v>12000</v>
      </c>
      <c r="C7302" s="4" t="n">
        <v>677</v>
      </c>
      <c r="D7302" s="4" t="n">
        <v>204.7925</v>
      </c>
      <c r="E7302" s="5" t="n">
        <v>58.6</v>
      </c>
      <c r="F7302" s="3" t="inlineStr">
        <is>
          <t>전동면</t>
        </is>
      </c>
      <c r="G7302" s="3" t="inlineStr">
        <is>
          <t>송곡리</t>
        </is>
      </c>
      <c r="H7302" s="3" t="inlineStr">
        <is>
          <t>보전관리지역</t>
        </is>
      </c>
      <c r="I7302" s="3" t="inlineStr">
        <is>
          <t>전</t>
        </is>
      </c>
      <c r="J7302" s="3" t="inlineStr">
        <is>
          <t>전동면</t>
        </is>
      </c>
    </row>
    <row r="7303">
      <c r="A7303" s="3" t="n">
        <v>2025</v>
      </c>
      <c r="B7303" s="4" t="n">
        <v>619365</v>
      </c>
      <c r="C7303" s="4" t="n">
        <v>5850</v>
      </c>
      <c r="D7303" s="4" t="n">
        <v>1769.625</v>
      </c>
      <c r="E7303" s="5" t="n">
        <v>350</v>
      </c>
      <c r="F7303" s="3" t="inlineStr">
        <is>
          <t>부강면</t>
        </is>
      </c>
      <c r="G7303" s="3" t="inlineStr">
        <is>
          <t>부강리</t>
        </is>
      </c>
      <c r="H7303" s="3" t="inlineStr">
        <is>
          <t>계획관리지역</t>
        </is>
      </c>
      <c r="I7303" s="3" t="inlineStr">
        <is>
          <t>공장용지</t>
        </is>
      </c>
      <c r="J7303" s="3" t="inlineStr">
        <is>
          <t>부강면</t>
        </is>
      </c>
    </row>
    <row r="7304">
      <c r="A7304" s="3" t="n">
        <v>2025</v>
      </c>
      <c r="B7304" s="4" t="n">
        <v>3397</v>
      </c>
      <c r="C7304" s="4" t="n">
        <v>138</v>
      </c>
      <c r="D7304" s="4" t="n">
        <v>41.745</v>
      </c>
      <c r="E7304" s="5" t="n">
        <v>81.40000000000001</v>
      </c>
      <c r="F7304" s="3" t="inlineStr">
        <is>
          <t>전의면</t>
        </is>
      </c>
      <c r="G7304" s="3" t="inlineStr">
        <is>
          <t>신흥리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전의면</t>
        </is>
      </c>
    </row>
    <row r="7305">
      <c r="A7305" s="3" t="n">
        <v>2025</v>
      </c>
      <c r="B7305" s="4" t="n">
        <v>443</v>
      </c>
      <c r="C7305" s="4" t="n">
        <v>18</v>
      </c>
      <c r="D7305" s="4" t="n">
        <v>5.445</v>
      </c>
      <c r="E7305" s="5" t="n">
        <v>81.40000000000001</v>
      </c>
      <c r="F7305" s="3" t="inlineStr">
        <is>
          <t>전의면</t>
        </is>
      </c>
      <c r="G7305" s="3" t="inlineStr">
        <is>
          <t>신흥리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전의면</t>
        </is>
      </c>
    </row>
    <row r="7306">
      <c r="A7306" s="3" t="n">
        <v>2025</v>
      </c>
      <c r="B7306" s="4" t="n">
        <v>4000</v>
      </c>
      <c r="C7306" s="4" t="n">
        <v>235</v>
      </c>
      <c r="D7306" s="4" t="n">
        <v>71.08749999999999</v>
      </c>
      <c r="E7306" s="5" t="n">
        <v>56.3</v>
      </c>
      <c r="F7306" s="3" t="inlineStr">
        <is>
          <t>전의면</t>
        </is>
      </c>
      <c r="G7306" s="3" t="inlineStr">
        <is>
          <t>달전리</t>
        </is>
      </c>
      <c r="H7306" s="3" t="inlineStr">
        <is>
          <t>계획관리지역</t>
        </is>
      </c>
      <c r="I7306" s="3" t="inlineStr">
        <is>
          <t>전</t>
        </is>
      </c>
      <c r="J7306" s="3" t="inlineStr">
        <is>
          <t>전의면</t>
        </is>
      </c>
    </row>
    <row r="7307">
      <c r="A7307" s="3" t="n">
        <v>2025</v>
      </c>
      <c r="B7307" s="4" t="n">
        <v>33807</v>
      </c>
      <c r="C7307" s="4" t="n">
        <v>1283</v>
      </c>
      <c r="D7307" s="4" t="n">
        <v>388.1075</v>
      </c>
      <c r="E7307" s="5" t="n">
        <v>87.09999999999999</v>
      </c>
      <c r="F7307" s="3" t="inlineStr">
        <is>
          <t>연동면</t>
        </is>
      </c>
      <c r="G7307" s="3" t="inlineStr">
        <is>
          <t>응암리</t>
        </is>
      </c>
      <c r="H7307" s="3" t="inlineStr">
        <is>
          <t>계획관리지역</t>
        </is>
      </c>
      <c r="I7307" s="3" t="inlineStr">
        <is>
          <t>목장용지</t>
        </is>
      </c>
      <c r="J7307" s="3" t="inlineStr">
        <is>
          <t>연동면</t>
        </is>
      </c>
    </row>
    <row r="7308">
      <c r="A7308" s="3" t="n">
        <v>2025</v>
      </c>
      <c r="B7308" s="4" t="n">
        <v>23767</v>
      </c>
      <c r="C7308" s="4" t="n">
        <v>902</v>
      </c>
      <c r="D7308" s="4" t="n">
        <v>272.855</v>
      </c>
      <c r="E7308" s="5" t="n">
        <v>87.09999999999999</v>
      </c>
      <c r="F7308" s="3" t="inlineStr">
        <is>
          <t>연동면</t>
        </is>
      </c>
      <c r="G7308" s="3" t="inlineStr">
        <is>
          <t>응암리</t>
        </is>
      </c>
      <c r="H7308" s="3" t="inlineStr">
        <is>
          <t>계획관리지역</t>
        </is>
      </c>
      <c r="I7308" s="3" t="inlineStr">
        <is>
          <t>목장용지</t>
        </is>
      </c>
      <c r="J7308" s="3" t="inlineStr">
        <is>
          <t>연동면</t>
        </is>
      </c>
    </row>
    <row r="7309">
      <c r="A7309" s="3" t="n">
        <v>2025</v>
      </c>
      <c r="B7309" s="4" t="n">
        <v>33622</v>
      </c>
      <c r="C7309" s="4" t="n">
        <v>1276</v>
      </c>
      <c r="D7309" s="4" t="n">
        <v>385.99</v>
      </c>
      <c r="E7309" s="5" t="n">
        <v>87.09999999999999</v>
      </c>
      <c r="F7309" s="3" t="inlineStr">
        <is>
          <t>연동면</t>
        </is>
      </c>
      <c r="G7309" s="3" t="inlineStr">
        <is>
          <t>응암리</t>
        </is>
      </c>
      <c r="H7309" s="3" t="inlineStr">
        <is>
          <t>계획관리지역</t>
        </is>
      </c>
      <c r="I7309" s="3" t="inlineStr">
        <is>
          <t>목장용지</t>
        </is>
      </c>
      <c r="J7309" s="3" t="inlineStr">
        <is>
          <t>연동면</t>
        </is>
      </c>
    </row>
    <row r="7310">
      <c r="A7310" s="3" t="n">
        <v>2025</v>
      </c>
      <c r="B7310" s="4" t="n">
        <v>3952</v>
      </c>
      <c r="C7310" s="4" t="n">
        <v>150</v>
      </c>
      <c r="D7310" s="4" t="n">
        <v>45.375</v>
      </c>
      <c r="E7310" s="5" t="n">
        <v>87.09999999999999</v>
      </c>
      <c r="F7310" s="3" t="inlineStr">
        <is>
          <t>연동면</t>
        </is>
      </c>
      <c r="G7310" s="3" t="inlineStr">
        <is>
          <t>응암리</t>
        </is>
      </c>
      <c r="H7310" s="3" t="inlineStr">
        <is>
          <t>계획관리지역</t>
        </is>
      </c>
      <c r="I7310" s="3" t="inlineStr">
        <is>
          <t>목장용지</t>
        </is>
      </c>
      <c r="J7310" s="3" t="inlineStr">
        <is>
          <t>연동면</t>
        </is>
      </c>
    </row>
    <row r="7311">
      <c r="A7311" s="3" t="n">
        <v>2025</v>
      </c>
      <c r="B7311" s="4" t="n">
        <v>60000</v>
      </c>
      <c r="C7311" s="4" t="n">
        <v>1060</v>
      </c>
      <c r="D7311" s="4" t="n">
        <v>320.65</v>
      </c>
      <c r="E7311" s="5" t="n">
        <v>187.1</v>
      </c>
      <c r="F7311" s="3" t="inlineStr">
        <is>
          <t>장군면</t>
        </is>
      </c>
      <c r="G7311" s="3" t="inlineStr">
        <is>
          <t>은용리</t>
        </is>
      </c>
      <c r="H7311" s="3" t="inlineStr">
        <is>
          <t>계획관리지역</t>
        </is>
      </c>
      <c r="I7311" s="3" t="inlineStr">
        <is>
          <t>전</t>
        </is>
      </c>
      <c r="J7311" s="3" t="inlineStr">
        <is>
          <t>장군면</t>
        </is>
      </c>
    </row>
    <row r="7312">
      <c r="A7312" s="3" t="n">
        <v>2025</v>
      </c>
      <c r="B7312" s="4" t="n">
        <v>20000</v>
      </c>
      <c r="C7312" s="4" t="n">
        <v>368</v>
      </c>
      <c r="D7312" s="4" t="n">
        <v>111.32</v>
      </c>
      <c r="E7312" s="5" t="n">
        <v>179.7</v>
      </c>
      <c r="F7312" s="3" t="inlineStr">
        <is>
          <t>연기면</t>
        </is>
      </c>
      <c r="G7312" s="3" t="inlineStr">
        <is>
          <t>수산리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연기면</t>
        </is>
      </c>
    </row>
    <row r="7313">
      <c r="A7313" s="3" t="n">
        <v>2025</v>
      </c>
      <c r="B7313" s="4" t="n">
        <v>38000</v>
      </c>
      <c r="C7313" s="4" t="n">
        <v>21604</v>
      </c>
      <c r="D7313" s="4" t="n">
        <v>6535.21</v>
      </c>
      <c r="E7313" s="5" t="n">
        <v>5.8</v>
      </c>
      <c r="F7313" s="3" t="inlineStr">
        <is>
          <t>부강면</t>
        </is>
      </c>
      <c r="G7313" s="3" t="inlineStr">
        <is>
          <t>등곡리</t>
        </is>
      </c>
      <c r="H7313" s="3" t="inlineStr">
        <is>
          <t>보전관리지역</t>
        </is>
      </c>
      <c r="I7313" s="3" t="inlineStr">
        <is>
          <t>임야</t>
        </is>
      </c>
      <c r="J7313" s="3" t="inlineStr">
        <is>
          <t>부강면</t>
        </is>
      </c>
    </row>
    <row r="7314">
      <c r="A7314" s="3" t="n">
        <v>2023</v>
      </c>
      <c r="B7314" s="4" t="n">
        <v>27278</v>
      </c>
      <c r="C7314" s="4" t="n">
        <v>390</v>
      </c>
      <c r="D7314" s="4" t="n">
        <v>117.975</v>
      </c>
      <c r="E7314" s="5" t="n">
        <v>231.2</v>
      </c>
      <c r="F7314" s="3" t="inlineStr">
        <is>
          <t>전의면</t>
        </is>
      </c>
      <c r="G7314" s="3" t="inlineStr">
        <is>
          <t>달전리</t>
        </is>
      </c>
      <c r="H7314" s="3" t="inlineStr">
        <is>
          <t>보전관리지역</t>
        </is>
      </c>
      <c r="I7314" s="3" t="inlineStr">
        <is>
          <t>답</t>
        </is>
      </c>
      <c r="J7314" s="3" t="inlineStr">
        <is>
          <t>전의면</t>
        </is>
      </c>
    </row>
    <row r="7315">
      <c r="A7315" s="3" t="n">
        <v>2023</v>
      </c>
      <c r="B7315" s="4" t="n">
        <v>18000</v>
      </c>
      <c r="C7315" s="4" t="n">
        <v>992</v>
      </c>
      <c r="D7315" s="4" t="n">
        <v>300.08</v>
      </c>
      <c r="E7315" s="5" t="n">
        <v>60</v>
      </c>
      <c r="F7315" s="3" t="inlineStr">
        <is>
          <t>금남면</t>
        </is>
      </c>
      <c r="G7315" s="3" t="inlineStr">
        <is>
          <t>용담리</t>
        </is>
      </c>
      <c r="H7315" s="3" t="inlineStr">
        <is>
          <t>개발제한구역</t>
        </is>
      </c>
      <c r="I7315" s="3" t="inlineStr">
        <is>
          <t>전</t>
        </is>
      </c>
      <c r="J7315" s="3" t="inlineStr">
        <is>
          <t>금남면</t>
        </is>
      </c>
    </row>
    <row r="7316">
      <c r="A7316" s="3" t="n">
        <v>2023</v>
      </c>
      <c r="B7316" s="4" t="n">
        <v>42455</v>
      </c>
      <c r="C7316" s="4" t="n">
        <v>1541</v>
      </c>
      <c r="D7316" s="4" t="n">
        <v>466.1525</v>
      </c>
      <c r="E7316" s="5" t="n">
        <v>91.09999999999999</v>
      </c>
      <c r="F7316" s="3" t="inlineStr">
        <is>
          <t>전동면</t>
        </is>
      </c>
      <c r="G7316" s="3" t="inlineStr">
        <is>
          <t>송성리</t>
        </is>
      </c>
      <c r="H7316" s="3" t="inlineStr">
        <is>
          <t>계획관리지역</t>
        </is>
      </c>
      <c r="I7316" s="3" t="inlineStr">
        <is>
          <t>공장용지</t>
        </is>
      </c>
      <c r="J7316" s="3" t="inlineStr">
        <is>
          <t>전동면</t>
        </is>
      </c>
    </row>
    <row r="7317">
      <c r="A7317" s="3" t="n">
        <v>2023</v>
      </c>
      <c r="B7317" s="4" t="n">
        <v>89200</v>
      </c>
      <c r="C7317" s="4" t="n">
        <v>661</v>
      </c>
      <c r="D7317" s="4" t="n">
        <v>199.9525</v>
      </c>
      <c r="E7317" s="5" t="n">
        <v>446.1</v>
      </c>
      <c r="F7317" s="3" t="inlineStr">
        <is>
          <t>장군면</t>
        </is>
      </c>
      <c r="G7317" s="3" t="inlineStr">
        <is>
          <t>금암리</t>
        </is>
      </c>
      <c r="H7317" s="3" t="inlineStr">
        <is>
          <t>보전관리지역</t>
        </is>
      </c>
      <c r="I7317" s="3" t="inlineStr">
        <is>
          <t>임야</t>
        </is>
      </c>
      <c r="J7317" s="3" t="inlineStr">
        <is>
          <t>장군면</t>
        </is>
      </c>
    </row>
    <row r="7318">
      <c r="A7318" s="3" t="n">
        <v>2023</v>
      </c>
      <c r="B7318" s="4" t="n">
        <v>9700</v>
      </c>
      <c r="C7318" s="4" t="n">
        <v>1081</v>
      </c>
      <c r="D7318" s="4" t="n">
        <v>327.0025</v>
      </c>
      <c r="E7318" s="5" t="n">
        <v>29.7</v>
      </c>
      <c r="F7318" s="3" t="inlineStr">
        <is>
          <t>금남면</t>
        </is>
      </c>
      <c r="G7318" s="3" t="inlineStr">
        <is>
          <t>황용리</t>
        </is>
      </c>
      <c r="H7318" s="3" t="inlineStr">
        <is>
          <t>개발제한구역</t>
        </is>
      </c>
      <c r="I7318" s="3" t="inlineStr">
        <is>
          <t>전</t>
        </is>
      </c>
      <c r="J7318" s="3" t="inlineStr">
        <is>
          <t>금남면</t>
        </is>
      </c>
    </row>
    <row r="7319">
      <c r="A7319" s="3" t="n">
        <v>2023</v>
      </c>
      <c r="B7319" s="4" t="n">
        <v>11000</v>
      </c>
      <c r="C7319" s="4" t="n">
        <v>625</v>
      </c>
      <c r="D7319" s="4" t="n">
        <v>189.0625</v>
      </c>
      <c r="E7319" s="5" t="n">
        <v>58.2</v>
      </c>
      <c r="F7319" s="3" t="inlineStr">
        <is>
          <t>전동면</t>
        </is>
      </c>
      <c r="G7319" s="3" t="inlineStr">
        <is>
          <t>석곡리</t>
        </is>
      </c>
      <c r="H7319" s="3" t="inlineStr">
        <is>
          <t>생산관리지역</t>
        </is>
      </c>
      <c r="I7319" s="3" t="inlineStr">
        <is>
          <t>과수원</t>
        </is>
      </c>
      <c r="J7319" s="3" t="inlineStr">
        <is>
          <t>전동면</t>
        </is>
      </c>
    </row>
    <row r="7320">
      <c r="A7320" s="3" t="n">
        <v>2022</v>
      </c>
      <c r="B7320" s="4" t="n">
        <v>119100</v>
      </c>
      <c r="C7320" s="4" t="n">
        <v>5096</v>
      </c>
      <c r="D7320" s="4" t="n">
        <v>1541.54</v>
      </c>
      <c r="E7320" s="5" t="n">
        <v>77.3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연기면</t>
        </is>
      </c>
    </row>
    <row r="7321">
      <c r="A7321" s="3" t="n">
        <v>2022</v>
      </c>
      <c r="B7321" s="4" t="n">
        <v>6400</v>
      </c>
      <c r="C7321" s="4" t="n">
        <v>1063</v>
      </c>
      <c r="D7321" s="4" t="n">
        <v>321.5575</v>
      </c>
      <c r="E7321" s="5" t="n">
        <v>19.9</v>
      </c>
      <c r="F7321" s="3" t="inlineStr">
        <is>
          <t>연기면</t>
        </is>
      </c>
      <c r="G7321" s="3" t="inlineStr">
        <is>
          <t>수산리</t>
        </is>
      </c>
      <c r="H7321" s="3" t="inlineStr">
        <is>
          <t>보전관리지역</t>
        </is>
      </c>
      <c r="I7321" s="3" t="inlineStr">
        <is>
          <t>전</t>
        </is>
      </c>
      <c r="J7321" s="3" t="inlineStr">
        <is>
          <t>연기면</t>
        </is>
      </c>
    </row>
    <row r="7322">
      <c r="A7322" s="3" t="n">
        <v>2022</v>
      </c>
      <c r="B7322" s="4" t="n">
        <v>46900</v>
      </c>
      <c r="C7322" s="4" t="n">
        <v>3132</v>
      </c>
      <c r="D7322" s="4" t="n">
        <v>947.4299999999999</v>
      </c>
      <c r="E7322" s="5" t="n">
        <v>49.5</v>
      </c>
      <c r="F7322" s="3" t="inlineStr">
        <is>
          <t>연기면</t>
        </is>
      </c>
      <c r="G7322" s="3" t="inlineStr">
        <is>
          <t>수산리</t>
        </is>
      </c>
      <c r="H7322" s="3" t="inlineStr">
        <is>
          <t>보전관리지역</t>
        </is>
      </c>
      <c r="I7322" s="3" t="inlineStr">
        <is>
          <t>전</t>
        </is>
      </c>
      <c r="J7322" s="3" t="inlineStr">
        <is>
          <t>연기면</t>
        </is>
      </c>
    </row>
    <row r="7323">
      <c r="A7323" s="3" t="n">
        <v>2022</v>
      </c>
      <c r="B7323" s="4" t="n">
        <v>11300</v>
      </c>
      <c r="C7323" s="4" t="n">
        <v>2758</v>
      </c>
      <c r="D7323" s="4" t="n">
        <v>834.295</v>
      </c>
      <c r="E7323" s="5" t="n">
        <v>13.5</v>
      </c>
      <c r="F7323" s="3" t="inlineStr">
        <is>
          <t>연기면</t>
        </is>
      </c>
      <c r="G7323" s="3" t="inlineStr">
        <is>
          <t>수산리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연기면</t>
        </is>
      </c>
    </row>
    <row r="7324">
      <c r="A7324" s="3" t="n">
        <v>2022</v>
      </c>
      <c r="B7324" s="4" t="n">
        <v>46900</v>
      </c>
      <c r="C7324" s="4" t="n">
        <v>3132</v>
      </c>
      <c r="D7324" s="4" t="n">
        <v>947.4299999999999</v>
      </c>
      <c r="E7324" s="5" t="n">
        <v>49.5</v>
      </c>
      <c r="F7324" s="3" t="inlineStr">
        <is>
          <t>연기면</t>
        </is>
      </c>
      <c r="G7324" s="3" t="inlineStr">
        <is>
          <t>수산리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연기면</t>
        </is>
      </c>
    </row>
    <row r="7325">
      <c r="A7325" s="3" t="n">
        <v>2022</v>
      </c>
      <c r="B7325" s="4" t="n">
        <v>13000</v>
      </c>
      <c r="C7325" s="4" t="n">
        <v>790</v>
      </c>
      <c r="D7325" s="4" t="n">
        <v>238.975</v>
      </c>
      <c r="E7325" s="5" t="n">
        <v>54.4</v>
      </c>
      <c r="F7325" s="3" t="inlineStr">
        <is>
          <t>연기면</t>
        </is>
      </c>
      <c r="G7325" s="3" t="inlineStr">
        <is>
          <t>수산리</t>
        </is>
      </c>
      <c r="H7325" s="3" t="inlineStr">
        <is>
          <t>계획관리지역</t>
        </is>
      </c>
      <c r="I7325" s="3" t="inlineStr">
        <is>
          <t>전</t>
        </is>
      </c>
      <c r="J7325" s="3" t="inlineStr">
        <is>
          <t>연기면</t>
        </is>
      </c>
    </row>
    <row r="7326">
      <c r="A7326" s="3" t="n">
        <v>2022</v>
      </c>
      <c r="B7326" s="4" t="n">
        <v>6400</v>
      </c>
      <c r="C7326" s="4" t="n">
        <v>1063</v>
      </c>
      <c r="D7326" s="4" t="n">
        <v>321.5575</v>
      </c>
      <c r="E7326" s="5" t="n">
        <v>19.9</v>
      </c>
      <c r="F7326" s="3" t="inlineStr">
        <is>
          <t>연기면</t>
        </is>
      </c>
      <c r="G7326" s="3" t="inlineStr">
        <is>
          <t>수산리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연기면</t>
        </is>
      </c>
    </row>
    <row r="7327">
      <c r="A7327" s="3" t="n">
        <v>2022</v>
      </c>
      <c r="B7327" s="4" t="n">
        <v>119100</v>
      </c>
      <c r="C7327" s="4" t="n">
        <v>5096</v>
      </c>
      <c r="D7327" s="4" t="n">
        <v>1541.54</v>
      </c>
      <c r="E7327" s="5" t="n">
        <v>77.3</v>
      </c>
      <c r="F7327" s="3" t="inlineStr">
        <is>
          <t>연기면</t>
        </is>
      </c>
      <c r="G7327" s="3" t="inlineStr">
        <is>
          <t>수산리</t>
        </is>
      </c>
      <c r="H7327" s="3" t="inlineStr">
        <is>
          <t>보전관리지역</t>
        </is>
      </c>
      <c r="I7327" s="3" t="inlineStr">
        <is>
          <t>전</t>
        </is>
      </c>
      <c r="J7327" s="3" t="inlineStr">
        <is>
          <t>연기면</t>
        </is>
      </c>
    </row>
    <row r="7328">
      <c r="A7328" s="3" t="n">
        <v>2022</v>
      </c>
      <c r="B7328" s="4" t="n">
        <v>82500</v>
      </c>
      <c r="C7328" s="4" t="n">
        <v>1675</v>
      </c>
      <c r="D7328" s="4" t="n">
        <v>506.6875</v>
      </c>
      <c r="E7328" s="5" t="n">
        <v>162.8</v>
      </c>
      <c r="F7328" s="3" t="inlineStr">
        <is>
          <t>장군면</t>
        </is>
      </c>
      <c r="G7328" s="3" t="inlineStr">
        <is>
          <t>송학리</t>
        </is>
      </c>
      <c r="H7328" s="3" t="inlineStr">
        <is>
          <t>계획관리지역</t>
        </is>
      </c>
      <c r="I7328" s="3" t="inlineStr">
        <is>
          <t>답</t>
        </is>
      </c>
      <c r="J7328" s="3" t="inlineStr">
        <is>
          <t>장군면</t>
        </is>
      </c>
    </row>
    <row r="7329">
      <c r="A7329" s="3" t="n">
        <v>2022</v>
      </c>
      <c r="B7329" s="4" t="n">
        <v>12305</v>
      </c>
      <c r="C7329" s="4" t="n">
        <v>354</v>
      </c>
      <c r="D7329" s="4" t="n">
        <v>107.085</v>
      </c>
      <c r="E7329" s="5" t="n">
        <v>114.9</v>
      </c>
      <c r="F7329" s="3" t="inlineStr">
        <is>
          <t>연서면</t>
        </is>
      </c>
      <c r="G7329" s="3" t="inlineStr">
        <is>
          <t>고복리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연서면</t>
        </is>
      </c>
    </row>
    <row r="7330">
      <c r="A7330" s="3" t="n">
        <v>2022</v>
      </c>
      <c r="B7330" s="4" t="n">
        <v>37490</v>
      </c>
      <c r="C7330" s="4" t="n">
        <v>1077</v>
      </c>
      <c r="D7330" s="4" t="n">
        <v>325.7925</v>
      </c>
      <c r="E7330" s="5" t="n">
        <v>115.1</v>
      </c>
      <c r="F7330" s="3" t="inlineStr">
        <is>
          <t>연서면</t>
        </is>
      </c>
      <c r="G7330" s="3" t="inlineStr">
        <is>
          <t>고복리</t>
        </is>
      </c>
      <c r="H7330" s="3" t="inlineStr">
        <is>
          <t>농림지역</t>
        </is>
      </c>
      <c r="I7330" s="3" t="inlineStr">
        <is>
          <t>답</t>
        </is>
      </c>
      <c r="J7330" s="3" t="inlineStr">
        <is>
          <t>연서면</t>
        </is>
      </c>
    </row>
    <row r="7331">
      <c r="A7331" s="3" t="n">
        <v>2022</v>
      </c>
      <c r="B7331" s="4" t="n">
        <v>51290</v>
      </c>
      <c r="C7331" s="4" t="n">
        <v>1476</v>
      </c>
      <c r="D7331" s="4" t="n">
        <v>446.49</v>
      </c>
      <c r="E7331" s="5" t="n">
        <v>114.9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연서면</t>
        </is>
      </c>
    </row>
    <row r="7332">
      <c r="A7332" s="3" t="n">
        <v>2022</v>
      </c>
      <c r="B7332" s="4" t="n">
        <v>32740</v>
      </c>
      <c r="C7332" s="4" t="n">
        <v>430</v>
      </c>
      <c r="D7332" s="4" t="n">
        <v>130.075</v>
      </c>
      <c r="E7332" s="5" t="n">
        <v>251.7</v>
      </c>
      <c r="F7332" s="3" t="inlineStr">
        <is>
          <t>장군면</t>
        </is>
      </c>
      <c r="G7332" s="3" t="inlineStr">
        <is>
          <t>봉안리</t>
        </is>
      </c>
      <c r="H7332" s="3" t="inlineStr">
        <is>
          <t>보전관리지역</t>
        </is>
      </c>
      <c r="I7332" s="3" t="inlineStr">
        <is>
          <t>임야</t>
        </is>
      </c>
      <c r="J7332" s="3" t="inlineStr">
        <is>
          <t>장군면</t>
        </is>
      </c>
    </row>
    <row r="7333">
      <c r="A7333" s="3" t="n">
        <v>2022</v>
      </c>
      <c r="B7333" s="4" t="n">
        <v>18235</v>
      </c>
      <c r="C7333" s="4" t="n">
        <v>725</v>
      </c>
      <c r="D7333" s="4" t="n">
        <v>219.3125</v>
      </c>
      <c r="E7333" s="5" t="n">
        <v>83.09999999999999</v>
      </c>
      <c r="F7333" s="3" t="inlineStr">
        <is>
          <t>장군면</t>
        </is>
      </c>
      <c r="G7333" s="3" t="inlineStr">
        <is>
          <t>금암리</t>
        </is>
      </c>
      <c r="H7333" s="3" t="inlineStr">
        <is>
          <t>농림지역</t>
        </is>
      </c>
      <c r="I7333" s="3" t="inlineStr">
        <is>
          <t>임야</t>
        </is>
      </c>
      <c r="J7333" s="3" t="inlineStr">
        <is>
          <t>장군면</t>
        </is>
      </c>
    </row>
    <row r="7334">
      <c r="A7334" s="3" t="n">
        <v>2022</v>
      </c>
      <c r="B7334" s="4" t="n">
        <v>1752</v>
      </c>
      <c r="C7334" s="4" t="n">
        <v>91</v>
      </c>
      <c r="D7334" s="4" t="n">
        <v>27.5275</v>
      </c>
      <c r="E7334" s="5" t="n">
        <v>63.6</v>
      </c>
      <c r="F7334" s="3" t="inlineStr">
        <is>
          <t>연동면</t>
        </is>
      </c>
      <c r="G7334" s="3" t="inlineStr">
        <is>
          <t>내판리</t>
        </is>
      </c>
      <c r="H7334" s="3" t="inlineStr">
        <is>
          <t>계획관리지역</t>
        </is>
      </c>
      <c r="I7334" s="3" t="inlineStr">
        <is>
          <t>대</t>
        </is>
      </c>
      <c r="J7334" s="3" t="inlineStr">
        <is>
          <t>연동면</t>
        </is>
      </c>
    </row>
    <row r="7335">
      <c r="A7335" s="3" t="n">
        <v>2022</v>
      </c>
      <c r="B7335" s="4" t="n">
        <v>14577</v>
      </c>
      <c r="C7335" s="4" t="n">
        <v>256</v>
      </c>
      <c r="D7335" s="4" t="n">
        <v>77.44</v>
      </c>
      <c r="E7335" s="5" t="n">
        <v>188.2</v>
      </c>
      <c r="F7335" s="3" t="inlineStr">
        <is>
          <t>연동면</t>
        </is>
      </c>
      <c r="G7335" s="3" t="inlineStr">
        <is>
          <t>내판리</t>
        </is>
      </c>
      <c r="H7335" s="3" t="inlineStr">
        <is>
          <t>계획관리지역</t>
        </is>
      </c>
      <c r="I7335" s="3" t="inlineStr">
        <is>
          <t>대</t>
        </is>
      </c>
      <c r="J7335" s="3" t="inlineStr">
        <is>
          <t>연동면</t>
        </is>
      </c>
    </row>
    <row r="7336">
      <c r="A7336" s="3" t="n">
        <v>2022</v>
      </c>
      <c r="B7336" s="4" t="n">
        <v>15000</v>
      </c>
      <c r="C7336" s="4" t="n">
        <v>2758</v>
      </c>
      <c r="D7336" s="4" t="n">
        <v>834.295</v>
      </c>
      <c r="E7336" s="5" t="n">
        <v>18</v>
      </c>
      <c r="F7336" s="3" t="inlineStr">
        <is>
          <t>연기면</t>
        </is>
      </c>
      <c r="G7336" s="3" t="inlineStr">
        <is>
          <t>수산리</t>
        </is>
      </c>
      <c r="H7336" s="3" t="inlineStr">
        <is>
          <t>보전관리지역</t>
        </is>
      </c>
      <c r="I7336" s="3" t="inlineStr">
        <is>
          <t>임야</t>
        </is>
      </c>
      <c r="J7336" s="3" t="inlineStr">
        <is>
          <t>연기면</t>
        </is>
      </c>
    </row>
    <row r="7337">
      <c r="A7337" s="3" t="n">
        <v>2022</v>
      </c>
      <c r="B7337" s="4" t="n">
        <v>14000</v>
      </c>
      <c r="C7337" s="4" t="n">
        <v>790</v>
      </c>
      <c r="D7337" s="4" t="n">
        <v>238.975</v>
      </c>
      <c r="E7337" s="5" t="n">
        <v>58.6</v>
      </c>
      <c r="F7337" s="3" t="inlineStr">
        <is>
          <t>연기면</t>
        </is>
      </c>
      <c r="G7337" s="3" t="inlineStr">
        <is>
          <t>수산리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연기면</t>
        </is>
      </c>
    </row>
    <row r="7338">
      <c r="A7338" s="3" t="n">
        <v>2023</v>
      </c>
      <c r="B7338" s="4" t="n">
        <v>20000</v>
      </c>
      <c r="C7338" s="4" t="n">
        <v>833</v>
      </c>
      <c r="D7338" s="4" t="n">
        <v>251.9825</v>
      </c>
      <c r="E7338" s="5" t="n">
        <v>79.40000000000001</v>
      </c>
      <c r="F7338" s="3" t="inlineStr">
        <is>
          <t>연서면</t>
        </is>
      </c>
      <c r="G7338" s="3" t="inlineStr">
        <is>
          <t>청라리</t>
        </is>
      </c>
      <c r="H7338" s="3" t="inlineStr">
        <is>
          <t>생산관리지역</t>
        </is>
      </c>
      <c r="I7338" s="3" t="inlineStr">
        <is>
          <t>과수원</t>
        </is>
      </c>
      <c r="J7338" s="3" t="inlineStr">
        <is>
          <t>연서면</t>
        </is>
      </c>
    </row>
    <row r="7339">
      <c r="A7339" s="3" t="n">
        <v>2024</v>
      </c>
      <c r="B7339" s="4" t="n">
        <v>514000</v>
      </c>
      <c r="C7339" s="4" t="n">
        <v>1425</v>
      </c>
      <c r="D7339" s="4" t="n">
        <v>431.0625</v>
      </c>
      <c r="E7339" s="5" t="n">
        <v>1192.4</v>
      </c>
      <c r="F7339" s="3" t="inlineStr">
        <is>
          <t>조치원읍</t>
        </is>
      </c>
      <c r="G7339" s="3" t="inlineStr">
        <is>
          <t>죽림리</t>
        </is>
      </c>
      <c r="H7339" s="3" t="inlineStr">
        <is>
          <t>일반상업지역</t>
        </is>
      </c>
      <c r="I7339" s="3" t="inlineStr">
        <is>
          <t>대</t>
        </is>
      </c>
      <c r="J7339" s="3" t="inlineStr">
        <is>
          <t>조치원읍</t>
        </is>
      </c>
    </row>
    <row r="7340">
      <c r="A7340" s="3" t="n">
        <v>2025</v>
      </c>
      <c r="B7340" s="4" t="n">
        <v>16500</v>
      </c>
      <c r="C7340" s="4" t="n">
        <v>9912</v>
      </c>
      <c r="D7340" s="4" t="n">
        <v>2998.38</v>
      </c>
      <c r="E7340" s="5" t="n">
        <v>5.5</v>
      </c>
      <c r="F7340" s="3" t="inlineStr">
        <is>
          <t>부강면</t>
        </is>
      </c>
      <c r="G7340" s="3" t="inlineStr">
        <is>
          <t>등곡리</t>
        </is>
      </c>
      <c r="H7340" s="3" t="inlineStr">
        <is>
          <t>계획관리지역</t>
        </is>
      </c>
      <c r="I7340" s="3" t="inlineStr">
        <is>
          <t>임야</t>
        </is>
      </c>
      <c r="J7340" s="3" t="inlineStr">
        <is>
          <t>부강면</t>
        </is>
      </c>
    </row>
    <row r="7341">
      <c r="A7341" s="3" t="n">
        <v>2026</v>
      </c>
      <c r="B7341" s="4" t="n">
        <v>7000</v>
      </c>
      <c r="C7341" s="4" t="n">
        <v>1916</v>
      </c>
      <c r="D7341" s="4" t="n">
        <v>579.59</v>
      </c>
      <c r="E7341" s="5" t="n">
        <v>12.1</v>
      </c>
      <c r="F7341" s="3" t="inlineStr">
        <is>
          <t>조치원읍</t>
        </is>
      </c>
      <c r="G7341" s="3" t="inlineStr">
        <is>
          <t>봉산리</t>
        </is>
      </c>
      <c r="H7341" s="3" t="inlineStr">
        <is>
          <t>보전녹지지역</t>
        </is>
      </c>
      <c r="I7341" s="3" t="inlineStr">
        <is>
          <t>임야</t>
        </is>
      </c>
      <c r="J7341" s="3" t="inlineStr">
        <is>
          <t>조치원읍</t>
        </is>
      </c>
    </row>
    <row r="7342">
      <c r="A7342" s="3" t="n">
        <v>2026</v>
      </c>
      <c r="B7342" s="4" t="n">
        <v>142697</v>
      </c>
      <c r="C7342" s="4" t="n">
        <v>2005.2</v>
      </c>
      <c r="D7342" s="4" t="n">
        <v>606.573</v>
      </c>
      <c r="E7342" s="5" t="n">
        <v>235.3</v>
      </c>
      <c r="F7342" s="3" t="inlineStr">
        <is>
          <t>집현동</t>
        </is>
      </c>
      <c r="G7342" s="3" t="inlineStr"/>
      <c r="H7342" s="3" t="inlineStr">
        <is>
          <t>준주거지역</t>
        </is>
      </c>
      <c r="I7342" s="3" t="inlineStr">
        <is>
          <t>대</t>
        </is>
      </c>
      <c r="J7342" s="3" t="inlineStr">
        <is>
          <t>집현동</t>
        </is>
      </c>
    </row>
    <row r="7343">
      <c r="A7343" s="3" t="n">
        <v>2026</v>
      </c>
      <c r="B7343" s="4" t="n">
        <v>792000</v>
      </c>
      <c r="C7343" s="4" t="n">
        <v>13884</v>
      </c>
      <c r="D7343" s="4" t="n">
        <v>4199.91</v>
      </c>
      <c r="E7343" s="5" t="n">
        <v>188.6</v>
      </c>
      <c r="F7343" s="3" t="inlineStr">
        <is>
          <t>전동면</t>
        </is>
      </c>
      <c r="G7343" s="3" t="inlineStr">
        <is>
          <t>심중리</t>
        </is>
      </c>
      <c r="H7343" s="3" t="inlineStr">
        <is>
          <t>일반공업지역</t>
        </is>
      </c>
      <c r="I7343" s="3" t="inlineStr">
        <is>
          <t>공장용지</t>
        </is>
      </c>
      <c r="J7343" s="3" t="inlineStr">
        <is>
          <t>전동면</t>
        </is>
      </c>
    </row>
    <row r="7344">
      <c r="A7344" s="3" t="n">
        <v>2026</v>
      </c>
      <c r="B7344" s="4" t="n">
        <v>15625</v>
      </c>
      <c r="C7344" s="4" t="n">
        <v>2066</v>
      </c>
      <c r="D7344" s="4" t="n">
        <v>624.965</v>
      </c>
      <c r="E7344" s="5" t="n">
        <v>25</v>
      </c>
      <c r="F7344" s="3" t="inlineStr">
        <is>
          <t>전의면</t>
        </is>
      </c>
      <c r="G7344" s="3" t="inlineStr">
        <is>
          <t>유천리</t>
        </is>
      </c>
      <c r="H7344" s="3" t="inlineStr">
        <is>
          <t>계획관리지역</t>
        </is>
      </c>
      <c r="I7344" s="3" t="inlineStr">
        <is>
          <t>전</t>
        </is>
      </c>
      <c r="J7344" s="3" t="inlineStr">
        <is>
          <t>전의면</t>
        </is>
      </c>
    </row>
    <row r="7345">
      <c r="A7345" s="3" t="n">
        <v>2026</v>
      </c>
      <c r="B7345" s="4" t="n">
        <v>93107</v>
      </c>
      <c r="C7345" s="4" t="n">
        <v>855</v>
      </c>
      <c r="D7345" s="4" t="n">
        <v>258.6375</v>
      </c>
      <c r="E7345" s="5" t="n">
        <v>360</v>
      </c>
      <c r="F7345" s="3" t="inlineStr">
        <is>
          <t>장군면</t>
        </is>
      </c>
      <c r="G7345" s="3" t="inlineStr">
        <is>
          <t>봉안리</t>
        </is>
      </c>
      <c r="H7345" s="3" t="inlineStr">
        <is>
          <t>계획관리지역</t>
        </is>
      </c>
      <c r="I7345" s="3" t="inlineStr">
        <is>
          <t>임야</t>
        </is>
      </c>
      <c r="J7345" s="3" t="inlineStr">
        <is>
          <t>장군면</t>
        </is>
      </c>
    </row>
    <row r="7346">
      <c r="A7346" s="3" t="n">
        <v>2026</v>
      </c>
      <c r="B7346" s="4" t="n">
        <v>1758</v>
      </c>
      <c r="C7346" s="4" t="n">
        <v>16.15</v>
      </c>
      <c r="D7346" s="4" t="n">
        <v>4.885375</v>
      </c>
      <c r="E7346" s="5" t="n">
        <v>359.8</v>
      </c>
      <c r="F7346" s="3" t="inlineStr">
        <is>
          <t>장군면</t>
        </is>
      </c>
      <c r="G7346" s="3" t="inlineStr">
        <is>
          <t>봉안리</t>
        </is>
      </c>
      <c r="H7346" s="3" t="inlineStr">
        <is>
          <t>계획관리지역</t>
        </is>
      </c>
      <c r="I7346" s="3" t="inlineStr">
        <is>
          <t>임야</t>
        </is>
      </c>
      <c r="J7346" s="3" t="inlineStr">
        <is>
          <t>장군면</t>
        </is>
      </c>
    </row>
    <row r="7347">
      <c r="A7347" s="3" t="n">
        <v>2026</v>
      </c>
      <c r="B7347" s="4" t="n">
        <v>291025</v>
      </c>
      <c r="C7347" s="4" t="n">
        <v>2187</v>
      </c>
      <c r="D7347" s="4" t="n">
        <v>661.5675</v>
      </c>
      <c r="E7347" s="5" t="n">
        <v>439.9</v>
      </c>
      <c r="F7347" s="3" t="inlineStr">
        <is>
          <t>장군면</t>
        </is>
      </c>
      <c r="G7347" s="3" t="inlineStr">
        <is>
          <t>금암리</t>
        </is>
      </c>
      <c r="H7347" s="3" t="inlineStr">
        <is>
          <t>자연녹지지역</t>
        </is>
      </c>
      <c r="I7347" s="3" t="inlineStr">
        <is>
          <t>대</t>
        </is>
      </c>
      <c r="J7347" s="3" t="inlineStr">
        <is>
          <t>장군면</t>
        </is>
      </c>
    </row>
    <row r="7348">
      <c r="A7348" s="3" t="n">
        <v>2026</v>
      </c>
      <c r="B7348" s="4" t="n">
        <v>48000</v>
      </c>
      <c r="C7348" s="4" t="n">
        <v>342.4</v>
      </c>
      <c r="D7348" s="4" t="n">
        <v>103.576</v>
      </c>
      <c r="E7348" s="5" t="n">
        <v>463.4</v>
      </c>
      <c r="F7348" s="3" t="inlineStr">
        <is>
          <t>아름동</t>
        </is>
      </c>
      <c r="G7348" s="3" t="inlineStr"/>
      <c r="H7348" s="3" t="inlineStr">
        <is>
          <t>제1종전용주거지역</t>
        </is>
      </c>
      <c r="I7348" s="3" t="inlineStr">
        <is>
          <t>대</t>
        </is>
      </c>
      <c r="J7348" s="3" t="inlineStr">
        <is>
          <t>아름동</t>
        </is>
      </c>
    </row>
    <row r="7349">
      <c r="A7349" s="3" t="n">
        <v>2026</v>
      </c>
      <c r="B7349" s="4" t="n">
        <v>27800</v>
      </c>
      <c r="C7349" s="4" t="n">
        <v>2630</v>
      </c>
      <c r="D7349" s="4" t="n">
        <v>795.5749999999999</v>
      </c>
      <c r="E7349" s="5" t="n">
        <v>34.9</v>
      </c>
      <c r="F7349" s="3" t="inlineStr">
        <is>
          <t>전동면</t>
        </is>
      </c>
      <c r="G7349" s="3" t="inlineStr">
        <is>
          <t>청송리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전동면</t>
        </is>
      </c>
    </row>
    <row r="7350">
      <c r="A7350" s="3" t="n">
        <v>2026</v>
      </c>
      <c r="B7350" s="4" t="n">
        <v>2700</v>
      </c>
      <c r="C7350" s="4" t="n">
        <v>407</v>
      </c>
      <c r="D7350" s="4" t="n">
        <v>123.1175</v>
      </c>
      <c r="E7350" s="5" t="n">
        <v>21.9</v>
      </c>
      <c r="F7350" s="3" t="inlineStr">
        <is>
          <t>전동면</t>
        </is>
      </c>
      <c r="G7350" s="3" t="inlineStr">
        <is>
          <t>청송리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전동면</t>
        </is>
      </c>
    </row>
    <row r="7351">
      <c r="A7351" s="3" t="n">
        <v>2026</v>
      </c>
      <c r="B7351" s="4" t="n">
        <v>6800</v>
      </c>
      <c r="C7351" s="4" t="n">
        <v>1032</v>
      </c>
      <c r="D7351" s="4" t="n">
        <v>312.18</v>
      </c>
      <c r="E7351" s="5" t="n">
        <v>21.8</v>
      </c>
      <c r="F7351" s="3" t="inlineStr">
        <is>
          <t>전동면</t>
        </is>
      </c>
      <c r="G7351" s="3" t="inlineStr">
        <is>
          <t>청송리</t>
        </is>
      </c>
      <c r="H7351" s="3" t="inlineStr">
        <is>
          <t>계획관리지역</t>
        </is>
      </c>
      <c r="I7351" s="3" t="inlineStr">
        <is>
          <t>전</t>
        </is>
      </c>
      <c r="J7351" s="3" t="inlineStr">
        <is>
          <t>전동면</t>
        </is>
      </c>
    </row>
    <row r="7352">
      <c r="A7352" s="3" t="n">
        <v>2026</v>
      </c>
      <c r="B7352" s="4" t="n">
        <v>3500</v>
      </c>
      <c r="C7352" s="4" t="n">
        <v>525</v>
      </c>
      <c r="D7352" s="4" t="n">
        <v>158.8125</v>
      </c>
      <c r="E7352" s="5" t="n">
        <v>22</v>
      </c>
      <c r="F7352" s="3" t="inlineStr">
        <is>
          <t>전동면</t>
        </is>
      </c>
      <c r="G7352" s="3" t="inlineStr">
        <is>
          <t>청송리</t>
        </is>
      </c>
      <c r="H7352" s="3" t="inlineStr">
        <is>
          <t>계획관리지역</t>
        </is>
      </c>
      <c r="I7352" s="3" t="inlineStr">
        <is>
          <t>답</t>
        </is>
      </c>
      <c r="J7352" s="3" t="inlineStr">
        <is>
          <t>전동면</t>
        </is>
      </c>
    </row>
    <row r="7353">
      <c r="A7353" s="3" t="n">
        <v>2026</v>
      </c>
      <c r="B7353" s="4" t="n">
        <v>970</v>
      </c>
      <c r="C7353" s="4" t="n">
        <v>135</v>
      </c>
      <c r="D7353" s="4" t="n">
        <v>40.8375</v>
      </c>
      <c r="E7353" s="5" t="n">
        <v>23.8</v>
      </c>
      <c r="F7353" s="3" t="inlineStr">
        <is>
          <t>전동면</t>
        </is>
      </c>
      <c r="G7353" s="3" t="inlineStr">
        <is>
          <t>청송리</t>
        </is>
      </c>
      <c r="H7353" s="3" t="inlineStr">
        <is>
          <t>계획관리지역</t>
        </is>
      </c>
      <c r="I7353" s="3" t="inlineStr">
        <is>
          <t>답</t>
        </is>
      </c>
      <c r="J7353" s="3" t="inlineStr">
        <is>
          <t>전동면</t>
        </is>
      </c>
    </row>
    <row r="7354">
      <c r="A7354" s="3" t="n">
        <v>2026</v>
      </c>
      <c r="B7354" s="4" t="n">
        <v>41000</v>
      </c>
      <c r="C7354" s="4" t="n">
        <v>6873</v>
      </c>
      <c r="D7354" s="4" t="n">
        <v>2079.0825</v>
      </c>
      <c r="E7354" s="5" t="n">
        <v>19.7</v>
      </c>
      <c r="F7354" s="3" t="inlineStr">
        <is>
          <t>금남면</t>
        </is>
      </c>
      <c r="G7354" s="3" t="inlineStr">
        <is>
          <t>영대리</t>
        </is>
      </c>
      <c r="H7354" s="3" t="inlineStr">
        <is>
          <t>개발제한구역</t>
        </is>
      </c>
      <c r="I7354" s="3" t="inlineStr">
        <is>
          <t>임야</t>
        </is>
      </c>
      <c r="J7354" s="3" t="inlineStr">
        <is>
          <t>금남면</t>
        </is>
      </c>
    </row>
    <row r="7355">
      <c r="A7355" s="3" t="n">
        <v>2026</v>
      </c>
      <c r="B7355" s="4" t="n">
        <v>24000</v>
      </c>
      <c r="C7355" s="4" t="n">
        <v>15400</v>
      </c>
      <c r="D7355" s="4" t="n">
        <v>4658.5</v>
      </c>
      <c r="E7355" s="5" t="n">
        <v>5.2</v>
      </c>
      <c r="F7355" s="3" t="inlineStr">
        <is>
          <t>전의면</t>
        </is>
      </c>
      <c r="G7355" s="3" t="inlineStr">
        <is>
          <t>다방리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전의면</t>
        </is>
      </c>
    </row>
    <row r="7356">
      <c r="A7356" s="3" t="n">
        <v>2026</v>
      </c>
      <c r="B7356" s="4" t="n">
        <v>9000</v>
      </c>
      <c r="C7356" s="4" t="n">
        <v>972</v>
      </c>
      <c r="D7356" s="4" t="n">
        <v>294.03</v>
      </c>
      <c r="E7356" s="5" t="n">
        <v>30.6</v>
      </c>
      <c r="F7356" s="3" t="inlineStr">
        <is>
          <t>금남면</t>
        </is>
      </c>
      <c r="G7356" s="3" t="inlineStr">
        <is>
          <t>성강리</t>
        </is>
      </c>
      <c r="H7356" s="3" t="inlineStr">
        <is>
          <t>생산관리지역</t>
        </is>
      </c>
      <c r="I7356" s="3" t="inlineStr">
        <is>
          <t>전</t>
        </is>
      </c>
      <c r="J7356" s="3" t="inlineStr">
        <is>
          <t>금남면</t>
        </is>
      </c>
    </row>
    <row r="7357">
      <c r="A7357" s="3" t="n">
        <v>2026</v>
      </c>
      <c r="B7357" s="4" t="n">
        <v>265800</v>
      </c>
      <c r="C7357" s="4" t="n">
        <v>12138</v>
      </c>
      <c r="D7357" s="4" t="n">
        <v>3671.745</v>
      </c>
      <c r="E7357" s="5" t="n">
        <v>72.40000000000001</v>
      </c>
      <c r="F7357" s="3" t="inlineStr">
        <is>
          <t>연서면</t>
        </is>
      </c>
      <c r="G7357" s="3" t="inlineStr">
        <is>
          <t>국촌리</t>
        </is>
      </c>
      <c r="H7357" s="3" t="inlineStr">
        <is>
          <t>계획관리지역</t>
        </is>
      </c>
      <c r="I7357" s="3" t="inlineStr">
        <is>
          <t>임야</t>
        </is>
      </c>
      <c r="J7357" s="3" t="inlineStr">
        <is>
          <t>연서면</t>
        </is>
      </c>
    </row>
    <row r="7358">
      <c r="A7358" s="3" t="n">
        <v>2026</v>
      </c>
      <c r="B7358" s="4" t="n">
        <v>25000</v>
      </c>
      <c r="C7358" s="4" t="n">
        <v>213</v>
      </c>
      <c r="D7358" s="4" t="n">
        <v>64.4325</v>
      </c>
      <c r="E7358" s="5" t="n">
        <v>388</v>
      </c>
      <c r="F7358" s="3" t="inlineStr">
        <is>
          <t>연서면</t>
        </is>
      </c>
      <c r="G7358" s="3" t="inlineStr">
        <is>
          <t>국촌리</t>
        </is>
      </c>
      <c r="H7358" s="3" t="inlineStr">
        <is>
          <t>계획관리지역</t>
        </is>
      </c>
      <c r="I7358" s="3" t="inlineStr">
        <is>
          <t>임야</t>
        </is>
      </c>
      <c r="J7358" s="3" t="inlineStr">
        <is>
          <t>연서면</t>
        </is>
      </c>
    </row>
    <row r="7359">
      <c r="A7359" s="3" t="n">
        <v>2026</v>
      </c>
      <c r="B7359" s="4" t="n">
        <v>15000</v>
      </c>
      <c r="C7359" s="4" t="n">
        <v>100</v>
      </c>
      <c r="D7359" s="4" t="n">
        <v>30.25</v>
      </c>
      <c r="E7359" s="5" t="n">
        <v>495.9</v>
      </c>
      <c r="F7359" s="3" t="inlineStr">
        <is>
          <t>부강면</t>
        </is>
      </c>
      <c r="G7359" s="3" t="inlineStr">
        <is>
          <t>부강리</t>
        </is>
      </c>
      <c r="H7359" s="3" t="inlineStr">
        <is>
          <t>제2종일반주거지역</t>
        </is>
      </c>
      <c r="I7359" s="3" t="inlineStr">
        <is>
          <t>답</t>
        </is>
      </c>
      <c r="J7359" s="3" t="inlineStr">
        <is>
          <t>부강면</t>
        </is>
      </c>
    </row>
    <row r="7360">
      <c r="A7360" s="3" t="n">
        <v>2026</v>
      </c>
      <c r="B7360" s="4" t="n">
        <v>36765</v>
      </c>
      <c r="C7360" s="4" t="n">
        <v>2701</v>
      </c>
      <c r="D7360" s="4" t="n">
        <v>817.0525</v>
      </c>
      <c r="E7360" s="5" t="n">
        <v>45</v>
      </c>
      <c r="F7360" s="3" t="inlineStr">
        <is>
          <t>금남면</t>
        </is>
      </c>
      <c r="G7360" s="3" t="inlineStr">
        <is>
          <t>원봉리</t>
        </is>
      </c>
      <c r="H7360" s="3" t="inlineStr">
        <is>
          <t>농림지역</t>
        </is>
      </c>
      <c r="I7360" s="3" t="inlineStr">
        <is>
          <t>답</t>
        </is>
      </c>
      <c r="J7360" s="3" t="inlineStr">
        <is>
          <t>금남면</t>
        </is>
      </c>
    </row>
    <row r="7361">
      <c r="A7361" s="3" t="n">
        <v>2023</v>
      </c>
      <c r="B7361" s="4" t="n">
        <v>12518</v>
      </c>
      <c r="C7361" s="4" t="n">
        <v>3174</v>
      </c>
      <c r="D7361" s="4" t="n">
        <v>960.135</v>
      </c>
      <c r="E7361" s="5" t="n">
        <v>13</v>
      </c>
      <c r="F7361" s="3" t="inlineStr">
        <is>
          <t>남이면</t>
        </is>
      </c>
      <c r="G7361" s="3" t="inlineStr">
        <is>
          <t>문동리</t>
        </is>
      </c>
      <c r="H7361" s="3" t="inlineStr">
        <is>
          <t>자연환경보전</t>
        </is>
      </c>
      <c r="I7361" s="3" t="inlineStr">
        <is>
          <t>답</t>
        </is>
      </c>
      <c r="J7361" s="3" t="inlineStr">
        <is>
          <t>남이면</t>
        </is>
      </c>
    </row>
    <row r="7362">
      <c r="A7362" s="3" t="n">
        <v>2023</v>
      </c>
      <c r="B7362" s="4" t="n">
        <v>8327</v>
      </c>
      <c r="C7362" s="4" t="n">
        <v>1764</v>
      </c>
      <c r="D7362" s="4" t="n">
        <v>533.61</v>
      </c>
      <c r="E7362" s="5" t="n">
        <v>15.6</v>
      </c>
      <c r="F7362" s="3" t="inlineStr">
        <is>
          <t>남이면</t>
        </is>
      </c>
      <c r="G7362" s="3" t="inlineStr">
        <is>
          <t>문동리</t>
        </is>
      </c>
      <c r="H7362" s="3" t="inlineStr">
        <is>
          <t>자연환경보전</t>
        </is>
      </c>
      <c r="I7362" s="3" t="inlineStr">
        <is>
          <t>답</t>
        </is>
      </c>
      <c r="J7362" s="3" t="inlineStr">
        <is>
          <t>남이면</t>
        </is>
      </c>
    </row>
    <row r="7363">
      <c r="A7363" s="3" t="n">
        <v>2023</v>
      </c>
      <c r="B7363" s="4" t="n">
        <v>21030</v>
      </c>
      <c r="C7363" s="4" t="n">
        <v>2319</v>
      </c>
      <c r="D7363" s="4" t="n">
        <v>701.4974999999999</v>
      </c>
      <c r="E7363" s="5" t="n">
        <v>30</v>
      </c>
      <c r="F7363" s="3" t="inlineStr">
        <is>
          <t>현도면</t>
        </is>
      </c>
      <c r="G7363" s="3" t="inlineStr">
        <is>
          <t>노산리</t>
        </is>
      </c>
      <c r="H7363" s="3" t="inlineStr">
        <is>
          <t>개발제한구역</t>
        </is>
      </c>
      <c r="I7363" s="3" t="inlineStr">
        <is>
          <t>임야</t>
        </is>
      </c>
      <c r="J7363" s="3" t="inlineStr">
        <is>
          <t>현도면</t>
        </is>
      </c>
    </row>
    <row r="7364">
      <c r="A7364" s="3" t="n">
        <v>2023</v>
      </c>
      <c r="B7364" s="4" t="n">
        <v>13481</v>
      </c>
      <c r="C7364" s="4" t="n">
        <v>645</v>
      </c>
      <c r="D7364" s="4" t="n">
        <v>195.1125</v>
      </c>
      <c r="E7364" s="5" t="n">
        <v>69.09999999999999</v>
      </c>
      <c r="F7364" s="3" t="inlineStr">
        <is>
          <t>현도면</t>
        </is>
      </c>
      <c r="G7364" s="3" t="inlineStr">
        <is>
          <t>노산리</t>
        </is>
      </c>
      <c r="H7364" s="3" t="inlineStr">
        <is>
          <t>제1종일반주거지역</t>
        </is>
      </c>
      <c r="I7364" s="3" t="inlineStr">
        <is>
          <t>임야</t>
        </is>
      </c>
      <c r="J7364" s="3" t="inlineStr">
        <is>
          <t>현도면</t>
        </is>
      </c>
    </row>
    <row r="7365">
      <c r="A7365" s="3" t="n">
        <v>2023</v>
      </c>
      <c r="B7365" s="4" t="n">
        <v>5727</v>
      </c>
      <c r="C7365" s="4" t="n">
        <v>273</v>
      </c>
      <c r="D7365" s="4" t="n">
        <v>82.5825</v>
      </c>
      <c r="E7365" s="5" t="n">
        <v>69.3</v>
      </c>
      <c r="F7365" s="3" t="inlineStr">
        <is>
          <t>현도면</t>
        </is>
      </c>
      <c r="G7365" s="3" t="inlineStr">
        <is>
          <t>노산리</t>
        </is>
      </c>
      <c r="H7365" s="3" t="inlineStr">
        <is>
          <t>제1종일반주거지역</t>
        </is>
      </c>
      <c r="I7365" s="3" t="inlineStr">
        <is>
          <t>임야</t>
        </is>
      </c>
      <c r="J7365" s="3" t="inlineStr">
        <is>
          <t>현도면</t>
        </is>
      </c>
    </row>
    <row r="7366">
      <c r="A7366" s="3" t="n">
        <v>2023</v>
      </c>
      <c r="B7366" s="4" t="n">
        <v>5106</v>
      </c>
      <c r="C7366" s="4" t="n">
        <v>243</v>
      </c>
      <c r="D7366" s="4" t="n">
        <v>73.50749999999999</v>
      </c>
      <c r="E7366" s="5" t="n">
        <v>69.5</v>
      </c>
      <c r="F7366" s="3" t="inlineStr">
        <is>
          <t>현도면</t>
        </is>
      </c>
      <c r="G7366" s="3" t="inlineStr">
        <is>
          <t>노산리</t>
        </is>
      </c>
      <c r="H7366" s="3" t="inlineStr">
        <is>
          <t>제1종일반주거지역</t>
        </is>
      </c>
      <c r="I7366" s="3" t="inlineStr">
        <is>
          <t>임야</t>
        </is>
      </c>
      <c r="J7366" s="3" t="inlineStr">
        <is>
          <t>현도면</t>
        </is>
      </c>
    </row>
    <row r="7367">
      <c r="A7367" s="3" t="n">
        <v>2023</v>
      </c>
      <c r="B7367" s="4" t="n">
        <v>1656</v>
      </c>
      <c r="C7367" s="4" t="n">
        <v>79</v>
      </c>
      <c r="D7367" s="4" t="n">
        <v>23.8975</v>
      </c>
      <c r="E7367" s="5" t="n">
        <v>69.3</v>
      </c>
      <c r="F7367" s="3" t="inlineStr">
        <is>
          <t>현도면</t>
        </is>
      </c>
      <c r="G7367" s="3" t="inlineStr">
        <is>
          <t>노산리</t>
        </is>
      </c>
      <c r="H7367" s="3" t="inlineStr">
        <is>
          <t>제1종일반주거지역</t>
        </is>
      </c>
      <c r="I7367" s="3" t="inlineStr">
        <is>
          <t>전</t>
        </is>
      </c>
      <c r="J7367" s="3" t="inlineStr">
        <is>
          <t>현도면</t>
        </is>
      </c>
    </row>
    <row r="7368">
      <c r="A7368" s="3" t="n">
        <v>2023</v>
      </c>
      <c r="B7368" s="4" t="n">
        <v>6600</v>
      </c>
      <c r="C7368" s="4" t="n">
        <v>14145</v>
      </c>
      <c r="D7368" s="4" t="n">
        <v>4278.8625</v>
      </c>
      <c r="E7368" s="5" t="n">
        <v>1.5</v>
      </c>
      <c r="F7368" s="3" t="inlineStr">
        <is>
          <t>남이면</t>
        </is>
      </c>
      <c r="G7368" s="3" t="inlineStr">
        <is>
          <t>부용외천리</t>
        </is>
      </c>
      <c r="H7368" s="3" t="inlineStr">
        <is>
          <t>계획관리지역</t>
        </is>
      </c>
      <c r="I7368" s="3" t="inlineStr">
        <is>
          <t>임야</t>
        </is>
      </c>
      <c r="J7368" s="3" t="inlineStr">
        <is>
          <t>남이면</t>
        </is>
      </c>
    </row>
    <row r="7369">
      <c r="A7369" s="3" t="n">
        <v>2023</v>
      </c>
      <c r="B7369" s="4" t="n">
        <v>4613</v>
      </c>
      <c r="C7369" s="4" t="n">
        <v>820</v>
      </c>
      <c r="D7369" s="4" t="n">
        <v>248.05</v>
      </c>
      <c r="E7369" s="5" t="n">
        <v>18.6</v>
      </c>
      <c r="F7369" s="3" t="inlineStr">
        <is>
          <t>현도면</t>
        </is>
      </c>
      <c r="G7369" s="3" t="inlineStr">
        <is>
          <t>하석리</t>
        </is>
      </c>
      <c r="H7369" s="3" t="inlineStr">
        <is>
          <t>개발제한구역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2138</v>
      </c>
      <c r="C7370" s="4" t="n">
        <v>380</v>
      </c>
      <c r="D7370" s="4" t="n">
        <v>114.95</v>
      </c>
      <c r="E7370" s="5" t="n">
        <v>18.6</v>
      </c>
      <c r="F7370" s="3" t="inlineStr">
        <is>
          <t>현도면</t>
        </is>
      </c>
      <c r="G7370" s="3" t="inlineStr">
        <is>
          <t>하석리</t>
        </is>
      </c>
      <c r="H7370" s="3" t="inlineStr">
        <is>
          <t>개발제한구역</t>
        </is>
      </c>
      <c r="I7370" s="3" t="inlineStr">
        <is>
          <t>답</t>
        </is>
      </c>
      <c r="J7370" s="3" t="inlineStr">
        <is>
          <t>현도면</t>
        </is>
      </c>
    </row>
    <row r="7371">
      <c r="A7371" s="3" t="n">
        <v>2023</v>
      </c>
      <c r="B7371" s="4" t="n">
        <v>25470</v>
      </c>
      <c r="C7371" s="4" t="n">
        <v>421</v>
      </c>
      <c r="D7371" s="4" t="n">
        <v>127.3525</v>
      </c>
      <c r="E7371" s="5" t="n">
        <v>200</v>
      </c>
      <c r="F7371" s="3" t="inlineStr">
        <is>
          <t>현도면</t>
        </is>
      </c>
      <c r="G7371" s="3" t="inlineStr">
        <is>
          <t>양지리</t>
        </is>
      </c>
      <c r="H7371" s="3" t="inlineStr">
        <is>
          <t>자연녹지지역</t>
        </is>
      </c>
      <c r="I7371" s="3" t="inlineStr">
        <is>
          <t>대</t>
        </is>
      </c>
      <c r="J7371" s="3" t="inlineStr">
        <is>
          <t>현도면</t>
        </is>
      </c>
    </row>
    <row r="7372">
      <c r="A7372" s="3" t="n">
        <v>2023</v>
      </c>
      <c r="B7372" s="4" t="n">
        <v>106092</v>
      </c>
      <c r="C7372" s="4" t="n">
        <v>2480</v>
      </c>
      <c r="D7372" s="4" t="n">
        <v>750.1999999999999</v>
      </c>
      <c r="E7372" s="5" t="n">
        <v>141.4</v>
      </c>
      <c r="F7372" s="3" t="inlineStr">
        <is>
          <t>현도면</t>
        </is>
      </c>
      <c r="G7372" s="3" t="inlineStr">
        <is>
          <t>양지리</t>
        </is>
      </c>
      <c r="H7372" s="3" t="inlineStr">
        <is>
          <t>자연녹지지역</t>
        </is>
      </c>
      <c r="I7372" s="3" t="inlineStr">
        <is>
          <t>답</t>
        </is>
      </c>
      <c r="J7372" s="3" t="inlineStr">
        <is>
          <t>현도면</t>
        </is>
      </c>
    </row>
    <row r="7373">
      <c r="A7373" s="3" t="n">
        <v>2023</v>
      </c>
      <c r="B7373" s="4" t="n">
        <v>8438</v>
      </c>
      <c r="C7373" s="4" t="n">
        <v>797</v>
      </c>
      <c r="D7373" s="4" t="n">
        <v>241.0925</v>
      </c>
      <c r="E7373" s="5" t="n">
        <v>35</v>
      </c>
      <c r="F7373" s="3" t="inlineStr">
        <is>
          <t>현도면</t>
        </is>
      </c>
      <c r="G7373" s="3" t="inlineStr">
        <is>
          <t>양지리</t>
        </is>
      </c>
      <c r="H7373" s="3" t="inlineStr">
        <is>
          <t>개발제한구역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7512</v>
      </c>
      <c r="C7374" s="4" t="n">
        <v>178</v>
      </c>
      <c r="D7374" s="4" t="n">
        <v>53.845</v>
      </c>
      <c r="E7374" s="5" t="n">
        <v>139.5</v>
      </c>
      <c r="F7374" s="3" t="inlineStr">
        <is>
          <t>남이면</t>
        </is>
      </c>
      <c r="G7374" s="3" t="inlineStr">
        <is>
          <t>외천리</t>
        </is>
      </c>
      <c r="H7374" s="3" t="inlineStr">
        <is>
          <t>계획관리지역</t>
        </is>
      </c>
      <c r="I7374" s="3" t="inlineStr">
        <is>
          <t>공장용지</t>
        </is>
      </c>
      <c r="J7374" s="3" t="inlineStr">
        <is>
          <t>남이면</t>
        </is>
      </c>
    </row>
    <row r="7375">
      <c r="A7375" s="3" t="n">
        <v>2023</v>
      </c>
      <c r="B7375" s="4" t="n">
        <v>17600</v>
      </c>
      <c r="C7375" s="4" t="n">
        <v>1828</v>
      </c>
      <c r="D7375" s="4" t="n">
        <v>552.97</v>
      </c>
      <c r="E7375" s="5" t="n">
        <v>31.8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770</v>
      </c>
      <c r="C7376" s="4" t="n">
        <v>56</v>
      </c>
      <c r="D7376" s="4" t="n">
        <v>16.94</v>
      </c>
      <c r="E7376" s="5" t="n">
        <v>45.5</v>
      </c>
      <c r="F7376" s="3" t="inlineStr">
        <is>
          <t>현도면</t>
        </is>
      </c>
      <c r="G7376" s="3" t="inlineStr">
        <is>
          <t>상삼리</t>
        </is>
      </c>
      <c r="H7376" s="3" t="inlineStr">
        <is>
          <t>계획관리지역</t>
        </is>
      </c>
      <c r="I7376" s="3" t="inlineStr">
        <is>
          <t>임야</t>
        </is>
      </c>
      <c r="J7376" s="3" t="inlineStr">
        <is>
          <t>현도면</t>
        </is>
      </c>
    </row>
    <row r="7377">
      <c r="A7377" s="3" t="n">
        <v>2023</v>
      </c>
      <c r="B7377" s="4" t="n">
        <v>490</v>
      </c>
      <c r="C7377" s="4" t="n">
        <v>19</v>
      </c>
      <c r="D7377" s="4" t="n">
        <v>5.7475</v>
      </c>
      <c r="E7377" s="5" t="n">
        <v>85.3</v>
      </c>
      <c r="F7377" s="3" t="inlineStr">
        <is>
          <t>현도면</t>
        </is>
      </c>
      <c r="G7377" s="3" t="inlineStr">
        <is>
          <t>상삼리</t>
        </is>
      </c>
      <c r="H7377" s="3" t="inlineStr">
        <is>
          <t>계획관리지역</t>
        </is>
      </c>
      <c r="I7377" s="3" t="inlineStr">
        <is>
          <t>대</t>
        </is>
      </c>
      <c r="J7377" s="3" t="inlineStr">
        <is>
          <t>현도면</t>
        </is>
      </c>
    </row>
    <row r="7378">
      <c r="A7378" s="3" t="n">
        <v>2023</v>
      </c>
      <c r="B7378" s="4" t="n">
        <v>130940</v>
      </c>
      <c r="C7378" s="4" t="n">
        <v>4556</v>
      </c>
      <c r="D7378" s="4" t="n">
        <v>1378.19</v>
      </c>
      <c r="E7378" s="5" t="n">
        <v>95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보전녹지지역</t>
        </is>
      </c>
      <c r="I7378" s="3" t="inlineStr">
        <is>
          <t>임야</t>
        </is>
      </c>
      <c r="J7378" s="3" t="inlineStr">
        <is>
          <t>남이면</t>
        </is>
      </c>
    </row>
    <row r="7379">
      <c r="A7379" s="3" t="n">
        <v>2023</v>
      </c>
      <c r="B7379" s="4" t="n">
        <v>12700</v>
      </c>
      <c r="C7379" s="4" t="n">
        <v>442</v>
      </c>
      <c r="D7379" s="4" t="n">
        <v>133.705</v>
      </c>
      <c r="E7379" s="5" t="n">
        <v>95</v>
      </c>
      <c r="F7379" s="3" t="inlineStr">
        <is>
          <t>남이면</t>
        </is>
      </c>
      <c r="G7379" s="3" t="inlineStr">
        <is>
          <t>구암리</t>
        </is>
      </c>
      <c r="H7379" s="3" t="inlineStr">
        <is>
          <t>보전녹지지역</t>
        </is>
      </c>
      <c r="I7379" s="3" t="inlineStr">
        <is>
          <t>전</t>
        </is>
      </c>
      <c r="J7379" s="3" t="inlineStr">
        <is>
          <t>남이면</t>
        </is>
      </c>
    </row>
    <row r="7380">
      <c r="A7380" s="3" t="n">
        <v>2023</v>
      </c>
      <c r="B7380" s="4" t="n">
        <v>37500</v>
      </c>
      <c r="C7380" s="4" t="n">
        <v>2332</v>
      </c>
      <c r="D7380" s="4" t="n">
        <v>705.4299999999999</v>
      </c>
      <c r="E7380" s="5" t="n">
        <v>53.2</v>
      </c>
      <c r="F7380" s="3" t="inlineStr">
        <is>
          <t>남이면</t>
        </is>
      </c>
      <c r="G7380" s="3" t="inlineStr">
        <is>
          <t>문동리</t>
        </is>
      </c>
      <c r="H7380" s="3" t="inlineStr">
        <is>
          <t>생산관리지역</t>
        </is>
      </c>
      <c r="I7380" s="3" t="inlineStr">
        <is>
          <t>답</t>
        </is>
      </c>
      <c r="J7380" s="3" t="inlineStr">
        <is>
          <t>남이면</t>
        </is>
      </c>
    </row>
    <row r="7381">
      <c r="A7381" s="3" t="n">
        <v>2023</v>
      </c>
      <c r="B7381" s="4" t="n">
        <v>12800</v>
      </c>
      <c r="C7381" s="4" t="n">
        <v>2823</v>
      </c>
      <c r="D7381" s="4" t="n">
        <v>853.9575</v>
      </c>
      <c r="E7381" s="5" t="n">
        <v>15</v>
      </c>
      <c r="F7381" s="3" t="inlineStr">
        <is>
          <t>남이면</t>
        </is>
      </c>
      <c r="G7381" s="3" t="inlineStr">
        <is>
          <t>사동리</t>
        </is>
      </c>
      <c r="H7381" s="3" t="inlineStr">
        <is>
          <t>생산관리지역</t>
        </is>
      </c>
      <c r="I7381" s="3" t="inlineStr">
        <is>
          <t>답</t>
        </is>
      </c>
      <c r="J7381" s="3" t="inlineStr">
        <is>
          <t>남이면</t>
        </is>
      </c>
    </row>
    <row r="7382">
      <c r="A7382" s="3" t="n">
        <v>2023</v>
      </c>
      <c r="B7382" s="4" t="n">
        <v>4100</v>
      </c>
      <c r="C7382" s="4" t="n">
        <v>562</v>
      </c>
      <c r="D7382" s="4" t="n">
        <v>170.005</v>
      </c>
      <c r="E7382" s="5" t="n">
        <v>24.1</v>
      </c>
      <c r="F7382" s="3" t="inlineStr">
        <is>
          <t>현도면</t>
        </is>
      </c>
      <c r="G7382" s="3" t="inlineStr">
        <is>
          <t>중척리</t>
        </is>
      </c>
      <c r="H7382" s="3" t="inlineStr">
        <is>
          <t>개발제한구역</t>
        </is>
      </c>
      <c r="I7382" s="3" t="inlineStr">
        <is>
          <t>답</t>
        </is>
      </c>
      <c r="J7382" s="3" t="inlineStr">
        <is>
          <t>현도면</t>
        </is>
      </c>
    </row>
    <row r="7383">
      <c r="A7383" s="3" t="n">
        <v>2023</v>
      </c>
      <c r="B7383" s="4" t="n">
        <v>48434</v>
      </c>
      <c r="C7383" s="4" t="n">
        <v>4341.6</v>
      </c>
      <c r="D7383" s="4" t="n">
        <v>1313.334</v>
      </c>
      <c r="E7383" s="5" t="n">
        <v>36.9</v>
      </c>
      <c r="F7383" s="3" t="inlineStr">
        <is>
          <t>남이면</t>
        </is>
      </c>
      <c r="G7383" s="3" t="inlineStr">
        <is>
          <t>비룡리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남이면</t>
        </is>
      </c>
    </row>
    <row r="7384">
      <c r="A7384" s="3" t="n">
        <v>2023</v>
      </c>
      <c r="B7384" s="4" t="n">
        <v>106966</v>
      </c>
      <c r="C7384" s="4" t="n">
        <v>9588.299999999999</v>
      </c>
      <c r="D7384" s="4" t="n">
        <v>2900.46075</v>
      </c>
      <c r="E7384" s="5" t="n">
        <v>36.9</v>
      </c>
      <c r="F7384" s="3" t="inlineStr">
        <is>
          <t>남이면</t>
        </is>
      </c>
      <c r="G7384" s="3" t="inlineStr">
        <is>
          <t>비룡리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남이면</t>
        </is>
      </c>
    </row>
    <row r="7385">
      <c r="A7385" s="3" t="n">
        <v>2023</v>
      </c>
      <c r="B7385" s="4" t="n">
        <v>23800</v>
      </c>
      <c r="C7385" s="4" t="n">
        <v>2547</v>
      </c>
      <c r="D7385" s="4" t="n">
        <v>770.4675</v>
      </c>
      <c r="E7385" s="5" t="n">
        <v>30.9</v>
      </c>
      <c r="F7385" s="3" t="inlineStr">
        <is>
          <t>현도면</t>
        </is>
      </c>
      <c r="G7385" s="3" t="inlineStr">
        <is>
          <t>시목리</t>
        </is>
      </c>
      <c r="H7385" s="3" t="inlineStr">
        <is>
          <t>개발제한구역</t>
        </is>
      </c>
      <c r="I7385" s="3" t="inlineStr">
        <is>
          <t>답</t>
        </is>
      </c>
      <c r="J7385" s="3" t="inlineStr">
        <is>
          <t>현도면</t>
        </is>
      </c>
    </row>
    <row r="7386">
      <c r="A7386" s="3" t="n">
        <v>2023</v>
      </c>
      <c r="B7386" s="4" t="n">
        <v>15000</v>
      </c>
      <c r="C7386" s="4" t="n">
        <v>985</v>
      </c>
      <c r="D7386" s="4" t="n">
        <v>297.9625</v>
      </c>
      <c r="E7386" s="5" t="n">
        <v>50.3</v>
      </c>
      <c r="F7386" s="3" t="inlineStr">
        <is>
          <t>남이면</t>
        </is>
      </c>
      <c r="G7386" s="3" t="inlineStr">
        <is>
          <t>부용외천리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남이면</t>
        </is>
      </c>
    </row>
    <row r="7387">
      <c r="A7387" s="3" t="n">
        <v>2023</v>
      </c>
      <c r="B7387" s="4" t="n">
        <v>6300</v>
      </c>
      <c r="C7387" s="4" t="n">
        <v>416</v>
      </c>
      <c r="D7387" s="4" t="n">
        <v>125.84</v>
      </c>
      <c r="E7387" s="5" t="n">
        <v>50.1</v>
      </c>
      <c r="F7387" s="3" t="inlineStr">
        <is>
          <t>현도면</t>
        </is>
      </c>
      <c r="G7387" s="3" t="inlineStr">
        <is>
          <t>매봉리</t>
        </is>
      </c>
      <c r="H7387" s="3" t="inlineStr">
        <is>
          <t>자연녹지지역</t>
        </is>
      </c>
      <c r="I7387" s="3" t="inlineStr">
        <is>
          <t>전</t>
        </is>
      </c>
      <c r="J7387" s="3" t="inlineStr">
        <is>
          <t>현도면</t>
        </is>
      </c>
    </row>
    <row r="7388">
      <c r="A7388" s="3" t="n">
        <v>2023</v>
      </c>
      <c r="B7388" s="4" t="n">
        <v>550</v>
      </c>
      <c r="C7388" s="4" t="n">
        <v>47</v>
      </c>
      <c r="D7388" s="4" t="n">
        <v>14.2175</v>
      </c>
      <c r="E7388" s="5" t="n">
        <v>38.7</v>
      </c>
      <c r="F7388" s="3" t="inlineStr">
        <is>
          <t>남이면</t>
        </is>
      </c>
      <c r="G7388" s="3" t="inlineStr">
        <is>
          <t>부용외천리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남이면</t>
        </is>
      </c>
    </row>
    <row r="7389">
      <c r="A7389" s="3" t="n">
        <v>2023</v>
      </c>
      <c r="B7389" s="4" t="n">
        <v>900</v>
      </c>
      <c r="C7389" s="4" t="n">
        <v>67</v>
      </c>
      <c r="D7389" s="4" t="n">
        <v>20.2675</v>
      </c>
      <c r="E7389" s="5" t="n">
        <v>44.4</v>
      </c>
      <c r="F7389" s="3" t="inlineStr">
        <is>
          <t>남이면</t>
        </is>
      </c>
      <c r="G7389" s="3" t="inlineStr">
        <is>
          <t>가마리</t>
        </is>
      </c>
      <c r="H7389" s="3" t="inlineStr">
        <is>
          <t>자연녹지지역</t>
        </is>
      </c>
      <c r="I7389" s="3" t="inlineStr">
        <is>
          <t>임야</t>
        </is>
      </c>
      <c r="J7389" s="3" t="inlineStr">
        <is>
          <t>남이면</t>
        </is>
      </c>
    </row>
    <row r="7390">
      <c r="A7390" s="3" t="n">
        <v>2023</v>
      </c>
      <c r="B7390" s="4" t="n">
        <v>44000</v>
      </c>
      <c r="C7390" s="4" t="n">
        <v>2185</v>
      </c>
      <c r="D7390" s="4" t="n">
        <v>660.9625</v>
      </c>
      <c r="E7390" s="5" t="n">
        <v>66.59999999999999</v>
      </c>
      <c r="F7390" s="3" t="inlineStr">
        <is>
          <t>남이면</t>
        </is>
      </c>
      <c r="G7390" s="3" t="inlineStr">
        <is>
          <t>구암리</t>
        </is>
      </c>
      <c r="H7390" s="3" t="inlineStr">
        <is>
          <t>자연녹지지역</t>
        </is>
      </c>
      <c r="I7390" s="3" t="inlineStr">
        <is>
          <t>잡종지</t>
        </is>
      </c>
      <c r="J7390" s="3" t="inlineStr">
        <is>
          <t>남이면</t>
        </is>
      </c>
    </row>
    <row r="7391">
      <c r="A7391" s="3" t="n">
        <v>2023</v>
      </c>
      <c r="B7391" s="4" t="n">
        <v>2600</v>
      </c>
      <c r="C7391" s="4" t="n">
        <v>132</v>
      </c>
      <c r="D7391" s="4" t="n">
        <v>39.93</v>
      </c>
      <c r="E7391" s="5" t="n">
        <v>65.09999999999999</v>
      </c>
      <c r="F7391" s="3" t="inlineStr">
        <is>
          <t>남이면</t>
        </is>
      </c>
      <c r="G7391" s="3" t="inlineStr">
        <is>
          <t>구암리</t>
        </is>
      </c>
      <c r="H7391" s="3" t="inlineStr">
        <is>
          <t>자연녹지지역</t>
        </is>
      </c>
      <c r="I7391" s="3" t="inlineStr">
        <is>
          <t>도로</t>
        </is>
      </c>
      <c r="J7391" s="3" t="inlineStr">
        <is>
          <t>남이면</t>
        </is>
      </c>
    </row>
    <row r="7392">
      <c r="A7392" s="3" t="n">
        <v>2023</v>
      </c>
      <c r="B7392" s="4" t="n">
        <v>400</v>
      </c>
      <c r="C7392" s="4" t="n">
        <v>10</v>
      </c>
      <c r="D7392" s="4" t="n">
        <v>3.025</v>
      </c>
      <c r="E7392" s="5" t="n">
        <v>132.2</v>
      </c>
      <c r="F7392" s="3" t="inlineStr">
        <is>
          <t>남이면</t>
        </is>
      </c>
      <c r="G7392" s="3" t="inlineStr">
        <is>
          <t>구암리</t>
        </is>
      </c>
      <c r="H7392" s="3" t="inlineStr">
        <is>
          <t>자연녹지지역</t>
        </is>
      </c>
      <c r="I7392" s="3" t="inlineStr">
        <is>
          <t>도로</t>
        </is>
      </c>
      <c r="J7392" s="3" t="inlineStr">
        <is>
          <t>남이면</t>
        </is>
      </c>
    </row>
    <row r="7393">
      <c r="A7393" s="3" t="n">
        <v>2023</v>
      </c>
      <c r="B7393" s="4" t="n">
        <v>1362</v>
      </c>
      <c r="C7393" s="4" t="n">
        <v>53</v>
      </c>
      <c r="D7393" s="4" t="n">
        <v>16.0325</v>
      </c>
      <c r="E7393" s="5" t="n">
        <v>85</v>
      </c>
      <c r="F7393" s="3" t="inlineStr">
        <is>
          <t>현도면</t>
        </is>
      </c>
      <c r="G7393" s="3" t="inlineStr">
        <is>
          <t>죽암리</t>
        </is>
      </c>
      <c r="H7393" s="3" t="inlineStr">
        <is>
          <t>계획관리지역</t>
        </is>
      </c>
      <c r="I7393" s="3" t="inlineStr">
        <is>
          <t>창고용지</t>
        </is>
      </c>
      <c r="J7393" s="3" t="inlineStr">
        <is>
          <t>현도면</t>
        </is>
      </c>
    </row>
    <row r="7394">
      <c r="A7394" s="3" t="n">
        <v>2023</v>
      </c>
      <c r="B7394" s="4" t="n">
        <v>17100</v>
      </c>
      <c r="C7394" s="4" t="n">
        <v>1256</v>
      </c>
      <c r="D7394" s="4" t="n">
        <v>379.94</v>
      </c>
      <c r="E7394" s="5" t="n">
        <v>45</v>
      </c>
      <c r="F7394" s="3" t="inlineStr">
        <is>
          <t>남이면</t>
        </is>
      </c>
      <c r="G7394" s="3" t="inlineStr">
        <is>
          <t>가마리</t>
        </is>
      </c>
      <c r="H7394" s="3" t="inlineStr">
        <is>
          <t>보전녹지지역</t>
        </is>
      </c>
      <c r="I7394" s="3" t="inlineStr">
        <is>
          <t>전</t>
        </is>
      </c>
      <c r="J7394" s="3" t="inlineStr">
        <is>
          <t>남이면</t>
        </is>
      </c>
    </row>
    <row r="7395">
      <c r="A7395" s="3" t="n">
        <v>2024</v>
      </c>
      <c r="B7395" s="4" t="n">
        <v>244000</v>
      </c>
      <c r="C7395" s="4" t="n">
        <v>518</v>
      </c>
      <c r="D7395" s="4" t="n">
        <v>156.695</v>
      </c>
      <c r="E7395" s="5" t="n">
        <v>1557.2</v>
      </c>
      <c r="F7395" s="3" t="inlineStr">
        <is>
          <t>조치원읍</t>
        </is>
      </c>
      <c r="G7395" s="3" t="inlineStr">
        <is>
          <t>죽림리</t>
        </is>
      </c>
      <c r="H7395" s="3" t="inlineStr">
        <is>
          <t>일반상업지역</t>
        </is>
      </c>
      <c r="I7395" s="3" t="inlineStr">
        <is>
          <t>대</t>
        </is>
      </c>
      <c r="J7395" s="3" t="inlineStr">
        <is>
          <t>조치원읍</t>
        </is>
      </c>
    </row>
    <row r="7396">
      <c r="A7396" s="3" t="n">
        <v>2024</v>
      </c>
      <c r="B7396" s="4" t="n">
        <v>23550</v>
      </c>
      <c r="C7396" s="4" t="n">
        <v>5190</v>
      </c>
      <c r="D7396" s="4" t="n">
        <v>1569.975</v>
      </c>
      <c r="E7396" s="5" t="n">
        <v>15</v>
      </c>
      <c r="F7396" s="3" t="inlineStr">
        <is>
          <t>전의면</t>
        </is>
      </c>
      <c r="G7396" s="3" t="inlineStr">
        <is>
          <t>다방리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전의면</t>
        </is>
      </c>
    </row>
    <row r="7397">
      <c r="A7397" s="3" t="n">
        <v>2024</v>
      </c>
      <c r="B7397" s="4" t="n">
        <v>515000</v>
      </c>
      <c r="C7397" s="4" t="n">
        <v>1967</v>
      </c>
      <c r="D7397" s="4" t="n">
        <v>595.0174999999999</v>
      </c>
      <c r="E7397" s="5" t="n">
        <v>865.5</v>
      </c>
      <c r="F7397" s="3" t="inlineStr">
        <is>
          <t>조치원읍</t>
        </is>
      </c>
      <c r="G7397" s="3" t="inlineStr">
        <is>
          <t>죽림리</t>
        </is>
      </c>
      <c r="H7397" s="3" t="inlineStr">
        <is>
          <t>일반상업지역</t>
        </is>
      </c>
      <c r="I7397" s="3" t="inlineStr">
        <is>
          <t>과수원</t>
        </is>
      </c>
      <c r="J7397" s="3" t="inlineStr">
        <is>
          <t>조치원읍</t>
        </is>
      </c>
    </row>
    <row r="7398">
      <c r="A7398" s="3" t="n">
        <v>2024</v>
      </c>
      <c r="B7398" s="4" t="n">
        <v>25000</v>
      </c>
      <c r="C7398" s="4" t="n">
        <v>826</v>
      </c>
      <c r="D7398" s="4" t="n">
        <v>249.865</v>
      </c>
      <c r="E7398" s="5" t="n">
        <v>100.1</v>
      </c>
      <c r="F7398" s="3" t="inlineStr">
        <is>
          <t>장군면</t>
        </is>
      </c>
      <c r="G7398" s="3" t="inlineStr">
        <is>
          <t>송문리</t>
        </is>
      </c>
      <c r="H7398" s="3" t="inlineStr">
        <is>
          <t>계획관리지역</t>
        </is>
      </c>
      <c r="I7398" s="3" t="inlineStr">
        <is>
          <t>전</t>
        </is>
      </c>
      <c r="J7398" s="3" t="inlineStr">
        <is>
          <t>장군면</t>
        </is>
      </c>
    </row>
    <row r="7399">
      <c r="A7399" s="3" t="n">
        <v>2024</v>
      </c>
      <c r="B7399" s="4" t="n">
        <v>439</v>
      </c>
      <c r="C7399" s="4" t="n">
        <v>49</v>
      </c>
      <c r="D7399" s="4" t="n">
        <v>14.8225</v>
      </c>
      <c r="E7399" s="5" t="n">
        <v>29.6</v>
      </c>
      <c r="F7399" s="3" t="inlineStr">
        <is>
          <t>장군면</t>
        </is>
      </c>
      <c r="G7399" s="3" t="inlineStr">
        <is>
          <t>송정리</t>
        </is>
      </c>
      <c r="H7399" s="3" t="inlineStr">
        <is>
          <t>생산관리지역</t>
        </is>
      </c>
      <c r="I7399" s="3" t="inlineStr">
        <is>
          <t>전</t>
        </is>
      </c>
      <c r="J7399" s="3" t="inlineStr">
        <is>
          <t>장군면</t>
        </is>
      </c>
    </row>
    <row r="7400">
      <c r="A7400" s="3" t="n">
        <v>2024</v>
      </c>
      <c r="B7400" s="4" t="n">
        <v>3000</v>
      </c>
      <c r="C7400" s="4" t="n">
        <v>492</v>
      </c>
      <c r="D7400" s="4" t="n">
        <v>148.83</v>
      </c>
      <c r="E7400" s="5" t="n">
        <v>20.2</v>
      </c>
      <c r="F7400" s="3" t="inlineStr">
        <is>
          <t>연서면</t>
        </is>
      </c>
      <c r="G7400" s="3" t="inlineStr">
        <is>
          <t>고복리</t>
        </is>
      </c>
      <c r="H7400" s="3" t="inlineStr">
        <is>
          <t>자연환경보전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2024</v>
      </c>
      <c r="B7401" s="4" t="n">
        <v>32000</v>
      </c>
      <c r="C7401" s="4" t="n">
        <v>767</v>
      </c>
      <c r="D7401" s="4" t="n">
        <v>232.0175</v>
      </c>
      <c r="E7401" s="5" t="n">
        <v>137.9</v>
      </c>
      <c r="F7401" s="3" t="inlineStr">
        <is>
          <t>연동면</t>
        </is>
      </c>
      <c r="G7401" s="3" t="inlineStr">
        <is>
          <t>노송리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연동면</t>
        </is>
      </c>
    </row>
    <row r="7402">
      <c r="A7402" s="3" t="n">
        <v>2024</v>
      </c>
      <c r="B7402" s="4" t="n">
        <v>5000</v>
      </c>
      <c r="C7402" s="4" t="n">
        <v>1686</v>
      </c>
      <c r="D7402" s="4" t="n">
        <v>510.015</v>
      </c>
      <c r="E7402" s="5" t="n">
        <v>9.800000000000001</v>
      </c>
      <c r="F7402" s="3" t="inlineStr">
        <is>
          <t>전의면</t>
        </is>
      </c>
      <c r="G7402" s="3" t="inlineStr">
        <is>
          <t>달전리</t>
        </is>
      </c>
      <c r="H7402" s="3" t="inlineStr">
        <is>
          <t>보전관리지역</t>
        </is>
      </c>
      <c r="I7402" s="3" t="inlineStr">
        <is>
          <t>임야</t>
        </is>
      </c>
      <c r="J7402" s="3" t="inlineStr">
        <is>
          <t>전의면</t>
        </is>
      </c>
    </row>
    <row r="7403">
      <c r="A7403" s="3" t="n">
        <v>2024</v>
      </c>
      <c r="B7403" s="4" t="n">
        <v>20295</v>
      </c>
      <c r="C7403" s="4" t="n">
        <v>4066</v>
      </c>
      <c r="D7403" s="4" t="n">
        <v>1229.965</v>
      </c>
      <c r="E7403" s="5" t="n">
        <v>16.5</v>
      </c>
      <c r="F7403" s="3" t="inlineStr">
        <is>
          <t>전의면</t>
        </is>
      </c>
      <c r="G7403" s="3" t="inlineStr">
        <is>
          <t>다방리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전의면</t>
        </is>
      </c>
    </row>
    <row r="7404">
      <c r="A7404" s="3" t="n">
        <v>2024</v>
      </c>
      <c r="B7404" s="4" t="n">
        <v>13358</v>
      </c>
      <c r="C7404" s="4" t="n">
        <v>384</v>
      </c>
      <c r="D7404" s="4" t="n">
        <v>116.16</v>
      </c>
      <c r="E7404" s="5" t="n">
        <v>115</v>
      </c>
      <c r="F7404" s="3" t="inlineStr">
        <is>
          <t>장군면</t>
        </is>
      </c>
      <c r="G7404" s="3" t="inlineStr">
        <is>
          <t>송문리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장군면</t>
        </is>
      </c>
    </row>
    <row r="7405">
      <c r="A7405" s="3" t="n">
        <v>2024</v>
      </c>
      <c r="B7405" s="4" t="n">
        <v>59000</v>
      </c>
      <c r="C7405" s="4" t="n">
        <v>2446</v>
      </c>
      <c r="D7405" s="4" t="n">
        <v>739.915</v>
      </c>
      <c r="E7405" s="5" t="n">
        <v>79.7</v>
      </c>
      <c r="F7405" s="3" t="inlineStr">
        <is>
          <t>연동면</t>
        </is>
      </c>
      <c r="G7405" s="3" t="inlineStr">
        <is>
          <t>응암리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연동면</t>
        </is>
      </c>
    </row>
    <row r="7406">
      <c r="A7406" s="3" t="n">
        <v>2024</v>
      </c>
      <c r="B7406" s="4" t="n">
        <v>32000</v>
      </c>
      <c r="C7406" s="4" t="n">
        <v>1236</v>
      </c>
      <c r="D7406" s="4" t="n">
        <v>373.89</v>
      </c>
      <c r="E7406" s="5" t="n">
        <v>85.59999999999999</v>
      </c>
      <c r="F7406" s="3" t="inlineStr">
        <is>
          <t>금남면</t>
        </is>
      </c>
      <c r="G7406" s="3" t="inlineStr">
        <is>
          <t>영치리</t>
        </is>
      </c>
      <c r="H7406" s="3" t="inlineStr">
        <is>
          <t>개발제한구역</t>
        </is>
      </c>
      <c r="I7406" s="3" t="inlineStr">
        <is>
          <t>전</t>
        </is>
      </c>
      <c r="J7406" s="3" t="inlineStr">
        <is>
          <t>금남면</t>
        </is>
      </c>
    </row>
    <row r="7407">
      <c r="A7407" s="3" t="n">
        <v>2024</v>
      </c>
      <c r="B7407" s="4" t="n">
        <v>8500</v>
      </c>
      <c r="C7407" s="4" t="n">
        <v>330</v>
      </c>
      <c r="D7407" s="4" t="n">
        <v>99.825</v>
      </c>
      <c r="E7407" s="5" t="n">
        <v>85.09999999999999</v>
      </c>
      <c r="F7407" s="3" t="inlineStr">
        <is>
          <t>금남면</t>
        </is>
      </c>
      <c r="G7407" s="3" t="inlineStr">
        <is>
          <t>영치리</t>
        </is>
      </c>
      <c r="H7407" s="3" t="inlineStr">
        <is>
          <t>개발제한구역</t>
        </is>
      </c>
      <c r="I7407" s="3" t="inlineStr">
        <is>
          <t>전</t>
        </is>
      </c>
      <c r="J7407" s="3" t="inlineStr">
        <is>
          <t>금남면</t>
        </is>
      </c>
    </row>
    <row r="7408">
      <c r="A7408" s="3" t="n">
        <v>2024</v>
      </c>
      <c r="B7408" s="4" t="n">
        <v>22681</v>
      </c>
      <c r="C7408" s="4" t="n">
        <v>2280.9</v>
      </c>
      <c r="D7408" s="4" t="n">
        <v>689.97225</v>
      </c>
      <c r="E7408" s="5" t="n">
        <v>32.9</v>
      </c>
      <c r="F7408" s="3" t="inlineStr">
        <is>
          <t>연동면</t>
        </is>
      </c>
      <c r="G7408" s="3" t="inlineStr">
        <is>
          <t>예양리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연동면</t>
        </is>
      </c>
    </row>
    <row r="7409">
      <c r="A7409" s="3" t="n">
        <v>2024</v>
      </c>
      <c r="B7409" s="4" t="n">
        <v>11208</v>
      </c>
      <c r="C7409" s="4" t="n">
        <v>189</v>
      </c>
      <c r="D7409" s="4" t="n">
        <v>57.1725</v>
      </c>
      <c r="E7409" s="5" t="n">
        <v>196</v>
      </c>
      <c r="F7409" s="3" t="inlineStr">
        <is>
          <t>연서면</t>
        </is>
      </c>
      <c r="G7409" s="3" t="inlineStr">
        <is>
          <t>봉암리</t>
        </is>
      </c>
      <c r="H7409" s="3" t="inlineStr">
        <is>
          <t>계획관리지역</t>
        </is>
      </c>
      <c r="I7409" s="3" t="inlineStr">
        <is>
          <t>구거</t>
        </is>
      </c>
      <c r="J7409" s="3" t="inlineStr">
        <is>
          <t>연서면</t>
        </is>
      </c>
    </row>
    <row r="7410">
      <c r="A7410" s="3" t="n">
        <v>2024</v>
      </c>
      <c r="B7410" s="4" t="n">
        <v>1957</v>
      </c>
      <c r="C7410" s="4" t="n">
        <v>66</v>
      </c>
      <c r="D7410" s="4" t="n">
        <v>19.965</v>
      </c>
      <c r="E7410" s="5" t="n">
        <v>98</v>
      </c>
      <c r="F7410" s="3" t="inlineStr">
        <is>
          <t>전동면</t>
        </is>
      </c>
      <c r="G7410" s="3" t="inlineStr">
        <is>
          <t>송곡리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전동면</t>
        </is>
      </c>
    </row>
    <row r="7411">
      <c r="A7411" s="3" t="n">
        <v>2024</v>
      </c>
      <c r="B7411" s="4" t="n">
        <v>1890</v>
      </c>
      <c r="C7411" s="4" t="n">
        <v>299</v>
      </c>
      <c r="D7411" s="4" t="n">
        <v>90.44749999999999</v>
      </c>
      <c r="E7411" s="5" t="n">
        <v>20.9</v>
      </c>
      <c r="F7411" s="3" t="inlineStr">
        <is>
          <t>금남면</t>
        </is>
      </c>
      <c r="G7411" s="3" t="inlineStr">
        <is>
          <t>영치리</t>
        </is>
      </c>
      <c r="H7411" s="3" t="inlineStr">
        <is>
          <t>개발제한구역</t>
        </is>
      </c>
      <c r="I7411" s="3" t="inlineStr">
        <is>
          <t>전</t>
        </is>
      </c>
      <c r="J7411" s="3" t="inlineStr">
        <is>
          <t>금남면</t>
        </is>
      </c>
    </row>
    <row r="7412">
      <c r="A7412" s="3" t="n">
        <v>2024</v>
      </c>
      <c r="B7412" s="4" t="n">
        <v>1302</v>
      </c>
      <c r="C7412" s="4" t="n">
        <v>205</v>
      </c>
      <c r="D7412" s="4" t="n">
        <v>62.0125</v>
      </c>
      <c r="E7412" s="5" t="n">
        <v>21</v>
      </c>
      <c r="F7412" s="3" t="inlineStr">
        <is>
          <t>금남면</t>
        </is>
      </c>
      <c r="G7412" s="3" t="inlineStr">
        <is>
          <t>영치리</t>
        </is>
      </c>
      <c r="H7412" s="3" t="inlineStr">
        <is>
          <t>개발제한구역</t>
        </is>
      </c>
      <c r="I7412" s="3" t="inlineStr">
        <is>
          <t>전</t>
        </is>
      </c>
      <c r="J7412" s="3" t="inlineStr">
        <is>
          <t>금남면</t>
        </is>
      </c>
    </row>
    <row r="7413">
      <c r="A7413" s="3" t="n">
        <v>2024</v>
      </c>
      <c r="B7413" s="4" t="n">
        <v>5000</v>
      </c>
      <c r="C7413" s="4" t="n">
        <v>311</v>
      </c>
      <c r="D7413" s="4" t="n">
        <v>94.0775</v>
      </c>
      <c r="E7413" s="5" t="n">
        <v>53.1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전</t>
        </is>
      </c>
      <c r="J7413" s="3" t="inlineStr">
        <is>
          <t>연동면</t>
        </is>
      </c>
    </row>
    <row r="7414">
      <c r="A7414" s="3" t="n">
        <v>2024</v>
      </c>
      <c r="B7414" s="4" t="n">
        <v>42700</v>
      </c>
      <c r="C7414" s="4" t="n">
        <v>295</v>
      </c>
      <c r="D7414" s="4" t="n">
        <v>89.2375</v>
      </c>
      <c r="E7414" s="5" t="n">
        <v>478.5</v>
      </c>
      <c r="F7414" s="3" t="inlineStr">
        <is>
          <t>고운동</t>
        </is>
      </c>
      <c r="G7414" s="3" t="inlineStr"/>
      <c r="H7414" s="3" t="inlineStr">
        <is>
          <t>제1종전용주거지역</t>
        </is>
      </c>
      <c r="I7414" s="3" t="inlineStr">
        <is>
          <t>대</t>
        </is>
      </c>
      <c r="J7414" s="3" t="inlineStr">
        <is>
          <t>고운동</t>
        </is>
      </c>
    </row>
    <row r="7415">
      <c r="A7415" s="3" t="n">
        <v>2024</v>
      </c>
      <c r="B7415" s="4" t="n">
        <v>9900</v>
      </c>
      <c r="C7415" s="4" t="n">
        <v>943</v>
      </c>
      <c r="D7415" s="4" t="n">
        <v>285.2575</v>
      </c>
      <c r="E7415" s="5" t="n">
        <v>34.7</v>
      </c>
      <c r="F7415" s="3" t="inlineStr">
        <is>
          <t>연동면</t>
        </is>
      </c>
      <c r="G7415" s="3" t="inlineStr">
        <is>
          <t>응암리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연동면</t>
        </is>
      </c>
    </row>
    <row r="7416">
      <c r="A7416" s="3" t="n">
        <v>2025</v>
      </c>
      <c r="B7416" s="4" t="n">
        <v>5000</v>
      </c>
      <c r="C7416" s="4" t="n">
        <v>340</v>
      </c>
      <c r="D7416" s="4" t="n">
        <v>102.85</v>
      </c>
      <c r="E7416" s="5" t="n">
        <v>48.6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계획관리지역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2025</v>
      </c>
      <c r="B7417" s="4" t="n">
        <v>16000</v>
      </c>
      <c r="C7417" s="4" t="n">
        <v>754</v>
      </c>
      <c r="D7417" s="4" t="n">
        <v>228.085</v>
      </c>
      <c r="E7417" s="5" t="n">
        <v>70.09999999999999</v>
      </c>
      <c r="F7417" s="3" t="inlineStr">
        <is>
          <t>오송읍</t>
        </is>
      </c>
      <c r="G7417" s="3" t="inlineStr">
        <is>
          <t>정중리</t>
        </is>
      </c>
      <c r="H7417" s="3" t="inlineStr">
        <is>
          <t>생산관리지역</t>
        </is>
      </c>
      <c r="I7417" s="3" t="inlineStr">
        <is>
          <t>전</t>
        </is>
      </c>
      <c r="J7417" s="3" t="inlineStr">
        <is>
          <t>오송읍</t>
        </is>
      </c>
    </row>
    <row r="7418">
      <c r="A7418" s="3" t="n">
        <v>2025</v>
      </c>
      <c r="B7418" s="4" t="n">
        <v>18600</v>
      </c>
      <c r="C7418" s="4" t="n">
        <v>879</v>
      </c>
      <c r="D7418" s="4" t="n">
        <v>265.8975</v>
      </c>
      <c r="E7418" s="5" t="n">
        <v>70</v>
      </c>
      <c r="F7418" s="3" t="inlineStr">
        <is>
          <t>오송읍</t>
        </is>
      </c>
      <c r="G7418" s="3" t="inlineStr">
        <is>
          <t>정중리</t>
        </is>
      </c>
      <c r="H7418" s="3" t="inlineStr">
        <is>
          <t>생산관리지역</t>
        </is>
      </c>
      <c r="I7418" s="3" t="inlineStr">
        <is>
          <t>전</t>
        </is>
      </c>
      <c r="J7418" s="3" t="inlineStr">
        <is>
          <t>오송읍</t>
        </is>
      </c>
    </row>
    <row r="7419">
      <c r="A7419" s="3" t="n">
        <v>2025</v>
      </c>
      <c r="B7419" s="4" t="n">
        <v>1300</v>
      </c>
      <c r="C7419" s="4" t="n">
        <v>60</v>
      </c>
      <c r="D7419" s="4" t="n">
        <v>18.15</v>
      </c>
      <c r="E7419" s="5" t="n">
        <v>71.59999999999999</v>
      </c>
      <c r="F7419" s="3" t="inlineStr">
        <is>
          <t>오송읍</t>
        </is>
      </c>
      <c r="G7419" s="3" t="inlineStr">
        <is>
          <t>정중리</t>
        </is>
      </c>
      <c r="H7419" s="3" t="inlineStr">
        <is>
          <t>생산관리지역</t>
        </is>
      </c>
      <c r="I7419" s="3" t="inlineStr">
        <is>
          <t>전</t>
        </is>
      </c>
      <c r="J7419" s="3" t="inlineStr">
        <is>
          <t>오송읍</t>
        </is>
      </c>
    </row>
    <row r="7420">
      <c r="A7420" s="3" t="n">
        <v>2025</v>
      </c>
      <c r="B7420" s="4" t="n">
        <v>11100</v>
      </c>
      <c r="C7420" s="4" t="n">
        <v>529</v>
      </c>
      <c r="D7420" s="4" t="n">
        <v>160.0225</v>
      </c>
      <c r="E7420" s="5" t="n">
        <v>69.40000000000001</v>
      </c>
      <c r="F7420" s="3" t="inlineStr">
        <is>
          <t>오송읍</t>
        </is>
      </c>
      <c r="G7420" s="3" t="inlineStr">
        <is>
          <t>정중리</t>
        </is>
      </c>
      <c r="H7420" s="3" t="inlineStr">
        <is>
          <t>생산관리지역</t>
        </is>
      </c>
      <c r="I7420" s="3" t="inlineStr">
        <is>
          <t>전</t>
        </is>
      </c>
      <c r="J7420" s="3" t="inlineStr">
        <is>
          <t>오송읍</t>
        </is>
      </c>
    </row>
    <row r="7421">
      <c r="A7421" s="3" t="n">
        <v>2025</v>
      </c>
      <c r="B7421" s="4" t="n">
        <v>30000</v>
      </c>
      <c r="C7421" s="4" t="n">
        <v>321.9</v>
      </c>
      <c r="D7421" s="4" t="n">
        <v>97.37474999999999</v>
      </c>
      <c r="E7421" s="5" t="n">
        <v>308.1</v>
      </c>
      <c r="F7421" s="3" t="inlineStr">
        <is>
          <t>오송읍</t>
        </is>
      </c>
      <c r="G7421" s="3" t="inlineStr">
        <is>
          <t>봉산리</t>
        </is>
      </c>
      <c r="H7421" s="3" t="inlineStr">
        <is>
          <t>제1종일반주거지역</t>
        </is>
      </c>
      <c r="I7421" s="3" t="inlineStr">
        <is>
          <t>대</t>
        </is>
      </c>
      <c r="J7421" s="3" t="inlineStr">
        <is>
          <t>오송읍</t>
        </is>
      </c>
    </row>
    <row r="7422">
      <c r="A7422" s="3" t="n">
        <v>2025</v>
      </c>
      <c r="B7422" s="4" t="n">
        <v>8250</v>
      </c>
      <c r="C7422" s="4" t="n">
        <v>270.2</v>
      </c>
      <c r="D7422" s="4" t="n">
        <v>81.73549999999999</v>
      </c>
      <c r="E7422" s="5" t="n">
        <v>100.9</v>
      </c>
      <c r="F7422" s="3" t="inlineStr">
        <is>
          <t>오송읍</t>
        </is>
      </c>
      <c r="G7422" s="3" t="inlineStr">
        <is>
          <t>상정리</t>
        </is>
      </c>
      <c r="H7422" s="3" t="inlineStr">
        <is>
          <t>계획관리지역</t>
        </is>
      </c>
      <c r="I7422" s="3" t="inlineStr">
        <is>
          <t>대</t>
        </is>
      </c>
      <c r="J7422" s="3" t="inlineStr">
        <is>
          <t>오송읍</t>
        </is>
      </c>
    </row>
    <row r="7423">
      <c r="A7423" s="3" t="n">
        <v>2025</v>
      </c>
      <c r="B7423" s="4" t="n">
        <v>30000</v>
      </c>
      <c r="C7423" s="4" t="n">
        <v>2859</v>
      </c>
      <c r="D7423" s="4" t="n">
        <v>864.8475</v>
      </c>
      <c r="E7423" s="5" t="n">
        <v>34.7</v>
      </c>
      <c r="F7423" s="3" t="inlineStr">
        <is>
          <t>오송읍</t>
        </is>
      </c>
      <c r="G7423" s="3" t="inlineStr">
        <is>
          <t>정중리</t>
        </is>
      </c>
      <c r="H7423" s="3" t="inlineStr">
        <is>
          <t>생산관리지역</t>
        </is>
      </c>
      <c r="I7423" s="3" t="inlineStr">
        <is>
          <t>임야</t>
        </is>
      </c>
      <c r="J7423" s="3" t="inlineStr">
        <is>
          <t>오송읍</t>
        </is>
      </c>
    </row>
    <row r="7424">
      <c r="A7424" s="3" t="n">
        <v>2025</v>
      </c>
      <c r="B7424" s="4" t="n">
        <v>35053</v>
      </c>
      <c r="C7424" s="4" t="n">
        <v>469</v>
      </c>
      <c r="D7424" s="4" t="n">
        <v>141.8725</v>
      </c>
      <c r="E7424" s="5" t="n">
        <v>247.1</v>
      </c>
      <c r="F7424" s="3" t="inlineStr">
        <is>
          <t>오송읍</t>
        </is>
      </c>
      <c r="G7424" s="3" t="inlineStr">
        <is>
          <t>오송리</t>
        </is>
      </c>
      <c r="H7424" s="3" t="inlineStr">
        <is>
          <t>계획관리지역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2025</v>
      </c>
      <c r="B7425" s="4" t="n">
        <v>12332</v>
      </c>
      <c r="C7425" s="4" t="n">
        <v>165</v>
      </c>
      <c r="D7425" s="4" t="n">
        <v>49.9125</v>
      </c>
      <c r="E7425" s="5" t="n">
        <v>247.1</v>
      </c>
      <c r="F7425" s="3" t="inlineStr">
        <is>
          <t>오송읍</t>
        </is>
      </c>
      <c r="G7425" s="3" t="inlineStr">
        <is>
          <t>오송리</t>
        </is>
      </c>
      <c r="H7425" s="3" t="inlineStr">
        <is>
          <t>계획관리지역</t>
        </is>
      </c>
      <c r="I7425" s="3" t="inlineStr">
        <is>
          <t>답</t>
        </is>
      </c>
      <c r="J7425" s="3" t="inlineStr">
        <is>
          <t>오송읍</t>
        </is>
      </c>
    </row>
    <row r="7426">
      <c r="A7426" s="3" t="n">
        <v>2025</v>
      </c>
      <c r="B7426" s="4" t="n">
        <v>45375</v>
      </c>
      <c r="C7426" s="4" t="n">
        <v>2000</v>
      </c>
      <c r="D7426" s="4" t="n">
        <v>605</v>
      </c>
      <c r="E7426" s="5" t="n">
        <v>75</v>
      </c>
      <c r="F7426" s="3" t="inlineStr">
        <is>
          <t>오송읍</t>
        </is>
      </c>
      <c r="G7426" s="3" t="inlineStr">
        <is>
          <t>서평리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오송읍</t>
        </is>
      </c>
    </row>
    <row r="7427">
      <c r="A7427" s="3" t="n">
        <v>2025</v>
      </c>
      <c r="B7427" s="4" t="n">
        <v>160000</v>
      </c>
      <c r="C7427" s="4" t="n">
        <v>34909</v>
      </c>
      <c r="D7427" s="4" t="n">
        <v>10559.9725</v>
      </c>
      <c r="E7427" s="5" t="n">
        <v>15.2</v>
      </c>
      <c r="F7427" s="3" t="inlineStr">
        <is>
          <t>오송읍</t>
        </is>
      </c>
      <c r="G7427" s="3" t="inlineStr">
        <is>
          <t>공북리</t>
        </is>
      </c>
      <c r="H7427" s="3" t="inlineStr">
        <is>
          <t>보전관리지역</t>
        </is>
      </c>
      <c r="I7427" s="3" t="inlineStr">
        <is>
          <t>임야</t>
        </is>
      </c>
      <c r="J7427" s="3" t="inlineStr">
        <is>
          <t>오송읍</t>
        </is>
      </c>
    </row>
    <row r="7428">
      <c r="A7428" s="3" t="n">
        <v>2025</v>
      </c>
      <c r="B7428" s="4" t="n">
        <v>20500</v>
      </c>
      <c r="C7428" s="4" t="n">
        <v>271.1</v>
      </c>
      <c r="D7428" s="4" t="n">
        <v>82.00775</v>
      </c>
      <c r="E7428" s="5" t="n">
        <v>250</v>
      </c>
      <c r="F7428" s="3" t="inlineStr">
        <is>
          <t>오송읍</t>
        </is>
      </c>
      <c r="G7428" s="3" t="inlineStr">
        <is>
          <t>봉산리</t>
        </is>
      </c>
      <c r="H7428" s="3" t="inlineStr">
        <is>
          <t>제1종일반주거지역</t>
        </is>
      </c>
      <c r="I7428" s="3" t="inlineStr">
        <is>
          <t>대</t>
        </is>
      </c>
      <c r="J7428" s="3" t="inlineStr">
        <is>
          <t>오송읍</t>
        </is>
      </c>
    </row>
    <row r="7429">
      <c r="A7429" s="3" t="n">
        <v>2023</v>
      </c>
      <c r="B7429" s="4" t="n">
        <v>22</v>
      </c>
      <c r="C7429" s="4" t="n">
        <v>3</v>
      </c>
      <c r="D7429" s="4" t="n">
        <v>0.9075</v>
      </c>
      <c r="E7429" s="5" t="n">
        <v>24.2</v>
      </c>
      <c r="F7429" s="3" t="inlineStr">
        <is>
          <t>장군면</t>
        </is>
      </c>
      <c r="G7429" s="3" t="inlineStr">
        <is>
          <t>용암리</t>
        </is>
      </c>
      <c r="H7429" s="3" t="inlineStr">
        <is>
          <t>보전관리지역</t>
        </is>
      </c>
      <c r="I7429" s="3" t="inlineStr">
        <is>
          <t>임야</t>
        </is>
      </c>
      <c r="J7429" s="3" t="inlineStr">
        <is>
          <t>장군면</t>
        </is>
      </c>
    </row>
    <row r="7430">
      <c r="A7430" s="3" t="n">
        <v>2023</v>
      </c>
      <c r="B7430" s="4" t="n">
        <v>1</v>
      </c>
      <c r="C7430" s="4" t="n">
        <v>19</v>
      </c>
      <c r="D7430" s="4" t="n">
        <v>5.7475</v>
      </c>
      <c r="E7430" s="5" t="n">
        <v>0.2</v>
      </c>
      <c r="F7430" s="3" t="inlineStr">
        <is>
          <t>금남면</t>
        </is>
      </c>
      <c r="G7430" s="3" t="inlineStr">
        <is>
          <t>금천리</t>
        </is>
      </c>
      <c r="H7430" s="3" t="inlineStr">
        <is>
          <t>개발제한구역</t>
        </is>
      </c>
      <c r="I7430" s="3" t="inlineStr">
        <is>
          <t>도로</t>
        </is>
      </c>
      <c r="J7430" s="3" t="inlineStr">
        <is>
          <t>금남면</t>
        </is>
      </c>
    </row>
    <row r="7431">
      <c r="A7431" s="3" t="n">
        <v>2023</v>
      </c>
      <c r="B7431" s="4" t="n">
        <v>6171</v>
      </c>
      <c r="C7431" s="4" t="n">
        <v>60</v>
      </c>
      <c r="D7431" s="4" t="n">
        <v>18.15</v>
      </c>
      <c r="E7431" s="5" t="n">
        <v>340</v>
      </c>
      <c r="F7431" s="3" t="inlineStr">
        <is>
          <t>금남면</t>
        </is>
      </c>
      <c r="G7431" s="3" t="inlineStr">
        <is>
          <t>감성리</t>
        </is>
      </c>
      <c r="H7431" s="3" t="inlineStr">
        <is>
          <t>자연녹지지역</t>
        </is>
      </c>
      <c r="I7431" s="3" t="inlineStr">
        <is>
          <t>답</t>
        </is>
      </c>
      <c r="J7431" s="3" t="inlineStr">
        <is>
          <t>금남면</t>
        </is>
      </c>
    </row>
    <row r="7432">
      <c r="A7432" s="3" t="n">
        <v>2023</v>
      </c>
      <c r="B7432" s="4" t="n">
        <v>30000</v>
      </c>
      <c r="C7432" s="4" t="n">
        <v>1386</v>
      </c>
      <c r="D7432" s="4" t="n">
        <v>419.265</v>
      </c>
      <c r="E7432" s="5" t="n">
        <v>71.59999999999999</v>
      </c>
      <c r="F7432" s="3" t="inlineStr">
        <is>
          <t>금남면</t>
        </is>
      </c>
      <c r="G7432" s="3" t="inlineStr">
        <is>
          <t>금천리</t>
        </is>
      </c>
      <c r="H7432" s="3" t="inlineStr">
        <is>
          <t>제1종일반주거지역</t>
        </is>
      </c>
      <c r="I7432" s="3" t="inlineStr">
        <is>
          <t>답</t>
        </is>
      </c>
      <c r="J7432" s="3" t="inlineStr">
        <is>
          <t>금남면</t>
        </is>
      </c>
    </row>
    <row r="7433">
      <c r="A7433" s="3" t="n">
        <v>2023</v>
      </c>
      <c r="B7433" s="4" t="n">
        <v>122400</v>
      </c>
      <c r="C7433" s="4" t="n">
        <v>40955</v>
      </c>
      <c r="D7433" s="4" t="n">
        <v>12388.8875</v>
      </c>
      <c r="E7433" s="5" t="n">
        <v>9.9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농림지역</t>
        </is>
      </c>
      <c r="I7433" s="3" t="inlineStr">
        <is>
          <t>임야</t>
        </is>
      </c>
      <c r="J7433" s="3" t="inlineStr">
        <is>
          <t>장군면</t>
        </is>
      </c>
    </row>
    <row r="7434">
      <c r="A7434" s="3" t="n">
        <v>2023</v>
      </c>
      <c r="B7434" s="4" t="n">
        <v>500</v>
      </c>
      <c r="C7434" s="4" t="n">
        <v>99</v>
      </c>
      <c r="D7434" s="4" t="n">
        <v>29.9475</v>
      </c>
      <c r="E7434" s="5" t="n">
        <v>16.7</v>
      </c>
      <c r="F7434" s="3" t="inlineStr">
        <is>
          <t>장군면</t>
        </is>
      </c>
      <c r="G7434" s="3" t="inlineStr">
        <is>
          <t>금암리</t>
        </is>
      </c>
      <c r="H7434" s="3" t="inlineStr">
        <is>
          <t>농림지역</t>
        </is>
      </c>
      <c r="I7434" s="3" t="inlineStr">
        <is>
          <t>묘지</t>
        </is>
      </c>
      <c r="J7434" s="3" t="inlineStr">
        <is>
          <t>장군면</t>
        </is>
      </c>
    </row>
    <row r="7435">
      <c r="A7435" s="3" t="n">
        <v>2023</v>
      </c>
      <c r="B7435" s="4" t="n">
        <v>599800</v>
      </c>
      <c r="C7435" s="4" t="n">
        <v>27110</v>
      </c>
      <c r="D7435" s="4" t="n">
        <v>8200.775</v>
      </c>
      <c r="E7435" s="5" t="n">
        <v>73.09999999999999</v>
      </c>
      <c r="F7435" s="3" t="inlineStr">
        <is>
          <t>장군면</t>
        </is>
      </c>
      <c r="G7435" s="3" t="inlineStr">
        <is>
          <t>금암리</t>
        </is>
      </c>
      <c r="H7435" s="3" t="inlineStr">
        <is>
          <t>보전관리지역</t>
        </is>
      </c>
      <c r="I7435" s="3" t="inlineStr">
        <is>
          <t>과수원</t>
        </is>
      </c>
      <c r="J7435" s="3" t="inlineStr">
        <is>
          <t>장군면</t>
        </is>
      </c>
    </row>
    <row r="7436">
      <c r="A7436" s="3" t="n">
        <v>2023</v>
      </c>
      <c r="B7436" s="4" t="n">
        <v>17600</v>
      </c>
      <c r="C7436" s="4" t="n">
        <v>485</v>
      </c>
      <c r="D7436" s="4" t="n">
        <v>146.7125</v>
      </c>
      <c r="E7436" s="5" t="n">
        <v>120</v>
      </c>
      <c r="F7436" s="3" t="inlineStr">
        <is>
          <t>장군면</t>
        </is>
      </c>
      <c r="G7436" s="3" t="inlineStr">
        <is>
          <t>금암리</t>
        </is>
      </c>
      <c r="H7436" s="3" t="inlineStr">
        <is>
          <t>계획관리지역</t>
        </is>
      </c>
      <c r="I7436" s="3" t="inlineStr">
        <is>
          <t>전</t>
        </is>
      </c>
      <c r="J7436" s="3" t="inlineStr">
        <is>
          <t>장군면</t>
        </is>
      </c>
    </row>
    <row r="7437">
      <c r="A7437" s="3" t="n">
        <v>2023</v>
      </c>
      <c r="B7437" s="4" t="n">
        <v>14700</v>
      </c>
      <c r="C7437" s="4" t="n">
        <v>340</v>
      </c>
      <c r="D7437" s="4" t="n">
        <v>102.85</v>
      </c>
      <c r="E7437" s="5" t="n">
        <v>142.9</v>
      </c>
      <c r="F7437" s="3" t="inlineStr">
        <is>
          <t>장군면</t>
        </is>
      </c>
      <c r="G7437" s="3" t="inlineStr">
        <is>
          <t>금암리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장군면</t>
        </is>
      </c>
    </row>
    <row r="7438">
      <c r="A7438" s="3" t="n">
        <v>2023</v>
      </c>
      <c r="B7438" s="4" t="n">
        <v>2000</v>
      </c>
      <c r="C7438" s="4" t="n">
        <v>140</v>
      </c>
      <c r="D7438" s="4" t="n">
        <v>42.35</v>
      </c>
      <c r="E7438" s="5" t="n">
        <v>47.2</v>
      </c>
      <c r="F7438" s="3" t="inlineStr">
        <is>
          <t>장군면</t>
        </is>
      </c>
      <c r="G7438" s="3" t="inlineStr">
        <is>
          <t>금암리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장군면</t>
        </is>
      </c>
    </row>
    <row r="7439">
      <c r="A7439" s="3" t="n">
        <v>2023</v>
      </c>
      <c r="B7439" s="4" t="n">
        <v>25000</v>
      </c>
      <c r="C7439" s="4" t="n">
        <v>343</v>
      </c>
      <c r="D7439" s="4" t="n">
        <v>103.7575</v>
      </c>
      <c r="E7439" s="5" t="n">
        <v>240.9</v>
      </c>
      <c r="F7439" s="3" t="inlineStr">
        <is>
          <t>조치원읍</t>
        </is>
      </c>
      <c r="G7439" s="3" t="inlineStr">
        <is>
          <t>신안리</t>
        </is>
      </c>
      <c r="H7439" s="3" t="inlineStr">
        <is>
          <t>제2종일반주거지역</t>
        </is>
      </c>
      <c r="I7439" s="3" t="inlineStr">
        <is>
          <t>전</t>
        </is>
      </c>
      <c r="J7439" s="3" t="inlineStr">
        <is>
          <t>조치원읍</t>
        </is>
      </c>
    </row>
    <row r="7440">
      <c r="A7440" s="3" t="n">
        <v>2023</v>
      </c>
      <c r="B7440" s="4" t="n">
        <v>12000</v>
      </c>
      <c r="C7440" s="4" t="n">
        <v>380</v>
      </c>
      <c r="D7440" s="4" t="n">
        <v>114.95</v>
      </c>
      <c r="E7440" s="5" t="n">
        <v>104.4</v>
      </c>
      <c r="F7440" s="3" t="inlineStr">
        <is>
          <t>장군면</t>
        </is>
      </c>
      <c r="G7440" s="3" t="inlineStr">
        <is>
          <t>도계리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장군면</t>
        </is>
      </c>
    </row>
    <row r="7441">
      <c r="A7441" s="3" t="n">
        <v>2023</v>
      </c>
      <c r="B7441" s="4" t="n">
        <v>6000</v>
      </c>
      <c r="C7441" s="4" t="n">
        <v>571</v>
      </c>
      <c r="D7441" s="4" t="n">
        <v>172.7275</v>
      </c>
      <c r="E7441" s="5" t="n">
        <v>34.7</v>
      </c>
      <c r="F7441" s="3" t="inlineStr">
        <is>
          <t>금남면</t>
        </is>
      </c>
      <c r="G7441" s="3" t="inlineStr">
        <is>
          <t>성강리</t>
        </is>
      </c>
      <c r="H7441" s="3" t="inlineStr">
        <is>
          <t>계획관리지역</t>
        </is>
      </c>
      <c r="I7441" s="3" t="inlineStr">
        <is>
          <t>대</t>
        </is>
      </c>
      <c r="J7441" s="3" t="inlineStr">
        <is>
          <t>금남면</t>
        </is>
      </c>
    </row>
    <row r="7442">
      <c r="A7442" s="3" t="n">
        <v>2023</v>
      </c>
      <c r="B7442" s="4" t="n">
        <v>25000</v>
      </c>
      <c r="C7442" s="4" t="n">
        <v>343</v>
      </c>
      <c r="D7442" s="4" t="n">
        <v>103.7575</v>
      </c>
      <c r="E7442" s="5" t="n">
        <v>240.9</v>
      </c>
      <c r="F7442" s="3" t="inlineStr">
        <is>
          <t>조치원읍</t>
        </is>
      </c>
      <c r="G7442" s="3" t="inlineStr">
        <is>
          <t>신안리</t>
        </is>
      </c>
      <c r="H7442" s="3" t="inlineStr">
        <is>
          <t>제2종일반주거지역</t>
        </is>
      </c>
      <c r="I7442" s="3" t="inlineStr">
        <is>
          <t>전</t>
        </is>
      </c>
      <c r="J7442" s="3" t="inlineStr">
        <is>
          <t>조치원읍</t>
        </is>
      </c>
    </row>
    <row r="7443">
      <c r="A7443" s="3" t="n">
        <v>2023</v>
      </c>
      <c r="B7443" s="4" t="n">
        <v>4800</v>
      </c>
      <c r="C7443" s="4" t="n">
        <v>2830</v>
      </c>
      <c r="D7443" s="4" t="n">
        <v>856.0749999999999</v>
      </c>
      <c r="E7443" s="5" t="n">
        <v>5.6</v>
      </c>
      <c r="F7443" s="3" t="inlineStr">
        <is>
          <t>전의면</t>
        </is>
      </c>
      <c r="G7443" s="3" t="inlineStr">
        <is>
          <t>금사리</t>
        </is>
      </c>
      <c r="H7443" s="3" t="inlineStr">
        <is>
          <t>농림지역</t>
        </is>
      </c>
      <c r="I7443" s="3" t="inlineStr">
        <is>
          <t>임야</t>
        </is>
      </c>
      <c r="J7443" s="3" t="inlineStr">
        <is>
          <t>전의면</t>
        </is>
      </c>
    </row>
    <row r="7444">
      <c r="A7444" s="3" t="n">
        <v>2023</v>
      </c>
      <c r="B7444" s="4" t="n">
        <v>24000</v>
      </c>
      <c r="C7444" s="4" t="n">
        <v>500</v>
      </c>
      <c r="D7444" s="4" t="n">
        <v>151.25</v>
      </c>
      <c r="E7444" s="5" t="n">
        <v>158.7</v>
      </c>
      <c r="F7444" s="3" t="inlineStr">
        <is>
          <t>연서면</t>
        </is>
      </c>
      <c r="G7444" s="3" t="inlineStr">
        <is>
          <t>와촌리</t>
        </is>
      </c>
      <c r="H7444" s="3" t="inlineStr">
        <is>
          <t>계획관리지역</t>
        </is>
      </c>
      <c r="I7444" s="3" t="inlineStr">
        <is>
          <t>답</t>
        </is>
      </c>
      <c r="J7444" s="3" t="inlineStr">
        <is>
          <t>연서면</t>
        </is>
      </c>
    </row>
    <row r="7445">
      <c r="A7445" s="3" t="n">
        <v>2023</v>
      </c>
      <c r="B7445" s="4" t="n">
        <v>24000</v>
      </c>
      <c r="C7445" s="4" t="n">
        <v>200</v>
      </c>
      <c r="D7445" s="4" t="n">
        <v>60.5</v>
      </c>
      <c r="E7445" s="5" t="n">
        <v>396.7</v>
      </c>
      <c r="F7445" s="3" t="inlineStr">
        <is>
          <t>연서면</t>
        </is>
      </c>
      <c r="G7445" s="3" t="inlineStr">
        <is>
          <t>와촌리</t>
        </is>
      </c>
      <c r="H7445" s="3" t="inlineStr">
        <is>
          <t>보전관리지역</t>
        </is>
      </c>
      <c r="I7445" s="3" t="inlineStr">
        <is>
          <t>전</t>
        </is>
      </c>
      <c r="J7445" s="3" t="inlineStr">
        <is>
          <t>연서면</t>
        </is>
      </c>
    </row>
    <row r="7446">
      <c r="A7446" s="3" t="n">
        <v>2023</v>
      </c>
      <c r="B7446" s="4" t="n">
        <v>54000</v>
      </c>
      <c r="C7446" s="4" t="n">
        <v>342.7</v>
      </c>
      <c r="D7446" s="4" t="n">
        <v>103.66675</v>
      </c>
      <c r="E7446" s="5" t="n">
        <v>520.9</v>
      </c>
      <c r="F7446" s="3" t="inlineStr">
        <is>
          <t>다정동</t>
        </is>
      </c>
      <c r="G7446" s="3" t="inlineStr"/>
      <c r="H7446" s="3" t="inlineStr">
        <is>
          <t>제1종전용주거지역</t>
        </is>
      </c>
      <c r="I7446" s="3" t="inlineStr">
        <is>
          <t>대</t>
        </is>
      </c>
      <c r="J7446" s="3" t="inlineStr">
        <is>
          <t>다정동</t>
        </is>
      </c>
    </row>
    <row r="7447">
      <c r="A7447" s="3" t="n">
        <v>2023</v>
      </c>
      <c r="B7447" s="4" t="n">
        <v>82500</v>
      </c>
      <c r="C7447" s="4" t="n">
        <v>827</v>
      </c>
      <c r="D7447" s="4" t="n">
        <v>250.1675</v>
      </c>
      <c r="E7447" s="5" t="n">
        <v>329.8</v>
      </c>
      <c r="F7447" s="3" t="inlineStr">
        <is>
          <t>연동면</t>
        </is>
      </c>
      <c r="G7447" s="3" t="inlineStr">
        <is>
          <t>송용리</t>
        </is>
      </c>
      <c r="H7447" s="3" t="inlineStr">
        <is>
          <t>계획관리지역</t>
        </is>
      </c>
      <c r="I7447" s="3" t="inlineStr">
        <is>
          <t>전</t>
        </is>
      </c>
      <c r="J7447" s="3" t="inlineStr">
        <is>
          <t>연동면</t>
        </is>
      </c>
    </row>
    <row r="7448">
      <c r="A7448" s="3" t="n">
        <v>2023</v>
      </c>
      <c r="B7448" s="4" t="n">
        <v>55000</v>
      </c>
      <c r="C7448" s="4" t="n">
        <v>345</v>
      </c>
      <c r="D7448" s="4" t="n">
        <v>104.3625</v>
      </c>
      <c r="E7448" s="5" t="n">
        <v>527</v>
      </c>
      <c r="F7448" s="3" t="inlineStr">
        <is>
          <t>고운동</t>
        </is>
      </c>
      <c r="G7448" s="3" t="inlineStr"/>
      <c r="H7448" s="3" t="inlineStr">
        <is>
          <t>제1종전용주거지역</t>
        </is>
      </c>
      <c r="I7448" s="3" t="inlineStr">
        <is>
          <t>대</t>
        </is>
      </c>
      <c r="J7448" s="3" t="inlineStr">
        <is>
          <t>고운동</t>
        </is>
      </c>
    </row>
    <row r="7449">
      <c r="A7449" s="3" t="n">
        <v>2022</v>
      </c>
      <c r="B7449" s="4" t="n">
        <v>900</v>
      </c>
      <c r="C7449" s="4" t="n">
        <v>258</v>
      </c>
      <c r="D7449" s="4" t="n">
        <v>78.045</v>
      </c>
      <c r="E7449" s="5" t="n">
        <v>11.5</v>
      </c>
      <c r="F7449" s="3" t="inlineStr">
        <is>
          <t>연서면</t>
        </is>
      </c>
      <c r="G7449" s="3" t="inlineStr">
        <is>
          <t>쌍류리</t>
        </is>
      </c>
      <c r="H7449" s="3" t="inlineStr">
        <is>
          <t>보전관리지역</t>
        </is>
      </c>
      <c r="I7449" s="3" t="inlineStr">
        <is>
          <t>답</t>
        </is>
      </c>
      <c r="J7449" s="3" t="inlineStr">
        <is>
          <t>연서면</t>
        </is>
      </c>
    </row>
    <row r="7450">
      <c r="A7450" s="3" t="n">
        <v>2022</v>
      </c>
      <c r="B7450" s="4" t="n">
        <v>5000</v>
      </c>
      <c r="C7450" s="4" t="n">
        <v>787</v>
      </c>
      <c r="D7450" s="4" t="n">
        <v>238.0675</v>
      </c>
      <c r="E7450" s="5" t="n">
        <v>21</v>
      </c>
      <c r="F7450" s="3" t="inlineStr">
        <is>
          <t>장군면</t>
        </is>
      </c>
      <c r="G7450" s="3" t="inlineStr">
        <is>
          <t>용암리</t>
        </is>
      </c>
      <c r="H7450" s="3" t="inlineStr">
        <is>
          <t>생산관리지역</t>
        </is>
      </c>
      <c r="I7450" s="3" t="inlineStr">
        <is>
          <t>전</t>
        </is>
      </c>
      <c r="J7450" s="3" t="inlineStr">
        <is>
          <t>장군면</t>
        </is>
      </c>
    </row>
    <row r="7451">
      <c r="A7451" s="3" t="n">
        <v>2022</v>
      </c>
      <c r="B7451" s="4" t="n">
        <v>92000</v>
      </c>
      <c r="C7451" s="4" t="n">
        <v>922</v>
      </c>
      <c r="D7451" s="4" t="n">
        <v>278.905</v>
      </c>
      <c r="E7451" s="5" t="n">
        <v>329.9</v>
      </c>
      <c r="F7451" s="3" t="inlineStr">
        <is>
          <t>연서면</t>
        </is>
      </c>
      <c r="G7451" s="3" t="inlineStr">
        <is>
          <t>고복리</t>
        </is>
      </c>
      <c r="H7451" s="3" t="inlineStr">
        <is>
          <t>보전관리지역</t>
        </is>
      </c>
      <c r="I7451" s="3" t="inlineStr">
        <is>
          <t>답</t>
        </is>
      </c>
      <c r="J7451" s="3" t="inlineStr">
        <is>
          <t>연서면</t>
        </is>
      </c>
    </row>
    <row r="7452">
      <c r="A7452" s="3" t="n">
        <v>2022</v>
      </c>
      <c r="B7452" s="4" t="n">
        <v>2431</v>
      </c>
      <c r="C7452" s="4" t="n">
        <v>141</v>
      </c>
      <c r="D7452" s="4" t="n">
        <v>42.6525</v>
      </c>
      <c r="E7452" s="5" t="n">
        <v>57</v>
      </c>
      <c r="F7452" s="3" t="inlineStr">
        <is>
          <t>연서면</t>
        </is>
      </c>
      <c r="G7452" s="3" t="inlineStr">
        <is>
          <t>와촌리</t>
        </is>
      </c>
      <c r="H7452" s="3" t="inlineStr">
        <is>
          <t>계획관리지역</t>
        </is>
      </c>
      <c r="I7452" s="3" t="inlineStr">
        <is>
          <t>답</t>
        </is>
      </c>
      <c r="J7452" s="3" t="inlineStr">
        <is>
          <t>연서면</t>
        </is>
      </c>
    </row>
    <row r="7453">
      <c r="A7453" s="3" t="n">
        <v>2022</v>
      </c>
      <c r="B7453" s="4" t="n">
        <v>7305</v>
      </c>
      <c r="C7453" s="4" t="n">
        <v>356</v>
      </c>
      <c r="D7453" s="4" t="n">
        <v>107.69</v>
      </c>
      <c r="E7453" s="5" t="n">
        <v>67.8</v>
      </c>
      <c r="F7453" s="3" t="inlineStr">
        <is>
          <t>연서면</t>
        </is>
      </c>
      <c r="G7453" s="3" t="inlineStr">
        <is>
          <t>와촌리</t>
        </is>
      </c>
      <c r="H7453" s="3" t="inlineStr">
        <is>
          <t>계획관리지역</t>
        </is>
      </c>
      <c r="I7453" s="3" t="inlineStr">
        <is>
          <t>답</t>
        </is>
      </c>
      <c r="J7453" s="3" t="inlineStr">
        <is>
          <t>연서면</t>
        </is>
      </c>
    </row>
    <row r="7454">
      <c r="A7454" s="3" t="n">
        <v>2022</v>
      </c>
      <c r="B7454" s="4" t="n">
        <v>2031</v>
      </c>
      <c r="C7454" s="4" t="n">
        <v>99</v>
      </c>
      <c r="D7454" s="4" t="n">
        <v>29.9475</v>
      </c>
      <c r="E7454" s="5" t="n">
        <v>67.8</v>
      </c>
      <c r="F7454" s="3" t="inlineStr">
        <is>
          <t>연서면</t>
        </is>
      </c>
      <c r="G7454" s="3" t="inlineStr">
        <is>
          <t>와촌리</t>
        </is>
      </c>
      <c r="H7454" s="3" t="inlineStr">
        <is>
          <t>계획관리지역</t>
        </is>
      </c>
      <c r="I7454" s="3" t="inlineStr">
        <is>
          <t>답</t>
        </is>
      </c>
      <c r="J7454" s="3" t="inlineStr">
        <is>
          <t>연서면</t>
        </is>
      </c>
    </row>
    <row r="7455">
      <c r="A7455" s="3" t="n">
        <v>2022</v>
      </c>
      <c r="B7455" s="4" t="n">
        <v>330000</v>
      </c>
      <c r="C7455" s="4" t="n">
        <v>6611.6</v>
      </c>
      <c r="D7455" s="4" t="n">
        <v>2000.009</v>
      </c>
      <c r="E7455" s="5" t="n">
        <v>165</v>
      </c>
      <c r="F7455" s="3" t="inlineStr">
        <is>
          <t>전동면</t>
        </is>
      </c>
      <c r="G7455" s="3" t="inlineStr">
        <is>
          <t>심중리</t>
        </is>
      </c>
      <c r="H7455" s="3" t="inlineStr">
        <is>
          <t>준공업지역</t>
        </is>
      </c>
      <c r="I7455" s="3" t="inlineStr">
        <is>
          <t>전</t>
        </is>
      </c>
      <c r="J7455" s="3" t="inlineStr">
        <is>
          <t>전동면</t>
        </is>
      </c>
    </row>
    <row r="7456">
      <c r="A7456" s="3" t="n">
        <v>2022</v>
      </c>
      <c r="B7456" s="4" t="n">
        <v>15000</v>
      </c>
      <c r="C7456" s="4" t="n">
        <v>331</v>
      </c>
      <c r="D7456" s="4" t="n">
        <v>100.1275</v>
      </c>
      <c r="E7456" s="5" t="n">
        <v>149.8</v>
      </c>
      <c r="F7456" s="3" t="inlineStr">
        <is>
          <t>연기면</t>
        </is>
      </c>
      <c r="G7456" s="3" t="inlineStr">
        <is>
          <t>수산리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연기면</t>
        </is>
      </c>
    </row>
    <row r="7457">
      <c r="A7457" s="3" t="n">
        <v>2022</v>
      </c>
      <c r="B7457" s="4" t="n">
        <v>4000</v>
      </c>
      <c r="C7457" s="4" t="n">
        <v>364</v>
      </c>
      <c r="D7457" s="4" t="n">
        <v>110.11</v>
      </c>
      <c r="E7457" s="5" t="n">
        <v>36.3</v>
      </c>
      <c r="F7457" s="3" t="inlineStr">
        <is>
          <t>장군면</t>
        </is>
      </c>
      <c r="G7457" s="3" t="inlineStr">
        <is>
          <t>평기리</t>
        </is>
      </c>
      <c r="H7457" s="3" t="inlineStr">
        <is>
          <t>보전관리지역</t>
        </is>
      </c>
      <c r="I7457" s="3" t="inlineStr">
        <is>
          <t>임야</t>
        </is>
      </c>
      <c r="J7457" s="3" t="inlineStr">
        <is>
          <t>장군면</t>
        </is>
      </c>
    </row>
    <row r="7458">
      <c r="A7458" s="3" t="n">
        <v>2022</v>
      </c>
      <c r="B7458" s="4" t="n">
        <v>9000</v>
      </c>
      <c r="C7458" s="4" t="n">
        <v>1328</v>
      </c>
      <c r="D7458" s="4" t="n">
        <v>401.72</v>
      </c>
      <c r="E7458" s="5" t="n">
        <v>22.4</v>
      </c>
      <c r="F7458" s="3" t="inlineStr">
        <is>
          <t>장군면</t>
        </is>
      </c>
      <c r="G7458" s="3" t="inlineStr">
        <is>
          <t>대교리</t>
        </is>
      </c>
      <c r="H7458" s="3" t="inlineStr">
        <is>
          <t>계획관리지역</t>
        </is>
      </c>
      <c r="I7458" s="3" t="inlineStr">
        <is>
          <t>임야</t>
        </is>
      </c>
      <c r="J7458" s="3" t="inlineStr">
        <is>
          <t>장군면</t>
        </is>
      </c>
    </row>
    <row r="7459">
      <c r="A7459" s="3" t="n">
        <v>2022</v>
      </c>
      <c r="B7459" s="4" t="n">
        <v>31000</v>
      </c>
      <c r="C7459" s="4" t="n">
        <v>1087</v>
      </c>
      <c r="D7459" s="4" t="n">
        <v>328.8175</v>
      </c>
      <c r="E7459" s="5" t="n">
        <v>94.3</v>
      </c>
      <c r="F7459" s="3" t="inlineStr">
        <is>
          <t>금남면</t>
        </is>
      </c>
      <c r="G7459" s="3" t="inlineStr">
        <is>
          <t>성강리</t>
        </is>
      </c>
      <c r="H7459" s="3" t="inlineStr">
        <is>
          <t>농림지역</t>
        </is>
      </c>
      <c r="I7459" s="3" t="inlineStr">
        <is>
          <t>답</t>
        </is>
      </c>
      <c r="J7459" s="3" t="inlineStr">
        <is>
          <t>금남면</t>
        </is>
      </c>
    </row>
    <row r="7460">
      <c r="A7460" s="3" t="n">
        <v>2022</v>
      </c>
      <c r="B7460" s="4" t="n">
        <v>2431</v>
      </c>
      <c r="C7460" s="4" t="n">
        <v>141</v>
      </c>
      <c r="D7460" s="4" t="n">
        <v>42.6525</v>
      </c>
      <c r="E7460" s="5" t="n">
        <v>57</v>
      </c>
      <c r="F7460" s="3" t="inlineStr">
        <is>
          <t>연서면</t>
        </is>
      </c>
      <c r="G7460" s="3" t="inlineStr">
        <is>
          <t>와촌리</t>
        </is>
      </c>
      <c r="H7460" s="3" t="inlineStr">
        <is>
          <t>계획관리지역</t>
        </is>
      </c>
      <c r="I7460" s="3" t="inlineStr">
        <is>
          <t>답</t>
        </is>
      </c>
      <c r="J7460" s="3" t="inlineStr">
        <is>
          <t>연서면</t>
        </is>
      </c>
    </row>
    <row r="7461">
      <c r="A7461" s="3" t="n">
        <v>2022</v>
      </c>
      <c r="B7461" s="4" t="n">
        <v>7305</v>
      </c>
      <c r="C7461" s="4" t="n">
        <v>356</v>
      </c>
      <c r="D7461" s="4" t="n">
        <v>107.69</v>
      </c>
      <c r="E7461" s="5" t="n">
        <v>67.8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계획관리지역</t>
        </is>
      </c>
      <c r="I7461" s="3" t="inlineStr">
        <is>
          <t>답</t>
        </is>
      </c>
      <c r="J7461" s="3" t="inlineStr">
        <is>
          <t>연서면</t>
        </is>
      </c>
    </row>
    <row r="7462">
      <c r="A7462" s="3" t="n">
        <v>2022</v>
      </c>
      <c r="B7462" s="4" t="n">
        <v>2031</v>
      </c>
      <c r="C7462" s="4" t="n">
        <v>99</v>
      </c>
      <c r="D7462" s="4" t="n">
        <v>29.9475</v>
      </c>
      <c r="E7462" s="5" t="n">
        <v>67.8</v>
      </c>
      <c r="F7462" s="3" t="inlineStr">
        <is>
          <t>연서면</t>
        </is>
      </c>
      <c r="G7462" s="3" t="inlineStr">
        <is>
          <t>와촌리</t>
        </is>
      </c>
      <c r="H7462" s="3" t="inlineStr">
        <is>
          <t>계획관리지역</t>
        </is>
      </c>
      <c r="I7462" s="3" t="inlineStr">
        <is>
          <t>답</t>
        </is>
      </c>
      <c r="J7462" s="3" t="inlineStr">
        <is>
          <t>연서면</t>
        </is>
      </c>
    </row>
    <row r="7463">
      <c r="A7463" s="3" t="n">
        <v>2026</v>
      </c>
      <c r="B7463" s="4" t="n">
        <v>29787</v>
      </c>
      <c r="C7463" s="4" t="n">
        <v>5950</v>
      </c>
      <c r="D7463" s="4" t="n">
        <v>1799.875</v>
      </c>
      <c r="E7463" s="5" t="n">
        <v>16.5</v>
      </c>
      <c r="F7463" s="3" t="inlineStr">
        <is>
          <t>부강면</t>
        </is>
      </c>
      <c r="G7463" s="3" t="inlineStr">
        <is>
          <t>산수리</t>
        </is>
      </c>
      <c r="H7463" s="3" t="inlineStr">
        <is>
          <t>계획관리지역</t>
        </is>
      </c>
      <c r="I7463" s="3" t="inlineStr">
        <is>
          <t>임야</t>
        </is>
      </c>
      <c r="J7463" s="3" t="inlineStr">
        <is>
          <t>부강면</t>
        </is>
      </c>
    </row>
    <row r="7464">
      <c r="A7464" s="3" t="n">
        <v>2026</v>
      </c>
      <c r="B7464" s="4" t="n">
        <v>10168</v>
      </c>
      <c r="C7464" s="4" t="n">
        <v>595</v>
      </c>
      <c r="D7464" s="4" t="n">
        <v>179.9875</v>
      </c>
      <c r="E7464" s="5" t="n">
        <v>56.5</v>
      </c>
      <c r="F7464" s="3" t="inlineStr">
        <is>
          <t>부강면</t>
        </is>
      </c>
      <c r="G7464" s="3" t="inlineStr">
        <is>
          <t>산수리</t>
        </is>
      </c>
      <c r="H7464" s="3" t="inlineStr">
        <is>
          <t>계획관리지역</t>
        </is>
      </c>
      <c r="I7464" s="3" t="inlineStr">
        <is>
          <t>전</t>
        </is>
      </c>
      <c r="J7464" s="3" t="inlineStr">
        <is>
          <t>부강면</t>
        </is>
      </c>
    </row>
    <row r="7465">
      <c r="A7465" s="3" t="n">
        <v>2026</v>
      </c>
      <c r="B7465" s="4" t="n">
        <v>60000</v>
      </c>
      <c r="C7465" s="4" t="n">
        <v>595</v>
      </c>
      <c r="D7465" s="4" t="n">
        <v>179.9875</v>
      </c>
      <c r="E7465" s="5" t="n">
        <v>333.4</v>
      </c>
      <c r="F7465" s="3" t="inlineStr">
        <is>
          <t>조치원읍</t>
        </is>
      </c>
      <c r="G7465" s="3" t="inlineStr">
        <is>
          <t>봉산리</t>
        </is>
      </c>
      <c r="H7465" s="3" t="inlineStr">
        <is>
          <t>자연녹지지역</t>
        </is>
      </c>
      <c r="I7465" s="3" t="inlineStr">
        <is>
          <t>대</t>
        </is>
      </c>
      <c r="J7465" s="3" t="inlineStr">
        <is>
          <t>조치원읍</t>
        </is>
      </c>
    </row>
    <row r="7466">
      <c r="A7466" s="3" t="n">
        <v>2026</v>
      </c>
      <c r="B7466" s="4" t="n">
        <v>110000</v>
      </c>
      <c r="C7466" s="4" t="n">
        <v>2856</v>
      </c>
      <c r="D7466" s="4" t="n">
        <v>863.9399999999999</v>
      </c>
      <c r="E7466" s="5" t="n">
        <v>127.3</v>
      </c>
      <c r="F7466" s="3" t="inlineStr">
        <is>
          <t>조치원읍</t>
        </is>
      </c>
      <c r="G7466" s="3" t="inlineStr">
        <is>
          <t>봉산리</t>
        </is>
      </c>
      <c r="H7466" s="3" t="inlineStr">
        <is>
          <t>자연녹지지역</t>
        </is>
      </c>
      <c r="I7466" s="3" t="inlineStr">
        <is>
          <t>과수원</t>
        </is>
      </c>
      <c r="J7466" s="3" t="inlineStr">
        <is>
          <t>조치원읍</t>
        </is>
      </c>
    </row>
    <row r="7467">
      <c r="A7467" s="3" t="n">
        <v>2026</v>
      </c>
      <c r="B7467" s="4" t="n">
        <v>14860</v>
      </c>
      <c r="C7467" s="4" t="n">
        <v>3072</v>
      </c>
      <c r="D7467" s="4" t="n">
        <v>929.28</v>
      </c>
      <c r="E7467" s="5" t="n">
        <v>16</v>
      </c>
      <c r="F7467" s="3" t="inlineStr">
        <is>
          <t>전의면</t>
        </is>
      </c>
      <c r="G7467" s="3" t="inlineStr">
        <is>
          <t>노곡리</t>
        </is>
      </c>
      <c r="H7467" s="3" t="inlineStr">
        <is>
          <t>계획관리지역</t>
        </is>
      </c>
      <c r="I7467" s="3" t="inlineStr">
        <is>
          <t>전</t>
        </is>
      </c>
      <c r="J7467" s="3" t="inlineStr">
        <is>
          <t>전의면</t>
        </is>
      </c>
    </row>
    <row r="7468">
      <c r="A7468" s="3" t="n">
        <v>2026</v>
      </c>
      <c r="B7468" s="4" t="n">
        <v>3843</v>
      </c>
      <c r="C7468" s="4" t="n">
        <v>559</v>
      </c>
      <c r="D7468" s="4" t="n">
        <v>169.0975</v>
      </c>
      <c r="E7468" s="5" t="n">
        <v>22.7</v>
      </c>
      <c r="F7468" s="3" t="inlineStr">
        <is>
          <t>소정면</t>
        </is>
      </c>
      <c r="G7468" s="3" t="inlineStr">
        <is>
          <t>소정리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소정면</t>
        </is>
      </c>
    </row>
    <row r="7469">
      <c r="A7469" s="3" t="n">
        <v>2026</v>
      </c>
      <c r="B7469" s="4" t="n">
        <v>10566</v>
      </c>
      <c r="C7469" s="4" t="n">
        <v>1537</v>
      </c>
      <c r="D7469" s="4" t="n">
        <v>464.9425</v>
      </c>
      <c r="E7469" s="5" t="n">
        <v>22.7</v>
      </c>
      <c r="F7469" s="3" t="inlineStr">
        <is>
          <t>소정면</t>
        </is>
      </c>
      <c r="G7469" s="3" t="inlineStr">
        <is>
          <t>소정리</t>
        </is>
      </c>
      <c r="H7469" s="3" t="inlineStr">
        <is>
          <t>농림지역</t>
        </is>
      </c>
      <c r="I7469" s="3" t="inlineStr">
        <is>
          <t>답</t>
        </is>
      </c>
      <c r="J7469" s="3" t="inlineStr">
        <is>
          <t>소정면</t>
        </is>
      </c>
    </row>
    <row r="7470">
      <c r="A7470" s="3" t="n">
        <v>2026</v>
      </c>
      <c r="B7470" s="4" t="n">
        <v>10091</v>
      </c>
      <c r="C7470" s="4" t="n">
        <v>1468</v>
      </c>
      <c r="D7470" s="4" t="n">
        <v>444.07</v>
      </c>
      <c r="E7470" s="5" t="n">
        <v>22.7</v>
      </c>
      <c r="F7470" s="3" t="inlineStr">
        <is>
          <t>소정면</t>
        </is>
      </c>
      <c r="G7470" s="3" t="inlineStr">
        <is>
          <t>소정리</t>
        </is>
      </c>
      <c r="H7470" s="3" t="inlineStr">
        <is>
          <t>농림지역</t>
        </is>
      </c>
      <c r="I7470" s="3" t="inlineStr">
        <is>
          <t>답</t>
        </is>
      </c>
      <c r="J7470" s="3" t="inlineStr">
        <is>
          <t>소정면</t>
        </is>
      </c>
    </row>
    <row r="7471">
      <c r="A7471" s="3" t="n">
        <v>2025</v>
      </c>
      <c r="B7471" s="4" t="n">
        <v>2300</v>
      </c>
      <c r="C7471" s="4" t="n">
        <v>1024</v>
      </c>
      <c r="D7471" s="4" t="n">
        <v>309.76</v>
      </c>
      <c r="E7471" s="5" t="n">
        <v>7.4</v>
      </c>
      <c r="F7471" s="3" t="inlineStr">
        <is>
          <t>부강면</t>
        </is>
      </c>
      <c r="G7471" s="3" t="inlineStr">
        <is>
          <t>등곡리</t>
        </is>
      </c>
      <c r="H7471" s="3" t="inlineStr">
        <is>
          <t>계획관리지역</t>
        </is>
      </c>
      <c r="I7471" s="3" t="inlineStr">
        <is>
          <t>임야</t>
        </is>
      </c>
      <c r="J7471" s="3" t="inlineStr">
        <is>
          <t>부강면</t>
        </is>
      </c>
    </row>
    <row r="7472">
      <c r="A7472" s="3" t="n">
        <v>2025</v>
      </c>
      <c r="B7472" s="4" t="n">
        <v>9304</v>
      </c>
      <c r="C7472" s="4" t="n">
        <v>1163</v>
      </c>
      <c r="D7472" s="4" t="n">
        <v>351.8075</v>
      </c>
      <c r="E7472" s="5" t="n">
        <v>26.4</v>
      </c>
      <c r="F7472" s="3" t="inlineStr">
        <is>
          <t>부강면</t>
        </is>
      </c>
      <c r="G7472" s="3" t="inlineStr">
        <is>
          <t>등곡리</t>
        </is>
      </c>
      <c r="H7472" s="3" t="inlineStr">
        <is>
          <t>보전관리지역</t>
        </is>
      </c>
      <c r="I7472" s="3" t="inlineStr">
        <is>
          <t>임야</t>
        </is>
      </c>
      <c r="J7472" s="3" t="inlineStr">
        <is>
          <t>부강면</t>
        </is>
      </c>
    </row>
    <row r="7473">
      <c r="A7473" s="3" t="n">
        <v>2025</v>
      </c>
      <c r="B7473" s="4" t="n">
        <v>17216</v>
      </c>
      <c r="C7473" s="4" t="n">
        <v>2152</v>
      </c>
      <c r="D7473" s="4" t="n">
        <v>650.98</v>
      </c>
      <c r="E7473" s="5" t="n">
        <v>26.4</v>
      </c>
      <c r="F7473" s="3" t="inlineStr">
        <is>
          <t>부강면</t>
        </is>
      </c>
      <c r="G7473" s="3" t="inlineStr">
        <is>
          <t>등곡리</t>
        </is>
      </c>
      <c r="H7473" s="3" t="inlineStr">
        <is>
          <t>보전관리지역</t>
        </is>
      </c>
      <c r="I7473" s="3" t="inlineStr">
        <is>
          <t>임야</t>
        </is>
      </c>
      <c r="J7473" s="3" t="inlineStr">
        <is>
          <t>부강면</t>
        </is>
      </c>
    </row>
    <row r="7474">
      <c r="A7474" s="3" t="n">
        <v>2025</v>
      </c>
      <c r="B7474" s="4" t="n">
        <v>3072</v>
      </c>
      <c r="C7474" s="4" t="n">
        <v>8453</v>
      </c>
      <c r="D7474" s="4" t="n">
        <v>2557.0325</v>
      </c>
      <c r="E7474" s="5" t="n">
        <v>1.2</v>
      </c>
      <c r="F7474" s="3" t="inlineStr">
        <is>
          <t>부강면</t>
        </is>
      </c>
      <c r="G7474" s="3" t="inlineStr">
        <is>
          <t>등곡리</t>
        </is>
      </c>
      <c r="H7474" s="3" t="inlineStr">
        <is>
          <t>농림지역</t>
        </is>
      </c>
      <c r="I7474" s="3" t="inlineStr">
        <is>
          <t>임야</t>
        </is>
      </c>
      <c r="J7474" s="3" t="inlineStr">
        <is>
          <t>부강면</t>
        </is>
      </c>
    </row>
    <row r="7475">
      <c r="A7475" s="3" t="n">
        <v>2025</v>
      </c>
      <c r="B7475" s="4" t="n">
        <v>22448</v>
      </c>
      <c r="C7475" s="4" t="n">
        <v>2806</v>
      </c>
      <c r="D7475" s="4" t="n">
        <v>848.8149999999999</v>
      </c>
      <c r="E7475" s="5" t="n">
        <v>26.4</v>
      </c>
      <c r="F7475" s="3" t="inlineStr">
        <is>
          <t>부강면</t>
        </is>
      </c>
      <c r="G7475" s="3" t="inlineStr">
        <is>
          <t>등곡리</t>
        </is>
      </c>
      <c r="H7475" s="3" t="inlineStr">
        <is>
          <t>보전관리지역</t>
        </is>
      </c>
      <c r="I7475" s="3" t="inlineStr">
        <is>
          <t>임야</t>
        </is>
      </c>
      <c r="J7475" s="3" t="inlineStr">
        <is>
          <t>부강면</t>
        </is>
      </c>
    </row>
    <row r="7476">
      <c r="A7476" s="3" t="n">
        <v>2025</v>
      </c>
      <c r="B7476" s="4" t="n">
        <v>2928</v>
      </c>
      <c r="C7476" s="4" t="n">
        <v>366</v>
      </c>
      <c r="D7476" s="4" t="n">
        <v>110.715</v>
      </c>
      <c r="E7476" s="5" t="n">
        <v>26.4</v>
      </c>
      <c r="F7476" s="3" t="inlineStr">
        <is>
          <t>부강면</t>
        </is>
      </c>
      <c r="G7476" s="3" t="inlineStr">
        <is>
          <t>등곡리</t>
        </is>
      </c>
      <c r="H7476" s="3" t="inlineStr">
        <is>
          <t>보전관리지역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2025</v>
      </c>
      <c r="B7477" s="4" t="n">
        <v>840</v>
      </c>
      <c r="C7477" s="4" t="n">
        <v>105</v>
      </c>
      <c r="D7477" s="4" t="n">
        <v>31.7625</v>
      </c>
      <c r="E7477" s="5" t="n">
        <v>26.4</v>
      </c>
      <c r="F7477" s="3" t="inlineStr">
        <is>
          <t>부강면</t>
        </is>
      </c>
      <c r="G7477" s="3" t="inlineStr">
        <is>
          <t>등곡리</t>
        </is>
      </c>
      <c r="H7477" s="3" t="inlineStr">
        <is>
          <t>계획관리지역</t>
        </is>
      </c>
      <c r="I7477" s="3" t="inlineStr">
        <is>
          <t>공장용지</t>
        </is>
      </c>
      <c r="J7477" s="3" t="inlineStr">
        <is>
          <t>부강면</t>
        </is>
      </c>
    </row>
    <row r="7478">
      <c r="A7478" s="3" t="n">
        <v>2025</v>
      </c>
      <c r="B7478" s="4" t="n">
        <v>160</v>
      </c>
      <c r="C7478" s="4" t="n">
        <v>20</v>
      </c>
      <c r="D7478" s="4" t="n">
        <v>6.05</v>
      </c>
      <c r="E7478" s="5" t="n">
        <v>26.4</v>
      </c>
      <c r="F7478" s="3" t="inlineStr">
        <is>
          <t>부강면</t>
        </is>
      </c>
      <c r="G7478" s="3" t="inlineStr">
        <is>
          <t>등곡리</t>
        </is>
      </c>
      <c r="H7478" s="3" t="inlineStr">
        <is>
          <t>계획관리지역</t>
        </is>
      </c>
      <c r="I7478" s="3" t="inlineStr">
        <is>
          <t>공장용지</t>
        </is>
      </c>
      <c r="J7478" s="3" t="inlineStr">
        <is>
          <t>부강면</t>
        </is>
      </c>
    </row>
    <row r="7479">
      <c r="A7479" s="3" t="n">
        <v>2025</v>
      </c>
      <c r="B7479" s="4" t="n">
        <v>96</v>
      </c>
      <c r="C7479" s="4" t="n">
        <v>12</v>
      </c>
      <c r="D7479" s="4" t="n">
        <v>3.63</v>
      </c>
      <c r="E7479" s="5" t="n">
        <v>26.4</v>
      </c>
      <c r="F7479" s="3" t="inlineStr">
        <is>
          <t>부강면</t>
        </is>
      </c>
      <c r="G7479" s="3" t="inlineStr">
        <is>
          <t>등곡리</t>
        </is>
      </c>
      <c r="H7479" s="3" t="inlineStr">
        <is>
          <t>보전관리지역</t>
        </is>
      </c>
      <c r="I7479" s="3" t="inlineStr">
        <is>
          <t>임야</t>
        </is>
      </c>
      <c r="J7479" s="3" t="inlineStr">
        <is>
          <t>부강면</t>
        </is>
      </c>
    </row>
    <row r="7480">
      <c r="A7480" s="3" t="n">
        <v>2025</v>
      </c>
      <c r="B7480" s="4" t="n">
        <v>112</v>
      </c>
      <c r="C7480" s="4" t="n">
        <v>14</v>
      </c>
      <c r="D7480" s="4" t="n">
        <v>4.234999999999999</v>
      </c>
      <c r="E7480" s="5" t="n">
        <v>26.4</v>
      </c>
      <c r="F7480" s="3" t="inlineStr">
        <is>
          <t>부강면</t>
        </is>
      </c>
      <c r="G7480" s="3" t="inlineStr">
        <is>
          <t>등곡리</t>
        </is>
      </c>
      <c r="H7480" s="3" t="inlineStr">
        <is>
          <t>보전관리지역</t>
        </is>
      </c>
      <c r="I7480" s="3" t="inlineStr">
        <is>
          <t>임야</t>
        </is>
      </c>
      <c r="J7480" s="3" t="inlineStr">
        <is>
          <t>부강면</t>
        </is>
      </c>
    </row>
    <row r="7481">
      <c r="A7481" s="3" t="n">
        <v>2025</v>
      </c>
      <c r="B7481" s="4" t="n">
        <v>440</v>
      </c>
      <c r="C7481" s="4" t="n">
        <v>55</v>
      </c>
      <c r="D7481" s="4" t="n">
        <v>16.6375</v>
      </c>
      <c r="E7481" s="5" t="n">
        <v>26.4</v>
      </c>
      <c r="F7481" s="3" t="inlineStr">
        <is>
          <t>부강면</t>
        </is>
      </c>
      <c r="G7481" s="3" t="inlineStr">
        <is>
          <t>등곡리</t>
        </is>
      </c>
      <c r="H7481" s="3" t="inlineStr">
        <is>
          <t>계획관리지역</t>
        </is>
      </c>
      <c r="I7481" s="3" t="inlineStr">
        <is>
          <t>임야</t>
        </is>
      </c>
      <c r="J7481" s="3" t="inlineStr">
        <is>
          <t>부강면</t>
        </is>
      </c>
    </row>
    <row r="7482">
      <c r="A7482" s="3" t="n">
        <v>2025</v>
      </c>
      <c r="B7482" s="4" t="n">
        <v>224</v>
      </c>
      <c r="C7482" s="4" t="n">
        <v>28</v>
      </c>
      <c r="D7482" s="4" t="n">
        <v>8.469999999999999</v>
      </c>
      <c r="E7482" s="5" t="n">
        <v>26.4</v>
      </c>
      <c r="F7482" s="3" t="inlineStr">
        <is>
          <t>부강면</t>
        </is>
      </c>
      <c r="G7482" s="3" t="inlineStr">
        <is>
          <t>등곡리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2025</v>
      </c>
      <c r="B7483" s="4" t="n">
        <v>904</v>
      </c>
      <c r="C7483" s="4" t="n">
        <v>113</v>
      </c>
      <c r="D7483" s="4" t="n">
        <v>34.1825</v>
      </c>
      <c r="E7483" s="5" t="n">
        <v>26.4</v>
      </c>
      <c r="F7483" s="3" t="inlineStr">
        <is>
          <t>부강면</t>
        </is>
      </c>
      <c r="G7483" s="3" t="inlineStr">
        <is>
          <t>등곡리</t>
        </is>
      </c>
      <c r="H7483" s="3" t="inlineStr">
        <is>
          <t>계획관리지역</t>
        </is>
      </c>
      <c r="I7483" s="3" t="inlineStr">
        <is>
          <t>임야</t>
        </is>
      </c>
      <c r="J7483" s="3" t="inlineStr">
        <is>
          <t>부강면</t>
        </is>
      </c>
    </row>
    <row r="7484">
      <c r="A7484" s="3" t="n">
        <v>2025</v>
      </c>
      <c r="B7484" s="4" t="n">
        <v>640</v>
      </c>
      <c r="C7484" s="4" t="n">
        <v>1762</v>
      </c>
      <c r="D7484" s="4" t="n">
        <v>533.005</v>
      </c>
      <c r="E7484" s="5" t="n">
        <v>1.2</v>
      </c>
      <c r="F7484" s="3" t="inlineStr">
        <is>
          <t>부강면</t>
        </is>
      </c>
      <c r="G7484" s="3" t="inlineStr">
        <is>
          <t>등곡리</t>
        </is>
      </c>
      <c r="H7484" s="3" t="inlineStr">
        <is>
          <t>보전관리지역</t>
        </is>
      </c>
      <c r="I7484" s="3" t="inlineStr">
        <is>
          <t>임야</t>
        </is>
      </c>
      <c r="J7484" s="3" t="inlineStr">
        <is>
          <t>부강면</t>
        </is>
      </c>
    </row>
    <row r="7485">
      <c r="A7485" s="3" t="n">
        <v>2025</v>
      </c>
      <c r="B7485" s="4" t="n">
        <v>58400</v>
      </c>
      <c r="C7485" s="4" t="n">
        <v>2658</v>
      </c>
      <c r="D7485" s="4" t="n">
        <v>804.045</v>
      </c>
      <c r="E7485" s="5" t="n">
        <v>72.59999999999999</v>
      </c>
      <c r="F7485" s="3" t="inlineStr">
        <is>
          <t>부강면</t>
        </is>
      </c>
      <c r="G7485" s="3" t="inlineStr">
        <is>
          <t>부강리</t>
        </is>
      </c>
      <c r="H7485" s="3" t="inlineStr">
        <is>
          <t>농림지역</t>
        </is>
      </c>
      <c r="I7485" s="3" t="inlineStr">
        <is>
          <t>임야</t>
        </is>
      </c>
      <c r="J7485" s="3" t="inlineStr">
        <is>
          <t>부강면</t>
        </is>
      </c>
    </row>
    <row r="7486">
      <c r="A7486" s="3" t="n">
        <v>2025</v>
      </c>
      <c r="B7486" s="4" t="n">
        <v>9930</v>
      </c>
      <c r="C7486" s="4" t="n">
        <v>331</v>
      </c>
      <c r="D7486" s="4" t="n">
        <v>100.1275</v>
      </c>
      <c r="E7486" s="5" t="n">
        <v>99.2</v>
      </c>
      <c r="F7486" s="3" t="inlineStr">
        <is>
          <t>전동면</t>
        </is>
      </c>
      <c r="G7486" s="3" t="inlineStr">
        <is>
          <t>노장리</t>
        </is>
      </c>
      <c r="H7486" s="3" t="inlineStr">
        <is>
          <t>계획관리지역</t>
        </is>
      </c>
      <c r="I7486" s="3" t="inlineStr">
        <is>
          <t>임야</t>
        </is>
      </c>
      <c r="J7486" s="3" t="inlineStr">
        <is>
          <t>전동면</t>
        </is>
      </c>
    </row>
    <row r="7487">
      <c r="A7487" s="3" t="n">
        <v>2025</v>
      </c>
      <c r="B7487" s="4" t="n">
        <v>14500</v>
      </c>
      <c r="C7487" s="4" t="n">
        <v>478</v>
      </c>
      <c r="D7487" s="4" t="n">
        <v>144.595</v>
      </c>
      <c r="E7487" s="5" t="n">
        <v>100.3</v>
      </c>
      <c r="F7487" s="3" t="inlineStr">
        <is>
          <t>연서면</t>
        </is>
      </c>
      <c r="G7487" s="3" t="inlineStr">
        <is>
          <t>고복리</t>
        </is>
      </c>
      <c r="H7487" s="3" t="inlineStr">
        <is>
          <t>농림지역</t>
        </is>
      </c>
      <c r="I7487" s="3" t="inlineStr">
        <is>
          <t>전</t>
        </is>
      </c>
      <c r="J7487" s="3" t="inlineStr">
        <is>
          <t>연서면</t>
        </is>
      </c>
    </row>
    <row r="7488">
      <c r="A7488" s="3" t="n">
        <v>2025</v>
      </c>
      <c r="B7488" s="4" t="n">
        <v>5000</v>
      </c>
      <c r="C7488" s="4" t="n">
        <v>165</v>
      </c>
      <c r="D7488" s="4" t="n">
        <v>49.9125</v>
      </c>
      <c r="E7488" s="5" t="n">
        <v>100.2</v>
      </c>
      <c r="F7488" s="3" t="inlineStr">
        <is>
          <t>장군면</t>
        </is>
      </c>
      <c r="G7488" s="3" t="inlineStr">
        <is>
          <t>태산리</t>
        </is>
      </c>
      <c r="H7488" s="3" t="inlineStr">
        <is>
          <t>계획관리지역</t>
        </is>
      </c>
      <c r="I7488" s="3" t="inlineStr">
        <is>
          <t>답</t>
        </is>
      </c>
      <c r="J7488" s="3" t="inlineStr">
        <is>
          <t>장군면</t>
        </is>
      </c>
    </row>
    <row r="7489">
      <c r="A7489" s="3" t="n">
        <v>2025</v>
      </c>
      <c r="B7489" s="4" t="n">
        <v>51725</v>
      </c>
      <c r="C7489" s="4" t="n">
        <v>490</v>
      </c>
      <c r="D7489" s="4" t="n">
        <v>148.225</v>
      </c>
      <c r="E7489" s="5" t="n">
        <v>349</v>
      </c>
      <c r="F7489" s="3" t="inlineStr">
        <is>
          <t>연서면</t>
        </is>
      </c>
      <c r="G7489" s="3" t="inlineStr">
        <is>
          <t>부동리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2025</v>
      </c>
      <c r="B7490" s="4" t="n">
        <v>56000</v>
      </c>
      <c r="C7490" s="4" t="n">
        <v>495</v>
      </c>
      <c r="D7490" s="4" t="n">
        <v>149.7375</v>
      </c>
      <c r="E7490" s="5" t="n">
        <v>374</v>
      </c>
      <c r="F7490" s="3" t="inlineStr">
        <is>
          <t>연서면</t>
        </is>
      </c>
      <c r="G7490" s="3" t="inlineStr">
        <is>
          <t>부동리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5000</v>
      </c>
      <c r="C7491" s="4" t="n">
        <v>281</v>
      </c>
      <c r="D7491" s="4" t="n">
        <v>85.0025</v>
      </c>
      <c r="E7491" s="5" t="n">
        <v>58.8</v>
      </c>
      <c r="F7491" s="3" t="inlineStr">
        <is>
          <t>연기면</t>
        </is>
      </c>
      <c r="G7491" s="3" t="inlineStr">
        <is>
          <t>눌왕리</t>
        </is>
      </c>
      <c r="H7491" s="3" t="inlineStr">
        <is>
          <t>계획관리지역</t>
        </is>
      </c>
      <c r="I7491" s="3" t="inlineStr">
        <is>
          <t>전</t>
        </is>
      </c>
      <c r="J7491" s="3" t="inlineStr">
        <is>
          <t>연기면</t>
        </is>
      </c>
    </row>
    <row r="7492">
      <c r="A7492" s="3" t="n">
        <v>2022</v>
      </c>
      <c r="B7492" s="4" t="n">
        <v>7420</v>
      </c>
      <c r="C7492" s="4" t="n">
        <v>164</v>
      </c>
      <c r="D7492" s="4" t="n">
        <v>49.61</v>
      </c>
      <c r="E7492" s="5" t="n">
        <v>149.6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보전녹지지역</t>
        </is>
      </c>
      <c r="I7492" s="3" t="inlineStr">
        <is>
          <t>전</t>
        </is>
      </c>
      <c r="J7492" s="3" t="inlineStr">
        <is>
          <t>금남면</t>
        </is>
      </c>
    </row>
    <row r="7493">
      <c r="A7493" s="3" t="n">
        <v>2022</v>
      </c>
      <c r="B7493" s="4" t="n">
        <v>9680</v>
      </c>
      <c r="C7493" s="4" t="n">
        <v>214</v>
      </c>
      <c r="D7493" s="4" t="n">
        <v>64.735</v>
      </c>
      <c r="E7493" s="5" t="n">
        <v>149.5</v>
      </c>
      <c r="F7493" s="3" t="inlineStr">
        <is>
          <t>금남면</t>
        </is>
      </c>
      <c r="G7493" s="3" t="inlineStr">
        <is>
          <t>용포리</t>
        </is>
      </c>
      <c r="H7493" s="3" t="inlineStr">
        <is>
          <t>보전녹지지역</t>
        </is>
      </c>
      <c r="I7493" s="3" t="inlineStr">
        <is>
          <t>전</t>
        </is>
      </c>
      <c r="J7493" s="3" t="inlineStr">
        <is>
          <t>금남면</t>
        </is>
      </c>
    </row>
    <row r="7494">
      <c r="A7494" s="3" t="n">
        <v>2022</v>
      </c>
      <c r="B7494" s="4" t="n">
        <v>24000</v>
      </c>
      <c r="C7494" s="4" t="n">
        <v>331</v>
      </c>
      <c r="D7494" s="4" t="n">
        <v>100.1275</v>
      </c>
      <c r="E7494" s="5" t="n">
        <v>239.7</v>
      </c>
      <c r="F7494" s="3" t="inlineStr">
        <is>
          <t>연기면</t>
        </is>
      </c>
      <c r="G7494" s="3" t="inlineStr">
        <is>
          <t>눌왕리</t>
        </is>
      </c>
      <c r="H7494" s="3" t="inlineStr">
        <is>
          <t>계획관리지역</t>
        </is>
      </c>
      <c r="I7494" s="3" t="inlineStr">
        <is>
          <t>대</t>
        </is>
      </c>
      <c r="J7494" s="3" t="inlineStr">
        <is>
          <t>연기면</t>
        </is>
      </c>
    </row>
    <row r="7495">
      <c r="A7495" s="3" t="n">
        <v>2022</v>
      </c>
      <c r="B7495" s="4" t="n">
        <v>14800</v>
      </c>
      <c r="C7495" s="4" t="n">
        <v>893</v>
      </c>
      <c r="D7495" s="4" t="n">
        <v>270.1325</v>
      </c>
      <c r="E7495" s="5" t="n">
        <v>54.8</v>
      </c>
      <c r="F7495" s="3" t="inlineStr">
        <is>
          <t>장군면</t>
        </is>
      </c>
      <c r="G7495" s="3" t="inlineStr">
        <is>
          <t>하봉리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장군면</t>
        </is>
      </c>
    </row>
    <row r="7496">
      <c r="A7496" s="3" t="n">
        <v>2022</v>
      </c>
      <c r="B7496" s="4" t="n">
        <v>4000</v>
      </c>
      <c r="C7496" s="4" t="n">
        <v>291</v>
      </c>
      <c r="D7496" s="4" t="n">
        <v>88.0275</v>
      </c>
      <c r="E7496" s="5" t="n">
        <v>45.4</v>
      </c>
      <c r="F7496" s="3" t="inlineStr">
        <is>
          <t>금남면</t>
        </is>
      </c>
      <c r="G7496" s="3" t="inlineStr">
        <is>
          <t>달전리</t>
        </is>
      </c>
      <c r="H7496" s="3" t="inlineStr">
        <is>
          <t>개발제한구역</t>
        </is>
      </c>
      <c r="I7496" s="3" t="inlineStr">
        <is>
          <t>전</t>
        </is>
      </c>
      <c r="J7496" s="3" t="inlineStr">
        <is>
          <t>금남면</t>
        </is>
      </c>
    </row>
    <row r="7497">
      <c r="A7497" s="3" t="n">
        <v>2022</v>
      </c>
      <c r="B7497" s="4" t="n">
        <v>8100</v>
      </c>
      <c r="C7497" s="4" t="n">
        <v>248</v>
      </c>
      <c r="D7497" s="4" t="n">
        <v>75.02</v>
      </c>
      <c r="E7497" s="5" t="n">
        <v>108</v>
      </c>
      <c r="F7497" s="3" t="inlineStr">
        <is>
          <t>전의면</t>
        </is>
      </c>
      <c r="G7497" s="3" t="inlineStr">
        <is>
          <t>신흥리</t>
        </is>
      </c>
      <c r="H7497" s="3" t="inlineStr">
        <is>
          <t>계획관리지역</t>
        </is>
      </c>
      <c r="I7497" s="3" t="inlineStr">
        <is>
          <t>대</t>
        </is>
      </c>
      <c r="J7497" s="3" t="inlineStr">
        <is>
          <t>전의면</t>
        </is>
      </c>
    </row>
    <row r="7498">
      <c r="A7498" s="3" t="n">
        <v>2022</v>
      </c>
      <c r="B7498" s="4" t="n">
        <v>28665</v>
      </c>
      <c r="C7498" s="4" t="n">
        <v>1653</v>
      </c>
      <c r="D7498" s="4" t="n">
        <v>500.0325</v>
      </c>
      <c r="E7498" s="5" t="n">
        <v>57.3</v>
      </c>
      <c r="F7498" s="3" t="inlineStr">
        <is>
          <t>전동면</t>
        </is>
      </c>
      <c r="G7498" s="3" t="inlineStr">
        <is>
          <t>청송리</t>
        </is>
      </c>
      <c r="H7498" s="3" t="inlineStr">
        <is>
          <t>농림지역</t>
        </is>
      </c>
      <c r="I7498" s="3" t="inlineStr">
        <is>
          <t>임야</t>
        </is>
      </c>
      <c r="J7498" s="3" t="inlineStr">
        <is>
          <t>전동면</t>
        </is>
      </c>
    </row>
    <row r="7499">
      <c r="A7499" s="3" t="n">
        <v>2022</v>
      </c>
      <c r="B7499" s="4" t="n">
        <v>30600</v>
      </c>
      <c r="C7499" s="4" t="n">
        <v>1915</v>
      </c>
      <c r="D7499" s="4" t="n">
        <v>579.2875</v>
      </c>
      <c r="E7499" s="5" t="n">
        <v>52.8</v>
      </c>
      <c r="F7499" s="3" t="inlineStr">
        <is>
          <t>전동면</t>
        </is>
      </c>
      <c r="G7499" s="3" t="inlineStr">
        <is>
          <t>미곡리</t>
        </is>
      </c>
      <c r="H7499" s="3" t="inlineStr">
        <is>
          <t>생산관리지역</t>
        </is>
      </c>
      <c r="I7499" s="3" t="inlineStr">
        <is>
          <t>답</t>
        </is>
      </c>
      <c r="J7499" s="3" t="inlineStr">
        <is>
          <t>전동면</t>
        </is>
      </c>
    </row>
    <row r="7500">
      <c r="A7500" s="3" t="n">
        <v>2022</v>
      </c>
      <c r="B7500" s="4" t="n">
        <v>3700</v>
      </c>
      <c r="C7500" s="4" t="n">
        <v>232</v>
      </c>
      <c r="D7500" s="4" t="n">
        <v>70.17999999999999</v>
      </c>
      <c r="E7500" s="5" t="n">
        <v>52.7</v>
      </c>
      <c r="F7500" s="3" t="inlineStr">
        <is>
          <t>전동면</t>
        </is>
      </c>
      <c r="G7500" s="3" t="inlineStr">
        <is>
          <t>미곡리</t>
        </is>
      </c>
      <c r="H7500" s="3" t="inlineStr">
        <is>
          <t>생산관리지역</t>
        </is>
      </c>
      <c r="I7500" s="3" t="inlineStr">
        <is>
          <t>임야</t>
        </is>
      </c>
      <c r="J7500" s="3" t="inlineStr">
        <is>
          <t>전동면</t>
        </is>
      </c>
    </row>
    <row r="7501">
      <c r="A7501" s="3" t="n">
        <v>2024</v>
      </c>
      <c r="B7501" s="4" t="n">
        <v>67958</v>
      </c>
      <c r="C7501" s="4" t="n">
        <v>1620</v>
      </c>
      <c r="D7501" s="4" t="n">
        <v>490.05</v>
      </c>
      <c r="E7501" s="5" t="n">
        <v>138.7</v>
      </c>
      <c r="F7501" s="3" t="inlineStr">
        <is>
          <t>현도면</t>
        </is>
      </c>
      <c r="G7501" s="3" t="inlineStr">
        <is>
          <t>중삼리</t>
        </is>
      </c>
      <c r="H7501" s="3" t="inlineStr">
        <is>
          <t>계획관리지역</t>
        </is>
      </c>
      <c r="I7501" s="3" t="inlineStr">
        <is>
          <t>전</t>
        </is>
      </c>
      <c r="J7501" s="3" t="inlineStr">
        <is>
          <t>현도면</t>
        </is>
      </c>
    </row>
    <row r="7502">
      <c r="A7502" s="3" t="n">
        <v>2025</v>
      </c>
      <c r="B7502" s="4" t="n">
        <v>19500</v>
      </c>
      <c r="C7502" s="4" t="n">
        <v>1357</v>
      </c>
      <c r="D7502" s="4" t="n">
        <v>410.4925</v>
      </c>
      <c r="E7502" s="5" t="n">
        <v>47.5</v>
      </c>
      <c r="F7502" s="3" t="inlineStr">
        <is>
          <t>현도면</t>
        </is>
      </c>
      <c r="G7502" s="3" t="inlineStr">
        <is>
          <t>상삼리</t>
        </is>
      </c>
      <c r="H7502" s="3" t="inlineStr">
        <is>
          <t>농림지역</t>
        </is>
      </c>
      <c r="I7502" s="3" t="inlineStr">
        <is>
          <t>임야</t>
        </is>
      </c>
      <c r="J7502" s="3" t="inlineStr">
        <is>
          <t>현도면</t>
        </is>
      </c>
    </row>
    <row r="7503">
      <c r="A7503" s="3" t="n">
        <v>2025</v>
      </c>
      <c r="B7503" s="4" t="n">
        <v>9690</v>
      </c>
      <c r="C7503" s="4" t="n">
        <v>843</v>
      </c>
      <c r="D7503" s="4" t="n">
        <v>255.0075</v>
      </c>
      <c r="E7503" s="5" t="n">
        <v>38</v>
      </c>
      <c r="F7503" s="3" t="inlineStr">
        <is>
          <t>현도면</t>
        </is>
      </c>
      <c r="G7503" s="3" t="inlineStr">
        <is>
          <t>죽전리</t>
        </is>
      </c>
      <c r="H7503" s="3" t="inlineStr">
        <is>
          <t>농림지역</t>
        </is>
      </c>
      <c r="I7503" s="3" t="inlineStr">
        <is>
          <t>답</t>
        </is>
      </c>
      <c r="J7503" s="3" t="inlineStr">
        <is>
          <t>현도면</t>
        </is>
      </c>
    </row>
    <row r="7504">
      <c r="A7504" s="3" t="n">
        <v>2024</v>
      </c>
      <c r="B7504" s="4" t="n">
        <v>25000</v>
      </c>
      <c r="C7504" s="4" t="n">
        <v>1035</v>
      </c>
      <c r="D7504" s="4" t="n">
        <v>313.0875</v>
      </c>
      <c r="E7504" s="5" t="n">
        <v>79.8</v>
      </c>
      <c r="F7504" s="3" t="inlineStr">
        <is>
          <t>강내면</t>
        </is>
      </c>
      <c r="G7504" s="3" t="inlineStr">
        <is>
          <t>황탄리</t>
        </is>
      </c>
      <c r="H7504" s="3" t="inlineStr">
        <is>
          <t>기타</t>
        </is>
      </c>
      <c r="I7504" s="3" t="inlineStr">
        <is>
          <t>전</t>
        </is>
      </c>
      <c r="J7504" s="3" t="inlineStr">
        <is>
          <t>강내면</t>
        </is>
      </c>
    </row>
    <row r="7505">
      <c r="A7505" s="3" t="n">
        <v>2024</v>
      </c>
      <c r="B7505" s="4" t="n">
        <v>10000</v>
      </c>
      <c r="C7505" s="4" t="n">
        <v>102</v>
      </c>
      <c r="D7505" s="4" t="n">
        <v>30.855</v>
      </c>
      <c r="E7505" s="5" t="n">
        <v>324.1</v>
      </c>
      <c r="F7505" s="3" t="inlineStr">
        <is>
          <t>오송읍</t>
        </is>
      </c>
      <c r="G7505" s="3" t="inlineStr">
        <is>
          <t>오송리</t>
        </is>
      </c>
      <c r="H7505" s="3" t="inlineStr">
        <is>
          <t>계획관리지역</t>
        </is>
      </c>
      <c r="I7505" s="3" t="inlineStr">
        <is>
          <t>대</t>
        </is>
      </c>
      <c r="J7505" s="3" t="inlineStr">
        <is>
          <t>오송읍</t>
        </is>
      </c>
    </row>
    <row r="7506">
      <c r="A7506" s="3" t="n">
        <v>2024</v>
      </c>
      <c r="B7506" s="4" t="n">
        <v>1003</v>
      </c>
      <c r="C7506" s="4" t="n">
        <v>109</v>
      </c>
      <c r="D7506" s="4" t="n">
        <v>32.9725</v>
      </c>
      <c r="E7506" s="5" t="n">
        <v>30.4</v>
      </c>
      <c r="F7506" s="3" t="inlineStr">
        <is>
          <t>오송읍</t>
        </is>
      </c>
      <c r="G7506" s="3" t="inlineStr">
        <is>
          <t>쌍청리</t>
        </is>
      </c>
      <c r="H7506" s="3" t="inlineStr">
        <is>
          <t>농림지역</t>
        </is>
      </c>
      <c r="I7506" s="3" t="inlineStr">
        <is>
          <t>도로</t>
        </is>
      </c>
      <c r="J7506" s="3" t="inlineStr">
        <is>
          <t>오송읍</t>
        </is>
      </c>
    </row>
    <row r="7507">
      <c r="A7507" s="3" t="n">
        <v>2024</v>
      </c>
      <c r="B7507" s="4" t="n">
        <v>190000</v>
      </c>
      <c r="C7507" s="4" t="n">
        <v>12082</v>
      </c>
      <c r="D7507" s="4" t="n">
        <v>3654.805</v>
      </c>
      <c r="E7507" s="5" t="n">
        <v>52</v>
      </c>
      <c r="F7507" s="3" t="inlineStr">
        <is>
          <t>강내면</t>
        </is>
      </c>
      <c r="G7507" s="3" t="inlineStr">
        <is>
          <t>산단리</t>
        </is>
      </c>
      <c r="H7507" s="3" t="inlineStr">
        <is>
          <t>계획관리지역</t>
        </is>
      </c>
      <c r="I7507" s="3" t="inlineStr">
        <is>
          <t>임야</t>
        </is>
      </c>
      <c r="J7507" s="3" t="inlineStr">
        <is>
          <t>강내면</t>
        </is>
      </c>
    </row>
    <row r="7508">
      <c r="A7508" s="3" t="n">
        <v>2024</v>
      </c>
      <c r="B7508" s="4" t="n">
        <v>16363</v>
      </c>
      <c r="C7508" s="4" t="n">
        <v>408</v>
      </c>
      <c r="D7508" s="4" t="n">
        <v>123.42</v>
      </c>
      <c r="E7508" s="5" t="n">
        <v>132.6</v>
      </c>
      <c r="F7508" s="3" t="inlineStr">
        <is>
          <t>강내면</t>
        </is>
      </c>
      <c r="G7508" s="3" t="inlineStr">
        <is>
          <t>다락리</t>
        </is>
      </c>
      <c r="H7508" s="3" t="inlineStr">
        <is>
          <t>계획관리지역</t>
        </is>
      </c>
      <c r="I7508" s="3" t="inlineStr">
        <is>
          <t>대</t>
        </is>
      </c>
      <c r="J7508" s="3" t="inlineStr">
        <is>
          <t>강내면</t>
        </is>
      </c>
    </row>
    <row r="7509">
      <c r="A7509" s="3" t="n">
        <v>2024</v>
      </c>
      <c r="B7509" s="4" t="n">
        <v>3048</v>
      </c>
      <c r="C7509" s="4" t="n">
        <v>76</v>
      </c>
      <c r="D7509" s="4" t="n">
        <v>22.99</v>
      </c>
      <c r="E7509" s="5" t="n">
        <v>132.6</v>
      </c>
      <c r="F7509" s="3" t="inlineStr">
        <is>
          <t>강내면</t>
        </is>
      </c>
      <c r="G7509" s="3" t="inlineStr">
        <is>
          <t>다락리</t>
        </is>
      </c>
      <c r="H7509" s="3" t="inlineStr">
        <is>
          <t>계획관리지역</t>
        </is>
      </c>
      <c r="I7509" s="3" t="inlineStr">
        <is>
          <t>대</t>
        </is>
      </c>
      <c r="J7509" s="3" t="inlineStr">
        <is>
          <t>강내면</t>
        </is>
      </c>
    </row>
    <row r="7510">
      <c r="A7510" s="3" t="n">
        <v>2024</v>
      </c>
      <c r="B7510" s="4" t="n">
        <v>36000</v>
      </c>
      <c r="C7510" s="4" t="n">
        <v>1489</v>
      </c>
      <c r="D7510" s="4" t="n">
        <v>450.4225</v>
      </c>
      <c r="E7510" s="5" t="n">
        <v>79.90000000000001</v>
      </c>
      <c r="F7510" s="3" t="inlineStr">
        <is>
          <t>오송읍</t>
        </is>
      </c>
      <c r="G7510" s="3" t="inlineStr">
        <is>
          <t>호계리</t>
        </is>
      </c>
      <c r="H7510" s="3" t="inlineStr">
        <is>
          <t>농림지역</t>
        </is>
      </c>
      <c r="I7510" s="3" t="inlineStr">
        <is>
          <t>답</t>
        </is>
      </c>
      <c r="J7510" s="3" t="inlineStr">
        <is>
          <t>오송읍</t>
        </is>
      </c>
    </row>
    <row r="7511">
      <c r="A7511" s="3" t="n">
        <v>2024</v>
      </c>
      <c r="B7511" s="4" t="n">
        <v>20000</v>
      </c>
      <c r="C7511" s="4" t="n">
        <v>1578</v>
      </c>
      <c r="D7511" s="4" t="n">
        <v>477.345</v>
      </c>
      <c r="E7511" s="5" t="n">
        <v>41.9</v>
      </c>
      <c r="F7511" s="3" t="inlineStr">
        <is>
          <t>오송읍</t>
        </is>
      </c>
      <c r="G7511" s="3" t="inlineStr">
        <is>
          <t>상봉리</t>
        </is>
      </c>
      <c r="H7511" s="3" t="inlineStr">
        <is>
          <t>농림지역</t>
        </is>
      </c>
      <c r="I7511" s="3" t="inlineStr">
        <is>
          <t>답</t>
        </is>
      </c>
      <c r="J7511" s="3" t="inlineStr">
        <is>
          <t>오송읍</t>
        </is>
      </c>
    </row>
    <row r="7512">
      <c r="A7512" s="3" t="n">
        <v>2024</v>
      </c>
      <c r="B7512" s="4" t="n">
        <v>23000</v>
      </c>
      <c r="C7512" s="4" t="n">
        <v>493</v>
      </c>
      <c r="D7512" s="4" t="n">
        <v>149.1325</v>
      </c>
      <c r="E7512" s="5" t="n">
        <v>154.2</v>
      </c>
      <c r="F7512" s="3" t="inlineStr">
        <is>
          <t>오송읍</t>
        </is>
      </c>
      <c r="G7512" s="3" t="inlineStr">
        <is>
          <t>궁평리</t>
        </is>
      </c>
      <c r="H7512" s="3" t="inlineStr">
        <is>
          <t>농림지역</t>
        </is>
      </c>
      <c r="I7512" s="3" t="inlineStr">
        <is>
          <t>대</t>
        </is>
      </c>
      <c r="J7512" s="3" t="inlineStr">
        <is>
          <t>오송읍</t>
        </is>
      </c>
    </row>
    <row r="7513">
      <c r="A7513" s="3" t="n">
        <v>2024</v>
      </c>
      <c r="B7513" s="4" t="n">
        <v>2850</v>
      </c>
      <c r="C7513" s="4" t="n">
        <v>94</v>
      </c>
      <c r="D7513" s="4" t="n">
        <v>28.435</v>
      </c>
      <c r="E7513" s="5" t="n">
        <v>100.2</v>
      </c>
      <c r="F7513" s="3" t="inlineStr">
        <is>
          <t>강내면</t>
        </is>
      </c>
      <c r="G7513" s="3" t="inlineStr">
        <is>
          <t>산단리</t>
        </is>
      </c>
      <c r="H7513" s="3" t="inlineStr">
        <is>
          <t>기타</t>
        </is>
      </c>
      <c r="I7513" s="3" t="inlineStr">
        <is>
          <t>답</t>
        </is>
      </c>
      <c r="J7513" s="3" t="inlineStr">
        <is>
          <t>강내면</t>
        </is>
      </c>
    </row>
    <row r="7514">
      <c r="A7514" s="3" t="n">
        <v>2024</v>
      </c>
      <c r="B7514" s="4" t="n">
        <v>39930</v>
      </c>
      <c r="C7514" s="4" t="n">
        <v>660</v>
      </c>
      <c r="D7514" s="4" t="n">
        <v>199.65</v>
      </c>
      <c r="E7514" s="5" t="n">
        <v>200</v>
      </c>
      <c r="F7514" s="3" t="inlineStr">
        <is>
          <t>오송읍</t>
        </is>
      </c>
      <c r="G7514" s="3" t="inlineStr">
        <is>
          <t>궁평리</t>
        </is>
      </c>
      <c r="H7514" s="3" t="inlineStr">
        <is>
          <t>농림지역</t>
        </is>
      </c>
      <c r="I7514" s="3" t="inlineStr">
        <is>
          <t>답</t>
        </is>
      </c>
      <c r="J7514" s="3" t="inlineStr">
        <is>
          <t>오송읍</t>
        </is>
      </c>
    </row>
    <row r="7515">
      <c r="A7515" s="3" t="n">
        <v>2024</v>
      </c>
      <c r="B7515" s="4" t="n">
        <v>8712</v>
      </c>
      <c r="C7515" s="4" t="n">
        <v>144</v>
      </c>
      <c r="D7515" s="4" t="n">
        <v>43.56</v>
      </c>
      <c r="E7515" s="5" t="n">
        <v>200</v>
      </c>
      <c r="F7515" s="3" t="inlineStr">
        <is>
          <t>오송읍</t>
        </is>
      </c>
      <c r="G7515" s="3" t="inlineStr">
        <is>
          <t>궁평리</t>
        </is>
      </c>
      <c r="H7515" s="3" t="inlineStr">
        <is>
          <t>농림지역</t>
        </is>
      </c>
      <c r="I7515" s="3" t="inlineStr">
        <is>
          <t>답</t>
        </is>
      </c>
      <c r="J7515" s="3" t="inlineStr">
        <is>
          <t>오송읍</t>
        </is>
      </c>
    </row>
    <row r="7516">
      <c r="A7516" s="3" t="n">
        <v>2024</v>
      </c>
      <c r="B7516" s="4" t="n">
        <v>24321</v>
      </c>
      <c r="C7516" s="4" t="n">
        <v>402</v>
      </c>
      <c r="D7516" s="4" t="n">
        <v>121.605</v>
      </c>
      <c r="E7516" s="5" t="n">
        <v>200</v>
      </c>
      <c r="F7516" s="3" t="inlineStr">
        <is>
          <t>오송읍</t>
        </is>
      </c>
      <c r="G7516" s="3" t="inlineStr">
        <is>
          <t>궁평리</t>
        </is>
      </c>
      <c r="H7516" s="3" t="inlineStr">
        <is>
          <t>농림지역</t>
        </is>
      </c>
      <c r="I7516" s="3" t="inlineStr">
        <is>
          <t>답</t>
        </is>
      </c>
      <c r="J7516" s="3" t="inlineStr">
        <is>
          <t>오송읍</t>
        </is>
      </c>
    </row>
    <row r="7517">
      <c r="A7517" s="3" t="n">
        <v>2024</v>
      </c>
      <c r="B7517" s="4" t="n">
        <v>9800</v>
      </c>
      <c r="C7517" s="4" t="n">
        <v>429</v>
      </c>
      <c r="D7517" s="4" t="n">
        <v>129.7725</v>
      </c>
      <c r="E7517" s="5" t="n">
        <v>75.5</v>
      </c>
      <c r="F7517" s="3" t="inlineStr">
        <is>
          <t>오송읍</t>
        </is>
      </c>
      <c r="G7517" s="3" t="inlineStr">
        <is>
          <t>상정리</t>
        </is>
      </c>
      <c r="H7517" s="3" t="inlineStr">
        <is>
          <t>농림지역</t>
        </is>
      </c>
      <c r="I7517" s="3" t="inlineStr">
        <is>
          <t>답</t>
        </is>
      </c>
      <c r="J7517" s="3" t="inlineStr">
        <is>
          <t>오송읍</t>
        </is>
      </c>
    </row>
    <row r="7518">
      <c r="A7518" s="3" t="n">
        <v>2024</v>
      </c>
      <c r="B7518" s="4" t="n">
        <v>20000</v>
      </c>
      <c r="C7518" s="4" t="n">
        <v>2688</v>
      </c>
      <c r="D7518" s="4" t="n">
        <v>813.12</v>
      </c>
      <c r="E7518" s="5" t="n">
        <v>24.6</v>
      </c>
      <c r="F7518" s="3" t="inlineStr">
        <is>
          <t>강내면</t>
        </is>
      </c>
      <c r="G7518" s="3" t="inlineStr">
        <is>
          <t>학천리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강내면</t>
        </is>
      </c>
    </row>
    <row r="7519">
      <c r="A7519" s="3" t="n">
        <v>2024</v>
      </c>
      <c r="B7519" s="4" t="n">
        <v>32000</v>
      </c>
      <c r="C7519" s="4" t="n">
        <v>234.7</v>
      </c>
      <c r="D7519" s="4" t="n">
        <v>70.99674999999999</v>
      </c>
      <c r="E7519" s="5" t="n">
        <v>450.7</v>
      </c>
      <c r="F7519" s="3" t="inlineStr">
        <is>
          <t>오송읍</t>
        </is>
      </c>
      <c r="G7519" s="3" t="inlineStr">
        <is>
          <t>봉산리</t>
        </is>
      </c>
      <c r="H7519" s="3" t="inlineStr">
        <is>
          <t>제1종일반주거지역</t>
        </is>
      </c>
      <c r="I7519" s="3" t="inlineStr">
        <is>
          <t>대</t>
        </is>
      </c>
      <c r="J7519" s="3" t="inlineStr">
        <is>
          <t>오송읍</t>
        </is>
      </c>
    </row>
    <row r="7520">
      <c r="A7520" s="3" t="n">
        <v>2024</v>
      </c>
      <c r="B7520" s="4" t="n">
        <v>210300</v>
      </c>
      <c r="C7520" s="4" t="n">
        <v>3717</v>
      </c>
      <c r="D7520" s="4" t="n">
        <v>1124.3925</v>
      </c>
      <c r="E7520" s="5" t="n">
        <v>187</v>
      </c>
      <c r="F7520" s="3" t="inlineStr">
        <is>
          <t>오송읍</t>
        </is>
      </c>
      <c r="G7520" s="3" t="inlineStr">
        <is>
          <t>궁평리</t>
        </is>
      </c>
      <c r="H7520" s="3" t="inlineStr">
        <is>
          <t>농림지역</t>
        </is>
      </c>
      <c r="I7520" s="3" t="inlineStr">
        <is>
          <t>답</t>
        </is>
      </c>
      <c r="J7520" s="3" t="inlineStr">
        <is>
          <t>오송읍</t>
        </is>
      </c>
    </row>
    <row r="7521">
      <c r="A7521" s="3" t="n">
        <v>2024</v>
      </c>
      <c r="B7521" s="4" t="n">
        <v>8000</v>
      </c>
      <c r="C7521" s="4" t="n">
        <v>177</v>
      </c>
      <c r="D7521" s="4" t="n">
        <v>53.5425</v>
      </c>
      <c r="E7521" s="5" t="n">
        <v>149.4</v>
      </c>
      <c r="F7521" s="3" t="inlineStr">
        <is>
          <t>오송읍</t>
        </is>
      </c>
      <c r="G7521" s="3" t="inlineStr">
        <is>
          <t>궁평리</t>
        </is>
      </c>
      <c r="H7521" s="3" t="inlineStr">
        <is>
          <t>농림지역</t>
        </is>
      </c>
      <c r="I7521" s="3" t="inlineStr">
        <is>
          <t>도로</t>
        </is>
      </c>
      <c r="J7521" s="3" t="inlineStr">
        <is>
          <t>오송읍</t>
        </is>
      </c>
    </row>
    <row r="7522">
      <c r="A7522" s="3" t="n">
        <v>2024</v>
      </c>
      <c r="B7522" s="4" t="n">
        <v>3474</v>
      </c>
      <c r="C7522" s="4" t="n">
        <v>172</v>
      </c>
      <c r="D7522" s="4" t="n">
        <v>52.03</v>
      </c>
      <c r="E7522" s="5" t="n">
        <v>66.8</v>
      </c>
      <c r="F7522" s="3" t="inlineStr">
        <is>
          <t>강내면</t>
        </is>
      </c>
      <c r="G7522" s="3" t="inlineStr">
        <is>
          <t>다락리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강내면</t>
        </is>
      </c>
    </row>
    <row r="7523">
      <c r="A7523" s="3" t="n">
        <v>2024</v>
      </c>
      <c r="B7523" s="4" t="n">
        <v>50000</v>
      </c>
      <c r="C7523" s="4" t="n">
        <v>247.2</v>
      </c>
      <c r="D7523" s="4" t="n">
        <v>74.77799999999999</v>
      </c>
      <c r="E7523" s="5" t="n">
        <v>668.6</v>
      </c>
      <c r="F7523" s="3" t="inlineStr">
        <is>
          <t>오송읍</t>
        </is>
      </c>
      <c r="G7523" s="3" t="inlineStr">
        <is>
          <t>봉산리</t>
        </is>
      </c>
      <c r="H7523" s="3" t="inlineStr">
        <is>
          <t>제1종일반주거지역</t>
        </is>
      </c>
      <c r="I7523" s="3" t="inlineStr">
        <is>
          <t>대</t>
        </is>
      </c>
      <c r="J7523" s="3" t="inlineStr">
        <is>
          <t>오송읍</t>
        </is>
      </c>
    </row>
    <row r="7524">
      <c r="A7524" s="3" t="n">
        <v>2024</v>
      </c>
      <c r="B7524" s="4" t="n">
        <v>1266</v>
      </c>
      <c r="C7524" s="4" t="n">
        <v>16</v>
      </c>
      <c r="D7524" s="4" t="n">
        <v>4.84</v>
      </c>
      <c r="E7524" s="5" t="n">
        <v>261.6</v>
      </c>
      <c r="F7524" s="3" t="inlineStr">
        <is>
          <t>오송읍</t>
        </is>
      </c>
      <c r="G7524" s="3" t="inlineStr">
        <is>
          <t>오송리</t>
        </is>
      </c>
      <c r="H7524" s="3" t="inlineStr">
        <is>
          <t>계획관리지역</t>
        </is>
      </c>
      <c r="I7524" s="3" t="inlineStr">
        <is>
          <t>잡종지</t>
        </is>
      </c>
      <c r="J7524" s="3" t="inlineStr">
        <is>
          <t>오송읍</t>
        </is>
      </c>
    </row>
    <row r="7525">
      <c r="A7525" s="3" t="n">
        <v>2025</v>
      </c>
      <c r="B7525" s="4" t="n">
        <v>10991</v>
      </c>
      <c r="C7525" s="4" t="n">
        <v>237</v>
      </c>
      <c r="D7525" s="4" t="n">
        <v>71.6925</v>
      </c>
      <c r="E7525" s="5" t="n">
        <v>153.3</v>
      </c>
      <c r="F7525" s="3" t="inlineStr">
        <is>
          <t>현도면</t>
        </is>
      </c>
      <c r="G7525" s="3" t="inlineStr">
        <is>
          <t>선동리</t>
        </is>
      </c>
      <c r="H7525" s="3" t="inlineStr">
        <is>
          <t>용도미지정</t>
        </is>
      </c>
      <c r="I7525" s="3" t="inlineStr">
        <is>
          <t>대</t>
        </is>
      </c>
      <c r="J7525" s="3" t="inlineStr">
        <is>
          <t>현도면</t>
        </is>
      </c>
    </row>
    <row r="7526">
      <c r="A7526" s="3" t="n">
        <v>2022</v>
      </c>
      <c r="B7526" s="4" t="n">
        <v>98000</v>
      </c>
      <c r="C7526" s="4" t="n">
        <v>3978</v>
      </c>
      <c r="D7526" s="4" t="n">
        <v>1203.345</v>
      </c>
      <c r="E7526" s="5" t="n">
        <v>81.40000000000001</v>
      </c>
      <c r="F7526" s="3" t="inlineStr">
        <is>
          <t>오송읍</t>
        </is>
      </c>
      <c r="G7526" s="3" t="inlineStr">
        <is>
          <t>공북리</t>
        </is>
      </c>
      <c r="H7526" s="3" t="inlineStr">
        <is>
          <t>농림지역</t>
        </is>
      </c>
      <c r="I7526" s="3" t="inlineStr">
        <is>
          <t>답</t>
        </is>
      </c>
      <c r="J7526" s="3" t="inlineStr">
        <is>
          <t>오송읍</t>
        </is>
      </c>
    </row>
    <row r="7527">
      <c r="A7527" s="3" t="n">
        <v>2022</v>
      </c>
      <c r="B7527" s="4" t="n">
        <v>4500</v>
      </c>
      <c r="C7527" s="4" t="n">
        <v>588</v>
      </c>
      <c r="D7527" s="4" t="n">
        <v>177.87</v>
      </c>
      <c r="E7527" s="5" t="n">
        <v>25.3</v>
      </c>
      <c r="F7527" s="3" t="inlineStr">
        <is>
          <t>오송읍</t>
        </is>
      </c>
      <c r="G7527" s="3" t="inlineStr">
        <is>
          <t>연제리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오송읍</t>
        </is>
      </c>
    </row>
    <row r="7528">
      <c r="A7528" s="3" t="n">
        <v>2022</v>
      </c>
      <c r="B7528" s="4" t="n">
        <v>1200</v>
      </c>
      <c r="C7528" s="4" t="n">
        <v>20</v>
      </c>
      <c r="D7528" s="4" t="n">
        <v>6.05</v>
      </c>
      <c r="E7528" s="5" t="n">
        <v>198.3</v>
      </c>
      <c r="F7528" s="3" t="inlineStr">
        <is>
          <t>오송읍</t>
        </is>
      </c>
      <c r="G7528" s="3" t="inlineStr">
        <is>
          <t>오송리</t>
        </is>
      </c>
      <c r="H7528" s="3" t="inlineStr">
        <is>
          <t>제1종일반주거지역</t>
        </is>
      </c>
      <c r="I7528" s="3" t="inlineStr">
        <is>
          <t>도로</t>
        </is>
      </c>
      <c r="J7528" s="3" t="inlineStr">
        <is>
          <t>오송읍</t>
        </is>
      </c>
    </row>
    <row r="7529">
      <c r="A7529" s="3" t="n">
        <v>2022</v>
      </c>
      <c r="B7529" s="4" t="n">
        <v>43000</v>
      </c>
      <c r="C7529" s="4" t="n">
        <v>2387.3</v>
      </c>
      <c r="D7529" s="4" t="n">
        <v>722.1582500000001</v>
      </c>
      <c r="E7529" s="5" t="n">
        <v>59.5</v>
      </c>
      <c r="F7529" s="3" t="inlineStr">
        <is>
          <t>강내면</t>
        </is>
      </c>
      <c r="G7529" s="3" t="inlineStr">
        <is>
          <t>산단리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강내면</t>
        </is>
      </c>
    </row>
    <row r="7530">
      <c r="A7530" s="3" t="n">
        <v>2022</v>
      </c>
      <c r="B7530" s="4" t="n">
        <v>4500</v>
      </c>
      <c r="C7530" s="4" t="n">
        <v>440</v>
      </c>
      <c r="D7530" s="4" t="n">
        <v>133.1</v>
      </c>
      <c r="E7530" s="5" t="n">
        <v>33.8</v>
      </c>
      <c r="F7530" s="3" t="inlineStr">
        <is>
          <t>오송읍</t>
        </is>
      </c>
      <c r="G7530" s="3" t="inlineStr">
        <is>
          <t>상봉리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오송읍</t>
        </is>
      </c>
    </row>
    <row r="7531">
      <c r="A7531" s="3" t="n">
        <v>2022</v>
      </c>
      <c r="B7531" s="4" t="n">
        <v>14500</v>
      </c>
      <c r="C7531" s="4" t="n">
        <v>306</v>
      </c>
      <c r="D7531" s="4" t="n">
        <v>92.565</v>
      </c>
      <c r="E7531" s="5" t="n">
        <v>156.6</v>
      </c>
      <c r="F7531" s="3" t="inlineStr">
        <is>
          <t>강내면</t>
        </is>
      </c>
      <c r="G7531" s="3" t="inlineStr">
        <is>
          <t>탑연리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강내면</t>
        </is>
      </c>
    </row>
    <row r="7532">
      <c r="A7532" s="3" t="n">
        <v>2022</v>
      </c>
      <c r="B7532" s="4" t="n">
        <v>1100</v>
      </c>
      <c r="C7532" s="4" t="n">
        <v>20</v>
      </c>
      <c r="D7532" s="4" t="n">
        <v>6.05</v>
      </c>
      <c r="E7532" s="5" t="n">
        <v>181.8</v>
      </c>
      <c r="F7532" s="3" t="inlineStr">
        <is>
          <t>오송읍</t>
        </is>
      </c>
      <c r="G7532" s="3" t="inlineStr">
        <is>
          <t>오송리</t>
        </is>
      </c>
      <c r="H7532" s="3" t="inlineStr">
        <is>
          <t>준주거지역</t>
        </is>
      </c>
      <c r="I7532" s="3" t="inlineStr">
        <is>
          <t>도로</t>
        </is>
      </c>
      <c r="J7532" s="3" t="inlineStr">
        <is>
          <t>오송읍</t>
        </is>
      </c>
    </row>
    <row r="7533">
      <c r="A7533" s="3" t="n">
        <v>2022</v>
      </c>
      <c r="B7533" s="4" t="n">
        <v>150000</v>
      </c>
      <c r="C7533" s="4" t="n">
        <v>1738</v>
      </c>
      <c r="D7533" s="4" t="n">
        <v>525.745</v>
      </c>
      <c r="E7533" s="5" t="n">
        <v>285.3</v>
      </c>
      <c r="F7533" s="3" t="inlineStr">
        <is>
          <t>오송읍</t>
        </is>
      </c>
      <c r="G7533" s="3" t="inlineStr">
        <is>
          <t>오송리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2022</v>
      </c>
      <c r="B7534" s="4" t="n">
        <v>25000</v>
      </c>
      <c r="C7534" s="4" t="n">
        <v>232.5</v>
      </c>
      <c r="D7534" s="4" t="n">
        <v>70.33125</v>
      </c>
      <c r="E7534" s="5" t="n">
        <v>355.5</v>
      </c>
      <c r="F7534" s="3" t="inlineStr">
        <is>
          <t>오송읍</t>
        </is>
      </c>
      <c r="G7534" s="3" t="inlineStr">
        <is>
          <t>봉산리</t>
        </is>
      </c>
      <c r="H7534" s="3" t="inlineStr">
        <is>
          <t>제1종일반주거지역</t>
        </is>
      </c>
      <c r="I7534" s="3" t="inlineStr">
        <is>
          <t>대</t>
        </is>
      </c>
      <c r="J7534" s="3" t="inlineStr">
        <is>
          <t>오송읍</t>
        </is>
      </c>
    </row>
    <row r="7535">
      <c r="A7535" s="3" t="n">
        <v>2022</v>
      </c>
      <c r="B7535" s="4" t="n">
        <v>1800</v>
      </c>
      <c r="C7535" s="4" t="n">
        <v>50</v>
      </c>
      <c r="D7535" s="4" t="n">
        <v>15.125</v>
      </c>
      <c r="E7535" s="5" t="n">
        <v>119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도로</t>
        </is>
      </c>
      <c r="J7535" s="3" t="inlineStr">
        <is>
          <t>강내면</t>
        </is>
      </c>
    </row>
    <row r="7536">
      <c r="A7536" s="3" t="n">
        <v>2022</v>
      </c>
      <c r="B7536" s="4" t="n">
        <v>12000</v>
      </c>
      <c r="C7536" s="4" t="n">
        <v>493</v>
      </c>
      <c r="D7536" s="4" t="n">
        <v>149.1325</v>
      </c>
      <c r="E7536" s="5" t="n">
        <v>80.5</v>
      </c>
      <c r="F7536" s="3" t="inlineStr">
        <is>
          <t>강내면</t>
        </is>
      </c>
      <c r="G7536" s="3" t="inlineStr">
        <is>
          <t>궁현리</t>
        </is>
      </c>
      <c r="H7536" s="3" t="inlineStr">
        <is>
          <t>계획관리지역</t>
        </is>
      </c>
      <c r="I7536" s="3" t="inlineStr">
        <is>
          <t>대</t>
        </is>
      </c>
      <c r="J7536" s="3" t="inlineStr">
        <is>
          <t>강내면</t>
        </is>
      </c>
    </row>
    <row r="7537">
      <c r="A7537" s="3" t="n">
        <v>2022</v>
      </c>
      <c r="B7537" s="4" t="n">
        <v>12662</v>
      </c>
      <c r="C7537" s="4" t="n">
        <v>2123</v>
      </c>
      <c r="D7537" s="4" t="n">
        <v>642.2075</v>
      </c>
      <c r="E7537" s="5" t="n">
        <v>19.7</v>
      </c>
      <c r="F7537" s="3" t="inlineStr">
        <is>
          <t>강내면</t>
        </is>
      </c>
      <c r="G7537" s="3" t="inlineStr">
        <is>
          <t>사곡리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강내면</t>
        </is>
      </c>
    </row>
    <row r="7538">
      <c r="A7538" s="3" t="n">
        <v>2022</v>
      </c>
      <c r="B7538" s="4" t="n">
        <v>2742</v>
      </c>
      <c r="C7538" s="4" t="n">
        <v>298</v>
      </c>
      <c r="D7538" s="4" t="n">
        <v>90.145</v>
      </c>
      <c r="E7538" s="5" t="n">
        <v>30.4</v>
      </c>
      <c r="F7538" s="3" t="inlineStr">
        <is>
          <t>강내면</t>
        </is>
      </c>
      <c r="G7538" s="3" t="inlineStr">
        <is>
          <t>학천리</t>
        </is>
      </c>
      <c r="H7538" s="3" t="inlineStr">
        <is>
          <t>자연녹지지역</t>
        </is>
      </c>
      <c r="I7538" s="3" t="inlineStr">
        <is>
          <t>공장용지</t>
        </is>
      </c>
      <c r="J7538" s="3" t="inlineStr">
        <is>
          <t>강내면</t>
        </is>
      </c>
    </row>
    <row r="7539">
      <c r="A7539" s="3" t="n">
        <v>2022</v>
      </c>
      <c r="B7539" s="4" t="n">
        <v>30000</v>
      </c>
      <c r="C7539" s="4" t="n">
        <v>287.2</v>
      </c>
      <c r="D7539" s="4" t="n">
        <v>86.878</v>
      </c>
      <c r="E7539" s="5" t="n">
        <v>345.3</v>
      </c>
      <c r="F7539" s="3" t="inlineStr">
        <is>
          <t>오송읍</t>
        </is>
      </c>
      <c r="G7539" s="3" t="inlineStr">
        <is>
          <t>봉산리</t>
        </is>
      </c>
      <c r="H7539" s="3" t="inlineStr">
        <is>
          <t>제1종일반주거지역</t>
        </is>
      </c>
      <c r="I7539" s="3" t="inlineStr">
        <is>
          <t>대</t>
        </is>
      </c>
      <c r="J7539" s="3" t="inlineStr">
        <is>
          <t>오송읍</t>
        </is>
      </c>
    </row>
    <row r="7540">
      <c r="A7540" s="3" t="n">
        <v>2022</v>
      </c>
      <c r="B7540" s="4" t="n">
        <v>43900</v>
      </c>
      <c r="C7540" s="4" t="n">
        <v>4651</v>
      </c>
      <c r="D7540" s="4" t="n">
        <v>1406.9275</v>
      </c>
      <c r="E7540" s="5" t="n">
        <v>31.2</v>
      </c>
      <c r="F7540" s="3" t="inlineStr">
        <is>
          <t>강내면</t>
        </is>
      </c>
      <c r="G7540" s="3" t="inlineStr">
        <is>
          <t>저산리</t>
        </is>
      </c>
      <c r="H7540" s="3" t="inlineStr">
        <is>
          <t>보전관리지역</t>
        </is>
      </c>
      <c r="I7540" s="3" t="inlineStr">
        <is>
          <t>임야</t>
        </is>
      </c>
      <c r="J7540" s="3" t="inlineStr">
        <is>
          <t>강내면</t>
        </is>
      </c>
    </row>
    <row r="7541">
      <c r="A7541" s="3" t="n">
        <v>2022</v>
      </c>
      <c r="B7541" s="4" t="n">
        <v>2900</v>
      </c>
      <c r="C7541" s="4" t="n">
        <v>309</v>
      </c>
      <c r="D7541" s="4" t="n">
        <v>93.4725</v>
      </c>
      <c r="E7541" s="5" t="n">
        <v>31</v>
      </c>
      <c r="F7541" s="3" t="inlineStr">
        <is>
          <t>강내면</t>
        </is>
      </c>
      <c r="G7541" s="3" t="inlineStr">
        <is>
          <t>저산리</t>
        </is>
      </c>
      <c r="H7541" s="3" t="inlineStr">
        <is>
          <t>보전관리지역</t>
        </is>
      </c>
      <c r="I7541" s="3" t="inlineStr">
        <is>
          <t>임야</t>
        </is>
      </c>
      <c r="J7541" s="3" t="inlineStr">
        <is>
          <t>강내면</t>
        </is>
      </c>
    </row>
    <row r="7542">
      <c r="A7542" s="3" t="n">
        <v>2022</v>
      </c>
      <c r="B7542" s="4" t="n">
        <v>1200</v>
      </c>
      <c r="C7542" s="4" t="n">
        <v>616</v>
      </c>
      <c r="D7542" s="4" t="n">
        <v>186.34</v>
      </c>
      <c r="E7542" s="5" t="n">
        <v>6.4</v>
      </c>
      <c r="F7542" s="3" t="inlineStr">
        <is>
          <t>강내면</t>
        </is>
      </c>
      <c r="G7542" s="3" t="inlineStr">
        <is>
          <t>저산리</t>
        </is>
      </c>
      <c r="H7542" s="3" t="inlineStr">
        <is>
          <t>보전관리지역</t>
        </is>
      </c>
      <c r="I7542" s="3" t="inlineStr">
        <is>
          <t>임야</t>
        </is>
      </c>
      <c r="J7542" s="3" t="inlineStr">
        <is>
          <t>강내면</t>
        </is>
      </c>
    </row>
    <row r="7543">
      <c r="A7543" s="3" t="n">
        <v>2023</v>
      </c>
      <c r="B7543" s="4" t="n">
        <v>16000</v>
      </c>
      <c r="C7543" s="4" t="n">
        <v>1028</v>
      </c>
      <c r="D7543" s="4" t="n">
        <v>310.97</v>
      </c>
      <c r="E7543" s="5" t="n">
        <v>51.5</v>
      </c>
      <c r="F7543" s="3" t="inlineStr">
        <is>
          <t>남이면</t>
        </is>
      </c>
      <c r="G7543" s="3" t="inlineStr">
        <is>
          <t>외천리</t>
        </is>
      </c>
      <c r="H7543" s="3" t="inlineStr">
        <is>
          <t>생산관리지역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30000</v>
      </c>
      <c r="C7544" s="4" t="n">
        <v>1653</v>
      </c>
      <c r="D7544" s="4" t="n">
        <v>500.0325</v>
      </c>
      <c r="E7544" s="5" t="n">
        <v>60</v>
      </c>
      <c r="F7544" s="3" t="inlineStr">
        <is>
          <t>남이면</t>
        </is>
      </c>
      <c r="G7544" s="3" t="inlineStr">
        <is>
          <t>대련리</t>
        </is>
      </c>
      <c r="H7544" s="3" t="inlineStr">
        <is>
          <t>자연녹지지역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1380</v>
      </c>
      <c r="C7545" s="4" t="n">
        <v>456</v>
      </c>
      <c r="D7545" s="4" t="n">
        <v>137.94</v>
      </c>
      <c r="E7545" s="5" t="n">
        <v>10</v>
      </c>
      <c r="F7545" s="3" t="inlineStr">
        <is>
          <t>남이면</t>
        </is>
      </c>
      <c r="G7545" s="3" t="inlineStr">
        <is>
          <t>대련리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10000</v>
      </c>
      <c r="C7546" s="4" t="n">
        <v>1296</v>
      </c>
      <c r="D7546" s="4" t="n">
        <v>392.04</v>
      </c>
      <c r="E7546" s="5" t="n">
        <v>25.5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계획관리지역</t>
        </is>
      </c>
      <c r="I7546" s="3" t="inlineStr">
        <is>
          <t>전</t>
        </is>
      </c>
      <c r="J7546" s="3" t="inlineStr">
        <is>
          <t>남이면</t>
        </is>
      </c>
    </row>
    <row r="7547">
      <c r="A7547" s="3" t="n">
        <v>2023</v>
      </c>
      <c r="B7547" s="4" t="n">
        <v>30000</v>
      </c>
      <c r="C7547" s="4" t="n">
        <v>3967</v>
      </c>
      <c r="D7547" s="4" t="n">
        <v>1200.0175</v>
      </c>
      <c r="E7547" s="5" t="n">
        <v>25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생산관리지역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13800</v>
      </c>
      <c r="C7548" s="4" t="n">
        <v>1993</v>
      </c>
      <c r="D7548" s="4" t="n">
        <v>602.8824999999999</v>
      </c>
      <c r="E7548" s="5" t="n">
        <v>22.9</v>
      </c>
      <c r="F7548" s="3" t="inlineStr">
        <is>
          <t>현도면</t>
        </is>
      </c>
      <c r="G7548" s="3" t="inlineStr">
        <is>
          <t>죽전리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현도면</t>
        </is>
      </c>
    </row>
    <row r="7549">
      <c r="A7549" s="3" t="n">
        <v>2023</v>
      </c>
      <c r="B7549" s="4" t="n">
        <v>14200</v>
      </c>
      <c r="C7549" s="4" t="n">
        <v>2043</v>
      </c>
      <c r="D7549" s="4" t="n">
        <v>618.0074999999999</v>
      </c>
      <c r="E7549" s="5" t="n">
        <v>23</v>
      </c>
      <c r="F7549" s="3" t="inlineStr">
        <is>
          <t>현도면</t>
        </is>
      </c>
      <c r="G7549" s="3" t="inlineStr">
        <is>
          <t>중척리</t>
        </is>
      </c>
      <c r="H7549" s="3" t="inlineStr">
        <is>
          <t>개발제한구역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1443</v>
      </c>
      <c r="C7550" s="4" t="n">
        <v>115</v>
      </c>
      <c r="D7550" s="4" t="n">
        <v>34.7875</v>
      </c>
      <c r="E7550" s="5" t="n">
        <v>41.5</v>
      </c>
      <c r="F7550" s="3" t="inlineStr">
        <is>
          <t>남이면</t>
        </is>
      </c>
      <c r="G7550" s="3" t="inlineStr">
        <is>
          <t>양촌리</t>
        </is>
      </c>
      <c r="H7550" s="3" t="inlineStr">
        <is>
          <t>자연녹지지역</t>
        </is>
      </c>
      <c r="I7550" s="3" t="inlineStr">
        <is>
          <t>전</t>
        </is>
      </c>
      <c r="J7550" s="3" t="inlineStr">
        <is>
          <t>남이면</t>
        </is>
      </c>
    </row>
    <row r="7551">
      <c r="A7551" s="3" t="n">
        <v>2023</v>
      </c>
      <c r="B7551" s="4" t="n">
        <v>577</v>
      </c>
      <c r="C7551" s="4" t="n">
        <v>46</v>
      </c>
      <c r="D7551" s="4" t="n">
        <v>13.915</v>
      </c>
      <c r="E7551" s="5" t="n">
        <v>41.5</v>
      </c>
      <c r="F7551" s="3" t="inlineStr">
        <is>
          <t>남이면</t>
        </is>
      </c>
      <c r="G7551" s="3" t="inlineStr">
        <is>
          <t>양촌리</t>
        </is>
      </c>
      <c r="H7551" s="3" t="inlineStr">
        <is>
          <t>자연녹지지역</t>
        </is>
      </c>
      <c r="I7551" s="3" t="inlineStr">
        <is>
          <t>답</t>
        </is>
      </c>
      <c r="J7551" s="3" t="inlineStr">
        <is>
          <t>남이면</t>
        </is>
      </c>
    </row>
    <row r="7552">
      <c r="A7552" s="3" t="n">
        <v>2023</v>
      </c>
      <c r="B7552" s="4" t="n">
        <v>3400</v>
      </c>
      <c r="C7552" s="4" t="n">
        <v>112</v>
      </c>
      <c r="D7552" s="4" t="n">
        <v>33.88</v>
      </c>
      <c r="E7552" s="5" t="n">
        <v>100.4</v>
      </c>
      <c r="F7552" s="3" t="inlineStr">
        <is>
          <t>현도면</t>
        </is>
      </c>
      <c r="G7552" s="3" t="inlineStr">
        <is>
          <t>하석리</t>
        </is>
      </c>
      <c r="H7552" s="3" t="inlineStr">
        <is>
          <t>자연녹지지역</t>
        </is>
      </c>
      <c r="I7552" s="3" t="inlineStr">
        <is>
          <t>대</t>
        </is>
      </c>
      <c r="J7552" s="3" t="inlineStr">
        <is>
          <t>현도면</t>
        </is>
      </c>
    </row>
    <row r="7553">
      <c r="A7553" s="3" t="n">
        <v>2023</v>
      </c>
      <c r="B7553" s="4" t="n">
        <v>7198</v>
      </c>
      <c r="C7553" s="4" t="n">
        <v>595</v>
      </c>
      <c r="D7553" s="4" t="n">
        <v>179.9875</v>
      </c>
      <c r="E7553" s="5" t="n">
        <v>40</v>
      </c>
      <c r="F7553" s="3" t="inlineStr">
        <is>
          <t>남이면</t>
        </is>
      </c>
      <c r="G7553" s="3" t="inlineStr">
        <is>
          <t>양촌리</t>
        </is>
      </c>
      <c r="H7553" s="3" t="inlineStr">
        <is>
          <t>자연녹지지역</t>
        </is>
      </c>
      <c r="I7553" s="3" t="inlineStr">
        <is>
          <t>전</t>
        </is>
      </c>
      <c r="J7553" s="3" t="inlineStr">
        <is>
          <t>남이면</t>
        </is>
      </c>
    </row>
    <row r="7554">
      <c r="A7554" s="3" t="n">
        <v>2023</v>
      </c>
      <c r="B7554" s="4" t="n">
        <v>1875</v>
      </c>
      <c r="C7554" s="4" t="n">
        <v>155</v>
      </c>
      <c r="D7554" s="4" t="n">
        <v>46.8875</v>
      </c>
      <c r="E7554" s="5" t="n">
        <v>40</v>
      </c>
      <c r="F7554" s="3" t="inlineStr">
        <is>
          <t>남이면</t>
        </is>
      </c>
      <c r="G7554" s="3" t="inlineStr">
        <is>
          <t>양촌리</t>
        </is>
      </c>
      <c r="H7554" s="3" t="inlineStr">
        <is>
          <t>자연녹지지역</t>
        </is>
      </c>
      <c r="I7554" s="3" t="inlineStr">
        <is>
          <t>전</t>
        </is>
      </c>
      <c r="J7554" s="3" t="inlineStr">
        <is>
          <t>남이면</t>
        </is>
      </c>
    </row>
    <row r="7555">
      <c r="A7555" s="3" t="n">
        <v>2023</v>
      </c>
      <c r="B7555" s="4" t="n">
        <v>1597</v>
      </c>
      <c r="C7555" s="4" t="n">
        <v>132</v>
      </c>
      <c r="D7555" s="4" t="n">
        <v>39.93</v>
      </c>
      <c r="E7555" s="5" t="n">
        <v>40</v>
      </c>
      <c r="F7555" s="3" t="inlineStr">
        <is>
          <t>남이면</t>
        </is>
      </c>
      <c r="G7555" s="3" t="inlineStr">
        <is>
          <t>양촌리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남이면</t>
        </is>
      </c>
    </row>
    <row r="7556">
      <c r="A7556" s="3" t="n">
        <v>2023</v>
      </c>
      <c r="B7556" s="4" t="n">
        <v>10077</v>
      </c>
      <c r="C7556" s="4" t="n">
        <v>833</v>
      </c>
      <c r="D7556" s="4" t="n">
        <v>251.9825</v>
      </c>
      <c r="E7556" s="5" t="n">
        <v>40</v>
      </c>
      <c r="F7556" s="3" t="inlineStr">
        <is>
          <t>남이면</t>
        </is>
      </c>
      <c r="G7556" s="3" t="inlineStr">
        <is>
          <t>양촌리</t>
        </is>
      </c>
      <c r="H7556" s="3" t="inlineStr">
        <is>
          <t>자연녹지지역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2023</v>
      </c>
      <c r="B7557" s="4" t="n">
        <v>5400</v>
      </c>
      <c r="C7557" s="4" t="n">
        <v>3592</v>
      </c>
      <c r="D7557" s="4" t="n">
        <v>1086.58</v>
      </c>
      <c r="E7557" s="5" t="n">
        <v>5</v>
      </c>
      <c r="F7557" s="3" t="inlineStr">
        <is>
          <t>현도면</t>
        </is>
      </c>
      <c r="G7557" s="3" t="inlineStr">
        <is>
          <t>매봉리</t>
        </is>
      </c>
      <c r="H7557" s="3" t="inlineStr">
        <is>
          <t>개발제한구역</t>
        </is>
      </c>
      <c r="I7557" s="3" t="inlineStr">
        <is>
          <t>임야</t>
        </is>
      </c>
      <c r="J7557" s="3" t="inlineStr">
        <is>
          <t>현도면</t>
        </is>
      </c>
    </row>
    <row r="7558">
      <c r="A7558" s="3" t="n">
        <v>2023</v>
      </c>
      <c r="B7558" s="4" t="n">
        <v>6600</v>
      </c>
      <c r="C7558" s="4" t="n">
        <v>1816</v>
      </c>
      <c r="D7558" s="4" t="n">
        <v>549.34</v>
      </c>
      <c r="E7558" s="5" t="n">
        <v>12</v>
      </c>
      <c r="F7558" s="3" t="inlineStr">
        <is>
          <t>남이면</t>
        </is>
      </c>
      <c r="G7558" s="3" t="inlineStr">
        <is>
          <t>문동리</t>
        </is>
      </c>
      <c r="H7558" s="3" t="inlineStr">
        <is>
          <t>자연환경보전</t>
        </is>
      </c>
      <c r="I7558" s="3" t="inlineStr">
        <is>
          <t>전</t>
        </is>
      </c>
      <c r="J7558" s="3" t="inlineStr">
        <is>
          <t>남이면</t>
        </is>
      </c>
    </row>
    <row r="7559">
      <c r="A7559" s="3" t="n">
        <v>2023</v>
      </c>
      <c r="B7559" s="4" t="n">
        <v>2100</v>
      </c>
      <c r="C7559" s="4" t="n">
        <v>1380</v>
      </c>
      <c r="D7559" s="4" t="n">
        <v>417.45</v>
      </c>
      <c r="E7559" s="5" t="n">
        <v>5</v>
      </c>
      <c r="F7559" s="3" t="inlineStr">
        <is>
          <t>현도면</t>
        </is>
      </c>
      <c r="G7559" s="3" t="inlineStr">
        <is>
          <t>매봉리</t>
        </is>
      </c>
      <c r="H7559" s="3" t="inlineStr">
        <is>
          <t>개발제한구역</t>
        </is>
      </c>
      <c r="I7559" s="3" t="inlineStr">
        <is>
          <t>임야</t>
        </is>
      </c>
      <c r="J7559" s="3" t="inlineStr">
        <is>
          <t>현도면</t>
        </is>
      </c>
    </row>
    <row r="7560">
      <c r="A7560" s="3" t="n">
        <v>2023</v>
      </c>
      <c r="B7560" s="4" t="n">
        <v>3500</v>
      </c>
      <c r="C7560" s="4" t="n">
        <v>579</v>
      </c>
      <c r="D7560" s="4" t="n">
        <v>175.1475</v>
      </c>
      <c r="E7560" s="5" t="n">
        <v>20</v>
      </c>
      <c r="F7560" s="3" t="inlineStr">
        <is>
          <t>현도면</t>
        </is>
      </c>
      <c r="G7560" s="3" t="inlineStr">
        <is>
          <t>선동리</t>
        </is>
      </c>
      <c r="H7560" s="3" t="inlineStr">
        <is>
          <t>개발제한구역</t>
        </is>
      </c>
      <c r="I7560" s="3" t="inlineStr">
        <is>
          <t>답</t>
        </is>
      </c>
      <c r="J7560" s="3" t="inlineStr">
        <is>
          <t>현도면</t>
        </is>
      </c>
    </row>
    <row r="7561">
      <c r="A7561" s="3" t="n">
        <v>2026</v>
      </c>
      <c r="B7561" s="4" t="n">
        <v>16000</v>
      </c>
      <c r="C7561" s="4" t="n">
        <v>1388</v>
      </c>
      <c r="D7561" s="4" t="n">
        <v>419.87</v>
      </c>
      <c r="E7561" s="5" t="n">
        <v>38.1</v>
      </c>
      <c r="F7561" s="3" t="inlineStr">
        <is>
          <t>남이면</t>
        </is>
      </c>
      <c r="G7561" s="3" t="inlineStr">
        <is>
          <t>사동리</t>
        </is>
      </c>
      <c r="H7561" s="3" t="inlineStr">
        <is>
          <t>보전관리지역</t>
        </is>
      </c>
      <c r="I7561" s="3" t="inlineStr">
        <is>
          <t>임야</t>
        </is>
      </c>
      <c r="J7561" s="3" t="inlineStr">
        <is>
          <t>남이면</t>
        </is>
      </c>
    </row>
    <row r="7562">
      <c r="A7562" s="3" t="n">
        <v>2025</v>
      </c>
      <c r="B7562" s="4" t="n">
        <v>2000</v>
      </c>
      <c r="C7562" s="4" t="n">
        <v>106</v>
      </c>
      <c r="D7562" s="4" t="n">
        <v>32.065</v>
      </c>
      <c r="E7562" s="5" t="n">
        <v>62.4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생산관리지역</t>
        </is>
      </c>
      <c r="I7562" s="3" t="inlineStr">
        <is>
          <t>전</t>
        </is>
      </c>
      <c r="J7562" s="3" t="inlineStr">
        <is>
          <t>오송읍</t>
        </is>
      </c>
    </row>
    <row r="7563">
      <c r="A7563" s="3" t="n">
        <v>2026</v>
      </c>
      <c r="B7563" s="4" t="n">
        <v>25000</v>
      </c>
      <c r="C7563" s="4" t="n">
        <v>568</v>
      </c>
      <c r="D7563" s="4" t="n">
        <v>171.82</v>
      </c>
      <c r="E7563" s="5" t="n">
        <v>145.5</v>
      </c>
      <c r="F7563" s="3" t="inlineStr">
        <is>
          <t>강내면</t>
        </is>
      </c>
      <c r="G7563" s="3" t="inlineStr">
        <is>
          <t>학천리</t>
        </is>
      </c>
      <c r="H7563" s="3" t="inlineStr">
        <is>
          <t>생산녹지지역</t>
        </is>
      </c>
      <c r="I7563" s="3" t="inlineStr">
        <is>
          <t>전</t>
        </is>
      </c>
      <c r="J7563" s="3" t="inlineStr">
        <is>
          <t>강내면</t>
        </is>
      </c>
    </row>
    <row r="7564">
      <c r="A7564" s="3" t="n">
        <v>2026</v>
      </c>
      <c r="B7564" s="4" t="n">
        <v>20000</v>
      </c>
      <c r="C7564" s="4" t="n">
        <v>1831</v>
      </c>
      <c r="D7564" s="4" t="n">
        <v>553.8774999999999</v>
      </c>
      <c r="E7564" s="5" t="n">
        <v>36.1</v>
      </c>
      <c r="F7564" s="3" t="inlineStr">
        <is>
          <t>강내면</t>
        </is>
      </c>
      <c r="G7564" s="3" t="inlineStr">
        <is>
          <t>월곡리</t>
        </is>
      </c>
      <c r="H7564" s="3" t="inlineStr">
        <is>
          <t>보전녹지지역</t>
        </is>
      </c>
      <c r="I7564" s="3" t="inlineStr">
        <is>
          <t>전</t>
        </is>
      </c>
      <c r="J7564" s="3" t="inlineStr">
        <is>
          <t>강내면</t>
        </is>
      </c>
    </row>
    <row r="7565">
      <c r="A7565" s="3" t="n">
        <v>2026</v>
      </c>
      <c r="B7565" s="4" t="n">
        <v>21702</v>
      </c>
      <c r="C7565" s="4" t="n">
        <v>444.1</v>
      </c>
      <c r="D7565" s="4" t="n">
        <v>134.34025</v>
      </c>
      <c r="E7565" s="5" t="n">
        <v>161.5</v>
      </c>
      <c r="F7565" s="3" t="inlineStr">
        <is>
          <t>강내면</t>
        </is>
      </c>
      <c r="G7565" s="3" t="inlineStr">
        <is>
          <t>사곡리</t>
        </is>
      </c>
      <c r="H7565" s="3" t="inlineStr">
        <is>
          <t>보전관리지역</t>
        </is>
      </c>
      <c r="I7565" s="3" t="inlineStr">
        <is>
          <t>대</t>
        </is>
      </c>
      <c r="J7565" s="3" t="inlineStr">
        <is>
          <t>강내면</t>
        </is>
      </c>
    </row>
    <row r="7566">
      <c r="A7566" s="3" t="n">
        <v>2026</v>
      </c>
      <c r="B7566" s="4" t="n">
        <v>2194741</v>
      </c>
      <c r="C7566" s="4" t="n">
        <v>66942</v>
      </c>
      <c r="D7566" s="4" t="n">
        <v>20249.955</v>
      </c>
      <c r="E7566" s="5" t="n">
        <v>108.4</v>
      </c>
      <c r="F7566" s="3" t="inlineStr">
        <is>
          <t>오송읍</t>
        </is>
      </c>
      <c r="G7566" s="3" t="inlineStr">
        <is>
          <t>공북리</t>
        </is>
      </c>
      <c r="H7566" s="3" t="inlineStr">
        <is>
          <t>계획관리지역</t>
        </is>
      </c>
      <c r="I7566" s="3" t="inlineStr">
        <is>
          <t>체육용지</t>
        </is>
      </c>
      <c r="J7566" s="3" t="inlineStr">
        <is>
          <t>오송읍</t>
        </is>
      </c>
    </row>
    <row r="7567">
      <c r="A7567" s="3" t="n">
        <v>2024</v>
      </c>
      <c r="B7567" s="4" t="n">
        <v>23257</v>
      </c>
      <c r="C7567" s="4" t="n">
        <v>615</v>
      </c>
      <c r="D7567" s="4" t="n">
        <v>186.0375</v>
      </c>
      <c r="E7567" s="5" t="n">
        <v>125</v>
      </c>
      <c r="F7567" s="3" t="inlineStr">
        <is>
          <t>현도면</t>
        </is>
      </c>
      <c r="G7567" s="3" t="inlineStr">
        <is>
          <t>중삼리</t>
        </is>
      </c>
      <c r="H7567" s="3" t="inlineStr">
        <is>
          <t>계획관리지역</t>
        </is>
      </c>
      <c r="I7567" s="3" t="inlineStr">
        <is>
          <t>전</t>
        </is>
      </c>
      <c r="J7567" s="3" t="inlineStr">
        <is>
          <t>현도면</t>
        </is>
      </c>
    </row>
    <row r="7568">
      <c r="A7568" s="3" t="n">
        <v>2024</v>
      </c>
      <c r="B7568" s="4" t="n">
        <v>10740</v>
      </c>
      <c r="C7568" s="4" t="n">
        <v>284</v>
      </c>
      <c r="D7568" s="4" t="n">
        <v>85.91</v>
      </c>
      <c r="E7568" s="5" t="n">
        <v>125</v>
      </c>
      <c r="F7568" s="3" t="inlineStr">
        <is>
          <t>현도면</t>
        </is>
      </c>
      <c r="G7568" s="3" t="inlineStr">
        <is>
          <t>중삼리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현도면</t>
        </is>
      </c>
    </row>
    <row r="7569">
      <c r="A7569" s="3" t="n">
        <v>2024</v>
      </c>
      <c r="B7569" s="4" t="n">
        <v>6664</v>
      </c>
      <c r="C7569" s="4" t="n">
        <v>187</v>
      </c>
      <c r="D7569" s="4" t="n">
        <v>56.5675</v>
      </c>
      <c r="E7569" s="5" t="n">
        <v>117.8</v>
      </c>
      <c r="F7569" s="3" t="inlineStr">
        <is>
          <t>현도면</t>
        </is>
      </c>
      <c r="G7569" s="3" t="inlineStr">
        <is>
          <t>중삼리</t>
        </is>
      </c>
      <c r="H7569" s="3" t="inlineStr">
        <is>
          <t>계획관리지역</t>
        </is>
      </c>
      <c r="I7569" s="3" t="inlineStr">
        <is>
          <t>전</t>
        </is>
      </c>
      <c r="J7569" s="3" t="inlineStr">
        <is>
          <t>현도면</t>
        </is>
      </c>
    </row>
    <row r="7570">
      <c r="A7570" s="3" t="n">
        <v>2024</v>
      </c>
      <c r="B7570" s="4" t="n">
        <v>3842</v>
      </c>
      <c r="C7570" s="4" t="n">
        <v>116</v>
      </c>
      <c r="D7570" s="4" t="n">
        <v>35.09</v>
      </c>
      <c r="E7570" s="5" t="n">
        <v>109.5</v>
      </c>
      <c r="F7570" s="3" t="inlineStr">
        <is>
          <t>현도면</t>
        </is>
      </c>
      <c r="G7570" s="3" t="inlineStr">
        <is>
          <t>중삼리</t>
        </is>
      </c>
      <c r="H7570" s="3" t="inlineStr">
        <is>
          <t>계획관리지역</t>
        </is>
      </c>
      <c r="I7570" s="3" t="inlineStr">
        <is>
          <t>전</t>
        </is>
      </c>
      <c r="J7570" s="3" t="inlineStr">
        <is>
          <t>현도면</t>
        </is>
      </c>
    </row>
    <row r="7571">
      <c r="A7571" s="3" t="n">
        <v>2024</v>
      </c>
      <c r="B7571" s="4" t="n">
        <v>17493</v>
      </c>
      <c r="C7571" s="4" t="n">
        <v>1611</v>
      </c>
      <c r="D7571" s="4" t="n">
        <v>487.3275</v>
      </c>
      <c r="E7571" s="5" t="n">
        <v>35.9</v>
      </c>
      <c r="F7571" s="3" t="inlineStr">
        <is>
          <t>현도면</t>
        </is>
      </c>
      <c r="G7571" s="3" t="inlineStr">
        <is>
          <t>중삼리</t>
        </is>
      </c>
      <c r="H7571" s="3" t="inlineStr">
        <is>
          <t>계획관리지역</t>
        </is>
      </c>
      <c r="I7571" s="3" t="inlineStr">
        <is>
          <t>임야</t>
        </is>
      </c>
      <c r="J7571" s="3" t="inlineStr">
        <is>
          <t>현도면</t>
        </is>
      </c>
    </row>
    <row r="7572">
      <c r="A7572" s="3" t="n">
        <v>2024</v>
      </c>
      <c r="B7572" s="4" t="n">
        <v>3033</v>
      </c>
      <c r="C7572" s="4" t="n">
        <v>280</v>
      </c>
      <c r="D7572" s="4" t="n">
        <v>84.7</v>
      </c>
      <c r="E7572" s="5" t="n">
        <v>35.8</v>
      </c>
      <c r="F7572" s="3" t="inlineStr">
        <is>
          <t>현도면</t>
        </is>
      </c>
      <c r="G7572" s="3" t="inlineStr">
        <is>
          <t>중삼리</t>
        </is>
      </c>
      <c r="H7572" s="3" t="inlineStr">
        <is>
          <t>계획관리지역</t>
        </is>
      </c>
      <c r="I7572" s="3" t="inlineStr">
        <is>
          <t>임야</t>
        </is>
      </c>
      <c r="J7572" s="3" t="inlineStr">
        <is>
          <t>현도면</t>
        </is>
      </c>
    </row>
    <row r="7573">
      <c r="A7573" s="3" t="n">
        <v>2024</v>
      </c>
      <c r="B7573" s="4" t="n">
        <v>29000</v>
      </c>
      <c r="C7573" s="4" t="n">
        <v>653</v>
      </c>
      <c r="D7573" s="4" t="n">
        <v>197.5325</v>
      </c>
      <c r="E7573" s="5" t="n">
        <v>146.8</v>
      </c>
      <c r="F7573" s="3" t="inlineStr">
        <is>
          <t>현도면</t>
        </is>
      </c>
      <c r="G7573" s="3" t="inlineStr">
        <is>
          <t>우록리</t>
        </is>
      </c>
      <c r="H7573" s="3" t="inlineStr">
        <is>
          <t>계획관리지역</t>
        </is>
      </c>
      <c r="I7573" s="3" t="inlineStr">
        <is>
          <t>답</t>
        </is>
      </c>
      <c r="J7573" s="3" t="inlineStr">
        <is>
          <t>현도면</t>
        </is>
      </c>
    </row>
    <row r="7574">
      <c r="A7574" s="3" t="n">
        <v>2024</v>
      </c>
      <c r="B7574" s="4" t="n">
        <v>8175</v>
      </c>
      <c r="C7574" s="4" t="n">
        <v>182</v>
      </c>
      <c r="D7574" s="4" t="n">
        <v>55.055</v>
      </c>
      <c r="E7574" s="5" t="n">
        <v>148.5</v>
      </c>
      <c r="F7574" s="3" t="inlineStr">
        <is>
          <t>현도면</t>
        </is>
      </c>
      <c r="G7574" s="3" t="inlineStr">
        <is>
          <t>우록리</t>
        </is>
      </c>
      <c r="H7574" s="3" t="inlineStr">
        <is>
          <t>계획관리지역</t>
        </is>
      </c>
      <c r="I7574" s="3" t="inlineStr">
        <is>
          <t>답</t>
        </is>
      </c>
      <c r="J7574" s="3" t="inlineStr">
        <is>
          <t>현도면</t>
        </is>
      </c>
    </row>
    <row r="7575">
      <c r="A7575" s="3" t="n">
        <v>2024</v>
      </c>
      <c r="B7575" s="4" t="n">
        <v>2625</v>
      </c>
      <c r="C7575" s="4" t="n">
        <v>43</v>
      </c>
      <c r="D7575" s="4" t="n">
        <v>13.0075</v>
      </c>
      <c r="E7575" s="5" t="n">
        <v>201.8</v>
      </c>
      <c r="F7575" s="3" t="inlineStr">
        <is>
          <t>현도면</t>
        </is>
      </c>
      <c r="G7575" s="3" t="inlineStr">
        <is>
          <t>우록리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현도면</t>
        </is>
      </c>
    </row>
    <row r="7576">
      <c r="A7576" s="3" t="n">
        <v>2024</v>
      </c>
      <c r="B7576" s="4" t="n">
        <v>8200</v>
      </c>
      <c r="C7576" s="4" t="n">
        <v>1871</v>
      </c>
      <c r="D7576" s="4" t="n">
        <v>565.9775</v>
      </c>
      <c r="E7576" s="5" t="n">
        <v>14.5</v>
      </c>
      <c r="F7576" s="3" t="inlineStr">
        <is>
          <t>현도면</t>
        </is>
      </c>
      <c r="G7576" s="3" t="inlineStr">
        <is>
          <t>우록리</t>
        </is>
      </c>
      <c r="H7576" s="3" t="inlineStr">
        <is>
          <t>보전관리지역</t>
        </is>
      </c>
      <c r="I7576" s="3" t="inlineStr">
        <is>
          <t>전</t>
        </is>
      </c>
      <c r="J7576" s="3" t="inlineStr">
        <is>
          <t>현도면</t>
        </is>
      </c>
    </row>
    <row r="7577">
      <c r="A7577" s="3" t="n">
        <v>2024</v>
      </c>
      <c r="B7577" s="4" t="n">
        <v>1100</v>
      </c>
      <c r="C7577" s="4" t="n">
        <v>255</v>
      </c>
      <c r="D7577" s="4" t="n">
        <v>77.1375</v>
      </c>
      <c r="E7577" s="5" t="n">
        <v>14.3</v>
      </c>
      <c r="F7577" s="3" t="inlineStr">
        <is>
          <t>현도면</t>
        </is>
      </c>
      <c r="G7577" s="3" t="inlineStr">
        <is>
          <t>우록리</t>
        </is>
      </c>
      <c r="H7577" s="3" t="inlineStr">
        <is>
          <t>보전관리지역</t>
        </is>
      </c>
      <c r="I7577" s="3" t="inlineStr">
        <is>
          <t>전</t>
        </is>
      </c>
      <c r="J7577" s="3" t="inlineStr">
        <is>
          <t>현도면</t>
        </is>
      </c>
    </row>
    <row r="7578">
      <c r="A7578" s="3" t="n">
        <v>2024</v>
      </c>
      <c r="B7578" s="4" t="n">
        <v>44000</v>
      </c>
      <c r="C7578" s="4" t="n">
        <v>1257</v>
      </c>
      <c r="D7578" s="4" t="n">
        <v>380.2425</v>
      </c>
      <c r="E7578" s="5" t="n">
        <v>115.7</v>
      </c>
      <c r="F7578" s="3" t="inlineStr">
        <is>
          <t>현도면</t>
        </is>
      </c>
      <c r="G7578" s="3" t="inlineStr">
        <is>
          <t>우록리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2024</v>
      </c>
      <c r="B7579" s="4" t="n">
        <v>475</v>
      </c>
      <c r="C7579" s="4" t="n">
        <v>112</v>
      </c>
      <c r="D7579" s="4" t="n">
        <v>33.88</v>
      </c>
      <c r="E7579" s="5" t="n">
        <v>14</v>
      </c>
      <c r="F7579" s="3" t="inlineStr">
        <is>
          <t>현도면</t>
        </is>
      </c>
      <c r="G7579" s="3" t="inlineStr">
        <is>
          <t>노산리</t>
        </is>
      </c>
      <c r="H7579" s="3" t="inlineStr">
        <is>
          <t>자연녹지지역</t>
        </is>
      </c>
      <c r="I7579" s="3" t="inlineStr">
        <is>
          <t>임야</t>
        </is>
      </c>
      <c r="J7579" s="3" t="inlineStr">
        <is>
          <t>현도면</t>
        </is>
      </c>
    </row>
    <row r="7580">
      <c r="A7580" s="3" t="n">
        <v>2024</v>
      </c>
      <c r="B7580" s="4" t="n">
        <v>1125</v>
      </c>
      <c r="C7580" s="4" t="n">
        <v>152</v>
      </c>
      <c r="D7580" s="4" t="n">
        <v>45.98</v>
      </c>
      <c r="E7580" s="5" t="n">
        <v>24.5</v>
      </c>
      <c r="F7580" s="3" t="inlineStr">
        <is>
          <t>현도면</t>
        </is>
      </c>
      <c r="G7580" s="3" t="inlineStr">
        <is>
          <t>노산리</t>
        </is>
      </c>
      <c r="H7580" s="3" t="inlineStr">
        <is>
          <t>자연녹지지역</t>
        </is>
      </c>
      <c r="I7580" s="3" t="inlineStr">
        <is>
          <t>전</t>
        </is>
      </c>
      <c r="J7580" s="3" t="inlineStr">
        <is>
          <t>현도면</t>
        </is>
      </c>
    </row>
    <row r="7581">
      <c r="A7581" s="3" t="n">
        <v>2024</v>
      </c>
      <c r="B7581" s="4" t="n">
        <v>7800</v>
      </c>
      <c r="C7581" s="4" t="n">
        <v>469</v>
      </c>
      <c r="D7581" s="4" t="n">
        <v>141.8725</v>
      </c>
      <c r="E7581" s="5" t="n">
        <v>55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대</t>
        </is>
      </c>
      <c r="J7581" s="3" t="inlineStr">
        <is>
          <t>남이면</t>
        </is>
      </c>
    </row>
    <row r="7582">
      <c r="A7582" s="3" t="n">
        <v>2024</v>
      </c>
      <c r="B7582" s="4" t="n">
        <v>17800</v>
      </c>
      <c r="C7582" s="4" t="n">
        <v>588</v>
      </c>
      <c r="D7582" s="4" t="n">
        <v>177.87</v>
      </c>
      <c r="E7582" s="5" t="n">
        <v>100.1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전</t>
        </is>
      </c>
      <c r="J7582" s="3" t="inlineStr">
        <is>
          <t>남이면</t>
        </is>
      </c>
    </row>
    <row r="7583">
      <c r="A7583" s="3" t="n">
        <v>2024</v>
      </c>
      <c r="B7583" s="4" t="n">
        <v>400</v>
      </c>
      <c r="C7583" s="4" t="n">
        <v>44.9</v>
      </c>
      <c r="D7583" s="4" t="n">
        <v>13.58225</v>
      </c>
      <c r="E7583" s="5" t="n">
        <v>29.5</v>
      </c>
      <c r="F7583" s="3" t="inlineStr">
        <is>
          <t>남이면</t>
        </is>
      </c>
      <c r="G7583" s="3" t="inlineStr">
        <is>
          <t>대련리</t>
        </is>
      </c>
      <c r="H7583" s="3" t="inlineStr">
        <is>
          <t>자연녹지지역</t>
        </is>
      </c>
      <c r="I7583" s="3" t="inlineStr">
        <is>
          <t>전</t>
        </is>
      </c>
      <c r="J7583" s="3" t="inlineStr">
        <is>
          <t>남이면</t>
        </is>
      </c>
    </row>
    <row r="7584">
      <c r="A7584" s="3" t="n">
        <v>2024</v>
      </c>
      <c r="B7584" s="4" t="n">
        <v>15200</v>
      </c>
      <c r="C7584" s="4" t="n">
        <v>1630</v>
      </c>
      <c r="D7584" s="4" t="n">
        <v>493.075</v>
      </c>
      <c r="E7584" s="5" t="n">
        <v>30.8</v>
      </c>
      <c r="F7584" s="3" t="inlineStr">
        <is>
          <t>남이면</t>
        </is>
      </c>
      <c r="G7584" s="3" t="inlineStr">
        <is>
          <t>외천리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남이면</t>
        </is>
      </c>
    </row>
    <row r="7585">
      <c r="A7585" s="3" t="n">
        <v>2024</v>
      </c>
      <c r="B7585" s="4" t="n">
        <v>9200</v>
      </c>
      <c r="C7585" s="4" t="n">
        <v>469</v>
      </c>
      <c r="D7585" s="4" t="n">
        <v>141.8725</v>
      </c>
      <c r="E7585" s="5" t="n">
        <v>64.8</v>
      </c>
      <c r="F7585" s="3" t="inlineStr">
        <is>
          <t>남이면</t>
        </is>
      </c>
      <c r="G7585" s="3" t="inlineStr">
        <is>
          <t>외천리</t>
        </is>
      </c>
      <c r="H7585" s="3" t="inlineStr">
        <is>
          <t>보전관리지역</t>
        </is>
      </c>
      <c r="I7585" s="3" t="inlineStr">
        <is>
          <t>답</t>
        </is>
      </c>
      <c r="J7585" s="3" t="inlineStr">
        <is>
          <t>남이면</t>
        </is>
      </c>
    </row>
    <row r="7586">
      <c r="A7586" s="3" t="n">
        <v>2024</v>
      </c>
      <c r="B7586" s="4" t="n">
        <v>9069</v>
      </c>
      <c r="C7586" s="4" t="n">
        <v>192</v>
      </c>
      <c r="D7586" s="4" t="n">
        <v>58.08</v>
      </c>
      <c r="E7586" s="5" t="n">
        <v>156.1</v>
      </c>
      <c r="F7586" s="3" t="inlineStr">
        <is>
          <t>남이면</t>
        </is>
      </c>
      <c r="G7586" s="3" t="inlineStr">
        <is>
          <t>석판리</t>
        </is>
      </c>
      <c r="H7586" s="3" t="inlineStr">
        <is>
          <t>자연녹지지역</t>
        </is>
      </c>
      <c r="I7586" s="3" t="inlineStr">
        <is>
          <t>전</t>
        </is>
      </c>
      <c r="J7586" s="3" t="inlineStr">
        <is>
          <t>남이면</t>
        </is>
      </c>
    </row>
    <row r="7587">
      <c r="A7587" s="3" t="n">
        <v>2024</v>
      </c>
      <c r="B7587" s="4" t="n">
        <v>700</v>
      </c>
      <c r="C7587" s="4" t="n">
        <v>15</v>
      </c>
      <c r="D7587" s="4" t="n">
        <v>4.5375</v>
      </c>
      <c r="E7587" s="5" t="n">
        <v>154.3</v>
      </c>
      <c r="F7587" s="3" t="inlineStr">
        <is>
          <t>남이면</t>
        </is>
      </c>
      <c r="G7587" s="3" t="inlineStr">
        <is>
          <t>석판리</t>
        </is>
      </c>
      <c r="H7587" s="3" t="inlineStr">
        <is>
          <t>자연녹지지역</t>
        </is>
      </c>
      <c r="I7587" s="3" t="inlineStr">
        <is>
          <t>대</t>
        </is>
      </c>
      <c r="J7587" s="3" t="inlineStr">
        <is>
          <t>남이면</t>
        </is>
      </c>
    </row>
    <row r="7588">
      <c r="A7588" s="3" t="n">
        <v>2024</v>
      </c>
      <c r="B7588" s="4" t="n">
        <v>7335</v>
      </c>
      <c r="C7588" s="4" t="n">
        <v>481</v>
      </c>
      <c r="D7588" s="4" t="n">
        <v>145.5025</v>
      </c>
      <c r="E7588" s="5" t="n">
        <v>50.4</v>
      </c>
      <c r="F7588" s="3" t="inlineStr">
        <is>
          <t>남이면</t>
        </is>
      </c>
      <c r="G7588" s="3" t="inlineStr">
        <is>
          <t>부용외천리</t>
        </is>
      </c>
      <c r="H7588" s="3" t="inlineStr">
        <is>
          <t>계획관리지역</t>
        </is>
      </c>
      <c r="I7588" s="3" t="inlineStr">
        <is>
          <t>목장용지</t>
        </is>
      </c>
      <c r="J7588" s="3" t="inlineStr">
        <is>
          <t>남이면</t>
        </is>
      </c>
    </row>
    <row r="7589">
      <c r="A7589" s="3" t="n">
        <v>2024</v>
      </c>
      <c r="B7589" s="4" t="n">
        <v>9600</v>
      </c>
      <c r="C7589" s="4" t="n">
        <v>1098</v>
      </c>
      <c r="D7589" s="4" t="n">
        <v>332.145</v>
      </c>
      <c r="E7589" s="5" t="n">
        <v>28.9</v>
      </c>
      <c r="F7589" s="3" t="inlineStr">
        <is>
          <t>남이면</t>
        </is>
      </c>
      <c r="G7589" s="3" t="inlineStr">
        <is>
          <t>구암리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남이면</t>
        </is>
      </c>
    </row>
    <row r="7590">
      <c r="A7590" s="3" t="n">
        <v>2024</v>
      </c>
      <c r="B7590" s="4" t="n">
        <v>5721</v>
      </c>
      <c r="C7590" s="4" t="n">
        <v>139</v>
      </c>
      <c r="D7590" s="4" t="n">
        <v>42.0475</v>
      </c>
      <c r="E7590" s="5" t="n">
        <v>136.1</v>
      </c>
      <c r="F7590" s="3" t="inlineStr">
        <is>
          <t>현도면</t>
        </is>
      </c>
      <c r="G7590" s="3" t="inlineStr">
        <is>
          <t>달계리</t>
        </is>
      </c>
      <c r="H7590" s="3" t="inlineStr">
        <is>
          <t>제1종일반주거지역</t>
        </is>
      </c>
      <c r="I7590" s="3" t="inlineStr">
        <is>
          <t>전</t>
        </is>
      </c>
      <c r="J7590" s="3" t="inlineStr">
        <is>
          <t>현도면</t>
        </is>
      </c>
    </row>
    <row r="7591">
      <c r="A7591" s="3" t="n">
        <v>2024</v>
      </c>
      <c r="B7591" s="4" t="n">
        <v>3220</v>
      </c>
      <c r="C7591" s="4" t="n">
        <v>477</v>
      </c>
      <c r="D7591" s="4" t="n">
        <v>144.2925</v>
      </c>
      <c r="E7591" s="5" t="n">
        <v>22.3</v>
      </c>
      <c r="F7591" s="3" t="inlineStr">
        <is>
          <t>남이면</t>
        </is>
      </c>
      <c r="G7591" s="3" t="inlineStr">
        <is>
          <t>대련리</t>
        </is>
      </c>
      <c r="H7591" s="3" t="inlineStr">
        <is>
          <t>자연녹지지역</t>
        </is>
      </c>
      <c r="I7591" s="3" t="inlineStr">
        <is>
          <t>답</t>
        </is>
      </c>
      <c r="J7591" s="3" t="inlineStr">
        <is>
          <t>남이면</t>
        </is>
      </c>
    </row>
    <row r="7592">
      <c r="A7592" s="3" t="n">
        <v>2024</v>
      </c>
      <c r="B7592" s="4" t="n">
        <v>360</v>
      </c>
      <c r="C7592" s="4" t="n">
        <v>54</v>
      </c>
      <c r="D7592" s="4" t="n">
        <v>16.335</v>
      </c>
      <c r="E7592" s="5" t="n">
        <v>22</v>
      </c>
      <c r="F7592" s="3" t="inlineStr">
        <is>
          <t>남이면</t>
        </is>
      </c>
      <c r="G7592" s="3" t="inlineStr">
        <is>
          <t>대련리</t>
        </is>
      </c>
      <c r="H7592" s="3" t="inlineStr">
        <is>
          <t>자연녹지지역</t>
        </is>
      </c>
      <c r="I7592" s="3" t="inlineStr">
        <is>
          <t>답</t>
        </is>
      </c>
      <c r="J7592" s="3" t="inlineStr">
        <is>
          <t>남이면</t>
        </is>
      </c>
    </row>
    <row r="7593">
      <c r="A7593" s="3" t="n">
        <v>2024</v>
      </c>
      <c r="B7593" s="4" t="n">
        <v>3580</v>
      </c>
      <c r="C7593" s="4" t="n">
        <v>215</v>
      </c>
      <c r="D7593" s="4" t="n">
        <v>65.03749999999999</v>
      </c>
      <c r="E7593" s="5" t="n">
        <v>55</v>
      </c>
      <c r="F7593" s="3" t="inlineStr">
        <is>
          <t>남이면</t>
        </is>
      </c>
      <c r="G7593" s="3" t="inlineStr">
        <is>
          <t>대련리</t>
        </is>
      </c>
      <c r="H7593" s="3" t="inlineStr">
        <is>
          <t>자연녹지지역</t>
        </is>
      </c>
      <c r="I7593" s="3" t="inlineStr">
        <is>
          <t>답</t>
        </is>
      </c>
      <c r="J7593" s="3" t="inlineStr">
        <is>
          <t>남이면</t>
        </is>
      </c>
    </row>
    <row r="7594">
      <c r="A7594" s="3" t="n">
        <v>2024</v>
      </c>
      <c r="B7594" s="4" t="n">
        <v>46910</v>
      </c>
      <c r="C7594" s="4" t="n">
        <v>2820</v>
      </c>
      <c r="D7594" s="4" t="n">
        <v>853.05</v>
      </c>
      <c r="E7594" s="5" t="n">
        <v>55</v>
      </c>
      <c r="F7594" s="3" t="inlineStr">
        <is>
          <t>남이면</t>
        </is>
      </c>
      <c r="G7594" s="3" t="inlineStr">
        <is>
          <t>대련리</t>
        </is>
      </c>
      <c r="H7594" s="3" t="inlineStr">
        <is>
          <t>자연녹지지역</t>
        </is>
      </c>
      <c r="I7594" s="3" t="inlineStr">
        <is>
          <t>답</t>
        </is>
      </c>
      <c r="J7594" s="3" t="inlineStr">
        <is>
          <t>남이면</t>
        </is>
      </c>
    </row>
    <row r="7595">
      <c r="A7595" s="3" t="n">
        <v>2022</v>
      </c>
      <c r="B7595" s="4" t="n">
        <v>44640</v>
      </c>
      <c r="C7595" s="4" t="n">
        <v>802</v>
      </c>
      <c r="D7595" s="4" t="n">
        <v>242.605</v>
      </c>
      <c r="E7595" s="5" t="n">
        <v>184</v>
      </c>
      <c r="F7595" s="3" t="inlineStr">
        <is>
          <t>연기면</t>
        </is>
      </c>
      <c r="G7595" s="3" t="inlineStr">
        <is>
          <t>수산리</t>
        </is>
      </c>
      <c r="H7595" s="3" t="inlineStr">
        <is>
          <t>보전관리지역</t>
        </is>
      </c>
      <c r="I7595" s="3" t="inlineStr">
        <is>
          <t>임야</t>
        </is>
      </c>
      <c r="J7595" s="3" t="inlineStr">
        <is>
          <t>연기면</t>
        </is>
      </c>
    </row>
    <row r="7596">
      <c r="A7596" s="3" t="n">
        <v>2025</v>
      </c>
      <c r="B7596" s="4" t="n">
        <v>37000</v>
      </c>
      <c r="C7596" s="4" t="n">
        <v>2499</v>
      </c>
      <c r="D7596" s="4" t="n">
        <v>755.9475</v>
      </c>
      <c r="E7596" s="5" t="n">
        <v>48.9</v>
      </c>
      <c r="F7596" s="3" t="inlineStr">
        <is>
          <t>전의면</t>
        </is>
      </c>
      <c r="G7596" s="3" t="inlineStr">
        <is>
          <t>신방리</t>
        </is>
      </c>
      <c r="H7596" s="3" t="inlineStr">
        <is>
          <t>계획관리지역</t>
        </is>
      </c>
      <c r="I7596" s="3" t="inlineStr">
        <is>
          <t>답</t>
        </is>
      </c>
      <c r="J7596" s="3" t="inlineStr">
        <is>
          <t>전의면</t>
        </is>
      </c>
    </row>
    <row r="7597">
      <c r="A7597" s="3" t="n">
        <v>2025</v>
      </c>
      <c r="B7597" s="4" t="n">
        <v>28700</v>
      </c>
      <c r="C7597" s="4" t="n">
        <v>1934</v>
      </c>
      <c r="D7597" s="4" t="n">
        <v>585.035</v>
      </c>
      <c r="E7597" s="5" t="n">
        <v>49.1</v>
      </c>
      <c r="F7597" s="3" t="inlineStr">
        <is>
          <t>전의면</t>
        </is>
      </c>
      <c r="G7597" s="3" t="inlineStr">
        <is>
          <t>신방리</t>
        </is>
      </c>
      <c r="H7597" s="3" t="inlineStr">
        <is>
          <t>계획관리지역</t>
        </is>
      </c>
      <c r="I7597" s="3" t="inlineStr">
        <is>
          <t>답</t>
        </is>
      </c>
      <c r="J7597" s="3" t="inlineStr">
        <is>
          <t>전의면</t>
        </is>
      </c>
    </row>
    <row r="7598">
      <c r="A7598" s="3" t="n">
        <v>2025</v>
      </c>
      <c r="B7598" s="4" t="n">
        <v>11000</v>
      </c>
      <c r="C7598" s="4" t="n">
        <v>835</v>
      </c>
      <c r="D7598" s="4" t="n">
        <v>252.5875</v>
      </c>
      <c r="E7598" s="5" t="n">
        <v>43.5</v>
      </c>
      <c r="F7598" s="3" t="inlineStr">
        <is>
          <t>금남면</t>
        </is>
      </c>
      <c r="G7598" s="3" t="inlineStr">
        <is>
          <t>황용리</t>
        </is>
      </c>
      <c r="H7598" s="3" t="inlineStr">
        <is>
          <t>개발제한구역</t>
        </is>
      </c>
      <c r="I7598" s="3" t="inlineStr">
        <is>
          <t>답</t>
        </is>
      </c>
      <c r="J7598" s="3" t="inlineStr">
        <is>
          <t>금남면</t>
        </is>
      </c>
    </row>
    <row r="7599">
      <c r="A7599" s="3" t="n">
        <v>2025</v>
      </c>
      <c r="B7599" s="4" t="n">
        <v>41000</v>
      </c>
      <c r="C7599" s="4" t="n">
        <v>1790</v>
      </c>
      <c r="D7599" s="4" t="n">
        <v>541.475</v>
      </c>
      <c r="E7599" s="5" t="n">
        <v>75.7</v>
      </c>
      <c r="F7599" s="3" t="inlineStr">
        <is>
          <t>금남면</t>
        </is>
      </c>
      <c r="G7599" s="3" t="inlineStr">
        <is>
          <t>발산리</t>
        </is>
      </c>
      <c r="H7599" s="3" t="inlineStr">
        <is>
          <t>개발제한구역</t>
        </is>
      </c>
      <c r="I7599" s="3" t="inlineStr">
        <is>
          <t>전</t>
        </is>
      </c>
      <c r="J7599" s="3" t="inlineStr">
        <is>
          <t>금남면</t>
        </is>
      </c>
    </row>
    <row r="7600">
      <c r="A7600" s="3" t="n">
        <v>2025</v>
      </c>
      <c r="B7600" s="4" t="n">
        <v>46000</v>
      </c>
      <c r="C7600" s="4" t="n">
        <v>1755</v>
      </c>
      <c r="D7600" s="4" t="n">
        <v>530.8874999999999</v>
      </c>
      <c r="E7600" s="5" t="n">
        <v>86.59999999999999</v>
      </c>
      <c r="F7600" s="3" t="inlineStr">
        <is>
          <t>연서면</t>
        </is>
      </c>
      <c r="G7600" s="3" t="inlineStr">
        <is>
          <t>봉암리</t>
        </is>
      </c>
      <c r="H7600" s="3" t="inlineStr">
        <is>
          <t>농림지역</t>
        </is>
      </c>
      <c r="I7600" s="3" t="inlineStr">
        <is>
          <t>답</t>
        </is>
      </c>
      <c r="J7600" s="3" t="inlineStr">
        <is>
          <t>연서면</t>
        </is>
      </c>
    </row>
    <row r="7601">
      <c r="A7601" s="3" t="n">
        <v>2025</v>
      </c>
      <c r="B7601" s="4" t="n">
        <v>25000</v>
      </c>
      <c r="C7601" s="4" t="n">
        <v>831</v>
      </c>
      <c r="D7601" s="4" t="n">
        <v>251.3775</v>
      </c>
      <c r="E7601" s="5" t="n">
        <v>99.5</v>
      </c>
      <c r="F7601" s="3" t="inlineStr">
        <is>
          <t>연동면</t>
        </is>
      </c>
      <c r="G7601" s="3" t="inlineStr">
        <is>
          <t>노송리</t>
        </is>
      </c>
      <c r="H7601" s="3" t="inlineStr">
        <is>
          <t>계획관리지역</t>
        </is>
      </c>
      <c r="I7601" s="3" t="inlineStr">
        <is>
          <t>전</t>
        </is>
      </c>
      <c r="J7601" s="3" t="inlineStr">
        <is>
          <t>연동면</t>
        </is>
      </c>
    </row>
    <row r="7602">
      <c r="A7602" s="3" t="n">
        <v>2025</v>
      </c>
      <c r="B7602" s="4" t="n">
        <v>16000</v>
      </c>
      <c r="C7602" s="4" t="n">
        <v>520</v>
      </c>
      <c r="D7602" s="4" t="n">
        <v>157.3</v>
      </c>
      <c r="E7602" s="5" t="n">
        <v>101.7</v>
      </c>
      <c r="F7602" s="3" t="inlineStr">
        <is>
          <t>연동면</t>
        </is>
      </c>
      <c r="G7602" s="3" t="inlineStr">
        <is>
          <t>노송리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연동면</t>
        </is>
      </c>
    </row>
    <row r="7603">
      <c r="A7603" s="3" t="n">
        <v>2025</v>
      </c>
      <c r="B7603" s="4" t="n">
        <v>1000</v>
      </c>
      <c r="C7603" s="4" t="n">
        <v>44</v>
      </c>
      <c r="D7603" s="4" t="n">
        <v>13.31</v>
      </c>
      <c r="E7603" s="5" t="n">
        <v>75.09999999999999</v>
      </c>
      <c r="F7603" s="3" t="inlineStr">
        <is>
          <t>연동면</t>
        </is>
      </c>
      <c r="G7603" s="3" t="inlineStr">
        <is>
          <t>노송리</t>
        </is>
      </c>
      <c r="H7603" s="3" t="inlineStr">
        <is>
          <t>계획관리지역</t>
        </is>
      </c>
      <c r="I7603" s="3" t="inlineStr">
        <is>
          <t>전</t>
        </is>
      </c>
      <c r="J7603" s="3" t="inlineStr">
        <is>
          <t>연동면</t>
        </is>
      </c>
    </row>
    <row r="7604">
      <c r="A7604" s="3" t="n">
        <v>2025</v>
      </c>
      <c r="B7604" s="4" t="n">
        <v>10320</v>
      </c>
      <c r="C7604" s="4" t="n">
        <v>284</v>
      </c>
      <c r="D7604" s="4" t="n">
        <v>85.91</v>
      </c>
      <c r="E7604" s="5" t="n">
        <v>120.1</v>
      </c>
      <c r="F7604" s="3" t="inlineStr">
        <is>
          <t>전동면</t>
        </is>
      </c>
      <c r="G7604" s="3" t="inlineStr">
        <is>
          <t>청송리</t>
        </is>
      </c>
      <c r="H7604" s="3" t="inlineStr">
        <is>
          <t>계획관리지역</t>
        </is>
      </c>
      <c r="I7604" s="3" t="inlineStr">
        <is>
          <t>답</t>
        </is>
      </c>
      <c r="J7604" s="3" t="inlineStr">
        <is>
          <t>전동면</t>
        </is>
      </c>
    </row>
    <row r="7605">
      <c r="A7605" s="3" t="n">
        <v>2025</v>
      </c>
      <c r="B7605" s="4" t="n">
        <v>56610</v>
      </c>
      <c r="C7605" s="4" t="n">
        <v>2529</v>
      </c>
      <c r="D7605" s="4" t="n">
        <v>765.0224999999999</v>
      </c>
      <c r="E7605" s="5" t="n">
        <v>74</v>
      </c>
      <c r="F7605" s="3" t="inlineStr">
        <is>
          <t>금남면</t>
        </is>
      </c>
      <c r="G7605" s="3" t="inlineStr">
        <is>
          <t>용담리</t>
        </is>
      </c>
      <c r="H7605" s="3" t="inlineStr">
        <is>
          <t>개발제한구역</t>
        </is>
      </c>
      <c r="I7605" s="3" t="inlineStr">
        <is>
          <t>답</t>
        </is>
      </c>
      <c r="J7605" s="3" t="inlineStr">
        <is>
          <t>금남면</t>
        </is>
      </c>
    </row>
    <row r="7606">
      <c r="A7606" s="3" t="n">
        <v>2024</v>
      </c>
      <c r="B7606" s="4" t="n">
        <v>35000</v>
      </c>
      <c r="C7606" s="4" t="n">
        <v>1398</v>
      </c>
      <c r="D7606" s="4" t="n">
        <v>422.895</v>
      </c>
      <c r="E7606" s="5" t="n">
        <v>82.8</v>
      </c>
      <c r="F7606" s="3" t="inlineStr">
        <is>
          <t>전의면</t>
        </is>
      </c>
      <c r="G7606" s="3" t="inlineStr">
        <is>
          <t>동교리</t>
        </is>
      </c>
      <c r="H7606" s="3" t="inlineStr">
        <is>
          <t>자연녹지지역</t>
        </is>
      </c>
      <c r="I7606" s="3" t="inlineStr">
        <is>
          <t>답</t>
        </is>
      </c>
      <c r="J7606" s="3" t="inlineStr">
        <is>
          <t>전의면</t>
        </is>
      </c>
    </row>
    <row r="7607">
      <c r="A7607" s="3" t="n">
        <v>2024</v>
      </c>
      <c r="B7607" s="4" t="n">
        <v>34000</v>
      </c>
      <c r="C7607" s="4" t="n">
        <v>660</v>
      </c>
      <c r="D7607" s="4" t="n">
        <v>199.65</v>
      </c>
      <c r="E7607" s="5" t="n">
        <v>170.3</v>
      </c>
      <c r="F7607" s="3" t="inlineStr">
        <is>
          <t>연동면</t>
        </is>
      </c>
      <c r="G7607" s="3" t="inlineStr">
        <is>
          <t>내판리</t>
        </is>
      </c>
      <c r="H7607" s="3" t="inlineStr">
        <is>
          <t>계획관리지역</t>
        </is>
      </c>
      <c r="I7607" s="3" t="inlineStr">
        <is>
          <t>임야</t>
        </is>
      </c>
      <c r="J7607" s="3" t="inlineStr">
        <is>
          <t>연동면</t>
        </is>
      </c>
    </row>
    <row r="7608">
      <c r="A7608" s="3" t="n">
        <v>2024</v>
      </c>
      <c r="B7608" s="4" t="n">
        <v>9300</v>
      </c>
      <c r="C7608" s="4" t="n">
        <v>1481</v>
      </c>
      <c r="D7608" s="4" t="n">
        <v>448.0025</v>
      </c>
      <c r="E7608" s="5" t="n">
        <v>20.8</v>
      </c>
      <c r="F7608" s="3" t="inlineStr">
        <is>
          <t>소정면</t>
        </is>
      </c>
      <c r="G7608" s="3" t="inlineStr">
        <is>
          <t>대곡리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소정면</t>
        </is>
      </c>
    </row>
    <row r="7609">
      <c r="A7609" s="3" t="n">
        <v>2024</v>
      </c>
      <c r="B7609" s="4" t="n">
        <v>29149</v>
      </c>
      <c r="C7609" s="4" t="n">
        <v>1772</v>
      </c>
      <c r="D7609" s="4" t="n">
        <v>536.03</v>
      </c>
      <c r="E7609" s="5" t="n">
        <v>54.4</v>
      </c>
      <c r="F7609" s="3" t="inlineStr">
        <is>
          <t>전동면</t>
        </is>
      </c>
      <c r="G7609" s="3" t="inlineStr">
        <is>
          <t>노장리</t>
        </is>
      </c>
      <c r="H7609" s="3" t="inlineStr">
        <is>
          <t>계획관리지역</t>
        </is>
      </c>
      <c r="I7609" s="3" t="inlineStr">
        <is>
          <t>공장용지</t>
        </is>
      </c>
      <c r="J7609" s="3" t="inlineStr">
        <is>
          <t>전동면</t>
        </is>
      </c>
    </row>
    <row r="7610">
      <c r="A7610" s="3" t="n">
        <v>2024</v>
      </c>
      <c r="B7610" s="4" t="n">
        <v>1474</v>
      </c>
      <c r="C7610" s="4" t="n">
        <v>2274</v>
      </c>
      <c r="D7610" s="4" t="n">
        <v>687.885</v>
      </c>
      <c r="E7610" s="5" t="n">
        <v>2.1</v>
      </c>
      <c r="F7610" s="3" t="inlineStr">
        <is>
          <t>전동면</t>
        </is>
      </c>
      <c r="G7610" s="3" t="inlineStr">
        <is>
          <t>노장리</t>
        </is>
      </c>
      <c r="H7610" s="3" t="inlineStr">
        <is>
          <t>농림지역</t>
        </is>
      </c>
      <c r="I7610" s="3" t="inlineStr">
        <is>
          <t>임야</t>
        </is>
      </c>
      <c r="J7610" s="3" t="inlineStr">
        <is>
          <t>전동면</t>
        </is>
      </c>
    </row>
    <row r="7611">
      <c r="A7611" s="3" t="n">
        <v>2024</v>
      </c>
      <c r="B7611" s="4" t="n">
        <v>98</v>
      </c>
      <c r="C7611" s="4" t="n">
        <v>151</v>
      </c>
      <c r="D7611" s="4" t="n">
        <v>45.6775</v>
      </c>
      <c r="E7611" s="5" t="n">
        <v>2.1</v>
      </c>
      <c r="F7611" s="3" t="inlineStr">
        <is>
          <t>전동면</t>
        </is>
      </c>
      <c r="G7611" s="3" t="inlineStr">
        <is>
          <t>노장리</t>
        </is>
      </c>
      <c r="H7611" s="3" t="inlineStr">
        <is>
          <t>농림지역</t>
        </is>
      </c>
      <c r="I7611" s="3" t="inlineStr">
        <is>
          <t>임야</t>
        </is>
      </c>
      <c r="J7611" s="3" t="inlineStr">
        <is>
          <t>전동면</t>
        </is>
      </c>
    </row>
    <row r="7612">
      <c r="A7612" s="3" t="n">
        <v>2024</v>
      </c>
      <c r="B7612" s="4" t="n">
        <v>6270</v>
      </c>
      <c r="C7612" s="4" t="n">
        <v>10146</v>
      </c>
      <c r="D7612" s="4" t="n">
        <v>3069.165</v>
      </c>
      <c r="E7612" s="5" t="n">
        <v>2</v>
      </c>
      <c r="F7612" s="3" t="inlineStr">
        <is>
          <t>전동면</t>
        </is>
      </c>
      <c r="G7612" s="3" t="inlineStr">
        <is>
          <t>노장리</t>
        </is>
      </c>
      <c r="H7612" s="3" t="inlineStr">
        <is>
          <t>농림지역</t>
        </is>
      </c>
      <c r="I7612" s="3" t="inlineStr">
        <is>
          <t>임야</t>
        </is>
      </c>
      <c r="J7612" s="3" t="inlineStr">
        <is>
          <t>전동면</t>
        </is>
      </c>
    </row>
    <row r="7613">
      <c r="A7613" s="3" t="n">
        <v>2024</v>
      </c>
      <c r="B7613" s="4" t="n">
        <v>497</v>
      </c>
      <c r="C7613" s="4" t="n">
        <v>137</v>
      </c>
      <c r="D7613" s="4" t="n">
        <v>41.4425</v>
      </c>
      <c r="E7613" s="5" t="n">
        <v>12</v>
      </c>
      <c r="F7613" s="3" t="inlineStr">
        <is>
          <t>전동면</t>
        </is>
      </c>
      <c r="G7613" s="3" t="inlineStr">
        <is>
          <t>노장리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전동면</t>
        </is>
      </c>
    </row>
    <row r="7614">
      <c r="A7614" s="3" t="n">
        <v>2024</v>
      </c>
      <c r="B7614" s="4" t="n">
        <v>280</v>
      </c>
      <c r="C7614" s="4" t="n">
        <v>77</v>
      </c>
      <c r="D7614" s="4" t="n">
        <v>23.2925</v>
      </c>
      <c r="E7614" s="5" t="n">
        <v>12</v>
      </c>
      <c r="F7614" s="3" t="inlineStr">
        <is>
          <t>전동면</t>
        </is>
      </c>
      <c r="G7614" s="3" t="inlineStr">
        <is>
          <t>노장리</t>
        </is>
      </c>
      <c r="H7614" s="3" t="inlineStr">
        <is>
          <t>계획관리지역</t>
        </is>
      </c>
      <c r="I7614" s="3" t="inlineStr">
        <is>
          <t>도로</t>
        </is>
      </c>
      <c r="J7614" s="3" t="inlineStr">
        <is>
          <t>전동면</t>
        </is>
      </c>
    </row>
    <row r="7615">
      <c r="A7615" s="3" t="n">
        <v>2024</v>
      </c>
      <c r="B7615" s="4" t="n">
        <v>19311</v>
      </c>
      <c r="C7615" s="4" t="n">
        <v>258</v>
      </c>
      <c r="D7615" s="4" t="n">
        <v>78.045</v>
      </c>
      <c r="E7615" s="5" t="n">
        <v>247.4</v>
      </c>
      <c r="F7615" s="3" t="inlineStr">
        <is>
          <t>금남면</t>
        </is>
      </c>
      <c r="G7615" s="3" t="inlineStr">
        <is>
          <t>두만리</t>
        </is>
      </c>
      <c r="H7615" s="3" t="inlineStr">
        <is>
          <t>생산관리지역</t>
        </is>
      </c>
      <c r="I7615" s="3" t="inlineStr">
        <is>
          <t>잡종지</t>
        </is>
      </c>
      <c r="J7615" s="3" t="inlineStr">
        <is>
          <t>금남면</t>
        </is>
      </c>
    </row>
    <row r="7616">
      <c r="A7616" s="3" t="n">
        <v>2024</v>
      </c>
      <c r="B7616" s="4" t="n">
        <v>10180</v>
      </c>
      <c r="C7616" s="4" t="n">
        <v>136</v>
      </c>
      <c r="D7616" s="4" t="n">
        <v>41.14</v>
      </c>
      <c r="E7616" s="5" t="n">
        <v>247.4</v>
      </c>
      <c r="F7616" s="3" t="inlineStr">
        <is>
          <t>금남면</t>
        </is>
      </c>
      <c r="G7616" s="3" t="inlineStr">
        <is>
          <t>두만리</t>
        </is>
      </c>
      <c r="H7616" s="3" t="inlineStr">
        <is>
          <t>생산관리지역</t>
        </is>
      </c>
      <c r="I7616" s="3" t="inlineStr">
        <is>
          <t>잡종지</t>
        </is>
      </c>
      <c r="J7616" s="3" t="inlineStr">
        <is>
          <t>금남면</t>
        </is>
      </c>
    </row>
    <row r="7617">
      <c r="A7617" s="3" t="n">
        <v>2024</v>
      </c>
      <c r="B7617" s="4" t="n">
        <v>2436</v>
      </c>
      <c r="C7617" s="4" t="n">
        <v>382</v>
      </c>
      <c r="D7617" s="4" t="n">
        <v>115.555</v>
      </c>
      <c r="E7617" s="5" t="n">
        <v>21.1</v>
      </c>
      <c r="F7617" s="3" t="inlineStr">
        <is>
          <t>금남면</t>
        </is>
      </c>
      <c r="G7617" s="3" t="inlineStr">
        <is>
          <t>영치리</t>
        </is>
      </c>
      <c r="H7617" s="3" t="inlineStr">
        <is>
          <t>개발제한구역</t>
        </is>
      </c>
      <c r="I7617" s="3" t="inlineStr">
        <is>
          <t>전</t>
        </is>
      </c>
      <c r="J7617" s="3" t="inlineStr">
        <is>
          <t>금남면</t>
        </is>
      </c>
    </row>
    <row r="7618">
      <c r="A7618" s="3" t="n">
        <v>2024</v>
      </c>
      <c r="B7618" s="4" t="n">
        <v>12000</v>
      </c>
      <c r="C7618" s="4" t="n">
        <v>661</v>
      </c>
      <c r="D7618" s="4" t="n">
        <v>199.9525</v>
      </c>
      <c r="E7618" s="5" t="n">
        <v>60</v>
      </c>
      <c r="F7618" s="3" t="inlineStr">
        <is>
          <t>금남면</t>
        </is>
      </c>
      <c r="G7618" s="3" t="inlineStr">
        <is>
          <t>축산리</t>
        </is>
      </c>
      <c r="H7618" s="3" t="inlineStr">
        <is>
          <t>개발제한구역</t>
        </is>
      </c>
      <c r="I7618" s="3" t="inlineStr">
        <is>
          <t>전</t>
        </is>
      </c>
      <c r="J7618" s="3" t="inlineStr">
        <is>
          <t>금남면</t>
        </is>
      </c>
    </row>
    <row r="7619">
      <c r="A7619" s="3" t="n">
        <v>2024</v>
      </c>
      <c r="B7619" s="4" t="n">
        <v>6300</v>
      </c>
      <c r="C7619" s="4" t="n">
        <v>343</v>
      </c>
      <c r="D7619" s="4" t="n">
        <v>103.7575</v>
      </c>
      <c r="E7619" s="5" t="n">
        <v>60.7</v>
      </c>
      <c r="F7619" s="3" t="inlineStr">
        <is>
          <t>금남면</t>
        </is>
      </c>
      <c r="G7619" s="3" t="inlineStr">
        <is>
          <t>축산리</t>
        </is>
      </c>
      <c r="H7619" s="3" t="inlineStr">
        <is>
          <t>개발제한구역</t>
        </is>
      </c>
      <c r="I7619" s="3" t="inlineStr">
        <is>
          <t>전</t>
        </is>
      </c>
      <c r="J7619" s="3" t="inlineStr">
        <is>
          <t>금남면</t>
        </is>
      </c>
    </row>
    <row r="7620">
      <c r="A7620" s="3" t="n">
        <v>2024</v>
      </c>
      <c r="B7620" s="4" t="n">
        <v>2200</v>
      </c>
      <c r="C7620" s="4" t="n">
        <v>373</v>
      </c>
      <c r="D7620" s="4" t="n">
        <v>112.8325</v>
      </c>
      <c r="E7620" s="5" t="n">
        <v>19.5</v>
      </c>
      <c r="F7620" s="3" t="inlineStr">
        <is>
          <t>전의면</t>
        </is>
      </c>
      <c r="G7620" s="3" t="inlineStr">
        <is>
          <t>서정리</t>
        </is>
      </c>
      <c r="H7620" s="3" t="inlineStr">
        <is>
          <t>계획관리지역</t>
        </is>
      </c>
      <c r="I7620" s="3" t="inlineStr">
        <is>
          <t>전</t>
        </is>
      </c>
      <c r="J7620" s="3" t="inlineStr">
        <is>
          <t>전의면</t>
        </is>
      </c>
    </row>
    <row r="7621">
      <c r="A7621" s="3" t="n">
        <v>2024</v>
      </c>
      <c r="B7621" s="4" t="n">
        <v>33920</v>
      </c>
      <c r="C7621" s="4" t="n">
        <v>523</v>
      </c>
      <c r="D7621" s="4" t="n">
        <v>158.2075</v>
      </c>
      <c r="E7621" s="5" t="n">
        <v>214.4</v>
      </c>
      <c r="F7621" s="3" t="inlineStr">
        <is>
          <t>장군면</t>
        </is>
      </c>
      <c r="G7621" s="3" t="inlineStr">
        <is>
          <t>산학리</t>
        </is>
      </c>
      <c r="H7621" s="3" t="inlineStr">
        <is>
          <t>보전관리지역</t>
        </is>
      </c>
      <c r="I7621" s="3" t="inlineStr">
        <is>
          <t>대</t>
        </is>
      </c>
      <c r="J7621" s="3" t="inlineStr">
        <is>
          <t>장군면</t>
        </is>
      </c>
    </row>
    <row r="7622">
      <c r="A7622" s="3" t="n">
        <v>2024</v>
      </c>
      <c r="B7622" s="4" t="n">
        <v>33984</v>
      </c>
      <c r="C7622" s="4" t="n">
        <v>524</v>
      </c>
      <c r="D7622" s="4" t="n">
        <v>158.51</v>
      </c>
      <c r="E7622" s="5" t="n">
        <v>214.4</v>
      </c>
      <c r="F7622" s="3" t="inlineStr">
        <is>
          <t>장군면</t>
        </is>
      </c>
      <c r="G7622" s="3" t="inlineStr">
        <is>
          <t>산학리</t>
        </is>
      </c>
      <c r="H7622" s="3" t="inlineStr">
        <is>
          <t>보전관리지역</t>
        </is>
      </c>
      <c r="I7622" s="3" t="inlineStr">
        <is>
          <t>대</t>
        </is>
      </c>
      <c r="J7622" s="3" t="inlineStr">
        <is>
          <t>장군면</t>
        </is>
      </c>
    </row>
    <row r="7623">
      <c r="A7623" s="3" t="n">
        <v>2024</v>
      </c>
      <c r="B7623" s="4" t="n">
        <v>18000</v>
      </c>
      <c r="C7623" s="4" t="n">
        <v>990</v>
      </c>
      <c r="D7623" s="4" t="n">
        <v>299.475</v>
      </c>
      <c r="E7623" s="5" t="n">
        <v>60.1</v>
      </c>
      <c r="F7623" s="3" t="inlineStr">
        <is>
          <t>전의면</t>
        </is>
      </c>
      <c r="G7623" s="3" t="inlineStr">
        <is>
          <t>관정리</t>
        </is>
      </c>
      <c r="H7623" s="3" t="inlineStr">
        <is>
          <t>계획관리지역</t>
        </is>
      </c>
      <c r="I7623" s="3" t="inlineStr">
        <is>
          <t>임야</t>
        </is>
      </c>
      <c r="J7623" s="3" t="inlineStr">
        <is>
          <t>전의면</t>
        </is>
      </c>
    </row>
    <row r="7624">
      <c r="A7624" s="3" t="n">
        <v>2024</v>
      </c>
      <c r="B7624" s="4" t="n">
        <v>12000</v>
      </c>
      <c r="C7624" s="4" t="n">
        <v>660</v>
      </c>
      <c r="D7624" s="4" t="n">
        <v>199.65</v>
      </c>
      <c r="E7624" s="5" t="n">
        <v>60.1</v>
      </c>
      <c r="F7624" s="3" t="inlineStr">
        <is>
          <t>전의면</t>
        </is>
      </c>
      <c r="G7624" s="3" t="inlineStr">
        <is>
          <t>관정리</t>
        </is>
      </c>
      <c r="H7624" s="3" t="inlineStr">
        <is>
          <t>계획관리지역</t>
        </is>
      </c>
      <c r="I7624" s="3" t="inlineStr">
        <is>
          <t>임야</t>
        </is>
      </c>
      <c r="J7624" s="3" t="inlineStr">
        <is>
          <t>전의면</t>
        </is>
      </c>
    </row>
    <row r="7625">
      <c r="A7625" s="3" t="n">
        <v>2024</v>
      </c>
      <c r="B7625" s="4" t="n">
        <v>35520</v>
      </c>
      <c r="C7625" s="4" t="n">
        <v>466</v>
      </c>
      <c r="D7625" s="4" t="n">
        <v>140.965</v>
      </c>
      <c r="E7625" s="5" t="n">
        <v>252</v>
      </c>
      <c r="F7625" s="3" t="inlineStr">
        <is>
          <t>장군면</t>
        </is>
      </c>
      <c r="G7625" s="3" t="inlineStr">
        <is>
          <t>산학리</t>
        </is>
      </c>
      <c r="H7625" s="3" t="inlineStr">
        <is>
          <t>보전관리지역</t>
        </is>
      </c>
      <c r="I7625" s="3" t="inlineStr">
        <is>
          <t>대</t>
        </is>
      </c>
      <c r="J7625" s="3" t="inlineStr">
        <is>
          <t>장군면</t>
        </is>
      </c>
    </row>
    <row r="7626">
      <c r="A7626" s="3" t="n">
        <v>2023</v>
      </c>
      <c r="B7626" s="4" t="n">
        <v>1830</v>
      </c>
      <c r="C7626" s="4" t="n">
        <v>1210</v>
      </c>
      <c r="D7626" s="4" t="n">
        <v>366.025</v>
      </c>
      <c r="E7626" s="5" t="n">
        <v>5</v>
      </c>
      <c r="F7626" s="3" t="inlineStr">
        <is>
          <t>현도면</t>
        </is>
      </c>
      <c r="G7626" s="3" t="inlineStr">
        <is>
          <t>매봉리</t>
        </is>
      </c>
      <c r="H7626" s="3" t="inlineStr">
        <is>
          <t>개발제한구역</t>
        </is>
      </c>
      <c r="I7626" s="3" t="inlineStr">
        <is>
          <t>임야</t>
        </is>
      </c>
      <c r="J7626" s="3" t="inlineStr">
        <is>
          <t>현도면</t>
        </is>
      </c>
    </row>
    <row r="7627">
      <c r="A7627" s="3" t="n">
        <v>2023</v>
      </c>
      <c r="B7627" s="4" t="n">
        <v>2550</v>
      </c>
      <c r="C7627" s="4" t="n">
        <v>1686</v>
      </c>
      <c r="D7627" s="4" t="n">
        <v>510.015</v>
      </c>
      <c r="E7627" s="5" t="n">
        <v>5</v>
      </c>
      <c r="F7627" s="3" t="inlineStr">
        <is>
          <t>현도면</t>
        </is>
      </c>
      <c r="G7627" s="3" t="inlineStr">
        <is>
          <t>매봉리</t>
        </is>
      </c>
      <c r="H7627" s="3" t="inlineStr">
        <is>
          <t>개발제한구역</t>
        </is>
      </c>
      <c r="I7627" s="3" t="inlineStr">
        <is>
          <t>임야</t>
        </is>
      </c>
      <c r="J7627" s="3" t="inlineStr">
        <is>
          <t>현도면</t>
        </is>
      </c>
    </row>
    <row r="7628">
      <c r="A7628" s="3" t="n">
        <v>2023</v>
      </c>
      <c r="B7628" s="4" t="n">
        <v>17000</v>
      </c>
      <c r="C7628" s="4" t="n">
        <v>2198</v>
      </c>
      <c r="D7628" s="4" t="n">
        <v>664.895</v>
      </c>
      <c r="E7628" s="5" t="n">
        <v>25.6</v>
      </c>
      <c r="F7628" s="3" t="inlineStr">
        <is>
          <t>남이면</t>
        </is>
      </c>
      <c r="G7628" s="3" t="inlineStr">
        <is>
          <t>구암리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2023</v>
      </c>
      <c r="B7629" s="4" t="n">
        <v>3600</v>
      </c>
      <c r="C7629" s="4" t="n">
        <v>243</v>
      </c>
      <c r="D7629" s="4" t="n">
        <v>73.50749999999999</v>
      </c>
      <c r="E7629" s="5" t="n">
        <v>49</v>
      </c>
      <c r="F7629" s="3" t="inlineStr">
        <is>
          <t>현도면</t>
        </is>
      </c>
      <c r="G7629" s="3" t="inlineStr">
        <is>
          <t>우록리</t>
        </is>
      </c>
      <c r="H7629" s="3" t="inlineStr">
        <is>
          <t>생산관리지역</t>
        </is>
      </c>
      <c r="I7629" s="3" t="inlineStr">
        <is>
          <t>전</t>
        </is>
      </c>
      <c r="J7629" s="3" t="inlineStr">
        <is>
          <t>현도면</t>
        </is>
      </c>
    </row>
    <row r="7630">
      <c r="A7630" s="3" t="n">
        <v>2023</v>
      </c>
      <c r="B7630" s="4" t="n">
        <v>10350</v>
      </c>
      <c r="C7630" s="4" t="n">
        <v>997</v>
      </c>
      <c r="D7630" s="4" t="n">
        <v>301.5925</v>
      </c>
      <c r="E7630" s="5" t="n">
        <v>34.3</v>
      </c>
      <c r="F7630" s="3" t="inlineStr">
        <is>
          <t>현도면</t>
        </is>
      </c>
      <c r="G7630" s="3" t="inlineStr">
        <is>
          <t>우록리</t>
        </is>
      </c>
      <c r="H7630" s="3" t="inlineStr">
        <is>
          <t>보전관리지역</t>
        </is>
      </c>
      <c r="I7630" s="3" t="inlineStr">
        <is>
          <t>임야</t>
        </is>
      </c>
      <c r="J7630" s="3" t="inlineStr">
        <is>
          <t>현도면</t>
        </is>
      </c>
    </row>
    <row r="7631">
      <c r="A7631" s="3" t="n">
        <v>2023</v>
      </c>
      <c r="B7631" s="4" t="n">
        <v>2890</v>
      </c>
      <c r="C7631" s="4" t="n">
        <v>276.9</v>
      </c>
      <c r="D7631" s="4" t="n">
        <v>83.76224999999999</v>
      </c>
      <c r="E7631" s="5" t="n">
        <v>34.5</v>
      </c>
      <c r="F7631" s="3" t="inlineStr">
        <is>
          <t>현도면</t>
        </is>
      </c>
      <c r="G7631" s="3" t="inlineStr">
        <is>
          <t>우록리</t>
        </is>
      </c>
      <c r="H7631" s="3" t="inlineStr">
        <is>
          <t>보전관리지역</t>
        </is>
      </c>
      <c r="I7631" s="3" t="inlineStr">
        <is>
          <t>임야</t>
        </is>
      </c>
      <c r="J7631" s="3" t="inlineStr">
        <is>
          <t>현도면</t>
        </is>
      </c>
    </row>
    <row r="7632">
      <c r="A7632" s="3" t="n">
        <v>2023</v>
      </c>
      <c r="B7632" s="4" t="n">
        <v>11200</v>
      </c>
      <c r="C7632" s="4" t="n">
        <v>820</v>
      </c>
      <c r="D7632" s="4" t="n">
        <v>248.05</v>
      </c>
      <c r="E7632" s="5" t="n">
        <v>45.2</v>
      </c>
      <c r="F7632" s="3" t="inlineStr">
        <is>
          <t>남이면</t>
        </is>
      </c>
      <c r="G7632" s="3" t="inlineStr">
        <is>
          <t>사동리</t>
        </is>
      </c>
      <c r="H7632" s="3" t="inlineStr">
        <is>
          <t>생산관리지역</t>
        </is>
      </c>
      <c r="I7632" s="3" t="inlineStr">
        <is>
          <t>답</t>
        </is>
      </c>
      <c r="J7632" s="3" t="inlineStr">
        <is>
          <t>남이면</t>
        </is>
      </c>
    </row>
    <row r="7633">
      <c r="A7633" s="3" t="n">
        <v>2023</v>
      </c>
      <c r="B7633" s="4" t="n">
        <v>24711</v>
      </c>
      <c r="C7633" s="4" t="n">
        <v>707</v>
      </c>
      <c r="D7633" s="4" t="n">
        <v>213.8675</v>
      </c>
      <c r="E7633" s="5" t="n">
        <v>115.5</v>
      </c>
      <c r="F7633" s="3" t="inlineStr">
        <is>
          <t>현도면</t>
        </is>
      </c>
      <c r="G7633" s="3" t="inlineStr">
        <is>
          <t>중삼리</t>
        </is>
      </c>
      <c r="H7633" s="3" t="inlineStr">
        <is>
          <t>계획관리지역</t>
        </is>
      </c>
      <c r="I7633" s="3" t="inlineStr">
        <is>
          <t>전</t>
        </is>
      </c>
      <c r="J7633" s="3" t="inlineStr">
        <is>
          <t>현도면</t>
        </is>
      </c>
    </row>
    <row r="7634">
      <c r="A7634" s="3" t="n">
        <v>2023</v>
      </c>
      <c r="B7634" s="4" t="n">
        <v>85747</v>
      </c>
      <c r="C7634" s="4" t="n">
        <v>1914</v>
      </c>
      <c r="D7634" s="4" t="n">
        <v>578.985</v>
      </c>
      <c r="E7634" s="5" t="n">
        <v>148.1</v>
      </c>
      <c r="F7634" s="3" t="inlineStr">
        <is>
          <t>현도면</t>
        </is>
      </c>
      <c r="G7634" s="3" t="inlineStr">
        <is>
          <t>중삼리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현도면</t>
        </is>
      </c>
    </row>
    <row r="7635">
      <c r="A7635" s="3" t="n">
        <v>2023</v>
      </c>
      <c r="B7635" s="4" t="n">
        <v>39518</v>
      </c>
      <c r="C7635" s="4" t="n">
        <v>926</v>
      </c>
      <c r="D7635" s="4" t="n">
        <v>280.115</v>
      </c>
      <c r="E7635" s="5" t="n">
        <v>141.1</v>
      </c>
      <c r="F7635" s="3" t="inlineStr">
        <is>
          <t>현도면</t>
        </is>
      </c>
      <c r="G7635" s="3" t="inlineStr">
        <is>
          <t>중삼리</t>
        </is>
      </c>
      <c r="H7635" s="3" t="inlineStr">
        <is>
          <t>계획관리지역</t>
        </is>
      </c>
      <c r="I7635" s="3" t="inlineStr">
        <is>
          <t>답</t>
        </is>
      </c>
      <c r="J7635" s="3" t="inlineStr">
        <is>
          <t>현도면</t>
        </is>
      </c>
    </row>
    <row r="7636">
      <c r="A7636" s="3" t="n">
        <v>2023</v>
      </c>
      <c r="B7636" s="4" t="n">
        <v>41694</v>
      </c>
      <c r="C7636" s="4" t="n">
        <v>977</v>
      </c>
      <c r="D7636" s="4" t="n">
        <v>295.5425</v>
      </c>
      <c r="E7636" s="5" t="n">
        <v>141.1</v>
      </c>
      <c r="F7636" s="3" t="inlineStr">
        <is>
          <t>현도면</t>
        </is>
      </c>
      <c r="G7636" s="3" t="inlineStr">
        <is>
          <t>중삼리</t>
        </is>
      </c>
      <c r="H7636" s="3" t="inlineStr">
        <is>
          <t>계획관리지역</t>
        </is>
      </c>
      <c r="I7636" s="3" t="inlineStr">
        <is>
          <t>답</t>
        </is>
      </c>
      <c r="J7636" s="3" t="inlineStr">
        <is>
          <t>현도면</t>
        </is>
      </c>
    </row>
    <row r="7637">
      <c r="A7637" s="3" t="n">
        <v>2023</v>
      </c>
      <c r="B7637" s="4" t="n">
        <v>3423</v>
      </c>
      <c r="C7637" s="4" t="n">
        <v>314</v>
      </c>
      <c r="D7637" s="4" t="n">
        <v>94.985</v>
      </c>
      <c r="E7637" s="5" t="n">
        <v>36</v>
      </c>
      <c r="F7637" s="3" t="inlineStr">
        <is>
          <t>현도면</t>
        </is>
      </c>
      <c r="G7637" s="3" t="inlineStr">
        <is>
          <t>중삼리</t>
        </is>
      </c>
      <c r="H7637" s="3" t="inlineStr">
        <is>
          <t>계획관리지역</t>
        </is>
      </c>
      <c r="I7637" s="3" t="inlineStr">
        <is>
          <t>임야</t>
        </is>
      </c>
      <c r="J7637" s="3" t="inlineStr">
        <is>
          <t>현도면</t>
        </is>
      </c>
    </row>
    <row r="7638">
      <c r="A7638" s="3" t="n">
        <v>2023</v>
      </c>
      <c r="B7638" s="4" t="n">
        <v>2182</v>
      </c>
      <c r="C7638" s="4" t="n">
        <v>62</v>
      </c>
      <c r="D7638" s="4" t="n">
        <v>18.755</v>
      </c>
      <c r="E7638" s="5" t="n">
        <v>116.3</v>
      </c>
      <c r="F7638" s="3" t="inlineStr">
        <is>
          <t>현도면</t>
        </is>
      </c>
      <c r="G7638" s="3" t="inlineStr">
        <is>
          <t>중삼리</t>
        </is>
      </c>
      <c r="H7638" s="3" t="inlineStr">
        <is>
          <t>계획관리지역</t>
        </is>
      </c>
      <c r="I7638" s="3" t="inlineStr">
        <is>
          <t>전</t>
        </is>
      </c>
      <c r="J7638" s="3" t="inlineStr">
        <is>
          <t>현도면</t>
        </is>
      </c>
    </row>
    <row r="7639">
      <c r="A7639" s="3" t="n">
        <v>2023</v>
      </c>
      <c r="B7639" s="4" t="n">
        <v>8951</v>
      </c>
      <c r="C7639" s="4" t="n">
        <v>823</v>
      </c>
      <c r="D7639" s="4" t="n">
        <v>248.9575</v>
      </c>
      <c r="E7639" s="5" t="n">
        <v>36</v>
      </c>
      <c r="F7639" s="3" t="inlineStr">
        <is>
          <t>현도면</t>
        </is>
      </c>
      <c r="G7639" s="3" t="inlineStr">
        <is>
          <t>중삼리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현도면</t>
        </is>
      </c>
    </row>
    <row r="7640">
      <c r="A7640" s="3" t="n">
        <v>2023</v>
      </c>
      <c r="B7640" s="4" t="n">
        <v>54525</v>
      </c>
      <c r="C7640" s="4" t="n">
        <v>1448</v>
      </c>
      <c r="D7640" s="4" t="n">
        <v>438.02</v>
      </c>
      <c r="E7640" s="5" t="n">
        <v>124.5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2023</v>
      </c>
      <c r="B7641" s="4" t="n">
        <v>24363</v>
      </c>
      <c r="C7641" s="4" t="n">
        <v>647</v>
      </c>
      <c r="D7641" s="4" t="n">
        <v>195.7175</v>
      </c>
      <c r="E7641" s="5" t="n">
        <v>124.5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임야</t>
        </is>
      </c>
      <c r="J7641" s="3" t="inlineStr">
        <is>
          <t>남이면</t>
        </is>
      </c>
    </row>
    <row r="7642">
      <c r="A7642" s="3" t="n">
        <v>2023</v>
      </c>
      <c r="B7642" s="4" t="n">
        <v>57688</v>
      </c>
      <c r="C7642" s="4" t="n">
        <v>1532</v>
      </c>
      <c r="D7642" s="4" t="n">
        <v>463.43</v>
      </c>
      <c r="E7642" s="5" t="n">
        <v>124.5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임야</t>
        </is>
      </c>
      <c r="J7642" s="3" t="inlineStr">
        <is>
          <t>남이면</t>
        </is>
      </c>
    </row>
    <row r="7643">
      <c r="A7643" s="3" t="n">
        <v>2023</v>
      </c>
      <c r="B7643" s="4" t="n">
        <v>1385</v>
      </c>
      <c r="C7643" s="4" t="n">
        <v>36.8</v>
      </c>
      <c r="D7643" s="4" t="n">
        <v>11.132</v>
      </c>
      <c r="E7643" s="5" t="n">
        <v>124.4</v>
      </c>
      <c r="F7643" s="3" t="inlineStr">
        <is>
          <t>남이면</t>
        </is>
      </c>
      <c r="G7643" s="3" t="inlineStr">
        <is>
          <t>가좌리</t>
        </is>
      </c>
      <c r="H7643" s="3" t="inlineStr">
        <is>
          <t>자연녹지지역</t>
        </is>
      </c>
      <c r="I7643" s="3" t="inlineStr">
        <is>
          <t>임야</t>
        </is>
      </c>
      <c r="J7643" s="3" t="inlineStr">
        <is>
          <t>남이면</t>
        </is>
      </c>
    </row>
    <row r="7644">
      <c r="A7644" s="3" t="n">
        <v>2023</v>
      </c>
      <c r="B7644" s="4" t="n">
        <v>136575</v>
      </c>
      <c r="C7644" s="4" t="n">
        <v>3627</v>
      </c>
      <c r="D7644" s="4" t="n">
        <v>1097.1675</v>
      </c>
      <c r="E7644" s="5" t="n">
        <v>124.5</v>
      </c>
      <c r="F7644" s="3" t="inlineStr">
        <is>
          <t>남이면</t>
        </is>
      </c>
      <c r="G7644" s="3" t="inlineStr">
        <is>
          <t>가좌리</t>
        </is>
      </c>
      <c r="H7644" s="3" t="inlineStr">
        <is>
          <t>자연녹지지역</t>
        </is>
      </c>
      <c r="I7644" s="3" t="inlineStr">
        <is>
          <t>임야</t>
        </is>
      </c>
      <c r="J7644" s="3" t="inlineStr">
        <is>
          <t>남이면</t>
        </is>
      </c>
    </row>
    <row r="7645">
      <c r="A7645" s="3" t="n">
        <v>2023</v>
      </c>
      <c r="B7645" s="4" t="n">
        <v>1385</v>
      </c>
      <c r="C7645" s="4" t="n">
        <v>36.8</v>
      </c>
      <c r="D7645" s="4" t="n">
        <v>11.132</v>
      </c>
      <c r="E7645" s="5" t="n">
        <v>124.4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임야</t>
        </is>
      </c>
      <c r="J7645" s="3" t="inlineStr">
        <is>
          <t>남이면</t>
        </is>
      </c>
    </row>
    <row r="7646">
      <c r="A7646" s="3" t="n">
        <v>2023</v>
      </c>
      <c r="B7646" s="4" t="n">
        <v>2151</v>
      </c>
      <c r="C7646" s="4" t="n">
        <v>164</v>
      </c>
      <c r="D7646" s="4" t="n">
        <v>49.61</v>
      </c>
      <c r="E7646" s="5" t="n">
        <v>43.4</v>
      </c>
      <c r="F7646" s="3" t="inlineStr">
        <is>
          <t>남이면</t>
        </is>
      </c>
      <c r="G7646" s="3" t="inlineStr">
        <is>
          <t>팔봉리</t>
        </is>
      </c>
      <c r="H7646" s="3" t="inlineStr">
        <is>
          <t>자연녹지지역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13498</v>
      </c>
      <c r="C7647" s="4" t="n">
        <v>1029</v>
      </c>
      <c r="D7647" s="4" t="n">
        <v>311.2725</v>
      </c>
      <c r="E7647" s="5" t="n">
        <v>43.4</v>
      </c>
      <c r="F7647" s="3" t="inlineStr">
        <is>
          <t>남이면</t>
        </is>
      </c>
      <c r="G7647" s="3" t="inlineStr">
        <is>
          <t>팔봉리</t>
        </is>
      </c>
      <c r="H7647" s="3" t="inlineStr">
        <is>
          <t>자연녹지지역</t>
        </is>
      </c>
      <c r="I7647" s="3" t="inlineStr">
        <is>
          <t>답</t>
        </is>
      </c>
      <c r="J7647" s="3" t="inlineStr">
        <is>
          <t>남이면</t>
        </is>
      </c>
    </row>
    <row r="7648">
      <c r="A7648" s="3" t="n">
        <v>2023</v>
      </c>
      <c r="B7648" s="4" t="n">
        <v>1902</v>
      </c>
      <c r="C7648" s="4" t="n">
        <v>145</v>
      </c>
      <c r="D7648" s="4" t="n">
        <v>43.8625</v>
      </c>
      <c r="E7648" s="5" t="n">
        <v>43.4</v>
      </c>
      <c r="F7648" s="3" t="inlineStr">
        <is>
          <t>남이면</t>
        </is>
      </c>
      <c r="G7648" s="3" t="inlineStr">
        <is>
          <t>팔봉리</t>
        </is>
      </c>
      <c r="H7648" s="3" t="inlineStr">
        <is>
          <t>자연녹지지역</t>
        </is>
      </c>
      <c r="I7648" s="3" t="inlineStr">
        <is>
          <t>답</t>
        </is>
      </c>
      <c r="J7648" s="3" t="inlineStr">
        <is>
          <t>남이면</t>
        </is>
      </c>
    </row>
    <row r="7649">
      <c r="A7649" s="3" t="n">
        <v>2023</v>
      </c>
      <c r="B7649" s="4" t="n">
        <v>12318</v>
      </c>
      <c r="C7649" s="4" t="n">
        <v>939</v>
      </c>
      <c r="D7649" s="4" t="n">
        <v>284.0475</v>
      </c>
      <c r="E7649" s="5" t="n">
        <v>43.4</v>
      </c>
      <c r="F7649" s="3" t="inlineStr">
        <is>
          <t>남이면</t>
        </is>
      </c>
      <c r="G7649" s="3" t="inlineStr">
        <is>
          <t>팔봉리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2023</v>
      </c>
      <c r="B7650" s="4" t="n">
        <v>30000</v>
      </c>
      <c r="C7650" s="4" t="n">
        <v>755</v>
      </c>
      <c r="D7650" s="4" t="n">
        <v>228.3875</v>
      </c>
      <c r="E7650" s="5" t="n">
        <v>131.4</v>
      </c>
      <c r="F7650" s="3" t="inlineStr">
        <is>
          <t>현도면</t>
        </is>
      </c>
      <c r="G7650" s="3" t="inlineStr">
        <is>
          <t>시목리</t>
        </is>
      </c>
      <c r="H7650" s="3" t="inlineStr">
        <is>
          <t>제1종일반주거지역</t>
        </is>
      </c>
      <c r="I7650" s="3" t="inlineStr">
        <is>
          <t>대</t>
        </is>
      </c>
      <c r="J7650" s="3" t="inlineStr">
        <is>
          <t>현도면</t>
        </is>
      </c>
    </row>
    <row r="7651">
      <c r="A7651" s="3" t="n">
        <v>2023</v>
      </c>
      <c r="B7651" s="4" t="n">
        <v>22000</v>
      </c>
      <c r="C7651" s="4" t="n">
        <v>2017</v>
      </c>
      <c r="D7651" s="4" t="n">
        <v>610.1424999999999</v>
      </c>
      <c r="E7651" s="5" t="n">
        <v>36.1</v>
      </c>
      <c r="F7651" s="3" t="inlineStr">
        <is>
          <t>남이면</t>
        </is>
      </c>
      <c r="G7651" s="3" t="inlineStr">
        <is>
          <t>석실리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2023</v>
      </c>
      <c r="B7652" s="4" t="n">
        <v>56000</v>
      </c>
      <c r="C7652" s="4" t="n">
        <v>1269</v>
      </c>
      <c r="D7652" s="4" t="n">
        <v>383.8725</v>
      </c>
      <c r="E7652" s="5" t="n">
        <v>145.9</v>
      </c>
      <c r="F7652" s="3" t="inlineStr">
        <is>
          <t>전의면</t>
        </is>
      </c>
      <c r="G7652" s="3" t="inlineStr">
        <is>
          <t>읍내리</t>
        </is>
      </c>
      <c r="H7652" s="3" t="inlineStr">
        <is>
          <t>자연녹지지역</t>
        </is>
      </c>
      <c r="I7652" s="3" t="inlineStr">
        <is>
          <t>전</t>
        </is>
      </c>
      <c r="J7652" s="3" t="inlineStr">
        <is>
          <t>전의면</t>
        </is>
      </c>
    </row>
    <row r="7653">
      <c r="A7653" s="3" t="n">
        <v>2023</v>
      </c>
      <c r="B7653" s="4" t="n">
        <v>40767</v>
      </c>
      <c r="C7653" s="4" t="n">
        <v>214</v>
      </c>
      <c r="D7653" s="4" t="n">
        <v>64.735</v>
      </c>
      <c r="E7653" s="5" t="n">
        <v>629.8</v>
      </c>
      <c r="F7653" s="3" t="inlineStr">
        <is>
          <t>연기면</t>
        </is>
      </c>
      <c r="G7653" s="3" t="inlineStr">
        <is>
          <t>보통리</t>
        </is>
      </c>
      <c r="H7653" s="3" t="inlineStr">
        <is>
          <t>계획관리지역</t>
        </is>
      </c>
      <c r="I7653" s="3" t="inlineStr">
        <is>
          <t>대</t>
        </is>
      </c>
      <c r="J7653" s="3" t="inlineStr">
        <is>
          <t>연기면</t>
        </is>
      </c>
    </row>
    <row r="7654">
      <c r="A7654" s="3" t="n">
        <v>2023</v>
      </c>
      <c r="B7654" s="4" t="n">
        <v>9455</v>
      </c>
      <c r="C7654" s="4" t="n">
        <v>61</v>
      </c>
      <c r="D7654" s="4" t="n">
        <v>18.4525</v>
      </c>
      <c r="E7654" s="5" t="n">
        <v>512.4</v>
      </c>
      <c r="F7654" s="3" t="inlineStr">
        <is>
          <t>연기면</t>
        </is>
      </c>
      <c r="G7654" s="3" t="inlineStr">
        <is>
          <t>보통리</t>
        </is>
      </c>
      <c r="H7654" s="3" t="inlineStr">
        <is>
          <t>계획관리지역</t>
        </is>
      </c>
      <c r="I7654" s="3" t="inlineStr">
        <is>
          <t>답</t>
        </is>
      </c>
      <c r="J7654" s="3" t="inlineStr">
        <is>
          <t>연기면</t>
        </is>
      </c>
    </row>
    <row r="7655">
      <c r="A7655" s="3" t="n">
        <v>2023</v>
      </c>
      <c r="B7655" s="4" t="n">
        <v>2635</v>
      </c>
      <c r="C7655" s="4" t="n">
        <v>17</v>
      </c>
      <c r="D7655" s="4" t="n">
        <v>5.1425</v>
      </c>
      <c r="E7655" s="5" t="n">
        <v>512.4</v>
      </c>
      <c r="F7655" s="3" t="inlineStr">
        <is>
          <t>연기면</t>
        </is>
      </c>
      <c r="G7655" s="3" t="inlineStr">
        <is>
          <t>보통리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연기면</t>
        </is>
      </c>
    </row>
    <row r="7656">
      <c r="A7656" s="3" t="n">
        <v>2023</v>
      </c>
      <c r="B7656" s="4" t="n">
        <v>8400</v>
      </c>
      <c r="C7656" s="4" t="n">
        <v>40</v>
      </c>
      <c r="D7656" s="4" t="n">
        <v>12.1</v>
      </c>
      <c r="E7656" s="5" t="n">
        <v>694.2</v>
      </c>
      <c r="F7656" s="3" t="inlineStr">
        <is>
          <t>금남면</t>
        </is>
      </c>
      <c r="G7656" s="3" t="inlineStr">
        <is>
          <t>원봉리</t>
        </is>
      </c>
      <c r="H7656" s="3" t="inlineStr">
        <is>
          <t>계획관리지역</t>
        </is>
      </c>
      <c r="I7656" s="3" t="inlineStr">
        <is>
          <t>전</t>
        </is>
      </c>
      <c r="J7656" s="3" t="inlineStr">
        <is>
          <t>금남면</t>
        </is>
      </c>
    </row>
    <row r="7657">
      <c r="A7657" s="3" t="n">
        <v>2023</v>
      </c>
      <c r="B7657" s="4" t="n">
        <v>50000</v>
      </c>
      <c r="C7657" s="4" t="n">
        <v>1002</v>
      </c>
      <c r="D7657" s="4" t="n">
        <v>303.105</v>
      </c>
      <c r="E7657" s="5" t="n">
        <v>165</v>
      </c>
      <c r="F7657" s="3" t="inlineStr">
        <is>
          <t>연기면</t>
        </is>
      </c>
      <c r="G7657" s="3" t="inlineStr">
        <is>
          <t>눌왕리</t>
        </is>
      </c>
      <c r="H7657" s="3" t="inlineStr">
        <is>
          <t>계획관리지역</t>
        </is>
      </c>
      <c r="I7657" s="3" t="inlineStr">
        <is>
          <t>전</t>
        </is>
      </c>
      <c r="J7657" s="3" t="inlineStr">
        <is>
          <t>연기면</t>
        </is>
      </c>
    </row>
    <row r="7658">
      <c r="A7658" s="3" t="n">
        <v>2023</v>
      </c>
      <c r="B7658" s="4" t="n">
        <v>60670</v>
      </c>
      <c r="C7658" s="4" t="n">
        <v>3343</v>
      </c>
      <c r="D7658" s="4" t="n">
        <v>1011.2575</v>
      </c>
      <c r="E7658" s="5" t="n">
        <v>60</v>
      </c>
      <c r="F7658" s="3" t="inlineStr">
        <is>
          <t>장군면</t>
        </is>
      </c>
      <c r="G7658" s="3" t="inlineStr">
        <is>
          <t>용암리</t>
        </is>
      </c>
      <c r="H7658" s="3" t="inlineStr">
        <is>
          <t>보전관리지역</t>
        </is>
      </c>
      <c r="I7658" s="3" t="inlineStr">
        <is>
          <t>임야</t>
        </is>
      </c>
      <c r="J7658" s="3" t="inlineStr">
        <is>
          <t>장군면</t>
        </is>
      </c>
    </row>
    <row r="7659">
      <c r="A7659" s="3" t="n">
        <v>2023</v>
      </c>
      <c r="B7659" s="4" t="n">
        <v>5590</v>
      </c>
      <c r="C7659" s="4" t="n">
        <v>308</v>
      </c>
      <c r="D7659" s="4" t="n">
        <v>93.17</v>
      </c>
      <c r="E7659" s="5" t="n">
        <v>60</v>
      </c>
      <c r="F7659" s="3" t="inlineStr">
        <is>
          <t>장군면</t>
        </is>
      </c>
      <c r="G7659" s="3" t="inlineStr">
        <is>
          <t>용암리</t>
        </is>
      </c>
      <c r="H7659" s="3" t="inlineStr">
        <is>
          <t>보전관리지역</t>
        </is>
      </c>
      <c r="I7659" s="3" t="inlineStr">
        <is>
          <t>임야</t>
        </is>
      </c>
      <c r="J7659" s="3" t="inlineStr">
        <is>
          <t>장군면</t>
        </is>
      </c>
    </row>
    <row r="7660">
      <c r="A7660" s="3" t="n">
        <v>2023</v>
      </c>
      <c r="B7660" s="4" t="n">
        <v>1540</v>
      </c>
      <c r="C7660" s="4" t="n">
        <v>85</v>
      </c>
      <c r="D7660" s="4" t="n">
        <v>25.7125</v>
      </c>
      <c r="E7660" s="5" t="n">
        <v>59.9</v>
      </c>
      <c r="F7660" s="3" t="inlineStr">
        <is>
          <t>장군면</t>
        </is>
      </c>
      <c r="G7660" s="3" t="inlineStr">
        <is>
          <t>용암리</t>
        </is>
      </c>
      <c r="H7660" s="3" t="inlineStr">
        <is>
          <t>보전관리지역</t>
        </is>
      </c>
      <c r="I7660" s="3" t="inlineStr">
        <is>
          <t>임야</t>
        </is>
      </c>
      <c r="J7660" s="3" t="inlineStr">
        <is>
          <t>장군면</t>
        </is>
      </c>
    </row>
    <row r="7661">
      <c r="A7661" s="3" t="n">
        <v>2023</v>
      </c>
      <c r="B7661" s="4" t="n">
        <v>31853</v>
      </c>
      <c r="C7661" s="4" t="n">
        <v>702</v>
      </c>
      <c r="D7661" s="4" t="n">
        <v>212.355</v>
      </c>
      <c r="E7661" s="5" t="n">
        <v>150</v>
      </c>
      <c r="F7661" s="3" t="inlineStr">
        <is>
          <t>부강면</t>
        </is>
      </c>
      <c r="G7661" s="3" t="inlineStr">
        <is>
          <t>금호리</t>
        </is>
      </c>
      <c r="H7661" s="3" t="inlineStr">
        <is>
          <t>계획관리지역</t>
        </is>
      </c>
      <c r="I7661" s="3" t="inlineStr">
        <is>
          <t>전</t>
        </is>
      </c>
      <c r="J7661" s="3" t="inlineStr">
        <is>
          <t>부강면</t>
        </is>
      </c>
    </row>
    <row r="7662">
      <c r="A7662" s="3" t="n">
        <v>2023</v>
      </c>
      <c r="B7662" s="4" t="n">
        <v>120000</v>
      </c>
      <c r="C7662" s="4" t="n">
        <v>702</v>
      </c>
      <c r="D7662" s="4" t="n">
        <v>212.355</v>
      </c>
      <c r="E7662" s="5" t="n">
        <v>565.1</v>
      </c>
      <c r="F7662" s="3" t="inlineStr">
        <is>
          <t>부강면</t>
        </is>
      </c>
      <c r="G7662" s="3" t="inlineStr">
        <is>
          <t>금호리</t>
        </is>
      </c>
      <c r="H7662" s="3" t="inlineStr">
        <is>
          <t>계획관리지역</t>
        </is>
      </c>
      <c r="I7662" s="3" t="inlineStr">
        <is>
          <t>전</t>
        </is>
      </c>
      <c r="J7662" s="3" t="inlineStr">
        <is>
          <t>부강면</t>
        </is>
      </c>
    </row>
    <row r="7663">
      <c r="A7663" s="3" t="n">
        <v>2023</v>
      </c>
      <c r="B7663" s="4" t="n">
        <v>11320</v>
      </c>
      <c r="C7663" s="4" t="n">
        <v>182</v>
      </c>
      <c r="D7663" s="4" t="n">
        <v>55.055</v>
      </c>
      <c r="E7663" s="5" t="n">
        <v>205.6</v>
      </c>
      <c r="F7663" s="3" t="inlineStr">
        <is>
          <t>장군면</t>
        </is>
      </c>
      <c r="G7663" s="3" t="inlineStr">
        <is>
          <t>도계리</t>
        </is>
      </c>
      <c r="H7663" s="3" t="inlineStr">
        <is>
          <t>계획관리지역</t>
        </is>
      </c>
      <c r="I7663" s="3" t="inlineStr">
        <is>
          <t>전</t>
        </is>
      </c>
      <c r="J7663" s="3" t="inlineStr">
        <is>
          <t>장군면</t>
        </is>
      </c>
    </row>
    <row r="7664">
      <c r="A7664" s="3" t="n">
        <v>2023</v>
      </c>
      <c r="B7664" s="4" t="n">
        <v>5899</v>
      </c>
      <c r="C7664" s="4" t="n">
        <v>65</v>
      </c>
      <c r="D7664" s="4" t="n">
        <v>19.6625</v>
      </c>
      <c r="E7664" s="5" t="n">
        <v>300</v>
      </c>
      <c r="F7664" s="3" t="inlineStr">
        <is>
          <t>연기면</t>
        </is>
      </c>
      <c r="G7664" s="3" t="inlineStr">
        <is>
          <t>연기리</t>
        </is>
      </c>
      <c r="H7664" s="3" t="inlineStr">
        <is>
          <t>계획관리지역</t>
        </is>
      </c>
      <c r="I7664" s="3" t="inlineStr">
        <is>
          <t>대</t>
        </is>
      </c>
      <c r="J7664" s="3" t="inlineStr">
        <is>
          <t>연기면</t>
        </is>
      </c>
    </row>
    <row r="7665">
      <c r="A7665" s="3" t="n">
        <v>2023</v>
      </c>
      <c r="B7665" s="4" t="n">
        <v>9101</v>
      </c>
      <c r="C7665" s="4" t="n">
        <v>105</v>
      </c>
      <c r="D7665" s="4" t="n">
        <v>31.7625</v>
      </c>
      <c r="E7665" s="5" t="n">
        <v>286.5</v>
      </c>
      <c r="F7665" s="3" t="inlineStr">
        <is>
          <t>연기면</t>
        </is>
      </c>
      <c r="G7665" s="3" t="inlineStr">
        <is>
          <t>연기리</t>
        </is>
      </c>
      <c r="H7665" s="3" t="inlineStr">
        <is>
          <t>계획관리지역</t>
        </is>
      </c>
      <c r="I7665" s="3" t="inlineStr">
        <is>
          <t>대</t>
        </is>
      </c>
      <c r="J7665" s="3" t="inlineStr">
        <is>
          <t>연기면</t>
        </is>
      </c>
    </row>
    <row r="7666">
      <c r="A7666" s="3" t="n">
        <v>2023</v>
      </c>
      <c r="B7666" s="4" t="n">
        <v>5000</v>
      </c>
      <c r="C7666" s="4" t="n">
        <v>298</v>
      </c>
      <c r="D7666" s="4" t="n">
        <v>90.145</v>
      </c>
      <c r="E7666" s="5" t="n">
        <v>55.5</v>
      </c>
      <c r="F7666" s="3" t="inlineStr">
        <is>
          <t>연서면</t>
        </is>
      </c>
      <c r="G7666" s="3" t="inlineStr">
        <is>
          <t>성제리</t>
        </is>
      </c>
      <c r="H7666" s="3" t="inlineStr">
        <is>
          <t>자연녹지지역</t>
        </is>
      </c>
      <c r="I7666" s="3" t="inlineStr">
        <is>
          <t>임야</t>
        </is>
      </c>
      <c r="J7666" s="3" t="inlineStr">
        <is>
          <t>연서면</t>
        </is>
      </c>
    </row>
    <row r="7667">
      <c r="A7667" s="3" t="n">
        <v>2023</v>
      </c>
      <c r="B7667" s="4" t="n">
        <v>1500</v>
      </c>
      <c r="C7667" s="4" t="n">
        <v>512</v>
      </c>
      <c r="D7667" s="4" t="n">
        <v>154.88</v>
      </c>
      <c r="E7667" s="5" t="n">
        <v>9.699999999999999</v>
      </c>
      <c r="F7667" s="3" t="inlineStr">
        <is>
          <t>전의면</t>
        </is>
      </c>
      <c r="G7667" s="3" t="inlineStr">
        <is>
          <t>다방리</t>
        </is>
      </c>
      <c r="H7667" s="3" t="inlineStr">
        <is>
          <t>농림지역</t>
        </is>
      </c>
      <c r="I7667" s="3" t="inlineStr">
        <is>
          <t>하천</t>
        </is>
      </c>
      <c r="J7667" s="3" t="inlineStr">
        <is>
          <t>전의면</t>
        </is>
      </c>
    </row>
    <row r="7668">
      <c r="A7668" s="3" t="n">
        <v>2023</v>
      </c>
      <c r="B7668" s="4" t="n">
        <v>1211</v>
      </c>
      <c r="C7668" s="4" t="n">
        <v>9</v>
      </c>
      <c r="D7668" s="4" t="n">
        <v>2.7225</v>
      </c>
      <c r="E7668" s="5" t="n">
        <v>444.8</v>
      </c>
      <c r="F7668" s="3" t="inlineStr">
        <is>
          <t>조치원읍</t>
        </is>
      </c>
      <c r="G7668" s="3" t="inlineStr">
        <is>
          <t>상리</t>
        </is>
      </c>
      <c r="H7668" s="3" t="inlineStr">
        <is>
          <t>제2종일반주거지역</t>
        </is>
      </c>
      <c r="I7668" s="3" t="inlineStr">
        <is>
          <t>대</t>
        </is>
      </c>
      <c r="J7668" s="3" t="inlineStr">
        <is>
          <t>조치원읍</t>
        </is>
      </c>
    </row>
    <row r="7669">
      <c r="A7669" s="3" t="n">
        <v>2023</v>
      </c>
      <c r="B7669" s="4" t="n">
        <v>25050</v>
      </c>
      <c r="C7669" s="4" t="n">
        <v>1653</v>
      </c>
      <c r="D7669" s="4" t="n">
        <v>500.0325</v>
      </c>
      <c r="E7669" s="5" t="n">
        <v>50.1</v>
      </c>
      <c r="F7669" s="3" t="inlineStr">
        <is>
          <t>연기면</t>
        </is>
      </c>
      <c r="G7669" s="3" t="inlineStr">
        <is>
          <t>수산리</t>
        </is>
      </c>
      <c r="H7669" s="3" t="inlineStr">
        <is>
          <t>보전관리지역</t>
        </is>
      </c>
      <c r="I7669" s="3" t="inlineStr">
        <is>
          <t>임야</t>
        </is>
      </c>
      <c r="J7669" s="3" t="inlineStr">
        <is>
          <t>연기면</t>
        </is>
      </c>
    </row>
    <row r="7670">
      <c r="A7670" s="3" t="n">
        <v>2023</v>
      </c>
      <c r="B7670" s="4" t="n">
        <v>33784</v>
      </c>
      <c r="C7670" s="4" t="n">
        <v>467</v>
      </c>
      <c r="D7670" s="4" t="n">
        <v>141.2675</v>
      </c>
      <c r="E7670" s="5" t="n">
        <v>239.1</v>
      </c>
      <c r="F7670" s="3" t="inlineStr">
        <is>
          <t>장군면</t>
        </is>
      </c>
      <c r="G7670" s="3" t="inlineStr">
        <is>
          <t>금암리</t>
        </is>
      </c>
      <c r="H7670" s="3" t="inlineStr">
        <is>
          <t>보전관리지역</t>
        </is>
      </c>
      <c r="I7670" s="3" t="inlineStr">
        <is>
          <t>대</t>
        </is>
      </c>
      <c r="J7670" s="3" t="inlineStr">
        <is>
          <t>장군면</t>
        </is>
      </c>
    </row>
    <row r="7671">
      <c r="A7671" s="3" t="n">
        <v>2022</v>
      </c>
      <c r="B7671" s="4" t="n">
        <v>2000</v>
      </c>
      <c r="C7671" s="4" t="n">
        <v>79</v>
      </c>
      <c r="D7671" s="4" t="n">
        <v>23.8975</v>
      </c>
      <c r="E7671" s="5" t="n">
        <v>83.7</v>
      </c>
      <c r="F7671" s="3" t="inlineStr">
        <is>
          <t>연서면</t>
        </is>
      </c>
      <c r="G7671" s="3" t="inlineStr">
        <is>
          <t>와촌리</t>
        </is>
      </c>
      <c r="H7671" s="3" t="inlineStr">
        <is>
          <t>계획관리지역</t>
        </is>
      </c>
      <c r="I7671" s="3" t="inlineStr">
        <is>
          <t>도로</t>
        </is>
      </c>
      <c r="J7671" s="3" t="inlineStr">
        <is>
          <t>연서면</t>
        </is>
      </c>
    </row>
    <row r="7672">
      <c r="A7672" s="3" t="n">
        <v>2022</v>
      </c>
      <c r="B7672" s="4" t="n">
        <v>90760</v>
      </c>
      <c r="C7672" s="4" t="n">
        <v>1623</v>
      </c>
      <c r="D7672" s="4" t="n">
        <v>490.9575</v>
      </c>
      <c r="E7672" s="5" t="n">
        <v>184.9</v>
      </c>
      <c r="F7672" s="3" t="inlineStr">
        <is>
          <t>연서면</t>
        </is>
      </c>
      <c r="G7672" s="3" t="inlineStr">
        <is>
          <t>와촌리</t>
        </is>
      </c>
      <c r="H7672" s="3" t="inlineStr">
        <is>
          <t>계획관리지역</t>
        </is>
      </c>
      <c r="I7672" s="3" t="inlineStr">
        <is>
          <t>답</t>
        </is>
      </c>
      <c r="J7672" s="3" t="inlineStr">
        <is>
          <t>연서면</t>
        </is>
      </c>
    </row>
    <row r="7673">
      <c r="A7673" s="3" t="n">
        <v>2022</v>
      </c>
      <c r="B7673" s="4" t="n">
        <v>5420</v>
      </c>
      <c r="C7673" s="4" t="n">
        <v>896</v>
      </c>
      <c r="D7673" s="4" t="n">
        <v>271.04</v>
      </c>
      <c r="E7673" s="5" t="n">
        <v>20</v>
      </c>
      <c r="F7673" s="3" t="inlineStr">
        <is>
          <t>전동면</t>
        </is>
      </c>
      <c r="G7673" s="3" t="inlineStr">
        <is>
          <t>석곡리</t>
        </is>
      </c>
      <c r="H7673" s="3" t="inlineStr">
        <is>
          <t>생산관리지역</t>
        </is>
      </c>
      <c r="I7673" s="3" t="inlineStr">
        <is>
          <t>전</t>
        </is>
      </c>
      <c r="J7673" s="3" t="inlineStr">
        <is>
          <t>전동면</t>
        </is>
      </c>
    </row>
    <row r="7674">
      <c r="A7674" s="3" t="n">
        <v>2022</v>
      </c>
      <c r="B7674" s="4" t="n">
        <v>25000</v>
      </c>
      <c r="C7674" s="4" t="n">
        <v>230</v>
      </c>
      <c r="D7674" s="4" t="n">
        <v>69.575</v>
      </c>
      <c r="E7674" s="5" t="n">
        <v>359.3</v>
      </c>
      <c r="F7674" s="3" t="inlineStr">
        <is>
          <t>조치원읍</t>
        </is>
      </c>
      <c r="G7674" s="3" t="inlineStr">
        <is>
          <t>죽림리</t>
        </is>
      </c>
      <c r="H7674" s="3" t="inlineStr">
        <is>
          <t>제2종일반주거지역</t>
        </is>
      </c>
      <c r="I7674" s="3" t="inlineStr">
        <is>
          <t>대</t>
        </is>
      </c>
      <c r="J7674" s="3" t="inlineStr">
        <is>
          <t>조치원읍</t>
        </is>
      </c>
    </row>
    <row r="7675">
      <c r="A7675" s="3" t="n">
        <v>2022</v>
      </c>
      <c r="B7675" s="4" t="n">
        <v>5927</v>
      </c>
      <c r="C7675" s="4" t="n">
        <v>652</v>
      </c>
      <c r="D7675" s="4" t="n">
        <v>197.23</v>
      </c>
      <c r="E7675" s="5" t="n">
        <v>30.1</v>
      </c>
      <c r="F7675" s="3" t="inlineStr">
        <is>
          <t>장군면</t>
        </is>
      </c>
      <c r="G7675" s="3" t="inlineStr">
        <is>
          <t>산학리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장군면</t>
        </is>
      </c>
    </row>
    <row r="7676">
      <c r="A7676" s="3" t="n">
        <v>2022</v>
      </c>
      <c r="B7676" s="4" t="n">
        <v>500</v>
      </c>
      <c r="C7676" s="4" t="n">
        <v>23</v>
      </c>
      <c r="D7676" s="4" t="n">
        <v>6.9575</v>
      </c>
      <c r="E7676" s="5" t="n">
        <v>71.90000000000001</v>
      </c>
      <c r="F7676" s="3" t="inlineStr">
        <is>
          <t>전의면</t>
        </is>
      </c>
      <c r="G7676" s="3" t="inlineStr">
        <is>
          <t>읍내리</t>
        </is>
      </c>
      <c r="H7676" s="3" t="inlineStr">
        <is>
          <t>제1종일반주거지역</t>
        </is>
      </c>
      <c r="I7676" s="3" t="inlineStr">
        <is>
          <t>임야</t>
        </is>
      </c>
      <c r="J7676" s="3" t="inlineStr">
        <is>
          <t>전의면</t>
        </is>
      </c>
    </row>
    <row r="7677">
      <c r="A7677" s="3" t="n">
        <v>2022</v>
      </c>
      <c r="B7677" s="4" t="n">
        <v>32000</v>
      </c>
      <c r="C7677" s="4" t="n">
        <v>1000</v>
      </c>
      <c r="D7677" s="4" t="n">
        <v>302.5</v>
      </c>
      <c r="E7677" s="5" t="n">
        <v>105.8</v>
      </c>
      <c r="F7677" s="3" t="inlineStr">
        <is>
          <t>전의면</t>
        </is>
      </c>
      <c r="G7677" s="3" t="inlineStr">
        <is>
          <t>달전리</t>
        </is>
      </c>
      <c r="H7677" s="3" t="inlineStr">
        <is>
          <t>계획관리지역</t>
        </is>
      </c>
      <c r="I7677" s="3" t="inlineStr">
        <is>
          <t>답</t>
        </is>
      </c>
      <c r="J7677" s="3" t="inlineStr">
        <is>
          <t>전의면</t>
        </is>
      </c>
    </row>
    <row r="7678">
      <c r="A7678" s="3" t="n">
        <v>2022</v>
      </c>
      <c r="B7678" s="4" t="n">
        <v>32000</v>
      </c>
      <c r="C7678" s="4" t="n">
        <v>1000</v>
      </c>
      <c r="D7678" s="4" t="n">
        <v>302.5</v>
      </c>
      <c r="E7678" s="5" t="n">
        <v>105.8</v>
      </c>
      <c r="F7678" s="3" t="inlineStr">
        <is>
          <t>전의면</t>
        </is>
      </c>
      <c r="G7678" s="3" t="inlineStr">
        <is>
          <t>달전리</t>
        </is>
      </c>
      <c r="H7678" s="3" t="inlineStr">
        <is>
          <t>계획관리지역</t>
        </is>
      </c>
      <c r="I7678" s="3" t="inlineStr">
        <is>
          <t>답</t>
        </is>
      </c>
      <c r="J7678" s="3" t="inlineStr">
        <is>
          <t>전의면</t>
        </is>
      </c>
    </row>
    <row r="7679">
      <c r="A7679" s="3" t="n">
        <v>2022</v>
      </c>
      <c r="B7679" s="4" t="n">
        <v>21500</v>
      </c>
      <c r="C7679" s="4" t="n">
        <v>313.3</v>
      </c>
      <c r="D7679" s="4" t="n">
        <v>94.77325</v>
      </c>
      <c r="E7679" s="5" t="n">
        <v>226.9</v>
      </c>
      <c r="F7679" s="3" t="inlineStr">
        <is>
          <t>연기면</t>
        </is>
      </c>
      <c r="G7679" s="3" t="inlineStr">
        <is>
          <t>눌왕리</t>
        </is>
      </c>
      <c r="H7679" s="3" t="inlineStr">
        <is>
          <t>계획관리지역</t>
        </is>
      </c>
      <c r="I7679" s="3" t="inlineStr">
        <is>
          <t>전</t>
        </is>
      </c>
      <c r="J7679" s="3" t="inlineStr">
        <is>
          <t>연기면</t>
        </is>
      </c>
    </row>
    <row r="7680">
      <c r="A7680" s="3" t="n">
        <v>2022</v>
      </c>
      <c r="B7680" s="4" t="n">
        <v>23238</v>
      </c>
      <c r="C7680" s="4" t="n">
        <v>4990</v>
      </c>
      <c r="D7680" s="4" t="n">
        <v>1509.475</v>
      </c>
      <c r="E7680" s="5" t="n">
        <v>15.4</v>
      </c>
      <c r="F7680" s="3" t="inlineStr">
        <is>
          <t>전동면</t>
        </is>
      </c>
      <c r="G7680" s="3" t="inlineStr">
        <is>
          <t>송정리</t>
        </is>
      </c>
      <c r="H7680" s="3" t="inlineStr">
        <is>
          <t>보전관리지역</t>
        </is>
      </c>
      <c r="I7680" s="3" t="inlineStr">
        <is>
          <t>전</t>
        </is>
      </c>
      <c r="J7680" s="3" t="inlineStr">
        <is>
          <t>전동면</t>
        </is>
      </c>
    </row>
    <row r="7681">
      <c r="A7681" s="3" t="n">
        <v>2022</v>
      </c>
      <c r="B7681" s="4" t="n">
        <v>6762</v>
      </c>
      <c r="C7681" s="4" t="n">
        <v>3727</v>
      </c>
      <c r="D7681" s="4" t="n">
        <v>1127.4175</v>
      </c>
      <c r="E7681" s="5" t="n">
        <v>6</v>
      </c>
      <c r="F7681" s="3" t="inlineStr">
        <is>
          <t>전동면</t>
        </is>
      </c>
      <c r="G7681" s="3" t="inlineStr">
        <is>
          <t>송정리</t>
        </is>
      </c>
      <c r="H7681" s="3" t="inlineStr">
        <is>
          <t>농림지역</t>
        </is>
      </c>
      <c r="I7681" s="3" t="inlineStr">
        <is>
          <t>임야</t>
        </is>
      </c>
      <c r="J7681" s="3" t="inlineStr">
        <is>
          <t>전동면</t>
        </is>
      </c>
    </row>
    <row r="7682">
      <c r="A7682" s="3" t="n">
        <v>2024</v>
      </c>
      <c r="B7682" s="4" t="n">
        <v>3580</v>
      </c>
      <c r="C7682" s="4" t="n">
        <v>215</v>
      </c>
      <c r="D7682" s="4" t="n">
        <v>65.03749999999999</v>
      </c>
      <c r="E7682" s="5" t="n">
        <v>55</v>
      </c>
      <c r="F7682" s="3" t="inlineStr">
        <is>
          <t>남이면</t>
        </is>
      </c>
      <c r="G7682" s="3" t="inlineStr">
        <is>
          <t>대련리</t>
        </is>
      </c>
      <c r="H7682" s="3" t="inlineStr">
        <is>
          <t>자연녹지지역</t>
        </is>
      </c>
      <c r="I7682" s="3" t="inlineStr">
        <is>
          <t>답</t>
        </is>
      </c>
      <c r="J7682" s="3" t="inlineStr">
        <is>
          <t>남이면</t>
        </is>
      </c>
    </row>
    <row r="7683">
      <c r="A7683" s="3" t="n">
        <v>2026</v>
      </c>
      <c r="B7683" s="4" t="n">
        <v>21900</v>
      </c>
      <c r="C7683" s="4" t="n">
        <v>383.6</v>
      </c>
      <c r="D7683" s="4" t="n">
        <v>116.039</v>
      </c>
      <c r="E7683" s="5" t="n">
        <v>188.7</v>
      </c>
      <c r="F7683" s="3" t="inlineStr">
        <is>
          <t>남이면</t>
        </is>
      </c>
      <c r="G7683" s="3" t="inlineStr">
        <is>
          <t>가좌리</t>
        </is>
      </c>
      <c r="H7683" s="3" t="inlineStr">
        <is>
          <t>자연녹지지역</t>
        </is>
      </c>
      <c r="I7683" s="3" t="inlineStr">
        <is>
          <t>체육용지</t>
        </is>
      </c>
      <c r="J7683" s="3" t="inlineStr">
        <is>
          <t>남이면</t>
        </is>
      </c>
    </row>
    <row r="7684">
      <c r="A7684" s="3" t="n">
        <v>2025</v>
      </c>
      <c r="B7684" s="4" t="n">
        <v>24846</v>
      </c>
      <c r="C7684" s="4" t="n">
        <v>2000</v>
      </c>
      <c r="D7684" s="4" t="n">
        <v>605</v>
      </c>
      <c r="E7684" s="5" t="n">
        <v>41.1</v>
      </c>
      <c r="F7684" s="3" t="inlineStr">
        <is>
          <t>오송읍</t>
        </is>
      </c>
      <c r="G7684" s="3" t="inlineStr">
        <is>
          <t>호계리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2025</v>
      </c>
      <c r="B7685" s="4" t="n">
        <v>2100</v>
      </c>
      <c r="C7685" s="4" t="n">
        <v>45</v>
      </c>
      <c r="D7685" s="4" t="n">
        <v>13.6125</v>
      </c>
      <c r="E7685" s="5" t="n">
        <v>154.3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제1종일반주거지역</t>
        </is>
      </c>
      <c r="I7685" s="3" t="inlineStr">
        <is>
          <t>과수원</t>
        </is>
      </c>
      <c r="J7685" s="3" t="inlineStr">
        <is>
          <t>오송읍</t>
        </is>
      </c>
    </row>
    <row r="7686">
      <c r="A7686" s="3" t="n">
        <v>2025</v>
      </c>
      <c r="B7686" s="4" t="n">
        <v>30000</v>
      </c>
      <c r="C7686" s="4" t="n">
        <v>265.3</v>
      </c>
      <c r="D7686" s="4" t="n">
        <v>80.25324999999999</v>
      </c>
      <c r="E7686" s="5" t="n">
        <v>373.8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2025</v>
      </c>
      <c r="B7687" s="4" t="n">
        <v>17257</v>
      </c>
      <c r="C7687" s="4" t="n">
        <v>454.8</v>
      </c>
      <c r="D7687" s="4" t="n">
        <v>137.577</v>
      </c>
      <c r="E7687" s="5" t="n">
        <v>125.4</v>
      </c>
      <c r="F7687" s="3" t="inlineStr">
        <is>
          <t>강내면</t>
        </is>
      </c>
      <c r="G7687" s="3" t="inlineStr">
        <is>
          <t>사곡리</t>
        </is>
      </c>
      <c r="H7687" s="3" t="inlineStr">
        <is>
          <t>보전관리지역</t>
        </is>
      </c>
      <c r="I7687" s="3" t="inlineStr">
        <is>
          <t>대</t>
        </is>
      </c>
      <c r="J7687" s="3" t="inlineStr">
        <is>
          <t>강내면</t>
        </is>
      </c>
    </row>
    <row r="7688">
      <c r="A7688" s="3" t="n">
        <v>2025</v>
      </c>
      <c r="B7688" s="4" t="n">
        <v>17203</v>
      </c>
      <c r="C7688" s="4" t="n">
        <v>460</v>
      </c>
      <c r="D7688" s="4" t="n">
        <v>139.15</v>
      </c>
      <c r="E7688" s="5" t="n">
        <v>123.6</v>
      </c>
      <c r="F7688" s="3" t="inlineStr">
        <is>
          <t>강내면</t>
        </is>
      </c>
      <c r="G7688" s="3" t="inlineStr">
        <is>
          <t>사곡리</t>
        </is>
      </c>
      <c r="H7688" s="3" t="inlineStr">
        <is>
          <t>보전관리지역</t>
        </is>
      </c>
      <c r="I7688" s="3" t="inlineStr">
        <is>
          <t>대</t>
        </is>
      </c>
      <c r="J7688" s="3" t="inlineStr">
        <is>
          <t>강내면</t>
        </is>
      </c>
    </row>
    <row r="7689">
      <c r="A7689" s="3" t="n">
        <v>2025</v>
      </c>
      <c r="B7689" s="4" t="n">
        <v>23503</v>
      </c>
      <c r="C7689" s="4" t="n">
        <v>545.2</v>
      </c>
      <c r="D7689" s="4" t="n">
        <v>164.923</v>
      </c>
      <c r="E7689" s="5" t="n">
        <v>142.5</v>
      </c>
      <c r="F7689" s="3" t="inlineStr">
        <is>
          <t>강내면</t>
        </is>
      </c>
      <c r="G7689" s="3" t="inlineStr">
        <is>
          <t>사곡리</t>
        </is>
      </c>
      <c r="H7689" s="3" t="inlineStr">
        <is>
          <t>보전관리지역</t>
        </is>
      </c>
      <c r="I7689" s="3" t="inlineStr">
        <is>
          <t>대</t>
        </is>
      </c>
      <c r="J7689" s="3" t="inlineStr">
        <is>
          <t>강내면</t>
        </is>
      </c>
    </row>
    <row r="7690">
      <c r="A7690" s="3" t="n">
        <v>2022</v>
      </c>
      <c r="B7690" s="4" t="n">
        <v>7700</v>
      </c>
      <c r="C7690" s="4" t="n">
        <v>111</v>
      </c>
      <c r="D7690" s="4" t="n">
        <v>33.5775</v>
      </c>
      <c r="E7690" s="5" t="n">
        <v>229.3</v>
      </c>
      <c r="F7690" s="3" t="inlineStr">
        <is>
          <t>금남면</t>
        </is>
      </c>
      <c r="G7690" s="3" t="inlineStr">
        <is>
          <t>원봉리</t>
        </is>
      </c>
      <c r="H7690" s="3" t="inlineStr">
        <is>
          <t>계획관리지역</t>
        </is>
      </c>
      <c r="I7690" s="3" t="inlineStr">
        <is>
          <t>학교용지</t>
        </is>
      </c>
      <c r="J7690" s="3" t="inlineStr">
        <is>
          <t>금남면</t>
        </is>
      </c>
    </row>
    <row r="7691">
      <c r="A7691" s="3" t="n">
        <v>2024</v>
      </c>
      <c r="B7691" s="4" t="n">
        <v>5700</v>
      </c>
      <c r="C7691" s="4" t="n">
        <v>156</v>
      </c>
      <c r="D7691" s="4" t="n">
        <v>47.19</v>
      </c>
      <c r="E7691" s="5" t="n">
        <v>120.8</v>
      </c>
      <c r="F7691" s="3" t="inlineStr">
        <is>
          <t>조치원읍</t>
        </is>
      </c>
      <c r="G7691" s="3" t="inlineStr">
        <is>
          <t>서창리</t>
        </is>
      </c>
      <c r="H7691" s="3" t="inlineStr">
        <is>
          <t>제1종일반주거지역</t>
        </is>
      </c>
      <c r="I7691" s="3" t="inlineStr">
        <is>
          <t>대</t>
        </is>
      </c>
      <c r="J7691" s="3" t="inlineStr">
        <is>
          <t>조치원읍</t>
        </is>
      </c>
    </row>
    <row r="7692">
      <c r="A7692" s="3" t="n">
        <v>2024</v>
      </c>
      <c r="B7692" s="4" t="n">
        <v>28710</v>
      </c>
      <c r="C7692" s="4" t="n">
        <v>791</v>
      </c>
      <c r="D7692" s="4" t="n">
        <v>239.2775</v>
      </c>
      <c r="E7692" s="5" t="n">
        <v>120</v>
      </c>
      <c r="F7692" s="3" t="inlineStr">
        <is>
          <t>전의면</t>
        </is>
      </c>
      <c r="G7692" s="3" t="inlineStr">
        <is>
          <t>동교리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전의면</t>
        </is>
      </c>
    </row>
    <row r="7693">
      <c r="A7693" s="3" t="n">
        <v>2024</v>
      </c>
      <c r="B7693" s="4" t="n">
        <v>3500</v>
      </c>
      <c r="C7693" s="4" t="n">
        <v>205</v>
      </c>
      <c r="D7693" s="4" t="n">
        <v>62.0125</v>
      </c>
      <c r="E7693" s="5" t="n">
        <v>56.4</v>
      </c>
      <c r="F7693" s="3" t="inlineStr">
        <is>
          <t>부강면</t>
        </is>
      </c>
      <c r="G7693" s="3" t="inlineStr">
        <is>
          <t>산수리</t>
        </is>
      </c>
      <c r="H7693" s="3" t="inlineStr">
        <is>
          <t>계획관리지역</t>
        </is>
      </c>
      <c r="I7693" s="3" t="inlineStr">
        <is>
          <t>목장용지</t>
        </is>
      </c>
      <c r="J7693" s="3" t="inlineStr">
        <is>
          <t>부강면</t>
        </is>
      </c>
    </row>
    <row r="7694">
      <c r="A7694" s="3" t="n">
        <v>2024</v>
      </c>
      <c r="B7694" s="4" t="n">
        <v>5000</v>
      </c>
      <c r="C7694" s="4" t="n">
        <v>61</v>
      </c>
      <c r="D7694" s="4" t="n">
        <v>18.4525</v>
      </c>
      <c r="E7694" s="5" t="n">
        <v>271</v>
      </c>
      <c r="F7694" s="3" t="inlineStr">
        <is>
          <t>조치원읍</t>
        </is>
      </c>
      <c r="G7694" s="3" t="inlineStr">
        <is>
          <t>신안리</t>
        </is>
      </c>
      <c r="H7694" s="3" t="inlineStr">
        <is>
          <t>제1종일반주거지역</t>
        </is>
      </c>
      <c r="I7694" s="3" t="inlineStr">
        <is>
          <t>도로</t>
        </is>
      </c>
      <c r="J7694" s="3" t="inlineStr">
        <is>
          <t>조치원읍</t>
        </is>
      </c>
    </row>
    <row r="7695">
      <c r="A7695" s="3" t="n">
        <v>2024</v>
      </c>
      <c r="B7695" s="4" t="n">
        <v>25000</v>
      </c>
      <c r="C7695" s="4" t="n">
        <v>286</v>
      </c>
      <c r="D7695" s="4" t="n">
        <v>86.515</v>
      </c>
      <c r="E7695" s="5" t="n">
        <v>289</v>
      </c>
      <c r="F7695" s="3" t="inlineStr">
        <is>
          <t>조치원읍</t>
        </is>
      </c>
      <c r="G7695" s="3" t="inlineStr">
        <is>
          <t>신안리</t>
        </is>
      </c>
      <c r="H7695" s="3" t="inlineStr">
        <is>
          <t>제1종일반주거지역</t>
        </is>
      </c>
      <c r="I7695" s="3" t="inlineStr">
        <is>
          <t>대</t>
        </is>
      </c>
      <c r="J7695" s="3" t="inlineStr">
        <is>
          <t>조치원읍</t>
        </is>
      </c>
    </row>
    <row r="7696">
      <c r="A7696" s="3" t="n">
        <v>2024</v>
      </c>
      <c r="B7696" s="4" t="n">
        <v>9837</v>
      </c>
      <c r="C7696" s="4" t="n">
        <v>382</v>
      </c>
      <c r="D7696" s="4" t="n">
        <v>115.555</v>
      </c>
      <c r="E7696" s="5" t="n">
        <v>85.09999999999999</v>
      </c>
      <c r="F7696" s="3" t="inlineStr">
        <is>
          <t>금남면</t>
        </is>
      </c>
      <c r="G7696" s="3" t="inlineStr">
        <is>
          <t>성강리</t>
        </is>
      </c>
      <c r="H7696" s="3" t="inlineStr">
        <is>
          <t>보전관리지역</t>
        </is>
      </c>
      <c r="I7696" s="3" t="inlineStr">
        <is>
          <t>대</t>
        </is>
      </c>
      <c r="J7696" s="3" t="inlineStr">
        <is>
          <t>금남면</t>
        </is>
      </c>
    </row>
    <row r="7697">
      <c r="A7697" s="3" t="n">
        <v>2024</v>
      </c>
      <c r="B7697" s="4" t="n">
        <v>12669</v>
      </c>
      <c r="C7697" s="4" t="n">
        <v>492</v>
      </c>
      <c r="D7697" s="4" t="n">
        <v>148.83</v>
      </c>
      <c r="E7697" s="5" t="n">
        <v>85.09999999999999</v>
      </c>
      <c r="F7697" s="3" t="inlineStr">
        <is>
          <t>금남면</t>
        </is>
      </c>
      <c r="G7697" s="3" t="inlineStr">
        <is>
          <t>성강리</t>
        </is>
      </c>
      <c r="H7697" s="3" t="inlineStr">
        <is>
          <t>보전관리지역</t>
        </is>
      </c>
      <c r="I7697" s="3" t="inlineStr">
        <is>
          <t>전</t>
        </is>
      </c>
      <c r="J7697" s="3" t="inlineStr">
        <is>
          <t>금남면</t>
        </is>
      </c>
    </row>
    <row r="7698">
      <c r="A7698" s="3" t="n">
        <v>2024</v>
      </c>
      <c r="B7698" s="4" t="n">
        <v>13494</v>
      </c>
      <c r="C7698" s="4" t="n">
        <v>524</v>
      </c>
      <c r="D7698" s="4" t="n">
        <v>158.51</v>
      </c>
      <c r="E7698" s="5" t="n">
        <v>85.09999999999999</v>
      </c>
      <c r="F7698" s="3" t="inlineStr">
        <is>
          <t>금남면</t>
        </is>
      </c>
      <c r="G7698" s="3" t="inlineStr">
        <is>
          <t>성강리</t>
        </is>
      </c>
      <c r="H7698" s="3" t="inlineStr">
        <is>
          <t>보전관리지역</t>
        </is>
      </c>
      <c r="I7698" s="3" t="inlineStr">
        <is>
          <t>전</t>
        </is>
      </c>
      <c r="J7698" s="3" t="inlineStr">
        <is>
          <t>금남면</t>
        </is>
      </c>
    </row>
    <row r="7699">
      <c r="A7699" s="3" t="n">
        <v>2024</v>
      </c>
      <c r="B7699" s="4" t="n">
        <v>48000</v>
      </c>
      <c r="C7699" s="4" t="n">
        <v>2450</v>
      </c>
      <c r="D7699" s="4" t="n">
        <v>741.125</v>
      </c>
      <c r="E7699" s="5" t="n">
        <v>64.8</v>
      </c>
      <c r="F7699" s="3" t="inlineStr">
        <is>
          <t>금남면</t>
        </is>
      </c>
      <c r="G7699" s="3" t="inlineStr">
        <is>
          <t>영대리</t>
        </is>
      </c>
      <c r="H7699" s="3" t="inlineStr">
        <is>
          <t>개발제한구역</t>
        </is>
      </c>
      <c r="I7699" s="3" t="inlineStr">
        <is>
          <t>전</t>
        </is>
      </c>
      <c r="J7699" s="3" t="inlineStr">
        <is>
          <t>금남면</t>
        </is>
      </c>
    </row>
    <row r="7700">
      <c r="A7700" s="3" t="n">
        <v>2024</v>
      </c>
      <c r="B7700" s="4" t="n">
        <v>5000</v>
      </c>
      <c r="C7700" s="4" t="n">
        <v>165</v>
      </c>
      <c r="D7700" s="4" t="n">
        <v>49.9125</v>
      </c>
      <c r="E7700" s="5" t="n">
        <v>100.2</v>
      </c>
      <c r="F7700" s="3" t="inlineStr">
        <is>
          <t>연기면</t>
        </is>
      </c>
      <c r="G7700" s="3" t="inlineStr">
        <is>
          <t>수산리</t>
        </is>
      </c>
      <c r="H7700" s="3" t="inlineStr">
        <is>
          <t>계획관리지역</t>
        </is>
      </c>
      <c r="I7700" s="3" t="inlineStr">
        <is>
          <t>구거</t>
        </is>
      </c>
      <c r="J7700" s="3" t="inlineStr">
        <is>
          <t>연기면</t>
        </is>
      </c>
    </row>
    <row r="7701">
      <c r="A7701" s="3" t="n">
        <v>2024</v>
      </c>
      <c r="B7701" s="4" t="n">
        <v>27240</v>
      </c>
      <c r="C7701" s="4" t="n">
        <v>655</v>
      </c>
      <c r="D7701" s="4" t="n">
        <v>198.1375</v>
      </c>
      <c r="E7701" s="5" t="n">
        <v>137.5</v>
      </c>
      <c r="F7701" s="3" t="inlineStr">
        <is>
          <t>연기면</t>
        </is>
      </c>
      <c r="G7701" s="3" t="inlineStr">
        <is>
          <t>수산리</t>
        </is>
      </c>
      <c r="H7701" s="3" t="inlineStr">
        <is>
          <t>계획관리지역</t>
        </is>
      </c>
      <c r="I7701" s="3" t="inlineStr">
        <is>
          <t>임야</t>
        </is>
      </c>
      <c r="J7701" s="3" t="inlineStr">
        <is>
          <t>연기면</t>
        </is>
      </c>
    </row>
    <row r="7702">
      <c r="A7702" s="3" t="n">
        <v>2024</v>
      </c>
      <c r="B7702" s="4" t="n">
        <v>34400</v>
      </c>
      <c r="C7702" s="4" t="n">
        <v>2848</v>
      </c>
      <c r="D7702" s="4" t="n">
        <v>861.52</v>
      </c>
      <c r="E7702" s="5" t="n">
        <v>39.9</v>
      </c>
      <c r="F7702" s="3" t="inlineStr">
        <is>
          <t>현도면</t>
        </is>
      </c>
      <c r="G7702" s="3" t="inlineStr">
        <is>
          <t>죽전리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현도면</t>
        </is>
      </c>
    </row>
    <row r="7703">
      <c r="A7703" s="3" t="n">
        <v>2024</v>
      </c>
      <c r="B7703" s="4" t="n">
        <v>16000</v>
      </c>
      <c r="C7703" s="4" t="n">
        <v>1537</v>
      </c>
      <c r="D7703" s="4" t="n">
        <v>464.9425</v>
      </c>
      <c r="E7703" s="5" t="n">
        <v>34.4</v>
      </c>
      <c r="F7703" s="3" t="inlineStr">
        <is>
          <t>현도면</t>
        </is>
      </c>
      <c r="G7703" s="3" t="inlineStr">
        <is>
          <t>우록리</t>
        </is>
      </c>
      <c r="H7703" s="3" t="inlineStr">
        <is>
          <t>생산관리지역</t>
        </is>
      </c>
      <c r="I7703" s="3" t="inlineStr">
        <is>
          <t>답</t>
        </is>
      </c>
      <c r="J7703" s="3" t="inlineStr">
        <is>
          <t>현도면</t>
        </is>
      </c>
    </row>
    <row r="7704">
      <c r="A7704" s="3" t="n">
        <v>2024</v>
      </c>
      <c r="B7704" s="4" t="n">
        <v>20700</v>
      </c>
      <c r="C7704" s="4" t="n">
        <v>1683</v>
      </c>
      <c r="D7704" s="4" t="n">
        <v>509.1075</v>
      </c>
      <c r="E7704" s="5" t="n">
        <v>40.7</v>
      </c>
      <c r="F7704" s="3" t="inlineStr">
        <is>
          <t>현도면</t>
        </is>
      </c>
      <c r="G7704" s="3" t="inlineStr">
        <is>
          <t>달계리</t>
        </is>
      </c>
      <c r="H7704" s="3" t="inlineStr">
        <is>
          <t>자연녹지지역</t>
        </is>
      </c>
      <c r="I7704" s="3" t="inlineStr">
        <is>
          <t>답</t>
        </is>
      </c>
      <c r="J7704" s="3" t="inlineStr">
        <is>
          <t>현도면</t>
        </is>
      </c>
    </row>
    <row r="7705">
      <c r="A7705" s="3" t="n">
        <v>2024</v>
      </c>
      <c r="B7705" s="4" t="n">
        <v>7000</v>
      </c>
      <c r="C7705" s="4" t="n">
        <v>235</v>
      </c>
      <c r="D7705" s="4" t="n">
        <v>71.08749999999999</v>
      </c>
      <c r="E7705" s="5" t="n">
        <v>98.5</v>
      </c>
      <c r="F7705" s="3" t="inlineStr">
        <is>
          <t>현도면</t>
        </is>
      </c>
      <c r="G7705" s="3" t="inlineStr">
        <is>
          <t>달계리</t>
        </is>
      </c>
      <c r="H7705" s="3" t="inlineStr">
        <is>
          <t>제1종일반주거지역</t>
        </is>
      </c>
      <c r="I7705" s="3" t="inlineStr">
        <is>
          <t>전</t>
        </is>
      </c>
      <c r="J7705" s="3" t="inlineStr">
        <is>
          <t>현도면</t>
        </is>
      </c>
    </row>
    <row r="7706">
      <c r="A7706" s="3" t="n">
        <v>2024</v>
      </c>
      <c r="B7706" s="4" t="n">
        <v>17000</v>
      </c>
      <c r="C7706" s="4" t="n">
        <v>1582</v>
      </c>
      <c r="D7706" s="4" t="n">
        <v>478.555</v>
      </c>
      <c r="E7706" s="5" t="n">
        <v>35.5</v>
      </c>
      <c r="F7706" s="3" t="inlineStr">
        <is>
          <t>현도면</t>
        </is>
      </c>
      <c r="G7706" s="3" t="inlineStr">
        <is>
          <t>죽전리</t>
        </is>
      </c>
      <c r="H7706" s="3" t="inlineStr">
        <is>
          <t>자연녹지지역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2024</v>
      </c>
      <c r="B7707" s="4" t="n">
        <v>5000</v>
      </c>
      <c r="C7707" s="4" t="n">
        <v>5134</v>
      </c>
      <c r="D7707" s="4" t="n">
        <v>1553.035</v>
      </c>
      <c r="E7707" s="5" t="n">
        <v>3.2</v>
      </c>
      <c r="F7707" s="3" t="inlineStr">
        <is>
          <t>남이면</t>
        </is>
      </c>
      <c r="G7707" s="3" t="inlineStr">
        <is>
          <t>문동리</t>
        </is>
      </c>
      <c r="H7707" s="3" t="inlineStr">
        <is>
          <t>보전녹지지역</t>
        </is>
      </c>
      <c r="I7707" s="3" t="inlineStr">
        <is>
          <t>임야</t>
        </is>
      </c>
      <c r="J7707" s="3" t="inlineStr">
        <is>
          <t>남이면</t>
        </is>
      </c>
    </row>
    <row r="7708">
      <c r="A7708" s="3" t="n">
        <v>2024</v>
      </c>
      <c r="B7708" s="4" t="n">
        <v>300</v>
      </c>
      <c r="C7708" s="4" t="n">
        <v>224</v>
      </c>
      <c r="D7708" s="4" t="n">
        <v>67.75999999999999</v>
      </c>
      <c r="E7708" s="5" t="n">
        <v>4.4</v>
      </c>
      <c r="F7708" s="3" t="inlineStr">
        <is>
          <t>남이면</t>
        </is>
      </c>
      <c r="G7708" s="3" t="inlineStr">
        <is>
          <t>문동리</t>
        </is>
      </c>
      <c r="H7708" s="3" t="inlineStr">
        <is>
          <t>자연녹지지역</t>
        </is>
      </c>
      <c r="I7708" s="3" t="inlineStr">
        <is>
          <t>임야</t>
        </is>
      </c>
      <c r="J7708" s="3" t="inlineStr">
        <is>
          <t>남이면</t>
        </is>
      </c>
    </row>
    <row r="7709">
      <c r="A7709" s="3" t="n">
        <v>2024</v>
      </c>
      <c r="B7709" s="4" t="n">
        <v>5330</v>
      </c>
      <c r="C7709" s="4" t="n">
        <v>839</v>
      </c>
      <c r="D7709" s="4" t="n">
        <v>253.7975</v>
      </c>
      <c r="E7709" s="5" t="n">
        <v>21</v>
      </c>
      <c r="F7709" s="3" t="inlineStr">
        <is>
          <t>현도면</t>
        </is>
      </c>
      <c r="G7709" s="3" t="inlineStr">
        <is>
          <t>시목리</t>
        </is>
      </c>
      <c r="H7709" s="3" t="inlineStr">
        <is>
          <t>자연녹지지역</t>
        </is>
      </c>
      <c r="I7709" s="3" t="inlineStr">
        <is>
          <t>답</t>
        </is>
      </c>
      <c r="J7709" s="3" t="inlineStr">
        <is>
          <t>현도면</t>
        </is>
      </c>
    </row>
    <row r="7710">
      <c r="A7710" s="3" t="n">
        <v>2024</v>
      </c>
      <c r="B7710" s="4" t="n">
        <v>3670</v>
      </c>
      <c r="C7710" s="4" t="n">
        <v>608</v>
      </c>
      <c r="D7710" s="4" t="n">
        <v>183.92</v>
      </c>
      <c r="E7710" s="5" t="n">
        <v>20</v>
      </c>
      <c r="F7710" s="3" t="inlineStr">
        <is>
          <t>현도면</t>
        </is>
      </c>
      <c r="G7710" s="3" t="inlineStr">
        <is>
          <t>시목리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현도면</t>
        </is>
      </c>
    </row>
    <row r="7711">
      <c r="A7711" s="3" t="n">
        <v>2024</v>
      </c>
      <c r="B7711" s="4" t="n">
        <v>20700</v>
      </c>
      <c r="C7711" s="4" t="n">
        <v>1517</v>
      </c>
      <c r="D7711" s="4" t="n">
        <v>458.8925</v>
      </c>
      <c r="E7711" s="5" t="n">
        <v>45.1</v>
      </c>
      <c r="F7711" s="3" t="inlineStr">
        <is>
          <t>남이면</t>
        </is>
      </c>
      <c r="G7711" s="3" t="inlineStr">
        <is>
          <t>가마리</t>
        </is>
      </c>
      <c r="H7711" s="3" t="inlineStr">
        <is>
          <t>자연녹지지역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2024</v>
      </c>
      <c r="B7712" s="4" t="n">
        <v>2170</v>
      </c>
      <c r="C7712" s="4" t="n">
        <v>66</v>
      </c>
      <c r="D7712" s="4" t="n">
        <v>19.965</v>
      </c>
      <c r="E7712" s="5" t="n">
        <v>108.7</v>
      </c>
      <c r="F7712" s="3" t="inlineStr">
        <is>
          <t>남이면</t>
        </is>
      </c>
      <c r="G7712" s="3" t="inlineStr">
        <is>
          <t>외천리</t>
        </is>
      </c>
      <c r="H7712" s="3" t="inlineStr">
        <is>
          <t>계획관리지역</t>
        </is>
      </c>
      <c r="I7712" s="3" t="inlineStr">
        <is>
          <t>대</t>
        </is>
      </c>
      <c r="J7712" s="3" t="inlineStr">
        <is>
          <t>남이면</t>
        </is>
      </c>
    </row>
    <row r="7713">
      <c r="A7713" s="3" t="n">
        <v>2024</v>
      </c>
      <c r="B7713" s="4" t="n">
        <v>20000</v>
      </c>
      <c r="C7713" s="4" t="n">
        <v>1850</v>
      </c>
      <c r="D7713" s="4" t="n">
        <v>559.625</v>
      </c>
      <c r="E7713" s="5" t="n">
        <v>35.7</v>
      </c>
      <c r="F7713" s="3" t="inlineStr">
        <is>
          <t>현도면</t>
        </is>
      </c>
      <c r="G7713" s="3" t="inlineStr">
        <is>
          <t>죽전리</t>
        </is>
      </c>
      <c r="H7713" s="3" t="inlineStr">
        <is>
          <t>자연녹지지역</t>
        </is>
      </c>
      <c r="I7713" s="3" t="inlineStr">
        <is>
          <t>답</t>
        </is>
      </c>
      <c r="J7713" s="3" t="inlineStr">
        <is>
          <t>현도면</t>
        </is>
      </c>
    </row>
    <row r="7714">
      <c r="A7714" s="3" t="n">
        <v>2024</v>
      </c>
      <c r="B7714" s="4" t="n">
        <v>42039</v>
      </c>
      <c r="C7714" s="4" t="n">
        <v>1534</v>
      </c>
      <c r="D7714" s="4" t="n">
        <v>464.035</v>
      </c>
      <c r="E7714" s="5" t="n">
        <v>90.59999999999999</v>
      </c>
      <c r="F7714" s="3" t="inlineStr">
        <is>
          <t>남이면</t>
        </is>
      </c>
      <c r="G7714" s="3" t="inlineStr">
        <is>
          <t>가좌리</t>
        </is>
      </c>
      <c r="H7714" s="3" t="inlineStr">
        <is>
          <t>자연녹지지역</t>
        </is>
      </c>
      <c r="I7714" s="3" t="inlineStr">
        <is>
          <t>임야</t>
        </is>
      </c>
      <c r="J7714" s="3" t="inlineStr">
        <is>
          <t>남이면</t>
        </is>
      </c>
    </row>
    <row r="7715">
      <c r="A7715" s="3" t="n">
        <v>2024</v>
      </c>
      <c r="B7715" s="4" t="n">
        <v>31000</v>
      </c>
      <c r="C7715" s="4" t="n">
        <v>1707</v>
      </c>
      <c r="D7715" s="4" t="n">
        <v>516.3674999999999</v>
      </c>
      <c r="E7715" s="5" t="n">
        <v>60</v>
      </c>
      <c r="F7715" s="3" t="inlineStr">
        <is>
          <t>남이면</t>
        </is>
      </c>
      <c r="G7715" s="3" t="inlineStr">
        <is>
          <t>상발리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2024</v>
      </c>
      <c r="B7716" s="4" t="n">
        <v>190</v>
      </c>
      <c r="C7716" s="4" t="n">
        <v>149</v>
      </c>
      <c r="D7716" s="4" t="n">
        <v>45.0725</v>
      </c>
      <c r="E7716" s="5" t="n">
        <v>4.2</v>
      </c>
      <c r="F7716" s="3" t="inlineStr">
        <is>
          <t>남이면</t>
        </is>
      </c>
      <c r="G7716" s="3" t="inlineStr">
        <is>
          <t>외천리</t>
        </is>
      </c>
      <c r="H7716" s="3" t="inlineStr">
        <is>
          <t>보전관리지역</t>
        </is>
      </c>
      <c r="I7716" s="3" t="inlineStr">
        <is>
          <t>도로</t>
        </is>
      </c>
      <c r="J7716" s="3" t="inlineStr">
        <is>
          <t>남이면</t>
        </is>
      </c>
    </row>
    <row r="7717">
      <c r="A7717" s="3" t="n">
        <v>2024</v>
      </c>
      <c r="B7717" s="4" t="n">
        <v>35</v>
      </c>
      <c r="C7717" s="4" t="n">
        <v>27</v>
      </c>
      <c r="D7717" s="4" t="n">
        <v>8.1675</v>
      </c>
      <c r="E7717" s="5" t="n">
        <v>4.3</v>
      </c>
      <c r="F7717" s="3" t="inlineStr">
        <is>
          <t>남이면</t>
        </is>
      </c>
      <c r="G7717" s="3" t="inlineStr">
        <is>
          <t>외천리</t>
        </is>
      </c>
      <c r="H7717" s="3" t="inlineStr">
        <is>
          <t>보전관리지역</t>
        </is>
      </c>
      <c r="I7717" s="3" t="inlineStr">
        <is>
          <t>도로</t>
        </is>
      </c>
      <c r="J7717" s="3" t="inlineStr">
        <is>
          <t>남이면</t>
        </is>
      </c>
    </row>
    <row r="7718">
      <c r="A7718" s="3" t="n">
        <v>2024</v>
      </c>
      <c r="B7718" s="4" t="n">
        <v>100</v>
      </c>
      <c r="C7718" s="4" t="n">
        <v>80</v>
      </c>
      <c r="D7718" s="4" t="n">
        <v>24.2</v>
      </c>
      <c r="E7718" s="5" t="n">
        <v>4.1</v>
      </c>
      <c r="F7718" s="3" t="inlineStr">
        <is>
          <t>남이면</t>
        </is>
      </c>
      <c r="G7718" s="3" t="inlineStr">
        <is>
          <t>외천리</t>
        </is>
      </c>
      <c r="H7718" s="3" t="inlineStr">
        <is>
          <t>보전관리지역</t>
        </is>
      </c>
      <c r="I7718" s="3" t="inlineStr">
        <is>
          <t>답</t>
        </is>
      </c>
      <c r="J7718" s="3" t="inlineStr">
        <is>
          <t>남이면</t>
        </is>
      </c>
    </row>
    <row r="7719">
      <c r="A7719" s="3" t="n">
        <v>2024</v>
      </c>
      <c r="B7719" s="4" t="n">
        <v>7600</v>
      </c>
      <c r="C7719" s="4" t="n">
        <v>1256</v>
      </c>
      <c r="D7719" s="4" t="n">
        <v>379.94</v>
      </c>
      <c r="E7719" s="5" t="n">
        <v>20</v>
      </c>
      <c r="F7719" s="3" t="inlineStr">
        <is>
          <t>남이면</t>
        </is>
      </c>
      <c r="G7719" s="3" t="inlineStr">
        <is>
          <t>외천리</t>
        </is>
      </c>
      <c r="H7719" s="3" t="inlineStr">
        <is>
          <t>보전관리지역</t>
        </is>
      </c>
      <c r="I7719" s="3" t="inlineStr">
        <is>
          <t>답</t>
        </is>
      </c>
      <c r="J7719" s="3" t="inlineStr">
        <is>
          <t>남이면</t>
        </is>
      </c>
    </row>
    <row r="7720">
      <c r="A7720" s="3" t="n">
        <v>2024</v>
      </c>
      <c r="B7720" s="4" t="n">
        <v>18000</v>
      </c>
      <c r="C7720" s="4" t="n">
        <v>3002</v>
      </c>
      <c r="D7720" s="4" t="n">
        <v>908.105</v>
      </c>
      <c r="E7720" s="5" t="n">
        <v>19.8</v>
      </c>
      <c r="F7720" s="3" t="inlineStr">
        <is>
          <t>현도면</t>
        </is>
      </c>
      <c r="G7720" s="3" t="inlineStr">
        <is>
          <t>중척리</t>
        </is>
      </c>
      <c r="H7720" s="3" t="inlineStr">
        <is>
          <t>자연녹지지역</t>
        </is>
      </c>
      <c r="I7720" s="3" t="inlineStr">
        <is>
          <t>전</t>
        </is>
      </c>
      <c r="J7720" s="3" t="inlineStr">
        <is>
          <t>현도면</t>
        </is>
      </c>
    </row>
    <row r="7721">
      <c r="A7721" s="3" t="n">
        <v>2024</v>
      </c>
      <c r="B7721" s="4" t="n">
        <v>1500</v>
      </c>
      <c r="C7721" s="4" t="n">
        <v>119</v>
      </c>
      <c r="D7721" s="4" t="n">
        <v>35.9975</v>
      </c>
      <c r="E7721" s="5" t="n">
        <v>41.7</v>
      </c>
      <c r="F7721" s="3" t="inlineStr">
        <is>
          <t>현도면</t>
        </is>
      </c>
      <c r="G7721" s="3" t="inlineStr">
        <is>
          <t>죽전리</t>
        </is>
      </c>
      <c r="H7721" s="3" t="inlineStr">
        <is>
          <t>계획관리지역</t>
        </is>
      </c>
      <c r="I7721" s="3" t="inlineStr">
        <is>
          <t>전</t>
        </is>
      </c>
      <c r="J7721" s="3" t="inlineStr">
        <is>
          <t>현도면</t>
        </is>
      </c>
    </row>
    <row r="7722">
      <c r="A7722" s="3" t="n">
        <v>2024</v>
      </c>
      <c r="B7722" s="4" t="n">
        <v>24093</v>
      </c>
      <c r="C7722" s="4" t="n">
        <v>506</v>
      </c>
      <c r="D7722" s="4" t="n">
        <v>153.065</v>
      </c>
      <c r="E7722" s="5" t="n">
        <v>157.4</v>
      </c>
      <c r="F7722" s="3" t="inlineStr">
        <is>
          <t>남이면</t>
        </is>
      </c>
      <c r="G7722" s="3" t="inlineStr">
        <is>
          <t>양촌리</t>
        </is>
      </c>
      <c r="H7722" s="3" t="inlineStr">
        <is>
          <t>보전녹지지역</t>
        </is>
      </c>
      <c r="I7722" s="3" t="inlineStr">
        <is>
          <t>임야</t>
        </is>
      </c>
      <c r="J7722" s="3" t="inlineStr">
        <is>
          <t>남이면</t>
        </is>
      </c>
    </row>
    <row r="7723">
      <c r="A7723" s="3" t="n">
        <v>2023</v>
      </c>
      <c r="B7723" s="4" t="n">
        <v>100000</v>
      </c>
      <c r="C7723" s="4" t="n">
        <v>11901</v>
      </c>
      <c r="D7723" s="4" t="n">
        <v>3600.0525</v>
      </c>
      <c r="E7723" s="5" t="n">
        <v>27.8</v>
      </c>
      <c r="F7723" s="3" t="inlineStr">
        <is>
          <t>연서면</t>
        </is>
      </c>
      <c r="G7723" s="3" t="inlineStr">
        <is>
          <t>와촌리</t>
        </is>
      </c>
      <c r="H7723" s="3" t="inlineStr">
        <is>
          <t>농림지역</t>
        </is>
      </c>
      <c r="I7723" s="3" t="inlineStr">
        <is>
          <t>임야</t>
        </is>
      </c>
      <c r="J7723" s="3" t="inlineStr">
        <is>
          <t>연서면</t>
        </is>
      </c>
    </row>
    <row r="7724">
      <c r="A7724" s="3" t="n">
        <v>2023</v>
      </c>
      <c r="B7724" s="4" t="n">
        <v>19000</v>
      </c>
      <c r="C7724" s="4" t="n">
        <v>3307</v>
      </c>
      <c r="D7724" s="4" t="n">
        <v>1000.3675</v>
      </c>
      <c r="E7724" s="5" t="n">
        <v>19</v>
      </c>
      <c r="F7724" s="3" t="inlineStr">
        <is>
          <t>전의면</t>
        </is>
      </c>
      <c r="G7724" s="3" t="inlineStr">
        <is>
          <t>관정리</t>
        </is>
      </c>
      <c r="H7724" s="3" t="inlineStr">
        <is>
          <t>농림지역</t>
        </is>
      </c>
      <c r="I7724" s="3" t="inlineStr">
        <is>
          <t>임야</t>
        </is>
      </c>
      <c r="J7724" s="3" t="inlineStr">
        <is>
          <t>전의면</t>
        </is>
      </c>
    </row>
    <row r="7725">
      <c r="A7725" s="3" t="n">
        <v>2023</v>
      </c>
      <c r="B7725" s="4" t="n">
        <v>20000</v>
      </c>
      <c r="C7725" s="4" t="n">
        <v>1653</v>
      </c>
      <c r="D7725" s="4" t="n">
        <v>500.0325</v>
      </c>
      <c r="E7725" s="5" t="n">
        <v>40</v>
      </c>
      <c r="F7725" s="3" t="inlineStr">
        <is>
          <t>금남면</t>
        </is>
      </c>
      <c r="G7725" s="3" t="inlineStr">
        <is>
          <t>원봉리</t>
        </is>
      </c>
      <c r="H7725" s="3" t="inlineStr">
        <is>
          <t>보전관리지역</t>
        </is>
      </c>
      <c r="I7725" s="3" t="inlineStr">
        <is>
          <t>임야</t>
        </is>
      </c>
      <c r="J7725" s="3" t="inlineStr">
        <is>
          <t>금남면</t>
        </is>
      </c>
    </row>
    <row r="7726">
      <c r="A7726" s="3" t="n">
        <v>2023</v>
      </c>
      <c r="B7726" s="4" t="n">
        <v>25050</v>
      </c>
      <c r="C7726" s="4" t="n">
        <v>1653</v>
      </c>
      <c r="D7726" s="4" t="n">
        <v>500.0325</v>
      </c>
      <c r="E7726" s="5" t="n">
        <v>50.1</v>
      </c>
      <c r="F7726" s="3" t="inlineStr">
        <is>
          <t>연기면</t>
        </is>
      </c>
      <c r="G7726" s="3" t="inlineStr">
        <is>
          <t>수산리</t>
        </is>
      </c>
      <c r="H7726" s="3" t="inlineStr">
        <is>
          <t>제1종일반주거지역</t>
        </is>
      </c>
      <c r="I7726" s="3" t="inlineStr">
        <is>
          <t>임야</t>
        </is>
      </c>
      <c r="J7726" s="3" t="inlineStr">
        <is>
          <t>연기면</t>
        </is>
      </c>
    </row>
    <row r="7727">
      <c r="A7727" s="3" t="n">
        <v>2023</v>
      </c>
      <c r="B7727" s="4" t="n">
        <v>38000</v>
      </c>
      <c r="C7727" s="4" t="n">
        <v>4261.9</v>
      </c>
      <c r="D7727" s="4" t="n">
        <v>1289.22475</v>
      </c>
      <c r="E7727" s="5" t="n">
        <v>29.5</v>
      </c>
      <c r="F7727" s="3" t="inlineStr">
        <is>
          <t>부강면</t>
        </is>
      </c>
      <c r="G7727" s="3" t="inlineStr">
        <is>
          <t>행산리</t>
        </is>
      </c>
      <c r="H7727" s="3" t="inlineStr">
        <is>
          <t>농림지역</t>
        </is>
      </c>
      <c r="I7727" s="3" t="inlineStr">
        <is>
          <t>답</t>
        </is>
      </c>
      <c r="J7727" s="3" t="inlineStr">
        <is>
          <t>부강면</t>
        </is>
      </c>
    </row>
    <row r="7728">
      <c r="A7728" s="3" t="n">
        <v>2023</v>
      </c>
      <c r="B7728" s="4" t="n">
        <v>300</v>
      </c>
      <c r="C7728" s="4" t="n">
        <v>74</v>
      </c>
      <c r="D7728" s="4" t="n">
        <v>22.385</v>
      </c>
      <c r="E7728" s="5" t="n">
        <v>13.4</v>
      </c>
      <c r="F7728" s="3" t="inlineStr">
        <is>
          <t>부강면</t>
        </is>
      </c>
      <c r="G7728" s="3" t="inlineStr">
        <is>
          <t>문곡리</t>
        </is>
      </c>
      <c r="H7728" s="3" t="inlineStr">
        <is>
          <t>계획관리지역</t>
        </is>
      </c>
      <c r="I7728" s="3" t="inlineStr">
        <is>
          <t>도로</t>
        </is>
      </c>
      <c r="J7728" s="3" t="inlineStr">
        <is>
          <t>부강면</t>
        </is>
      </c>
    </row>
    <row r="7729">
      <c r="A7729" s="3" t="n">
        <v>2023</v>
      </c>
      <c r="B7729" s="4" t="n">
        <v>10000</v>
      </c>
      <c r="C7729" s="4" t="n">
        <v>161</v>
      </c>
      <c r="D7729" s="4" t="n">
        <v>48.7025</v>
      </c>
      <c r="E7729" s="5" t="n">
        <v>205.3</v>
      </c>
      <c r="F7729" s="3" t="inlineStr">
        <is>
          <t>부강면</t>
        </is>
      </c>
      <c r="G7729" s="3" t="inlineStr">
        <is>
          <t>문곡리</t>
        </is>
      </c>
      <c r="H7729" s="3" t="inlineStr">
        <is>
          <t>계획관리지역</t>
        </is>
      </c>
      <c r="I7729" s="3" t="inlineStr">
        <is>
          <t>답</t>
        </is>
      </c>
      <c r="J7729" s="3" t="inlineStr">
        <is>
          <t>부강면</t>
        </is>
      </c>
    </row>
    <row r="7730">
      <c r="A7730" s="3" t="n">
        <v>2022</v>
      </c>
      <c r="B7730" s="4" t="n">
        <v>14880</v>
      </c>
      <c r="C7730" s="4" t="n">
        <v>192</v>
      </c>
      <c r="D7730" s="4" t="n">
        <v>58.08</v>
      </c>
      <c r="E7730" s="5" t="n">
        <v>256.2</v>
      </c>
      <c r="F7730" s="3" t="inlineStr">
        <is>
          <t>금남면</t>
        </is>
      </c>
      <c r="G7730" s="3" t="inlineStr">
        <is>
          <t>원봉리</t>
        </is>
      </c>
      <c r="H7730" s="3" t="inlineStr">
        <is>
          <t>계획관리지역</t>
        </is>
      </c>
      <c r="I7730" s="3" t="inlineStr">
        <is>
          <t>학교용지</t>
        </is>
      </c>
      <c r="J7730" s="3" t="inlineStr">
        <is>
          <t>금남면</t>
        </is>
      </c>
    </row>
    <row r="7731">
      <c r="A7731" s="3" t="n">
        <v>2022</v>
      </c>
      <c r="B7731" s="4" t="n">
        <v>4000</v>
      </c>
      <c r="C7731" s="4" t="n">
        <v>64</v>
      </c>
      <c r="D7731" s="4" t="n">
        <v>19.36</v>
      </c>
      <c r="E7731" s="5" t="n">
        <v>206.6</v>
      </c>
      <c r="F7731" s="3" t="inlineStr">
        <is>
          <t>금남면</t>
        </is>
      </c>
      <c r="G7731" s="3" t="inlineStr">
        <is>
          <t>도남리</t>
        </is>
      </c>
      <c r="H7731" s="3" t="inlineStr">
        <is>
          <t>계획관리지역</t>
        </is>
      </c>
      <c r="I7731" s="3" t="inlineStr">
        <is>
          <t>전</t>
        </is>
      </c>
      <c r="J7731" s="3" t="inlineStr">
        <is>
          <t>금남면</t>
        </is>
      </c>
    </row>
    <row r="7732">
      <c r="A7732" s="3" t="n">
        <v>2022</v>
      </c>
      <c r="B7732" s="4" t="n">
        <v>1000</v>
      </c>
      <c r="C7732" s="4" t="n">
        <v>14</v>
      </c>
      <c r="D7732" s="4" t="n">
        <v>4.234999999999999</v>
      </c>
      <c r="E7732" s="5" t="n">
        <v>236.1</v>
      </c>
      <c r="F7732" s="3" t="inlineStr">
        <is>
          <t>금남면</t>
        </is>
      </c>
      <c r="G7732" s="3" t="inlineStr">
        <is>
          <t>도남리</t>
        </is>
      </c>
      <c r="H7732" s="3" t="inlineStr">
        <is>
          <t>계획관리지역</t>
        </is>
      </c>
      <c r="I7732" s="3" t="inlineStr">
        <is>
          <t>전</t>
        </is>
      </c>
      <c r="J7732" s="3" t="inlineStr">
        <is>
          <t>금남면</t>
        </is>
      </c>
    </row>
    <row r="7733">
      <c r="A7733" s="3" t="n">
        <v>2022</v>
      </c>
      <c r="B7733" s="4" t="n">
        <v>37200</v>
      </c>
      <c r="C7733" s="4" t="n">
        <v>1556</v>
      </c>
      <c r="D7733" s="4" t="n">
        <v>470.69</v>
      </c>
      <c r="E7733" s="5" t="n">
        <v>79</v>
      </c>
      <c r="F7733" s="3" t="inlineStr">
        <is>
          <t>전동면</t>
        </is>
      </c>
      <c r="G7733" s="3" t="inlineStr">
        <is>
          <t>송정리</t>
        </is>
      </c>
      <c r="H7733" s="3" t="inlineStr">
        <is>
          <t>보전관리지역</t>
        </is>
      </c>
      <c r="I7733" s="3" t="inlineStr">
        <is>
          <t>전</t>
        </is>
      </c>
      <c r="J7733" s="3" t="inlineStr">
        <is>
          <t>전동면</t>
        </is>
      </c>
    </row>
    <row r="7734">
      <c r="A7734" s="3" t="n">
        <v>2022</v>
      </c>
      <c r="B7734" s="4" t="n">
        <v>6210</v>
      </c>
      <c r="C7734" s="4" t="n">
        <v>77</v>
      </c>
      <c r="D7734" s="4" t="n">
        <v>23.2925</v>
      </c>
      <c r="E7734" s="5" t="n">
        <v>266.6</v>
      </c>
      <c r="F7734" s="3" t="inlineStr">
        <is>
          <t>장군면</t>
        </is>
      </c>
      <c r="G7734" s="3" t="inlineStr">
        <is>
          <t>평기리</t>
        </is>
      </c>
      <c r="H7734" s="3" t="inlineStr">
        <is>
          <t>보전관리지역</t>
        </is>
      </c>
      <c r="I7734" s="3" t="inlineStr">
        <is>
          <t>임야</t>
        </is>
      </c>
      <c r="J7734" s="3" t="inlineStr">
        <is>
          <t>장군면</t>
        </is>
      </c>
    </row>
    <row r="7735">
      <c r="A7735" s="3" t="n">
        <v>2022</v>
      </c>
      <c r="B7735" s="4" t="n">
        <v>880</v>
      </c>
      <c r="C7735" s="4" t="n">
        <v>8</v>
      </c>
      <c r="D7735" s="4" t="n">
        <v>2.42</v>
      </c>
      <c r="E7735" s="5" t="n">
        <v>363.6</v>
      </c>
      <c r="F7735" s="3" t="inlineStr">
        <is>
          <t>연서면</t>
        </is>
      </c>
      <c r="G7735" s="3" t="inlineStr">
        <is>
          <t>봉암리</t>
        </is>
      </c>
      <c r="H7735" s="3" t="inlineStr">
        <is>
          <t>계획관리지역</t>
        </is>
      </c>
      <c r="I7735" s="3" t="inlineStr">
        <is>
          <t>답</t>
        </is>
      </c>
      <c r="J7735" s="3" t="inlineStr">
        <is>
          <t>연서면</t>
        </is>
      </c>
    </row>
    <row r="7736">
      <c r="A7736" s="3" t="n">
        <v>2022</v>
      </c>
      <c r="B7736" s="4" t="n">
        <v>93</v>
      </c>
      <c r="C7736" s="4" t="n">
        <v>1</v>
      </c>
      <c r="D7736" s="4" t="n">
        <v>0.3025</v>
      </c>
      <c r="E7736" s="5" t="n">
        <v>307.4</v>
      </c>
      <c r="F7736" s="3" t="inlineStr">
        <is>
          <t>연서면</t>
        </is>
      </c>
      <c r="G7736" s="3" t="inlineStr">
        <is>
          <t>봉암리</t>
        </is>
      </c>
      <c r="H7736" s="3" t="inlineStr">
        <is>
          <t>계획관리지역</t>
        </is>
      </c>
      <c r="I7736" s="3" t="inlineStr">
        <is>
          <t>답</t>
        </is>
      </c>
      <c r="J7736" s="3" t="inlineStr">
        <is>
          <t>연서면</t>
        </is>
      </c>
    </row>
    <row r="7737">
      <c r="A7737" s="3" t="n">
        <v>2022</v>
      </c>
      <c r="B7737" s="4" t="n">
        <v>1500</v>
      </c>
      <c r="C7737" s="4" t="n">
        <v>504</v>
      </c>
      <c r="D7737" s="4" t="n">
        <v>152.46</v>
      </c>
      <c r="E7737" s="5" t="n">
        <v>9.800000000000001</v>
      </c>
      <c r="F7737" s="3" t="inlineStr">
        <is>
          <t>연서면</t>
        </is>
      </c>
      <c r="G7737" s="3" t="inlineStr">
        <is>
          <t>쌍류리</t>
        </is>
      </c>
      <c r="H7737" s="3" t="inlineStr">
        <is>
          <t>보전관리지역</t>
        </is>
      </c>
      <c r="I7737" s="3" t="inlineStr">
        <is>
          <t>전</t>
        </is>
      </c>
      <c r="J7737" s="3" t="inlineStr">
        <is>
          <t>연서면</t>
        </is>
      </c>
    </row>
    <row r="7738">
      <c r="A7738" s="3" t="n">
        <v>2022</v>
      </c>
      <c r="B7738" s="4" t="n">
        <v>6000</v>
      </c>
      <c r="C7738" s="4" t="n">
        <v>5479</v>
      </c>
      <c r="D7738" s="4" t="n">
        <v>1657.3975</v>
      </c>
      <c r="E7738" s="5" t="n">
        <v>3.6</v>
      </c>
      <c r="F7738" s="3" t="inlineStr">
        <is>
          <t>금남면</t>
        </is>
      </c>
      <c r="G7738" s="3" t="inlineStr">
        <is>
          <t>축산리</t>
        </is>
      </c>
      <c r="H7738" s="3" t="inlineStr">
        <is>
          <t>개발제한구역</t>
        </is>
      </c>
      <c r="I7738" s="3" t="inlineStr">
        <is>
          <t>임야</t>
        </is>
      </c>
      <c r="J7738" s="3" t="inlineStr">
        <is>
          <t>금남면</t>
        </is>
      </c>
    </row>
    <row r="7739">
      <c r="A7739" s="3" t="n">
        <v>2022</v>
      </c>
      <c r="B7739" s="4" t="n">
        <v>580</v>
      </c>
      <c r="C7739" s="4" t="n">
        <v>90</v>
      </c>
      <c r="D7739" s="4" t="n">
        <v>27.225</v>
      </c>
      <c r="E7739" s="5" t="n">
        <v>21.3</v>
      </c>
      <c r="F7739" s="3" t="inlineStr">
        <is>
          <t>부강면</t>
        </is>
      </c>
      <c r="G7739" s="3" t="inlineStr">
        <is>
          <t>문곡리</t>
        </is>
      </c>
      <c r="H7739" s="3" t="inlineStr">
        <is>
          <t>계획관리지역</t>
        </is>
      </c>
      <c r="I7739" s="3" t="inlineStr">
        <is>
          <t>전</t>
        </is>
      </c>
      <c r="J7739" s="3" t="inlineStr">
        <is>
          <t>부강면</t>
        </is>
      </c>
    </row>
    <row r="7740">
      <c r="A7740" s="3" t="n">
        <v>2022</v>
      </c>
      <c r="B7740" s="4" t="n">
        <v>1920</v>
      </c>
      <c r="C7740" s="4" t="n">
        <v>55</v>
      </c>
      <c r="D7740" s="4" t="n">
        <v>16.6375</v>
      </c>
      <c r="E7740" s="5" t="n">
        <v>115.4</v>
      </c>
      <c r="F7740" s="3" t="inlineStr">
        <is>
          <t>부강면</t>
        </is>
      </c>
      <c r="G7740" s="3" t="inlineStr">
        <is>
          <t>문곡리</t>
        </is>
      </c>
      <c r="H7740" s="3" t="inlineStr">
        <is>
          <t>계획관리지역</t>
        </is>
      </c>
      <c r="I7740" s="3" t="inlineStr">
        <is>
          <t>대</t>
        </is>
      </c>
      <c r="J7740" s="3" t="inlineStr">
        <is>
          <t>부강면</t>
        </is>
      </c>
    </row>
    <row r="7741">
      <c r="A7741" s="3" t="n">
        <v>2022</v>
      </c>
      <c r="B7741" s="4" t="n">
        <v>11200</v>
      </c>
      <c r="C7741" s="4" t="n">
        <v>461</v>
      </c>
      <c r="D7741" s="4" t="n">
        <v>139.4525</v>
      </c>
      <c r="E7741" s="5" t="n">
        <v>80.3</v>
      </c>
      <c r="F7741" s="3" t="inlineStr">
        <is>
          <t>장군면</t>
        </is>
      </c>
      <c r="G7741" s="3" t="inlineStr">
        <is>
          <t>평기리</t>
        </is>
      </c>
      <c r="H7741" s="3" t="inlineStr">
        <is>
          <t>보전관리지역</t>
        </is>
      </c>
      <c r="I7741" s="3" t="inlineStr">
        <is>
          <t>전</t>
        </is>
      </c>
      <c r="J7741" s="3" t="inlineStr">
        <is>
          <t>장군면</t>
        </is>
      </c>
    </row>
    <row r="7742">
      <c r="A7742" s="3" t="n">
        <v>2022</v>
      </c>
      <c r="B7742" s="4" t="n">
        <v>2400</v>
      </c>
      <c r="C7742" s="4" t="n">
        <v>159</v>
      </c>
      <c r="D7742" s="4" t="n">
        <v>48.0975</v>
      </c>
      <c r="E7742" s="5" t="n">
        <v>49.9</v>
      </c>
      <c r="F7742" s="3" t="inlineStr">
        <is>
          <t>소정면</t>
        </is>
      </c>
      <c r="G7742" s="3" t="inlineStr">
        <is>
          <t>고등리</t>
        </is>
      </c>
      <c r="H7742" s="3" t="inlineStr">
        <is>
          <t>계획관리지역</t>
        </is>
      </c>
      <c r="I7742" s="3" t="inlineStr">
        <is>
          <t>임야</t>
        </is>
      </c>
      <c r="J7742" s="3" t="inlineStr">
        <is>
          <t>소정면</t>
        </is>
      </c>
    </row>
    <row r="7743">
      <c r="A7743" s="3" t="n">
        <v>2022</v>
      </c>
      <c r="B7743" s="4" t="n">
        <v>4880</v>
      </c>
      <c r="C7743" s="4" t="n">
        <v>860</v>
      </c>
      <c r="D7743" s="4" t="n">
        <v>260.15</v>
      </c>
      <c r="E7743" s="5" t="n">
        <v>18.8</v>
      </c>
      <c r="F7743" s="3" t="inlineStr">
        <is>
          <t>전의면</t>
        </is>
      </c>
      <c r="G7743" s="3" t="inlineStr">
        <is>
          <t>신정리</t>
        </is>
      </c>
      <c r="H7743" s="3" t="inlineStr">
        <is>
          <t>계획관리지역</t>
        </is>
      </c>
      <c r="I7743" s="3" t="inlineStr">
        <is>
          <t>전</t>
        </is>
      </c>
      <c r="J7743" s="3" t="inlineStr">
        <is>
          <t>전의면</t>
        </is>
      </c>
    </row>
    <row r="7744">
      <c r="A7744" s="3" t="n">
        <v>2022</v>
      </c>
      <c r="B7744" s="4" t="n">
        <v>2076</v>
      </c>
      <c r="C7744" s="4" t="n">
        <v>400</v>
      </c>
      <c r="D7744" s="4" t="n">
        <v>121</v>
      </c>
      <c r="E7744" s="5" t="n">
        <v>17.2</v>
      </c>
      <c r="F7744" s="3" t="inlineStr">
        <is>
          <t>전의면</t>
        </is>
      </c>
      <c r="G7744" s="3" t="inlineStr">
        <is>
          <t>신정리</t>
        </is>
      </c>
      <c r="H7744" s="3" t="inlineStr">
        <is>
          <t>계획관리지역</t>
        </is>
      </c>
      <c r="I7744" s="3" t="inlineStr">
        <is>
          <t>전</t>
        </is>
      </c>
      <c r="J7744" s="3" t="inlineStr">
        <is>
          <t>전의면</t>
        </is>
      </c>
    </row>
    <row r="7745">
      <c r="A7745" s="3" t="n">
        <v>2022</v>
      </c>
      <c r="B7745" s="4" t="n">
        <v>40800</v>
      </c>
      <c r="C7745" s="4" t="n">
        <v>1943</v>
      </c>
      <c r="D7745" s="4" t="n">
        <v>587.7574999999999</v>
      </c>
      <c r="E7745" s="5" t="n">
        <v>69.40000000000001</v>
      </c>
      <c r="F7745" s="3" t="inlineStr">
        <is>
          <t>금남면</t>
        </is>
      </c>
      <c r="G7745" s="3" t="inlineStr">
        <is>
          <t>달전리</t>
        </is>
      </c>
      <c r="H7745" s="3" t="inlineStr">
        <is>
          <t>개발제한구역</t>
        </is>
      </c>
      <c r="I7745" s="3" t="inlineStr">
        <is>
          <t>답</t>
        </is>
      </c>
      <c r="J7745" s="3" t="inlineStr">
        <is>
          <t>금남면</t>
        </is>
      </c>
    </row>
    <row r="7746">
      <c r="A7746" s="3" t="n">
        <v>2022</v>
      </c>
      <c r="B7746" s="4" t="n">
        <v>500</v>
      </c>
      <c r="C7746" s="4" t="n">
        <v>22</v>
      </c>
      <c r="D7746" s="4" t="n">
        <v>6.654999999999999</v>
      </c>
      <c r="E7746" s="5" t="n">
        <v>75.09999999999999</v>
      </c>
      <c r="F7746" s="3" t="inlineStr">
        <is>
          <t>전동면</t>
        </is>
      </c>
      <c r="G7746" s="3" t="inlineStr">
        <is>
          <t>미곡리</t>
        </is>
      </c>
      <c r="H7746" s="3" t="inlineStr">
        <is>
          <t>계획관리지역</t>
        </is>
      </c>
      <c r="I7746" s="3" t="inlineStr">
        <is>
          <t>전</t>
        </is>
      </c>
      <c r="J7746" s="3" t="inlineStr">
        <is>
          <t>전동면</t>
        </is>
      </c>
    </row>
    <row r="7747">
      <c r="A7747" s="3" t="n">
        <v>2022</v>
      </c>
      <c r="B7747" s="4" t="n">
        <v>66990</v>
      </c>
      <c r="C7747" s="4" t="n">
        <v>2013</v>
      </c>
      <c r="D7747" s="4" t="n">
        <v>608.9325</v>
      </c>
      <c r="E7747" s="5" t="n">
        <v>110</v>
      </c>
      <c r="F7747" s="3" t="inlineStr">
        <is>
          <t>전동면</t>
        </is>
      </c>
      <c r="G7747" s="3" t="inlineStr">
        <is>
          <t>송정리</t>
        </is>
      </c>
      <c r="H7747" s="3" t="inlineStr">
        <is>
          <t>계획관리지역</t>
        </is>
      </c>
      <c r="I7747" s="3" t="inlineStr">
        <is>
          <t>답</t>
        </is>
      </c>
      <c r="J7747" s="3" t="inlineStr">
        <is>
          <t>전동면</t>
        </is>
      </c>
    </row>
    <row r="7748">
      <c r="A7748" s="3" t="n">
        <v>2023</v>
      </c>
      <c r="B7748" s="4" t="n">
        <v>1032</v>
      </c>
      <c r="C7748" s="4" t="n">
        <v>86</v>
      </c>
      <c r="D7748" s="4" t="n">
        <v>26.015</v>
      </c>
      <c r="E7748" s="5" t="n">
        <v>39.7</v>
      </c>
      <c r="F7748" s="3" t="inlineStr">
        <is>
          <t>현도면</t>
        </is>
      </c>
      <c r="G7748" s="3" t="inlineStr">
        <is>
          <t>중삼리</t>
        </is>
      </c>
      <c r="H7748" s="3" t="inlineStr">
        <is>
          <t>계획관리지역</t>
        </is>
      </c>
      <c r="I7748" s="3" t="inlineStr">
        <is>
          <t>임야</t>
        </is>
      </c>
      <c r="J7748" s="3" t="inlineStr">
        <is>
          <t>현도면</t>
        </is>
      </c>
    </row>
    <row r="7749">
      <c r="A7749" s="3" t="n">
        <v>2023</v>
      </c>
      <c r="B7749" s="4" t="n">
        <v>25441</v>
      </c>
      <c r="C7749" s="4" t="n">
        <v>1235</v>
      </c>
      <c r="D7749" s="4" t="n">
        <v>373.5875</v>
      </c>
      <c r="E7749" s="5" t="n">
        <v>68.09999999999999</v>
      </c>
      <c r="F7749" s="3" t="inlineStr">
        <is>
          <t>현도면</t>
        </is>
      </c>
      <c r="G7749" s="3" t="inlineStr">
        <is>
          <t>중삼리</t>
        </is>
      </c>
      <c r="H7749" s="3" t="inlineStr">
        <is>
          <t>계획관리지역</t>
        </is>
      </c>
      <c r="I7749" s="3" t="inlineStr">
        <is>
          <t>답</t>
        </is>
      </c>
      <c r="J7749" s="3" t="inlineStr">
        <is>
          <t>현도면</t>
        </is>
      </c>
    </row>
    <row r="7750">
      <c r="A7750" s="3" t="n">
        <v>2023</v>
      </c>
      <c r="B7750" s="4" t="n">
        <v>1000</v>
      </c>
      <c r="C7750" s="4" t="n">
        <v>84</v>
      </c>
      <c r="D7750" s="4" t="n">
        <v>25.41</v>
      </c>
      <c r="E7750" s="5" t="n">
        <v>39.4</v>
      </c>
      <c r="F7750" s="3" t="inlineStr">
        <is>
          <t>남이면</t>
        </is>
      </c>
      <c r="G7750" s="3" t="inlineStr">
        <is>
          <t>수대리</t>
        </is>
      </c>
      <c r="H7750" s="3" t="inlineStr">
        <is>
          <t>자연녹지지역</t>
        </is>
      </c>
      <c r="I7750" s="3" t="inlineStr">
        <is>
          <t>답</t>
        </is>
      </c>
      <c r="J7750" s="3" t="inlineStr">
        <is>
          <t>남이면</t>
        </is>
      </c>
    </row>
    <row r="7751">
      <c r="A7751" s="3" t="n">
        <v>2023</v>
      </c>
      <c r="B7751" s="4" t="n">
        <v>36090</v>
      </c>
      <c r="C7751" s="4" t="n">
        <v>2338</v>
      </c>
      <c r="D7751" s="4" t="n">
        <v>707.245</v>
      </c>
      <c r="E7751" s="5" t="n">
        <v>51</v>
      </c>
      <c r="F7751" s="3" t="inlineStr">
        <is>
          <t>남이면</t>
        </is>
      </c>
      <c r="G7751" s="3" t="inlineStr">
        <is>
          <t>부용외천리</t>
        </is>
      </c>
      <c r="H7751" s="3" t="inlineStr">
        <is>
          <t>계획관리지역</t>
        </is>
      </c>
      <c r="I7751" s="3" t="inlineStr">
        <is>
          <t>답</t>
        </is>
      </c>
      <c r="J7751" s="3" t="inlineStr">
        <is>
          <t>남이면</t>
        </is>
      </c>
    </row>
    <row r="7752">
      <c r="A7752" s="3" t="n">
        <v>2023</v>
      </c>
      <c r="B7752" s="4" t="n">
        <v>10540</v>
      </c>
      <c r="C7752" s="4" t="n">
        <v>683</v>
      </c>
      <c r="D7752" s="4" t="n">
        <v>206.6075</v>
      </c>
      <c r="E7752" s="5" t="n">
        <v>51</v>
      </c>
      <c r="F7752" s="3" t="inlineStr">
        <is>
          <t>남이면</t>
        </is>
      </c>
      <c r="G7752" s="3" t="inlineStr">
        <is>
          <t>부용외천리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2023</v>
      </c>
      <c r="B7753" s="4" t="n">
        <v>11500</v>
      </c>
      <c r="C7753" s="4" t="n">
        <v>274</v>
      </c>
      <c r="D7753" s="4" t="n">
        <v>82.88499999999999</v>
      </c>
      <c r="E7753" s="5" t="n">
        <v>138.7</v>
      </c>
      <c r="F7753" s="3" t="inlineStr">
        <is>
          <t>남이면</t>
        </is>
      </c>
      <c r="G7753" s="3" t="inlineStr">
        <is>
          <t>부용외천리</t>
        </is>
      </c>
      <c r="H7753" s="3" t="inlineStr">
        <is>
          <t>계획관리지역</t>
        </is>
      </c>
      <c r="I7753" s="3" t="inlineStr">
        <is>
          <t>대</t>
        </is>
      </c>
      <c r="J7753" s="3" t="inlineStr">
        <is>
          <t>남이면</t>
        </is>
      </c>
    </row>
    <row r="7754">
      <c r="A7754" s="3" t="n">
        <v>2023</v>
      </c>
      <c r="B7754" s="4" t="n">
        <v>57700</v>
      </c>
      <c r="C7754" s="4" t="n">
        <v>1375</v>
      </c>
      <c r="D7754" s="4" t="n">
        <v>415.9375</v>
      </c>
      <c r="E7754" s="5" t="n">
        <v>138.7</v>
      </c>
      <c r="F7754" s="3" t="inlineStr">
        <is>
          <t>남이면</t>
        </is>
      </c>
      <c r="G7754" s="3" t="inlineStr">
        <is>
          <t>부용외천리</t>
        </is>
      </c>
      <c r="H7754" s="3" t="inlineStr">
        <is>
          <t>계획관리지역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2023</v>
      </c>
      <c r="B7755" s="4" t="n">
        <v>55490</v>
      </c>
      <c r="C7755" s="4" t="n">
        <v>1456</v>
      </c>
      <c r="D7755" s="4" t="n">
        <v>440.44</v>
      </c>
      <c r="E7755" s="5" t="n">
        <v>126</v>
      </c>
      <c r="F7755" s="3" t="inlineStr">
        <is>
          <t>남이면</t>
        </is>
      </c>
      <c r="G7755" s="3" t="inlineStr">
        <is>
          <t>부용외천리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2023</v>
      </c>
      <c r="B7756" s="4" t="n">
        <v>26791</v>
      </c>
      <c r="C7756" s="4" t="n">
        <v>287</v>
      </c>
      <c r="D7756" s="4" t="n">
        <v>86.8175</v>
      </c>
      <c r="E7756" s="5" t="n">
        <v>308.6</v>
      </c>
      <c r="F7756" s="3" t="inlineStr">
        <is>
          <t>현도면</t>
        </is>
      </c>
      <c r="G7756" s="3" t="inlineStr">
        <is>
          <t>중삼리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2023</v>
      </c>
      <c r="B7757" s="4" t="n">
        <v>17900</v>
      </c>
      <c r="C7757" s="4" t="n">
        <v>1075</v>
      </c>
      <c r="D7757" s="4" t="n">
        <v>325.1875</v>
      </c>
      <c r="E7757" s="5" t="n">
        <v>55</v>
      </c>
      <c r="F7757" s="3" t="inlineStr">
        <is>
          <t>남이면</t>
        </is>
      </c>
      <c r="G7757" s="3" t="inlineStr">
        <is>
          <t>수대리</t>
        </is>
      </c>
      <c r="H7757" s="3" t="inlineStr">
        <is>
          <t>자연녹지지역</t>
        </is>
      </c>
      <c r="I7757" s="3" t="inlineStr">
        <is>
          <t>답</t>
        </is>
      </c>
      <c r="J7757" s="3" t="inlineStr">
        <is>
          <t>남이면</t>
        </is>
      </c>
    </row>
    <row r="7758">
      <c r="A7758" s="3" t="n">
        <v>2023</v>
      </c>
      <c r="B7758" s="4" t="n">
        <v>24600</v>
      </c>
      <c r="C7758" s="4" t="n">
        <v>876</v>
      </c>
      <c r="D7758" s="4" t="n">
        <v>264.99</v>
      </c>
      <c r="E7758" s="5" t="n">
        <v>92.8</v>
      </c>
      <c r="F7758" s="3" t="inlineStr">
        <is>
          <t>남이면</t>
        </is>
      </c>
      <c r="G7758" s="3" t="inlineStr">
        <is>
          <t>양촌리</t>
        </is>
      </c>
      <c r="H7758" s="3" t="inlineStr">
        <is>
          <t>자연녹지지역</t>
        </is>
      </c>
      <c r="I7758" s="3" t="inlineStr">
        <is>
          <t>전</t>
        </is>
      </c>
      <c r="J7758" s="3" t="inlineStr">
        <is>
          <t>남이면</t>
        </is>
      </c>
    </row>
    <row r="7759">
      <c r="A7759" s="3" t="n">
        <v>2023</v>
      </c>
      <c r="B7759" s="4" t="n">
        <v>19000</v>
      </c>
      <c r="C7759" s="4" t="n">
        <v>242</v>
      </c>
      <c r="D7759" s="4" t="n">
        <v>73.205</v>
      </c>
      <c r="E7759" s="5" t="n">
        <v>259.5</v>
      </c>
      <c r="F7759" s="3" t="inlineStr">
        <is>
          <t>남이면</t>
        </is>
      </c>
      <c r="G7759" s="3" t="inlineStr">
        <is>
          <t>석판리</t>
        </is>
      </c>
      <c r="H7759" s="3" t="inlineStr">
        <is>
          <t>자연녹지지역</t>
        </is>
      </c>
      <c r="I7759" s="3" t="inlineStr">
        <is>
          <t>전</t>
        </is>
      </c>
      <c r="J7759" s="3" t="inlineStr">
        <is>
          <t>남이면</t>
        </is>
      </c>
    </row>
    <row r="7760">
      <c r="A7760" s="3" t="n">
        <v>2023</v>
      </c>
      <c r="B7760" s="4" t="n">
        <v>1074</v>
      </c>
      <c r="C7760" s="4" t="n">
        <v>23</v>
      </c>
      <c r="D7760" s="4" t="n">
        <v>6.9575</v>
      </c>
      <c r="E7760" s="5" t="n">
        <v>154.4</v>
      </c>
      <c r="F7760" s="3" t="inlineStr">
        <is>
          <t>현도면</t>
        </is>
      </c>
      <c r="G7760" s="3" t="inlineStr">
        <is>
          <t>중삼리</t>
        </is>
      </c>
      <c r="H7760" s="3" t="inlineStr">
        <is>
          <t>계획관리지역</t>
        </is>
      </c>
      <c r="I7760" s="3" t="inlineStr">
        <is>
          <t>전</t>
        </is>
      </c>
      <c r="J7760" s="3" t="inlineStr">
        <is>
          <t>현도면</t>
        </is>
      </c>
    </row>
    <row r="7761">
      <c r="A7761" s="3" t="n">
        <v>2023</v>
      </c>
      <c r="B7761" s="4" t="n">
        <v>16948</v>
      </c>
      <c r="C7761" s="4" t="n">
        <v>363</v>
      </c>
      <c r="D7761" s="4" t="n">
        <v>109.8075</v>
      </c>
      <c r="E7761" s="5" t="n">
        <v>154.3</v>
      </c>
      <c r="F7761" s="3" t="inlineStr">
        <is>
          <t>현도면</t>
        </is>
      </c>
      <c r="G7761" s="3" t="inlineStr">
        <is>
          <t>중삼리</t>
        </is>
      </c>
      <c r="H7761" s="3" t="inlineStr">
        <is>
          <t>계획관리지역</t>
        </is>
      </c>
      <c r="I7761" s="3" t="inlineStr">
        <is>
          <t>전</t>
        </is>
      </c>
      <c r="J7761" s="3" t="inlineStr">
        <is>
          <t>현도면</t>
        </is>
      </c>
    </row>
    <row r="7762">
      <c r="A7762" s="3" t="n">
        <v>2023</v>
      </c>
      <c r="B7762" s="4" t="n">
        <v>8451</v>
      </c>
      <c r="C7762" s="4" t="n">
        <v>181</v>
      </c>
      <c r="D7762" s="4" t="n">
        <v>54.7525</v>
      </c>
      <c r="E7762" s="5" t="n">
        <v>154.3</v>
      </c>
      <c r="F7762" s="3" t="inlineStr">
        <is>
          <t>현도면</t>
        </is>
      </c>
      <c r="G7762" s="3" t="inlineStr">
        <is>
          <t>중삼리</t>
        </is>
      </c>
      <c r="H7762" s="3" t="inlineStr">
        <is>
          <t>계획관리지역</t>
        </is>
      </c>
      <c r="I7762" s="3" t="inlineStr">
        <is>
          <t>답</t>
        </is>
      </c>
      <c r="J7762" s="3" t="inlineStr">
        <is>
          <t>현도면</t>
        </is>
      </c>
    </row>
    <row r="7763">
      <c r="A7763" s="3" t="n">
        <v>2023</v>
      </c>
      <c r="B7763" s="4" t="n">
        <v>4500</v>
      </c>
      <c r="C7763" s="4" t="n">
        <v>1402</v>
      </c>
      <c r="D7763" s="4" t="n">
        <v>424.105</v>
      </c>
      <c r="E7763" s="5" t="n">
        <v>10.6</v>
      </c>
      <c r="F7763" s="3" t="inlineStr">
        <is>
          <t>남이면</t>
        </is>
      </c>
      <c r="G7763" s="3" t="inlineStr">
        <is>
          <t>문동리</t>
        </is>
      </c>
      <c r="H7763" s="3" t="inlineStr">
        <is>
          <t>보전관리지역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2023</v>
      </c>
      <c r="B7764" s="4" t="n">
        <v>790</v>
      </c>
      <c r="C7764" s="4" t="n">
        <v>506</v>
      </c>
      <c r="D7764" s="4" t="n">
        <v>153.065</v>
      </c>
      <c r="E7764" s="5" t="n">
        <v>5.2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2023</v>
      </c>
      <c r="B7765" s="4" t="n">
        <v>1413</v>
      </c>
      <c r="C7765" s="4" t="n">
        <v>602</v>
      </c>
      <c r="D7765" s="4" t="n">
        <v>182.105</v>
      </c>
      <c r="E7765" s="5" t="n">
        <v>7.8</v>
      </c>
      <c r="F7765" s="3" t="inlineStr">
        <is>
          <t>남이면</t>
        </is>
      </c>
      <c r="G7765" s="3" t="inlineStr">
        <is>
          <t>부용외천리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남이면</t>
        </is>
      </c>
    </row>
    <row r="7766">
      <c r="A7766" s="3" t="n">
        <v>2023</v>
      </c>
      <c r="B7766" s="4" t="n">
        <v>2850</v>
      </c>
      <c r="C7766" s="4" t="n">
        <v>1825</v>
      </c>
      <c r="D7766" s="4" t="n">
        <v>552.0625</v>
      </c>
      <c r="E7766" s="5" t="n">
        <v>5.2</v>
      </c>
      <c r="F7766" s="3" t="inlineStr">
        <is>
          <t>남이면</t>
        </is>
      </c>
      <c r="G7766" s="3" t="inlineStr">
        <is>
          <t>부용외천리</t>
        </is>
      </c>
      <c r="H7766" s="3" t="inlineStr">
        <is>
          <t>계획관리지역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2023</v>
      </c>
      <c r="B7767" s="4" t="n">
        <v>471</v>
      </c>
      <c r="C7767" s="4" t="n">
        <v>284</v>
      </c>
      <c r="D7767" s="4" t="n">
        <v>85.91</v>
      </c>
      <c r="E7767" s="5" t="n">
        <v>5.5</v>
      </c>
      <c r="F7767" s="3" t="inlineStr">
        <is>
          <t>남이면</t>
        </is>
      </c>
      <c r="G7767" s="3" t="inlineStr">
        <is>
          <t>부용외천리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2023</v>
      </c>
      <c r="B7768" s="4" t="n">
        <v>6340</v>
      </c>
      <c r="C7768" s="4" t="n">
        <v>2817</v>
      </c>
      <c r="D7768" s="4" t="n">
        <v>852.1424999999999</v>
      </c>
      <c r="E7768" s="5" t="n">
        <v>7.4</v>
      </c>
      <c r="F7768" s="3" t="inlineStr">
        <is>
          <t>남이면</t>
        </is>
      </c>
      <c r="G7768" s="3" t="inlineStr">
        <is>
          <t>부용외천리</t>
        </is>
      </c>
      <c r="H7768" s="3" t="inlineStr">
        <is>
          <t>계획관리지역</t>
        </is>
      </c>
      <c r="I7768" s="3" t="inlineStr">
        <is>
          <t>답</t>
        </is>
      </c>
      <c r="J7768" s="3" t="inlineStr">
        <is>
          <t>남이면</t>
        </is>
      </c>
    </row>
    <row r="7769">
      <c r="A7769" s="3" t="n">
        <v>2023</v>
      </c>
      <c r="B7769" s="4" t="n">
        <v>15800</v>
      </c>
      <c r="C7769" s="4" t="n">
        <v>1749</v>
      </c>
      <c r="D7769" s="4" t="n">
        <v>529.0725</v>
      </c>
      <c r="E7769" s="5" t="n">
        <v>29.9</v>
      </c>
      <c r="F7769" s="3" t="inlineStr">
        <is>
          <t>현도면</t>
        </is>
      </c>
      <c r="G7769" s="3" t="inlineStr">
        <is>
          <t>시목리</t>
        </is>
      </c>
      <c r="H7769" s="3" t="inlineStr">
        <is>
          <t>개발제한구역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2023</v>
      </c>
      <c r="B7770" s="4" t="n">
        <v>5000</v>
      </c>
      <c r="C7770" s="4" t="n">
        <v>549</v>
      </c>
      <c r="D7770" s="4" t="n">
        <v>166.0725</v>
      </c>
      <c r="E7770" s="5" t="n">
        <v>30.1</v>
      </c>
      <c r="F7770" s="3" t="inlineStr">
        <is>
          <t>남이면</t>
        </is>
      </c>
      <c r="G7770" s="3" t="inlineStr">
        <is>
          <t>사동리</t>
        </is>
      </c>
      <c r="H7770" s="3" t="inlineStr">
        <is>
          <t>생산관리지역</t>
        </is>
      </c>
      <c r="I7770" s="3" t="inlineStr">
        <is>
          <t>답</t>
        </is>
      </c>
      <c r="J7770" s="3" t="inlineStr">
        <is>
          <t>남이면</t>
        </is>
      </c>
    </row>
    <row r="7771">
      <c r="A7771" s="3" t="n">
        <v>2023</v>
      </c>
      <c r="B7771" s="4" t="n">
        <v>4000</v>
      </c>
      <c r="C7771" s="4" t="n">
        <v>374</v>
      </c>
      <c r="D7771" s="4" t="n">
        <v>113.135</v>
      </c>
      <c r="E7771" s="5" t="n">
        <v>35.4</v>
      </c>
      <c r="F7771" s="3" t="inlineStr">
        <is>
          <t>남이면</t>
        </is>
      </c>
      <c r="G7771" s="3" t="inlineStr">
        <is>
          <t>사동리</t>
        </is>
      </c>
      <c r="H7771" s="3" t="inlineStr">
        <is>
          <t>생산관리지역</t>
        </is>
      </c>
      <c r="I7771" s="3" t="inlineStr">
        <is>
          <t>답</t>
        </is>
      </c>
      <c r="J7771" s="3" t="inlineStr">
        <is>
          <t>남이면</t>
        </is>
      </c>
    </row>
    <row r="7772">
      <c r="A7772" s="3" t="n">
        <v>2023</v>
      </c>
      <c r="B7772" s="4" t="n">
        <v>2200</v>
      </c>
      <c r="C7772" s="4" t="n">
        <v>110</v>
      </c>
      <c r="D7772" s="4" t="n">
        <v>33.275</v>
      </c>
      <c r="E7772" s="5" t="n">
        <v>66.09999999999999</v>
      </c>
      <c r="F7772" s="3" t="inlineStr">
        <is>
          <t>남이면</t>
        </is>
      </c>
      <c r="G7772" s="3" t="inlineStr">
        <is>
          <t>가마리</t>
        </is>
      </c>
      <c r="H7772" s="3" t="inlineStr">
        <is>
          <t>자연녹지지역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2023</v>
      </c>
      <c r="B7773" s="4" t="n">
        <v>6500</v>
      </c>
      <c r="C7773" s="4" t="n">
        <v>1081</v>
      </c>
      <c r="D7773" s="4" t="n">
        <v>327.0025</v>
      </c>
      <c r="E7773" s="5" t="n">
        <v>19.9</v>
      </c>
      <c r="F7773" s="3" t="inlineStr">
        <is>
          <t>남이면</t>
        </is>
      </c>
      <c r="G7773" s="3" t="inlineStr">
        <is>
          <t>사동리</t>
        </is>
      </c>
      <c r="H7773" s="3" t="inlineStr">
        <is>
          <t>생산관리지역</t>
        </is>
      </c>
      <c r="I7773" s="3" t="inlineStr">
        <is>
          <t>전</t>
        </is>
      </c>
      <c r="J7773" s="3" t="inlineStr">
        <is>
          <t>남이면</t>
        </is>
      </c>
    </row>
    <row r="7774">
      <c r="A7774" s="3" t="n">
        <v>2023</v>
      </c>
      <c r="B7774" s="4" t="n">
        <v>1000</v>
      </c>
      <c r="C7774" s="4" t="n">
        <v>84</v>
      </c>
      <c r="D7774" s="4" t="n">
        <v>25.41</v>
      </c>
      <c r="E7774" s="5" t="n">
        <v>39.4</v>
      </c>
      <c r="F7774" s="3" t="inlineStr">
        <is>
          <t>남이면</t>
        </is>
      </c>
      <c r="G7774" s="3" t="inlineStr">
        <is>
          <t>수대리</t>
        </is>
      </c>
      <c r="H7774" s="3" t="inlineStr">
        <is>
          <t>자연녹지지역</t>
        </is>
      </c>
      <c r="I7774" s="3" t="inlineStr">
        <is>
          <t>답</t>
        </is>
      </c>
      <c r="J7774" s="3" t="inlineStr">
        <is>
          <t>남이면</t>
        </is>
      </c>
    </row>
    <row r="7775">
      <c r="A7775" s="3" t="n">
        <v>2023</v>
      </c>
      <c r="B7775" s="4" t="n">
        <v>14500</v>
      </c>
      <c r="C7775" s="4" t="n">
        <v>1071</v>
      </c>
      <c r="D7775" s="4" t="n">
        <v>323.9775</v>
      </c>
      <c r="E7775" s="5" t="n">
        <v>44.8</v>
      </c>
      <c r="F7775" s="3" t="inlineStr">
        <is>
          <t>현도면</t>
        </is>
      </c>
      <c r="G7775" s="3" t="inlineStr">
        <is>
          <t>중삼리</t>
        </is>
      </c>
      <c r="H7775" s="3" t="inlineStr">
        <is>
          <t>계획관리지역</t>
        </is>
      </c>
      <c r="I7775" s="3" t="inlineStr">
        <is>
          <t>전</t>
        </is>
      </c>
      <c r="J7775" s="3" t="inlineStr">
        <is>
          <t>현도면</t>
        </is>
      </c>
    </row>
    <row r="7776">
      <c r="A7776" s="3" t="n">
        <v>2022</v>
      </c>
      <c r="B7776" s="4" t="n">
        <v>4000</v>
      </c>
      <c r="C7776" s="4" t="n">
        <v>869</v>
      </c>
      <c r="D7776" s="4" t="n">
        <v>262.8725</v>
      </c>
      <c r="E7776" s="5" t="n">
        <v>15.2</v>
      </c>
      <c r="F7776" s="3" t="inlineStr">
        <is>
          <t>전의면</t>
        </is>
      </c>
      <c r="G7776" s="3" t="inlineStr">
        <is>
          <t>신정리</t>
        </is>
      </c>
      <c r="H7776" s="3" t="inlineStr">
        <is>
          <t>계획관리지역</t>
        </is>
      </c>
      <c r="I7776" s="3" t="inlineStr">
        <is>
          <t>전</t>
        </is>
      </c>
      <c r="J7776" s="3" t="inlineStr">
        <is>
          <t>전의면</t>
        </is>
      </c>
    </row>
    <row r="7777">
      <c r="A7777" s="3" t="n">
        <v>2025</v>
      </c>
      <c r="B7777" s="4" t="n">
        <v>18669</v>
      </c>
      <c r="C7777" s="4" t="n">
        <v>165</v>
      </c>
      <c r="D7777" s="4" t="n">
        <v>49.9125</v>
      </c>
      <c r="E7777" s="5" t="n">
        <v>374</v>
      </c>
      <c r="F7777" s="3" t="inlineStr">
        <is>
          <t>연서면</t>
        </is>
      </c>
      <c r="G7777" s="3" t="inlineStr">
        <is>
          <t>부동리</t>
        </is>
      </c>
      <c r="H7777" s="3" t="inlineStr">
        <is>
          <t>계획관리지역</t>
        </is>
      </c>
      <c r="I7777" s="3" t="inlineStr">
        <is>
          <t>임야</t>
        </is>
      </c>
      <c r="J7777" s="3" t="inlineStr">
        <is>
          <t>연서면</t>
        </is>
      </c>
    </row>
    <row r="7778">
      <c r="A7778" s="3" t="n">
        <v>2026</v>
      </c>
      <c r="B7778" s="4" t="n">
        <v>450</v>
      </c>
      <c r="C7778" s="4" t="n">
        <v>2</v>
      </c>
      <c r="D7778" s="4" t="n">
        <v>0.605</v>
      </c>
      <c r="E7778" s="5" t="n">
        <v>743.8</v>
      </c>
      <c r="F7778" s="3" t="inlineStr">
        <is>
          <t>남이면</t>
        </is>
      </c>
      <c r="G7778" s="3" t="inlineStr">
        <is>
          <t>석판리</t>
        </is>
      </c>
      <c r="H7778" s="3" t="inlineStr">
        <is>
          <t>자연녹지지역</t>
        </is>
      </c>
      <c r="I7778" s="3" t="inlineStr">
        <is>
          <t>대</t>
        </is>
      </c>
      <c r="J7778" s="3" t="inlineStr">
        <is>
          <t>남이면</t>
        </is>
      </c>
    </row>
    <row r="7779">
      <c r="A7779" s="3" t="n">
        <v>2026</v>
      </c>
      <c r="B7779" s="4" t="n">
        <v>12000</v>
      </c>
      <c r="C7779" s="4" t="n">
        <v>330</v>
      </c>
      <c r="D7779" s="4" t="n">
        <v>99.825</v>
      </c>
      <c r="E7779" s="5" t="n">
        <v>120.2</v>
      </c>
      <c r="F7779" s="3" t="inlineStr">
        <is>
          <t>오송읍</t>
        </is>
      </c>
      <c r="G7779" s="3" t="inlineStr">
        <is>
          <t>동평리</t>
        </is>
      </c>
      <c r="H7779" s="3" t="inlineStr">
        <is>
          <t>계획관리지역</t>
        </is>
      </c>
      <c r="I7779" s="3" t="inlineStr">
        <is>
          <t>잡종지</t>
        </is>
      </c>
      <c r="J7779" s="3" t="inlineStr">
        <is>
          <t>오송읍</t>
        </is>
      </c>
    </row>
    <row r="7780">
      <c r="A7780" s="3" t="n">
        <v>2026</v>
      </c>
      <c r="B7780" s="4" t="n">
        <v>12000</v>
      </c>
      <c r="C7780" s="4" t="n">
        <v>339</v>
      </c>
      <c r="D7780" s="4" t="n">
        <v>102.5475</v>
      </c>
      <c r="E7780" s="5" t="n">
        <v>117</v>
      </c>
      <c r="F7780" s="3" t="inlineStr">
        <is>
          <t>오송읍</t>
        </is>
      </c>
      <c r="G7780" s="3" t="inlineStr">
        <is>
          <t>동평리</t>
        </is>
      </c>
      <c r="H7780" s="3" t="inlineStr">
        <is>
          <t>계획관리지역</t>
        </is>
      </c>
      <c r="I7780" s="3" t="inlineStr">
        <is>
          <t>대</t>
        </is>
      </c>
      <c r="J7780" s="3" t="inlineStr">
        <is>
          <t>오송읍</t>
        </is>
      </c>
    </row>
    <row r="7781">
      <c r="A7781" s="3" t="n">
        <v>2026</v>
      </c>
      <c r="B7781" s="4" t="n">
        <v>5000</v>
      </c>
      <c r="C7781" s="4" t="n">
        <v>1153</v>
      </c>
      <c r="D7781" s="4" t="n">
        <v>348.7825</v>
      </c>
      <c r="E7781" s="5" t="n">
        <v>14.3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2026</v>
      </c>
      <c r="B7782" s="4" t="n">
        <v>19808</v>
      </c>
      <c r="C7782" s="4" t="n">
        <v>7171</v>
      </c>
      <c r="D7782" s="4" t="n">
        <v>2169.2275</v>
      </c>
      <c r="E7782" s="5" t="n">
        <v>9.1</v>
      </c>
      <c r="F7782" s="3" t="inlineStr">
        <is>
          <t>강내면</t>
        </is>
      </c>
      <c r="G7782" s="3" t="inlineStr">
        <is>
          <t>궁현리</t>
        </is>
      </c>
      <c r="H7782" s="3" t="inlineStr">
        <is>
          <t>계획관리지역</t>
        </is>
      </c>
      <c r="I7782" s="3" t="inlineStr">
        <is>
          <t>임야</t>
        </is>
      </c>
      <c r="J7782" s="3" t="inlineStr">
        <is>
          <t>강내면</t>
        </is>
      </c>
    </row>
    <row r="7783">
      <c r="A7783" s="3" t="n">
        <v>2026</v>
      </c>
      <c r="B7783" s="4" t="n">
        <v>16720</v>
      </c>
      <c r="C7783" s="4" t="n">
        <v>493</v>
      </c>
      <c r="D7783" s="4" t="n">
        <v>149.1325</v>
      </c>
      <c r="E7783" s="5" t="n">
        <v>112.1</v>
      </c>
      <c r="F7783" s="3" t="inlineStr">
        <is>
          <t>오송읍</t>
        </is>
      </c>
      <c r="G7783" s="3" t="inlineStr">
        <is>
          <t>상정리</t>
        </is>
      </c>
      <c r="H7783" s="3" t="inlineStr">
        <is>
          <t>생산관리지역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2026</v>
      </c>
      <c r="B7784" s="4" t="n">
        <v>25000</v>
      </c>
      <c r="C7784" s="4" t="n">
        <v>856</v>
      </c>
      <c r="D7784" s="4" t="n">
        <v>258.94</v>
      </c>
      <c r="E7784" s="5" t="n">
        <v>96.5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농림지역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2026</v>
      </c>
      <c r="B7785" s="4" t="n">
        <v>60000</v>
      </c>
      <c r="C7785" s="4" t="n">
        <v>3073</v>
      </c>
      <c r="D7785" s="4" t="n">
        <v>929.5825</v>
      </c>
      <c r="E7785" s="5" t="n">
        <v>64.5</v>
      </c>
      <c r="F7785" s="3" t="inlineStr">
        <is>
          <t>오송읍</t>
        </is>
      </c>
      <c r="G7785" s="3" t="inlineStr">
        <is>
          <t>궁평리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2026</v>
      </c>
      <c r="B7786" s="4" t="n">
        <v>21250</v>
      </c>
      <c r="C7786" s="4" t="n">
        <v>939</v>
      </c>
      <c r="D7786" s="4" t="n">
        <v>284.0475</v>
      </c>
      <c r="E7786" s="5" t="n">
        <v>74.8</v>
      </c>
      <c r="F7786" s="3" t="inlineStr">
        <is>
          <t>오송읍</t>
        </is>
      </c>
      <c r="G7786" s="3" t="inlineStr">
        <is>
          <t>쌍청리</t>
        </is>
      </c>
      <c r="H7786" s="3" t="inlineStr">
        <is>
          <t>계획관리지역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2026</v>
      </c>
      <c r="B7787" s="4" t="n">
        <v>4651</v>
      </c>
      <c r="C7787" s="4" t="n">
        <v>323.6</v>
      </c>
      <c r="D7787" s="4" t="n">
        <v>97.88900000000001</v>
      </c>
      <c r="E7787" s="5" t="n">
        <v>47.5</v>
      </c>
      <c r="F7787" s="3" t="inlineStr">
        <is>
          <t>오송읍</t>
        </is>
      </c>
      <c r="G7787" s="3" t="inlineStr">
        <is>
          <t>상봉리</t>
        </is>
      </c>
      <c r="H7787" s="3" t="inlineStr">
        <is>
          <t>생산관리지역</t>
        </is>
      </c>
      <c r="I7787" s="3" t="inlineStr">
        <is>
          <t>전</t>
        </is>
      </c>
      <c r="J7787" s="3" t="inlineStr">
        <is>
          <t>오송읍</t>
        </is>
      </c>
    </row>
    <row r="7788">
      <c r="A7788" s="3" t="n">
        <v>2026</v>
      </c>
      <c r="B7788" s="4" t="n">
        <v>1202</v>
      </c>
      <c r="C7788" s="4" t="n">
        <v>34</v>
      </c>
      <c r="D7788" s="4" t="n">
        <v>10.285</v>
      </c>
      <c r="E7788" s="5" t="n">
        <v>116.9</v>
      </c>
      <c r="F7788" s="3" t="inlineStr">
        <is>
          <t>강내면</t>
        </is>
      </c>
      <c r="G7788" s="3" t="inlineStr">
        <is>
          <t>석화리</t>
        </is>
      </c>
      <c r="H7788" s="3" t="inlineStr">
        <is>
          <t>자연녹지지역</t>
        </is>
      </c>
      <c r="I7788" s="3" t="inlineStr">
        <is>
          <t>답</t>
        </is>
      </c>
      <c r="J7788" s="3" t="inlineStr">
        <is>
          <t>강내면</t>
        </is>
      </c>
    </row>
    <row r="7789">
      <c r="A7789" s="3" t="n">
        <v>2023</v>
      </c>
      <c r="B7789" s="4" t="n">
        <v>14000</v>
      </c>
      <c r="C7789" s="4" t="n">
        <v>1792</v>
      </c>
      <c r="D7789" s="4" t="n">
        <v>542.0799999999999</v>
      </c>
      <c r="E7789" s="5" t="n">
        <v>25.8</v>
      </c>
      <c r="F7789" s="3" t="inlineStr">
        <is>
          <t>현도면</t>
        </is>
      </c>
      <c r="G7789" s="3" t="inlineStr">
        <is>
          <t>하석리</t>
        </is>
      </c>
      <c r="H7789" s="3" t="inlineStr">
        <is>
          <t>개발제한구역</t>
        </is>
      </c>
      <c r="I7789" s="3" t="inlineStr">
        <is>
          <t>전</t>
        </is>
      </c>
      <c r="J7789" s="3" t="inlineStr">
        <is>
          <t>현도면</t>
        </is>
      </c>
    </row>
    <row r="7790">
      <c r="A7790" s="3" t="n">
        <v>2023</v>
      </c>
      <c r="B7790" s="4" t="n">
        <v>1089</v>
      </c>
      <c r="C7790" s="4" t="n">
        <v>120</v>
      </c>
      <c r="D7790" s="4" t="n">
        <v>36.3</v>
      </c>
      <c r="E7790" s="5" t="n">
        <v>30</v>
      </c>
      <c r="F7790" s="3" t="inlineStr">
        <is>
          <t>현도면</t>
        </is>
      </c>
      <c r="G7790" s="3" t="inlineStr">
        <is>
          <t>중삼리</t>
        </is>
      </c>
      <c r="H7790" s="3" t="inlineStr">
        <is>
          <t>계획관리지역</t>
        </is>
      </c>
      <c r="I7790" s="3" t="inlineStr">
        <is>
          <t>임야</t>
        </is>
      </c>
      <c r="J7790" s="3" t="inlineStr">
        <is>
          <t>현도면</t>
        </is>
      </c>
    </row>
    <row r="7791">
      <c r="A7791" s="3" t="n">
        <v>2023</v>
      </c>
      <c r="B7791" s="4" t="n">
        <v>840</v>
      </c>
      <c r="C7791" s="4" t="n">
        <v>55</v>
      </c>
      <c r="D7791" s="4" t="n">
        <v>16.6375</v>
      </c>
      <c r="E7791" s="5" t="n">
        <v>50.5</v>
      </c>
      <c r="F7791" s="3" t="inlineStr">
        <is>
          <t>남이면</t>
        </is>
      </c>
      <c r="G7791" s="3" t="inlineStr">
        <is>
          <t>가좌리</t>
        </is>
      </c>
      <c r="H7791" s="3" t="inlineStr">
        <is>
          <t>보전녹지지역</t>
        </is>
      </c>
      <c r="I7791" s="3" t="inlineStr">
        <is>
          <t>임야</t>
        </is>
      </c>
      <c r="J7791" s="3" t="inlineStr">
        <is>
          <t>남이면</t>
        </is>
      </c>
    </row>
    <row r="7792">
      <c r="A7792" s="3" t="n">
        <v>2023</v>
      </c>
      <c r="B7792" s="4" t="n">
        <v>74160</v>
      </c>
      <c r="C7792" s="4" t="n">
        <v>4638</v>
      </c>
      <c r="D7792" s="4" t="n">
        <v>1402.995</v>
      </c>
      <c r="E7792" s="5" t="n">
        <v>52.9</v>
      </c>
      <c r="F7792" s="3" t="inlineStr">
        <is>
          <t>남이면</t>
        </is>
      </c>
      <c r="G7792" s="3" t="inlineStr">
        <is>
          <t>가좌리</t>
        </is>
      </c>
      <c r="H7792" s="3" t="inlineStr">
        <is>
          <t>보전녹지지역</t>
        </is>
      </c>
      <c r="I7792" s="3" t="inlineStr">
        <is>
          <t>임야</t>
        </is>
      </c>
      <c r="J7792" s="3" t="inlineStr">
        <is>
          <t>남이면</t>
        </is>
      </c>
    </row>
    <row r="7793">
      <c r="A7793" s="3" t="n">
        <v>2023</v>
      </c>
      <c r="B7793" s="4" t="n">
        <v>16950</v>
      </c>
      <c r="C7793" s="4" t="n">
        <v>1525</v>
      </c>
      <c r="D7793" s="4" t="n">
        <v>461.3125</v>
      </c>
      <c r="E7793" s="5" t="n">
        <v>36.7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개발제한구역</t>
        </is>
      </c>
      <c r="I7793" s="3" t="inlineStr">
        <is>
          <t>답</t>
        </is>
      </c>
      <c r="J7793" s="3" t="inlineStr">
        <is>
          <t>현도면</t>
        </is>
      </c>
    </row>
    <row r="7794">
      <c r="A7794" s="3" t="n">
        <v>2023</v>
      </c>
      <c r="B7794" s="4" t="n">
        <v>16500</v>
      </c>
      <c r="C7794" s="4" t="n">
        <v>1011</v>
      </c>
      <c r="D7794" s="4" t="n">
        <v>305.8275</v>
      </c>
      <c r="E7794" s="5" t="n">
        <v>54</v>
      </c>
      <c r="F7794" s="3" t="inlineStr">
        <is>
          <t>남이면</t>
        </is>
      </c>
      <c r="G7794" s="3" t="inlineStr">
        <is>
          <t>구미리</t>
        </is>
      </c>
      <c r="H7794" s="3" t="inlineStr">
        <is>
          <t>생산관리지역</t>
        </is>
      </c>
      <c r="I7794" s="3" t="inlineStr">
        <is>
          <t>답</t>
        </is>
      </c>
      <c r="J7794" s="3" t="inlineStr">
        <is>
          <t>남이면</t>
        </is>
      </c>
    </row>
    <row r="7795">
      <c r="A7795" s="3" t="n">
        <v>2023</v>
      </c>
      <c r="B7795" s="4" t="n">
        <v>23000</v>
      </c>
      <c r="C7795" s="4" t="n">
        <v>992</v>
      </c>
      <c r="D7795" s="4" t="n">
        <v>300.08</v>
      </c>
      <c r="E7795" s="5" t="n">
        <v>76.59999999999999</v>
      </c>
      <c r="F7795" s="3" t="inlineStr">
        <is>
          <t>현도면</t>
        </is>
      </c>
      <c r="G7795" s="3" t="inlineStr">
        <is>
          <t>중삼리</t>
        </is>
      </c>
      <c r="H7795" s="3" t="inlineStr">
        <is>
          <t>계획관리지역</t>
        </is>
      </c>
      <c r="I7795" s="3" t="inlineStr">
        <is>
          <t>임야</t>
        </is>
      </c>
      <c r="J7795" s="3" t="inlineStr">
        <is>
          <t>현도면</t>
        </is>
      </c>
    </row>
    <row r="7796">
      <c r="A7796" s="3" t="n">
        <v>2023</v>
      </c>
      <c r="B7796" s="4" t="n">
        <v>3000</v>
      </c>
      <c r="C7796" s="4" t="n">
        <v>460</v>
      </c>
      <c r="D7796" s="4" t="n">
        <v>139.15</v>
      </c>
      <c r="E7796" s="5" t="n">
        <v>21.6</v>
      </c>
      <c r="F7796" s="3" t="inlineStr">
        <is>
          <t>남이면</t>
        </is>
      </c>
      <c r="G7796" s="3" t="inlineStr">
        <is>
          <t>부용외천리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2023</v>
      </c>
      <c r="B7797" s="4" t="n">
        <v>32000</v>
      </c>
      <c r="C7797" s="4" t="n">
        <v>1355</v>
      </c>
      <c r="D7797" s="4" t="n">
        <v>409.8875</v>
      </c>
      <c r="E7797" s="5" t="n">
        <v>78.09999999999999</v>
      </c>
      <c r="F7797" s="3" t="inlineStr">
        <is>
          <t>남이면</t>
        </is>
      </c>
      <c r="G7797" s="3" t="inlineStr">
        <is>
          <t>부용외천리</t>
        </is>
      </c>
      <c r="H7797" s="3" t="inlineStr">
        <is>
          <t>계획관리지역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2023</v>
      </c>
      <c r="B7798" s="4" t="n">
        <v>6400</v>
      </c>
      <c r="C7798" s="4" t="n">
        <v>339</v>
      </c>
      <c r="D7798" s="4" t="n">
        <v>102.5475</v>
      </c>
      <c r="E7798" s="5" t="n">
        <v>62.4</v>
      </c>
      <c r="F7798" s="3" t="inlineStr">
        <is>
          <t>남이면</t>
        </is>
      </c>
      <c r="G7798" s="3" t="inlineStr">
        <is>
          <t>부용외천리</t>
        </is>
      </c>
      <c r="H7798" s="3" t="inlineStr">
        <is>
          <t>계획관리지역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2023</v>
      </c>
      <c r="B7799" s="4" t="n">
        <v>10000</v>
      </c>
      <c r="C7799" s="4" t="n">
        <v>838</v>
      </c>
      <c r="D7799" s="4" t="n">
        <v>253.495</v>
      </c>
      <c r="E7799" s="5" t="n">
        <v>39.4</v>
      </c>
      <c r="F7799" s="3" t="inlineStr">
        <is>
          <t>남이면</t>
        </is>
      </c>
      <c r="G7799" s="3" t="inlineStr">
        <is>
          <t>갈원리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2023</v>
      </c>
      <c r="B7800" s="4" t="n">
        <v>1500</v>
      </c>
      <c r="C7800" s="4" t="n">
        <v>145</v>
      </c>
      <c r="D7800" s="4" t="n">
        <v>43.8625</v>
      </c>
      <c r="E7800" s="5" t="n">
        <v>34.2</v>
      </c>
      <c r="F7800" s="3" t="inlineStr">
        <is>
          <t>남이면</t>
        </is>
      </c>
      <c r="G7800" s="3" t="inlineStr">
        <is>
          <t>갈원리</t>
        </is>
      </c>
      <c r="H7800" s="3" t="inlineStr">
        <is>
          <t>자연녹지지역</t>
        </is>
      </c>
      <c r="I7800" s="3" t="inlineStr">
        <is>
          <t>구거</t>
        </is>
      </c>
      <c r="J7800" s="3" t="inlineStr">
        <is>
          <t>남이면</t>
        </is>
      </c>
    </row>
    <row r="7801">
      <c r="A7801" s="3" t="n">
        <v>2023</v>
      </c>
      <c r="B7801" s="4" t="n">
        <v>11000</v>
      </c>
      <c r="C7801" s="4" t="n">
        <v>42446</v>
      </c>
      <c r="D7801" s="4" t="n">
        <v>12839.915</v>
      </c>
      <c r="E7801" s="5" t="n">
        <v>0.9</v>
      </c>
      <c r="F7801" s="3" t="inlineStr">
        <is>
          <t>남이면</t>
        </is>
      </c>
      <c r="G7801" s="3" t="inlineStr">
        <is>
          <t>외천리</t>
        </is>
      </c>
      <c r="H7801" s="3" t="inlineStr">
        <is>
          <t>농림지역</t>
        </is>
      </c>
      <c r="I7801" s="3" t="inlineStr">
        <is>
          <t>임야</t>
        </is>
      </c>
      <c r="J7801" s="3" t="inlineStr">
        <is>
          <t>남이면</t>
        </is>
      </c>
    </row>
    <row r="7802">
      <c r="A7802" s="3" t="n">
        <v>2023</v>
      </c>
      <c r="B7802" s="4" t="n">
        <v>24711</v>
      </c>
      <c r="C7802" s="4" t="n">
        <v>707</v>
      </c>
      <c r="D7802" s="4" t="n">
        <v>213.8675</v>
      </c>
      <c r="E7802" s="5" t="n">
        <v>115.5</v>
      </c>
      <c r="F7802" s="3" t="inlineStr">
        <is>
          <t>현도면</t>
        </is>
      </c>
      <c r="G7802" s="3" t="inlineStr">
        <is>
          <t>중삼리</t>
        </is>
      </c>
      <c r="H7802" s="3" t="inlineStr">
        <is>
          <t>계획관리지역</t>
        </is>
      </c>
      <c r="I7802" s="3" t="inlineStr">
        <is>
          <t>전</t>
        </is>
      </c>
      <c r="J7802" s="3" t="inlineStr">
        <is>
          <t>현도면</t>
        </is>
      </c>
    </row>
    <row r="7803">
      <c r="A7803" s="3" t="n">
        <v>2023</v>
      </c>
      <c r="B7803" s="4" t="n">
        <v>85747</v>
      </c>
      <c r="C7803" s="4" t="n">
        <v>1914</v>
      </c>
      <c r="D7803" s="4" t="n">
        <v>578.985</v>
      </c>
      <c r="E7803" s="5" t="n">
        <v>148.1</v>
      </c>
      <c r="F7803" s="3" t="inlineStr">
        <is>
          <t>현도면</t>
        </is>
      </c>
      <c r="G7803" s="3" t="inlineStr">
        <is>
          <t>중삼리</t>
        </is>
      </c>
      <c r="H7803" s="3" t="inlineStr">
        <is>
          <t>계획관리지역</t>
        </is>
      </c>
      <c r="I7803" s="3" t="inlineStr">
        <is>
          <t>답</t>
        </is>
      </c>
      <c r="J7803" s="3" t="inlineStr">
        <is>
          <t>현도면</t>
        </is>
      </c>
    </row>
    <row r="7804">
      <c r="A7804" s="3" t="n">
        <v>2023</v>
      </c>
      <c r="B7804" s="4" t="n">
        <v>39518</v>
      </c>
      <c r="C7804" s="4" t="n">
        <v>926</v>
      </c>
      <c r="D7804" s="4" t="n">
        <v>280.115</v>
      </c>
      <c r="E7804" s="5" t="n">
        <v>141.1</v>
      </c>
      <c r="F7804" s="3" t="inlineStr">
        <is>
          <t>현도면</t>
        </is>
      </c>
      <c r="G7804" s="3" t="inlineStr">
        <is>
          <t>중삼리</t>
        </is>
      </c>
      <c r="H7804" s="3" t="inlineStr">
        <is>
          <t>계획관리지역</t>
        </is>
      </c>
      <c r="I7804" s="3" t="inlineStr">
        <is>
          <t>답</t>
        </is>
      </c>
      <c r="J7804" s="3" t="inlineStr">
        <is>
          <t>현도면</t>
        </is>
      </c>
    </row>
    <row r="7805">
      <c r="A7805" s="3" t="n">
        <v>2023</v>
      </c>
      <c r="B7805" s="4" t="n">
        <v>41694</v>
      </c>
      <c r="C7805" s="4" t="n">
        <v>977</v>
      </c>
      <c r="D7805" s="4" t="n">
        <v>295.5425</v>
      </c>
      <c r="E7805" s="5" t="n">
        <v>141.1</v>
      </c>
      <c r="F7805" s="3" t="inlineStr">
        <is>
          <t>현도면</t>
        </is>
      </c>
      <c r="G7805" s="3" t="inlineStr">
        <is>
          <t>중삼리</t>
        </is>
      </c>
      <c r="H7805" s="3" t="inlineStr">
        <is>
          <t>계획관리지역</t>
        </is>
      </c>
      <c r="I7805" s="3" t="inlineStr">
        <is>
          <t>답</t>
        </is>
      </c>
      <c r="J7805" s="3" t="inlineStr">
        <is>
          <t>현도면</t>
        </is>
      </c>
    </row>
    <row r="7806">
      <c r="A7806" s="3" t="n">
        <v>2023</v>
      </c>
      <c r="B7806" s="4" t="n">
        <v>121413</v>
      </c>
      <c r="C7806" s="4" t="n">
        <v>8412</v>
      </c>
      <c r="D7806" s="4" t="n">
        <v>2544.63</v>
      </c>
      <c r="E7806" s="5" t="n">
        <v>47.7</v>
      </c>
      <c r="F7806" s="3" t="inlineStr">
        <is>
          <t>남이면</t>
        </is>
      </c>
      <c r="G7806" s="3" t="inlineStr">
        <is>
          <t>가좌리</t>
        </is>
      </c>
      <c r="H7806" s="3" t="inlineStr">
        <is>
          <t>자연녹지지역</t>
        </is>
      </c>
      <c r="I7806" s="3" t="inlineStr">
        <is>
          <t>임야</t>
        </is>
      </c>
      <c r="J7806" s="3" t="inlineStr">
        <is>
          <t>남이면</t>
        </is>
      </c>
    </row>
    <row r="7807">
      <c r="A7807" s="3" t="n">
        <v>2023</v>
      </c>
      <c r="B7807" s="4" t="n">
        <v>2587</v>
      </c>
      <c r="C7807" s="4" t="n">
        <v>613</v>
      </c>
      <c r="D7807" s="4" t="n">
        <v>185.4325</v>
      </c>
      <c r="E7807" s="5" t="n">
        <v>14</v>
      </c>
      <c r="F7807" s="3" t="inlineStr">
        <is>
          <t>남이면</t>
        </is>
      </c>
      <c r="G7807" s="3" t="inlineStr">
        <is>
          <t>가좌리</t>
        </is>
      </c>
      <c r="H7807" s="3" t="inlineStr">
        <is>
          <t>자연녹지지역</t>
        </is>
      </c>
      <c r="I7807" s="3" t="inlineStr">
        <is>
          <t>임야</t>
        </is>
      </c>
      <c r="J7807" s="3" t="inlineStr">
        <is>
          <t>남이면</t>
        </is>
      </c>
    </row>
    <row r="7808">
      <c r="A7808" s="3" t="n">
        <v>2023</v>
      </c>
      <c r="B7808" s="4" t="n">
        <v>1880</v>
      </c>
      <c r="C7808" s="4" t="n">
        <v>542</v>
      </c>
      <c r="D7808" s="4" t="n">
        <v>163.955</v>
      </c>
      <c r="E7808" s="5" t="n">
        <v>11.5</v>
      </c>
      <c r="F7808" s="3" t="inlineStr">
        <is>
          <t>현도면</t>
        </is>
      </c>
      <c r="G7808" s="3" t="inlineStr">
        <is>
          <t>노산리</t>
        </is>
      </c>
      <c r="H7808" s="3" t="inlineStr">
        <is>
          <t>개발제한구역</t>
        </is>
      </c>
      <c r="I7808" s="3" t="inlineStr">
        <is>
          <t>임야</t>
        </is>
      </c>
      <c r="J7808" s="3" t="inlineStr">
        <is>
          <t>현도면</t>
        </is>
      </c>
    </row>
    <row r="7809">
      <c r="A7809" s="3" t="n">
        <v>2023</v>
      </c>
      <c r="B7809" s="4" t="n">
        <v>12900</v>
      </c>
      <c r="C7809" s="4" t="n">
        <v>1075</v>
      </c>
      <c r="D7809" s="4" t="n">
        <v>325.1875</v>
      </c>
      <c r="E7809" s="5" t="n">
        <v>39.7</v>
      </c>
      <c r="F7809" s="3" t="inlineStr">
        <is>
          <t>남이면</t>
        </is>
      </c>
      <c r="G7809" s="3" t="inlineStr">
        <is>
          <t>수대리</t>
        </is>
      </c>
      <c r="H7809" s="3" t="inlineStr">
        <is>
          <t>자연녹지지역</t>
        </is>
      </c>
      <c r="I7809" s="3" t="inlineStr">
        <is>
          <t>답</t>
        </is>
      </c>
      <c r="J7809" s="3" t="inlineStr">
        <is>
          <t>남이면</t>
        </is>
      </c>
    </row>
    <row r="7810">
      <c r="A7810" s="3" t="n">
        <v>2023</v>
      </c>
      <c r="B7810" s="4" t="n">
        <v>25350</v>
      </c>
      <c r="C7810" s="4" t="n">
        <v>2441.7</v>
      </c>
      <c r="D7810" s="4" t="n">
        <v>738.61425</v>
      </c>
      <c r="E7810" s="5" t="n">
        <v>34.3</v>
      </c>
      <c r="F7810" s="3" t="inlineStr">
        <is>
          <t>남이면</t>
        </is>
      </c>
      <c r="G7810" s="3" t="inlineStr">
        <is>
          <t>비룡리</t>
        </is>
      </c>
      <c r="H7810" s="3" t="inlineStr">
        <is>
          <t>생산관리지역</t>
        </is>
      </c>
      <c r="I7810" s="3" t="inlineStr">
        <is>
          <t>답</t>
        </is>
      </c>
      <c r="J7810" s="3" t="inlineStr">
        <is>
          <t>남이면</t>
        </is>
      </c>
    </row>
    <row r="7811">
      <c r="A7811" s="3" t="n">
        <v>2023</v>
      </c>
      <c r="B7811" s="4" t="n">
        <v>10000</v>
      </c>
      <c r="C7811" s="4" t="n">
        <v>1248</v>
      </c>
      <c r="D7811" s="4" t="n">
        <v>377.52</v>
      </c>
      <c r="E7811" s="5" t="n">
        <v>26.5</v>
      </c>
      <c r="F7811" s="3" t="inlineStr">
        <is>
          <t>남이면</t>
        </is>
      </c>
      <c r="G7811" s="3" t="inlineStr">
        <is>
          <t>팔봉리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남이면</t>
        </is>
      </c>
    </row>
    <row r="7812">
      <c r="A7812" s="3" t="n">
        <v>2023</v>
      </c>
      <c r="B7812" s="4" t="n">
        <v>1900</v>
      </c>
      <c r="C7812" s="4" t="n">
        <v>145</v>
      </c>
      <c r="D7812" s="4" t="n">
        <v>43.8625</v>
      </c>
      <c r="E7812" s="5" t="n">
        <v>43.3</v>
      </c>
      <c r="F7812" s="3" t="inlineStr">
        <is>
          <t>현도면</t>
        </is>
      </c>
      <c r="G7812" s="3" t="inlineStr">
        <is>
          <t>달계리</t>
        </is>
      </c>
      <c r="H7812" s="3" t="inlineStr">
        <is>
          <t>개발제한구역</t>
        </is>
      </c>
      <c r="I7812" s="3" t="inlineStr">
        <is>
          <t>전</t>
        </is>
      </c>
      <c r="J7812" s="3" t="inlineStr">
        <is>
          <t>현도면</t>
        </is>
      </c>
    </row>
    <row r="7813">
      <c r="A7813" s="3" t="n">
        <v>2023</v>
      </c>
      <c r="B7813" s="4" t="n">
        <v>5000</v>
      </c>
      <c r="C7813" s="4" t="n">
        <v>2649</v>
      </c>
      <c r="D7813" s="4" t="n">
        <v>801.3225</v>
      </c>
      <c r="E7813" s="5" t="n">
        <v>6.2</v>
      </c>
      <c r="F7813" s="3" t="inlineStr">
        <is>
          <t>현도면</t>
        </is>
      </c>
      <c r="G7813" s="3" t="inlineStr">
        <is>
          <t>중척리</t>
        </is>
      </c>
      <c r="H7813" s="3" t="inlineStr">
        <is>
          <t>개발제한구역</t>
        </is>
      </c>
      <c r="I7813" s="3" t="inlineStr">
        <is>
          <t>임야</t>
        </is>
      </c>
      <c r="J7813" s="3" t="inlineStr">
        <is>
          <t>현도면</t>
        </is>
      </c>
    </row>
    <row r="7814">
      <c r="A7814" s="3" t="n">
        <v>2023</v>
      </c>
      <c r="B7814" s="4" t="n">
        <v>10</v>
      </c>
      <c r="C7814" s="4" t="n">
        <v>90</v>
      </c>
      <c r="D7814" s="4" t="n">
        <v>27.225</v>
      </c>
      <c r="E7814" s="5" t="n">
        <v>0.4</v>
      </c>
      <c r="F7814" s="3" t="inlineStr">
        <is>
          <t>현도면</t>
        </is>
      </c>
      <c r="G7814" s="3" t="inlineStr">
        <is>
          <t>중척리</t>
        </is>
      </c>
      <c r="H7814" s="3" t="inlineStr">
        <is>
          <t>개발제한구역</t>
        </is>
      </c>
      <c r="I7814" s="3" t="inlineStr">
        <is>
          <t>묘지</t>
        </is>
      </c>
      <c r="J7814" s="3" t="inlineStr">
        <is>
          <t>현도면</t>
        </is>
      </c>
    </row>
    <row r="7815">
      <c r="A7815" s="3" t="n">
        <v>2025</v>
      </c>
      <c r="B7815" s="4" t="n">
        <v>105000</v>
      </c>
      <c r="C7815" s="4" t="n">
        <v>4911</v>
      </c>
      <c r="D7815" s="4" t="n">
        <v>1485.5775</v>
      </c>
      <c r="E7815" s="5" t="n">
        <v>70.7</v>
      </c>
      <c r="F7815" s="3" t="inlineStr">
        <is>
          <t>남이면</t>
        </is>
      </c>
      <c r="G7815" s="3" t="inlineStr">
        <is>
          <t>가좌리</t>
        </is>
      </c>
      <c r="H7815" s="3" t="inlineStr">
        <is>
          <t>자연녹지지역</t>
        </is>
      </c>
      <c r="I7815" s="3" t="inlineStr">
        <is>
          <t>답</t>
        </is>
      </c>
      <c r="J7815" s="3" t="inlineStr">
        <is>
          <t>남이면</t>
        </is>
      </c>
    </row>
    <row r="7816">
      <c r="A7816" s="3" t="n">
        <v>2025</v>
      </c>
      <c r="B7816" s="4" t="n">
        <v>6000</v>
      </c>
      <c r="C7816" s="4" t="n">
        <v>205</v>
      </c>
      <c r="D7816" s="4" t="n">
        <v>62.0125</v>
      </c>
      <c r="E7816" s="5" t="n">
        <v>96.8</v>
      </c>
      <c r="F7816" s="3" t="inlineStr">
        <is>
          <t>남이면</t>
        </is>
      </c>
      <c r="G7816" s="3" t="inlineStr">
        <is>
          <t>부용외천리</t>
        </is>
      </c>
      <c r="H7816" s="3" t="inlineStr">
        <is>
          <t>계획관리지역</t>
        </is>
      </c>
      <c r="I7816" s="3" t="inlineStr">
        <is>
          <t>대</t>
        </is>
      </c>
      <c r="J7816" s="3" t="inlineStr">
        <is>
          <t>남이면</t>
        </is>
      </c>
    </row>
    <row r="7817">
      <c r="A7817" s="3" t="n">
        <v>2025</v>
      </c>
      <c r="B7817" s="4" t="n">
        <v>50000</v>
      </c>
      <c r="C7817" s="4" t="n">
        <v>2412</v>
      </c>
      <c r="D7817" s="4" t="n">
        <v>729.63</v>
      </c>
      <c r="E7817" s="5" t="n">
        <v>68.5</v>
      </c>
      <c r="F7817" s="3" t="inlineStr">
        <is>
          <t>남이면</t>
        </is>
      </c>
      <c r="G7817" s="3" t="inlineStr">
        <is>
          <t>척산리</t>
        </is>
      </c>
      <c r="H7817" s="3" t="inlineStr">
        <is>
          <t>농림지역</t>
        </is>
      </c>
      <c r="I7817" s="3" t="inlineStr">
        <is>
          <t>답</t>
        </is>
      </c>
      <c r="J7817" s="3" t="inlineStr">
        <is>
          <t>남이면</t>
        </is>
      </c>
    </row>
    <row r="7818">
      <c r="A7818" s="3" t="n">
        <v>2025</v>
      </c>
      <c r="B7818" s="4" t="n">
        <v>34123</v>
      </c>
      <c r="C7818" s="4" t="n">
        <v>531</v>
      </c>
      <c r="D7818" s="4" t="n">
        <v>160.6275</v>
      </c>
      <c r="E7818" s="5" t="n">
        <v>212.4</v>
      </c>
      <c r="F7818" s="3" t="inlineStr">
        <is>
          <t>남이면</t>
        </is>
      </c>
      <c r="G7818" s="3" t="inlineStr">
        <is>
          <t>가마리</t>
        </is>
      </c>
      <c r="H7818" s="3" t="inlineStr">
        <is>
          <t>자연녹지지역</t>
        </is>
      </c>
      <c r="I7818" s="3" t="inlineStr">
        <is>
          <t>대</t>
        </is>
      </c>
      <c r="J7818" s="3" t="inlineStr">
        <is>
          <t>남이면</t>
        </is>
      </c>
    </row>
    <row r="7819">
      <c r="A7819" s="3" t="n">
        <v>2025</v>
      </c>
      <c r="B7819" s="4" t="n">
        <v>4563</v>
      </c>
      <c r="C7819" s="4" t="n">
        <v>71</v>
      </c>
      <c r="D7819" s="4" t="n">
        <v>21.4775</v>
      </c>
      <c r="E7819" s="5" t="n">
        <v>212.5</v>
      </c>
      <c r="F7819" s="3" t="inlineStr">
        <is>
          <t>남이면</t>
        </is>
      </c>
      <c r="G7819" s="3" t="inlineStr">
        <is>
          <t>가마리</t>
        </is>
      </c>
      <c r="H7819" s="3" t="inlineStr">
        <is>
          <t>자연녹지지역</t>
        </is>
      </c>
      <c r="I7819" s="3" t="inlineStr">
        <is>
          <t>전</t>
        </is>
      </c>
      <c r="J7819" s="3" t="inlineStr">
        <is>
          <t>남이면</t>
        </is>
      </c>
    </row>
    <row r="7820">
      <c r="A7820" s="3" t="n">
        <v>2025</v>
      </c>
      <c r="B7820" s="4" t="n">
        <v>18315</v>
      </c>
      <c r="C7820" s="4" t="n">
        <v>285</v>
      </c>
      <c r="D7820" s="4" t="n">
        <v>86.21249999999999</v>
      </c>
      <c r="E7820" s="5" t="n">
        <v>212.4</v>
      </c>
      <c r="F7820" s="3" t="inlineStr">
        <is>
          <t>남이면</t>
        </is>
      </c>
      <c r="G7820" s="3" t="inlineStr">
        <is>
          <t>가마리</t>
        </is>
      </c>
      <c r="H7820" s="3" t="inlineStr">
        <is>
          <t>자연녹지지역</t>
        </is>
      </c>
      <c r="I7820" s="3" t="inlineStr">
        <is>
          <t>전</t>
        </is>
      </c>
      <c r="J7820" s="3" t="inlineStr">
        <is>
          <t>남이면</t>
        </is>
      </c>
    </row>
    <row r="7821">
      <c r="A7821" s="3" t="n">
        <v>2025</v>
      </c>
      <c r="B7821" s="4" t="n">
        <v>31000</v>
      </c>
      <c r="C7821" s="4" t="n">
        <v>2076</v>
      </c>
      <c r="D7821" s="4" t="n">
        <v>627.99</v>
      </c>
      <c r="E7821" s="5" t="n">
        <v>49.4</v>
      </c>
      <c r="F7821" s="3" t="inlineStr">
        <is>
          <t>현도면</t>
        </is>
      </c>
      <c r="G7821" s="3" t="inlineStr">
        <is>
          <t>선동리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현도면</t>
        </is>
      </c>
    </row>
    <row r="7822">
      <c r="A7822" s="3" t="n">
        <v>2025</v>
      </c>
      <c r="B7822" s="4" t="n">
        <v>917</v>
      </c>
      <c r="C7822" s="4" t="n">
        <v>25</v>
      </c>
      <c r="D7822" s="4" t="n">
        <v>7.5625</v>
      </c>
      <c r="E7822" s="5" t="n">
        <v>121.3</v>
      </c>
      <c r="F7822" s="3" t="inlineStr">
        <is>
          <t>남이면</t>
        </is>
      </c>
      <c r="G7822" s="3" t="inlineStr">
        <is>
          <t>가마리</t>
        </is>
      </c>
      <c r="H7822" s="3" t="inlineStr">
        <is>
          <t>자연녹지지역</t>
        </is>
      </c>
      <c r="I7822" s="3" t="inlineStr">
        <is>
          <t>도로</t>
        </is>
      </c>
      <c r="J7822" s="3" t="inlineStr">
        <is>
          <t>남이면</t>
        </is>
      </c>
    </row>
    <row r="7823">
      <c r="A7823" s="3" t="n">
        <v>2025</v>
      </c>
      <c r="B7823" s="4" t="n">
        <v>38040</v>
      </c>
      <c r="C7823" s="4" t="n">
        <v>4470</v>
      </c>
      <c r="D7823" s="4" t="n">
        <v>1352.175</v>
      </c>
      <c r="E7823" s="5" t="n">
        <v>28.1</v>
      </c>
      <c r="F7823" s="3" t="inlineStr">
        <is>
          <t>남이면</t>
        </is>
      </c>
      <c r="G7823" s="3" t="inlineStr">
        <is>
          <t>구미리</t>
        </is>
      </c>
      <c r="H7823" s="3" t="inlineStr">
        <is>
          <t>계획관리지역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2025</v>
      </c>
      <c r="B7824" s="4" t="n">
        <v>60</v>
      </c>
      <c r="C7824" s="4" t="n">
        <v>7</v>
      </c>
      <c r="D7824" s="4" t="n">
        <v>2.1175</v>
      </c>
      <c r="E7824" s="5" t="n">
        <v>28.3</v>
      </c>
      <c r="F7824" s="3" t="inlineStr">
        <is>
          <t>남이면</t>
        </is>
      </c>
      <c r="G7824" s="3" t="inlineStr">
        <is>
          <t>구미리</t>
        </is>
      </c>
      <c r="H7824" s="3" t="inlineStr">
        <is>
          <t>계획관리지역</t>
        </is>
      </c>
      <c r="I7824" s="3" t="inlineStr">
        <is>
          <t>임야</t>
        </is>
      </c>
      <c r="J7824" s="3" t="inlineStr">
        <is>
          <t>남이면</t>
        </is>
      </c>
    </row>
    <row r="7825">
      <c r="A7825" s="3" t="n">
        <v>2025</v>
      </c>
      <c r="B7825" s="4" t="n">
        <v>8600</v>
      </c>
      <c r="C7825" s="4" t="n">
        <v>216.9</v>
      </c>
      <c r="D7825" s="4" t="n">
        <v>65.61225</v>
      </c>
      <c r="E7825" s="5" t="n">
        <v>131.1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임야</t>
        </is>
      </c>
      <c r="J7825" s="3" t="inlineStr">
        <is>
          <t>남이면</t>
        </is>
      </c>
    </row>
    <row r="7826">
      <c r="A7826" s="3" t="n">
        <v>2025</v>
      </c>
      <c r="B7826" s="4" t="n">
        <v>11700</v>
      </c>
      <c r="C7826" s="4" t="n">
        <v>296</v>
      </c>
      <c r="D7826" s="4" t="n">
        <v>89.53999999999999</v>
      </c>
      <c r="E7826" s="5" t="n">
        <v>130.7</v>
      </c>
      <c r="F7826" s="3" t="inlineStr">
        <is>
          <t>남이면</t>
        </is>
      </c>
      <c r="G7826" s="3" t="inlineStr">
        <is>
          <t>가좌리</t>
        </is>
      </c>
      <c r="H7826" s="3" t="inlineStr">
        <is>
          <t>자연녹지지역</t>
        </is>
      </c>
      <c r="I7826" s="3" t="inlineStr">
        <is>
          <t>임야</t>
        </is>
      </c>
      <c r="J7826" s="3" t="inlineStr">
        <is>
          <t>남이면</t>
        </is>
      </c>
    </row>
    <row r="7827">
      <c r="A7827" s="3" t="n">
        <v>2025</v>
      </c>
      <c r="B7827" s="4" t="n">
        <v>12200</v>
      </c>
      <c r="C7827" s="4" t="n">
        <v>313.5</v>
      </c>
      <c r="D7827" s="4" t="n">
        <v>94.83374999999999</v>
      </c>
      <c r="E7827" s="5" t="n">
        <v>128.6</v>
      </c>
      <c r="F7827" s="3" t="inlineStr">
        <is>
          <t>남이면</t>
        </is>
      </c>
      <c r="G7827" s="3" t="inlineStr">
        <is>
          <t>가좌리</t>
        </is>
      </c>
      <c r="H7827" s="3" t="inlineStr">
        <is>
          <t>자연녹지지역</t>
        </is>
      </c>
      <c r="I7827" s="3" t="inlineStr">
        <is>
          <t>임야</t>
        </is>
      </c>
      <c r="J7827" s="3" t="inlineStr">
        <is>
          <t>남이면</t>
        </is>
      </c>
    </row>
    <row r="7828">
      <c r="A7828" s="3" t="n">
        <v>2023</v>
      </c>
      <c r="B7828" s="4" t="n">
        <v>23619</v>
      </c>
      <c r="C7828" s="4" t="n">
        <v>488</v>
      </c>
      <c r="D7828" s="4" t="n">
        <v>147.62</v>
      </c>
      <c r="E7828" s="5" t="n">
        <v>160</v>
      </c>
      <c r="F7828" s="3" t="inlineStr">
        <is>
          <t>남이면</t>
        </is>
      </c>
      <c r="G7828" s="3" t="inlineStr">
        <is>
          <t>석판리</t>
        </is>
      </c>
      <c r="H7828" s="3" t="inlineStr">
        <is>
          <t>자연녹지지역</t>
        </is>
      </c>
      <c r="I7828" s="3" t="inlineStr">
        <is>
          <t>임야</t>
        </is>
      </c>
      <c r="J7828" s="3" t="inlineStr">
        <is>
          <t>남이면</t>
        </is>
      </c>
    </row>
    <row r="7829">
      <c r="A7829" s="3" t="n">
        <v>2023</v>
      </c>
      <c r="B7829" s="4" t="n">
        <v>2111</v>
      </c>
      <c r="C7829" s="4" t="n">
        <v>69</v>
      </c>
      <c r="D7829" s="4" t="n">
        <v>20.8725</v>
      </c>
      <c r="E7829" s="5" t="n">
        <v>101.1</v>
      </c>
      <c r="F7829" s="3" t="inlineStr">
        <is>
          <t>현도면</t>
        </is>
      </c>
      <c r="G7829" s="3" t="inlineStr">
        <is>
          <t>중삼리</t>
        </is>
      </c>
      <c r="H7829" s="3" t="inlineStr">
        <is>
          <t>계획관리지역</t>
        </is>
      </c>
      <c r="I7829" s="3" t="inlineStr">
        <is>
          <t>공장용지</t>
        </is>
      </c>
      <c r="J7829" s="3" t="inlineStr">
        <is>
          <t>현도면</t>
        </is>
      </c>
    </row>
    <row r="7830">
      <c r="A7830" s="3" t="n">
        <v>2023</v>
      </c>
      <c r="B7830" s="4" t="n">
        <v>1652</v>
      </c>
      <c r="C7830" s="4" t="n">
        <v>173</v>
      </c>
      <c r="D7830" s="4" t="n">
        <v>52.3325</v>
      </c>
      <c r="E7830" s="5" t="n">
        <v>31.6</v>
      </c>
      <c r="F7830" s="3" t="inlineStr">
        <is>
          <t>남이면</t>
        </is>
      </c>
      <c r="G7830" s="3" t="inlineStr">
        <is>
          <t>석실리</t>
        </is>
      </c>
      <c r="H7830" s="3" t="inlineStr">
        <is>
          <t>보전녹지지역</t>
        </is>
      </c>
      <c r="I7830" s="3" t="inlineStr">
        <is>
          <t>임야</t>
        </is>
      </c>
      <c r="J7830" s="3" t="inlineStr">
        <is>
          <t>남이면</t>
        </is>
      </c>
    </row>
    <row r="7831">
      <c r="A7831" s="3" t="n">
        <v>2023</v>
      </c>
      <c r="B7831" s="4" t="n">
        <v>8076</v>
      </c>
      <c r="C7831" s="4" t="n">
        <v>923</v>
      </c>
      <c r="D7831" s="4" t="n">
        <v>279.2075</v>
      </c>
      <c r="E7831" s="5" t="n">
        <v>28.9</v>
      </c>
      <c r="F7831" s="3" t="inlineStr">
        <is>
          <t>남이면</t>
        </is>
      </c>
      <c r="G7831" s="3" t="inlineStr">
        <is>
          <t>석실리</t>
        </is>
      </c>
      <c r="H7831" s="3" t="inlineStr">
        <is>
          <t>보전녹지지역</t>
        </is>
      </c>
      <c r="I7831" s="3" t="inlineStr">
        <is>
          <t>임야</t>
        </is>
      </c>
      <c r="J7831" s="3" t="inlineStr">
        <is>
          <t>남이면</t>
        </is>
      </c>
    </row>
    <row r="7832">
      <c r="A7832" s="3" t="n">
        <v>2023</v>
      </c>
      <c r="B7832" s="4" t="n">
        <v>12654</v>
      </c>
      <c r="C7832" s="4" t="n">
        <v>1325</v>
      </c>
      <c r="D7832" s="4" t="n">
        <v>400.8125</v>
      </c>
      <c r="E7832" s="5" t="n">
        <v>31.6</v>
      </c>
      <c r="F7832" s="3" t="inlineStr">
        <is>
          <t>남이면</t>
        </is>
      </c>
      <c r="G7832" s="3" t="inlineStr">
        <is>
          <t>석실리</t>
        </is>
      </c>
      <c r="H7832" s="3" t="inlineStr">
        <is>
          <t>보전녹지지역</t>
        </is>
      </c>
      <c r="I7832" s="3" t="inlineStr">
        <is>
          <t>임야</t>
        </is>
      </c>
      <c r="J7832" s="3" t="inlineStr">
        <is>
          <t>남이면</t>
        </is>
      </c>
    </row>
    <row r="7833">
      <c r="A7833" s="3" t="n">
        <v>2023</v>
      </c>
      <c r="B7833" s="4" t="n">
        <v>14000</v>
      </c>
      <c r="C7833" s="4" t="n">
        <v>1432</v>
      </c>
      <c r="D7833" s="4" t="n">
        <v>433.18</v>
      </c>
      <c r="E7833" s="5" t="n">
        <v>32.3</v>
      </c>
      <c r="F7833" s="3" t="inlineStr">
        <is>
          <t>현도면</t>
        </is>
      </c>
      <c r="G7833" s="3" t="inlineStr">
        <is>
          <t>시동리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현도면</t>
        </is>
      </c>
    </row>
    <row r="7834">
      <c r="A7834" s="3" t="n">
        <v>2023</v>
      </c>
      <c r="B7834" s="4" t="n">
        <v>63</v>
      </c>
      <c r="C7834" s="4" t="n">
        <v>4</v>
      </c>
      <c r="D7834" s="4" t="n">
        <v>1.21</v>
      </c>
      <c r="E7834" s="5" t="n">
        <v>52.1</v>
      </c>
      <c r="F7834" s="3" t="inlineStr">
        <is>
          <t>남이면</t>
        </is>
      </c>
      <c r="G7834" s="3" t="inlineStr">
        <is>
          <t>가좌리</t>
        </is>
      </c>
      <c r="H7834" s="3" t="inlineStr">
        <is>
          <t>보전녹지지역</t>
        </is>
      </c>
      <c r="I7834" s="3" t="inlineStr">
        <is>
          <t>전</t>
        </is>
      </c>
      <c r="J7834" s="3" t="inlineStr">
        <is>
          <t>남이면</t>
        </is>
      </c>
    </row>
    <row r="7835">
      <c r="A7835" s="3" t="n">
        <v>2023</v>
      </c>
      <c r="B7835" s="4" t="n">
        <v>64800</v>
      </c>
      <c r="C7835" s="4" t="n">
        <v>1532</v>
      </c>
      <c r="D7835" s="4" t="n">
        <v>463.43</v>
      </c>
      <c r="E7835" s="5" t="n">
        <v>139.8</v>
      </c>
      <c r="F7835" s="3" t="inlineStr">
        <is>
          <t>남이면</t>
        </is>
      </c>
      <c r="G7835" s="3" t="inlineStr">
        <is>
          <t>가좌리</t>
        </is>
      </c>
      <c r="H7835" s="3" t="inlineStr">
        <is>
          <t>자연녹지지역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2023</v>
      </c>
      <c r="B7836" s="4" t="n">
        <v>3700</v>
      </c>
      <c r="C7836" s="4" t="n">
        <v>122</v>
      </c>
      <c r="D7836" s="4" t="n">
        <v>36.905</v>
      </c>
      <c r="E7836" s="5" t="n">
        <v>100.3</v>
      </c>
      <c r="F7836" s="3" t="inlineStr">
        <is>
          <t>남이면</t>
        </is>
      </c>
      <c r="G7836" s="3" t="inlineStr">
        <is>
          <t>가좌리</t>
        </is>
      </c>
      <c r="H7836" s="3" t="inlineStr">
        <is>
          <t>자연녹지지역</t>
        </is>
      </c>
      <c r="I7836" s="3" t="inlineStr">
        <is>
          <t>답</t>
        </is>
      </c>
      <c r="J7836" s="3" t="inlineStr">
        <is>
          <t>남이면</t>
        </is>
      </c>
    </row>
    <row r="7837">
      <c r="A7837" s="3" t="n">
        <v>2023</v>
      </c>
      <c r="B7837" s="4" t="n">
        <v>64800</v>
      </c>
      <c r="C7837" s="4" t="n">
        <v>1532</v>
      </c>
      <c r="D7837" s="4" t="n">
        <v>463.43</v>
      </c>
      <c r="E7837" s="5" t="n">
        <v>139.8</v>
      </c>
      <c r="F7837" s="3" t="inlineStr">
        <is>
          <t>남이면</t>
        </is>
      </c>
      <c r="G7837" s="3" t="inlineStr">
        <is>
          <t>가좌리</t>
        </is>
      </c>
      <c r="H7837" s="3" t="inlineStr">
        <is>
          <t>자연녹지지역</t>
        </is>
      </c>
      <c r="I7837" s="3" t="inlineStr">
        <is>
          <t>임야</t>
        </is>
      </c>
      <c r="J7837" s="3" t="inlineStr">
        <is>
          <t>남이면</t>
        </is>
      </c>
    </row>
    <row r="7838">
      <c r="A7838" s="3" t="n">
        <v>2023</v>
      </c>
      <c r="B7838" s="4" t="n">
        <v>3700</v>
      </c>
      <c r="C7838" s="4" t="n">
        <v>122</v>
      </c>
      <c r="D7838" s="4" t="n">
        <v>36.905</v>
      </c>
      <c r="E7838" s="5" t="n">
        <v>100.3</v>
      </c>
      <c r="F7838" s="3" t="inlineStr">
        <is>
          <t>남이면</t>
        </is>
      </c>
      <c r="G7838" s="3" t="inlineStr">
        <is>
          <t>가좌리</t>
        </is>
      </c>
      <c r="H7838" s="3" t="inlineStr">
        <is>
          <t>자연녹지지역</t>
        </is>
      </c>
      <c r="I7838" s="3" t="inlineStr">
        <is>
          <t>답</t>
        </is>
      </c>
      <c r="J7838" s="3" t="inlineStr">
        <is>
          <t>남이면</t>
        </is>
      </c>
    </row>
    <row r="7839">
      <c r="A7839" s="3" t="n">
        <v>2023</v>
      </c>
      <c r="B7839" s="4" t="n">
        <v>38250</v>
      </c>
      <c r="C7839" s="4" t="n">
        <v>827</v>
      </c>
      <c r="D7839" s="4" t="n">
        <v>250.1675</v>
      </c>
      <c r="E7839" s="5" t="n">
        <v>152.9</v>
      </c>
      <c r="F7839" s="3" t="inlineStr">
        <is>
          <t>남이면</t>
        </is>
      </c>
      <c r="G7839" s="3" t="inlineStr">
        <is>
          <t>양촌리</t>
        </is>
      </c>
      <c r="H7839" s="3" t="inlineStr">
        <is>
          <t>자연녹지지역</t>
        </is>
      </c>
      <c r="I7839" s="3" t="inlineStr">
        <is>
          <t>답</t>
        </is>
      </c>
      <c r="J7839" s="3" t="inlineStr">
        <is>
          <t>남이면</t>
        </is>
      </c>
    </row>
    <row r="7840">
      <c r="A7840" s="3" t="n">
        <v>2023</v>
      </c>
      <c r="B7840" s="4" t="n">
        <v>38000</v>
      </c>
      <c r="C7840" s="4" t="n">
        <v>2373</v>
      </c>
      <c r="D7840" s="4" t="n">
        <v>717.8325</v>
      </c>
      <c r="E7840" s="5" t="n">
        <v>52.9</v>
      </c>
      <c r="F7840" s="3" t="inlineStr">
        <is>
          <t>남이면</t>
        </is>
      </c>
      <c r="G7840" s="3" t="inlineStr">
        <is>
          <t>척산리</t>
        </is>
      </c>
      <c r="H7840" s="3" t="inlineStr">
        <is>
          <t>자연녹지지역</t>
        </is>
      </c>
      <c r="I7840" s="3" t="inlineStr">
        <is>
          <t>답</t>
        </is>
      </c>
      <c r="J7840" s="3" t="inlineStr">
        <is>
          <t>남이면</t>
        </is>
      </c>
    </row>
    <row r="7841">
      <c r="A7841" s="3" t="n">
        <v>2023</v>
      </c>
      <c r="B7841" s="4" t="n">
        <v>38250</v>
      </c>
      <c r="C7841" s="4" t="n">
        <v>827</v>
      </c>
      <c r="D7841" s="4" t="n">
        <v>250.1675</v>
      </c>
      <c r="E7841" s="5" t="n">
        <v>152.9</v>
      </c>
      <c r="F7841" s="3" t="inlineStr">
        <is>
          <t>남이면</t>
        </is>
      </c>
      <c r="G7841" s="3" t="inlineStr">
        <is>
          <t>양촌리</t>
        </is>
      </c>
      <c r="H7841" s="3" t="inlineStr">
        <is>
          <t>자연녹지지역</t>
        </is>
      </c>
      <c r="I7841" s="3" t="inlineStr">
        <is>
          <t>답</t>
        </is>
      </c>
      <c r="J7841" s="3" t="inlineStr">
        <is>
          <t>남이면</t>
        </is>
      </c>
    </row>
    <row r="7842">
      <c r="A7842" s="3" t="n">
        <v>2023</v>
      </c>
      <c r="B7842" s="4" t="n">
        <v>11500</v>
      </c>
      <c r="C7842" s="4" t="n">
        <v>687</v>
      </c>
      <c r="D7842" s="4" t="n">
        <v>207.8175</v>
      </c>
      <c r="E7842" s="5" t="n">
        <v>55.3</v>
      </c>
      <c r="F7842" s="3" t="inlineStr">
        <is>
          <t>현도면</t>
        </is>
      </c>
      <c r="G7842" s="3" t="inlineStr">
        <is>
          <t>우록리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현도면</t>
        </is>
      </c>
    </row>
    <row r="7843">
      <c r="A7843" s="3" t="n">
        <v>2023</v>
      </c>
      <c r="B7843" s="4" t="n">
        <v>5500</v>
      </c>
      <c r="C7843" s="4" t="n">
        <v>215</v>
      </c>
      <c r="D7843" s="4" t="n">
        <v>65.03749999999999</v>
      </c>
      <c r="E7843" s="5" t="n">
        <v>84.59999999999999</v>
      </c>
      <c r="F7843" s="3" t="inlineStr">
        <is>
          <t>남이면</t>
        </is>
      </c>
      <c r="G7843" s="3" t="inlineStr">
        <is>
          <t>비룡리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남이면</t>
        </is>
      </c>
    </row>
    <row r="7844">
      <c r="A7844" s="3" t="n">
        <v>2023</v>
      </c>
      <c r="B7844" s="4" t="n">
        <v>1200</v>
      </c>
      <c r="C7844" s="4" t="n">
        <v>46</v>
      </c>
      <c r="D7844" s="4" t="n">
        <v>13.915</v>
      </c>
      <c r="E7844" s="5" t="n">
        <v>86.2</v>
      </c>
      <c r="F7844" s="3" t="inlineStr">
        <is>
          <t>남이면</t>
        </is>
      </c>
      <c r="G7844" s="3" t="inlineStr">
        <is>
          <t>비룡리</t>
        </is>
      </c>
      <c r="H7844" s="3" t="inlineStr">
        <is>
          <t>계획관리지역</t>
        </is>
      </c>
      <c r="I7844" s="3" t="inlineStr">
        <is>
          <t>대</t>
        </is>
      </c>
      <c r="J7844" s="3" t="inlineStr">
        <is>
          <t>남이면</t>
        </is>
      </c>
    </row>
    <row r="7845">
      <c r="A7845" s="3" t="n">
        <v>2023</v>
      </c>
      <c r="B7845" s="4" t="n">
        <v>5500</v>
      </c>
      <c r="C7845" s="4" t="n">
        <v>693</v>
      </c>
      <c r="D7845" s="4" t="n">
        <v>209.6325</v>
      </c>
      <c r="E7845" s="5" t="n">
        <v>26.2</v>
      </c>
      <c r="F7845" s="3" t="inlineStr">
        <is>
          <t>남이면</t>
        </is>
      </c>
      <c r="G7845" s="3" t="inlineStr">
        <is>
          <t>구미리</t>
        </is>
      </c>
      <c r="H7845" s="3" t="inlineStr">
        <is>
          <t>계획관리지역</t>
        </is>
      </c>
      <c r="I7845" s="3" t="inlineStr">
        <is>
          <t>임야</t>
        </is>
      </c>
      <c r="J7845" s="3" t="inlineStr">
        <is>
          <t>남이면</t>
        </is>
      </c>
    </row>
    <row r="7846">
      <c r="A7846" s="3" t="n">
        <v>2023</v>
      </c>
      <c r="B7846" s="4" t="n">
        <v>39000</v>
      </c>
      <c r="C7846" s="4" t="n">
        <v>1078</v>
      </c>
      <c r="D7846" s="4" t="n">
        <v>326.095</v>
      </c>
      <c r="E7846" s="5" t="n">
        <v>119.6</v>
      </c>
      <c r="F7846" s="3" t="inlineStr">
        <is>
          <t>남이면</t>
        </is>
      </c>
      <c r="G7846" s="3" t="inlineStr">
        <is>
          <t>상발리</t>
        </is>
      </c>
      <c r="H7846" s="3" t="inlineStr">
        <is>
          <t>자연녹지지역</t>
        </is>
      </c>
      <c r="I7846" s="3" t="inlineStr">
        <is>
          <t>답</t>
        </is>
      </c>
      <c r="J7846" s="3" t="inlineStr">
        <is>
          <t>남이면</t>
        </is>
      </c>
    </row>
    <row r="7847">
      <c r="A7847" s="3" t="n">
        <v>2023</v>
      </c>
      <c r="B7847" s="4" t="n">
        <v>1183</v>
      </c>
      <c r="C7847" s="4" t="n">
        <v>34</v>
      </c>
      <c r="D7847" s="4" t="n">
        <v>10.285</v>
      </c>
      <c r="E7847" s="5" t="n">
        <v>115</v>
      </c>
      <c r="F7847" s="3" t="inlineStr">
        <is>
          <t>남이면</t>
        </is>
      </c>
      <c r="G7847" s="3" t="inlineStr">
        <is>
          <t>구암리</t>
        </is>
      </c>
      <c r="H7847" s="3" t="inlineStr">
        <is>
          <t>보전녹지지역</t>
        </is>
      </c>
      <c r="I7847" s="3" t="inlineStr">
        <is>
          <t>구거</t>
        </is>
      </c>
      <c r="J7847" s="3" t="inlineStr">
        <is>
          <t>남이면</t>
        </is>
      </c>
    </row>
    <row r="7848">
      <c r="A7848" s="3" t="n">
        <v>2023</v>
      </c>
      <c r="B7848" s="4" t="n">
        <v>174</v>
      </c>
      <c r="C7848" s="4" t="n">
        <v>5</v>
      </c>
      <c r="D7848" s="4" t="n">
        <v>1.5125</v>
      </c>
      <c r="E7848" s="5" t="n">
        <v>115</v>
      </c>
      <c r="F7848" s="3" t="inlineStr">
        <is>
          <t>남이면</t>
        </is>
      </c>
      <c r="G7848" s="3" t="inlineStr">
        <is>
          <t>구암리</t>
        </is>
      </c>
      <c r="H7848" s="3" t="inlineStr">
        <is>
          <t>보전녹지지역</t>
        </is>
      </c>
      <c r="I7848" s="3" t="inlineStr">
        <is>
          <t>도로</t>
        </is>
      </c>
      <c r="J7848" s="3" t="inlineStr">
        <is>
          <t>남이면</t>
        </is>
      </c>
    </row>
    <row r="7849">
      <c r="A7849" s="3" t="n">
        <v>2023</v>
      </c>
      <c r="B7849" s="4" t="n">
        <v>104</v>
      </c>
      <c r="C7849" s="4" t="n">
        <v>3</v>
      </c>
      <c r="D7849" s="4" t="n">
        <v>0.9075</v>
      </c>
      <c r="E7849" s="5" t="n">
        <v>114.6</v>
      </c>
      <c r="F7849" s="3" t="inlineStr">
        <is>
          <t>남이면</t>
        </is>
      </c>
      <c r="G7849" s="3" t="inlineStr">
        <is>
          <t>구암리</t>
        </is>
      </c>
      <c r="H7849" s="3" t="inlineStr">
        <is>
          <t>보전녹지지역</t>
        </is>
      </c>
      <c r="I7849" s="3" t="inlineStr">
        <is>
          <t>도로</t>
        </is>
      </c>
      <c r="J7849" s="3" t="inlineStr">
        <is>
          <t>남이면</t>
        </is>
      </c>
    </row>
    <row r="7850">
      <c r="A7850" s="3" t="n">
        <v>2023</v>
      </c>
      <c r="B7850" s="4" t="n">
        <v>592</v>
      </c>
      <c r="C7850" s="4" t="n">
        <v>17</v>
      </c>
      <c r="D7850" s="4" t="n">
        <v>5.1425</v>
      </c>
      <c r="E7850" s="5" t="n">
        <v>115.1</v>
      </c>
      <c r="F7850" s="3" t="inlineStr">
        <is>
          <t>남이면</t>
        </is>
      </c>
      <c r="G7850" s="3" t="inlineStr">
        <is>
          <t>구암리</t>
        </is>
      </c>
      <c r="H7850" s="3" t="inlineStr">
        <is>
          <t>보전녹지지역</t>
        </is>
      </c>
      <c r="I7850" s="3" t="inlineStr">
        <is>
          <t>구거</t>
        </is>
      </c>
      <c r="J7850" s="3" t="inlineStr">
        <is>
          <t>남이면</t>
        </is>
      </c>
    </row>
    <row r="7851">
      <c r="A7851" s="3" t="n">
        <v>2023</v>
      </c>
      <c r="B7851" s="4" t="n">
        <v>2035</v>
      </c>
      <c r="C7851" s="4" t="n">
        <v>212</v>
      </c>
      <c r="D7851" s="4" t="n">
        <v>64.13</v>
      </c>
      <c r="E7851" s="5" t="n">
        <v>31.7</v>
      </c>
      <c r="F7851" s="3" t="inlineStr">
        <is>
          <t>남이면</t>
        </is>
      </c>
      <c r="G7851" s="3" t="inlineStr">
        <is>
          <t>팔봉리</t>
        </is>
      </c>
      <c r="H7851" s="3" t="inlineStr">
        <is>
          <t>자연녹지지역</t>
        </is>
      </c>
      <c r="I7851" s="3" t="inlineStr">
        <is>
          <t>도로</t>
        </is>
      </c>
      <c r="J7851" s="3" t="inlineStr">
        <is>
          <t>남이면</t>
        </is>
      </c>
    </row>
    <row r="7852">
      <c r="A7852" s="3" t="n">
        <v>2025</v>
      </c>
      <c r="B7852" s="4" t="n">
        <v>32000</v>
      </c>
      <c r="C7852" s="4" t="n">
        <v>810</v>
      </c>
      <c r="D7852" s="4" t="n">
        <v>245.025</v>
      </c>
      <c r="E7852" s="5" t="n">
        <v>130.6</v>
      </c>
      <c r="F7852" s="3" t="inlineStr">
        <is>
          <t>남이면</t>
        </is>
      </c>
      <c r="G7852" s="3" t="inlineStr">
        <is>
          <t>양촌리</t>
        </is>
      </c>
      <c r="H7852" s="3" t="inlineStr">
        <is>
          <t>자연녹지지역</t>
        </is>
      </c>
      <c r="I7852" s="3" t="inlineStr">
        <is>
          <t>임야</t>
        </is>
      </c>
      <c r="J7852" s="3" t="inlineStr">
        <is>
          <t>남이면</t>
        </is>
      </c>
    </row>
    <row r="7853">
      <c r="A7853" s="3" t="n">
        <v>2025</v>
      </c>
      <c r="B7853" s="4" t="n">
        <v>2300</v>
      </c>
      <c r="C7853" s="4" t="n">
        <v>796</v>
      </c>
      <c r="D7853" s="4" t="n">
        <v>240.79</v>
      </c>
      <c r="E7853" s="5" t="n">
        <v>9.6</v>
      </c>
      <c r="F7853" s="3" t="inlineStr">
        <is>
          <t>남이면</t>
        </is>
      </c>
      <c r="G7853" s="3" t="inlineStr">
        <is>
          <t>척산리</t>
        </is>
      </c>
      <c r="H7853" s="3" t="inlineStr">
        <is>
          <t>보전관리지역</t>
        </is>
      </c>
      <c r="I7853" s="3" t="inlineStr">
        <is>
          <t>잡종지</t>
        </is>
      </c>
      <c r="J7853" s="3" t="inlineStr">
        <is>
          <t>남이면</t>
        </is>
      </c>
    </row>
    <row r="7854">
      <c r="A7854" s="3" t="n">
        <v>2025</v>
      </c>
      <c r="B7854" s="4" t="n">
        <v>8000</v>
      </c>
      <c r="C7854" s="4" t="n">
        <v>2086</v>
      </c>
      <c r="D7854" s="4" t="n">
        <v>631.015</v>
      </c>
      <c r="E7854" s="5" t="n">
        <v>12.7</v>
      </c>
      <c r="F7854" s="3" t="inlineStr">
        <is>
          <t>현도면</t>
        </is>
      </c>
      <c r="G7854" s="3" t="inlineStr">
        <is>
          <t>중척리</t>
        </is>
      </c>
      <c r="H7854" s="3" t="inlineStr">
        <is>
          <t>개발제한구역</t>
        </is>
      </c>
      <c r="I7854" s="3" t="inlineStr">
        <is>
          <t>전</t>
        </is>
      </c>
      <c r="J7854" s="3" t="inlineStr">
        <is>
          <t>현도면</t>
        </is>
      </c>
    </row>
    <row r="7855">
      <c r="A7855" s="3" t="n">
        <v>2025</v>
      </c>
      <c r="B7855" s="4" t="n">
        <v>25524</v>
      </c>
      <c r="C7855" s="4" t="n">
        <v>2344</v>
      </c>
      <c r="D7855" s="4" t="n">
        <v>709.0599999999999</v>
      </c>
      <c r="E7855" s="5" t="n">
        <v>36</v>
      </c>
      <c r="F7855" s="3" t="inlineStr">
        <is>
          <t>남이면</t>
        </is>
      </c>
      <c r="G7855" s="3" t="inlineStr">
        <is>
          <t>척산리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2025</v>
      </c>
      <c r="B7856" s="4" t="n">
        <v>4500</v>
      </c>
      <c r="C7856" s="4" t="n">
        <v>175</v>
      </c>
      <c r="D7856" s="4" t="n">
        <v>52.9375</v>
      </c>
      <c r="E7856" s="5" t="n">
        <v>85</v>
      </c>
      <c r="F7856" s="3" t="inlineStr">
        <is>
          <t>남이면</t>
        </is>
      </c>
      <c r="G7856" s="3" t="inlineStr">
        <is>
          <t>구암리</t>
        </is>
      </c>
      <c r="H7856" s="3" t="inlineStr">
        <is>
          <t>자연녹지지역</t>
        </is>
      </c>
      <c r="I7856" s="3" t="inlineStr">
        <is>
          <t>임야</t>
        </is>
      </c>
      <c r="J7856" s="3" t="inlineStr">
        <is>
          <t>남이면</t>
        </is>
      </c>
    </row>
    <row r="7857">
      <c r="A7857" s="3" t="n">
        <v>2025</v>
      </c>
      <c r="B7857" s="4" t="n">
        <v>10684</v>
      </c>
      <c r="C7857" s="4" t="n">
        <v>1371</v>
      </c>
      <c r="D7857" s="4" t="n">
        <v>414.7275</v>
      </c>
      <c r="E7857" s="5" t="n">
        <v>25.8</v>
      </c>
      <c r="F7857" s="3" t="inlineStr">
        <is>
          <t>남이면</t>
        </is>
      </c>
      <c r="G7857" s="3" t="inlineStr">
        <is>
          <t>가좌리</t>
        </is>
      </c>
      <c r="H7857" s="3" t="inlineStr">
        <is>
          <t>자연녹지지역</t>
        </is>
      </c>
      <c r="I7857" s="3" t="inlineStr">
        <is>
          <t>답</t>
        </is>
      </c>
      <c r="J7857" s="3" t="inlineStr">
        <is>
          <t>남이면</t>
        </is>
      </c>
    </row>
    <row r="7858">
      <c r="A7858" s="3" t="n">
        <v>2025</v>
      </c>
      <c r="B7858" s="4" t="n">
        <v>16956</v>
      </c>
      <c r="C7858" s="4" t="n">
        <v>2176</v>
      </c>
      <c r="D7858" s="4" t="n">
        <v>658.24</v>
      </c>
      <c r="E7858" s="5" t="n">
        <v>25.8</v>
      </c>
      <c r="F7858" s="3" t="inlineStr">
        <is>
          <t>남이면</t>
        </is>
      </c>
      <c r="G7858" s="3" t="inlineStr">
        <is>
          <t>가좌리</t>
        </is>
      </c>
      <c r="H7858" s="3" t="inlineStr">
        <is>
          <t>자연녹지지역</t>
        </is>
      </c>
      <c r="I7858" s="3" t="inlineStr">
        <is>
          <t>답</t>
        </is>
      </c>
      <c r="J7858" s="3" t="inlineStr">
        <is>
          <t>남이면</t>
        </is>
      </c>
    </row>
    <row r="7859">
      <c r="A7859" s="3" t="n">
        <v>2025</v>
      </c>
      <c r="B7859" s="4" t="n">
        <v>15378</v>
      </c>
      <c r="C7859" s="4" t="n">
        <v>1973.5</v>
      </c>
      <c r="D7859" s="4" t="n">
        <v>596.98375</v>
      </c>
      <c r="E7859" s="5" t="n">
        <v>25.8</v>
      </c>
      <c r="F7859" s="3" t="inlineStr">
        <is>
          <t>남이면</t>
        </is>
      </c>
      <c r="G7859" s="3" t="inlineStr">
        <is>
          <t>가좌리</t>
        </is>
      </c>
      <c r="H7859" s="3" t="inlineStr">
        <is>
          <t>자연녹지지역</t>
        </is>
      </c>
      <c r="I7859" s="3" t="inlineStr">
        <is>
          <t>답</t>
        </is>
      </c>
      <c r="J7859" s="3" t="inlineStr">
        <is>
          <t>남이면</t>
        </is>
      </c>
    </row>
    <row r="7860">
      <c r="A7860" s="3" t="n">
        <v>2025</v>
      </c>
      <c r="B7860" s="4" t="n">
        <v>1200</v>
      </c>
      <c r="C7860" s="4" t="n">
        <v>317</v>
      </c>
      <c r="D7860" s="4" t="n">
        <v>95.8925</v>
      </c>
      <c r="E7860" s="5" t="n">
        <v>12.5</v>
      </c>
      <c r="F7860" s="3" t="inlineStr">
        <is>
          <t>남이면</t>
        </is>
      </c>
      <c r="G7860" s="3" t="inlineStr">
        <is>
          <t>외천리</t>
        </is>
      </c>
      <c r="H7860" s="3" t="inlineStr">
        <is>
          <t>보전관리지역</t>
        </is>
      </c>
      <c r="I7860" s="3" t="inlineStr">
        <is>
          <t>답</t>
        </is>
      </c>
      <c r="J7860" s="3" t="inlineStr">
        <is>
          <t>남이면</t>
        </is>
      </c>
    </row>
    <row r="7861">
      <c r="A7861" s="3" t="n">
        <v>2025</v>
      </c>
      <c r="B7861" s="4" t="n">
        <v>11760</v>
      </c>
      <c r="C7861" s="4" t="n">
        <v>555</v>
      </c>
      <c r="D7861" s="4" t="n">
        <v>167.8875</v>
      </c>
      <c r="E7861" s="5" t="n">
        <v>70</v>
      </c>
      <c r="F7861" s="3" t="inlineStr">
        <is>
          <t>남이면</t>
        </is>
      </c>
      <c r="G7861" s="3" t="inlineStr">
        <is>
          <t>외천리</t>
        </is>
      </c>
      <c r="H7861" s="3" t="inlineStr">
        <is>
          <t>계획관리지역</t>
        </is>
      </c>
      <c r="I7861" s="3" t="inlineStr">
        <is>
          <t>대</t>
        </is>
      </c>
      <c r="J7861" s="3" t="inlineStr">
        <is>
          <t>남이면</t>
        </is>
      </c>
    </row>
    <row r="7862">
      <c r="A7862" s="3" t="n">
        <v>2025</v>
      </c>
      <c r="B7862" s="4" t="n">
        <v>15829</v>
      </c>
      <c r="C7862" s="4" t="n">
        <v>659</v>
      </c>
      <c r="D7862" s="4" t="n">
        <v>199.3475</v>
      </c>
      <c r="E7862" s="5" t="n">
        <v>79.40000000000001</v>
      </c>
      <c r="F7862" s="3" t="inlineStr">
        <is>
          <t>남이면</t>
        </is>
      </c>
      <c r="G7862" s="3" t="inlineStr">
        <is>
          <t>척산리</t>
        </is>
      </c>
      <c r="H7862" s="3" t="inlineStr">
        <is>
          <t>계획관리지역</t>
        </is>
      </c>
      <c r="I7862" s="3" t="inlineStr">
        <is>
          <t>대</t>
        </is>
      </c>
      <c r="J7862" s="3" t="inlineStr">
        <is>
          <t>남이면</t>
        </is>
      </c>
    </row>
    <row r="7863">
      <c r="A7863" s="3" t="n">
        <v>2025</v>
      </c>
      <c r="B7863" s="4" t="n">
        <v>12775</v>
      </c>
      <c r="C7863" s="4" t="n">
        <v>566</v>
      </c>
      <c r="D7863" s="4" t="n">
        <v>171.215</v>
      </c>
      <c r="E7863" s="5" t="n">
        <v>74.59999999999999</v>
      </c>
      <c r="F7863" s="3" t="inlineStr">
        <is>
          <t>남이면</t>
        </is>
      </c>
      <c r="G7863" s="3" t="inlineStr">
        <is>
          <t>척산리</t>
        </is>
      </c>
      <c r="H7863" s="3" t="inlineStr">
        <is>
          <t>계획관리지역</t>
        </is>
      </c>
      <c r="I7863" s="3" t="inlineStr">
        <is>
          <t>대</t>
        </is>
      </c>
      <c r="J7863" s="3" t="inlineStr">
        <is>
          <t>남이면</t>
        </is>
      </c>
    </row>
    <row r="7864">
      <c r="A7864" s="3" t="n">
        <v>2025</v>
      </c>
      <c r="B7864" s="4" t="n">
        <v>200</v>
      </c>
      <c r="C7864" s="4" t="n">
        <v>315</v>
      </c>
      <c r="D7864" s="4" t="n">
        <v>95.28749999999999</v>
      </c>
      <c r="E7864" s="5" t="n">
        <v>2.1</v>
      </c>
      <c r="F7864" s="3" t="inlineStr">
        <is>
          <t>현도면</t>
        </is>
      </c>
      <c r="G7864" s="3" t="inlineStr">
        <is>
          <t>시동리</t>
        </is>
      </c>
      <c r="H7864" s="3" t="inlineStr">
        <is>
          <t>자연녹지지역</t>
        </is>
      </c>
      <c r="I7864" s="3" t="inlineStr">
        <is>
          <t>임야</t>
        </is>
      </c>
      <c r="J7864" s="3" t="inlineStr">
        <is>
          <t>현도면</t>
        </is>
      </c>
    </row>
    <row r="7865">
      <c r="A7865" s="3" t="n">
        <v>2025</v>
      </c>
      <c r="B7865" s="4" t="n">
        <v>24540</v>
      </c>
      <c r="C7865" s="4" t="n">
        <v>1250</v>
      </c>
      <c r="D7865" s="4" t="n">
        <v>378.125</v>
      </c>
      <c r="E7865" s="5" t="n">
        <v>64.90000000000001</v>
      </c>
      <c r="F7865" s="3" t="inlineStr">
        <is>
          <t>남이면</t>
        </is>
      </c>
      <c r="G7865" s="3" t="inlineStr">
        <is>
          <t>팔봉리</t>
        </is>
      </c>
      <c r="H7865" s="3" t="inlineStr">
        <is>
          <t>보전녹지지역</t>
        </is>
      </c>
      <c r="I7865" s="3" t="inlineStr">
        <is>
          <t>임야</t>
        </is>
      </c>
      <c r="J7865" s="3" t="inlineStr">
        <is>
          <t>남이면</t>
        </is>
      </c>
    </row>
    <row r="7866">
      <c r="A7866" s="3" t="n">
        <v>2025</v>
      </c>
      <c r="B7866" s="4" t="n">
        <v>5786</v>
      </c>
      <c r="C7866" s="4" t="n">
        <v>1476</v>
      </c>
      <c r="D7866" s="4" t="n">
        <v>446.49</v>
      </c>
      <c r="E7866" s="5" t="n">
        <v>13</v>
      </c>
      <c r="F7866" s="3" t="inlineStr">
        <is>
          <t>현도면</t>
        </is>
      </c>
      <c r="G7866" s="3" t="inlineStr">
        <is>
          <t>노산리</t>
        </is>
      </c>
      <c r="H7866" s="3" t="inlineStr">
        <is>
          <t>자연녹지지역</t>
        </is>
      </c>
      <c r="I7866" s="3" t="inlineStr">
        <is>
          <t>임야</t>
        </is>
      </c>
      <c r="J7866" s="3" t="inlineStr">
        <is>
          <t>현도면</t>
        </is>
      </c>
    </row>
    <row r="7867">
      <c r="A7867" s="3" t="n">
        <v>2026</v>
      </c>
      <c r="B7867" s="4" t="n">
        <v>88425</v>
      </c>
      <c r="C7867" s="4" t="n">
        <v>2663</v>
      </c>
      <c r="D7867" s="4" t="n">
        <v>805.5575</v>
      </c>
      <c r="E7867" s="5" t="n">
        <v>109.8</v>
      </c>
      <c r="F7867" s="3" t="inlineStr">
        <is>
          <t>남이면</t>
        </is>
      </c>
      <c r="G7867" s="3" t="inlineStr">
        <is>
          <t>가좌리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2026</v>
      </c>
      <c r="B7868" s="4" t="n">
        <v>6575</v>
      </c>
      <c r="C7868" s="4" t="n">
        <v>198</v>
      </c>
      <c r="D7868" s="4" t="n">
        <v>59.895</v>
      </c>
      <c r="E7868" s="5" t="n">
        <v>109.8</v>
      </c>
      <c r="F7868" s="3" t="inlineStr">
        <is>
          <t>남이면</t>
        </is>
      </c>
      <c r="G7868" s="3" t="inlineStr">
        <is>
          <t>가좌리</t>
        </is>
      </c>
      <c r="H7868" s="3" t="inlineStr">
        <is>
          <t>자연녹지지역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2026</v>
      </c>
      <c r="B7869" s="4" t="n">
        <v>95000</v>
      </c>
      <c r="C7869" s="4" t="n">
        <v>2861</v>
      </c>
      <c r="D7869" s="4" t="n">
        <v>865.4525</v>
      </c>
      <c r="E7869" s="5" t="n">
        <v>109.8</v>
      </c>
      <c r="F7869" s="3" t="inlineStr">
        <is>
          <t>남이면</t>
        </is>
      </c>
      <c r="G7869" s="3" t="inlineStr">
        <is>
          <t>가좌리</t>
        </is>
      </c>
      <c r="H7869" s="3" t="inlineStr">
        <is>
          <t>자연녹지지역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2026</v>
      </c>
      <c r="B7870" s="4" t="n">
        <v>13500</v>
      </c>
      <c r="C7870" s="4" t="n">
        <v>1337</v>
      </c>
      <c r="D7870" s="4" t="n">
        <v>404.4425</v>
      </c>
      <c r="E7870" s="5" t="n">
        <v>33.4</v>
      </c>
      <c r="F7870" s="3" t="inlineStr">
        <is>
          <t>현도면</t>
        </is>
      </c>
      <c r="G7870" s="3" t="inlineStr">
        <is>
          <t>죽전리</t>
        </is>
      </c>
      <c r="H7870" s="3" t="inlineStr">
        <is>
          <t>농림지역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2026</v>
      </c>
      <c r="B7871" s="4" t="n">
        <v>9494</v>
      </c>
      <c r="C7871" s="4" t="n">
        <v>468.6</v>
      </c>
      <c r="D7871" s="4" t="n">
        <v>141.7515</v>
      </c>
      <c r="E7871" s="5" t="n">
        <v>67</v>
      </c>
      <c r="F7871" s="3" t="inlineStr">
        <is>
          <t>현도면</t>
        </is>
      </c>
      <c r="G7871" s="3" t="inlineStr">
        <is>
          <t>매봉리</t>
        </is>
      </c>
      <c r="H7871" s="3" t="inlineStr">
        <is>
          <t>제1종일반주거지역</t>
        </is>
      </c>
      <c r="I7871" s="3" t="inlineStr">
        <is>
          <t>대</t>
        </is>
      </c>
      <c r="J7871" s="3" t="inlineStr">
        <is>
          <t>현도면</t>
        </is>
      </c>
    </row>
    <row r="7872">
      <c r="A7872" s="3" t="n">
        <v>2026</v>
      </c>
      <c r="B7872" s="4" t="n">
        <v>82500</v>
      </c>
      <c r="C7872" s="4" t="n">
        <v>495</v>
      </c>
      <c r="D7872" s="4" t="n">
        <v>149.7375</v>
      </c>
      <c r="E7872" s="5" t="n">
        <v>551</v>
      </c>
      <c r="F7872" s="3" t="inlineStr">
        <is>
          <t>남이면</t>
        </is>
      </c>
      <c r="G7872" s="3" t="inlineStr">
        <is>
          <t>가마리</t>
        </is>
      </c>
      <c r="H7872" s="3" t="inlineStr">
        <is>
          <t>자연녹지지역</t>
        </is>
      </c>
      <c r="I7872" s="3" t="inlineStr">
        <is>
          <t>답</t>
        </is>
      </c>
      <c r="J7872" s="3" t="inlineStr">
        <is>
          <t>남이면</t>
        </is>
      </c>
    </row>
    <row r="7873">
      <c r="A7873" s="3" t="n">
        <v>2026</v>
      </c>
      <c r="B7873" s="4" t="n">
        <v>175</v>
      </c>
      <c r="C7873" s="4" t="n">
        <v>2</v>
      </c>
      <c r="D7873" s="4" t="n">
        <v>0.605</v>
      </c>
      <c r="E7873" s="5" t="n">
        <v>289.3</v>
      </c>
      <c r="F7873" s="3" t="inlineStr">
        <is>
          <t>연서면</t>
        </is>
      </c>
      <c r="G7873" s="3" t="inlineStr">
        <is>
          <t>월하리</t>
        </is>
      </c>
      <c r="H7873" s="3" t="inlineStr">
        <is>
          <t>계획관리지역</t>
        </is>
      </c>
      <c r="I7873" s="3" t="inlineStr">
        <is>
          <t>답</t>
        </is>
      </c>
      <c r="J7873" s="3" t="inlineStr">
        <is>
          <t>연서면</t>
        </is>
      </c>
    </row>
    <row r="7874">
      <c r="A7874" s="3" t="n">
        <v>2025</v>
      </c>
      <c r="B7874" s="4" t="n">
        <v>3500</v>
      </c>
      <c r="C7874" s="4" t="n">
        <v>236</v>
      </c>
      <c r="D7874" s="4" t="n">
        <v>71.39</v>
      </c>
      <c r="E7874" s="5" t="n">
        <v>49</v>
      </c>
      <c r="F7874" s="3" t="inlineStr">
        <is>
          <t>연서면</t>
        </is>
      </c>
      <c r="G7874" s="3" t="inlineStr">
        <is>
          <t>고복리</t>
        </is>
      </c>
      <c r="H7874" s="3" t="inlineStr">
        <is>
          <t>보전관리지역</t>
        </is>
      </c>
      <c r="I7874" s="3" t="inlineStr">
        <is>
          <t>전</t>
        </is>
      </c>
      <c r="J7874" s="3" t="inlineStr">
        <is>
          <t>연서면</t>
        </is>
      </c>
    </row>
    <row r="7875">
      <c r="A7875" s="3" t="n">
        <v>2025</v>
      </c>
      <c r="B7875" s="4" t="n">
        <v>45000</v>
      </c>
      <c r="C7875" s="4" t="n">
        <v>2892</v>
      </c>
      <c r="D7875" s="4" t="n">
        <v>874.8299999999999</v>
      </c>
      <c r="E7875" s="5" t="n">
        <v>51.4</v>
      </c>
      <c r="F7875" s="3" t="inlineStr">
        <is>
          <t>전의면</t>
        </is>
      </c>
      <c r="G7875" s="3" t="inlineStr">
        <is>
          <t>신방리</t>
        </is>
      </c>
      <c r="H7875" s="3" t="inlineStr">
        <is>
          <t>계획관리지역</t>
        </is>
      </c>
      <c r="I7875" s="3" t="inlineStr">
        <is>
          <t>답</t>
        </is>
      </c>
      <c r="J7875" s="3" t="inlineStr">
        <is>
          <t>전의면</t>
        </is>
      </c>
    </row>
    <row r="7876">
      <c r="A7876" s="3" t="n">
        <v>2025</v>
      </c>
      <c r="B7876" s="4" t="n">
        <v>15300</v>
      </c>
      <c r="C7876" s="4" t="n">
        <v>563</v>
      </c>
      <c r="D7876" s="4" t="n">
        <v>170.3075</v>
      </c>
      <c r="E7876" s="5" t="n">
        <v>89.8</v>
      </c>
      <c r="F7876" s="3" t="inlineStr">
        <is>
          <t>전동면</t>
        </is>
      </c>
      <c r="G7876" s="3" t="inlineStr">
        <is>
          <t>심중리</t>
        </is>
      </c>
      <c r="H7876" s="3" t="inlineStr">
        <is>
          <t>계획관리지역</t>
        </is>
      </c>
      <c r="I7876" s="3" t="inlineStr">
        <is>
          <t>전</t>
        </is>
      </c>
      <c r="J7876" s="3" t="inlineStr">
        <is>
          <t>전동면</t>
        </is>
      </c>
    </row>
    <row r="7877">
      <c r="A7877" s="3" t="n">
        <v>2025</v>
      </c>
      <c r="B7877" s="4" t="n">
        <v>58950</v>
      </c>
      <c r="C7877" s="4" t="n">
        <v>2165</v>
      </c>
      <c r="D7877" s="4" t="n">
        <v>654.9125</v>
      </c>
      <c r="E7877" s="5" t="n">
        <v>90</v>
      </c>
      <c r="F7877" s="3" t="inlineStr">
        <is>
          <t>전동면</t>
        </is>
      </c>
      <c r="G7877" s="3" t="inlineStr">
        <is>
          <t>심중리</t>
        </is>
      </c>
      <c r="H7877" s="3" t="inlineStr">
        <is>
          <t>계획관리지역</t>
        </is>
      </c>
      <c r="I7877" s="3" t="inlineStr">
        <is>
          <t>답</t>
        </is>
      </c>
      <c r="J7877" s="3" t="inlineStr">
        <is>
          <t>전동면</t>
        </is>
      </c>
    </row>
    <row r="7878">
      <c r="A7878" s="3" t="n">
        <v>2025</v>
      </c>
      <c r="B7878" s="4" t="n">
        <v>11130</v>
      </c>
      <c r="C7878" s="4" t="n">
        <v>1226</v>
      </c>
      <c r="D7878" s="4" t="n">
        <v>370.865</v>
      </c>
      <c r="E7878" s="5" t="n">
        <v>30</v>
      </c>
      <c r="F7878" s="3" t="inlineStr">
        <is>
          <t>전동면</t>
        </is>
      </c>
      <c r="G7878" s="3" t="inlineStr">
        <is>
          <t>심중리</t>
        </is>
      </c>
      <c r="H7878" s="3" t="inlineStr">
        <is>
          <t>계획관리지역</t>
        </is>
      </c>
      <c r="I7878" s="3" t="inlineStr">
        <is>
          <t>답</t>
        </is>
      </c>
      <c r="J7878" s="3" t="inlineStr">
        <is>
          <t>전동면</t>
        </is>
      </c>
    </row>
    <row r="7879">
      <c r="A7879" s="3" t="n">
        <v>2025</v>
      </c>
      <c r="B7879" s="4" t="n">
        <v>40370</v>
      </c>
      <c r="C7879" s="4" t="n">
        <v>2195</v>
      </c>
      <c r="D7879" s="4" t="n">
        <v>663.9875</v>
      </c>
      <c r="E7879" s="5" t="n">
        <v>60.8</v>
      </c>
      <c r="F7879" s="3" t="inlineStr">
        <is>
          <t>전동면</t>
        </is>
      </c>
      <c r="G7879" s="3" t="inlineStr">
        <is>
          <t>심중리</t>
        </is>
      </c>
      <c r="H7879" s="3" t="inlineStr">
        <is>
          <t>계획관리지역</t>
        </is>
      </c>
      <c r="I7879" s="3" t="inlineStr">
        <is>
          <t>답</t>
        </is>
      </c>
      <c r="J7879" s="3" t="inlineStr">
        <is>
          <t>전동면</t>
        </is>
      </c>
    </row>
    <row r="7880">
      <c r="A7880" s="3" t="n">
        <v>2025</v>
      </c>
      <c r="B7880" s="4" t="n">
        <v>20037</v>
      </c>
      <c r="C7880" s="4" t="n">
        <v>541</v>
      </c>
      <c r="D7880" s="4" t="n">
        <v>163.6525</v>
      </c>
      <c r="E7880" s="5" t="n">
        <v>122.4</v>
      </c>
      <c r="F7880" s="3" t="inlineStr">
        <is>
          <t>부강면</t>
        </is>
      </c>
      <c r="G7880" s="3" t="inlineStr">
        <is>
          <t>부강리</t>
        </is>
      </c>
      <c r="H7880" s="3" t="inlineStr">
        <is>
          <t>자연녹지지역</t>
        </is>
      </c>
      <c r="I7880" s="3" t="inlineStr">
        <is>
          <t>대</t>
        </is>
      </c>
      <c r="J7880" s="3" t="inlineStr">
        <is>
          <t>부강면</t>
        </is>
      </c>
    </row>
    <row r="7881">
      <c r="A7881" s="3" t="n">
        <v>2025</v>
      </c>
      <c r="B7881" s="4" t="n">
        <v>16063</v>
      </c>
      <c r="C7881" s="4" t="n">
        <v>450</v>
      </c>
      <c r="D7881" s="4" t="n">
        <v>136.125</v>
      </c>
      <c r="E7881" s="5" t="n">
        <v>118</v>
      </c>
      <c r="F7881" s="3" t="inlineStr">
        <is>
          <t>부강면</t>
        </is>
      </c>
      <c r="G7881" s="3" t="inlineStr">
        <is>
          <t>부강리</t>
        </is>
      </c>
      <c r="H7881" s="3" t="inlineStr">
        <is>
          <t>자연녹지지역</t>
        </is>
      </c>
      <c r="I7881" s="3" t="inlineStr">
        <is>
          <t>대</t>
        </is>
      </c>
      <c r="J7881" s="3" t="inlineStr">
        <is>
          <t>부강면</t>
        </is>
      </c>
    </row>
    <row r="7882">
      <c r="A7882" s="3" t="n">
        <v>2024</v>
      </c>
      <c r="B7882" s="4" t="n">
        <v>330</v>
      </c>
      <c r="C7882" s="4" t="n">
        <v>43</v>
      </c>
      <c r="D7882" s="4" t="n">
        <v>13.0075</v>
      </c>
      <c r="E7882" s="5" t="n">
        <v>25.4</v>
      </c>
      <c r="F7882" s="3" t="inlineStr">
        <is>
          <t>남이면</t>
        </is>
      </c>
      <c r="G7882" s="3" t="inlineStr">
        <is>
          <t>구암리</t>
        </is>
      </c>
      <c r="H7882" s="3" t="inlineStr">
        <is>
          <t>보전녹지지역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2024</v>
      </c>
      <c r="B7883" s="4" t="n">
        <v>50000</v>
      </c>
      <c r="C7883" s="4" t="n">
        <v>2223</v>
      </c>
      <c r="D7883" s="4" t="n">
        <v>672.4575</v>
      </c>
      <c r="E7883" s="5" t="n">
        <v>74.40000000000001</v>
      </c>
      <c r="F7883" s="3" t="inlineStr">
        <is>
          <t>남이면</t>
        </is>
      </c>
      <c r="G7883" s="3" t="inlineStr">
        <is>
          <t>척산리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2024</v>
      </c>
      <c r="B7884" s="4" t="n">
        <v>5780</v>
      </c>
      <c r="C7884" s="4" t="n">
        <v>113</v>
      </c>
      <c r="D7884" s="4" t="n">
        <v>34.1825</v>
      </c>
      <c r="E7884" s="5" t="n">
        <v>169.1</v>
      </c>
      <c r="F7884" s="3" t="inlineStr">
        <is>
          <t>남이면</t>
        </is>
      </c>
      <c r="G7884" s="3" t="inlineStr">
        <is>
          <t>부용외천리</t>
        </is>
      </c>
      <c r="H7884" s="3" t="inlineStr">
        <is>
          <t>계획관리지역</t>
        </is>
      </c>
      <c r="I7884" s="3" t="inlineStr">
        <is>
          <t>도로</t>
        </is>
      </c>
      <c r="J7884" s="3" t="inlineStr">
        <is>
          <t>남이면</t>
        </is>
      </c>
    </row>
    <row r="7885">
      <c r="A7885" s="3" t="n">
        <v>2024</v>
      </c>
      <c r="B7885" s="4" t="n">
        <v>81430</v>
      </c>
      <c r="C7885" s="4" t="n">
        <v>1584</v>
      </c>
      <c r="D7885" s="4" t="n">
        <v>479.16</v>
      </c>
      <c r="E7885" s="5" t="n">
        <v>169.9</v>
      </c>
      <c r="F7885" s="3" t="inlineStr">
        <is>
          <t>남이면</t>
        </is>
      </c>
      <c r="G7885" s="3" t="inlineStr">
        <is>
          <t>부용외천리</t>
        </is>
      </c>
      <c r="H7885" s="3" t="inlineStr">
        <is>
          <t>계획관리지역</t>
        </is>
      </c>
      <c r="I7885" s="3" t="inlineStr">
        <is>
          <t>임야</t>
        </is>
      </c>
      <c r="J7885" s="3" t="inlineStr">
        <is>
          <t>남이면</t>
        </is>
      </c>
    </row>
    <row r="7886">
      <c r="A7886" s="3" t="n">
        <v>2024</v>
      </c>
      <c r="B7886" s="4" t="n">
        <v>38250</v>
      </c>
      <c r="C7886" s="4" t="n">
        <v>740</v>
      </c>
      <c r="D7886" s="4" t="n">
        <v>223.85</v>
      </c>
      <c r="E7886" s="5" t="n">
        <v>170.9</v>
      </c>
      <c r="F7886" s="3" t="inlineStr">
        <is>
          <t>남이면</t>
        </is>
      </c>
      <c r="G7886" s="3" t="inlineStr">
        <is>
          <t>부용외천리</t>
        </is>
      </c>
      <c r="H7886" s="3" t="inlineStr">
        <is>
          <t>계획관리지역</t>
        </is>
      </c>
      <c r="I7886" s="3" t="inlineStr">
        <is>
          <t>임야</t>
        </is>
      </c>
      <c r="J7886" s="3" t="inlineStr">
        <is>
          <t>남이면</t>
        </is>
      </c>
    </row>
    <row r="7887">
      <c r="A7887" s="3" t="n">
        <v>2024</v>
      </c>
      <c r="B7887" s="4" t="n">
        <v>20000</v>
      </c>
      <c r="C7887" s="4" t="n">
        <v>1383</v>
      </c>
      <c r="D7887" s="4" t="n">
        <v>418.3575</v>
      </c>
      <c r="E7887" s="5" t="n">
        <v>47.8</v>
      </c>
      <c r="F7887" s="3" t="inlineStr">
        <is>
          <t>현도면</t>
        </is>
      </c>
      <c r="G7887" s="3" t="inlineStr">
        <is>
          <t>죽전리</t>
        </is>
      </c>
      <c r="H7887" s="3" t="inlineStr">
        <is>
          <t>자연녹지지역</t>
        </is>
      </c>
      <c r="I7887" s="3" t="inlineStr">
        <is>
          <t>답</t>
        </is>
      </c>
      <c r="J7887" s="3" t="inlineStr">
        <is>
          <t>현도면</t>
        </is>
      </c>
    </row>
    <row r="7888">
      <c r="A7888" s="3" t="n">
        <v>2024</v>
      </c>
      <c r="B7888" s="4" t="n">
        <v>30000</v>
      </c>
      <c r="C7888" s="4" t="n">
        <v>2213</v>
      </c>
      <c r="D7888" s="4" t="n">
        <v>669.4325</v>
      </c>
      <c r="E7888" s="5" t="n">
        <v>44.8</v>
      </c>
      <c r="F7888" s="3" t="inlineStr">
        <is>
          <t>현도면</t>
        </is>
      </c>
      <c r="G7888" s="3" t="inlineStr">
        <is>
          <t>죽전리</t>
        </is>
      </c>
      <c r="H7888" s="3" t="inlineStr">
        <is>
          <t>자연녹지지역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2024</v>
      </c>
      <c r="B7889" s="4" t="n">
        <v>20739</v>
      </c>
      <c r="C7889" s="4" t="n">
        <v>1212</v>
      </c>
      <c r="D7889" s="4" t="n">
        <v>366.63</v>
      </c>
      <c r="E7889" s="5" t="n">
        <v>56.6</v>
      </c>
      <c r="F7889" s="3" t="inlineStr">
        <is>
          <t>남이면</t>
        </is>
      </c>
      <c r="G7889" s="3" t="inlineStr">
        <is>
          <t>척산리</t>
        </is>
      </c>
      <c r="H7889" s="3" t="inlineStr">
        <is>
          <t>자연녹지지역</t>
        </is>
      </c>
      <c r="I7889" s="3" t="inlineStr">
        <is>
          <t>답</t>
        </is>
      </c>
      <c r="J7889" s="3" t="inlineStr">
        <is>
          <t>남이면</t>
        </is>
      </c>
    </row>
    <row r="7890">
      <c r="A7890" s="3" t="n">
        <v>2024</v>
      </c>
      <c r="B7890" s="4" t="n">
        <v>13261</v>
      </c>
      <c r="C7890" s="4" t="n">
        <v>771</v>
      </c>
      <c r="D7890" s="4" t="n">
        <v>233.2275</v>
      </c>
      <c r="E7890" s="5" t="n">
        <v>56.9</v>
      </c>
      <c r="F7890" s="3" t="inlineStr">
        <is>
          <t>남이면</t>
        </is>
      </c>
      <c r="G7890" s="3" t="inlineStr">
        <is>
          <t>척산리</t>
        </is>
      </c>
      <c r="H7890" s="3" t="inlineStr">
        <is>
          <t>자연녹지지역</t>
        </is>
      </c>
      <c r="I7890" s="3" t="inlineStr">
        <is>
          <t>답</t>
        </is>
      </c>
      <c r="J7890" s="3" t="inlineStr">
        <is>
          <t>남이면</t>
        </is>
      </c>
    </row>
    <row r="7891">
      <c r="A7891" s="3" t="n">
        <v>2024</v>
      </c>
      <c r="B7891" s="4" t="n">
        <v>9000</v>
      </c>
      <c r="C7891" s="4" t="n">
        <v>244</v>
      </c>
      <c r="D7891" s="4" t="n">
        <v>73.81</v>
      </c>
      <c r="E7891" s="5" t="n">
        <v>121.9</v>
      </c>
      <c r="F7891" s="3" t="inlineStr">
        <is>
          <t>남이면</t>
        </is>
      </c>
      <c r="G7891" s="3" t="inlineStr">
        <is>
          <t>외천리</t>
        </is>
      </c>
      <c r="H7891" s="3" t="inlineStr">
        <is>
          <t>계획관리지역</t>
        </is>
      </c>
      <c r="I7891" s="3" t="inlineStr">
        <is>
          <t>전</t>
        </is>
      </c>
      <c r="J7891" s="3" t="inlineStr">
        <is>
          <t>남이면</t>
        </is>
      </c>
    </row>
    <row r="7892">
      <c r="A7892" s="3" t="n">
        <v>2024</v>
      </c>
      <c r="B7892" s="4" t="n">
        <v>2200</v>
      </c>
      <c r="C7892" s="4" t="n">
        <v>929</v>
      </c>
      <c r="D7892" s="4" t="n">
        <v>281.0225</v>
      </c>
      <c r="E7892" s="5" t="n">
        <v>7.8</v>
      </c>
      <c r="F7892" s="3" t="inlineStr">
        <is>
          <t>남이면</t>
        </is>
      </c>
      <c r="G7892" s="3" t="inlineStr">
        <is>
          <t>외천리</t>
        </is>
      </c>
      <c r="H7892" s="3" t="inlineStr">
        <is>
          <t>계획관리지역</t>
        </is>
      </c>
      <c r="I7892" s="3" t="inlineStr">
        <is>
          <t>임야</t>
        </is>
      </c>
      <c r="J7892" s="3" t="inlineStr">
        <is>
          <t>남이면</t>
        </is>
      </c>
    </row>
    <row r="7893">
      <c r="A7893" s="3" t="n">
        <v>2024</v>
      </c>
      <c r="B7893" s="4" t="n">
        <v>7600</v>
      </c>
      <c r="C7893" s="4" t="n">
        <v>207</v>
      </c>
      <c r="D7893" s="4" t="n">
        <v>62.6175</v>
      </c>
      <c r="E7893" s="5" t="n">
        <v>121.4</v>
      </c>
      <c r="F7893" s="3" t="inlineStr">
        <is>
          <t>남이면</t>
        </is>
      </c>
      <c r="G7893" s="3" t="inlineStr">
        <is>
          <t>외천리</t>
        </is>
      </c>
      <c r="H7893" s="3" t="inlineStr">
        <is>
          <t>계획관리지역</t>
        </is>
      </c>
      <c r="I7893" s="3" t="inlineStr">
        <is>
          <t>임야</t>
        </is>
      </c>
      <c r="J7893" s="3" t="inlineStr">
        <is>
          <t>남이면</t>
        </is>
      </c>
    </row>
    <row r="7894">
      <c r="A7894" s="3" t="n">
        <v>2024</v>
      </c>
      <c r="B7894" s="4" t="n">
        <v>13000</v>
      </c>
      <c r="C7894" s="4" t="n">
        <v>353</v>
      </c>
      <c r="D7894" s="4" t="n">
        <v>106.7825</v>
      </c>
      <c r="E7894" s="5" t="n">
        <v>121.7</v>
      </c>
      <c r="F7894" s="3" t="inlineStr">
        <is>
          <t>남이면</t>
        </is>
      </c>
      <c r="G7894" s="3" t="inlineStr">
        <is>
          <t>외천리</t>
        </is>
      </c>
      <c r="H7894" s="3" t="inlineStr">
        <is>
          <t>계획관리지역</t>
        </is>
      </c>
      <c r="I7894" s="3" t="inlineStr">
        <is>
          <t>임야</t>
        </is>
      </c>
      <c r="J7894" s="3" t="inlineStr">
        <is>
          <t>남이면</t>
        </is>
      </c>
    </row>
    <row r="7895">
      <c r="A7895" s="3" t="n">
        <v>2024</v>
      </c>
      <c r="B7895" s="4" t="n">
        <v>8000</v>
      </c>
      <c r="C7895" s="4" t="n">
        <v>8765</v>
      </c>
      <c r="D7895" s="4" t="n">
        <v>2651.4125</v>
      </c>
      <c r="E7895" s="5" t="n">
        <v>3</v>
      </c>
      <c r="F7895" s="3" t="inlineStr">
        <is>
          <t>현도면</t>
        </is>
      </c>
      <c r="G7895" s="3" t="inlineStr">
        <is>
          <t>죽암리</t>
        </is>
      </c>
      <c r="H7895" s="3" t="inlineStr">
        <is>
          <t>농림지역</t>
        </is>
      </c>
      <c r="I7895" s="3" t="inlineStr">
        <is>
          <t>임야</t>
        </is>
      </c>
      <c r="J7895" s="3" t="inlineStr">
        <is>
          <t>현도면</t>
        </is>
      </c>
    </row>
    <row r="7896">
      <c r="A7896" s="3" t="n">
        <v>2024</v>
      </c>
      <c r="B7896" s="4" t="n">
        <v>5950</v>
      </c>
      <c r="C7896" s="4" t="n">
        <v>793</v>
      </c>
      <c r="D7896" s="4" t="n">
        <v>239.8825</v>
      </c>
      <c r="E7896" s="5" t="n">
        <v>24.8</v>
      </c>
      <c r="F7896" s="3" t="inlineStr">
        <is>
          <t>남이면</t>
        </is>
      </c>
      <c r="G7896" s="3" t="inlineStr">
        <is>
          <t>산막리</t>
        </is>
      </c>
      <c r="H7896" s="3" t="inlineStr">
        <is>
          <t>생산관리지역</t>
        </is>
      </c>
      <c r="I7896" s="3" t="inlineStr">
        <is>
          <t>답</t>
        </is>
      </c>
      <c r="J7896" s="3" t="inlineStr">
        <is>
          <t>남이면</t>
        </is>
      </c>
    </row>
    <row r="7897">
      <c r="A7897" s="3" t="n">
        <v>2024</v>
      </c>
      <c r="B7897" s="4" t="n">
        <v>1110</v>
      </c>
      <c r="C7897" s="4" t="n">
        <v>162</v>
      </c>
      <c r="D7897" s="4" t="n">
        <v>49.005</v>
      </c>
      <c r="E7897" s="5" t="n">
        <v>22.7</v>
      </c>
      <c r="F7897" s="3" t="inlineStr">
        <is>
          <t>남이면</t>
        </is>
      </c>
      <c r="G7897" s="3" t="inlineStr">
        <is>
          <t>산막리</t>
        </is>
      </c>
      <c r="H7897" s="3" t="inlineStr">
        <is>
          <t>생산관리지역</t>
        </is>
      </c>
      <c r="I7897" s="3" t="inlineStr">
        <is>
          <t>전</t>
        </is>
      </c>
      <c r="J7897" s="3" t="inlineStr">
        <is>
          <t>남이면</t>
        </is>
      </c>
    </row>
    <row r="7898">
      <c r="A7898" s="3" t="n">
        <v>2024</v>
      </c>
      <c r="B7898" s="4" t="n">
        <v>5700</v>
      </c>
      <c r="C7898" s="4" t="n">
        <v>249</v>
      </c>
      <c r="D7898" s="4" t="n">
        <v>75.32249999999999</v>
      </c>
      <c r="E7898" s="5" t="n">
        <v>75.7</v>
      </c>
      <c r="F7898" s="3" t="inlineStr">
        <is>
          <t>남이면</t>
        </is>
      </c>
      <c r="G7898" s="3" t="inlineStr">
        <is>
          <t>양촌리</t>
        </is>
      </c>
      <c r="H7898" s="3" t="inlineStr">
        <is>
          <t>자연녹지지역</t>
        </is>
      </c>
      <c r="I7898" s="3" t="inlineStr">
        <is>
          <t>전</t>
        </is>
      </c>
      <c r="J7898" s="3" t="inlineStr">
        <is>
          <t>남이면</t>
        </is>
      </c>
    </row>
    <row r="7899">
      <c r="A7899" s="3" t="n">
        <v>2024</v>
      </c>
      <c r="B7899" s="4" t="n">
        <v>250</v>
      </c>
      <c r="C7899" s="4" t="n">
        <v>394</v>
      </c>
      <c r="D7899" s="4" t="n">
        <v>119.185</v>
      </c>
      <c r="E7899" s="5" t="n">
        <v>2.1</v>
      </c>
      <c r="F7899" s="3" t="inlineStr">
        <is>
          <t>남이면</t>
        </is>
      </c>
      <c r="G7899" s="3" t="inlineStr">
        <is>
          <t>사동리</t>
        </is>
      </c>
      <c r="H7899" s="3" t="inlineStr">
        <is>
          <t>보전녹지지역</t>
        </is>
      </c>
      <c r="I7899" s="3" t="inlineStr">
        <is>
          <t>임야</t>
        </is>
      </c>
      <c r="J7899" s="3" t="inlineStr">
        <is>
          <t>남이면</t>
        </is>
      </c>
    </row>
    <row r="7900">
      <c r="A7900" s="3" t="n">
        <v>2024</v>
      </c>
      <c r="B7900" s="4" t="n">
        <v>26610</v>
      </c>
      <c r="C7900" s="4" t="n">
        <v>2932</v>
      </c>
      <c r="D7900" s="4" t="n">
        <v>886.9299999999999</v>
      </c>
      <c r="E7900" s="5" t="n">
        <v>30</v>
      </c>
      <c r="F7900" s="3" t="inlineStr">
        <is>
          <t>현도면</t>
        </is>
      </c>
      <c r="G7900" s="3" t="inlineStr">
        <is>
          <t>시목리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현도면</t>
        </is>
      </c>
    </row>
    <row r="7901">
      <c r="A7901" s="3" t="n">
        <v>2024</v>
      </c>
      <c r="B7901" s="4" t="n">
        <v>1500</v>
      </c>
      <c r="C7901" s="4" t="n">
        <v>423</v>
      </c>
      <c r="D7901" s="4" t="n">
        <v>127.9575</v>
      </c>
      <c r="E7901" s="5" t="n">
        <v>11.7</v>
      </c>
      <c r="F7901" s="3" t="inlineStr">
        <is>
          <t>현도면</t>
        </is>
      </c>
      <c r="G7901" s="3" t="inlineStr">
        <is>
          <t>달계리</t>
        </is>
      </c>
      <c r="H7901" s="3" t="inlineStr">
        <is>
          <t>자연녹지지역</t>
        </is>
      </c>
      <c r="I7901" s="3" t="inlineStr">
        <is>
          <t>전</t>
        </is>
      </c>
      <c r="J7901" s="3" t="inlineStr">
        <is>
          <t>현도면</t>
        </is>
      </c>
    </row>
    <row r="7902">
      <c r="A7902" s="3" t="n">
        <v>2024</v>
      </c>
      <c r="B7902" s="4" t="n">
        <v>3672</v>
      </c>
      <c r="C7902" s="4" t="n">
        <v>51</v>
      </c>
      <c r="D7902" s="4" t="n">
        <v>15.4275</v>
      </c>
      <c r="E7902" s="5" t="n">
        <v>238</v>
      </c>
      <c r="F7902" s="3" t="inlineStr">
        <is>
          <t>남이면</t>
        </is>
      </c>
      <c r="G7902" s="3" t="inlineStr">
        <is>
          <t>척산리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남이면</t>
        </is>
      </c>
    </row>
    <row r="7903">
      <c r="A7903" s="3" t="n">
        <v>2024</v>
      </c>
      <c r="B7903" s="4" t="n">
        <v>50000</v>
      </c>
      <c r="C7903" s="4" t="n">
        <v>2223</v>
      </c>
      <c r="D7903" s="4" t="n">
        <v>672.4575</v>
      </c>
      <c r="E7903" s="5" t="n">
        <v>74.40000000000001</v>
      </c>
      <c r="F7903" s="3" t="inlineStr">
        <is>
          <t>남이면</t>
        </is>
      </c>
      <c r="G7903" s="3" t="inlineStr">
        <is>
          <t>척산리</t>
        </is>
      </c>
      <c r="H7903" s="3" t="inlineStr">
        <is>
          <t>생산관리지역</t>
        </is>
      </c>
      <c r="I7903" s="3" t="inlineStr">
        <is>
          <t>답</t>
        </is>
      </c>
      <c r="J7903" s="3" t="inlineStr">
        <is>
          <t>남이면</t>
        </is>
      </c>
    </row>
    <row r="7904">
      <c r="A7904" s="3" t="n">
        <v>2024</v>
      </c>
      <c r="B7904" s="4" t="n">
        <v>3672</v>
      </c>
      <c r="C7904" s="4" t="n">
        <v>51</v>
      </c>
      <c r="D7904" s="4" t="n">
        <v>15.4275</v>
      </c>
      <c r="E7904" s="5" t="n">
        <v>238</v>
      </c>
      <c r="F7904" s="3" t="inlineStr">
        <is>
          <t>남이면</t>
        </is>
      </c>
      <c r="G7904" s="3" t="inlineStr">
        <is>
          <t>척산리</t>
        </is>
      </c>
      <c r="H7904" s="3" t="inlineStr">
        <is>
          <t>계획관리지역</t>
        </is>
      </c>
      <c r="I7904" s="3" t="inlineStr">
        <is>
          <t>대</t>
        </is>
      </c>
      <c r="J7904" s="3" t="inlineStr">
        <is>
          <t>남이면</t>
        </is>
      </c>
    </row>
    <row r="7905">
      <c r="A7905" s="3" t="n">
        <v>2024</v>
      </c>
      <c r="B7905" s="4" t="n">
        <v>690</v>
      </c>
      <c r="C7905" s="4" t="n">
        <v>20</v>
      </c>
      <c r="D7905" s="4" t="n">
        <v>6.05</v>
      </c>
      <c r="E7905" s="5" t="n">
        <v>114</v>
      </c>
      <c r="F7905" s="3" t="inlineStr">
        <is>
          <t>남이면</t>
        </is>
      </c>
      <c r="G7905" s="3" t="inlineStr">
        <is>
          <t>외천리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남이면</t>
        </is>
      </c>
    </row>
    <row r="7906">
      <c r="A7906" s="3" t="n">
        <v>2024</v>
      </c>
      <c r="B7906" s="4" t="n">
        <v>1368</v>
      </c>
      <c r="C7906" s="4" t="n">
        <v>191</v>
      </c>
      <c r="D7906" s="4" t="n">
        <v>57.7775</v>
      </c>
      <c r="E7906" s="5" t="n">
        <v>23.7</v>
      </c>
      <c r="F7906" s="3" t="inlineStr">
        <is>
          <t>남이면</t>
        </is>
      </c>
      <c r="G7906" s="3" t="inlineStr">
        <is>
          <t>산막리</t>
        </is>
      </c>
      <c r="H7906" s="3" t="inlineStr">
        <is>
          <t>계획관리지역</t>
        </is>
      </c>
      <c r="I7906" s="3" t="inlineStr">
        <is>
          <t>전</t>
        </is>
      </c>
      <c r="J7906" s="3" t="inlineStr">
        <is>
          <t>남이면</t>
        </is>
      </c>
    </row>
    <row r="7907">
      <c r="A7907" s="3" t="n">
        <v>2024</v>
      </c>
      <c r="B7907" s="4" t="n">
        <v>14000</v>
      </c>
      <c r="C7907" s="4" t="n">
        <v>462</v>
      </c>
      <c r="D7907" s="4" t="n">
        <v>139.755</v>
      </c>
      <c r="E7907" s="5" t="n">
        <v>100.2</v>
      </c>
      <c r="F7907" s="3" t="inlineStr">
        <is>
          <t>남이면</t>
        </is>
      </c>
      <c r="G7907" s="3" t="inlineStr">
        <is>
          <t>가마리</t>
        </is>
      </c>
      <c r="H7907" s="3" t="inlineStr">
        <is>
          <t>자연녹지지역</t>
        </is>
      </c>
      <c r="I7907" s="3" t="inlineStr">
        <is>
          <t>전</t>
        </is>
      </c>
      <c r="J7907" s="3" t="inlineStr">
        <is>
          <t>남이면</t>
        </is>
      </c>
    </row>
    <row r="7908">
      <c r="A7908" s="3" t="n">
        <v>2024</v>
      </c>
      <c r="B7908" s="4" t="n">
        <v>16700</v>
      </c>
      <c r="C7908" s="4" t="n">
        <v>1071</v>
      </c>
      <c r="D7908" s="4" t="n">
        <v>323.9775</v>
      </c>
      <c r="E7908" s="5" t="n">
        <v>51.5</v>
      </c>
      <c r="F7908" s="3" t="inlineStr">
        <is>
          <t>현도면</t>
        </is>
      </c>
      <c r="G7908" s="3" t="inlineStr">
        <is>
          <t>중삼리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현도면</t>
        </is>
      </c>
    </row>
    <row r="7909">
      <c r="A7909" s="3" t="n">
        <v>2025</v>
      </c>
      <c r="B7909" s="4" t="n">
        <v>21000</v>
      </c>
      <c r="C7909" s="4" t="n">
        <v>1625</v>
      </c>
      <c r="D7909" s="4" t="n">
        <v>491.5625</v>
      </c>
      <c r="E7909" s="5" t="n">
        <v>42.7</v>
      </c>
      <c r="F7909" s="3" t="inlineStr">
        <is>
          <t>현도면</t>
        </is>
      </c>
      <c r="G7909" s="3" t="inlineStr">
        <is>
          <t>중척리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현도면</t>
        </is>
      </c>
    </row>
    <row r="7910">
      <c r="A7910" s="3" t="n">
        <v>2025</v>
      </c>
      <c r="B7910" s="4" t="n">
        <v>2541</v>
      </c>
      <c r="C7910" s="4" t="n">
        <v>129</v>
      </c>
      <c r="D7910" s="4" t="n">
        <v>39.0225</v>
      </c>
      <c r="E7910" s="5" t="n">
        <v>65.09999999999999</v>
      </c>
      <c r="F7910" s="3" t="inlineStr">
        <is>
          <t>남이면</t>
        </is>
      </c>
      <c r="G7910" s="3" t="inlineStr">
        <is>
          <t>부용외천리</t>
        </is>
      </c>
      <c r="H7910" s="3" t="inlineStr">
        <is>
          <t>계획관리지역</t>
        </is>
      </c>
      <c r="I7910" s="3" t="inlineStr">
        <is>
          <t>도로</t>
        </is>
      </c>
      <c r="J7910" s="3" t="inlineStr">
        <is>
          <t>남이면</t>
        </is>
      </c>
    </row>
    <row r="7911">
      <c r="A7911" s="3" t="n">
        <v>2025</v>
      </c>
      <c r="B7911" s="4" t="n">
        <v>22931</v>
      </c>
      <c r="C7911" s="4" t="n">
        <v>1164</v>
      </c>
      <c r="D7911" s="4" t="n">
        <v>352.11</v>
      </c>
      <c r="E7911" s="5" t="n">
        <v>65.09999999999999</v>
      </c>
      <c r="F7911" s="3" t="inlineStr">
        <is>
          <t>남이면</t>
        </is>
      </c>
      <c r="G7911" s="3" t="inlineStr">
        <is>
          <t>부용외천리</t>
        </is>
      </c>
      <c r="H7911" s="3" t="inlineStr">
        <is>
          <t>계획관리지역</t>
        </is>
      </c>
      <c r="I7911" s="3" t="inlineStr">
        <is>
          <t>도로</t>
        </is>
      </c>
      <c r="J7911" s="3" t="inlineStr">
        <is>
          <t>남이면</t>
        </is>
      </c>
    </row>
    <row r="7912">
      <c r="A7912" s="3" t="n">
        <v>2025</v>
      </c>
      <c r="B7912" s="4" t="n">
        <v>10638</v>
      </c>
      <c r="C7912" s="4" t="n">
        <v>540</v>
      </c>
      <c r="D7912" s="4" t="n">
        <v>163.35</v>
      </c>
      <c r="E7912" s="5" t="n">
        <v>65.09999999999999</v>
      </c>
      <c r="F7912" s="3" t="inlineStr">
        <is>
          <t>남이면</t>
        </is>
      </c>
      <c r="G7912" s="3" t="inlineStr">
        <is>
          <t>부용외천리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남이면</t>
        </is>
      </c>
    </row>
    <row r="7913">
      <c r="A7913" s="3" t="n">
        <v>2025</v>
      </c>
      <c r="B7913" s="4" t="n">
        <v>21000</v>
      </c>
      <c r="C7913" s="4" t="n">
        <v>1625</v>
      </c>
      <c r="D7913" s="4" t="n">
        <v>491.5625</v>
      </c>
      <c r="E7913" s="5" t="n">
        <v>42.7</v>
      </c>
      <c r="F7913" s="3" t="inlineStr">
        <is>
          <t>현도면</t>
        </is>
      </c>
      <c r="G7913" s="3" t="inlineStr">
        <is>
          <t>중척리</t>
        </is>
      </c>
      <c r="H7913" s="3" t="inlineStr">
        <is>
          <t>자연녹지지역</t>
        </is>
      </c>
      <c r="I7913" s="3" t="inlineStr">
        <is>
          <t>답</t>
        </is>
      </c>
      <c r="J7913" s="3" t="inlineStr">
        <is>
          <t>현도면</t>
        </is>
      </c>
    </row>
    <row r="7914">
      <c r="A7914" s="3" t="n">
        <v>2025</v>
      </c>
      <c r="B7914" s="4" t="n">
        <v>7910</v>
      </c>
      <c r="C7914" s="4" t="n">
        <v>856</v>
      </c>
      <c r="D7914" s="4" t="n">
        <v>258.94</v>
      </c>
      <c r="E7914" s="5" t="n">
        <v>30.5</v>
      </c>
      <c r="F7914" s="3" t="inlineStr">
        <is>
          <t>남이면</t>
        </is>
      </c>
      <c r="G7914" s="3" t="inlineStr">
        <is>
          <t>부용외천리</t>
        </is>
      </c>
      <c r="H7914" s="3" t="inlineStr">
        <is>
          <t>생산관리지역</t>
        </is>
      </c>
      <c r="I7914" s="3" t="inlineStr">
        <is>
          <t>답</t>
        </is>
      </c>
      <c r="J7914" s="3" t="inlineStr">
        <is>
          <t>남이면</t>
        </is>
      </c>
    </row>
    <row r="7915">
      <c r="A7915" s="3" t="n">
        <v>2025</v>
      </c>
      <c r="B7915" s="4" t="n">
        <v>2090</v>
      </c>
      <c r="C7915" s="4" t="n">
        <v>226</v>
      </c>
      <c r="D7915" s="4" t="n">
        <v>68.36499999999999</v>
      </c>
      <c r="E7915" s="5" t="n">
        <v>30.6</v>
      </c>
      <c r="F7915" s="3" t="inlineStr">
        <is>
          <t>남이면</t>
        </is>
      </c>
      <c r="G7915" s="3" t="inlineStr">
        <is>
          <t>부용외천리</t>
        </is>
      </c>
      <c r="H7915" s="3" t="inlineStr">
        <is>
          <t>생산관리지역</t>
        </is>
      </c>
      <c r="I7915" s="3" t="inlineStr">
        <is>
          <t>답</t>
        </is>
      </c>
      <c r="J7915" s="3" t="inlineStr">
        <is>
          <t>남이면</t>
        </is>
      </c>
    </row>
    <row r="7916">
      <c r="A7916" s="3" t="n">
        <v>2025</v>
      </c>
      <c r="B7916" s="4" t="n">
        <v>13800</v>
      </c>
      <c r="C7916" s="4" t="n">
        <v>2281</v>
      </c>
      <c r="D7916" s="4" t="n">
        <v>690.0024999999999</v>
      </c>
      <c r="E7916" s="5" t="n">
        <v>20</v>
      </c>
      <c r="F7916" s="3" t="inlineStr">
        <is>
          <t>현도면</t>
        </is>
      </c>
      <c r="G7916" s="3" t="inlineStr">
        <is>
          <t>하석리</t>
        </is>
      </c>
      <c r="H7916" s="3" t="inlineStr">
        <is>
          <t>자연녹지지역</t>
        </is>
      </c>
      <c r="I7916" s="3" t="inlineStr">
        <is>
          <t>전</t>
        </is>
      </c>
      <c r="J7916" s="3" t="inlineStr">
        <is>
          <t>현도면</t>
        </is>
      </c>
    </row>
    <row r="7917">
      <c r="A7917" s="3" t="n">
        <v>2025</v>
      </c>
      <c r="B7917" s="4" t="n">
        <v>2200</v>
      </c>
      <c r="C7917" s="4" t="n">
        <v>734</v>
      </c>
      <c r="D7917" s="4" t="n">
        <v>222.035</v>
      </c>
      <c r="E7917" s="5" t="n">
        <v>9.9</v>
      </c>
      <c r="F7917" s="3" t="inlineStr">
        <is>
          <t>남이면</t>
        </is>
      </c>
      <c r="G7917" s="3" t="inlineStr">
        <is>
          <t>척북리</t>
        </is>
      </c>
      <c r="H7917" s="3" t="inlineStr">
        <is>
          <t>보전녹지지역</t>
        </is>
      </c>
      <c r="I7917" s="3" t="inlineStr">
        <is>
          <t>답</t>
        </is>
      </c>
      <c r="J7917" s="3" t="inlineStr">
        <is>
          <t>남이면</t>
        </is>
      </c>
    </row>
    <row r="7918">
      <c r="A7918" s="3" t="n">
        <v>2025</v>
      </c>
      <c r="B7918" s="4" t="n">
        <v>65000</v>
      </c>
      <c r="C7918" s="4" t="n">
        <v>7036</v>
      </c>
      <c r="D7918" s="4" t="n">
        <v>2128.39</v>
      </c>
      <c r="E7918" s="5" t="n">
        <v>30.5</v>
      </c>
      <c r="F7918" s="3" t="inlineStr">
        <is>
          <t>남이면</t>
        </is>
      </c>
      <c r="G7918" s="3" t="inlineStr">
        <is>
          <t>구암리</t>
        </is>
      </c>
      <c r="H7918" s="3" t="inlineStr">
        <is>
          <t>보전녹지지역</t>
        </is>
      </c>
      <c r="I7918" s="3" t="inlineStr">
        <is>
          <t>임야</t>
        </is>
      </c>
      <c r="J7918" s="3" t="inlineStr">
        <is>
          <t>남이면</t>
        </is>
      </c>
    </row>
    <row r="7919">
      <c r="A7919" s="3" t="n">
        <v>2025</v>
      </c>
      <c r="B7919" s="4" t="n">
        <v>3155</v>
      </c>
      <c r="C7919" s="4" t="n">
        <v>66</v>
      </c>
      <c r="D7919" s="4" t="n">
        <v>19.965</v>
      </c>
      <c r="E7919" s="5" t="n">
        <v>158</v>
      </c>
      <c r="F7919" s="3" t="inlineStr">
        <is>
          <t>남이면</t>
        </is>
      </c>
      <c r="G7919" s="3" t="inlineStr">
        <is>
          <t>양촌리</t>
        </is>
      </c>
      <c r="H7919" s="3" t="inlineStr">
        <is>
          <t>자연녹지지역</t>
        </is>
      </c>
      <c r="I7919" s="3" t="inlineStr">
        <is>
          <t>잡종지</t>
        </is>
      </c>
      <c r="J7919" s="3" t="inlineStr">
        <is>
          <t>남이면</t>
        </is>
      </c>
    </row>
    <row r="7920">
      <c r="A7920" s="3" t="n">
        <v>2025</v>
      </c>
      <c r="B7920" s="4" t="n">
        <v>3410</v>
      </c>
      <c r="C7920" s="4" t="n">
        <v>575</v>
      </c>
      <c r="D7920" s="4" t="n">
        <v>173.9375</v>
      </c>
      <c r="E7920" s="5" t="n">
        <v>19.6</v>
      </c>
      <c r="F7920" s="3" t="inlineStr">
        <is>
          <t>남이면</t>
        </is>
      </c>
      <c r="G7920" s="3" t="inlineStr">
        <is>
          <t>부용외천리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남이면</t>
        </is>
      </c>
    </row>
    <row r="7921">
      <c r="A7921" s="3" t="n">
        <v>2025</v>
      </c>
      <c r="B7921" s="4" t="n">
        <v>9350</v>
      </c>
      <c r="C7921" s="4" t="n">
        <v>1031</v>
      </c>
      <c r="D7921" s="4" t="n">
        <v>311.8775</v>
      </c>
      <c r="E7921" s="5" t="n">
        <v>30</v>
      </c>
      <c r="F7921" s="3" t="inlineStr">
        <is>
          <t>남이면</t>
        </is>
      </c>
      <c r="G7921" s="3" t="inlineStr">
        <is>
          <t>부용외천리</t>
        </is>
      </c>
      <c r="H7921" s="3" t="inlineStr">
        <is>
          <t>생산관리지역</t>
        </is>
      </c>
      <c r="I7921" s="3" t="inlineStr">
        <is>
          <t>답</t>
        </is>
      </c>
      <c r="J7921" s="3" t="inlineStr">
        <is>
          <t>남이면</t>
        </is>
      </c>
    </row>
    <row r="7922">
      <c r="A7922" s="3" t="n">
        <v>2025</v>
      </c>
      <c r="B7922" s="4" t="n">
        <v>4364</v>
      </c>
      <c r="C7922" s="4" t="n">
        <v>240</v>
      </c>
      <c r="D7922" s="4" t="n">
        <v>72.59999999999999</v>
      </c>
      <c r="E7922" s="5" t="n">
        <v>60.1</v>
      </c>
      <c r="F7922" s="3" t="inlineStr">
        <is>
          <t>남이면</t>
        </is>
      </c>
      <c r="G7922" s="3" t="inlineStr">
        <is>
          <t>가좌리</t>
        </is>
      </c>
      <c r="H7922" s="3" t="inlineStr">
        <is>
          <t>자연녹지지역</t>
        </is>
      </c>
      <c r="I7922" s="3" t="inlineStr">
        <is>
          <t>임야</t>
        </is>
      </c>
      <c r="J7922" s="3" t="inlineStr">
        <is>
          <t>남이면</t>
        </is>
      </c>
    </row>
    <row r="7923">
      <c r="A7923" s="3" t="n">
        <v>2025</v>
      </c>
      <c r="B7923" s="4" t="n">
        <v>854</v>
      </c>
      <c r="C7923" s="4" t="n">
        <v>47</v>
      </c>
      <c r="D7923" s="4" t="n">
        <v>14.2175</v>
      </c>
      <c r="E7923" s="5" t="n">
        <v>60.1</v>
      </c>
      <c r="F7923" s="3" t="inlineStr">
        <is>
          <t>남이면</t>
        </is>
      </c>
      <c r="G7923" s="3" t="inlineStr">
        <is>
          <t>가좌리</t>
        </is>
      </c>
      <c r="H7923" s="3" t="inlineStr">
        <is>
          <t>자연녹지지역</t>
        </is>
      </c>
      <c r="I7923" s="3" t="inlineStr">
        <is>
          <t>임야</t>
        </is>
      </c>
      <c r="J7923" s="3" t="inlineStr">
        <is>
          <t>남이면</t>
        </is>
      </c>
    </row>
    <row r="7924">
      <c r="A7924" s="3" t="n">
        <v>2025</v>
      </c>
      <c r="B7924" s="4" t="n">
        <v>1540</v>
      </c>
      <c r="C7924" s="4" t="n">
        <v>170</v>
      </c>
      <c r="D7924" s="4" t="n">
        <v>51.425</v>
      </c>
      <c r="E7924" s="5" t="n">
        <v>29.9</v>
      </c>
      <c r="F7924" s="3" t="inlineStr">
        <is>
          <t>남이면</t>
        </is>
      </c>
      <c r="G7924" s="3" t="inlineStr">
        <is>
          <t>부용외천리</t>
        </is>
      </c>
      <c r="H7924" s="3" t="inlineStr">
        <is>
          <t>생산관리지역</t>
        </is>
      </c>
      <c r="I7924" s="3" t="inlineStr">
        <is>
          <t>답</t>
        </is>
      </c>
      <c r="J7924" s="3" t="inlineStr">
        <is>
          <t>남이면</t>
        </is>
      </c>
    </row>
    <row r="7925">
      <c r="A7925" s="3" t="n">
        <v>2025</v>
      </c>
      <c r="B7925" s="4" t="n">
        <v>67000</v>
      </c>
      <c r="C7925" s="4" t="n">
        <v>1934</v>
      </c>
      <c r="D7925" s="4" t="n">
        <v>585.035</v>
      </c>
      <c r="E7925" s="5" t="n">
        <v>114.5</v>
      </c>
      <c r="F7925" s="3" t="inlineStr">
        <is>
          <t>현도면</t>
        </is>
      </c>
      <c r="G7925" s="3" t="inlineStr">
        <is>
          <t>상삼리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현도면</t>
        </is>
      </c>
    </row>
    <row r="7926">
      <c r="A7926" s="3" t="n">
        <v>2025</v>
      </c>
      <c r="B7926" s="4" t="n">
        <v>7900</v>
      </c>
      <c r="C7926" s="4" t="n">
        <v>332</v>
      </c>
      <c r="D7926" s="4" t="n">
        <v>100.43</v>
      </c>
      <c r="E7926" s="5" t="n">
        <v>78.7</v>
      </c>
      <c r="F7926" s="3" t="inlineStr">
        <is>
          <t>남이면</t>
        </is>
      </c>
      <c r="G7926" s="3" t="inlineStr">
        <is>
          <t>가좌리</t>
        </is>
      </c>
      <c r="H7926" s="3" t="inlineStr">
        <is>
          <t>자연녹지지역</t>
        </is>
      </c>
      <c r="I7926" s="3" t="inlineStr">
        <is>
          <t>전</t>
        </is>
      </c>
      <c r="J7926" s="3" t="inlineStr">
        <is>
          <t>남이면</t>
        </is>
      </c>
    </row>
    <row r="7927">
      <c r="A7927" s="3" t="n">
        <v>2023</v>
      </c>
      <c r="B7927" s="4" t="n">
        <v>42000</v>
      </c>
      <c r="C7927" s="4" t="n">
        <v>2387</v>
      </c>
      <c r="D7927" s="4" t="n">
        <v>722.0675</v>
      </c>
      <c r="E7927" s="5" t="n">
        <v>58.2</v>
      </c>
      <c r="F7927" s="3" t="inlineStr">
        <is>
          <t>남이면</t>
        </is>
      </c>
      <c r="G7927" s="3" t="inlineStr">
        <is>
          <t>상발리</t>
        </is>
      </c>
      <c r="H7927" s="3" t="inlineStr">
        <is>
          <t>자연녹지지역</t>
        </is>
      </c>
      <c r="I7927" s="3" t="inlineStr">
        <is>
          <t>답</t>
        </is>
      </c>
      <c r="J7927" s="3" t="inlineStr">
        <is>
          <t>남이면</t>
        </is>
      </c>
    </row>
    <row r="7928">
      <c r="A7928" s="3" t="n">
        <v>2023</v>
      </c>
      <c r="B7928" s="4" t="n">
        <v>10568</v>
      </c>
      <c r="C7928" s="4" t="n">
        <v>317</v>
      </c>
      <c r="D7928" s="4" t="n">
        <v>95.8925</v>
      </c>
      <c r="E7928" s="5" t="n">
        <v>110.2</v>
      </c>
      <c r="F7928" s="3" t="inlineStr">
        <is>
          <t>남이면</t>
        </is>
      </c>
      <c r="G7928" s="3" t="inlineStr">
        <is>
          <t>양촌리</t>
        </is>
      </c>
      <c r="H7928" s="3" t="inlineStr">
        <is>
          <t>자연녹지지역</t>
        </is>
      </c>
      <c r="I7928" s="3" t="inlineStr">
        <is>
          <t>임야</t>
        </is>
      </c>
      <c r="J7928" s="3" t="inlineStr">
        <is>
          <t>남이면</t>
        </is>
      </c>
    </row>
    <row r="7929">
      <c r="A7929" s="3" t="n">
        <v>2023</v>
      </c>
      <c r="B7929" s="4" t="n">
        <v>5971</v>
      </c>
      <c r="C7929" s="4" t="n">
        <v>552</v>
      </c>
      <c r="D7929" s="4" t="n">
        <v>166.98</v>
      </c>
      <c r="E7929" s="5" t="n">
        <v>35.8</v>
      </c>
      <c r="F7929" s="3" t="inlineStr">
        <is>
          <t>남이면</t>
        </is>
      </c>
      <c r="G7929" s="3" t="inlineStr">
        <is>
          <t>부용외천리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남이면</t>
        </is>
      </c>
    </row>
    <row r="7930">
      <c r="A7930" s="3" t="n">
        <v>2023</v>
      </c>
      <c r="B7930" s="4" t="n">
        <v>10800</v>
      </c>
      <c r="C7930" s="4" t="n">
        <v>793</v>
      </c>
      <c r="D7930" s="4" t="n">
        <v>239.8825</v>
      </c>
      <c r="E7930" s="5" t="n">
        <v>45</v>
      </c>
      <c r="F7930" s="3" t="inlineStr">
        <is>
          <t>현도면</t>
        </is>
      </c>
      <c r="G7930" s="3" t="inlineStr">
        <is>
          <t>우록리</t>
        </is>
      </c>
      <c r="H7930" s="3" t="inlineStr">
        <is>
          <t>농림지역</t>
        </is>
      </c>
      <c r="I7930" s="3" t="inlineStr">
        <is>
          <t>답</t>
        </is>
      </c>
      <c r="J7930" s="3" t="inlineStr">
        <is>
          <t>현도면</t>
        </is>
      </c>
    </row>
    <row r="7931">
      <c r="A7931" s="3" t="n">
        <v>2023</v>
      </c>
      <c r="B7931" s="4" t="n">
        <v>11100</v>
      </c>
      <c r="C7931" s="4" t="n">
        <v>822</v>
      </c>
      <c r="D7931" s="4" t="n">
        <v>248.655</v>
      </c>
      <c r="E7931" s="5" t="n">
        <v>44.6</v>
      </c>
      <c r="F7931" s="3" t="inlineStr">
        <is>
          <t>현도면</t>
        </is>
      </c>
      <c r="G7931" s="3" t="inlineStr">
        <is>
          <t>우록리</t>
        </is>
      </c>
      <c r="H7931" s="3" t="inlineStr">
        <is>
          <t>농림지역</t>
        </is>
      </c>
      <c r="I7931" s="3" t="inlineStr">
        <is>
          <t>답</t>
        </is>
      </c>
      <c r="J7931" s="3" t="inlineStr">
        <is>
          <t>현도면</t>
        </is>
      </c>
    </row>
    <row r="7932">
      <c r="A7932" s="3" t="n">
        <v>2023</v>
      </c>
      <c r="B7932" s="4" t="n">
        <v>18250</v>
      </c>
      <c r="C7932" s="4" t="n">
        <v>1207</v>
      </c>
      <c r="D7932" s="4" t="n">
        <v>365.1175</v>
      </c>
      <c r="E7932" s="5" t="n">
        <v>50</v>
      </c>
      <c r="F7932" s="3" t="inlineStr">
        <is>
          <t>남이면</t>
        </is>
      </c>
      <c r="G7932" s="3" t="inlineStr">
        <is>
          <t>가좌리</t>
        </is>
      </c>
      <c r="H7932" s="3" t="inlineStr">
        <is>
          <t>자연녹지지역</t>
        </is>
      </c>
      <c r="I7932" s="3" t="inlineStr">
        <is>
          <t>답</t>
        </is>
      </c>
      <c r="J7932" s="3" t="inlineStr">
        <is>
          <t>남이면</t>
        </is>
      </c>
    </row>
    <row r="7933">
      <c r="A7933" s="3" t="n">
        <v>2023</v>
      </c>
      <c r="B7933" s="4" t="n">
        <v>17000</v>
      </c>
      <c r="C7933" s="4" t="n">
        <v>1041</v>
      </c>
      <c r="D7933" s="4" t="n">
        <v>314.9025</v>
      </c>
      <c r="E7933" s="5" t="n">
        <v>54</v>
      </c>
      <c r="F7933" s="3" t="inlineStr">
        <is>
          <t>남이면</t>
        </is>
      </c>
      <c r="G7933" s="3" t="inlineStr">
        <is>
          <t>양촌리</t>
        </is>
      </c>
      <c r="H7933" s="3" t="inlineStr">
        <is>
          <t>자연녹지지역</t>
        </is>
      </c>
      <c r="I7933" s="3" t="inlineStr">
        <is>
          <t>임야</t>
        </is>
      </c>
      <c r="J7933" s="3" t="inlineStr">
        <is>
          <t>남이면</t>
        </is>
      </c>
    </row>
    <row r="7934">
      <c r="A7934" s="3" t="n">
        <v>2023</v>
      </c>
      <c r="B7934" s="4" t="n">
        <v>5700</v>
      </c>
      <c r="C7934" s="4" t="n">
        <v>4722</v>
      </c>
      <c r="D7934" s="4" t="n">
        <v>1428.405</v>
      </c>
      <c r="E7934" s="5" t="n">
        <v>4</v>
      </c>
      <c r="F7934" s="3" t="inlineStr">
        <is>
          <t>남이면</t>
        </is>
      </c>
      <c r="G7934" s="3" t="inlineStr">
        <is>
          <t>양촌리</t>
        </is>
      </c>
      <c r="H7934" s="3" t="inlineStr">
        <is>
          <t>보전녹지지역</t>
        </is>
      </c>
      <c r="I7934" s="3" t="inlineStr">
        <is>
          <t>임야</t>
        </is>
      </c>
      <c r="J7934" s="3" t="inlineStr">
        <is>
          <t>남이면</t>
        </is>
      </c>
    </row>
    <row r="7935">
      <c r="A7935" s="3" t="n">
        <v>2023</v>
      </c>
      <c r="B7935" s="4" t="n">
        <v>13000</v>
      </c>
      <c r="C7935" s="4" t="n">
        <v>825</v>
      </c>
      <c r="D7935" s="4" t="n">
        <v>249.5625</v>
      </c>
      <c r="E7935" s="5" t="n">
        <v>52.1</v>
      </c>
      <c r="F7935" s="3" t="inlineStr">
        <is>
          <t>남이면</t>
        </is>
      </c>
      <c r="G7935" s="3" t="inlineStr">
        <is>
          <t>양촌리</t>
        </is>
      </c>
      <c r="H7935" s="3" t="inlineStr">
        <is>
          <t>자연녹지지역</t>
        </is>
      </c>
      <c r="I7935" s="3" t="inlineStr">
        <is>
          <t>임야</t>
        </is>
      </c>
      <c r="J7935" s="3" t="inlineStr">
        <is>
          <t>남이면</t>
        </is>
      </c>
    </row>
    <row r="7936">
      <c r="A7936" s="3" t="n">
        <v>2023</v>
      </c>
      <c r="B7936" s="4" t="n">
        <v>257</v>
      </c>
      <c r="C7936" s="4" t="n">
        <v>141.5</v>
      </c>
      <c r="D7936" s="4" t="n">
        <v>42.80375</v>
      </c>
      <c r="E7936" s="5" t="n">
        <v>6</v>
      </c>
      <c r="F7936" s="3" t="inlineStr">
        <is>
          <t>남이면</t>
        </is>
      </c>
      <c r="G7936" s="3" t="inlineStr">
        <is>
          <t>문동리</t>
        </is>
      </c>
      <c r="H7936" s="3" t="inlineStr">
        <is>
          <t>보전녹지지역</t>
        </is>
      </c>
      <c r="I7936" s="3" t="inlineStr">
        <is>
          <t>임야</t>
        </is>
      </c>
      <c r="J7936" s="3" t="inlineStr">
        <is>
          <t>남이면</t>
        </is>
      </c>
    </row>
    <row r="7937">
      <c r="A7937" s="3" t="n">
        <v>2023</v>
      </c>
      <c r="B7937" s="4" t="n">
        <v>2300</v>
      </c>
      <c r="C7937" s="4" t="n">
        <v>236</v>
      </c>
      <c r="D7937" s="4" t="n">
        <v>71.39</v>
      </c>
      <c r="E7937" s="5" t="n">
        <v>32.2</v>
      </c>
      <c r="F7937" s="3" t="inlineStr">
        <is>
          <t>남이면</t>
        </is>
      </c>
      <c r="G7937" s="3" t="inlineStr">
        <is>
          <t>양촌리</t>
        </is>
      </c>
      <c r="H7937" s="3" t="inlineStr">
        <is>
          <t>자연녹지지역</t>
        </is>
      </c>
      <c r="I7937" s="3" t="inlineStr">
        <is>
          <t>임야</t>
        </is>
      </c>
      <c r="J7937" s="3" t="inlineStr">
        <is>
          <t>남이면</t>
        </is>
      </c>
    </row>
    <row r="7938">
      <c r="A7938" s="3" t="n">
        <v>2023</v>
      </c>
      <c r="B7938" s="4" t="n">
        <v>87800</v>
      </c>
      <c r="C7938" s="4" t="n">
        <v>1815</v>
      </c>
      <c r="D7938" s="4" t="n">
        <v>549.0375</v>
      </c>
      <c r="E7938" s="5" t="n">
        <v>159.9</v>
      </c>
      <c r="F7938" s="3" t="inlineStr">
        <is>
          <t>남이면</t>
        </is>
      </c>
      <c r="G7938" s="3" t="inlineStr">
        <is>
          <t>상발리</t>
        </is>
      </c>
      <c r="H7938" s="3" t="inlineStr">
        <is>
          <t>자연녹지지역</t>
        </is>
      </c>
      <c r="I7938" s="3" t="inlineStr">
        <is>
          <t>전</t>
        </is>
      </c>
      <c r="J7938" s="3" t="inlineStr">
        <is>
          <t>남이면</t>
        </is>
      </c>
    </row>
    <row r="7939">
      <c r="A7939" s="3" t="n">
        <v>2023</v>
      </c>
      <c r="B7939" s="4" t="n">
        <v>302</v>
      </c>
      <c r="C7939" s="4" t="n">
        <v>16</v>
      </c>
      <c r="D7939" s="4" t="n">
        <v>4.84</v>
      </c>
      <c r="E7939" s="5" t="n">
        <v>62.4</v>
      </c>
      <c r="F7939" s="3" t="inlineStr">
        <is>
          <t>남이면</t>
        </is>
      </c>
      <c r="G7939" s="3" t="inlineStr">
        <is>
          <t>팔봉리</t>
        </is>
      </c>
      <c r="H7939" s="3" t="inlineStr">
        <is>
          <t>자연녹지지역</t>
        </is>
      </c>
      <c r="I7939" s="3" t="inlineStr">
        <is>
          <t>대</t>
        </is>
      </c>
      <c r="J7939" s="3" t="inlineStr">
        <is>
          <t>남이면</t>
        </is>
      </c>
    </row>
    <row r="7940">
      <c r="A7940" s="3" t="n">
        <v>2023</v>
      </c>
      <c r="B7940" s="4" t="n">
        <v>1500</v>
      </c>
      <c r="C7940" s="4" t="n">
        <v>104</v>
      </c>
      <c r="D7940" s="4" t="n">
        <v>31.46</v>
      </c>
      <c r="E7940" s="5" t="n">
        <v>47.7</v>
      </c>
      <c r="F7940" s="3" t="inlineStr">
        <is>
          <t>남이면</t>
        </is>
      </c>
      <c r="G7940" s="3" t="inlineStr">
        <is>
          <t>갈원리</t>
        </is>
      </c>
      <c r="H7940" s="3" t="inlineStr">
        <is>
          <t>보전관리지역</t>
        </is>
      </c>
      <c r="I7940" s="3" t="inlineStr">
        <is>
          <t>임야</t>
        </is>
      </c>
      <c r="J7940" s="3" t="inlineStr">
        <is>
          <t>남이면</t>
        </is>
      </c>
    </row>
    <row r="7941">
      <c r="A7941" s="3" t="n">
        <v>2023</v>
      </c>
      <c r="B7941" s="4" t="n">
        <v>11825</v>
      </c>
      <c r="C7941" s="4" t="n">
        <v>1158</v>
      </c>
      <c r="D7941" s="4" t="n">
        <v>350.295</v>
      </c>
      <c r="E7941" s="5" t="n">
        <v>33.8</v>
      </c>
      <c r="F7941" s="3" t="inlineStr">
        <is>
          <t>남이면</t>
        </is>
      </c>
      <c r="G7941" s="3" t="inlineStr">
        <is>
          <t>갈원리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남이면</t>
        </is>
      </c>
    </row>
    <row r="7942">
      <c r="A7942" s="3" t="n">
        <v>2023</v>
      </c>
      <c r="B7942" s="4" t="n">
        <v>675</v>
      </c>
      <c r="C7942" s="4" t="n">
        <v>72</v>
      </c>
      <c r="D7942" s="4" t="n">
        <v>21.78</v>
      </c>
      <c r="E7942" s="5" t="n">
        <v>31</v>
      </c>
      <c r="F7942" s="3" t="inlineStr">
        <is>
          <t>남이면</t>
        </is>
      </c>
      <c r="G7942" s="3" t="inlineStr">
        <is>
          <t>갈원리</t>
        </is>
      </c>
      <c r="H7942" s="3" t="inlineStr">
        <is>
          <t>보전관리지역</t>
        </is>
      </c>
      <c r="I7942" s="3" t="inlineStr">
        <is>
          <t>임야</t>
        </is>
      </c>
      <c r="J7942" s="3" t="inlineStr">
        <is>
          <t>남이면</t>
        </is>
      </c>
    </row>
    <row r="7943">
      <c r="A7943" s="3" t="n">
        <v>2026</v>
      </c>
      <c r="B7943" s="4" t="n">
        <v>18160</v>
      </c>
      <c r="C7943" s="4" t="n">
        <v>1501</v>
      </c>
      <c r="D7943" s="4" t="n">
        <v>454.0525</v>
      </c>
      <c r="E7943" s="5" t="n">
        <v>40</v>
      </c>
      <c r="F7943" s="3" t="inlineStr">
        <is>
          <t>금남면</t>
        </is>
      </c>
      <c r="G7943" s="3" t="inlineStr">
        <is>
          <t>박산리</t>
        </is>
      </c>
      <c r="H7943" s="3" t="inlineStr">
        <is>
          <t>개발제한구역</t>
        </is>
      </c>
      <c r="I7943" s="3" t="inlineStr">
        <is>
          <t>답</t>
        </is>
      </c>
      <c r="J7943" s="3" t="inlineStr">
        <is>
          <t>금남면</t>
        </is>
      </c>
    </row>
    <row r="7944">
      <c r="A7944" s="3" t="n">
        <v>2026</v>
      </c>
      <c r="B7944" s="4" t="n">
        <v>128600</v>
      </c>
      <c r="C7944" s="4" t="n">
        <v>2856</v>
      </c>
      <c r="D7944" s="4" t="n">
        <v>863.9399999999999</v>
      </c>
      <c r="E7944" s="5" t="n">
        <v>148.9</v>
      </c>
      <c r="F7944" s="3" t="inlineStr">
        <is>
          <t>조치원읍</t>
        </is>
      </c>
      <c r="G7944" s="3" t="inlineStr">
        <is>
          <t>봉산리</t>
        </is>
      </c>
      <c r="H7944" s="3" t="inlineStr">
        <is>
          <t>자연녹지지역</t>
        </is>
      </c>
      <c r="I7944" s="3" t="inlineStr">
        <is>
          <t>과수원</t>
        </is>
      </c>
      <c r="J7944" s="3" t="inlineStr">
        <is>
          <t>조치원읍</t>
        </is>
      </c>
    </row>
    <row r="7945">
      <c r="A7945" s="3" t="n">
        <v>2026</v>
      </c>
      <c r="B7945" s="4" t="n">
        <v>41400</v>
      </c>
      <c r="C7945" s="4" t="n">
        <v>595</v>
      </c>
      <c r="D7945" s="4" t="n">
        <v>179.9875</v>
      </c>
      <c r="E7945" s="5" t="n">
        <v>230</v>
      </c>
      <c r="F7945" s="3" t="inlineStr">
        <is>
          <t>조치원읍</t>
        </is>
      </c>
      <c r="G7945" s="3" t="inlineStr">
        <is>
          <t>봉산리</t>
        </is>
      </c>
      <c r="H7945" s="3" t="inlineStr">
        <is>
          <t>자연녹지지역</t>
        </is>
      </c>
      <c r="I7945" s="3" t="inlineStr">
        <is>
          <t>대</t>
        </is>
      </c>
      <c r="J7945" s="3" t="inlineStr">
        <is>
          <t>조치원읍</t>
        </is>
      </c>
    </row>
    <row r="7946">
      <c r="A7946" s="3" t="n">
        <v>2026</v>
      </c>
      <c r="B7946" s="4" t="n">
        <v>43000</v>
      </c>
      <c r="C7946" s="4" t="n">
        <v>850.3</v>
      </c>
      <c r="D7946" s="4" t="n">
        <v>257.21575</v>
      </c>
      <c r="E7946" s="5" t="n">
        <v>167.2</v>
      </c>
      <c r="F7946" s="3" t="inlineStr">
        <is>
          <t>전의면</t>
        </is>
      </c>
      <c r="G7946" s="3" t="inlineStr">
        <is>
          <t>양곡리</t>
        </is>
      </c>
      <c r="H7946" s="3" t="inlineStr">
        <is>
          <t>준주거지역</t>
        </is>
      </c>
      <c r="I7946" s="3" t="inlineStr">
        <is>
          <t>대</t>
        </is>
      </c>
      <c r="J7946" s="3" t="inlineStr">
        <is>
          <t>전의면</t>
        </is>
      </c>
    </row>
    <row r="7947">
      <c r="A7947" s="3" t="n">
        <v>2026</v>
      </c>
      <c r="B7947" s="4" t="n">
        <v>29200</v>
      </c>
      <c r="C7947" s="4" t="n">
        <v>1969</v>
      </c>
      <c r="D7947" s="4" t="n">
        <v>595.6224999999999</v>
      </c>
      <c r="E7947" s="5" t="n">
        <v>49</v>
      </c>
      <c r="F7947" s="3" t="inlineStr">
        <is>
          <t>전의면</t>
        </is>
      </c>
      <c r="G7947" s="3" t="inlineStr">
        <is>
          <t>신방리</t>
        </is>
      </c>
      <c r="H7947" s="3" t="inlineStr">
        <is>
          <t>계획관리지역</t>
        </is>
      </c>
      <c r="I7947" s="3" t="inlineStr">
        <is>
          <t>답</t>
        </is>
      </c>
      <c r="J7947" s="3" t="inlineStr">
        <is>
          <t>전의면</t>
        </is>
      </c>
    </row>
    <row r="7948">
      <c r="A7948" s="3" t="n">
        <v>2026</v>
      </c>
      <c r="B7948" s="4" t="n">
        <v>37000</v>
      </c>
      <c r="C7948" s="4" t="n">
        <v>2499</v>
      </c>
      <c r="D7948" s="4" t="n">
        <v>755.9475</v>
      </c>
      <c r="E7948" s="5" t="n">
        <v>48.9</v>
      </c>
      <c r="F7948" s="3" t="inlineStr">
        <is>
          <t>전의면</t>
        </is>
      </c>
      <c r="G7948" s="3" t="inlineStr">
        <is>
          <t>신방리</t>
        </is>
      </c>
      <c r="H7948" s="3" t="inlineStr">
        <is>
          <t>계획관리지역</t>
        </is>
      </c>
      <c r="I7948" s="3" t="inlineStr">
        <is>
          <t>답</t>
        </is>
      </c>
      <c r="J7948" s="3" t="inlineStr">
        <is>
          <t>전의면</t>
        </is>
      </c>
    </row>
    <row r="7949">
      <c r="A7949" s="3" t="n">
        <v>2026</v>
      </c>
      <c r="B7949" s="4" t="n">
        <v>28700</v>
      </c>
      <c r="C7949" s="4" t="n">
        <v>1934</v>
      </c>
      <c r="D7949" s="4" t="n">
        <v>585.035</v>
      </c>
      <c r="E7949" s="5" t="n">
        <v>49.1</v>
      </c>
      <c r="F7949" s="3" t="inlineStr">
        <is>
          <t>전의면</t>
        </is>
      </c>
      <c r="G7949" s="3" t="inlineStr">
        <is>
          <t>신방리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전의면</t>
        </is>
      </c>
    </row>
    <row r="7950">
      <c r="A7950" s="3" t="n">
        <v>2026</v>
      </c>
      <c r="B7950" s="4" t="n">
        <v>32670</v>
      </c>
      <c r="C7950" s="4" t="n">
        <v>1200</v>
      </c>
      <c r="D7950" s="4" t="n">
        <v>363</v>
      </c>
      <c r="E7950" s="5" t="n">
        <v>90</v>
      </c>
      <c r="F7950" s="3" t="inlineStr">
        <is>
          <t>부강면</t>
        </is>
      </c>
      <c r="G7950" s="3" t="inlineStr">
        <is>
          <t>문곡리</t>
        </is>
      </c>
      <c r="H7950" s="3" t="inlineStr">
        <is>
          <t>계획관리지역</t>
        </is>
      </c>
      <c r="I7950" s="3" t="inlineStr">
        <is>
          <t>전</t>
        </is>
      </c>
      <c r="J7950" s="3" t="inlineStr">
        <is>
          <t>부강면</t>
        </is>
      </c>
    </row>
    <row r="7951">
      <c r="A7951" s="3" t="n">
        <v>2026</v>
      </c>
      <c r="B7951" s="4" t="n">
        <v>24600</v>
      </c>
      <c r="C7951" s="4" t="n">
        <v>1805</v>
      </c>
      <c r="D7951" s="4" t="n">
        <v>546.0124999999999</v>
      </c>
      <c r="E7951" s="5" t="n">
        <v>45.1</v>
      </c>
      <c r="F7951" s="3" t="inlineStr">
        <is>
          <t>금남면</t>
        </is>
      </c>
      <c r="G7951" s="3" t="inlineStr">
        <is>
          <t>금천리</t>
        </is>
      </c>
      <c r="H7951" s="3" t="inlineStr">
        <is>
          <t>개발제한구역</t>
        </is>
      </c>
      <c r="I7951" s="3" t="inlineStr">
        <is>
          <t>답</t>
        </is>
      </c>
      <c r="J7951" s="3" t="inlineStr">
        <is>
          <t>금남면</t>
        </is>
      </c>
    </row>
    <row r="7952">
      <c r="A7952" s="3" t="n">
        <v>2026</v>
      </c>
      <c r="B7952" s="4" t="n">
        <v>6250</v>
      </c>
      <c r="C7952" s="4" t="n">
        <v>790</v>
      </c>
      <c r="D7952" s="4" t="n">
        <v>238.975</v>
      </c>
      <c r="E7952" s="5" t="n">
        <v>26.2</v>
      </c>
      <c r="F7952" s="3" t="inlineStr">
        <is>
          <t>전동면</t>
        </is>
      </c>
      <c r="G7952" s="3" t="inlineStr">
        <is>
          <t>청람리</t>
        </is>
      </c>
      <c r="H7952" s="3" t="inlineStr">
        <is>
          <t>생산관리지역</t>
        </is>
      </c>
      <c r="I7952" s="3" t="inlineStr">
        <is>
          <t>목장용지</t>
        </is>
      </c>
      <c r="J7952" s="3" t="inlineStr">
        <is>
          <t>전동면</t>
        </is>
      </c>
    </row>
    <row r="7953">
      <c r="A7953" s="3" t="n">
        <v>2026</v>
      </c>
      <c r="B7953" s="4" t="n">
        <v>6250</v>
      </c>
      <c r="C7953" s="4" t="n">
        <v>365</v>
      </c>
      <c r="D7953" s="4" t="n">
        <v>110.4125</v>
      </c>
      <c r="E7953" s="5" t="n">
        <v>56.6</v>
      </c>
      <c r="F7953" s="3" t="inlineStr">
        <is>
          <t>전동면</t>
        </is>
      </c>
      <c r="G7953" s="3" t="inlineStr">
        <is>
          <t>청람리</t>
        </is>
      </c>
      <c r="H7953" s="3" t="inlineStr">
        <is>
          <t>생산관리지역</t>
        </is>
      </c>
      <c r="I7953" s="3" t="inlineStr">
        <is>
          <t>답</t>
        </is>
      </c>
      <c r="J7953" s="3" t="inlineStr">
        <is>
          <t>전동면</t>
        </is>
      </c>
    </row>
    <row r="7954">
      <c r="A7954" s="3" t="n">
        <v>2026</v>
      </c>
      <c r="B7954" s="4" t="n">
        <v>6250</v>
      </c>
      <c r="C7954" s="4" t="n">
        <v>50</v>
      </c>
      <c r="D7954" s="4" t="n">
        <v>15.125</v>
      </c>
      <c r="E7954" s="5" t="n">
        <v>413.2</v>
      </c>
      <c r="F7954" s="3" t="inlineStr">
        <is>
          <t>전동면</t>
        </is>
      </c>
      <c r="G7954" s="3" t="inlineStr">
        <is>
          <t>청람리</t>
        </is>
      </c>
      <c r="H7954" s="3" t="inlineStr">
        <is>
          <t>생산관리지역</t>
        </is>
      </c>
      <c r="I7954" s="3" t="inlineStr">
        <is>
          <t>전</t>
        </is>
      </c>
      <c r="J7954" s="3" t="inlineStr">
        <is>
          <t>전동면</t>
        </is>
      </c>
    </row>
    <row r="7955">
      <c r="A7955" s="3" t="n">
        <v>2026</v>
      </c>
      <c r="B7955" s="4" t="n">
        <v>6250</v>
      </c>
      <c r="C7955" s="4" t="n">
        <v>247</v>
      </c>
      <c r="D7955" s="4" t="n">
        <v>74.7175</v>
      </c>
      <c r="E7955" s="5" t="n">
        <v>83.59999999999999</v>
      </c>
      <c r="F7955" s="3" t="inlineStr">
        <is>
          <t>전동면</t>
        </is>
      </c>
      <c r="G7955" s="3" t="inlineStr">
        <is>
          <t>청람리</t>
        </is>
      </c>
      <c r="H7955" s="3" t="inlineStr">
        <is>
          <t>생산관리지역</t>
        </is>
      </c>
      <c r="I7955" s="3" t="inlineStr">
        <is>
          <t>목장용지</t>
        </is>
      </c>
      <c r="J7955" s="3" t="inlineStr">
        <is>
          <t>전동면</t>
        </is>
      </c>
    </row>
    <row r="7956">
      <c r="A7956" s="3" t="n">
        <v>2026</v>
      </c>
      <c r="B7956" s="4" t="n">
        <v>6250</v>
      </c>
      <c r="C7956" s="4" t="n">
        <v>1073</v>
      </c>
      <c r="D7956" s="4" t="n">
        <v>324.5825</v>
      </c>
      <c r="E7956" s="5" t="n">
        <v>19.3</v>
      </c>
      <c r="F7956" s="3" t="inlineStr">
        <is>
          <t>전동면</t>
        </is>
      </c>
      <c r="G7956" s="3" t="inlineStr">
        <is>
          <t>청람리</t>
        </is>
      </c>
      <c r="H7956" s="3" t="inlineStr">
        <is>
          <t>생산관리지역</t>
        </is>
      </c>
      <c r="I7956" s="3" t="inlineStr">
        <is>
          <t>전</t>
        </is>
      </c>
      <c r="J7956" s="3" t="inlineStr">
        <is>
          <t>전동면</t>
        </is>
      </c>
    </row>
    <row r="7957">
      <c r="A7957" s="3" t="n">
        <v>2026</v>
      </c>
      <c r="B7957" s="4" t="n">
        <v>6250</v>
      </c>
      <c r="C7957" s="4" t="n">
        <v>80</v>
      </c>
      <c r="D7957" s="4" t="n">
        <v>24.2</v>
      </c>
      <c r="E7957" s="5" t="n">
        <v>258.3</v>
      </c>
      <c r="F7957" s="3" t="inlineStr">
        <is>
          <t>전동면</t>
        </is>
      </c>
      <c r="G7957" s="3" t="inlineStr">
        <is>
          <t>청람리</t>
        </is>
      </c>
      <c r="H7957" s="3" t="inlineStr">
        <is>
          <t>생산관리지역</t>
        </is>
      </c>
      <c r="I7957" s="3" t="inlineStr">
        <is>
          <t>전</t>
        </is>
      </c>
      <c r="J7957" s="3" t="inlineStr">
        <is>
          <t>전동면</t>
        </is>
      </c>
    </row>
    <row r="7958">
      <c r="A7958" s="3" t="n">
        <v>2026</v>
      </c>
      <c r="B7958" s="4" t="n">
        <v>6250</v>
      </c>
      <c r="C7958" s="4" t="n">
        <v>426</v>
      </c>
      <c r="D7958" s="4" t="n">
        <v>128.865</v>
      </c>
      <c r="E7958" s="5" t="n">
        <v>48.5</v>
      </c>
      <c r="F7958" s="3" t="inlineStr">
        <is>
          <t>전동면</t>
        </is>
      </c>
      <c r="G7958" s="3" t="inlineStr">
        <is>
          <t>청람리</t>
        </is>
      </c>
      <c r="H7958" s="3" t="inlineStr">
        <is>
          <t>생산관리지역</t>
        </is>
      </c>
      <c r="I7958" s="3" t="inlineStr">
        <is>
          <t>대</t>
        </is>
      </c>
      <c r="J7958" s="3" t="inlineStr">
        <is>
          <t>전동면</t>
        </is>
      </c>
    </row>
    <row r="7959">
      <c r="A7959" s="3" t="n">
        <v>2026</v>
      </c>
      <c r="B7959" s="4" t="n">
        <v>6250</v>
      </c>
      <c r="C7959" s="4" t="n">
        <v>967</v>
      </c>
      <c r="D7959" s="4" t="n">
        <v>292.5175</v>
      </c>
      <c r="E7959" s="5" t="n">
        <v>21.4</v>
      </c>
      <c r="F7959" s="3" t="inlineStr">
        <is>
          <t>전동면</t>
        </is>
      </c>
      <c r="G7959" s="3" t="inlineStr">
        <is>
          <t>청람리</t>
        </is>
      </c>
      <c r="H7959" s="3" t="inlineStr">
        <is>
          <t>생산관리지역</t>
        </is>
      </c>
      <c r="I7959" s="3" t="inlineStr">
        <is>
          <t>목장용지</t>
        </is>
      </c>
      <c r="J7959" s="3" t="inlineStr">
        <is>
          <t>전동면</t>
        </is>
      </c>
    </row>
    <row r="7960">
      <c r="A7960" s="3" t="n">
        <v>2026</v>
      </c>
      <c r="B7960" s="4" t="n">
        <v>6250</v>
      </c>
      <c r="C7960" s="4" t="n">
        <v>605</v>
      </c>
      <c r="D7960" s="4" t="n">
        <v>183.0125</v>
      </c>
      <c r="E7960" s="5" t="n">
        <v>34.2</v>
      </c>
      <c r="F7960" s="3" t="inlineStr">
        <is>
          <t>전동면</t>
        </is>
      </c>
      <c r="G7960" s="3" t="inlineStr">
        <is>
          <t>청람리</t>
        </is>
      </c>
      <c r="H7960" s="3" t="inlineStr">
        <is>
          <t>생산관리지역</t>
        </is>
      </c>
      <c r="I7960" s="3" t="inlineStr">
        <is>
          <t>대</t>
        </is>
      </c>
      <c r="J7960" s="3" t="inlineStr">
        <is>
          <t>전동면</t>
        </is>
      </c>
    </row>
    <row r="7961">
      <c r="A7961" s="3" t="n">
        <v>2026</v>
      </c>
      <c r="B7961" s="4" t="n">
        <v>6250</v>
      </c>
      <c r="C7961" s="4" t="n">
        <v>579</v>
      </c>
      <c r="D7961" s="4" t="n">
        <v>175.1475</v>
      </c>
      <c r="E7961" s="5" t="n">
        <v>35.7</v>
      </c>
      <c r="F7961" s="3" t="inlineStr">
        <is>
          <t>전동면</t>
        </is>
      </c>
      <c r="G7961" s="3" t="inlineStr">
        <is>
          <t>청람리</t>
        </is>
      </c>
      <c r="H7961" s="3" t="inlineStr">
        <is>
          <t>생산관리지역</t>
        </is>
      </c>
      <c r="I7961" s="3" t="inlineStr">
        <is>
          <t>과수원</t>
        </is>
      </c>
      <c r="J7961" s="3" t="inlineStr">
        <is>
          <t>전동면</t>
        </is>
      </c>
    </row>
    <row r="7962">
      <c r="A7962" s="3" t="n">
        <v>2026</v>
      </c>
      <c r="B7962" s="4" t="n">
        <v>6250</v>
      </c>
      <c r="C7962" s="4" t="n">
        <v>241</v>
      </c>
      <c r="D7962" s="4" t="n">
        <v>72.9025</v>
      </c>
      <c r="E7962" s="5" t="n">
        <v>85.7</v>
      </c>
      <c r="F7962" s="3" t="inlineStr">
        <is>
          <t>전동면</t>
        </is>
      </c>
      <c r="G7962" s="3" t="inlineStr">
        <is>
          <t>청람리</t>
        </is>
      </c>
      <c r="H7962" s="3" t="inlineStr">
        <is>
          <t>생산관리지역</t>
        </is>
      </c>
      <c r="I7962" s="3" t="inlineStr">
        <is>
          <t>잡종지</t>
        </is>
      </c>
      <c r="J7962" s="3" t="inlineStr">
        <is>
          <t>전동면</t>
        </is>
      </c>
    </row>
    <row r="7963">
      <c r="A7963" s="3" t="n">
        <v>2026</v>
      </c>
      <c r="B7963" s="4" t="n">
        <v>6250</v>
      </c>
      <c r="C7963" s="4" t="n">
        <v>20</v>
      </c>
      <c r="D7963" s="4" t="n">
        <v>6.05</v>
      </c>
      <c r="E7963" s="5" t="n">
        <v>1033.1</v>
      </c>
      <c r="F7963" s="3" t="inlineStr">
        <is>
          <t>전동면</t>
        </is>
      </c>
      <c r="G7963" s="3" t="inlineStr">
        <is>
          <t>청람리</t>
        </is>
      </c>
      <c r="H7963" s="3" t="inlineStr">
        <is>
          <t>생산관리지역</t>
        </is>
      </c>
      <c r="I7963" s="3" t="inlineStr">
        <is>
          <t>목장용지</t>
        </is>
      </c>
      <c r="J7963" s="3" t="inlineStr">
        <is>
          <t>전동면</t>
        </is>
      </c>
    </row>
    <row r="7964">
      <c r="A7964" s="3" t="n">
        <v>2026</v>
      </c>
      <c r="B7964" s="4" t="n">
        <v>7440</v>
      </c>
      <c r="C7964" s="4" t="n">
        <v>205</v>
      </c>
      <c r="D7964" s="4" t="n">
        <v>62.0125</v>
      </c>
      <c r="E7964" s="5" t="n">
        <v>120</v>
      </c>
      <c r="F7964" s="3" t="inlineStr">
        <is>
          <t>금남면</t>
        </is>
      </c>
      <c r="G7964" s="3" t="inlineStr">
        <is>
          <t>용담리</t>
        </is>
      </c>
      <c r="H7964" s="3" t="inlineStr">
        <is>
          <t>개발제한구역</t>
        </is>
      </c>
      <c r="I7964" s="3" t="inlineStr">
        <is>
          <t>답</t>
        </is>
      </c>
      <c r="J7964" s="3" t="inlineStr">
        <is>
          <t>금남면</t>
        </is>
      </c>
    </row>
    <row r="7965">
      <c r="A7965" s="3" t="n">
        <v>2026</v>
      </c>
      <c r="B7965" s="4" t="n">
        <v>15250</v>
      </c>
      <c r="C7965" s="4" t="n">
        <v>2018</v>
      </c>
      <c r="D7965" s="4" t="n">
        <v>610.4449999999999</v>
      </c>
      <c r="E7965" s="5" t="n">
        <v>25</v>
      </c>
      <c r="F7965" s="3" t="inlineStr">
        <is>
          <t>금남면</t>
        </is>
      </c>
      <c r="G7965" s="3" t="inlineStr">
        <is>
          <t>영대리</t>
        </is>
      </c>
      <c r="H7965" s="3" t="inlineStr">
        <is>
          <t>개발제한구역</t>
        </is>
      </c>
      <c r="I7965" s="3" t="inlineStr">
        <is>
          <t>답</t>
        </is>
      </c>
      <c r="J7965" s="3" t="inlineStr">
        <is>
          <t>금남면</t>
        </is>
      </c>
    </row>
    <row r="7966">
      <c r="A7966" s="3" t="n">
        <v>2026</v>
      </c>
      <c r="B7966" s="4" t="n">
        <v>10100</v>
      </c>
      <c r="C7966" s="4" t="n">
        <v>1336</v>
      </c>
      <c r="D7966" s="4" t="n">
        <v>404.14</v>
      </c>
      <c r="E7966" s="5" t="n">
        <v>25</v>
      </c>
      <c r="F7966" s="3" t="inlineStr">
        <is>
          <t>금남면</t>
        </is>
      </c>
      <c r="G7966" s="3" t="inlineStr">
        <is>
          <t>영대리</t>
        </is>
      </c>
      <c r="H7966" s="3" t="inlineStr">
        <is>
          <t>개발제한구역</t>
        </is>
      </c>
      <c r="I7966" s="3" t="inlineStr">
        <is>
          <t>답</t>
        </is>
      </c>
      <c r="J7966" s="3" t="inlineStr">
        <is>
          <t>금남면</t>
        </is>
      </c>
    </row>
    <row r="7967">
      <c r="A7967" s="3" t="n">
        <v>2026</v>
      </c>
      <c r="B7967" s="4" t="n">
        <v>5000</v>
      </c>
      <c r="C7967" s="4" t="n">
        <v>1653</v>
      </c>
      <c r="D7967" s="4" t="n">
        <v>500.0325</v>
      </c>
      <c r="E7967" s="5" t="n">
        <v>10</v>
      </c>
      <c r="F7967" s="3" t="inlineStr">
        <is>
          <t>연기면</t>
        </is>
      </c>
      <c r="G7967" s="3" t="inlineStr">
        <is>
          <t>수산리</t>
        </is>
      </c>
      <c r="H7967" s="3" t="inlineStr">
        <is>
          <t>보전관리지역</t>
        </is>
      </c>
      <c r="I7967" s="3" t="inlineStr">
        <is>
          <t>임야</t>
        </is>
      </c>
      <c r="J7967" s="3" t="inlineStr">
        <is>
          <t>연기면</t>
        </is>
      </c>
    </row>
    <row r="7968">
      <c r="A7968" s="3" t="n">
        <v>2026</v>
      </c>
      <c r="B7968" s="4" t="n">
        <v>2000</v>
      </c>
      <c r="C7968" s="4" t="n">
        <v>79</v>
      </c>
      <c r="D7968" s="4" t="n">
        <v>23.8975</v>
      </c>
      <c r="E7968" s="5" t="n">
        <v>83.7</v>
      </c>
      <c r="F7968" s="3" t="inlineStr">
        <is>
          <t>소정면</t>
        </is>
      </c>
      <c r="G7968" s="3" t="inlineStr">
        <is>
          <t>소정리</t>
        </is>
      </c>
      <c r="H7968" s="3" t="inlineStr">
        <is>
          <t>계획관리지역</t>
        </is>
      </c>
      <c r="I7968" s="3" t="inlineStr">
        <is>
          <t>대</t>
        </is>
      </c>
      <c r="J7968" s="3" t="inlineStr">
        <is>
          <t>소정면</t>
        </is>
      </c>
    </row>
    <row r="7969">
      <c r="A7969" s="3" t="n">
        <v>2026</v>
      </c>
      <c r="B7969" s="4" t="n">
        <v>18100</v>
      </c>
      <c r="C7969" s="4" t="n">
        <v>598</v>
      </c>
      <c r="D7969" s="4" t="n">
        <v>180.895</v>
      </c>
      <c r="E7969" s="5" t="n">
        <v>100.1</v>
      </c>
      <c r="F7969" s="3" t="inlineStr">
        <is>
          <t>전동면</t>
        </is>
      </c>
      <c r="G7969" s="3" t="inlineStr">
        <is>
          <t>송정리</t>
        </is>
      </c>
      <c r="H7969" s="3" t="inlineStr">
        <is>
          <t>계획관리지역</t>
        </is>
      </c>
      <c r="I7969" s="3" t="inlineStr">
        <is>
          <t>대</t>
        </is>
      </c>
      <c r="J7969" s="3" t="inlineStr">
        <is>
          <t>전동면</t>
        </is>
      </c>
    </row>
    <row r="7970">
      <c r="A7970" s="3" t="n">
        <v>2026</v>
      </c>
      <c r="B7970" s="4" t="n">
        <v>57000</v>
      </c>
      <c r="C7970" s="4" t="n">
        <v>466</v>
      </c>
      <c r="D7970" s="4" t="n">
        <v>140.965</v>
      </c>
      <c r="E7970" s="5" t="n">
        <v>404.4</v>
      </c>
      <c r="F7970" s="3" t="inlineStr">
        <is>
          <t>반곡동</t>
        </is>
      </c>
      <c r="G7970" s="3" t="inlineStr"/>
      <c r="H7970" s="3" t="inlineStr">
        <is>
          <t>제1종전용주거지역</t>
        </is>
      </c>
      <c r="I7970" s="3" t="inlineStr">
        <is>
          <t>대</t>
        </is>
      </c>
      <c r="J7970" s="3" t="inlineStr">
        <is>
          <t>반곡동</t>
        </is>
      </c>
    </row>
    <row r="7971">
      <c r="A7971" s="3" t="n">
        <v>2026</v>
      </c>
      <c r="B7971" s="4" t="n">
        <v>29008</v>
      </c>
      <c r="C7971" s="4" t="n">
        <v>1199</v>
      </c>
      <c r="D7971" s="4" t="n">
        <v>362.6975</v>
      </c>
      <c r="E7971" s="5" t="n">
        <v>80</v>
      </c>
      <c r="F7971" s="3" t="inlineStr">
        <is>
          <t>연서면</t>
        </is>
      </c>
      <c r="G7971" s="3" t="inlineStr">
        <is>
          <t>신대리</t>
        </is>
      </c>
      <c r="H7971" s="3" t="inlineStr">
        <is>
          <t>계획관리지역</t>
        </is>
      </c>
      <c r="I7971" s="3" t="inlineStr">
        <is>
          <t>과수원</t>
        </is>
      </c>
      <c r="J7971" s="3" t="inlineStr">
        <is>
          <t>연서면</t>
        </is>
      </c>
    </row>
    <row r="7972">
      <c r="A7972" s="3" t="n">
        <v>2026</v>
      </c>
      <c r="B7972" s="4" t="n">
        <v>4950</v>
      </c>
      <c r="C7972" s="4" t="n">
        <v>1197</v>
      </c>
      <c r="D7972" s="4" t="n">
        <v>362.0925</v>
      </c>
      <c r="E7972" s="5" t="n">
        <v>13.7</v>
      </c>
      <c r="F7972" s="3" t="inlineStr">
        <is>
          <t>금남면</t>
        </is>
      </c>
      <c r="G7972" s="3" t="inlineStr">
        <is>
          <t>영치리</t>
        </is>
      </c>
      <c r="H7972" s="3" t="inlineStr">
        <is>
          <t>개발제한구역</t>
        </is>
      </c>
      <c r="I7972" s="3" t="inlineStr">
        <is>
          <t>전</t>
        </is>
      </c>
      <c r="J7972" s="3" t="inlineStr">
        <is>
          <t>금남면</t>
        </is>
      </c>
    </row>
    <row r="7973">
      <c r="A7973" s="3" t="n">
        <v>2026</v>
      </c>
      <c r="B7973" s="4" t="n">
        <v>450</v>
      </c>
      <c r="C7973" s="4" t="n">
        <v>109</v>
      </c>
      <c r="D7973" s="4" t="n">
        <v>32.9725</v>
      </c>
      <c r="E7973" s="5" t="n">
        <v>13.6</v>
      </c>
      <c r="F7973" s="3" t="inlineStr">
        <is>
          <t>금남면</t>
        </is>
      </c>
      <c r="G7973" s="3" t="inlineStr">
        <is>
          <t>영치리</t>
        </is>
      </c>
      <c r="H7973" s="3" t="inlineStr">
        <is>
          <t>개발제한구역</t>
        </is>
      </c>
      <c r="I7973" s="3" t="inlineStr">
        <is>
          <t>답</t>
        </is>
      </c>
      <c r="J7973" s="3" t="inlineStr">
        <is>
          <t>금남면</t>
        </is>
      </c>
    </row>
    <row r="7974">
      <c r="A7974" s="3" t="n">
        <v>2026</v>
      </c>
      <c r="B7974" s="4" t="n">
        <v>4500</v>
      </c>
      <c r="C7974" s="4" t="n">
        <v>106</v>
      </c>
      <c r="D7974" s="4" t="n">
        <v>32.065</v>
      </c>
      <c r="E7974" s="5" t="n">
        <v>140.3</v>
      </c>
      <c r="F7974" s="3" t="inlineStr">
        <is>
          <t>연서면</t>
        </is>
      </c>
      <c r="G7974" s="3" t="inlineStr">
        <is>
          <t>월하리</t>
        </is>
      </c>
      <c r="H7974" s="3" t="inlineStr">
        <is>
          <t>자연녹지지역</t>
        </is>
      </c>
      <c r="I7974" s="3" t="inlineStr">
        <is>
          <t>대</t>
        </is>
      </c>
      <c r="J7974" s="3" t="inlineStr">
        <is>
          <t>연서면</t>
        </is>
      </c>
    </row>
    <row r="7975">
      <c r="A7975" s="3" t="n">
        <v>2026</v>
      </c>
      <c r="B7975" s="4" t="n">
        <v>24000</v>
      </c>
      <c r="C7975" s="4" t="n">
        <v>539</v>
      </c>
      <c r="D7975" s="4" t="n">
        <v>163.0475</v>
      </c>
      <c r="E7975" s="5" t="n">
        <v>147.2</v>
      </c>
      <c r="F7975" s="3" t="inlineStr">
        <is>
          <t>장군면</t>
        </is>
      </c>
      <c r="G7975" s="3" t="inlineStr">
        <is>
          <t>송문리</t>
        </is>
      </c>
      <c r="H7975" s="3" t="inlineStr">
        <is>
          <t>보전관리지역</t>
        </is>
      </c>
      <c r="I7975" s="3" t="inlineStr">
        <is>
          <t>임야</t>
        </is>
      </c>
      <c r="J7975" s="3" t="inlineStr">
        <is>
          <t>장군면</t>
        </is>
      </c>
    </row>
    <row r="7976">
      <c r="A7976" s="3" t="n">
        <v>2026</v>
      </c>
      <c r="B7976" s="4" t="n">
        <v>6800</v>
      </c>
      <c r="C7976" s="4" t="n">
        <v>1124</v>
      </c>
      <c r="D7976" s="4" t="n">
        <v>340.01</v>
      </c>
      <c r="E7976" s="5" t="n">
        <v>20</v>
      </c>
      <c r="F7976" s="3" t="inlineStr">
        <is>
          <t>부강면</t>
        </is>
      </c>
      <c r="G7976" s="3" t="inlineStr">
        <is>
          <t>행산리</t>
        </is>
      </c>
      <c r="H7976" s="3" t="inlineStr">
        <is>
          <t>계획관리지역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2026</v>
      </c>
      <c r="B7977" s="4" t="n">
        <v>14000</v>
      </c>
      <c r="C7977" s="4" t="n">
        <v>1000</v>
      </c>
      <c r="D7977" s="4" t="n">
        <v>302.5</v>
      </c>
      <c r="E7977" s="5" t="n">
        <v>46.3</v>
      </c>
      <c r="F7977" s="3" t="inlineStr">
        <is>
          <t>전동면</t>
        </is>
      </c>
      <c r="G7977" s="3" t="inlineStr">
        <is>
          <t>봉대리</t>
        </is>
      </c>
      <c r="H7977" s="3" t="inlineStr">
        <is>
          <t>농림지역</t>
        </is>
      </c>
      <c r="I7977" s="3" t="inlineStr">
        <is>
          <t>임야</t>
        </is>
      </c>
      <c r="J7977" s="3" t="inlineStr">
        <is>
          <t>전동면</t>
        </is>
      </c>
    </row>
    <row r="7978">
      <c r="A7978" s="3" t="n">
        <v>2026</v>
      </c>
      <c r="B7978" s="4" t="n">
        <v>24965</v>
      </c>
      <c r="C7978" s="4" t="n">
        <v>461</v>
      </c>
      <c r="D7978" s="4" t="n">
        <v>139.4525</v>
      </c>
      <c r="E7978" s="5" t="n">
        <v>179</v>
      </c>
      <c r="F7978" s="3" t="inlineStr">
        <is>
          <t>장군면</t>
        </is>
      </c>
      <c r="G7978" s="3" t="inlineStr">
        <is>
          <t>금암리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2026</v>
      </c>
      <c r="B7979" s="4" t="n">
        <v>7200</v>
      </c>
      <c r="C7979" s="4" t="n">
        <v>40</v>
      </c>
      <c r="D7979" s="4" t="n">
        <v>12.1</v>
      </c>
      <c r="E7979" s="5" t="n">
        <v>595</v>
      </c>
      <c r="F7979" s="3" t="inlineStr">
        <is>
          <t>부강면</t>
        </is>
      </c>
      <c r="G7979" s="3" t="inlineStr">
        <is>
          <t>부강리</t>
        </is>
      </c>
      <c r="H7979" s="3" t="inlineStr">
        <is>
          <t>제2종일반주거지역</t>
        </is>
      </c>
      <c r="I7979" s="3" t="inlineStr">
        <is>
          <t>대</t>
        </is>
      </c>
      <c r="J7979" s="3" t="inlineStr">
        <is>
          <t>부강면</t>
        </is>
      </c>
    </row>
    <row r="7980">
      <c r="A7980" s="3" t="n">
        <v>2026</v>
      </c>
      <c r="B7980" s="4" t="n">
        <v>8894</v>
      </c>
      <c r="C7980" s="4" t="n">
        <v>140</v>
      </c>
      <c r="D7980" s="4" t="n">
        <v>42.35</v>
      </c>
      <c r="E7980" s="5" t="n">
        <v>210</v>
      </c>
      <c r="F7980" s="3" t="inlineStr">
        <is>
          <t>연서면</t>
        </is>
      </c>
      <c r="G7980" s="3" t="inlineStr">
        <is>
          <t>부동리</t>
        </is>
      </c>
      <c r="H7980" s="3" t="inlineStr">
        <is>
          <t>계획관리지역</t>
        </is>
      </c>
      <c r="I7980" s="3" t="inlineStr">
        <is>
          <t>과수원</t>
        </is>
      </c>
      <c r="J7980" s="3" t="inlineStr">
        <is>
          <t>연서면</t>
        </is>
      </c>
    </row>
    <row r="7981">
      <c r="A7981" s="3" t="n">
        <v>2026</v>
      </c>
      <c r="B7981" s="4" t="n">
        <v>1181180</v>
      </c>
      <c r="C7981" s="4" t="n">
        <v>6618</v>
      </c>
      <c r="D7981" s="4" t="n">
        <v>2001.945</v>
      </c>
      <c r="E7981" s="5" t="n">
        <v>590</v>
      </c>
      <c r="F7981" s="3" t="inlineStr">
        <is>
          <t>연동면</t>
        </is>
      </c>
      <c r="G7981" s="3" t="inlineStr">
        <is>
          <t>명학리</t>
        </is>
      </c>
      <c r="H7981" s="3" t="inlineStr">
        <is>
          <t>일반공업지역</t>
        </is>
      </c>
      <c r="I7981" s="3" t="inlineStr">
        <is>
          <t>공장용지</t>
        </is>
      </c>
      <c r="J7981" s="3" t="inlineStr">
        <is>
          <t>연동면</t>
        </is>
      </c>
    </row>
    <row r="7982">
      <c r="A7982" s="3" t="n">
        <v>2026</v>
      </c>
      <c r="B7982" s="4" t="n">
        <v>87000</v>
      </c>
      <c r="C7982" s="4" t="n">
        <v>785</v>
      </c>
      <c r="D7982" s="4" t="n">
        <v>237.4625</v>
      </c>
      <c r="E7982" s="5" t="n">
        <v>366.4</v>
      </c>
      <c r="F7982" s="3" t="inlineStr">
        <is>
          <t>장군면</t>
        </is>
      </c>
      <c r="G7982" s="3" t="inlineStr">
        <is>
          <t>봉안리</t>
        </is>
      </c>
      <c r="H7982" s="3" t="inlineStr">
        <is>
          <t>계획관리지역</t>
        </is>
      </c>
      <c r="I7982" s="3" t="inlineStr">
        <is>
          <t>임야</t>
        </is>
      </c>
      <c r="J7982" s="3" t="inlineStr">
        <is>
          <t>장군면</t>
        </is>
      </c>
    </row>
    <row r="7983">
      <c r="A7983" s="3" t="n">
        <v>2026</v>
      </c>
      <c r="B7983" s="4" t="n">
        <v>32800</v>
      </c>
      <c r="C7983" s="4" t="n">
        <v>573</v>
      </c>
      <c r="D7983" s="4" t="n">
        <v>173.3325</v>
      </c>
      <c r="E7983" s="5" t="n">
        <v>189.2</v>
      </c>
      <c r="F7983" s="3" t="inlineStr">
        <is>
          <t>금남면</t>
        </is>
      </c>
      <c r="G7983" s="3" t="inlineStr">
        <is>
          <t>남곡리</t>
        </is>
      </c>
      <c r="H7983" s="3" t="inlineStr">
        <is>
          <t>개발제한구역</t>
        </is>
      </c>
      <c r="I7983" s="3" t="inlineStr">
        <is>
          <t>대</t>
        </is>
      </c>
      <c r="J7983" s="3" t="inlineStr">
        <is>
          <t>금남면</t>
        </is>
      </c>
    </row>
    <row r="7984">
      <c r="A7984" s="3" t="n">
        <v>2026</v>
      </c>
      <c r="B7984" s="4" t="n">
        <v>1400</v>
      </c>
      <c r="C7984" s="4" t="n">
        <v>25</v>
      </c>
      <c r="D7984" s="4" t="n">
        <v>7.5625</v>
      </c>
      <c r="E7984" s="5" t="n">
        <v>185.1</v>
      </c>
      <c r="F7984" s="3" t="inlineStr">
        <is>
          <t>금남면</t>
        </is>
      </c>
      <c r="G7984" s="3" t="inlineStr">
        <is>
          <t>남곡리</t>
        </is>
      </c>
      <c r="H7984" s="3" t="inlineStr">
        <is>
          <t>개발제한구역</t>
        </is>
      </c>
      <c r="I7984" s="3" t="inlineStr">
        <is>
          <t>대</t>
        </is>
      </c>
      <c r="J7984" s="3" t="inlineStr">
        <is>
          <t>금남면</t>
        </is>
      </c>
    </row>
    <row r="7985">
      <c r="A7985" s="3" t="n">
        <v>2025</v>
      </c>
      <c r="B7985" s="4" t="n">
        <v>10000</v>
      </c>
      <c r="C7985" s="4" t="n">
        <v>1329</v>
      </c>
      <c r="D7985" s="4" t="n">
        <v>402.0225</v>
      </c>
      <c r="E7985" s="5" t="n">
        <v>24.9</v>
      </c>
      <c r="F7985" s="3" t="inlineStr">
        <is>
          <t>강내면</t>
        </is>
      </c>
      <c r="G7985" s="3" t="inlineStr">
        <is>
          <t>태성리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강내면</t>
        </is>
      </c>
    </row>
    <row r="7986">
      <c r="A7986" s="3" t="n">
        <v>2025</v>
      </c>
      <c r="B7986" s="4" t="n">
        <v>10700</v>
      </c>
      <c r="C7986" s="4" t="n">
        <v>276</v>
      </c>
      <c r="D7986" s="4" t="n">
        <v>83.48999999999999</v>
      </c>
      <c r="E7986" s="5" t="n">
        <v>128.2</v>
      </c>
      <c r="F7986" s="3" t="inlineStr">
        <is>
          <t>강내면</t>
        </is>
      </c>
      <c r="G7986" s="3" t="inlineStr">
        <is>
          <t>월곡리</t>
        </is>
      </c>
      <c r="H7986" s="3" t="inlineStr">
        <is>
          <t>자연녹지지역</t>
        </is>
      </c>
      <c r="I7986" s="3" t="inlineStr">
        <is>
          <t>전</t>
        </is>
      </c>
      <c r="J7986" s="3" t="inlineStr">
        <is>
          <t>강내면</t>
        </is>
      </c>
    </row>
    <row r="7987">
      <c r="A7987" s="3" t="n">
        <v>2025</v>
      </c>
      <c r="B7987" s="4" t="n">
        <v>40000</v>
      </c>
      <c r="C7987" s="4" t="n">
        <v>1087</v>
      </c>
      <c r="D7987" s="4" t="n">
        <v>328.8175</v>
      </c>
      <c r="E7987" s="5" t="n">
        <v>121.6</v>
      </c>
      <c r="F7987" s="3" t="inlineStr">
        <is>
          <t>강내면</t>
        </is>
      </c>
      <c r="G7987" s="3" t="inlineStr">
        <is>
          <t>연정리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강내면</t>
        </is>
      </c>
    </row>
    <row r="7988">
      <c r="A7988" s="3" t="n">
        <v>2025</v>
      </c>
      <c r="B7988" s="4" t="n">
        <v>5000</v>
      </c>
      <c r="C7988" s="4" t="n">
        <v>1051</v>
      </c>
      <c r="D7988" s="4" t="n">
        <v>317.9275</v>
      </c>
      <c r="E7988" s="5" t="n">
        <v>15.7</v>
      </c>
      <c r="F7988" s="3" t="inlineStr">
        <is>
          <t>강내면</t>
        </is>
      </c>
      <c r="G7988" s="3" t="inlineStr">
        <is>
          <t>황탄리</t>
        </is>
      </c>
      <c r="H7988" s="3" t="inlineStr">
        <is>
          <t>보전관리지역</t>
        </is>
      </c>
      <c r="I7988" s="3" t="inlineStr">
        <is>
          <t>전</t>
        </is>
      </c>
      <c r="J7988" s="3" t="inlineStr">
        <is>
          <t>강내면</t>
        </is>
      </c>
    </row>
    <row r="7989">
      <c r="A7989" s="3" t="n">
        <v>2025</v>
      </c>
      <c r="B7989" s="4" t="n">
        <v>12700</v>
      </c>
      <c r="C7989" s="4" t="n">
        <v>635</v>
      </c>
      <c r="D7989" s="4" t="n">
        <v>192.0875</v>
      </c>
      <c r="E7989" s="5" t="n">
        <v>66.09999999999999</v>
      </c>
      <c r="F7989" s="3" t="inlineStr">
        <is>
          <t>오송읍</t>
        </is>
      </c>
      <c r="G7989" s="3" t="inlineStr">
        <is>
          <t>서평리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2025</v>
      </c>
      <c r="B7990" s="4" t="n">
        <v>85300</v>
      </c>
      <c r="C7990" s="4" t="n">
        <v>4245</v>
      </c>
      <c r="D7990" s="4" t="n">
        <v>1284.1125</v>
      </c>
      <c r="E7990" s="5" t="n">
        <v>66.40000000000001</v>
      </c>
      <c r="F7990" s="3" t="inlineStr">
        <is>
          <t>오송읍</t>
        </is>
      </c>
      <c r="G7990" s="3" t="inlineStr">
        <is>
          <t>서평리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2025</v>
      </c>
      <c r="B7991" s="4" t="n">
        <v>12700</v>
      </c>
      <c r="C7991" s="4" t="n">
        <v>635</v>
      </c>
      <c r="D7991" s="4" t="n">
        <v>192.0875</v>
      </c>
      <c r="E7991" s="5" t="n">
        <v>66.09999999999999</v>
      </c>
      <c r="F7991" s="3" t="inlineStr">
        <is>
          <t>오송읍</t>
        </is>
      </c>
      <c r="G7991" s="3" t="inlineStr">
        <is>
          <t>서평리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2025</v>
      </c>
      <c r="B7992" s="4" t="n">
        <v>65000</v>
      </c>
      <c r="C7992" s="4" t="n">
        <v>3233</v>
      </c>
      <c r="D7992" s="4" t="n">
        <v>977.9825</v>
      </c>
      <c r="E7992" s="5" t="n">
        <v>66.5</v>
      </c>
      <c r="F7992" s="3" t="inlineStr">
        <is>
          <t>오송읍</t>
        </is>
      </c>
      <c r="G7992" s="3" t="inlineStr">
        <is>
          <t>서평리</t>
        </is>
      </c>
      <c r="H7992" s="3" t="inlineStr">
        <is>
          <t>농림지역</t>
        </is>
      </c>
      <c r="I7992" s="3" t="inlineStr">
        <is>
          <t>답</t>
        </is>
      </c>
      <c r="J7992" s="3" t="inlineStr">
        <is>
          <t>오송읍</t>
        </is>
      </c>
    </row>
    <row r="7993">
      <c r="A7993" s="3" t="n">
        <v>2025</v>
      </c>
      <c r="B7993" s="4" t="n">
        <v>20300</v>
      </c>
      <c r="C7993" s="4" t="n">
        <v>1012</v>
      </c>
      <c r="D7993" s="4" t="n">
        <v>306.13</v>
      </c>
      <c r="E7993" s="5" t="n">
        <v>66.3</v>
      </c>
      <c r="F7993" s="3" t="inlineStr">
        <is>
          <t>오송읍</t>
        </is>
      </c>
      <c r="G7993" s="3" t="inlineStr">
        <is>
          <t>서평리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오송읍</t>
        </is>
      </c>
    </row>
    <row r="7994">
      <c r="A7994" s="3" t="n">
        <v>2025</v>
      </c>
      <c r="B7994" s="4" t="n">
        <v>25456</v>
      </c>
      <c r="C7994" s="4" t="n">
        <v>2274</v>
      </c>
      <c r="D7994" s="4" t="n">
        <v>687.885</v>
      </c>
      <c r="E7994" s="5" t="n">
        <v>37</v>
      </c>
      <c r="F7994" s="3" t="inlineStr">
        <is>
          <t>강내면</t>
        </is>
      </c>
      <c r="G7994" s="3" t="inlineStr">
        <is>
          <t>석화리</t>
        </is>
      </c>
      <c r="H7994" s="3" t="inlineStr">
        <is>
          <t>생산녹지지역</t>
        </is>
      </c>
      <c r="I7994" s="3" t="inlineStr">
        <is>
          <t>전</t>
        </is>
      </c>
      <c r="J7994" s="3" t="inlineStr">
        <is>
          <t>강내면</t>
        </is>
      </c>
    </row>
    <row r="7995">
      <c r="A7995" s="3" t="n">
        <v>2025</v>
      </c>
      <c r="B7995" s="4" t="n">
        <v>11729</v>
      </c>
      <c r="C7995" s="4" t="n">
        <v>1048</v>
      </c>
      <c r="D7995" s="4" t="n">
        <v>317.02</v>
      </c>
      <c r="E7995" s="5" t="n">
        <v>37</v>
      </c>
      <c r="F7995" s="3" t="inlineStr">
        <is>
          <t>강내면</t>
        </is>
      </c>
      <c r="G7995" s="3" t="inlineStr">
        <is>
          <t>석화리</t>
        </is>
      </c>
      <c r="H7995" s="3" t="inlineStr">
        <is>
          <t>자연녹지지역</t>
        </is>
      </c>
      <c r="I7995" s="3" t="inlineStr">
        <is>
          <t>답</t>
        </is>
      </c>
      <c r="J7995" s="3" t="inlineStr">
        <is>
          <t>강내면</t>
        </is>
      </c>
    </row>
    <row r="7996">
      <c r="A7996" s="3" t="n">
        <v>2025</v>
      </c>
      <c r="B7996" s="4" t="n">
        <v>20000</v>
      </c>
      <c r="C7996" s="4" t="n">
        <v>367</v>
      </c>
      <c r="D7996" s="4" t="n">
        <v>111.0175</v>
      </c>
      <c r="E7996" s="5" t="n">
        <v>180.2</v>
      </c>
      <c r="F7996" s="3" t="inlineStr">
        <is>
          <t>오송읍</t>
        </is>
      </c>
      <c r="G7996" s="3" t="inlineStr">
        <is>
          <t>봉산리</t>
        </is>
      </c>
      <c r="H7996" s="3" t="inlineStr">
        <is>
          <t>계획관리지역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2025</v>
      </c>
      <c r="B7997" s="4" t="n">
        <v>134000</v>
      </c>
      <c r="C7997" s="4" t="n">
        <v>2202</v>
      </c>
      <c r="D7997" s="4" t="n">
        <v>666.105</v>
      </c>
      <c r="E7997" s="5" t="n">
        <v>201.2</v>
      </c>
      <c r="F7997" s="3" t="inlineStr">
        <is>
          <t>오송읍</t>
        </is>
      </c>
      <c r="G7997" s="3" t="inlineStr">
        <is>
          <t>봉산리</t>
        </is>
      </c>
      <c r="H7997" s="3" t="inlineStr">
        <is>
          <t>계획관리지역</t>
        </is>
      </c>
      <c r="I7997" s="3" t="inlineStr">
        <is>
          <t>답</t>
        </is>
      </c>
      <c r="J7997" s="3" t="inlineStr">
        <is>
          <t>오송읍</t>
        </is>
      </c>
    </row>
    <row r="7998">
      <c r="A7998" s="3" t="n">
        <v>2025</v>
      </c>
      <c r="B7998" s="4" t="n">
        <v>63500</v>
      </c>
      <c r="C7998" s="4" t="n">
        <v>1750</v>
      </c>
      <c r="D7998" s="4" t="n">
        <v>529.375</v>
      </c>
      <c r="E7998" s="5" t="n">
        <v>120</v>
      </c>
      <c r="F7998" s="3" t="inlineStr">
        <is>
          <t>오송읍</t>
        </is>
      </c>
      <c r="G7998" s="3" t="inlineStr">
        <is>
          <t>서평리</t>
        </is>
      </c>
      <c r="H7998" s="3" t="inlineStr">
        <is>
          <t>농림지역</t>
        </is>
      </c>
      <c r="I7998" s="3" t="inlineStr">
        <is>
          <t>전</t>
        </is>
      </c>
      <c r="J7998" s="3" t="inlineStr">
        <is>
          <t>오송읍</t>
        </is>
      </c>
    </row>
    <row r="7999">
      <c r="A7999" s="3" t="n">
        <v>2024</v>
      </c>
      <c r="B7999" s="4" t="n">
        <v>26656</v>
      </c>
      <c r="C7999" s="4" t="n">
        <v>1799</v>
      </c>
      <c r="D7999" s="4" t="n">
        <v>544.1975</v>
      </c>
      <c r="E7999" s="5" t="n">
        <v>49</v>
      </c>
      <c r="F7999" s="3" t="inlineStr">
        <is>
          <t>전의면</t>
        </is>
      </c>
      <c r="G7999" s="3" t="inlineStr">
        <is>
          <t>신방리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전의면</t>
        </is>
      </c>
    </row>
    <row r="8000">
      <c r="A8000" s="3" t="n">
        <v>2024</v>
      </c>
      <c r="B8000" s="4" t="n">
        <v>13671</v>
      </c>
      <c r="C8000" s="4" t="n">
        <v>1653</v>
      </c>
      <c r="D8000" s="4" t="n">
        <v>500.0325</v>
      </c>
      <c r="E8000" s="5" t="n">
        <v>27.3</v>
      </c>
      <c r="F8000" s="3" t="inlineStr">
        <is>
          <t>연서면</t>
        </is>
      </c>
      <c r="G8000" s="3" t="inlineStr">
        <is>
          <t>기룡리</t>
        </is>
      </c>
      <c r="H8000" s="3" t="inlineStr">
        <is>
          <t>농림지역</t>
        </is>
      </c>
      <c r="I8000" s="3" t="inlineStr">
        <is>
          <t>임야</t>
        </is>
      </c>
      <c r="J8000" s="3" t="inlineStr">
        <is>
          <t>연서면</t>
        </is>
      </c>
    </row>
    <row r="8001">
      <c r="A8001" s="3" t="n">
        <v>2024</v>
      </c>
      <c r="B8001" s="4" t="n">
        <v>27342</v>
      </c>
      <c r="C8001" s="4" t="n">
        <v>3306</v>
      </c>
      <c r="D8001" s="4" t="n">
        <v>1000.065</v>
      </c>
      <c r="E8001" s="5" t="n">
        <v>27.3</v>
      </c>
      <c r="F8001" s="3" t="inlineStr">
        <is>
          <t>연서면</t>
        </is>
      </c>
      <c r="G8001" s="3" t="inlineStr">
        <is>
          <t>기룡리</t>
        </is>
      </c>
      <c r="H8001" s="3" t="inlineStr">
        <is>
          <t>농림지역</t>
        </is>
      </c>
      <c r="I8001" s="3" t="inlineStr">
        <is>
          <t>임야</t>
        </is>
      </c>
      <c r="J8001" s="3" t="inlineStr">
        <is>
          <t>연서면</t>
        </is>
      </c>
    </row>
    <row r="8002">
      <c r="A8002" s="3" t="n">
        <v>2024</v>
      </c>
      <c r="B8002" s="4" t="n">
        <v>718000</v>
      </c>
      <c r="C8002" s="4" t="n">
        <v>49289</v>
      </c>
      <c r="D8002" s="4" t="n">
        <v>14909.9225</v>
      </c>
      <c r="E8002" s="5" t="n">
        <v>48.2</v>
      </c>
      <c r="F8002" s="3" t="inlineStr">
        <is>
          <t>장군면</t>
        </is>
      </c>
      <c r="G8002" s="3" t="inlineStr">
        <is>
          <t>금암리</t>
        </is>
      </c>
      <c r="H8002" s="3" t="inlineStr">
        <is>
          <t>계획관리지역</t>
        </is>
      </c>
      <c r="I8002" s="3" t="inlineStr">
        <is>
          <t>임야</t>
        </is>
      </c>
      <c r="J8002" s="3" t="inlineStr">
        <is>
          <t>장군면</t>
        </is>
      </c>
    </row>
    <row r="8003">
      <c r="A8003" s="3" t="n">
        <v>2024</v>
      </c>
      <c r="B8003" s="4" t="n">
        <v>12000</v>
      </c>
      <c r="C8003" s="4" t="n">
        <v>781</v>
      </c>
      <c r="D8003" s="4" t="n">
        <v>236.2525</v>
      </c>
      <c r="E8003" s="5" t="n">
        <v>50.8</v>
      </c>
      <c r="F8003" s="3" t="inlineStr">
        <is>
          <t>장군면</t>
        </is>
      </c>
      <c r="G8003" s="3" t="inlineStr">
        <is>
          <t>금암리</t>
        </is>
      </c>
      <c r="H8003" s="3" t="inlineStr">
        <is>
          <t>농림지역</t>
        </is>
      </c>
      <c r="I8003" s="3" t="inlineStr">
        <is>
          <t>임야</t>
        </is>
      </c>
      <c r="J8003" s="3" t="inlineStr">
        <is>
          <t>장군면</t>
        </is>
      </c>
    </row>
    <row r="8004">
      <c r="A8004" s="3" t="n">
        <v>2024</v>
      </c>
      <c r="B8004" s="4" t="n">
        <v>10157</v>
      </c>
      <c r="C8004" s="4" t="n">
        <v>520</v>
      </c>
      <c r="D8004" s="4" t="n">
        <v>157.3</v>
      </c>
      <c r="E8004" s="5" t="n">
        <v>64.59999999999999</v>
      </c>
      <c r="F8004" s="3" t="inlineStr">
        <is>
          <t>소정면</t>
        </is>
      </c>
      <c r="G8004" s="3" t="inlineStr">
        <is>
          <t>고등리</t>
        </is>
      </c>
      <c r="H8004" s="3" t="inlineStr">
        <is>
          <t>보전관리지역</t>
        </is>
      </c>
      <c r="I8004" s="3" t="inlineStr">
        <is>
          <t>대</t>
        </is>
      </c>
      <c r="J8004" s="3" t="inlineStr">
        <is>
          <t>소정면</t>
        </is>
      </c>
    </row>
    <row r="8005">
      <c r="A8005" s="3" t="n">
        <v>2024</v>
      </c>
      <c r="B8005" s="4" t="n">
        <v>12071</v>
      </c>
      <c r="C8005" s="4" t="n">
        <v>618</v>
      </c>
      <c r="D8005" s="4" t="n">
        <v>186.945</v>
      </c>
      <c r="E8005" s="5" t="n">
        <v>64.59999999999999</v>
      </c>
      <c r="F8005" s="3" t="inlineStr">
        <is>
          <t>소정면</t>
        </is>
      </c>
      <c r="G8005" s="3" t="inlineStr">
        <is>
          <t>고등리</t>
        </is>
      </c>
      <c r="H8005" s="3" t="inlineStr">
        <is>
          <t>보전관리지역</t>
        </is>
      </c>
      <c r="I8005" s="3" t="inlineStr">
        <is>
          <t>대</t>
        </is>
      </c>
      <c r="J8005" s="3" t="inlineStr">
        <is>
          <t>소정면</t>
        </is>
      </c>
    </row>
    <row r="8006">
      <c r="A8006" s="3" t="n">
        <v>2024</v>
      </c>
      <c r="B8006" s="4" t="n">
        <v>12700</v>
      </c>
      <c r="C8006" s="4" t="n">
        <v>350</v>
      </c>
      <c r="D8006" s="4" t="n">
        <v>105.875</v>
      </c>
      <c r="E8006" s="5" t="n">
        <v>120</v>
      </c>
      <c r="F8006" s="3" t="inlineStr">
        <is>
          <t>소정면</t>
        </is>
      </c>
      <c r="G8006" s="3" t="inlineStr">
        <is>
          <t>소정리</t>
        </is>
      </c>
      <c r="H8006" s="3" t="inlineStr">
        <is>
          <t>계획관리지역</t>
        </is>
      </c>
      <c r="I8006" s="3" t="inlineStr">
        <is>
          <t>대</t>
        </is>
      </c>
      <c r="J8006" s="3" t="inlineStr">
        <is>
          <t>소정면</t>
        </is>
      </c>
    </row>
    <row r="8007">
      <c r="A8007" s="3" t="n">
        <v>2024</v>
      </c>
      <c r="B8007" s="4" t="n">
        <v>8400</v>
      </c>
      <c r="C8007" s="4" t="n">
        <v>1395</v>
      </c>
      <c r="D8007" s="4" t="n">
        <v>421.9875</v>
      </c>
      <c r="E8007" s="5" t="n">
        <v>19.9</v>
      </c>
      <c r="F8007" s="3" t="inlineStr">
        <is>
          <t>전의면</t>
        </is>
      </c>
      <c r="G8007" s="3" t="inlineStr">
        <is>
          <t>원성리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전의면</t>
        </is>
      </c>
    </row>
    <row r="8008">
      <c r="A8008" s="3" t="n">
        <v>2024</v>
      </c>
      <c r="B8008" s="4" t="n">
        <v>25581</v>
      </c>
      <c r="C8008" s="4" t="n">
        <v>463</v>
      </c>
      <c r="D8008" s="4" t="n">
        <v>140.0575</v>
      </c>
      <c r="E8008" s="5" t="n">
        <v>182.6</v>
      </c>
      <c r="F8008" s="3" t="inlineStr">
        <is>
          <t>장군면</t>
        </is>
      </c>
      <c r="G8008" s="3" t="inlineStr">
        <is>
          <t>금암리</t>
        </is>
      </c>
      <c r="H8008" s="3" t="inlineStr">
        <is>
          <t>보전관리지역</t>
        </is>
      </c>
      <c r="I8008" s="3" t="inlineStr">
        <is>
          <t>대</t>
        </is>
      </c>
      <c r="J8008" s="3" t="inlineStr">
        <is>
          <t>장군면</t>
        </is>
      </c>
    </row>
    <row r="8009">
      <c r="A8009" s="3" t="n">
        <v>2025</v>
      </c>
      <c r="B8009" s="4" t="n">
        <v>25950</v>
      </c>
      <c r="C8009" s="4" t="n">
        <v>495</v>
      </c>
      <c r="D8009" s="4" t="n">
        <v>149.7375</v>
      </c>
      <c r="E8009" s="5" t="n">
        <v>173.3</v>
      </c>
      <c r="F8009" s="3" t="inlineStr">
        <is>
          <t>연서면</t>
        </is>
      </c>
      <c r="G8009" s="3" t="inlineStr">
        <is>
          <t>부동리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연서면</t>
        </is>
      </c>
    </row>
    <row r="8010">
      <c r="A8010" s="3" t="n">
        <v>2025</v>
      </c>
      <c r="B8010" s="4" t="n">
        <v>19000</v>
      </c>
      <c r="C8010" s="4" t="n">
        <v>1845</v>
      </c>
      <c r="D8010" s="4" t="n">
        <v>558.1125</v>
      </c>
      <c r="E8010" s="5" t="n">
        <v>34</v>
      </c>
      <c r="F8010" s="3" t="inlineStr">
        <is>
          <t>부강면</t>
        </is>
      </c>
      <c r="G8010" s="3" t="inlineStr">
        <is>
          <t>금호리</t>
        </is>
      </c>
      <c r="H8010" s="3" t="inlineStr">
        <is>
          <t>농림지역</t>
        </is>
      </c>
      <c r="I8010" s="3" t="inlineStr">
        <is>
          <t>답</t>
        </is>
      </c>
      <c r="J8010" s="3" t="inlineStr">
        <is>
          <t>부강면</t>
        </is>
      </c>
    </row>
    <row r="8011">
      <c r="A8011" s="3" t="n">
        <v>2025</v>
      </c>
      <c r="B8011" s="4" t="n">
        <v>53000</v>
      </c>
      <c r="C8011" s="4" t="n">
        <v>3212.3</v>
      </c>
      <c r="D8011" s="4" t="n">
        <v>971.7207500000001</v>
      </c>
      <c r="E8011" s="5" t="n">
        <v>54.5</v>
      </c>
      <c r="F8011" s="3" t="inlineStr">
        <is>
          <t>연동면</t>
        </is>
      </c>
      <c r="G8011" s="3" t="inlineStr">
        <is>
          <t>송용리</t>
        </is>
      </c>
      <c r="H8011" s="3" t="inlineStr">
        <is>
          <t>농림지역</t>
        </is>
      </c>
      <c r="I8011" s="3" t="inlineStr">
        <is>
          <t>답</t>
        </is>
      </c>
      <c r="J8011" s="3" t="inlineStr">
        <is>
          <t>연동면</t>
        </is>
      </c>
    </row>
    <row r="8012">
      <c r="A8012" s="3" t="n">
        <v>2025</v>
      </c>
      <c r="B8012" s="4" t="n">
        <v>8700</v>
      </c>
      <c r="C8012" s="4" t="n">
        <v>99</v>
      </c>
      <c r="D8012" s="4" t="n">
        <v>29.9475</v>
      </c>
      <c r="E8012" s="5" t="n">
        <v>290.5</v>
      </c>
      <c r="F8012" s="3" t="inlineStr">
        <is>
          <t>연동면</t>
        </is>
      </c>
      <c r="G8012" s="3" t="inlineStr">
        <is>
          <t>명학리</t>
        </is>
      </c>
      <c r="H8012" s="3" t="inlineStr">
        <is>
          <t>계획관리지역</t>
        </is>
      </c>
      <c r="I8012" s="3" t="inlineStr">
        <is>
          <t>임야</t>
        </is>
      </c>
      <c r="J8012" s="3" t="inlineStr">
        <is>
          <t>연동면</t>
        </is>
      </c>
    </row>
    <row r="8013">
      <c r="A8013" s="3" t="n">
        <v>2025</v>
      </c>
      <c r="B8013" s="4" t="n">
        <v>25440</v>
      </c>
      <c r="C8013" s="4" t="n">
        <v>2803</v>
      </c>
      <c r="D8013" s="4" t="n">
        <v>847.9075</v>
      </c>
      <c r="E8013" s="5" t="n">
        <v>30</v>
      </c>
      <c r="F8013" s="3" t="inlineStr">
        <is>
          <t>소정면</t>
        </is>
      </c>
      <c r="G8013" s="3" t="inlineStr">
        <is>
          <t>소정리</t>
        </is>
      </c>
      <c r="H8013" s="3" t="inlineStr">
        <is>
          <t>농림지역</t>
        </is>
      </c>
      <c r="I8013" s="3" t="inlineStr">
        <is>
          <t>답</t>
        </is>
      </c>
      <c r="J8013" s="3" t="inlineStr">
        <is>
          <t>소정면</t>
        </is>
      </c>
    </row>
    <row r="8014">
      <c r="A8014" s="3" t="n">
        <v>2025</v>
      </c>
      <c r="B8014" s="4" t="n">
        <v>200</v>
      </c>
      <c r="C8014" s="4" t="n">
        <v>113</v>
      </c>
      <c r="D8014" s="4" t="n">
        <v>34.1825</v>
      </c>
      <c r="E8014" s="5" t="n">
        <v>5.9</v>
      </c>
      <c r="F8014" s="3" t="inlineStr">
        <is>
          <t>부강면</t>
        </is>
      </c>
      <c r="G8014" s="3" t="inlineStr">
        <is>
          <t>등곡리</t>
        </is>
      </c>
      <c r="H8014" s="3" t="inlineStr">
        <is>
          <t>계획관리지역</t>
        </is>
      </c>
      <c r="I8014" s="3" t="inlineStr">
        <is>
          <t>임야</t>
        </is>
      </c>
      <c r="J8014" s="3" t="inlineStr">
        <is>
          <t>부강면</t>
        </is>
      </c>
    </row>
    <row r="8015">
      <c r="A8015" s="3" t="n">
        <v>2025</v>
      </c>
      <c r="B8015" s="4" t="n">
        <v>30000</v>
      </c>
      <c r="C8015" s="4" t="n">
        <v>701</v>
      </c>
      <c r="D8015" s="4" t="n">
        <v>212.0525</v>
      </c>
      <c r="E8015" s="5" t="n">
        <v>141.5</v>
      </c>
      <c r="F8015" s="3" t="inlineStr">
        <is>
          <t>연동면</t>
        </is>
      </c>
      <c r="G8015" s="3" t="inlineStr">
        <is>
          <t>송용리</t>
        </is>
      </c>
      <c r="H8015" s="3" t="inlineStr">
        <is>
          <t>계획관리지역</t>
        </is>
      </c>
      <c r="I8015" s="3" t="inlineStr">
        <is>
          <t>대</t>
        </is>
      </c>
      <c r="J8015" s="3" t="inlineStr">
        <is>
          <t>연동면</t>
        </is>
      </c>
    </row>
    <row r="8016">
      <c r="A8016" s="3" t="n">
        <v>2025</v>
      </c>
      <c r="B8016" s="4" t="n">
        <v>700</v>
      </c>
      <c r="C8016" s="4" t="n">
        <v>96</v>
      </c>
      <c r="D8016" s="4" t="n">
        <v>29.04</v>
      </c>
      <c r="E8016" s="5" t="n">
        <v>24.1</v>
      </c>
      <c r="F8016" s="3" t="inlineStr">
        <is>
          <t>금남면</t>
        </is>
      </c>
      <c r="G8016" s="3" t="inlineStr">
        <is>
          <t>성강리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금남면</t>
        </is>
      </c>
    </row>
    <row r="8017">
      <c r="A8017" s="3" t="n">
        <v>2025</v>
      </c>
      <c r="B8017" s="4" t="n">
        <v>11871</v>
      </c>
      <c r="C8017" s="4" t="n">
        <v>1319</v>
      </c>
      <c r="D8017" s="4" t="n">
        <v>398.9975</v>
      </c>
      <c r="E8017" s="5" t="n">
        <v>29.8</v>
      </c>
      <c r="F8017" s="3" t="inlineStr">
        <is>
          <t>소정면</t>
        </is>
      </c>
      <c r="G8017" s="3" t="inlineStr">
        <is>
          <t>소정리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소정면</t>
        </is>
      </c>
    </row>
    <row r="8018">
      <c r="A8018" s="3" t="n">
        <v>2025</v>
      </c>
      <c r="B8018" s="4" t="n">
        <v>12300</v>
      </c>
      <c r="C8018" s="4" t="n">
        <v>1289</v>
      </c>
      <c r="D8018" s="4" t="n">
        <v>389.9225</v>
      </c>
      <c r="E8018" s="5" t="n">
        <v>31.5</v>
      </c>
      <c r="F8018" s="3" t="inlineStr">
        <is>
          <t>부강면</t>
        </is>
      </c>
      <c r="G8018" s="3" t="inlineStr">
        <is>
          <t>문곡리</t>
        </is>
      </c>
      <c r="H8018" s="3" t="inlineStr">
        <is>
          <t>계획관리지역</t>
        </is>
      </c>
      <c r="I8018" s="3" t="inlineStr">
        <is>
          <t>답</t>
        </is>
      </c>
      <c r="J8018" s="3" t="inlineStr">
        <is>
          <t>부강면</t>
        </is>
      </c>
    </row>
    <row r="8019">
      <c r="A8019" s="3" t="n">
        <v>2023</v>
      </c>
      <c r="B8019" s="4" t="n">
        <v>5970</v>
      </c>
      <c r="C8019" s="4" t="n">
        <v>6612</v>
      </c>
      <c r="D8019" s="4" t="n">
        <v>2000.13</v>
      </c>
      <c r="E8019" s="5" t="n">
        <v>3</v>
      </c>
      <c r="F8019" s="3" t="inlineStr">
        <is>
          <t>전동면</t>
        </is>
      </c>
      <c r="G8019" s="3" t="inlineStr">
        <is>
          <t>노장리</t>
        </is>
      </c>
      <c r="H8019" s="3" t="inlineStr">
        <is>
          <t>농림지역</t>
        </is>
      </c>
      <c r="I8019" s="3" t="inlineStr">
        <is>
          <t>임야</t>
        </is>
      </c>
      <c r="J8019" s="3" t="inlineStr">
        <is>
          <t>전동면</t>
        </is>
      </c>
    </row>
    <row r="8020">
      <c r="A8020" s="3" t="n">
        <v>2023</v>
      </c>
      <c r="B8020" s="4" t="n">
        <v>7091</v>
      </c>
      <c r="C8020" s="4" t="n">
        <v>7854</v>
      </c>
      <c r="D8020" s="4" t="n">
        <v>2375.835</v>
      </c>
      <c r="E8020" s="5" t="n">
        <v>3</v>
      </c>
      <c r="F8020" s="3" t="inlineStr">
        <is>
          <t>전동면</t>
        </is>
      </c>
      <c r="G8020" s="3" t="inlineStr">
        <is>
          <t>노장리</t>
        </is>
      </c>
      <c r="H8020" s="3" t="inlineStr">
        <is>
          <t>농림지역</t>
        </is>
      </c>
      <c r="I8020" s="3" t="inlineStr">
        <is>
          <t>임야</t>
        </is>
      </c>
      <c r="J8020" s="3" t="inlineStr">
        <is>
          <t>전동면</t>
        </is>
      </c>
    </row>
    <row r="8021">
      <c r="A8021" s="3" t="n">
        <v>2023</v>
      </c>
      <c r="B8021" s="4" t="n">
        <v>21120</v>
      </c>
      <c r="C8021" s="4" t="n">
        <v>660</v>
      </c>
      <c r="D8021" s="4" t="n">
        <v>199.65</v>
      </c>
      <c r="E8021" s="5" t="n">
        <v>105.8</v>
      </c>
      <c r="F8021" s="3" t="inlineStr">
        <is>
          <t>전동면</t>
        </is>
      </c>
      <c r="G8021" s="3" t="inlineStr">
        <is>
          <t>송정리</t>
        </is>
      </c>
      <c r="H8021" s="3" t="inlineStr">
        <is>
          <t>농림지역</t>
        </is>
      </c>
      <c r="I8021" s="3" t="inlineStr">
        <is>
          <t>임야</t>
        </is>
      </c>
      <c r="J8021" s="3" t="inlineStr">
        <is>
          <t>전동면</t>
        </is>
      </c>
    </row>
    <row r="8022">
      <c r="A8022" s="3" t="n">
        <v>2023</v>
      </c>
      <c r="B8022" s="4" t="n">
        <v>200000</v>
      </c>
      <c r="C8022" s="4" t="n">
        <v>1767</v>
      </c>
      <c r="D8022" s="4" t="n">
        <v>534.5175</v>
      </c>
      <c r="E8022" s="5" t="n">
        <v>374.2</v>
      </c>
      <c r="F8022" s="3" t="inlineStr">
        <is>
          <t>금남면</t>
        </is>
      </c>
      <c r="G8022" s="3" t="inlineStr">
        <is>
          <t>황용리</t>
        </is>
      </c>
      <c r="H8022" s="3" t="inlineStr">
        <is>
          <t>생산관리지역</t>
        </is>
      </c>
      <c r="I8022" s="3" t="inlineStr">
        <is>
          <t>잡종지</t>
        </is>
      </c>
      <c r="J8022" s="3" t="inlineStr">
        <is>
          <t>금남면</t>
        </is>
      </c>
    </row>
    <row r="8023">
      <c r="A8023" s="3" t="n">
        <v>2022</v>
      </c>
      <c r="B8023" s="4" t="n">
        <v>32680</v>
      </c>
      <c r="C8023" s="4" t="n">
        <v>785</v>
      </c>
      <c r="D8023" s="4" t="n">
        <v>237.4625</v>
      </c>
      <c r="E8023" s="5" t="n">
        <v>137.6</v>
      </c>
      <c r="F8023" s="3" t="inlineStr">
        <is>
          <t>부강면</t>
        </is>
      </c>
      <c r="G8023" s="3" t="inlineStr">
        <is>
          <t>부강리</t>
        </is>
      </c>
      <c r="H8023" s="3" t="inlineStr">
        <is>
          <t>계획관리지역</t>
        </is>
      </c>
      <c r="I8023" s="3" t="inlineStr">
        <is>
          <t>답</t>
        </is>
      </c>
      <c r="J8023" s="3" t="inlineStr">
        <is>
          <t>부강면</t>
        </is>
      </c>
    </row>
    <row r="8024">
      <c r="A8024" s="3" t="n">
        <v>2022</v>
      </c>
      <c r="B8024" s="4" t="n">
        <v>4260</v>
      </c>
      <c r="C8024" s="4" t="n">
        <v>113</v>
      </c>
      <c r="D8024" s="4" t="n">
        <v>34.1825</v>
      </c>
      <c r="E8024" s="5" t="n">
        <v>124.6</v>
      </c>
      <c r="F8024" s="3" t="inlineStr">
        <is>
          <t>부강면</t>
        </is>
      </c>
      <c r="G8024" s="3" t="inlineStr">
        <is>
          <t>부강리</t>
        </is>
      </c>
      <c r="H8024" s="3" t="inlineStr">
        <is>
          <t>계획관리지역</t>
        </is>
      </c>
      <c r="I8024" s="3" t="inlineStr">
        <is>
          <t>답</t>
        </is>
      </c>
      <c r="J8024" s="3" t="inlineStr">
        <is>
          <t>부강면</t>
        </is>
      </c>
    </row>
    <row r="8025">
      <c r="A8025" s="3" t="n">
        <v>2022</v>
      </c>
      <c r="B8025" s="4" t="n">
        <v>6500</v>
      </c>
      <c r="C8025" s="4" t="n">
        <v>440</v>
      </c>
      <c r="D8025" s="4" t="n">
        <v>133.1</v>
      </c>
      <c r="E8025" s="5" t="n">
        <v>48.8</v>
      </c>
      <c r="F8025" s="3" t="inlineStr">
        <is>
          <t>소정면</t>
        </is>
      </c>
      <c r="G8025" s="3" t="inlineStr">
        <is>
          <t>소정리</t>
        </is>
      </c>
      <c r="H8025" s="3" t="inlineStr">
        <is>
          <t>계획관리지역</t>
        </is>
      </c>
      <c r="I8025" s="3" t="inlineStr">
        <is>
          <t>대</t>
        </is>
      </c>
      <c r="J8025" s="3" t="inlineStr">
        <is>
          <t>소정면</t>
        </is>
      </c>
    </row>
    <row r="8026">
      <c r="A8026" s="3" t="n">
        <v>2022</v>
      </c>
      <c r="B8026" s="4" t="n">
        <v>2100</v>
      </c>
      <c r="C8026" s="4" t="n">
        <v>2410</v>
      </c>
      <c r="D8026" s="4" t="n">
        <v>729.025</v>
      </c>
      <c r="E8026" s="5" t="n">
        <v>2.9</v>
      </c>
      <c r="F8026" s="3" t="inlineStr">
        <is>
          <t>소정면</t>
        </is>
      </c>
      <c r="G8026" s="3" t="inlineStr">
        <is>
          <t>대곡리</t>
        </is>
      </c>
      <c r="H8026" s="3" t="inlineStr">
        <is>
          <t>계획관리지역</t>
        </is>
      </c>
      <c r="I8026" s="3" t="inlineStr">
        <is>
          <t>임야</t>
        </is>
      </c>
      <c r="J8026" s="3" t="inlineStr">
        <is>
          <t>소정면</t>
        </is>
      </c>
    </row>
    <row r="8027">
      <c r="A8027" s="3" t="n">
        <v>2022</v>
      </c>
      <c r="B8027" s="4" t="n">
        <v>4250</v>
      </c>
      <c r="C8027" s="4" t="n">
        <v>1028</v>
      </c>
      <c r="D8027" s="4" t="n">
        <v>310.97</v>
      </c>
      <c r="E8027" s="5" t="n">
        <v>13.7</v>
      </c>
      <c r="F8027" s="3" t="inlineStr">
        <is>
          <t>전의면</t>
        </is>
      </c>
      <c r="G8027" s="3" t="inlineStr">
        <is>
          <t>신정리</t>
        </is>
      </c>
      <c r="H8027" s="3" t="inlineStr">
        <is>
          <t>계획관리지역</t>
        </is>
      </c>
      <c r="I8027" s="3" t="inlineStr">
        <is>
          <t>전</t>
        </is>
      </c>
      <c r="J8027" s="3" t="inlineStr">
        <is>
          <t>전의면</t>
        </is>
      </c>
    </row>
    <row r="8028">
      <c r="A8028" s="3" t="n">
        <v>2022</v>
      </c>
      <c r="B8028" s="4" t="n">
        <v>4250</v>
      </c>
      <c r="C8028" s="4" t="n">
        <v>1028</v>
      </c>
      <c r="D8028" s="4" t="n">
        <v>310.97</v>
      </c>
      <c r="E8028" s="5" t="n">
        <v>13.7</v>
      </c>
      <c r="F8028" s="3" t="inlineStr">
        <is>
          <t>전의면</t>
        </is>
      </c>
      <c r="G8028" s="3" t="inlineStr">
        <is>
          <t>신정리</t>
        </is>
      </c>
      <c r="H8028" s="3" t="inlineStr">
        <is>
          <t>계획관리지역</t>
        </is>
      </c>
      <c r="I8028" s="3" t="inlineStr">
        <is>
          <t>전</t>
        </is>
      </c>
      <c r="J8028" s="3" t="inlineStr">
        <is>
          <t>전의면</t>
        </is>
      </c>
    </row>
    <row r="8029">
      <c r="A8029" s="3" t="n">
        <v>2022</v>
      </c>
      <c r="B8029" s="4" t="n">
        <v>26304</v>
      </c>
      <c r="C8029" s="4" t="n">
        <v>590</v>
      </c>
      <c r="D8029" s="4" t="n">
        <v>178.475</v>
      </c>
      <c r="E8029" s="5" t="n">
        <v>147.4</v>
      </c>
      <c r="F8029" s="3" t="inlineStr">
        <is>
          <t>전의면</t>
        </is>
      </c>
      <c r="G8029" s="3" t="inlineStr">
        <is>
          <t>읍내리</t>
        </is>
      </c>
      <c r="H8029" s="3" t="inlineStr">
        <is>
          <t>자연녹지지역</t>
        </is>
      </c>
      <c r="I8029" s="3" t="inlineStr">
        <is>
          <t>전</t>
        </is>
      </c>
      <c r="J8029" s="3" t="inlineStr">
        <is>
          <t>전의면</t>
        </is>
      </c>
    </row>
    <row r="8030">
      <c r="A8030" s="3" t="n">
        <v>2022</v>
      </c>
      <c r="B8030" s="4" t="n">
        <v>45000</v>
      </c>
      <c r="C8030" s="4" t="n">
        <v>527</v>
      </c>
      <c r="D8030" s="4" t="n">
        <v>159.4175</v>
      </c>
      <c r="E8030" s="5" t="n">
        <v>282.3</v>
      </c>
      <c r="F8030" s="3" t="inlineStr">
        <is>
          <t>장군면</t>
        </is>
      </c>
      <c r="G8030" s="3" t="inlineStr">
        <is>
          <t>평기리</t>
        </is>
      </c>
      <c r="H8030" s="3" t="inlineStr">
        <is>
          <t>농림지역</t>
        </is>
      </c>
      <c r="I8030" s="3" t="inlineStr">
        <is>
          <t>답</t>
        </is>
      </c>
      <c r="J8030" s="3" t="inlineStr">
        <is>
          <t>장군면</t>
        </is>
      </c>
    </row>
    <row r="8031">
      <c r="A8031" s="3" t="n">
        <v>2022</v>
      </c>
      <c r="B8031" s="4" t="n">
        <v>2750</v>
      </c>
      <c r="C8031" s="4" t="n">
        <v>178</v>
      </c>
      <c r="D8031" s="4" t="n">
        <v>53.845</v>
      </c>
      <c r="E8031" s="5" t="n">
        <v>51.1</v>
      </c>
      <c r="F8031" s="3" t="inlineStr">
        <is>
          <t>장군면</t>
        </is>
      </c>
      <c r="G8031" s="3" t="inlineStr">
        <is>
          <t>평기리</t>
        </is>
      </c>
      <c r="H8031" s="3" t="inlineStr">
        <is>
          <t>농림지역</t>
        </is>
      </c>
      <c r="I8031" s="3" t="inlineStr">
        <is>
          <t>답</t>
        </is>
      </c>
      <c r="J8031" s="3" t="inlineStr">
        <is>
          <t>장군면</t>
        </is>
      </c>
    </row>
    <row r="8032">
      <c r="A8032" s="3" t="n">
        <v>2026</v>
      </c>
      <c r="B8032" s="4" t="n">
        <v>100</v>
      </c>
      <c r="C8032" s="4" t="n">
        <v>8</v>
      </c>
      <c r="D8032" s="4" t="n">
        <v>2.42</v>
      </c>
      <c r="E8032" s="5" t="n">
        <v>41.3</v>
      </c>
      <c r="F8032" s="3" t="inlineStr">
        <is>
          <t>연서면</t>
        </is>
      </c>
      <c r="G8032" s="3" t="inlineStr">
        <is>
          <t>쌍류리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연서면</t>
        </is>
      </c>
    </row>
    <row r="8033">
      <c r="A8033" s="3" t="n">
        <v>2026</v>
      </c>
      <c r="B8033" s="4" t="n">
        <v>95450</v>
      </c>
      <c r="C8033" s="4" t="n">
        <v>2809</v>
      </c>
      <c r="D8033" s="4" t="n">
        <v>849.7225</v>
      </c>
      <c r="E8033" s="5" t="n">
        <v>112.3</v>
      </c>
      <c r="F8033" s="3" t="inlineStr">
        <is>
          <t>전동면</t>
        </is>
      </c>
      <c r="G8033" s="3" t="inlineStr">
        <is>
          <t>청람리</t>
        </is>
      </c>
      <c r="H8033" s="3" t="inlineStr">
        <is>
          <t>계획관리지역</t>
        </is>
      </c>
      <c r="I8033" s="3" t="inlineStr">
        <is>
          <t>전</t>
        </is>
      </c>
      <c r="J8033" s="3" t="inlineStr">
        <is>
          <t>전동면</t>
        </is>
      </c>
    </row>
    <row r="8034">
      <c r="A8034" s="3" t="n">
        <v>2022</v>
      </c>
      <c r="B8034" s="4" t="n">
        <v>250</v>
      </c>
      <c r="C8034" s="4" t="n">
        <v>18</v>
      </c>
      <c r="D8034" s="4" t="n">
        <v>5.445</v>
      </c>
      <c r="E8034" s="5" t="n">
        <v>45.9</v>
      </c>
      <c r="F8034" s="3" t="inlineStr">
        <is>
          <t>장군면</t>
        </is>
      </c>
      <c r="G8034" s="3" t="inlineStr">
        <is>
          <t>평기리</t>
        </is>
      </c>
      <c r="H8034" s="3" t="inlineStr">
        <is>
          <t>농림지역</t>
        </is>
      </c>
      <c r="I8034" s="3" t="inlineStr">
        <is>
          <t>답</t>
        </is>
      </c>
      <c r="J8034" s="3" t="inlineStr">
        <is>
          <t>장군면</t>
        </is>
      </c>
    </row>
    <row r="8035">
      <c r="A8035" s="3" t="n">
        <v>2022</v>
      </c>
      <c r="B8035" s="4" t="n">
        <v>2550</v>
      </c>
      <c r="C8035" s="4" t="n">
        <v>171</v>
      </c>
      <c r="D8035" s="4" t="n">
        <v>51.7275</v>
      </c>
      <c r="E8035" s="5" t="n">
        <v>49.3</v>
      </c>
      <c r="F8035" s="3" t="inlineStr">
        <is>
          <t>장군면</t>
        </is>
      </c>
      <c r="G8035" s="3" t="inlineStr">
        <is>
          <t>평기리</t>
        </is>
      </c>
      <c r="H8035" s="3" t="inlineStr">
        <is>
          <t>농림지역</t>
        </is>
      </c>
      <c r="I8035" s="3" t="inlineStr">
        <is>
          <t>답</t>
        </is>
      </c>
      <c r="J8035" s="3" t="inlineStr">
        <is>
          <t>장군면</t>
        </is>
      </c>
    </row>
    <row r="8036">
      <c r="A8036" s="3" t="n">
        <v>2022</v>
      </c>
      <c r="B8036" s="4" t="n">
        <v>2400</v>
      </c>
      <c r="C8036" s="4" t="n">
        <v>157</v>
      </c>
      <c r="D8036" s="4" t="n">
        <v>47.4925</v>
      </c>
      <c r="E8036" s="5" t="n">
        <v>50.5</v>
      </c>
      <c r="F8036" s="3" t="inlineStr">
        <is>
          <t>장군면</t>
        </is>
      </c>
      <c r="G8036" s="3" t="inlineStr">
        <is>
          <t>평기리</t>
        </is>
      </c>
      <c r="H8036" s="3" t="inlineStr">
        <is>
          <t>농림지역</t>
        </is>
      </c>
      <c r="I8036" s="3" t="inlineStr">
        <is>
          <t>답</t>
        </is>
      </c>
      <c r="J8036" s="3" t="inlineStr">
        <is>
          <t>장군면</t>
        </is>
      </c>
    </row>
    <row r="8037">
      <c r="A8037" s="3" t="n">
        <v>2022</v>
      </c>
      <c r="B8037" s="4" t="n">
        <v>1800</v>
      </c>
      <c r="C8037" s="4" t="n">
        <v>122</v>
      </c>
      <c r="D8037" s="4" t="n">
        <v>36.905</v>
      </c>
      <c r="E8037" s="5" t="n">
        <v>48.8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장군면</t>
        </is>
      </c>
    </row>
    <row r="8038">
      <c r="A8038" s="3" t="n">
        <v>2022</v>
      </c>
      <c r="B8038" s="4" t="n">
        <v>2350</v>
      </c>
      <c r="C8038" s="4" t="n">
        <v>70</v>
      </c>
      <c r="D8038" s="4" t="n">
        <v>21.175</v>
      </c>
      <c r="E8038" s="5" t="n">
        <v>111</v>
      </c>
      <c r="F8038" s="3" t="inlineStr">
        <is>
          <t>장군면</t>
        </is>
      </c>
      <c r="G8038" s="3" t="inlineStr">
        <is>
          <t>평기리</t>
        </is>
      </c>
      <c r="H8038" s="3" t="inlineStr">
        <is>
          <t>자연녹지지역</t>
        </is>
      </c>
      <c r="I8038" s="3" t="inlineStr">
        <is>
          <t>답</t>
        </is>
      </c>
      <c r="J8038" s="3" t="inlineStr">
        <is>
          <t>장군면</t>
        </is>
      </c>
    </row>
    <row r="8039">
      <c r="A8039" s="3" t="n">
        <v>2022</v>
      </c>
      <c r="B8039" s="4" t="n">
        <v>9843</v>
      </c>
      <c r="C8039" s="4" t="n">
        <v>292</v>
      </c>
      <c r="D8039" s="4" t="n">
        <v>88.33</v>
      </c>
      <c r="E8039" s="5" t="n">
        <v>111.4</v>
      </c>
      <c r="F8039" s="3" t="inlineStr">
        <is>
          <t>장군면</t>
        </is>
      </c>
      <c r="G8039" s="3" t="inlineStr">
        <is>
          <t>평기리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장군면</t>
        </is>
      </c>
    </row>
    <row r="8040">
      <c r="A8040" s="3" t="n">
        <v>2022</v>
      </c>
      <c r="B8040" s="4" t="n">
        <v>10168</v>
      </c>
      <c r="C8040" s="4" t="n">
        <v>159</v>
      </c>
      <c r="D8040" s="4" t="n">
        <v>48.0975</v>
      </c>
      <c r="E8040" s="5" t="n">
        <v>211.4</v>
      </c>
      <c r="F8040" s="3" t="inlineStr">
        <is>
          <t>장군면</t>
        </is>
      </c>
      <c r="G8040" s="3" t="inlineStr">
        <is>
          <t>평기리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장군면</t>
        </is>
      </c>
    </row>
    <row r="8041">
      <c r="A8041" s="3" t="n">
        <v>2022</v>
      </c>
      <c r="B8041" s="4" t="n">
        <v>3500</v>
      </c>
      <c r="C8041" s="4" t="n">
        <v>45</v>
      </c>
      <c r="D8041" s="4" t="n">
        <v>13.6125</v>
      </c>
      <c r="E8041" s="5" t="n">
        <v>257.1</v>
      </c>
      <c r="F8041" s="3" t="inlineStr">
        <is>
          <t>장군면</t>
        </is>
      </c>
      <c r="G8041" s="3" t="inlineStr">
        <is>
          <t>평기리</t>
        </is>
      </c>
      <c r="H8041" s="3" t="inlineStr">
        <is>
          <t>계획관리지역</t>
        </is>
      </c>
      <c r="I8041" s="3" t="inlineStr">
        <is>
          <t>전</t>
        </is>
      </c>
      <c r="J8041" s="3" t="inlineStr">
        <is>
          <t>장군면</t>
        </is>
      </c>
    </row>
    <row r="8042">
      <c r="A8042" s="3" t="n">
        <v>2022</v>
      </c>
      <c r="B8042" s="4" t="n">
        <v>23822</v>
      </c>
      <c r="C8042" s="4" t="n">
        <v>525</v>
      </c>
      <c r="D8042" s="4" t="n">
        <v>158.8125</v>
      </c>
      <c r="E8042" s="5" t="n">
        <v>150</v>
      </c>
      <c r="F8042" s="3" t="inlineStr">
        <is>
          <t>연서면</t>
        </is>
      </c>
      <c r="G8042" s="3" t="inlineStr">
        <is>
          <t>쌍류리</t>
        </is>
      </c>
      <c r="H8042" s="3" t="inlineStr">
        <is>
          <t>농림지역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2022</v>
      </c>
      <c r="B8043" s="4" t="n">
        <v>25727</v>
      </c>
      <c r="C8043" s="4" t="n">
        <v>608</v>
      </c>
      <c r="D8043" s="4" t="n">
        <v>183.92</v>
      </c>
      <c r="E8043" s="5" t="n">
        <v>139.9</v>
      </c>
      <c r="F8043" s="3" t="inlineStr">
        <is>
          <t>연서면</t>
        </is>
      </c>
      <c r="G8043" s="3" t="inlineStr">
        <is>
          <t>쌍류리</t>
        </is>
      </c>
      <c r="H8043" s="3" t="inlineStr">
        <is>
          <t>생산관리지역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2022</v>
      </c>
      <c r="B8044" s="4" t="n">
        <v>10800</v>
      </c>
      <c r="C8044" s="4" t="n">
        <v>1983</v>
      </c>
      <c r="D8044" s="4" t="n">
        <v>599.8575</v>
      </c>
      <c r="E8044" s="5" t="n">
        <v>18</v>
      </c>
      <c r="F8044" s="3" t="inlineStr">
        <is>
          <t>장군면</t>
        </is>
      </c>
      <c r="G8044" s="3" t="inlineStr">
        <is>
          <t>금암리</t>
        </is>
      </c>
      <c r="H8044" s="3" t="inlineStr">
        <is>
          <t>농림지역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2022</v>
      </c>
      <c r="B8045" s="4" t="n">
        <v>10800</v>
      </c>
      <c r="C8045" s="4" t="n">
        <v>1983</v>
      </c>
      <c r="D8045" s="4" t="n">
        <v>599.8575</v>
      </c>
      <c r="E8045" s="5" t="n">
        <v>18</v>
      </c>
      <c r="F8045" s="3" t="inlineStr">
        <is>
          <t>장군면</t>
        </is>
      </c>
      <c r="G8045" s="3" t="inlineStr">
        <is>
          <t>금암리</t>
        </is>
      </c>
      <c r="H8045" s="3" t="inlineStr">
        <is>
          <t>농림지역</t>
        </is>
      </c>
      <c r="I8045" s="3" t="inlineStr">
        <is>
          <t>임야</t>
        </is>
      </c>
      <c r="J8045" s="3" t="inlineStr">
        <is>
          <t>장군면</t>
        </is>
      </c>
    </row>
    <row r="8046">
      <c r="A8046" s="3" t="n">
        <v>2022</v>
      </c>
      <c r="B8046" s="4" t="n">
        <v>9000</v>
      </c>
      <c r="C8046" s="4" t="n">
        <v>1653</v>
      </c>
      <c r="D8046" s="4" t="n">
        <v>500.0325</v>
      </c>
      <c r="E8046" s="5" t="n">
        <v>18</v>
      </c>
      <c r="F8046" s="3" t="inlineStr">
        <is>
          <t>장군면</t>
        </is>
      </c>
      <c r="G8046" s="3" t="inlineStr">
        <is>
          <t>금암리</t>
        </is>
      </c>
      <c r="H8046" s="3" t="inlineStr">
        <is>
          <t>농림지역</t>
        </is>
      </c>
      <c r="I8046" s="3" t="inlineStr">
        <is>
          <t>임야</t>
        </is>
      </c>
      <c r="J8046" s="3" t="inlineStr">
        <is>
          <t>장군면</t>
        </is>
      </c>
    </row>
    <row r="8047">
      <c r="A8047" s="3" t="n">
        <v>2022</v>
      </c>
      <c r="B8047" s="4" t="n">
        <v>216050</v>
      </c>
      <c r="C8047" s="4" t="n">
        <v>2397</v>
      </c>
      <c r="D8047" s="4" t="n">
        <v>725.0925</v>
      </c>
      <c r="E8047" s="5" t="n">
        <v>298</v>
      </c>
      <c r="F8047" s="3" t="inlineStr">
        <is>
          <t>부강면</t>
        </is>
      </c>
      <c r="G8047" s="3" t="inlineStr">
        <is>
          <t>부강리</t>
        </is>
      </c>
      <c r="H8047" s="3" t="inlineStr">
        <is>
          <t>생산녹지지역</t>
        </is>
      </c>
      <c r="I8047" s="3" t="inlineStr">
        <is>
          <t>답</t>
        </is>
      </c>
      <c r="J8047" s="3" t="inlineStr">
        <is>
          <t>부강면</t>
        </is>
      </c>
    </row>
    <row r="8048">
      <c r="A8048" s="3" t="n">
        <v>2022</v>
      </c>
      <c r="B8048" s="4" t="n">
        <v>5000</v>
      </c>
      <c r="C8048" s="4" t="n">
        <v>122.8</v>
      </c>
      <c r="D8048" s="4" t="n">
        <v>37.147</v>
      </c>
      <c r="E8048" s="5" t="n">
        <v>134.6</v>
      </c>
      <c r="F8048" s="3" t="inlineStr">
        <is>
          <t>전의면</t>
        </is>
      </c>
      <c r="G8048" s="3" t="inlineStr">
        <is>
          <t>양곡리</t>
        </is>
      </c>
      <c r="H8048" s="3" t="inlineStr">
        <is>
          <t>일반공업지역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2022</v>
      </c>
      <c r="B8049" s="4" t="n">
        <v>100</v>
      </c>
      <c r="C8049" s="4" t="n">
        <v>53</v>
      </c>
      <c r="D8049" s="4" t="n">
        <v>16.0325</v>
      </c>
      <c r="E8049" s="5" t="n">
        <v>6.2</v>
      </c>
      <c r="F8049" s="3" t="inlineStr">
        <is>
          <t>부강면</t>
        </is>
      </c>
      <c r="G8049" s="3" t="inlineStr">
        <is>
          <t>등곡리</t>
        </is>
      </c>
      <c r="H8049" s="3" t="inlineStr">
        <is>
          <t>보전관리지역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2022</v>
      </c>
      <c r="B8050" s="4" t="n">
        <v>500</v>
      </c>
      <c r="C8050" s="4" t="n">
        <v>274</v>
      </c>
      <c r="D8050" s="4" t="n">
        <v>82.88499999999999</v>
      </c>
      <c r="E8050" s="5" t="n">
        <v>6</v>
      </c>
      <c r="F8050" s="3" t="inlineStr">
        <is>
          <t>부강면</t>
        </is>
      </c>
      <c r="G8050" s="3" t="inlineStr">
        <is>
          <t>등곡리</t>
        </is>
      </c>
      <c r="H8050" s="3" t="inlineStr">
        <is>
          <t>보전관리지역</t>
        </is>
      </c>
      <c r="I8050" s="3" t="inlineStr">
        <is>
          <t>공장용지</t>
        </is>
      </c>
      <c r="J8050" s="3" t="inlineStr">
        <is>
          <t>부강면</t>
        </is>
      </c>
    </row>
    <row r="8051">
      <c r="A8051" s="3" t="n">
        <v>2022</v>
      </c>
      <c r="B8051" s="4" t="n">
        <v>150</v>
      </c>
      <c r="C8051" s="4" t="n">
        <v>55</v>
      </c>
      <c r="D8051" s="4" t="n">
        <v>16.6375</v>
      </c>
      <c r="E8051" s="5" t="n">
        <v>9</v>
      </c>
      <c r="F8051" s="3" t="inlineStr">
        <is>
          <t>부강면</t>
        </is>
      </c>
      <c r="G8051" s="3" t="inlineStr">
        <is>
          <t>등곡리</t>
        </is>
      </c>
      <c r="H8051" s="3" t="inlineStr">
        <is>
          <t>농림지역</t>
        </is>
      </c>
      <c r="I8051" s="3" t="inlineStr">
        <is>
          <t>공장용지</t>
        </is>
      </c>
      <c r="J8051" s="3" t="inlineStr">
        <is>
          <t>부강면</t>
        </is>
      </c>
    </row>
    <row r="8052">
      <c r="A8052" s="3" t="n">
        <v>2022</v>
      </c>
      <c r="B8052" s="4" t="n">
        <v>1300</v>
      </c>
      <c r="C8052" s="4" t="n">
        <v>142</v>
      </c>
      <c r="D8052" s="4" t="n">
        <v>42.955</v>
      </c>
      <c r="E8052" s="5" t="n">
        <v>30.3</v>
      </c>
      <c r="F8052" s="3" t="inlineStr">
        <is>
          <t>전동면</t>
        </is>
      </c>
      <c r="G8052" s="3" t="inlineStr">
        <is>
          <t>노장리</t>
        </is>
      </c>
      <c r="H8052" s="3" t="inlineStr">
        <is>
          <t>보전관리지역</t>
        </is>
      </c>
      <c r="I8052" s="3" t="inlineStr">
        <is>
          <t>답</t>
        </is>
      </c>
      <c r="J8052" s="3" t="inlineStr">
        <is>
          <t>전동면</t>
        </is>
      </c>
    </row>
    <row r="8053">
      <c r="A8053" s="3" t="n">
        <v>2023</v>
      </c>
      <c r="B8053" s="4" t="n">
        <v>200</v>
      </c>
      <c r="C8053" s="4" t="n">
        <v>59</v>
      </c>
      <c r="D8053" s="4" t="n">
        <v>17.8475</v>
      </c>
      <c r="E8053" s="5" t="n">
        <v>11.2</v>
      </c>
      <c r="F8053" s="3" t="inlineStr">
        <is>
          <t>남이면</t>
        </is>
      </c>
      <c r="G8053" s="3" t="inlineStr">
        <is>
          <t>문동리</t>
        </is>
      </c>
      <c r="H8053" s="3" t="inlineStr">
        <is>
          <t>생산관리지역</t>
        </is>
      </c>
      <c r="I8053" s="3" t="inlineStr">
        <is>
          <t>도로</t>
        </is>
      </c>
      <c r="J8053" s="3" t="inlineStr">
        <is>
          <t>남이면</t>
        </is>
      </c>
    </row>
    <row r="8054">
      <c r="A8054" s="3" t="n">
        <v>2024</v>
      </c>
      <c r="B8054" s="4" t="n">
        <v>23150</v>
      </c>
      <c r="C8054" s="4" t="n">
        <v>439</v>
      </c>
      <c r="D8054" s="4" t="n">
        <v>132.7975</v>
      </c>
      <c r="E8054" s="5" t="n">
        <v>174.3</v>
      </c>
      <c r="F8054" s="3" t="inlineStr">
        <is>
          <t>오송읍</t>
        </is>
      </c>
      <c r="G8054" s="3" t="inlineStr">
        <is>
          <t>궁평리</t>
        </is>
      </c>
      <c r="H8054" s="3" t="inlineStr">
        <is>
          <t>농림지역</t>
        </is>
      </c>
      <c r="I8054" s="3" t="inlineStr">
        <is>
          <t>창고용지</t>
        </is>
      </c>
      <c r="J8054" s="3" t="inlineStr">
        <is>
          <t>오송읍</t>
        </is>
      </c>
    </row>
    <row r="8055">
      <c r="A8055" s="3" t="n">
        <v>2024</v>
      </c>
      <c r="B8055" s="4" t="n">
        <v>22250</v>
      </c>
      <c r="C8055" s="4" t="n">
        <v>439</v>
      </c>
      <c r="D8055" s="4" t="n">
        <v>132.7975</v>
      </c>
      <c r="E8055" s="5" t="n">
        <v>167.5</v>
      </c>
      <c r="F8055" s="3" t="inlineStr">
        <is>
          <t>오송읍</t>
        </is>
      </c>
      <c r="G8055" s="3" t="inlineStr">
        <is>
          <t>궁평리</t>
        </is>
      </c>
      <c r="H8055" s="3" t="inlineStr">
        <is>
          <t>농림지역</t>
        </is>
      </c>
      <c r="I8055" s="3" t="inlineStr">
        <is>
          <t>창고용지</t>
        </is>
      </c>
      <c r="J8055" s="3" t="inlineStr">
        <is>
          <t>오송읍</t>
        </is>
      </c>
    </row>
    <row r="8056">
      <c r="A8056" s="3" t="n">
        <v>2024</v>
      </c>
      <c r="B8056" s="4" t="n">
        <v>4969</v>
      </c>
      <c r="C8056" s="4" t="n">
        <v>251</v>
      </c>
      <c r="D8056" s="4" t="n">
        <v>75.92749999999999</v>
      </c>
      <c r="E8056" s="5" t="n">
        <v>65.40000000000001</v>
      </c>
      <c r="F8056" s="3" t="inlineStr">
        <is>
          <t>강내면</t>
        </is>
      </c>
      <c r="G8056" s="3" t="inlineStr">
        <is>
          <t>당곡리</t>
        </is>
      </c>
      <c r="H8056" s="3" t="inlineStr">
        <is>
          <t>계획관리지역</t>
        </is>
      </c>
      <c r="I8056" s="3" t="inlineStr">
        <is>
          <t>전</t>
        </is>
      </c>
      <c r="J8056" s="3" t="inlineStr">
        <is>
          <t>강내면</t>
        </is>
      </c>
    </row>
    <row r="8057">
      <c r="A8057" s="3" t="n">
        <v>2024</v>
      </c>
      <c r="B8057" s="4" t="n">
        <v>11363</v>
      </c>
      <c r="C8057" s="4" t="n">
        <v>574</v>
      </c>
      <c r="D8057" s="4" t="n">
        <v>173.635</v>
      </c>
      <c r="E8057" s="5" t="n">
        <v>65.40000000000001</v>
      </c>
      <c r="F8057" s="3" t="inlineStr">
        <is>
          <t>강내면</t>
        </is>
      </c>
      <c r="G8057" s="3" t="inlineStr">
        <is>
          <t>당곡리</t>
        </is>
      </c>
      <c r="H8057" s="3" t="inlineStr">
        <is>
          <t>계획관리지역</t>
        </is>
      </c>
      <c r="I8057" s="3" t="inlineStr">
        <is>
          <t>전</t>
        </is>
      </c>
      <c r="J8057" s="3" t="inlineStr">
        <is>
          <t>강내면</t>
        </is>
      </c>
    </row>
    <row r="8058">
      <c r="A8058" s="3" t="n">
        <v>2024</v>
      </c>
      <c r="B8058" s="4" t="n">
        <v>5800</v>
      </c>
      <c r="C8058" s="4" t="n">
        <v>293</v>
      </c>
      <c r="D8058" s="4" t="n">
        <v>88.63249999999999</v>
      </c>
      <c r="E8058" s="5" t="n">
        <v>65.40000000000001</v>
      </c>
      <c r="F8058" s="3" t="inlineStr">
        <is>
          <t>강내면</t>
        </is>
      </c>
      <c r="G8058" s="3" t="inlineStr">
        <is>
          <t>당곡리</t>
        </is>
      </c>
      <c r="H8058" s="3" t="inlineStr">
        <is>
          <t>계획관리지역</t>
        </is>
      </c>
      <c r="I8058" s="3" t="inlineStr">
        <is>
          <t>임야</t>
        </is>
      </c>
      <c r="J8058" s="3" t="inlineStr">
        <is>
          <t>강내면</t>
        </is>
      </c>
    </row>
    <row r="8059">
      <c r="A8059" s="3" t="n">
        <v>2024</v>
      </c>
      <c r="B8059" s="4" t="n">
        <v>145000</v>
      </c>
      <c r="C8059" s="4" t="n">
        <v>456.3</v>
      </c>
      <c r="D8059" s="4" t="n">
        <v>138.03075</v>
      </c>
      <c r="E8059" s="5" t="n">
        <v>1050.5</v>
      </c>
      <c r="F8059" s="3" t="inlineStr">
        <is>
          <t>오송읍</t>
        </is>
      </c>
      <c r="G8059" s="3" t="inlineStr">
        <is>
          <t>봉산리</t>
        </is>
      </c>
      <c r="H8059" s="3" t="inlineStr">
        <is>
          <t>준주거지역</t>
        </is>
      </c>
      <c r="I8059" s="3" t="inlineStr">
        <is>
          <t>대</t>
        </is>
      </c>
      <c r="J8059" s="3" t="inlineStr">
        <is>
          <t>오송읍</t>
        </is>
      </c>
    </row>
    <row r="8060">
      <c r="A8060" s="3" t="n">
        <v>2024</v>
      </c>
      <c r="B8060" s="4" t="n">
        <v>19288</v>
      </c>
      <c r="C8060" s="4" t="n">
        <v>419</v>
      </c>
      <c r="D8060" s="4" t="n">
        <v>126.7475</v>
      </c>
      <c r="E8060" s="5" t="n">
        <v>152.2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계획관리지역</t>
        </is>
      </c>
      <c r="I8060" s="3" t="inlineStr">
        <is>
          <t>답</t>
        </is>
      </c>
      <c r="J8060" s="3" t="inlineStr">
        <is>
          <t>오송읍</t>
        </is>
      </c>
    </row>
    <row r="8061">
      <c r="A8061" s="3" t="n">
        <v>2024</v>
      </c>
      <c r="B8061" s="4" t="n">
        <v>19000</v>
      </c>
      <c r="C8061" s="4" t="n">
        <v>595</v>
      </c>
      <c r="D8061" s="4" t="n">
        <v>179.9875</v>
      </c>
      <c r="E8061" s="5" t="n">
        <v>105.6</v>
      </c>
      <c r="F8061" s="3" t="inlineStr">
        <is>
          <t>강내면</t>
        </is>
      </c>
      <c r="G8061" s="3" t="inlineStr">
        <is>
          <t>석화리</t>
        </is>
      </c>
      <c r="H8061" s="3" t="inlineStr">
        <is>
          <t>자연녹지지역</t>
        </is>
      </c>
      <c r="I8061" s="3" t="inlineStr">
        <is>
          <t>전</t>
        </is>
      </c>
      <c r="J8061" s="3" t="inlineStr">
        <is>
          <t>강내면</t>
        </is>
      </c>
    </row>
    <row r="8062">
      <c r="A8062" s="3" t="n">
        <v>2024</v>
      </c>
      <c r="B8062" s="4" t="n">
        <v>10872</v>
      </c>
      <c r="C8062" s="4" t="n">
        <v>1894</v>
      </c>
      <c r="D8062" s="4" t="n">
        <v>572.9349999999999</v>
      </c>
      <c r="E8062" s="5" t="n">
        <v>19</v>
      </c>
      <c r="F8062" s="3" t="inlineStr">
        <is>
          <t>오송읍</t>
        </is>
      </c>
      <c r="G8062" s="3" t="inlineStr">
        <is>
          <t>쌍청리</t>
        </is>
      </c>
      <c r="H8062" s="3" t="inlineStr">
        <is>
          <t>농림지역</t>
        </is>
      </c>
      <c r="I8062" s="3" t="inlineStr">
        <is>
          <t>전</t>
        </is>
      </c>
      <c r="J8062" s="3" t="inlineStr">
        <is>
          <t>오송읍</t>
        </is>
      </c>
    </row>
    <row r="8063">
      <c r="A8063" s="3" t="n">
        <v>2024</v>
      </c>
      <c r="B8063" s="4" t="n">
        <v>4078</v>
      </c>
      <c r="C8063" s="4" t="n">
        <v>711</v>
      </c>
      <c r="D8063" s="4" t="n">
        <v>215.0775</v>
      </c>
      <c r="E8063" s="5" t="n">
        <v>19</v>
      </c>
      <c r="F8063" s="3" t="inlineStr">
        <is>
          <t>오송읍</t>
        </is>
      </c>
      <c r="G8063" s="3" t="inlineStr">
        <is>
          <t>쌍청리</t>
        </is>
      </c>
      <c r="H8063" s="3" t="inlineStr">
        <is>
          <t>농림지역</t>
        </is>
      </c>
      <c r="I8063" s="3" t="inlineStr">
        <is>
          <t>전</t>
        </is>
      </c>
      <c r="J8063" s="3" t="inlineStr">
        <is>
          <t>오송읍</t>
        </is>
      </c>
    </row>
    <row r="8064">
      <c r="A8064" s="3" t="n">
        <v>2024</v>
      </c>
      <c r="B8064" s="4" t="n">
        <v>763</v>
      </c>
      <c r="C8064" s="4" t="n">
        <v>9</v>
      </c>
      <c r="D8064" s="4" t="n">
        <v>2.7225</v>
      </c>
      <c r="E8064" s="5" t="n">
        <v>280.3</v>
      </c>
      <c r="F8064" s="3" t="inlineStr">
        <is>
          <t>강내면</t>
        </is>
      </c>
      <c r="G8064" s="3" t="inlineStr">
        <is>
          <t>월곡리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강내면</t>
        </is>
      </c>
    </row>
    <row r="8065">
      <c r="A8065" s="3" t="n">
        <v>2024</v>
      </c>
      <c r="B8065" s="4" t="n">
        <v>6270</v>
      </c>
      <c r="C8065" s="4" t="n">
        <v>75</v>
      </c>
      <c r="D8065" s="4" t="n">
        <v>22.6875</v>
      </c>
      <c r="E8065" s="5" t="n">
        <v>276.4</v>
      </c>
      <c r="F8065" s="3" t="inlineStr">
        <is>
          <t>강내면</t>
        </is>
      </c>
      <c r="G8065" s="3" t="inlineStr">
        <is>
          <t>월곡리</t>
        </is>
      </c>
      <c r="H8065" s="3" t="inlineStr">
        <is>
          <t>제2종일반주거지역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1081</v>
      </c>
      <c r="C8066" s="4" t="n">
        <v>14</v>
      </c>
      <c r="D8066" s="4" t="n">
        <v>4.234999999999999</v>
      </c>
      <c r="E8066" s="5" t="n">
        <v>255.3</v>
      </c>
      <c r="F8066" s="3" t="inlineStr">
        <is>
          <t>강내면</t>
        </is>
      </c>
      <c r="G8066" s="3" t="inlineStr">
        <is>
          <t>월곡리</t>
        </is>
      </c>
      <c r="H8066" s="3" t="inlineStr">
        <is>
          <t>제2종일반주거지역</t>
        </is>
      </c>
      <c r="I8066" s="3" t="inlineStr">
        <is>
          <t>전</t>
        </is>
      </c>
      <c r="J8066" s="3" t="inlineStr">
        <is>
          <t>강내면</t>
        </is>
      </c>
    </row>
    <row r="8067">
      <c r="A8067" s="3" t="n">
        <v>2024</v>
      </c>
      <c r="B8067" s="4" t="n">
        <v>2394</v>
      </c>
      <c r="C8067" s="4" t="n">
        <v>32</v>
      </c>
      <c r="D8067" s="4" t="n">
        <v>9.68</v>
      </c>
      <c r="E8067" s="5" t="n">
        <v>247.3</v>
      </c>
      <c r="F8067" s="3" t="inlineStr">
        <is>
          <t>강내면</t>
        </is>
      </c>
      <c r="G8067" s="3" t="inlineStr">
        <is>
          <t>월곡리</t>
        </is>
      </c>
      <c r="H8067" s="3" t="inlineStr">
        <is>
          <t>제2종일반주거지역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2024</v>
      </c>
      <c r="B8068" s="4" t="n">
        <v>1047</v>
      </c>
      <c r="C8068" s="4" t="n">
        <v>14</v>
      </c>
      <c r="D8068" s="4" t="n">
        <v>4.234999999999999</v>
      </c>
      <c r="E8068" s="5" t="n">
        <v>247.2</v>
      </c>
      <c r="F8068" s="3" t="inlineStr">
        <is>
          <t>강내면</t>
        </is>
      </c>
      <c r="G8068" s="3" t="inlineStr">
        <is>
          <t>월곡리</t>
        </is>
      </c>
      <c r="H8068" s="3" t="inlineStr">
        <is>
          <t>제2종일반주거지역</t>
        </is>
      </c>
      <c r="I8068" s="3" t="inlineStr">
        <is>
          <t>답</t>
        </is>
      </c>
      <c r="J8068" s="3" t="inlineStr">
        <is>
          <t>강내면</t>
        </is>
      </c>
    </row>
    <row r="8069">
      <c r="A8069" s="3" t="n">
        <v>2024</v>
      </c>
      <c r="B8069" s="4" t="n">
        <v>449</v>
      </c>
      <c r="C8069" s="4" t="n">
        <v>6</v>
      </c>
      <c r="D8069" s="4" t="n">
        <v>1.815</v>
      </c>
      <c r="E8069" s="5" t="n">
        <v>247.4</v>
      </c>
      <c r="F8069" s="3" t="inlineStr">
        <is>
          <t>강내면</t>
        </is>
      </c>
      <c r="G8069" s="3" t="inlineStr">
        <is>
          <t>월곡리</t>
        </is>
      </c>
      <c r="H8069" s="3" t="inlineStr">
        <is>
          <t>제2종일반주거지역</t>
        </is>
      </c>
      <c r="I8069" s="3" t="inlineStr">
        <is>
          <t>답</t>
        </is>
      </c>
      <c r="J8069" s="3" t="inlineStr">
        <is>
          <t>강내면</t>
        </is>
      </c>
    </row>
    <row r="8070">
      <c r="A8070" s="3" t="n">
        <v>2024</v>
      </c>
      <c r="B8070" s="4" t="n">
        <v>2917</v>
      </c>
      <c r="C8070" s="4" t="n">
        <v>39</v>
      </c>
      <c r="D8070" s="4" t="n">
        <v>11.7975</v>
      </c>
      <c r="E8070" s="5" t="n">
        <v>247.3</v>
      </c>
      <c r="F8070" s="3" t="inlineStr">
        <is>
          <t>강내면</t>
        </is>
      </c>
      <c r="G8070" s="3" t="inlineStr">
        <is>
          <t>월곡리</t>
        </is>
      </c>
      <c r="H8070" s="3" t="inlineStr">
        <is>
          <t>제2종일반주거지역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2024</v>
      </c>
      <c r="B8071" s="4" t="n">
        <v>37600</v>
      </c>
      <c r="C8071" s="4" t="n">
        <v>1907</v>
      </c>
      <c r="D8071" s="4" t="n">
        <v>576.8674999999999</v>
      </c>
      <c r="E8071" s="5" t="n">
        <v>65.2</v>
      </c>
      <c r="F8071" s="3" t="inlineStr">
        <is>
          <t>오송읍</t>
        </is>
      </c>
      <c r="G8071" s="3" t="inlineStr">
        <is>
          <t>궁평리</t>
        </is>
      </c>
      <c r="H8071" s="3" t="inlineStr">
        <is>
          <t>농림지역</t>
        </is>
      </c>
      <c r="I8071" s="3" t="inlineStr">
        <is>
          <t>답</t>
        </is>
      </c>
      <c r="J8071" s="3" t="inlineStr">
        <is>
          <t>오송읍</t>
        </is>
      </c>
    </row>
    <row r="8072">
      <c r="A8072" s="3" t="n">
        <v>2024</v>
      </c>
      <c r="B8072" s="4" t="n">
        <v>12000</v>
      </c>
      <c r="C8072" s="4" t="n">
        <v>435</v>
      </c>
      <c r="D8072" s="4" t="n">
        <v>131.5875</v>
      </c>
      <c r="E8072" s="5" t="n">
        <v>91.2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임야</t>
        </is>
      </c>
      <c r="J8072" s="3" t="inlineStr">
        <is>
          <t>강내면</t>
        </is>
      </c>
    </row>
    <row r="8073">
      <c r="A8073" s="3" t="n">
        <v>2026</v>
      </c>
      <c r="B8073" s="4" t="n">
        <v>82500</v>
      </c>
      <c r="C8073" s="4" t="n">
        <v>495</v>
      </c>
      <c r="D8073" s="4" t="n">
        <v>149.7375</v>
      </c>
      <c r="E8073" s="5" t="n">
        <v>551</v>
      </c>
      <c r="F8073" s="3" t="inlineStr">
        <is>
          <t>남이면</t>
        </is>
      </c>
      <c r="G8073" s="3" t="inlineStr">
        <is>
          <t>가마리</t>
        </is>
      </c>
      <c r="H8073" s="3" t="inlineStr">
        <is>
          <t>자연녹지지역</t>
        </is>
      </c>
      <c r="I8073" s="3" t="inlineStr">
        <is>
          <t>답</t>
        </is>
      </c>
      <c r="J8073" s="3" t="inlineStr">
        <is>
          <t>남이면</t>
        </is>
      </c>
    </row>
    <row r="8074">
      <c r="A8074" s="3" t="n">
        <v>2022</v>
      </c>
      <c r="B8074" s="4" t="n">
        <v>11500</v>
      </c>
      <c r="C8074" s="4" t="n">
        <v>403</v>
      </c>
      <c r="D8074" s="4" t="n">
        <v>121.9075</v>
      </c>
      <c r="E8074" s="5" t="n">
        <v>94.3</v>
      </c>
      <c r="F8074" s="3" t="inlineStr">
        <is>
          <t>오송읍</t>
        </is>
      </c>
      <c r="G8074" s="3" t="inlineStr">
        <is>
          <t>동평리</t>
        </is>
      </c>
      <c r="H8074" s="3" t="inlineStr">
        <is>
          <t>농림지역</t>
        </is>
      </c>
      <c r="I8074" s="3" t="inlineStr">
        <is>
          <t>전</t>
        </is>
      </c>
      <c r="J8074" s="3" t="inlineStr">
        <is>
          <t>오송읍</t>
        </is>
      </c>
    </row>
    <row r="8075">
      <c r="A8075" s="3" t="n">
        <v>2022</v>
      </c>
      <c r="B8075" s="4" t="n">
        <v>21500</v>
      </c>
      <c r="C8075" s="4" t="n">
        <v>783</v>
      </c>
      <c r="D8075" s="4" t="n">
        <v>236.8575</v>
      </c>
      <c r="E8075" s="5" t="n">
        <v>90.8</v>
      </c>
      <c r="F8075" s="3" t="inlineStr">
        <is>
          <t>오송읍</t>
        </is>
      </c>
      <c r="G8075" s="3" t="inlineStr">
        <is>
          <t>연제리</t>
        </is>
      </c>
      <c r="H8075" s="3" t="inlineStr">
        <is>
          <t>계획관리지역</t>
        </is>
      </c>
      <c r="I8075" s="3" t="inlineStr">
        <is>
          <t>전</t>
        </is>
      </c>
      <c r="J8075" s="3" t="inlineStr">
        <is>
          <t>오송읍</t>
        </is>
      </c>
    </row>
    <row r="8076">
      <c r="A8076" s="3" t="n">
        <v>2022</v>
      </c>
      <c r="B8076" s="4" t="n">
        <v>26875</v>
      </c>
      <c r="C8076" s="4" t="n">
        <v>414</v>
      </c>
      <c r="D8076" s="4" t="n">
        <v>125.235</v>
      </c>
      <c r="E8076" s="5" t="n">
        <v>214.6</v>
      </c>
      <c r="F8076" s="3" t="inlineStr">
        <is>
          <t>강내면</t>
        </is>
      </c>
      <c r="G8076" s="3" t="inlineStr">
        <is>
          <t>월곡리</t>
        </is>
      </c>
      <c r="H8076" s="3" t="inlineStr">
        <is>
          <t>제1종일반주거지역</t>
        </is>
      </c>
      <c r="I8076" s="3" t="inlineStr">
        <is>
          <t>대</t>
        </is>
      </c>
      <c r="J8076" s="3" t="inlineStr">
        <is>
          <t>강내면</t>
        </is>
      </c>
    </row>
    <row r="8077">
      <c r="A8077" s="3" t="n">
        <v>2022</v>
      </c>
      <c r="B8077" s="4" t="n">
        <v>8500</v>
      </c>
      <c r="C8077" s="4" t="n">
        <v>60</v>
      </c>
      <c r="D8077" s="4" t="n">
        <v>18.15</v>
      </c>
      <c r="E8077" s="5" t="n">
        <v>468.3</v>
      </c>
      <c r="F8077" s="3" t="inlineStr">
        <is>
          <t>오송읍</t>
        </is>
      </c>
      <c r="G8077" s="3" t="inlineStr">
        <is>
          <t>오송리</t>
        </is>
      </c>
      <c r="H8077" s="3" t="inlineStr">
        <is>
          <t>계획관리지역</t>
        </is>
      </c>
      <c r="I8077" s="3" t="inlineStr">
        <is>
          <t>대</t>
        </is>
      </c>
      <c r="J8077" s="3" t="inlineStr">
        <is>
          <t>오송읍</t>
        </is>
      </c>
    </row>
    <row r="8078">
      <c r="A8078" s="3" t="n">
        <v>2022</v>
      </c>
      <c r="B8078" s="4" t="n">
        <v>10940</v>
      </c>
      <c r="C8078" s="4" t="n">
        <v>282</v>
      </c>
      <c r="D8078" s="4" t="n">
        <v>85.30499999999999</v>
      </c>
      <c r="E8078" s="5" t="n">
        <v>128.2</v>
      </c>
      <c r="F8078" s="3" t="inlineStr">
        <is>
          <t>오송읍</t>
        </is>
      </c>
      <c r="G8078" s="3" t="inlineStr">
        <is>
          <t>연제리</t>
        </is>
      </c>
      <c r="H8078" s="3" t="inlineStr">
        <is>
          <t>농림지역</t>
        </is>
      </c>
      <c r="I8078" s="3" t="inlineStr">
        <is>
          <t>전</t>
        </is>
      </c>
      <c r="J8078" s="3" t="inlineStr">
        <is>
          <t>오송읍</t>
        </is>
      </c>
    </row>
    <row r="8079">
      <c r="A8079" s="3" t="n">
        <v>2022</v>
      </c>
      <c r="B8079" s="4" t="n">
        <v>18500</v>
      </c>
      <c r="C8079" s="4" t="n">
        <v>554</v>
      </c>
      <c r="D8079" s="4" t="n">
        <v>167.585</v>
      </c>
      <c r="E8079" s="5" t="n">
        <v>110.4</v>
      </c>
      <c r="F8079" s="3" t="inlineStr">
        <is>
          <t>장군면</t>
        </is>
      </c>
      <c r="G8079" s="3" t="inlineStr">
        <is>
          <t>대교리</t>
        </is>
      </c>
      <c r="H8079" s="3" t="inlineStr">
        <is>
          <t>보전관리지역</t>
        </is>
      </c>
      <c r="I8079" s="3" t="inlineStr">
        <is>
          <t>답</t>
        </is>
      </c>
      <c r="J8079" s="3" t="inlineStr">
        <is>
          <t>장군면</t>
        </is>
      </c>
    </row>
    <row r="8080">
      <c r="A8080" s="3" t="n">
        <v>2024</v>
      </c>
      <c r="B8080" s="4" t="n">
        <v>25785</v>
      </c>
      <c r="C8080" s="4" t="n">
        <v>465</v>
      </c>
      <c r="D8080" s="4" t="n">
        <v>140.6625</v>
      </c>
      <c r="E8080" s="5" t="n">
        <v>183.3</v>
      </c>
      <c r="F8080" s="3" t="inlineStr">
        <is>
          <t>장군면</t>
        </is>
      </c>
      <c r="G8080" s="3" t="inlineStr">
        <is>
          <t>금암리</t>
        </is>
      </c>
      <c r="H8080" s="3" t="inlineStr">
        <is>
          <t>보전관리지역</t>
        </is>
      </c>
      <c r="I8080" s="3" t="inlineStr">
        <is>
          <t>대</t>
        </is>
      </c>
      <c r="J8080" s="3" t="inlineStr">
        <is>
          <t>장군면</t>
        </is>
      </c>
    </row>
    <row r="8081">
      <c r="A8081" s="3" t="n">
        <v>2025</v>
      </c>
      <c r="B8081" s="4" t="n">
        <v>19600</v>
      </c>
      <c r="C8081" s="4" t="n">
        <v>2400</v>
      </c>
      <c r="D8081" s="4" t="n">
        <v>726</v>
      </c>
      <c r="E8081" s="5" t="n">
        <v>27</v>
      </c>
      <c r="F8081" s="3" t="inlineStr">
        <is>
          <t>전동면</t>
        </is>
      </c>
      <c r="G8081" s="3" t="inlineStr">
        <is>
          <t>미곡리</t>
        </is>
      </c>
      <c r="H8081" s="3" t="inlineStr">
        <is>
          <t>농림지역</t>
        </is>
      </c>
      <c r="I8081" s="3" t="inlineStr">
        <is>
          <t>답</t>
        </is>
      </c>
      <c r="J8081" s="3" t="inlineStr">
        <is>
          <t>전동면</t>
        </is>
      </c>
    </row>
    <row r="8082">
      <c r="A8082" s="3" t="n">
        <v>2025</v>
      </c>
      <c r="B8082" s="4" t="n">
        <v>11232</v>
      </c>
      <c r="C8082" s="4" t="n">
        <v>27</v>
      </c>
      <c r="D8082" s="4" t="n">
        <v>8.1675</v>
      </c>
      <c r="E8082" s="5" t="n">
        <v>1375.2</v>
      </c>
      <c r="F8082" s="3" t="inlineStr">
        <is>
          <t>금남면</t>
        </is>
      </c>
      <c r="G8082" s="3" t="inlineStr">
        <is>
          <t>용포리</t>
        </is>
      </c>
      <c r="H8082" s="3" t="inlineStr">
        <is>
          <t>일반상업지역</t>
        </is>
      </c>
      <c r="I8082" s="3" t="inlineStr">
        <is>
          <t>도로</t>
        </is>
      </c>
      <c r="J8082" s="3" t="inlineStr">
        <is>
          <t>금남면</t>
        </is>
      </c>
    </row>
    <row r="8083">
      <c r="A8083" s="3" t="n">
        <v>2025</v>
      </c>
      <c r="B8083" s="4" t="n">
        <v>1664</v>
      </c>
      <c r="C8083" s="4" t="n">
        <v>4</v>
      </c>
      <c r="D8083" s="4" t="n">
        <v>1.21</v>
      </c>
      <c r="E8083" s="5" t="n">
        <v>1375.2</v>
      </c>
      <c r="F8083" s="3" t="inlineStr">
        <is>
          <t>금남면</t>
        </is>
      </c>
      <c r="G8083" s="3" t="inlineStr">
        <is>
          <t>용포리</t>
        </is>
      </c>
      <c r="H8083" s="3" t="inlineStr">
        <is>
          <t>일반상업지역</t>
        </is>
      </c>
      <c r="I8083" s="3" t="inlineStr">
        <is>
          <t>도로</t>
        </is>
      </c>
      <c r="J8083" s="3" t="inlineStr">
        <is>
          <t>금남면</t>
        </is>
      </c>
    </row>
    <row r="8084">
      <c r="A8084" s="3" t="n">
        <v>2024</v>
      </c>
      <c r="B8084" s="4" t="n">
        <v>50</v>
      </c>
      <c r="C8084" s="4" t="n">
        <v>5</v>
      </c>
      <c r="D8084" s="4" t="n">
        <v>1.5125</v>
      </c>
      <c r="E8084" s="5" t="n">
        <v>33.1</v>
      </c>
      <c r="F8084" s="3" t="inlineStr">
        <is>
          <t>현도면</t>
        </is>
      </c>
      <c r="G8084" s="3" t="inlineStr">
        <is>
          <t>우록리</t>
        </is>
      </c>
      <c r="H8084" s="3" t="inlineStr">
        <is>
          <t>계획관리지역</t>
        </is>
      </c>
      <c r="I8084" s="3" t="inlineStr">
        <is>
          <t>대</t>
        </is>
      </c>
      <c r="J8084" s="3" t="inlineStr">
        <is>
          <t>현도면</t>
        </is>
      </c>
    </row>
    <row r="8085">
      <c r="A8085" s="3" t="n">
        <v>2024</v>
      </c>
      <c r="B8085" s="4" t="n">
        <v>200</v>
      </c>
      <c r="C8085" s="4" t="n">
        <v>20</v>
      </c>
      <c r="D8085" s="4" t="n">
        <v>6.05</v>
      </c>
      <c r="E8085" s="5" t="n">
        <v>33.1</v>
      </c>
      <c r="F8085" s="3" t="inlineStr">
        <is>
          <t>현도면</t>
        </is>
      </c>
      <c r="G8085" s="3" t="inlineStr">
        <is>
          <t>우록리</t>
        </is>
      </c>
      <c r="H8085" s="3" t="inlineStr">
        <is>
          <t>계획관리지역</t>
        </is>
      </c>
      <c r="I8085" s="3" t="inlineStr">
        <is>
          <t>대</t>
        </is>
      </c>
      <c r="J8085" s="3" t="inlineStr">
        <is>
          <t>현도면</t>
        </is>
      </c>
    </row>
    <row r="8086">
      <c r="A8086" s="3" t="n">
        <v>2024</v>
      </c>
      <c r="B8086" s="4" t="n">
        <v>150</v>
      </c>
      <c r="C8086" s="4" t="n">
        <v>15</v>
      </c>
      <c r="D8086" s="4" t="n">
        <v>4.5375</v>
      </c>
      <c r="E8086" s="5" t="n">
        <v>33.1</v>
      </c>
      <c r="F8086" s="3" t="inlineStr">
        <is>
          <t>현도면</t>
        </is>
      </c>
      <c r="G8086" s="3" t="inlineStr">
        <is>
          <t>우록리</t>
        </is>
      </c>
      <c r="H8086" s="3" t="inlineStr">
        <is>
          <t>계획관리지역</t>
        </is>
      </c>
      <c r="I8086" s="3" t="inlineStr">
        <is>
          <t>대</t>
        </is>
      </c>
      <c r="J8086" s="3" t="inlineStr">
        <is>
          <t>현도면</t>
        </is>
      </c>
    </row>
    <row r="8087">
      <c r="A8087" s="3" t="n">
        <v>2024</v>
      </c>
      <c r="B8087" s="4" t="n">
        <v>400</v>
      </c>
      <c r="C8087" s="4" t="n">
        <v>40</v>
      </c>
      <c r="D8087" s="4" t="n">
        <v>12.1</v>
      </c>
      <c r="E8087" s="5" t="n">
        <v>33.1</v>
      </c>
      <c r="F8087" s="3" t="inlineStr">
        <is>
          <t>현도면</t>
        </is>
      </c>
      <c r="G8087" s="3" t="inlineStr">
        <is>
          <t>우록리</t>
        </is>
      </c>
      <c r="H8087" s="3" t="inlineStr">
        <is>
          <t>계획관리지역</t>
        </is>
      </c>
      <c r="I8087" s="3" t="inlineStr">
        <is>
          <t>대</t>
        </is>
      </c>
      <c r="J8087" s="3" t="inlineStr">
        <is>
          <t>현도면</t>
        </is>
      </c>
    </row>
    <row r="8088">
      <c r="A8088" s="3" t="n">
        <v>2024</v>
      </c>
      <c r="B8088" s="4" t="n">
        <v>4375</v>
      </c>
      <c r="C8088" s="4" t="n">
        <v>578</v>
      </c>
      <c r="D8088" s="4" t="n">
        <v>174.845</v>
      </c>
      <c r="E8088" s="5" t="n">
        <v>25</v>
      </c>
      <c r="F8088" s="3" t="inlineStr">
        <is>
          <t>현도면</t>
        </is>
      </c>
      <c r="G8088" s="3" t="inlineStr">
        <is>
          <t>우록리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현도면</t>
        </is>
      </c>
    </row>
    <row r="8089">
      <c r="A8089" s="3" t="n">
        <v>2024</v>
      </c>
      <c r="B8089" s="4" t="n">
        <v>17340</v>
      </c>
      <c r="C8089" s="4" t="n">
        <v>6744</v>
      </c>
      <c r="D8089" s="4" t="n">
        <v>2040.06</v>
      </c>
      <c r="E8089" s="5" t="n">
        <v>8.5</v>
      </c>
      <c r="F8089" s="3" t="inlineStr">
        <is>
          <t>현도면</t>
        </is>
      </c>
      <c r="G8089" s="3" t="inlineStr">
        <is>
          <t>죽암리</t>
        </is>
      </c>
      <c r="H8089" s="3" t="inlineStr">
        <is>
          <t>농림지역</t>
        </is>
      </c>
      <c r="I8089" s="3" t="inlineStr">
        <is>
          <t>임야</t>
        </is>
      </c>
      <c r="J8089" s="3" t="inlineStr">
        <is>
          <t>현도면</t>
        </is>
      </c>
    </row>
    <row r="8090">
      <c r="A8090" s="3" t="n">
        <v>2024</v>
      </c>
      <c r="B8090" s="4" t="n">
        <v>13000</v>
      </c>
      <c r="C8090" s="4" t="n">
        <v>777</v>
      </c>
      <c r="D8090" s="4" t="n">
        <v>235.0425</v>
      </c>
      <c r="E8090" s="5" t="n">
        <v>55.3</v>
      </c>
      <c r="F8090" s="3" t="inlineStr">
        <is>
          <t>남이면</t>
        </is>
      </c>
      <c r="G8090" s="3" t="inlineStr">
        <is>
          <t>척산리</t>
        </is>
      </c>
      <c r="H8090" s="3" t="inlineStr">
        <is>
          <t>계획관리지역</t>
        </is>
      </c>
      <c r="I8090" s="3" t="inlineStr">
        <is>
          <t>전</t>
        </is>
      </c>
      <c r="J8090" s="3" t="inlineStr">
        <is>
          <t>남이면</t>
        </is>
      </c>
    </row>
    <row r="8091">
      <c r="A8091" s="3" t="n">
        <v>2024</v>
      </c>
      <c r="B8091" s="4" t="n">
        <v>5780</v>
      </c>
      <c r="C8091" s="4" t="n">
        <v>113</v>
      </c>
      <c r="D8091" s="4" t="n">
        <v>34.1825</v>
      </c>
      <c r="E8091" s="5" t="n">
        <v>169.1</v>
      </c>
      <c r="F8091" s="3" t="inlineStr">
        <is>
          <t>남이면</t>
        </is>
      </c>
      <c r="G8091" s="3" t="inlineStr">
        <is>
          <t>부용외천리</t>
        </is>
      </c>
      <c r="H8091" s="3" t="inlineStr">
        <is>
          <t>계획관리지역</t>
        </is>
      </c>
      <c r="I8091" s="3" t="inlineStr">
        <is>
          <t>도로</t>
        </is>
      </c>
      <c r="J8091" s="3" t="inlineStr">
        <is>
          <t>남이면</t>
        </is>
      </c>
    </row>
    <row r="8092">
      <c r="A8092" s="3" t="n">
        <v>2024</v>
      </c>
      <c r="B8092" s="4" t="n">
        <v>81430</v>
      </c>
      <c r="C8092" s="4" t="n">
        <v>1584</v>
      </c>
      <c r="D8092" s="4" t="n">
        <v>479.16</v>
      </c>
      <c r="E8092" s="5" t="n">
        <v>169.9</v>
      </c>
      <c r="F8092" s="3" t="inlineStr">
        <is>
          <t>남이면</t>
        </is>
      </c>
      <c r="G8092" s="3" t="inlineStr">
        <is>
          <t>부용외천리</t>
        </is>
      </c>
      <c r="H8092" s="3" t="inlineStr">
        <is>
          <t>계획관리지역</t>
        </is>
      </c>
      <c r="I8092" s="3" t="inlineStr">
        <is>
          <t>임야</t>
        </is>
      </c>
      <c r="J8092" s="3" t="inlineStr">
        <is>
          <t>남이면</t>
        </is>
      </c>
    </row>
    <row r="8093">
      <c r="A8093" s="3" t="n">
        <v>2024</v>
      </c>
      <c r="B8093" s="4" t="n">
        <v>44370</v>
      </c>
      <c r="C8093" s="4" t="n">
        <v>864</v>
      </c>
      <c r="D8093" s="4" t="n">
        <v>261.36</v>
      </c>
      <c r="E8093" s="5" t="n">
        <v>169.8</v>
      </c>
      <c r="F8093" s="3" t="inlineStr">
        <is>
          <t>남이면</t>
        </is>
      </c>
      <c r="G8093" s="3" t="inlineStr">
        <is>
          <t>부용외천리</t>
        </is>
      </c>
      <c r="H8093" s="3" t="inlineStr">
        <is>
          <t>계획관리지역</t>
        </is>
      </c>
      <c r="I8093" s="3" t="inlineStr">
        <is>
          <t>도로</t>
        </is>
      </c>
      <c r="J8093" s="3" t="inlineStr">
        <is>
          <t>남이면</t>
        </is>
      </c>
    </row>
    <row r="8094">
      <c r="A8094" s="3" t="n">
        <v>2024</v>
      </c>
      <c r="B8094" s="4" t="n">
        <v>38250</v>
      </c>
      <c r="C8094" s="4" t="n">
        <v>740</v>
      </c>
      <c r="D8094" s="4" t="n">
        <v>223.85</v>
      </c>
      <c r="E8094" s="5" t="n">
        <v>170.9</v>
      </c>
      <c r="F8094" s="3" t="inlineStr">
        <is>
          <t>남이면</t>
        </is>
      </c>
      <c r="G8094" s="3" t="inlineStr">
        <is>
          <t>부용외천리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2024</v>
      </c>
      <c r="B8095" s="4" t="n">
        <v>28000</v>
      </c>
      <c r="C8095" s="4" t="n">
        <v>2446</v>
      </c>
      <c r="D8095" s="4" t="n">
        <v>739.915</v>
      </c>
      <c r="E8095" s="5" t="n">
        <v>37.8</v>
      </c>
      <c r="F8095" s="3" t="inlineStr">
        <is>
          <t>현도면</t>
        </is>
      </c>
      <c r="G8095" s="3" t="inlineStr">
        <is>
          <t>상삼리</t>
        </is>
      </c>
      <c r="H8095" s="3" t="inlineStr">
        <is>
          <t>계획관리지역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2022</v>
      </c>
      <c r="B8096" s="4" t="n">
        <v>250000</v>
      </c>
      <c r="C8096" s="4" t="n">
        <v>3307</v>
      </c>
      <c r="D8096" s="4" t="n">
        <v>1000.3675</v>
      </c>
      <c r="E8096" s="5" t="n">
        <v>249.9</v>
      </c>
      <c r="F8096" s="3" t="inlineStr">
        <is>
          <t>오송읍</t>
        </is>
      </c>
      <c r="G8096" s="3" t="inlineStr">
        <is>
          <t>궁평리</t>
        </is>
      </c>
      <c r="H8096" s="3" t="inlineStr">
        <is>
          <t>농림지역</t>
        </is>
      </c>
      <c r="I8096" s="3" t="inlineStr">
        <is>
          <t>과수원</t>
        </is>
      </c>
      <c r="J8096" s="3" t="inlineStr">
        <is>
          <t>오송읍</t>
        </is>
      </c>
    </row>
    <row r="8097">
      <c r="A8097" s="3" t="n">
        <v>2024</v>
      </c>
      <c r="B8097" s="4" t="n">
        <v>12480</v>
      </c>
      <c r="C8097" s="4" t="n">
        <v>347</v>
      </c>
      <c r="D8097" s="4" t="n">
        <v>104.9675</v>
      </c>
      <c r="E8097" s="5" t="n">
        <v>118.9</v>
      </c>
      <c r="F8097" s="3" t="inlineStr">
        <is>
          <t>강내면</t>
        </is>
      </c>
      <c r="G8097" s="3" t="inlineStr">
        <is>
          <t>태성리</t>
        </is>
      </c>
      <c r="H8097" s="3" t="inlineStr">
        <is>
          <t>계획관리지역</t>
        </is>
      </c>
      <c r="I8097" s="3" t="inlineStr">
        <is>
          <t>대</t>
        </is>
      </c>
      <c r="J8097" s="3" t="inlineStr">
        <is>
          <t>강내면</t>
        </is>
      </c>
    </row>
    <row r="8098">
      <c r="A8098" s="3" t="n">
        <v>2026</v>
      </c>
      <c r="B8098" s="4" t="n">
        <v>8400</v>
      </c>
      <c r="C8098" s="4" t="n">
        <v>215</v>
      </c>
      <c r="D8098" s="4" t="n">
        <v>65.03749999999999</v>
      </c>
      <c r="E8098" s="5" t="n">
        <v>129.2</v>
      </c>
      <c r="F8098" s="3" t="inlineStr">
        <is>
          <t>오송읍</t>
        </is>
      </c>
      <c r="G8098" s="3" t="inlineStr">
        <is>
          <t>공북리</t>
        </is>
      </c>
      <c r="H8098" s="3" t="inlineStr">
        <is>
          <t>계획관리지역</t>
        </is>
      </c>
      <c r="I8098" s="3" t="inlineStr">
        <is>
          <t>대</t>
        </is>
      </c>
      <c r="J8098" s="3" t="inlineStr">
        <is>
          <t>오송읍</t>
        </is>
      </c>
    </row>
    <row r="8099">
      <c r="A8099" s="3" t="n">
        <v>2024</v>
      </c>
      <c r="B8099" s="4" t="n">
        <v>1417</v>
      </c>
      <c r="C8099" s="4" t="n">
        <v>134</v>
      </c>
      <c r="D8099" s="4" t="n">
        <v>40.535</v>
      </c>
      <c r="E8099" s="5" t="n">
        <v>35</v>
      </c>
      <c r="F8099" s="3" t="inlineStr">
        <is>
          <t>현도면</t>
        </is>
      </c>
      <c r="G8099" s="3" t="inlineStr">
        <is>
          <t>우록리</t>
        </is>
      </c>
      <c r="H8099" s="3" t="inlineStr">
        <is>
          <t>생산관리지역</t>
        </is>
      </c>
      <c r="I8099" s="3" t="inlineStr">
        <is>
          <t>답</t>
        </is>
      </c>
      <c r="J8099" s="3" t="inlineStr">
        <is>
          <t>현도면</t>
        </is>
      </c>
    </row>
    <row r="8100">
      <c r="A8100" s="3" t="n">
        <v>2024</v>
      </c>
      <c r="B8100" s="4" t="n">
        <v>5800</v>
      </c>
      <c r="C8100" s="4" t="n">
        <v>341</v>
      </c>
      <c r="D8100" s="4" t="n">
        <v>103.1525</v>
      </c>
      <c r="E8100" s="5" t="n">
        <v>56.2</v>
      </c>
      <c r="F8100" s="3" t="inlineStr">
        <is>
          <t>현도면</t>
        </is>
      </c>
      <c r="G8100" s="3" t="inlineStr">
        <is>
          <t>죽암리</t>
        </is>
      </c>
      <c r="H8100" s="3" t="inlineStr">
        <is>
          <t>생산관리지역</t>
        </is>
      </c>
      <c r="I8100" s="3" t="inlineStr">
        <is>
          <t>대</t>
        </is>
      </c>
      <c r="J8100" s="3" t="inlineStr">
        <is>
          <t>현도면</t>
        </is>
      </c>
    </row>
    <row r="8101">
      <c r="A8101" s="3" t="n">
        <v>2026</v>
      </c>
      <c r="B8101" s="4" t="n">
        <v>92000</v>
      </c>
      <c r="C8101" s="4" t="n">
        <v>580.4</v>
      </c>
      <c r="D8101" s="4" t="n">
        <v>175.571</v>
      </c>
      <c r="E8101" s="5" t="n">
        <v>524</v>
      </c>
      <c r="F8101" s="3" t="inlineStr">
        <is>
          <t>오송읍</t>
        </is>
      </c>
      <c r="G8101" s="3" t="inlineStr">
        <is>
          <t>정중리</t>
        </is>
      </c>
      <c r="H8101" s="3" t="inlineStr">
        <is>
          <t>준공업지역</t>
        </is>
      </c>
      <c r="I8101" s="3" t="inlineStr">
        <is>
          <t>대</t>
        </is>
      </c>
      <c r="J8101" s="3" t="inlineStr">
        <is>
          <t>오송읍</t>
        </is>
      </c>
    </row>
    <row r="8102">
      <c r="A8102" s="3" t="n">
        <v>2023</v>
      </c>
      <c r="B8102" s="4" t="n">
        <v>24060</v>
      </c>
      <c r="C8102" s="4" t="n">
        <v>2195</v>
      </c>
      <c r="D8102" s="4" t="n">
        <v>663.9875</v>
      </c>
      <c r="E8102" s="5" t="n">
        <v>36.2</v>
      </c>
      <c r="F8102" s="3" t="inlineStr">
        <is>
          <t>현도면</t>
        </is>
      </c>
      <c r="G8102" s="3" t="inlineStr">
        <is>
          <t>노산리</t>
        </is>
      </c>
      <c r="H8102" s="3" t="inlineStr">
        <is>
          <t>개발제한구역</t>
        </is>
      </c>
      <c r="I8102" s="3" t="inlineStr">
        <is>
          <t>답</t>
        </is>
      </c>
      <c r="J8102" s="3" t="inlineStr">
        <is>
          <t>현도면</t>
        </is>
      </c>
    </row>
    <row r="8103">
      <c r="A8103" s="3" t="n">
        <v>2023</v>
      </c>
      <c r="B8103" s="4" t="n">
        <v>2700</v>
      </c>
      <c r="C8103" s="4" t="n">
        <v>744</v>
      </c>
      <c r="D8103" s="4" t="n">
        <v>225.06</v>
      </c>
      <c r="E8103" s="5" t="n">
        <v>12</v>
      </c>
      <c r="F8103" s="3" t="inlineStr">
        <is>
          <t>남이면</t>
        </is>
      </c>
      <c r="G8103" s="3" t="inlineStr">
        <is>
          <t>부용외천리</t>
        </is>
      </c>
      <c r="H8103" s="3" t="inlineStr">
        <is>
          <t>보전관리지역</t>
        </is>
      </c>
      <c r="I8103" s="3" t="inlineStr">
        <is>
          <t>전</t>
        </is>
      </c>
      <c r="J8103" s="3" t="inlineStr">
        <is>
          <t>남이면</t>
        </is>
      </c>
    </row>
    <row r="8104">
      <c r="A8104" s="3" t="n">
        <v>2023</v>
      </c>
      <c r="B8104" s="4" t="n">
        <v>30200</v>
      </c>
      <c r="C8104" s="4" t="n">
        <v>1738</v>
      </c>
      <c r="D8104" s="4" t="n">
        <v>525.745</v>
      </c>
      <c r="E8104" s="5" t="n">
        <v>57.4</v>
      </c>
      <c r="F8104" s="3" t="inlineStr">
        <is>
          <t>현도면</t>
        </is>
      </c>
      <c r="G8104" s="3" t="inlineStr">
        <is>
          <t>우록리</t>
        </is>
      </c>
      <c r="H8104" s="3" t="inlineStr">
        <is>
          <t>생산관리지역</t>
        </is>
      </c>
      <c r="I8104" s="3" t="inlineStr">
        <is>
          <t>전</t>
        </is>
      </c>
      <c r="J8104" s="3" t="inlineStr">
        <is>
          <t>현도면</t>
        </is>
      </c>
    </row>
    <row r="8105">
      <c r="A8105" s="3" t="n">
        <v>2023</v>
      </c>
      <c r="B8105" s="4" t="n">
        <v>15000</v>
      </c>
      <c r="C8105" s="4" t="n">
        <v>993</v>
      </c>
      <c r="D8105" s="4" t="n">
        <v>300.3825</v>
      </c>
      <c r="E8105" s="5" t="n">
        <v>49.9</v>
      </c>
      <c r="F8105" s="3" t="inlineStr">
        <is>
          <t>현도면</t>
        </is>
      </c>
      <c r="G8105" s="3" t="inlineStr">
        <is>
          <t>우록리</t>
        </is>
      </c>
      <c r="H8105" s="3" t="inlineStr">
        <is>
          <t>생산관리지역</t>
        </is>
      </c>
      <c r="I8105" s="3" t="inlineStr">
        <is>
          <t>전</t>
        </is>
      </c>
      <c r="J8105" s="3" t="inlineStr">
        <is>
          <t>현도면</t>
        </is>
      </c>
    </row>
    <row r="8106">
      <c r="A8106" s="3" t="n">
        <v>2023</v>
      </c>
      <c r="B8106" s="4" t="n">
        <v>9200</v>
      </c>
      <c r="C8106" s="4" t="n">
        <v>597</v>
      </c>
      <c r="D8106" s="4" t="n">
        <v>180.5925</v>
      </c>
      <c r="E8106" s="5" t="n">
        <v>50.9</v>
      </c>
      <c r="F8106" s="3" t="inlineStr">
        <is>
          <t>현도면</t>
        </is>
      </c>
      <c r="G8106" s="3" t="inlineStr">
        <is>
          <t>우록리</t>
        </is>
      </c>
      <c r="H8106" s="3" t="inlineStr">
        <is>
          <t>생산관리지역</t>
        </is>
      </c>
      <c r="I8106" s="3" t="inlineStr">
        <is>
          <t>전</t>
        </is>
      </c>
      <c r="J8106" s="3" t="inlineStr">
        <is>
          <t>현도면</t>
        </is>
      </c>
    </row>
    <row r="8107">
      <c r="A8107" s="3" t="n">
        <v>2023</v>
      </c>
      <c r="B8107" s="4" t="n">
        <v>13300</v>
      </c>
      <c r="C8107" s="4" t="n">
        <v>879</v>
      </c>
      <c r="D8107" s="4" t="n">
        <v>265.8975</v>
      </c>
      <c r="E8107" s="5" t="n">
        <v>50</v>
      </c>
      <c r="F8107" s="3" t="inlineStr">
        <is>
          <t>현도면</t>
        </is>
      </c>
      <c r="G8107" s="3" t="inlineStr">
        <is>
          <t>우록리</t>
        </is>
      </c>
      <c r="H8107" s="3" t="inlineStr">
        <is>
          <t>생산관리지역</t>
        </is>
      </c>
      <c r="I8107" s="3" t="inlineStr">
        <is>
          <t>전</t>
        </is>
      </c>
      <c r="J8107" s="3" t="inlineStr">
        <is>
          <t>현도면</t>
        </is>
      </c>
    </row>
    <row r="8108">
      <c r="A8108" s="3" t="n">
        <v>2023</v>
      </c>
      <c r="B8108" s="4" t="n">
        <v>48000</v>
      </c>
      <c r="C8108" s="4" t="n">
        <v>9003</v>
      </c>
      <c r="D8108" s="4" t="n">
        <v>2723.4075</v>
      </c>
      <c r="E8108" s="5" t="n">
        <v>17.6</v>
      </c>
      <c r="F8108" s="3" t="inlineStr">
        <is>
          <t>현도면</t>
        </is>
      </c>
      <c r="G8108" s="3" t="inlineStr">
        <is>
          <t>우록리</t>
        </is>
      </c>
      <c r="H8108" s="3" t="inlineStr">
        <is>
          <t>생산관리지역</t>
        </is>
      </c>
      <c r="I8108" s="3" t="inlineStr">
        <is>
          <t>임야</t>
        </is>
      </c>
      <c r="J8108" s="3" t="inlineStr">
        <is>
          <t>현도면</t>
        </is>
      </c>
    </row>
    <row r="8109">
      <c r="A8109" s="3" t="n">
        <v>2023</v>
      </c>
      <c r="B8109" s="4" t="n">
        <v>10500</v>
      </c>
      <c r="C8109" s="4" t="n">
        <v>691</v>
      </c>
      <c r="D8109" s="4" t="n">
        <v>209.0275</v>
      </c>
      <c r="E8109" s="5" t="n">
        <v>50.2</v>
      </c>
      <c r="F8109" s="3" t="inlineStr">
        <is>
          <t>현도면</t>
        </is>
      </c>
      <c r="G8109" s="3" t="inlineStr">
        <is>
          <t>우록리</t>
        </is>
      </c>
      <c r="H8109" s="3" t="inlineStr">
        <is>
          <t>생산관리지역</t>
        </is>
      </c>
      <c r="I8109" s="3" t="inlineStr">
        <is>
          <t>답</t>
        </is>
      </c>
      <c r="J8109" s="3" t="inlineStr">
        <is>
          <t>현도면</t>
        </is>
      </c>
    </row>
    <row r="8110">
      <c r="A8110" s="3" t="n">
        <v>2023</v>
      </c>
      <c r="B8110" s="4" t="n">
        <v>3800</v>
      </c>
      <c r="C8110" s="4" t="n">
        <v>448</v>
      </c>
      <c r="D8110" s="4" t="n">
        <v>135.52</v>
      </c>
      <c r="E8110" s="5" t="n">
        <v>28</v>
      </c>
      <c r="F8110" s="3" t="inlineStr">
        <is>
          <t>현도면</t>
        </is>
      </c>
      <c r="G8110" s="3" t="inlineStr">
        <is>
          <t>우록리</t>
        </is>
      </c>
      <c r="H8110" s="3" t="inlineStr">
        <is>
          <t>생산관리지역</t>
        </is>
      </c>
      <c r="I8110" s="3" t="inlineStr">
        <is>
          <t>전</t>
        </is>
      </c>
      <c r="J8110" s="3" t="inlineStr">
        <is>
          <t>현도면</t>
        </is>
      </c>
    </row>
    <row r="8111">
      <c r="A8111" s="3" t="n">
        <v>2023</v>
      </c>
      <c r="B8111" s="4" t="n">
        <v>38259</v>
      </c>
      <c r="C8111" s="4" t="n">
        <v>973</v>
      </c>
      <c r="D8111" s="4" t="n">
        <v>294.3325</v>
      </c>
      <c r="E8111" s="5" t="n">
        <v>130</v>
      </c>
      <c r="F8111" s="3" t="inlineStr">
        <is>
          <t>남이면</t>
        </is>
      </c>
      <c r="G8111" s="3" t="inlineStr">
        <is>
          <t>척산리</t>
        </is>
      </c>
      <c r="H8111" s="3" t="inlineStr">
        <is>
          <t>계획관리지역</t>
        </is>
      </c>
      <c r="I8111" s="3" t="inlineStr">
        <is>
          <t>답</t>
        </is>
      </c>
      <c r="J8111" s="3" t="inlineStr">
        <is>
          <t>남이면</t>
        </is>
      </c>
    </row>
    <row r="8112">
      <c r="A8112" s="3" t="n">
        <v>2023</v>
      </c>
      <c r="B8112" s="4" t="n">
        <v>30041</v>
      </c>
      <c r="C8112" s="4" t="n">
        <v>764</v>
      </c>
      <c r="D8112" s="4" t="n">
        <v>231.11</v>
      </c>
      <c r="E8112" s="5" t="n">
        <v>130</v>
      </c>
      <c r="F8112" s="3" t="inlineStr">
        <is>
          <t>남이면</t>
        </is>
      </c>
      <c r="G8112" s="3" t="inlineStr">
        <is>
          <t>척산리</t>
        </is>
      </c>
      <c r="H8112" s="3" t="inlineStr">
        <is>
          <t>계획관리지역</t>
        </is>
      </c>
      <c r="I8112" s="3" t="inlineStr">
        <is>
          <t>답</t>
        </is>
      </c>
      <c r="J8112" s="3" t="inlineStr">
        <is>
          <t>남이면</t>
        </is>
      </c>
    </row>
    <row r="8113">
      <c r="A8113" s="3" t="n">
        <v>2023</v>
      </c>
      <c r="B8113" s="4" t="n">
        <v>14460</v>
      </c>
      <c r="C8113" s="4" t="n">
        <v>1496</v>
      </c>
      <c r="D8113" s="4" t="n">
        <v>452.54</v>
      </c>
      <c r="E8113" s="5" t="n">
        <v>32</v>
      </c>
      <c r="F8113" s="3" t="inlineStr">
        <is>
          <t>현도면</t>
        </is>
      </c>
      <c r="G8113" s="3" t="inlineStr">
        <is>
          <t>시목리</t>
        </is>
      </c>
      <c r="H8113" s="3" t="inlineStr">
        <is>
          <t>생산관리지역</t>
        </is>
      </c>
      <c r="I8113" s="3" t="inlineStr">
        <is>
          <t>전</t>
        </is>
      </c>
      <c r="J8113" s="3" t="inlineStr">
        <is>
          <t>현도면</t>
        </is>
      </c>
    </row>
    <row r="8114">
      <c r="A8114" s="3" t="n">
        <v>2023</v>
      </c>
      <c r="B8114" s="4" t="n">
        <v>10000</v>
      </c>
      <c r="C8114" s="4" t="n">
        <v>3002</v>
      </c>
      <c r="D8114" s="4" t="n">
        <v>908.105</v>
      </c>
      <c r="E8114" s="5" t="n">
        <v>11</v>
      </c>
      <c r="F8114" s="3" t="inlineStr">
        <is>
          <t>현도면</t>
        </is>
      </c>
      <c r="G8114" s="3" t="inlineStr">
        <is>
          <t>중척리</t>
        </is>
      </c>
      <c r="H8114" s="3" t="inlineStr">
        <is>
          <t>개발제한구역</t>
        </is>
      </c>
      <c r="I8114" s="3" t="inlineStr">
        <is>
          <t>전</t>
        </is>
      </c>
      <c r="J8114" s="3" t="inlineStr">
        <is>
          <t>현도면</t>
        </is>
      </c>
    </row>
    <row r="8115">
      <c r="A8115" s="3" t="n">
        <v>2023</v>
      </c>
      <c r="B8115" s="4" t="n">
        <v>7576</v>
      </c>
      <c r="C8115" s="4" t="n">
        <v>236</v>
      </c>
      <c r="D8115" s="4" t="n">
        <v>71.39</v>
      </c>
      <c r="E8115" s="5" t="n">
        <v>106.1</v>
      </c>
      <c r="F8115" s="3" t="inlineStr">
        <is>
          <t>남이면</t>
        </is>
      </c>
      <c r="G8115" s="3" t="inlineStr">
        <is>
          <t>가좌리</t>
        </is>
      </c>
      <c r="H8115" s="3" t="inlineStr">
        <is>
          <t>자연녹지지역</t>
        </is>
      </c>
      <c r="I8115" s="3" t="inlineStr">
        <is>
          <t>전</t>
        </is>
      </c>
      <c r="J8115" s="3" t="inlineStr">
        <is>
          <t>남이면</t>
        </is>
      </c>
    </row>
    <row r="8116">
      <c r="A8116" s="3" t="n">
        <v>2023</v>
      </c>
      <c r="B8116" s="4" t="n">
        <v>1000</v>
      </c>
      <c r="C8116" s="4" t="n">
        <v>69</v>
      </c>
      <c r="D8116" s="4" t="n">
        <v>20.8725</v>
      </c>
      <c r="E8116" s="5" t="n">
        <v>47.9</v>
      </c>
      <c r="F8116" s="3" t="inlineStr">
        <is>
          <t>현도면</t>
        </is>
      </c>
      <c r="G8116" s="3" t="inlineStr">
        <is>
          <t>죽전리</t>
        </is>
      </c>
      <c r="H8116" s="3" t="inlineStr">
        <is>
          <t>계획관리지역</t>
        </is>
      </c>
      <c r="I8116" s="3" t="inlineStr">
        <is>
          <t>전</t>
        </is>
      </c>
      <c r="J8116" s="3" t="inlineStr">
        <is>
          <t>현도면</t>
        </is>
      </c>
    </row>
    <row r="8117">
      <c r="A8117" s="3" t="n">
        <v>2023</v>
      </c>
      <c r="B8117" s="4" t="n">
        <v>12000</v>
      </c>
      <c r="C8117" s="4" t="n">
        <v>42446</v>
      </c>
      <c r="D8117" s="4" t="n">
        <v>12839.915</v>
      </c>
      <c r="E8117" s="5" t="n">
        <v>0.9</v>
      </c>
      <c r="F8117" s="3" t="inlineStr">
        <is>
          <t>남이면</t>
        </is>
      </c>
      <c r="G8117" s="3" t="inlineStr">
        <is>
          <t>외천리</t>
        </is>
      </c>
      <c r="H8117" s="3" t="inlineStr">
        <is>
          <t>농림지역</t>
        </is>
      </c>
      <c r="I8117" s="3" t="inlineStr">
        <is>
          <t>임야</t>
        </is>
      </c>
      <c r="J8117" s="3" t="inlineStr">
        <is>
          <t>남이면</t>
        </is>
      </c>
    </row>
    <row r="8118">
      <c r="A8118" s="3" t="n">
        <v>2023</v>
      </c>
      <c r="B8118" s="4" t="n">
        <v>1000</v>
      </c>
      <c r="C8118" s="4" t="n">
        <v>69</v>
      </c>
      <c r="D8118" s="4" t="n">
        <v>20.8725</v>
      </c>
      <c r="E8118" s="5" t="n">
        <v>47.9</v>
      </c>
      <c r="F8118" s="3" t="inlineStr">
        <is>
          <t>현도면</t>
        </is>
      </c>
      <c r="G8118" s="3" t="inlineStr">
        <is>
          <t>죽전리</t>
        </is>
      </c>
      <c r="H8118" s="3" t="inlineStr">
        <is>
          <t>계획관리지역</t>
        </is>
      </c>
      <c r="I8118" s="3" t="inlineStr">
        <is>
          <t>전</t>
        </is>
      </c>
      <c r="J8118" s="3" t="inlineStr">
        <is>
          <t>현도면</t>
        </is>
      </c>
    </row>
    <row r="8119">
      <c r="A8119" s="3" t="n">
        <v>2023</v>
      </c>
      <c r="B8119" s="4" t="n">
        <v>60000</v>
      </c>
      <c r="C8119" s="4" t="n">
        <v>1679</v>
      </c>
      <c r="D8119" s="4" t="n">
        <v>507.8975</v>
      </c>
      <c r="E8119" s="5" t="n">
        <v>118.1</v>
      </c>
      <c r="F8119" s="3" t="inlineStr">
        <is>
          <t>남이면</t>
        </is>
      </c>
      <c r="G8119" s="3" t="inlineStr">
        <is>
          <t>가좌리</t>
        </is>
      </c>
      <c r="H8119" s="3" t="inlineStr">
        <is>
          <t>자연녹지지역</t>
        </is>
      </c>
      <c r="I8119" s="3" t="inlineStr">
        <is>
          <t>전</t>
        </is>
      </c>
      <c r="J8119" s="3" t="inlineStr">
        <is>
          <t>남이면</t>
        </is>
      </c>
    </row>
    <row r="8120">
      <c r="A8120" s="3" t="n">
        <v>2023</v>
      </c>
      <c r="B8120" s="4" t="n">
        <v>3500</v>
      </c>
      <c r="C8120" s="4" t="n">
        <v>302</v>
      </c>
      <c r="D8120" s="4" t="n">
        <v>91.355</v>
      </c>
      <c r="E8120" s="5" t="n">
        <v>38.3</v>
      </c>
      <c r="F8120" s="3" t="inlineStr">
        <is>
          <t>남이면</t>
        </is>
      </c>
      <c r="G8120" s="3" t="inlineStr">
        <is>
          <t>가좌리</t>
        </is>
      </c>
      <c r="H8120" s="3" t="inlineStr">
        <is>
          <t>자연녹지지역</t>
        </is>
      </c>
      <c r="I8120" s="3" t="inlineStr">
        <is>
          <t>전</t>
        </is>
      </c>
      <c r="J8120" s="3" t="inlineStr">
        <is>
          <t>남이면</t>
        </is>
      </c>
    </row>
    <row r="8121">
      <c r="A8121" s="3" t="n">
        <v>2023</v>
      </c>
      <c r="B8121" s="4" t="n">
        <v>23800</v>
      </c>
      <c r="C8121" s="4" t="n">
        <v>2073</v>
      </c>
      <c r="D8121" s="4" t="n">
        <v>627.0825</v>
      </c>
      <c r="E8121" s="5" t="n">
        <v>38</v>
      </c>
      <c r="F8121" s="3" t="inlineStr">
        <is>
          <t>남이면</t>
        </is>
      </c>
      <c r="G8121" s="3" t="inlineStr">
        <is>
          <t>척산리</t>
        </is>
      </c>
      <c r="H8121" s="3" t="inlineStr">
        <is>
          <t>자연녹지지역</t>
        </is>
      </c>
      <c r="I8121" s="3" t="inlineStr">
        <is>
          <t>답</t>
        </is>
      </c>
      <c r="J8121" s="3" t="inlineStr">
        <is>
          <t>남이면</t>
        </is>
      </c>
    </row>
    <row r="8122">
      <c r="A8122" s="3" t="n">
        <v>2023</v>
      </c>
      <c r="B8122" s="4" t="n">
        <v>72387</v>
      </c>
      <c r="C8122" s="4" t="n">
        <v>4794</v>
      </c>
      <c r="D8122" s="4" t="n">
        <v>1450.185</v>
      </c>
      <c r="E8122" s="5" t="n">
        <v>49.9</v>
      </c>
      <c r="F8122" s="3" t="inlineStr">
        <is>
          <t>현도면</t>
        </is>
      </c>
      <c r="G8122" s="3" t="inlineStr">
        <is>
          <t>죽암리</t>
        </is>
      </c>
      <c r="H8122" s="3" t="inlineStr">
        <is>
          <t>보전관리지역</t>
        </is>
      </c>
      <c r="I8122" s="3" t="inlineStr">
        <is>
          <t>임야</t>
        </is>
      </c>
      <c r="J8122" s="3" t="inlineStr">
        <is>
          <t>현도면</t>
        </is>
      </c>
    </row>
    <row r="8123">
      <c r="A8123" s="3" t="n">
        <v>2023</v>
      </c>
      <c r="B8123" s="4" t="n">
        <v>713</v>
      </c>
      <c r="C8123" s="4" t="n">
        <v>48</v>
      </c>
      <c r="D8123" s="4" t="n">
        <v>14.52</v>
      </c>
      <c r="E8123" s="5" t="n">
        <v>49.1</v>
      </c>
      <c r="F8123" s="3" t="inlineStr">
        <is>
          <t>현도면</t>
        </is>
      </c>
      <c r="G8123" s="3" t="inlineStr">
        <is>
          <t>죽암리</t>
        </is>
      </c>
      <c r="H8123" s="3" t="inlineStr">
        <is>
          <t>보전관리지역</t>
        </is>
      </c>
      <c r="I8123" s="3" t="inlineStr">
        <is>
          <t>임야</t>
        </is>
      </c>
      <c r="J8123" s="3" t="inlineStr">
        <is>
          <t>현도면</t>
        </is>
      </c>
    </row>
    <row r="8124">
      <c r="A8124" s="3" t="n">
        <v>2023</v>
      </c>
      <c r="B8124" s="4" t="n">
        <v>1900</v>
      </c>
      <c r="C8124" s="4" t="n">
        <v>125</v>
      </c>
      <c r="D8124" s="4" t="n">
        <v>37.8125</v>
      </c>
      <c r="E8124" s="5" t="n">
        <v>50.2</v>
      </c>
      <c r="F8124" s="3" t="inlineStr">
        <is>
          <t>현도면</t>
        </is>
      </c>
      <c r="G8124" s="3" t="inlineStr">
        <is>
          <t>죽암리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현도면</t>
        </is>
      </c>
    </row>
    <row r="8125">
      <c r="A8125" s="3" t="n">
        <v>2023</v>
      </c>
      <c r="B8125" s="4" t="n">
        <v>3000</v>
      </c>
      <c r="C8125" s="4" t="n">
        <v>139</v>
      </c>
      <c r="D8125" s="4" t="n">
        <v>42.0475</v>
      </c>
      <c r="E8125" s="5" t="n">
        <v>71.3</v>
      </c>
      <c r="F8125" s="3" t="inlineStr">
        <is>
          <t>현도면</t>
        </is>
      </c>
      <c r="G8125" s="3" t="inlineStr">
        <is>
          <t>죽암리</t>
        </is>
      </c>
      <c r="H8125" s="3" t="inlineStr">
        <is>
          <t>계획관리지역</t>
        </is>
      </c>
      <c r="I8125" s="3" t="inlineStr">
        <is>
          <t>대</t>
        </is>
      </c>
      <c r="J8125" s="3" t="inlineStr">
        <is>
          <t>현도면</t>
        </is>
      </c>
    </row>
    <row r="8126">
      <c r="A8126" s="3" t="n">
        <v>2023</v>
      </c>
      <c r="B8126" s="4" t="n">
        <v>1762</v>
      </c>
      <c r="C8126" s="4" t="n">
        <v>135</v>
      </c>
      <c r="D8126" s="4" t="n">
        <v>40.8375</v>
      </c>
      <c r="E8126" s="5" t="n">
        <v>43.1</v>
      </c>
      <c r="F8126" s="3" t="inlineStr">
        <is>
          <t>남이면</t>
        </is>
      </c>
      <c r="G8126" s="3" t="inlineStr">
        <is>
          <t>문동리</t>
        </is>
      </c>
      <c r="H8126" s="3" t="inlineStr">
        <is>
          <t>자연환경보전</t>
        </is>
      </c>
      <c r="I8126" s="3" t="inlineStr">
        <is>
          <t>대</t>
        </is>
      </c>
      <c r="J8126" s="3" t="inlineStr">
        <is>
          <t>남이면</t>
        </is>
      </c>
    </row>
    <row r="8127">
      <c r="A8127" s="3" t="n">
        <v>2023</v>
      </c>
      <c r="B8127" s="4" t="n">
        <v>30000</v>
      </c>
      <c r="C8127" s="4" t="n">
        <v>7428</v>
      </c>
      <c r="D8127" s="4" t="n">
        <v>2246.97</v>
      </c>
      <c r="E8127" s="5" t="n">
        <v>13.4</v>
      </c>
      <c r="F8127" s="3" t="inlineStr">
        <is>
          <t>연기면</t>
        </is>
      </c>
      <c r="G8127" s="3" t="inlineStr">
        <is>
          <t>연기리</t>
        </is>
      </c>
      <c r="H8127" s="3" t="inlineStr">
        <is>
          <t>계획관리지역</t>
        </is>
      </c>
      <c r="I8127" s="3" t="inlineStr">
        <is>
          <t>임야</t>
        </is>
      </c>
      <c r="J8127" s="3" t="inlineStr">
        <is>
          <t>연기면</t>
        </is>
      </c>
    </row>
    <row r="8128">
      <c r="A8128" s="3" t="n">
        <v>2023</v>
      </c>
      <c r="B8128" s="4" t="n">
        <v>90000</v>
      </c>
      <c r="C8128" s="4" t="n">
        <v>1650</v>
      </c>
      <c r="D8128" s="4" t="n">
        <v>499.125</v>
      </c>
      <c r="E8128" s="5" t="n">
        <v>180.3</v>
      </c>
      <c r="F8128" s="3" t="inlineStr">
        <is>
          <t>연기면</t>
        </is>
      </c>
      <c r="G8128" s="3" t="inlineStr">
        <is>
          <t>연기리</t>
        </is>
      </c>
      <c r="H8128" s="3" t="inlineStr">
        <is>
          <t>제1종일반주거지역</t>
        </is>
      </c>
      <c r="I8128" s="3" t="inlineStr">
        <is>
          <t>임야</t>
        </is>
      </c>
      <c r="J8128" s="3" t="inlineStr">
        <is>
          <t>연기면</t>
        </is>
      </c>
    </row>
    <row r="8129">
      <c r="A8129" s="3" t="n">
        <v>2023</v>
      </c>
      <c r="B8129" s="4" t="n">
        <v>220000</v>
      </c>
      <c r="C8129" s="4" t="n">
        <v>5440</v>
      </c>
      <c r="D8129" s="4" t="n">
        <v>1645.6</v>
      </c>
      <c r="E8129" s="5" t="n">
        <v>133.7</v>
      </c>
      <c r="F8129" s="3" t="inlineStr">
        <is>
          <t>연기면</t>
        </is>
      </c>
      <c r="G8129" s="3" t="inlineStr">
        <is>
          <t>연기리</t>
        </is>
      </c>
      <c r="H8129" s="3" t="inlineStr">
        <is>
          <t>제1종일반주거지역</t>
        </is>
      </c>
      <c r="I8129" s="3" t="inlineStr">
        <is>
          <t>임야</t>
        </is>
      </c>
      <c r="J8129" s="3" t="inlineStr">
        <is>
          <t>연기면</t>
        </is>
      </c>
    </row>
    <row r="8130">
      <c r="A8130" s="3" t="n">
        <v>2023</v>
      </c>
      <c r="B8130" s="4" t="n">
        <v>60000</v>
      </c>
      <c r="C8130" s="4" t="n">
        <v>1653</v>
      </c>
      <c r="D8130" s="4" t="n">
        <v>500.0325</v>
      </c>
      <c r="E8130" s="5" t="n">
        <v>120</v>
      </c>
      <c r="F8130" s="3" t="inlineStr">
        <is>
          <t>연기면</t>
        </is>
      </c>
      <c r="G8130" s="3" t="inlineStr">
        <is>
          <t>연기리</t>
        </is>
      </c>
      <c r="H8130" s="3" t="inlineStr">
        <is>
          <t>제1종일반주거지역</t>
        </is>
      </c>
      <c r="I8130" s="3" t="inlineStr">
        <is>
          <t>임야</t>
        </is>
      </c>
      <c r="J8130" s="3" t="inlineStr">
        <is>
          <t>연기면</t>
        </is>
      </c>
    </row>
    <row r="8131">
      <c r="A8131" s="3" t="n">
        <v>2023</v>
      </c>
      <c r="B8131" s="4" t="n">
        <v>12000</v>
      </c>
      <c r="C8131" s="4" t="n">
        <v>653</v>
      </c>
      <c r="D8131" s="4" t="n">
        <v>197.5325</v>
      </c>
      <c r="E8131" s="5" t="n">
        <v>60.7</v>
      </c>
      <c r="F8131" s="3" t="inlineStr">
        <is>
          <t>전의면</t>
        </is>
      </c>
      <c r="G8131" s="3" t="inlineStr">
        <is>
          <t>달전리</t>
        </is>
      </c>
      <c r="H8131" s="3" t="inlineStr">
        <is>
          <t>계획관리지역</t>
        </is>
      </c>
      <c r="I8131" s="3" t="inlineStr">
        <is>
          <t>전</t>
        </is>
      </c>
      <c r="J8131" s="3" t="inlineStr">
        <is>
          <t>전의면</t>
        </is>
      </c>
    </row>
    <row r="8132">
      <c r="A8132" s="3" t="n">
        <v>2023</v>
      </c>
      <c r="B8132" s="4" t="n">
        <v>53000</v>
      </c>
      <c r="C8132" s="4" t="n">
        <v>337.9</v>
      </c>
      <c r="D8132" s="4" t="n">
        <v>102.21475</v>
      </c>
      <c r="E8132" s="5" t="n">
        <v>518.5</v>
      </c>
      <c r="F8132" s="3" t="inlineStr">
        <is>
          <t>아름동</t>
        </is>
      </c>
      <c r="G8132" s="3" t="inlineStr"/>
      <c r="H8132" s="3" t="inlineStr">
        <is>
          <t>제1종전용주거지역</t>
        </is>
      </c>
      <c r="I8132" s="3" t="inlineStr">
        <is>
          <t>대</t>
        </is>
      </c>
      <c r="J8132" s="3" t="inlineStr">
        <is>
          <t>아름동</t>
        </is>
      </c>
    </row>
    <row r="8133">
      <c r="A8133" s="3" t="n">
        <v>2023</v>
      </c>
      <c r="B8133" s="4" t="n">
        <v>100000</v>
      </c>
      <c r="C8133" s="4" t="n">
        <v>11901</v>
      </c>
      <c r="D8133" s="4" t="n">
        <v>3600.0525</v>
      </c>
      <c r="E8133" s="5" t="n">
        <v>27.8</v>
      </c>
      <c r="F8133" s="3" t="inlineStr">
        <is>
          <t>연서면</t>
        </is>
      </c>
      <c r="G8133" s="3" t="inlineStr">
        <is>
          <t>와촌리</t>
        </is>
      </c>
      <c r="H8133" s="3" t="inlineStr">
        <is>
          <t>농림지역</t>
        </is>
      </c>
      <c r="I8133" s="3" t="inlineStr">
        <is>
          <t>임야</t>
        </is>
      </c>
      <c r="J8133" s="3" t="inlineStr">
        <is>
          <t>연서면</t>
        </is>
      </c>
    </row>
    <row r="8134">
      <c r="A8134" s="3" t="n">
        <v>2023</v>
      </c>
      <c r="B8134" s="4" t="n">
        <v>20335</v>
      </c>
      <c r="C8134" s="4" t="n">
        <v>404</v>
      </c>
      <c r="D8134" s="4" t="n">
        <v>122.21</v>
      </c>
      <c r="E8134" s="5" t="n">
        <v>166.4</v>
      </c>
      <c r="F8134" s="3" t="inlineStr">
        <is>
          <t>연기면</t>
        </is>
      </c>
      <c r="G8134" s="3" t="inlineStr">
        <is>
          <t>수산리</t>
        </is>
      </c>
      <c r="H8134" s="3" t="inlineStr">
        <is>
          <t>보전관리지역</t>
        </is>
      </c>
      <c r="I8134" s="3" t="inlineStr">
        <is>
          <t>임야</t>
        </is>
      </c>
      <c r="J8134" s="3" t="inlineStr">
        <is>
          <t>연기면</t>
        </is>
      </c>
    </row>
    <row r="8135">
      <c r="A8135" s="3" t="n">
        <v>2023</v>
      </c>
      <c r="B8135" s="4" t="n">
        <v>24219</v>
      </c>
      <c r="C8135" s="4" t="n">
        <v>349</v>
      </c>
      <c r="D8135" s="4" t="n">
        <v>105.5725</v>
      </c>
      <c r="E8135" s="5" t="n">
        <v>229.4</v>
      </c>
      <c r="F8135" s="3" t="inlineStr">
        <is>
          <t>전의면</t>
        </is>
      </c>
      <c r="G8135" s="3" t="inlineStr">
        <is>
          <t>달전리</t>
        </is>
      </c>
      <c r="H8135" s="3" t="inlineStr">
        <is>
          <t>보전관리지역</t>
        </is>
      </c>
      <c r="I8135" s="3" t="inlineStr">
        <is>
          <t>답</t>
        </is>
      </c>
      <c r="J8135" s="3" t="inlineStr">
        <is>
          <t>전의면</t>
        </is>
      </c>
    </row>
    <row r="8136">
      <c r="A8136" s="3" t="n">
        <v>2023</v>
      </c>
      <c r="B8136" s="4" t="n">
        <v>70700</v>
      </c>
      <c r="C8136" s="4" t="n">
        <v>2336</v>
      </c>
      <c r="D8136" s="4" t="n">
        <v>706.64</v>
      </c>
      <c r="E8136" s="5" t="n">
        <v>100.1</v>
      </c>
      <c r="F8136" s="3" t="inlineStr">
        <is>
          <t>장군면</t>
        </is>
      </c>
      <c r="G8136" s="3" t="inlineStr">
        <is>
          <t>봉안리</t>
        </is>
      </c>
      <c r="H8136" s="3" t="inlineStr">
        <is>
          <t>제1종일반주거지역</t>
        </is>
      </c>
      <c r="I8136" s="3" t="inlineStr">
        <is>
          <t>임야</t>
        </is>
      </c>
      <c r="J8136" s="3" t="inlineStr">
        <is>
          <t>장군면</t>
        </is>
      </c>
    </row>
    <row r="8137">
      <c r="A8137" s="3" t="n">
        <v>2023</v>
      </c>
      <c r="B8137" s="4" t="n">
        <v>25050</v>
      </c>
      <c r="C8137" s="4" t="n">
        <v>1653</v>
      </c>
      <c r="D8137" s="4" t="n">
        <v>500.0325</v>
      </c>
      <c r="E8137" s="5" t="n">
        <v>50.1</v>
      </c>
      <c r="F8137" s="3" t="inlineStr">
        <is>
          <t>연기면</t>
        </is>
      </c>
      <c r="G8137" s="3" t="inlineStr">
        <is>
          <t>수산리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연기면</t>
        </is>
      </c>
    </row>
    <row r="8138">
      <c r="A8138" s="3" t="n">
        <v>2023</v>
      </c>
      <c r="B8138" s="4" t="n">
        <v>4148</v>
      </c>
      <c r="C8138" s="4" t="n">
        <v>202</v>
      </c>
      <c r="D8138" s="4" t="n">
        <v>61.105</v>
      </c>
      <c r="E8138" s="5" t="n">
        <v>67.90000000000001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제1종일반주거지역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2023</v>
      </c>
      <c r="B8139" s="4" t="n">
        <v>26452</v>
      </c>
      <c r="C8139" s="4" t="n">
        <v>1286</v>
      </c>
      <c r="D8139" s="4" t="n">
        <v>389.015</v>
      </c>
      <c r="E8139" s="5" t="n">
        <v>68</v>
      </c>
      <c r="F8139" s="3" t="inlineStr">
        <is>
          <t>금남면</t>
        </is>
      </c>
      <c r="G8139" s="3" t="inlineStr">
        <is>
          <t>용담리</t>
        </is>
      </c>
      <c r="H8139" s="3" t="inlineStr">
        <is>
          <t>개발제한구역</t>
        </is>
      </c>
      <c r="I8139" s="3" t="inlineStr">
        <is>
          <t>답</t>
        </is>
      </c>
      <c r="J8139" s="3" t="inlineStr">
        <is>
          <t>금남면</t>
        </is>
      </c>
    </row>
    <row r="8140">
      <c r="A8140" s="3" t="n">
        <v>2023</v>
      </c>
      <c r="B8140" s="4" t="n">
        <v>3090</v>
      </c>
      <c r="C8140" s="4" t="n">
        <v>340</v>
      </c>
      <c r="D8140" s="4" t="n">
        <v>102.85</v>
      </c>
      <c r="E8140" s="5" t="n">
        <v>30</v>
      </c>
      <c r="F8140" s="3" t="inlineStr">
        <is>
          <t>전동면</t>
        </is>
      </c>
      <c r="G8140" s="3" t="inlineStr">
        <is>
          <t>청송리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전동면</t>
        </is>
      </c>
    </row>
    <row r="8141">
      <c r="A8141" s="3" t="n">
        <v>2023</v>
      </c>
      <c r="B8141" s="4" t="n">
        <v>1560</v>
      </c>
      <c r="C8141" s="4" t="n">
        <v>171</v>
      </c>
      <c r="D8141" s="4" t="n">
        <v>51.7275</v>
      </c>
      <c r="E8141" s="5" t="n">
        <v>30.2</v>
      </c>
      <c r="F8141" s="3" t="inlineStr">
        <is>
          <t>전동면</t>
        </is>
      </c>
      <c r="G8141" s="3" t="inlineStr">
        <is>
          <t>청송리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전동면</t>
        </is>
      </c>
    </row>
    <row r="8142">
      <c r="A8142" s="3" t="n">
        <v>2023</v>
      </c>
      <c r="B8142" s="4" t="n">
        <v>125000</v>
      </c>
      <c r="C8142" s="4" t="n">
        <v>5153</v>
      </c>
      <c r="D8142" s="4" t="n">
        <v>1558.7825</v>
      </c>
      <c r="E8142" s="5" t="n">
        <v>80.2</v>
      </c>
      <c r="F8142" s="3" t="inlineStr">
        <is>
          <t>장군면</t>
        </is>
      </c>
      <c r="G8142" s="3" t="inlineStr">
        <is>
          <t>봉안리</t>
        </is>
      </c>
      <c r="H8142" s="3" t="inlineStr">
        <is>
          <t>생산관리지역</t>
        </is>
      </c>
      <c r="I8142" s="3" t="inlineStr">
        <is>
          <t>임야</t>
        </is>
      </c>
      <c r="J8142" s="3" t="inlineStr">
        <is>
          <t>장군면</t>
        </is>
      </c>
    </row>
    <row r="8143">
      <c r="A8143" s="3" t="n">
        <v>2023</v>
      </c>
      <c r="B8143" s="4" t="n">
        <v>3000</v>
      </c>
      <c r="C8143" s="4" t="n">
        <v>290</v>
      </c>
      <c r="D8143" s="4" t="n">
        <v>87.72499999999999</v>
      </c>
      <c r="E8143" s="5" t="n">
        <v>34.2</v>
      </c>
      <c r="F8143" s="3" t="inlineStr">
        <is>
          <t>연서면</t>
        </is>
      </c>
      <c r="G8143" s="3" t="inlineStr">
        <is>
          <t>용암리</t>
        </is>
      </c>
      <c r="H8143" s="3" t="inlineStr">
        <is>
          <t>자연환경보전</t>
        </is>
      </c>
      <c r="I8143" s="3" t="inlineStr">
        <is>
          <t>임야</t>
        </is>
      </c>
      <c r="J8143" s="3" t="inlineStr">
        <is>
          <t>연서면</t>
        </is>
      </c>
    </row>
    <row r="8144">
      <c r="A8144" s="3" t="n">
        <v>2023</v>
      </c>
      <c r="B8144" s="4" t="n">
        <v>16170</v>
      </c>
      <c r="C8144" s="4" t="n">
        <v>495</v>
      </c>
      <c r="D8144" s="4" t="n">
        <v>149.7375</v>
      </c>
      <c r="E8144" s="5" t="n">
        <v>108</v>
      </c>
      <c r="F8144" s="3" t="inlineStr">
        <is>
          <t>전동면</t>
        </is>
      </c>
      <c r="G8144" s="3" t="inlineStr">
        <is>
          <t>송정리</t>
        </is>
      </c>
      <c r="H8144" s="3" t="inlineStr">
        <is>
          <t>농림지역</t>
        </is>
      </c>
      <c r="I8144" s="3" t="inlineStr">
        <is>
          <t>임야</t>
        </is>
      </c>
      <c r="J8144" s="3" t="inlineStr">
        <is>
          <t>전동면</t>
        </is>
      </c>
    </row>
    <row r="8145">
      <c r="A8145" s="3" t="n">
        <v>2023</v>
      </c>
      <c r="B8145" s="4" t="n">
        <v>16544</v>
      </c>
      <c r="C8145" s="4" t="n">
        <v>496</v>
      </c>
      <c r="D8145" s="4" t="n">
        <v>150.04</v>
      </c>
      <c r="E8145" s="5" t="n">
        <v>110.3</v>
      </c>
      <c r="F8145" s="3" t="inlineStr">
        <is>
          <t>금남면</t>
        </is>
      </c>
      <c r="G8145" s="3" t="inlineStr">
        <is>
          <t>영대리</t>
        </is>
      </c>
      <c r="H8145" s="3" t="inlineStr">
        <is>
          <t>개발제한구역</t>
        </is>
      </c>
      <c r="I8145" s="3" t="inlineStr">
        <is>
          <t>전</t>
        </is>
      </c>
      <c r="J8145" s="3" t="inlineStr">
        <is>
          <t>금남면</t>
        </is>
      </c>
    </row>
    <row r="8146">
      <c r="A8146" s="3" t="n">
        <v>2023</v>
      </c>
      <c r="B8146" s="4" t="n">
        <v>40795</v>
      </c>
      <c r="C8146" s="4" t="n">
        <v>161.7</v>
      </c>
      <c r="D8146" s="4" t="n">
        <v>48.91425</v>
      </c>
      <c r="E8146" s="5" t="n">
        <v>834</v>
      </c>
      <c r="F8146" s="3" t="inlineStr">
        <is>
          <t>조치원읍</t>
        </is>
      </c>
      <c r="G8146" s="3" t="inlineStr">
        <is>
          <t>교리</t>
        </is>
      </c>
      <c r="H8146" s="3" t="inlineStr">
        <is>
          <t>제2종일반주거지역</t>
        </is>
      </c>
      <c r="I8146" s="3" t="inlineStr">
        <is>
          <t>대</t>
        </is>
      </c>
      <c r="J8146" s="3" t="inlineStr">
        <is>
          <t>조치원읍</t>
        </is>
      </c>
    </row>
    <row r="8147">
      <c r="A8147" s="3" t="n">
        <v>2023</v>
      </c>
      <c r="B8147" s="4" t="n">
        <v>39205</v>
      </c>
      <c r="C8147" s="4" t="n">
        <v>155.4</v>
      </c>
      <c r="D8147" s="4" t="n">
        <v>47.0085</v>
      </c>
      <c r="E8147" s="5" t="n">
        <v>834</v>
      </c>
      <c r="F8147" s="3" t="inlineStr">
        <is>
          <t>조치원읍</t>
        </is>
      </c>
      <c r="G8147" s="3" t="inlineStr">
        <is>
          <t>교리</t>
        </is>
      </c>
      <c r="H8147" s="3" t="inlineStr">
        <is>
          <t>제2종일반주거지역</t>
        </is>
      </c>
      <c r="I8147" s="3" t="inlineStr">
        <is>
          <t>대</t>
        </is>
      </c>
      <c r="J8147" s="3" t="inlineStr">
        <is>
          <t>조치원읍</t>
        </is>
      </c>
    </row>
    <row r="8148">
      <c r="A8148" s="3" t="n">
        <v>2023</v>
      </c>
      <c r="B8148" s="4" t="n">
        <v>52000</v>
      </c>
      <c r="C8148" s="4" t="n">
        <v>2876</v>
      </c>
      <c r="D8148" s="4" t="n">
        <v>869.99</v>
      </c>
      <c r="E8148" s="5" t="n">
        <v>59.8</v>
      </c>
      <c r="F8148" s="3" t="inlineStr">
        <is>
          <t>부강면</t>
        </is>
      </c>
      <c r="G8148" s="3" t="inlineStr">
        <is>
          <t>노호리</t>
        </is>
      </c>
      <c r="H8148" s="3" t="inlineStr">
        <is>
          <t>계획관리지역</t>
        </is>
      </c>
      <c r="I8148" s="3" t="inlineStr">
        <is>
          <t>임야</t>
        </is>
      </c>
      <c r="J8148" s="3" t="inlineStr">
        <is>
          <t>부강면</t>
        </is>
      </c>
    </row>
    <row r="8149">
      <c r="A8149" s="3" t="n">
        <v>2023</v>
      </c>
      <c r="B8149" s="4" t="n">
        <v>32040</v>
      </c>
      <c r="C8149" s="4" t="n">
        <v>1084</v>
      </c>
      <c r="D8149" s="4" t="n">
        <v>327.91</v>
      </c>
      <c r="E8149" s="5" t="n">
        <v>97.7</v>
      </c>
      <c r="F8149" s="3" t="inlineStr">
        <is>
          <t>장군면</t>
        </is>
      </c>
      <c r="G8149" s="3" t="inlineStr">
        <is>
          <t>산학리</t>
        </is>
      </c>
      <c r="H8149" s="3" t="inlineStr">
        <is>
          <t>제1종일반주거지역</t>
        </is>
      </c>
      <c r="I8149" s="3" t="inlineStr">
        <is>
          <t>임야</t>
        </is>
      </c>
      <c r="J8149" s="3" t="inlineStr">
        <is>
          <t>장군면</t>
        </is>
      </c>
    </row>
    <row r="8150">
      <c r="A8150" s="3" t="n">
        <v>2023</v>
      </c>
      <c r="B8150" s="4" t="n">
        <v>10685</v>
      </c>
      <c r="C8150" s="4" t="n">
        <v>1802</v>
      </c>
      <c r="D8150" s="4" t="n">
        <v>545.105</v>
      </c>
      <c r="E8150" s="5" t="n">
        <v>19.6</v>
      </c>
      <c r="F8150" s="3" t="inlineStr">
        <is>
          <t>부강면</t>
        </is>
      </c>
      <c r="G8150" s="3" t="inlineStr">
        <is>
          <t>노호리</t>
        </is>
      </c>
      <c r="H8150" s="3" t="inlineStr">
        <is>
          <t>계획관리지역</t>
        </is>
      </c>
      <c r="I8150" s="3" t="inlineStr">
        <is>
          <t>답</t>
        </is>
      </c>
      <c r="J8150" s="3" t="inlineStr">
        <is>
          <t>부강면</t>
        </is>
      </c>
    </row>
    <row r="8151">
      <c r="A8151" s="3" t="n">
        <v>2023</v>
      </c>
      <c r="B8151" s="4" t="n">
        <v>2235</v>
      </c>
      <c r="C8151" s="4" t="n">
        <v>377</v>
      </c>
      <c r="D8151" s="4" t="n">
        <v>114.0425</v>
      </c>
      <c r="E8151" s="5" t="n">
        <v>19.6</v>
      </c>
      <c r="F8151" s="3" t="inlineStr">
        <is>
          <t>부강면</t>
        </is>
      </c>
      <c r="G8151" s="3" t="inlineStr">
        <is>
          <t>노호리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부강면</t>
        </is>
      </c>
    </row>
    <row r="8152">
      <c r="A8152" s="3" t="n">
        <v>2023</v>
      </c>
      <c r="B8152" s="4" t="n">
        <v>10080</v>
      </c>
      <c r="C8152" s="4" t="n">
        <v>417</v>
      </c>
      <c r="D8152" s="4" t="n">
        <v>126.1425</v>
      </c>
      <c r="E8152" s="5" t="n">
        <v>79.90000000000001</v>
      </c>
      <c r="F8152" s="3" t="inlineStr">
        <is>
          <t>부강면</t>
        </is>
      </c>
      <c r="G8152" s="3" t="inlineStr">
        <is>
          <t>노호리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부강면</t>
        </is>
      </c>
    </row>
    <row r="8153">
      <c r="A8153" s="3" t="n">
        <v>2023</v>
      </c>
      <c r="B8153" s="4" t="n">
        <v>69000</v>
      </c>
      <c r="C8153" s="4" t="n">
        <v>370.6</v>
      </c>
      <c r="D8153" s="4" t="n">
        <v>112.1065</v>
      </c>
      <c r="E8153" s="5" t="n">
        <v>615.5</v>
      </c>
      <c r="F8153" s="3" t="inlineStr">
        <is>
          <t>고운동</t>
        </is>
      </c>
      <c r="G8153" s="3" t="inlineStr"/>
      <c r="H8153" s="3" t="inlineStr">
        <is>
          <t>제1종전용주거지역</t>
        </is>
      </c>
      <c r="I8153" s="3" t="inlineStr">
        <is>
          <t>대</t>
        </is>
      </c>
      <c r="J8153" s="3" t="inlineStr">
        <is>
          <t>고운동</t>
        </is>
      </c>
    </row>
    <row r="8154">
      <c r="A8154" s="3" t="n">
        <v>2022</v>
      </c>
      <c r="B8154" s="4" t="n">
        <v>86000</v>
      </c>
      <c r="C8154" s="4" t="n">
        <v>352</v>
      </c>
      <c r="D8154" s="4" t="n">
        <v>106.48</v>
      </c>
      <c r="E8154" s="5" t="n">
        <v>807.7</v>
      </c>
      <c r="F8154" s="3" t="inlineStr">
        <is>
          <t>고운동</t>
        </is>
      </c>
      <c r="G8154" s="3" t="inlineStr"/>
      <c r="H8154" s="3" t="inlineStr">
        <is>
          <t>제1종전용주거지역</t>
        </is>
      </c>
      <c r="I8154" s="3" t="inlineStr">
        <is>
          <t>대</t>
        </is>
      </c>
      <c r="J8154" s="3" t="inlineStr">
        <is>
          <t>고운동</t>
        </is>
      </c>
    </row>
    <row r="8155">
      <c r="A8155" s="3" t="n">
        <v>2022</v>
      </c>
      <c r="B8155" s="4" t="n">
        <v>9800</v>
      </c>
      <c r="C8155" s="4" t="n">
        <v>180</v>
      </c>
      <c r="D8155" s="4" t="n">
        <v>54.45</v>
      </c>
      <c r="E8155" s="5" t="n">
        <v>180</v>
      </c>
      <c r="F8155" s="3" t="inlineStr">
        <is>
          <t>금남면</t>
        </is>
      </c>
      <c r="G8155" s="3" t="inlineStr">
        <is>
          <t>도남리</t>
        </is>
      </c>
      <c r="H8155" s="3" t="inlineStr">
        <is>
          <t>계획관리지역</t>
        </is>
      </c>
      <c r="I8155" s="3" t="inlineStr">
        <is>
          <t>대</t>
        </is>
      </c>
      <c r="J8155" s="3" t="inlineStr">
        <is>
          <t>금남면</t>
        </is>
      </c>
    </row>
    <row r="8156">
      <c r="A8156" s="3" t="n">
        <v>2022</v>
      </c>
      <c r="B8156" s="4" t="n">
        <v>34300</v>
      </c>
      <c r="C8156" s="4" t="n">
        <v>630</v>
      </c>
      <c r="D8156" s="4" t="n">
        <v>190.575</v>
      </c>
      <c r="E8156" s="5" t="n">
        <v>180</v>
      </c>
      <c r="F8156" s="3" t="inlineStr">
        <is>
          <t>금남면</t>
        </is>
      </c>
      <c r="G8156" s="3" t="inlineStr">
        <is>
          <t>도남리</t>
        </is>
      </c>
      <c r="H8156" s="3" t="inlineStr">
        <is>
          <t>계획관리지역</t>
        </is>
      </c>
      <c r="I8156" s="3" t="inlineStr">
        <is>
          <t>전</t>
        </is>
      </c>
      <c r="J8156" s="3" t="inlineStr">
        <is>
          <t>금남면</t>
        </is>
      </c>
    </row>
    <row r="8157">
      <c r="A8157" s="3" t="n">
        <v>2022</v>
      </c>
      <c r="B8157" s="4" t="n">
        <v>43700</v>
      </c>
      <c r="C8157" s="4" t="n">
        <v>1445</v>
      </c>
      <c r="D8157" s="4" t="n">
        <v>437.1125</v>
      </c>
      <c r="E8157" s="5" t="n">
        <v>100</v>
      </c>
      <c r="F8157" s="3" t="inlineStr">
        <is>
          <t>금남면</t>
        </is>
      </c>
      <c r="G8157" s="3" t="inlineStr">
        <is>
          <t>두만리</t>
        </is>
      </c>
      <c r="H8157" s="3" t="inlineStr">
        <is>
          <t>농림지역</t>
        </is>
      </c>
      <c r="I8157" s="3" t="inlineStr">
        <is>
          <t>답</t>
        </is>
      </c>
      <c r="J8157" s="3" t="inlineStr">
        <is>
          <t>금남면</t>
        </is>
      </c>
    </row>
    <row r="8158">
      <c r="A8158" s="3" t="n">
        <v>2022</v>
      </c>
      <c r="B8158" s="4" t="n">
        <v>24650</v>
      </c>
      <c r="C8158" s="4" t="n">
        <v>348</v>
      </c>
      <c r="D8158" s="4" t="n">
        <v>105.27</v>
      </c>
      <c r="E8158" s="5" t="n">
        <v>234.2</v>
      </c>
      <c r="F8158" s="3" t="inlineStr">
        <is>
          <t>장군면</t>
        </is>
      </c>
      <c r="G8158" s="3" t="inlineStr">
        <is>
          <t>도계리</t>
        </is>
      </c>
      <c r="H8158" s="3" t="inlineStr">
        <is>
          <t>계획관리지역</t>
        </is>
      </c>
      <c r="I8158" s="3" t="inlineStr">
        <is>
          <t>대</t>
        </is>
      </c>
      <c r="J8158" s="3" t="inlineStr">
        <is>
          <t>장군면</t>
        </is>
      </c>
    </row>
    <row r="8159">
      <c r="A8159" s="3" t="n">
        <v>2022</v>
      </c>
      <c r="B8159" s="4" t="n">
        <v>57000</v>
      </c>
      <c r="C8159" s="4" t="n">
        <v>497</v>
      </c>
      <c r="D8159" s="4" t="n">
        <v>150.3425</v>
      </c>
      <c r="E8159" s="5" t="n">
        <v>379.1</v>
      </c>
      <c r="F8159" s="3" t="inlineStr">
        <is>
          <t>연기면</t>
        </is>
      </c>
      <c r="G8159" s="3" t="inlineStr">
        <is>
          <t>연기리</t>
        </is>
      </c>
      <c r="H8159" s="3" t="inlineStr">
        <is>
          <t>계획관리지역</t>
        </is>
      </c>
      <c r="I8159" s="3" t="inlineStr">
        <is>
          <t>임야</t>
        </is>
      </c>
      <c r="J8159" s="3" t="inlineStr">
        <is>
          <t>연기면</t>
        </is>
      </c>
    </row>
    <row r="8160">
      <c r="A8160" s="3" t="n">
        <v>2022</v>
      </c>
      <c r="B8160" s="4" t="n">
        <v>3500</v>
      </c>
      <c r="C8160" s="4" t="n">
        <v>1652</v>
      </c>
      <c r="D8160" s="4" t="n">
        <v>499.73</v>
      </c>
      <c r="E8160" s="5" t="n">
        <v>7</v>
      </c>
      <c r="F8160" s="3" t="inlineStr">
        <is>
          <t>전동면</t>
        </is>
      </c>
      <c r="G8160" s="3" t="inlineStr">
        <is>
          <t>노장리</t>
        </is>
      </c>
      <c r="H8160" s="3" t="inlineStr">
        <is>
          <t>농림지역</t>
        </is>
      </c>
      <c r="I8160" s="3" t="inlineStr">
        <is>
          <t>임야</t>
        </is>
      </c>
      <c r="J8160" s="3" t="inlineStr">
        <is>
          <t>전동면</t>
        </is>
      </c>
    </row>
    <row r="8161">
      <c r="A8161" s="3" t="n">
        <v>2022</v>
      </c>
      <c r="B8161" s="4" t="n">
        <v>5874</v>
      </c>
      <c r="C8161" s="4" t="n">
        <v>1767</v>
      </c>
      <c r="D8161" s="4" t="n">
        <v>534.5175</v>
      </c>
      <c r="E8161" s="5" t="n">
        <v>11</v>
      </c>
      <c r="F8161" s="3" t="inlineStr">
        <is>
          <t>연서면</t>
        </is>
      </c>
      <c r="G8161" s="3" t="inlineStr">
        <is>
          <t>기룡리</t>
        </is>
      </c>
      <c r="H8161" s="3" t="inlineStr">
        <is>
          <t>농림지역</t>
        </is>
      </c>
      <c r="I8161" s="3" t="inlineStr">
        <is>
          <t>임야</t>
        </is>
      </c>
      <c r="J8161" s="3" t="inlineStr">
        <is>
          <t>연서면</t>
        </is>
      </c>
    </row>
    <row r="8162">
      <c r="A8162" s="3" t="n">
        <v>2022</v>
      </c>
      <c r="B8162" s="4" t="n">
        <v>16500</v>
      </c>
      <c r="C8162" s="4" t="n">
        <v>4965</v>
      </c>
      <c r="D8162" s="4" t="n">
        <v>1501.9125</v>
      </c>
      <c r="E8162" s="5" t="n">
        <v>11</v>
      </c>
      <c r="F8162" s="3" t="inlineStr">
        <is>
          <t>연서면</t>
        </is>
      </c>
      <c r="G8162" s="3" t="inlineStr">
        <is>
          <t>기룡리</t>
        </is>
      </c>
      <c r="H8162" s="3" t="inlineStr">
        <is>
          <t>농림지역</t>
        </is>
      </c>
      <c r="I8162" s="3" t="inlineStr">
        <is>
          <t>임야</t>
        </is>
      </c>
      <c r="J8162" s="3" t="inlineStr">
        <is>
          <t>연서면</t>
        </is>
      </c>
    </row>
    <row r="8163">
      <c r="A8163" s="3" t="n">
        <v>2022</v>
      </c>
      <c r="B8163" s="4" t="n">
        <v>92020</v>
      </c>
      <c r="C8163" s="4" t="n">
        <v>338</v>
      </c>
      <c r="D8163" s="4" t="n">
        <v>102.245</v>
      </c>
      <c r="E8163" s="5" t="n">
        <v>900</v>
      </c>
      <c r="F8163" s="3" t="inlineStr">
        <is>
          <t>금남면</t>
        </is>
      </c>
      <c r="G8163" s="3" t="inlineStr">
        <is>
          <t>용포리</t>
        </is>
      </c>
      <c r="H8163" s="3" t="inlineStr">
        <is>
          <t>제2종일반주거지역</t>
        </is>
      </c>
      <c r="I8163" s="3" t="inlineStr">
        <is>
          <t>답</t>
        </is>
      </c>
      <c r="J8163" s="3" t="inlineStr">
        <is>
          <t>금남면</t>
        </is>
      </c>
    </row>
    <row r="8164">
      <c r="A8164" s="3" t="n">
        <v>2022</v>
      </c>
      <c r="B8164" s="4" t="n">
        <v>15246</v>
      </c>
      <c r="C8164" s="4" t="n">
        <v>56</v>
      </c>
      <c r="D8164" s="4" t="n">
        <v>16.94</v>
      </c>
      <c r="E8164" s="5" t="n">
        <v>900</v>
      </c>
      <c r="F8164" s="3" t="inlineStr">
        <is>
          <t>금남면</t>
        </is>
      </c>
      <c r="G8164" s="3" t="inlineStr">
        <is>
          <t>용포리</t>
        </is>
      </c>
      <c r="H8164" s="3" t="inlineStr">
        <is>
          <t>제2종일반주거지역</t>
        </is>
      </c>
      <c r="I8164" s="3" t="inlineStr">
        <is>
          <t>답</t>
        </is>
      </c>
      <c r="J8164" s="3" t="inlineStr">
        <is>
          <t>금남면</t>
        </is>
      </c>
    </row>
    <row r="8165">
      <c r="A8165" s="3" t="n">
        <v>2022</v>
      </c>
      <c r="B8165" s="4" t="n">
        <v>5700</v>
      </c>
      <c r="C8165" s="4" t="n">
        <v>79</v>
      </c>
      <c r="D8165" s="4" t="n">
        <v>23.8975</v>
      </c>
      <c r="E8165" s="5" t="n">
        <v>238.5</v>
      </c>
      <c r="F8165" s="3" t="inlineStr">
        <is>
          <t>연서면</t>
        </is>
      </c>
      <c r="G8165" s="3" t="inlineStr">
        <is>
          <t>와촌리</t>
        </is>
      </c>
      <c r="H8165" s="3" t="inlineStr">
        <is>
          <t>계획관리지역</t>
        </is>
      </c>
      <c r="I8165" s="3" t="inlineStr">
        <is>
          <t>도로</t>
        </is>
      </c>
      <c r="J8165" s="3" t="inlineStr">
        <is>
          <t>연서면</t>
        </is>
      </c>
    </row>
    <row r="8166">
      <c r="A8166" s="3" t="n">
        <v>2025</v>
      </c>
      <c r="B8166" s="4" t="n">
        <v>13950</v>
      </c>
      <c r="C8166" s="4" t="n">
        <v>923</v>
      </c>
      <c r="D8166" s="4" t="n">
        <v>279.2075</v>
      </c>
      <c r="E8166" s="5" t="n">
        <v>50</v>
      </c>
      <c r="F8166" s="3" t="inlineStr">
        <is>
          <t>장군면</t>
        </is>
      </c>
      <c r="G8166" s="3" t="inlineStr">
        <is>
          <t>송문리</t>
        </is>
      </c>
      <c r="H8166" s="3" t="inlineStr">
        <is>
          <t>계획관리지역</t>
        </is>
      </c>
      <c r="I8166" s="3" t="inlineStr">
        <is>
          <t>전</t>
        </is>
      </c>
      <c r="J8166" s="3" t="inlineStr">
        <is>
          <t>장군면</t>
        </is>
      </c>
    </row>
    <row r="8167">
      <c r="A8167" s="3" t="n">
        <v>2024</v>
      </c>
      <c r="B8167" s="4" t="n">
        <v>25165</v>
      </c>
      <c r="C8167" s="4" t="n">
        <v>450</v>
      </c>
      <c r="D8167" s="4" t="n">
        <v>136.125</v>
      </c>
      <c r="E8167" s="5" t="n">
        <v>184.9</v>
      </c>
      <c r="F8167" s="3" t="inlineStr">
        <is>
          <t>장군면</t>
        </is>
      </c>
      <c r="G8167" s="3" t="inlineStr">
        <is>
          <t>금암리</t>
        </is>
      </c>
      <c r="H8167" s="3" t="inlineStr">
        <is>
          <t>보전관리지역</t>
        </is>
      </c>
      <c r="I8167" s="3" t="inlineStr">
        <is>
          <t>대</t>
        </is>
      </c>
      <c r="J8167" s="3" t="inlineStr">
        <is>
          <t>장군면</t>
        </is>
      </c>
    </row>
    <row r="8168">
      <c r="A8168" s="3" t="n">
        <v>2024</v>
      </c>
      <c r="B8168" s="4" t="n">
        <v>43500</v>
      </c>
      <c r="C8168" s="4" t="n">
        <v>145</v>
      </c>
      <c r="D8168" s="4" t="n">
        <v>43.8625</v>
      </c>
      <c r="E8168" s="5" t="n">
        <v>991.7</v>
      </c>
      <c r="F8168" s="3" t="inlineStr">
        <is>
          <t>연기면</t>
        </is>
      </c>
      <c r="G8168" s="3" t="inlineStr">
        <is>
          <t>연기리</t>
        </is>
      </c>
      <c r="H8168" s="3" t="inlineStr">
        <is>
          <t>계획관리지역</t>
        </is>
      </c>
      <c r="I8168" s="3" t="inlineStr">
        <is>
          <t>대</t>
        </is>
      </c>
      <c r="J8168" s="3" t="inlineStr">
        <is>
          <t>연기면</t>
        </is>
      </c>
    </row>
    <row r="8169">
      <c r="A8169" s="3" t="n">
        <v>2024</v>
      </c>
      <c r="B8169" s="4" t="n">
        <v>25029</v>
      </c>
      <c r="C8169" s="4" t="n">
        <v>451</v>
      </c>
      <c r="D8169" s="4" t="n">
        <v>136.4275</v>
      </c>
      <c r="E8169" s="5" t="n">
        <v>183.5</v>
      </c>
      <c r="F8169" s="3" t="inlineStr">
        <is>
          <t>장군면</t>
        </is>
      </c>
      <c r="G8169" s="3" t="inlineStr">
        <is>
          <t>금암리</t>
        </is>
      </c>
      <c r="H8169" s="3" t="inlineStr">
        <is>
          <t>보전관리지역</t>
        </is>
      </c>
      <c r="I8169" s="3" t="inlineStr">
        <is>
          <t>대</t>
        </is>
      </c>
      <c r="J8169" s="3" t="inlineStr">
        <is>
          <t>장군면</t>
        </is>
      </c>
    </row>
    <row r="8170">
      <c r="A8170" s="3" t="n">
        <v>2024</v>
      </c>
      <c r="B8170" s="4" t="n">
        <v>10157</v>
      </c>
      <c r="C8170" s="4" t="n">
        <v>520</v>
      </c>
      <c r="D8170" s="4" t="n">
        <v>157.3</v>
      </c>
      <c r="E8170" s="5" t="n">
        <v>64.59999999999999</v>
      </c>
      <c r="F8170" s="3" t="inlineStr">
        <is>
          <t>소정면</t>
        </is>
      </c>
      <c r="G8170" s="3" t="inlineStr">
        <is>
          <t>고등리</t>
        </is>
      </c>
      <c r="H8170" s="3" t="inlineStr">
        <is>
          <t>보전관리지역</t>
        </is>
      </c>
      <c r="I8170" s="3" t="inlineStr">
        <is>
          <t>대</t>
        </is>
      </c>
      <c r="J8170" s="3" t="inlineStr">
        <is>
          <t>소정면</t>
        </is>
      </c>
    </row>
    <row r="8171">
      <c r="A8171" s="3" t="n">
        <v>2024</v>
      </c>
      <c r="B8171" s="4" t="n">
        <v>26605</v>
      </c>
      <c r="C8171" s="4" t="n">
        <v>475</v>
      </c>
      <c r="D8171" s="4" t="n">
        <v>143.6875</v>
      </c>
      <c r="E8171" s="5" t="n">
        <v>185.2</v>
      </c>
      <c r="F8171" s="3" t="inlineStr">
        <is>
          <t>장군면</t>
        </is>
      </c>
      <c r="G8171" s="3" t="inlineStr">
        <is>
          <t>금암리</t>
        </is>
      </c>
      <c r="H8171" s="3" t="inlineStr">
        <is>
          <t>보전관리지역</t>
        </is>
      </c>
      <c r="I8171" s="3" t="inlineStr">
        <is>
          <t>대</t>
        </is>
      </c>
      <c r="J8171" s="3" t="inlineStr">
        <is>
          <t>장군면</t>
        </is>
      </c>
    </row>
    <row r="8172">
      <c r="A8172" s="3" t="n">
        <v>2026</v>
      </c>
      <c r="B8172" s="4" t="n">
        <v>7662</v>
      </c>
      <c r="C8172" s="4" t="n">
        <v>514</v>
      </c>
      <c r="D8172" s="4" t="n">
        <v>155.485</v>
      </c>
      <c r="E8172" s="5" t="n">
        <v>49.3</v>
      </c>
      <c r="F8172" s="3" t="inlineStr">
        <is>
          <t>현도면</t>
        </is>
      </c>
      <c r="G8172" s="3" t="inlineStr">
        <is>
          <t>달계리</t>
        </is>
      </c>
      <c r="H8172" s="3" t="inlineStr">
        <is>
          <t>자연녹지지역</t>
        </is>
      </c>
      <c r="I8172" s="3" t="inlineStr">
        <is>
          <t>답</t>
        </is>
      </c>
      <c r="J8172" s="3" t="inlineStr">
        <is>
          <t>현도면</t>
        </is>
      </c>
    </row>
    <row r="8173">
      <c r="A8173" s="3" t="n">
        <v>2026</v>
      </c>
      <c r="B8173" s="4" t="n">
        <v>183</v>
      </c>
      <c r="C8173" s="4" t="n">
        <v>36</v>
      </c>
      <c r="D8173" s="4" t="n">
        <v>10.89</v>
      </c>
      <c r="E8173" s="5" t="n">
        <v>16.8</v>
      </c>
      <c r="F8173" s="3" t="inlineStr">
        <is>
          <t>현도면</t>
        </is>
      </c>
      <c r="G8173" s="3" t="inlineStr">
        <is>
          <t>달계리</t>
        </is>
      </c>
      <c r="H8173" s="3" t="inlineStr">
        <is>
          <t>자연녹지지역</t>
        </is>
      </c>
      <c r="I8173" s="3" t="inlineStr">
        <is>
          <t>도로</t>
        </is>
      </c>
      <c r="J8173" s="3" t="inlineStr">
        <is>
          <t>현도면</t>
        </is>
      </c>
    </row>
    <row r="8174">
      <c r="A8174" s="3" t="n">
        <v>2023</v>
      </c>
      <c r="B8174" s="4" t="n">
        <v>21660</v>
      </c>
      <c r="C8174" s="4" t="n">
        <v>3758</v>
      </c>
      <c r="D8174" s="4" t="n">
        <v>1136.795</v>
      </c>
      <c r="E8174" s="5" t="n">
        <v>19.1</v>
      </c>
      <c r="F8174" s="3" t="inlineStr">
        <is>
          <t>남이면</t>
        </is>
      </c>
      <c r="G8174" s="3" t="inlineStr">
        <is>
          <t>문동리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남이면</t>
        </is>
      </c>
    </row>
    <row r="8175">
      <c r="A8175" s="3" t="n">
        <v>2026</v>
      </c>
      <c r="B8175" s="4" t="n">
        <v>24010</v>
      </c>
      <c r="C8175" s="4" t="n">
        <v>505</v>
      </c>
      <c r="D8175" s="4" t="n">
        <v>152.7625</v>
      </c>
      <c r="E8175" s="5" t="n">
        <v>157.2</v>
      </c>
      <c r="F8175" s="3" t="inlineStr">
        <is>
          <t>남이면</t>
        </is>
      </c>
      <c r="G8175" s="3" t="inlineStr">
        <is>
          <t>양촌리</t>
        </is>
      </c>
      <c r="H8175" s="3" t="inlineStr">
        <is>
          <t>자연녹지지역</t>
        </is>
      </c>
      <c r="I8175" s="3" t="inlineStr">
        <is>
          <t>전</t>
        </is>
      </c>
      <c r="J8175" s="3" t="inlineStr">
        <is>
          <t>남이면</t>
        </is>
      </c>
    </row>
    <row r="8176">
      <c r="A8176" s="3" t="n">
        <v>2026</v>
      </c>
      <c r="B8176" s="4" t="n">
        <v>14000</v>
      </c>
      <c r="C8176" s="4" t="n">
        <v>466</v>
      </c>
      <c r="D8176" s="4" t="n">
        <v>140.965</v>
      </c>
      <c r="E8176" s="5" t="n">
        <v>99.3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계획관리지역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2026</v>
      </c>
      <c r="B8177" s="4" t="n">
        <v>30000</v>
      </c>
      <c r="C8177" s="4" t="n">
        <v>427</v>
      </c>
      <c r="D8177" s="4" t="n">
        <v>129.1675</v>
      </c>
      <c r="E8177" s="5" t="n">
        <v>232.3</v>
      </c>
      <c r="F8177" s="3" t="inlineStr">
        <is>
          <t>오송읍</t>
        </is>
      </c>
      <c r="G8177" s="3" t="inlineStr">
        <is>
          <t>정중리</t>
        </is>
      </c>
      <c r="H8177" s="3" t="inlineStr">
        <is>
          <t>생산관리지역</t>
        </is>
      </c>
      <c r="I8177" s="3" t="inlineStr">
        <is>
          <t>유지</t>
        </is>
      </c>
      <c r="J8177" s="3" t="inlineStr">
        <is>
          <t>오송읍</t>
        </is>
      </c>
    </row>
    <row r="8178">
      <c r="A8178" s="3" t="n">
        <v>2026</v>
      </c>
      <c r="B8178" s="4" t="n">
        <v>5000</v>
      </c>
      <c r="C8178" s="4" t="n">
        <v>86</v>
      </c>
      <c r="D8178" s="4" t="n">
        <v>26.015</v>
      </c>
      <c r="E8178" s="5" t="n">
        <v>192.2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생산관리지역</t>
        </is>
      </c>
      <c r="I8178" s="3" t="inlineStr">
        <is>
          <t>전</t>
        </is>
      </c>
      <c r="J8178" s="3" t="inlineStr">
        <is>
          <t>오송읍</t>
        </is>
      </c>
    </row>
    <row r="8179">
      <c r="A8179" s="3" t="n">
        <v>2026</v>
      </c>
      <c r="B8179" s="4" t="n">
        <v>8500</v>
      </c>
      <c r="C8179" s="4" t="n">
        <v>1140</v>
      </c>
      <c r="D8179" s="4" t="n">
        <v>344.85</v>
      </c>
      <c r="E8179" s="5" t="n">
        <v>24.6</v>
      </c>
      <c r="F8179" s="3" t="inlineStr">
        <is>
          <t>강내면</t>
        </is>
      </c>
      <c r="G8179" s="3" t="inlineStr">
        <is>
          <t>사인리</t>
        </is>
      </c>
      <c r="H8179" s="3" t="inlineStr">
        <is>
          <t>생산녹지지역</t>
        </is>
      </c>
      <c r="I8179" s="3" t="inlineStr">
        <is>
          <t>답</t>
        </is>
      </c>
      <c r="J8179" s="3" t="inlineStr">
        <is>
          <t>강내면</t>
        </is>
      </c>
    </row>
    <row r="8180">
      <c r="A8180" s="3" t="n">
        <v>2026</v>
      </c>
      <c r="B8180" s="4" t="n">
        <v>18000</v>
      </c>
      <c r="C8180" s="4" t="n">
        <v>2460</v>
      </c>
      <c r="D8180" s="4" t="n">
        <v>744.15</v>
      </c>
      <c r="E8180" s="5" t="n">
        <v>24.2</v>
      </c>
      <c r="F8180" s="3" t="inlineStr">
        <is>
          <t>강내면</t>
        </is>
      </c>
      <c r="G8180" s="3" t="inlineStr">
        <is>
          <t>사곡리</t>
        </is>
      </c>
      <c r="H8180" s="3" t="inlineStr">
        <is>
          <t>보전관리지역</t>
        </is>
      </c>
      <c r="I8180" s="3" t="inlineStr">
        <is>
          <t>임야</t>
        </is>
      </c>
      <c r="J8180" s="3" t="inlineStr">
        <is>
          <t>강내면</t>
        </is>
      </c>
    </row>
    <row r="8181">
      <c r="A8181" s="3" t="n">
        <v>2026</v>
      </c>
      <c r="B8181" s="4" t="n">
        <v>15972</v>
      </c>
      <c r="C8181" s="4" t="n">
        <v>264</v>
      </c>
      <c r="D8181" s="4" t="n">
        <v>79.86</v>
      </c>
      <c r="E8181" s="5" t="n">
        <v>200</v>
      </c>
      <c r="F8181" s="3" t="inlineStr">
        <is>
          <t>오송읍</t>
        </is>
      </c>
      <c r="G8181" s="3" t="inlineStr">
        <is>
          <t>궁평리</t>
        </is>
      </c>
      <c r="H8181" s="3" t="inlineStr">
        <is>
          <t>용도미지정</t>
        </is>
      </c>
      <c r="I8181" s="3" t="inlineStr">
        <is>
          <t>대</t>
        </is>
      </c>
      <c r="J8181" s="3" t="inlineStr">
        <is>
          <t>오송읍</t>
        </is>
      </c>
    </row>
    <row r="8182">
      <c r="A8182" s="3" t="n">
        <v>2026</v>
      </c>
      <c r="B8182" s="4" t="n">
        <v>2760</v>
      </c>
      <c r="C8182" s="4" t="n">
        <v>76</v>
      </c>
      <c r="D8182" s="4" t="n">
        <v>22.99</v>
      </c>
      <c r="E8182" s="5" t="n">
        <v>120.1</v>
      </c>
      <c r="F8182" s="3" t="inlineStr">
        <is>
          <t>강내면</t>
        </is>
      </c>
      <c r="G8182" s="3" t="inlineStr">
        <is>
          <t>태성리</t>
        </is>
      </c>
      <c r="H8182" s="3" t="inlineStr">
        <is>
          <t>계획관리지역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2023</v>
      </c>
      <c r="B8183" s="4" t="n">
        <v>7197</v>
      </c>
      <c r="C8183" s="4" t="n">
        <v>185</v>
      </c>
      <c r="D8183" s="4" t="n">
        <v>55.9625</v>
      </c>
      <c r="E8183" s="5" t="n">
        <v>128.6</v>
      </c>
      <c r="F8183" s="3" t="inlineStr">
        <is>
          <t>남이면</t>
        </is>
      </c>
      <c r="G8183" s="3" t="inlineStr">
        <is>
          <t>가마리</t>
        </is>
      </c>
      <c r="H8183" s="3" t="inlineStr">
        <is>
          <t>자연녹지지역</t>
        </is>
      </c>
      <c r="I8183" s="3" t="inlineStr">
        <is>
          <t>도로</t>
        </is>
      </c>
      <c r="J8183" s="3" t="inlineStr">
        <is>
          <t>남이면</t>
        </is>
      </c>
    </row>
    <row r="8184">
      <c r="A8184" s="3" t="n">
        <v>2023</v>
      </c>
      <c r="B8184" s="4" t="n">
        <v>61470</v>
      </c>
      <c r="C8184" s="4" t="n">
        <v>2255</v>
      </c>
      <c r="D8184" s="4" t="n">
        <v>682.1374999999999</v>
      </c>
      <c r="E8184" s="5" t="n">
        <v>90.09999999999999</v>
      </c>
      <c r="F8184" s="3" t="inlineStr">
        <is>
          <t>남이면</t>
        </is>
      </c>
      <c r="G8184" s="3" t="inlineStr">
        <is>
          <t>수대리</t>
        </is>
      </c>
      <c r="H8184" s="3" t="inlineStr">
        <is>
          <t>자연녹지지역</t>
        </is>
      </c>
      <c r="I8184" s="3" t="inlineStr">
        <is>
          <t>답</t>
        </is>
      </c>
      <c r="J8184" s="3" t="inlineStr">
        <is>
          <t>남이면</t>
        </is>
      </c>
    </row>
    <row r="8185">
      <c r="A8185" s="3" t="n">
        <v>2023</v>
      </c>
      <c r="B8185" s="4" t="n">
        <v>15000</v>
      </c>
      <c r="C8185" s="4" t="n">
        <v>572</v>
      </c>
      <c r="D8185" s="4" t="n">
        <v>173.03</v>
      </c>
      <c r="E8185" s="5" t="n">
        <v>86.7</v>
      </c>
      <c r="F8185" s="3" t="inlineStr">
        <is>
          <t>남이면</t>
        </is>
      </c>
      <c r="G8185" s="3" t="inlineStr">
        <is>
          <t>수대리</t>
        </is>
      </c>
      <c r="H8185" s="3" t="inlineStr">
        <is>
          <t>자연녹지지역</t>
        </is>
      </c>
      <c r="I8185" s="3" t="inlineStr">
        <is>
          <t>답</t>
        </is>
      </c>
      <c r="J8185" s="3" t="inlineStr">
        <is>
          <t>남이면</t>
        </is>
      </c>
    </row>
    <row r="8186">
      <c r="A8186" s="3" t="n">
        <v>2023</v>
      </c>
      <c r="B8186" s="4" t="n">
        <v>7448</v>
      </c>
      <c r="C8186" s="4" t="n">
        <v>243</v>
      </c>
      <c r="D8186" s="4" t="n">
        <v>73.50749999999999</v>
      </c>
      <c r="E8186" s="5" t="n">
        <v>101.3</v>
      </c>
      <c r="F8186" s="3" t="inlineStr">
        <is>
          <t>남이면</t>
        </is>
      </c>
      <c r="G8186" s="3" t="inlineStr">
        <is>
          <t>척산리</t>
        </is>
      </c>
      <c r="H8186" s="3" t="inlineStr">
        <is>
          <t>보전관리지역</t>
        </is>
      </c>
      <c r="I8186" s="3" t="inlineStr">
        <is>
          <t>하천</t>
        </is>
      </c>
      <c r="J8186" s="3" t="inlineStr">
        <is>
          <t>남이면</t>
        </is>
      </c>
    </row>
    <row r="8187">
      <c r="A8187" s="3" t="n">
        <v>2023</v>
      </c>
      <c r="B8187" s="4" t="n">
        <v>2500</v>
      </c>
      <c r="C8187" s="4" t="n">
        <v>319</v>
      </c>
      <c r="D8187" s="4" t="n">
        <v>96.4975</v>
      </c>
      <c r="E8187" s="5" t="n">
        <v>25.9</v>
      </c>
      <c r="F8187" s="3" t="inlineStr">
        <is>
          <t>현도면</t>
        </is>
      </c>
      <c r="G8187" s="3" t="inlineStr">
        <is>
          <t>노산리</t>
        </is>
      </c>
      <c r="H8187" s="3" t="inlineStr">
        <is>
          <t>개발제한구역</t>
        </is>
      </c>
      <c r="I8187" s="3" t="inlineStr">
        <is>
          <t>답</t>
        </is>
      </c>
      <c r="J8187" s="3" t="inlineStr">
        <is>
          <t>현도면</t>
        </is>
      </c>
    </row>
    <row r="8188">
      <c r="A8188" s="3" t="n">
        <v>2023</v>
      </c>
      <c r="B8188" s="4" t="n">
        <v>17000</v>
      </c>
      <c r="C8188" s="4" t="n">
        <v>512</v>
      </c>
      <c r="D8188" s="4" t="n">
        <v>154.88</v>
      </c>
      <c r="E8188" s="5" t="n">
        <v>109.8</v>
      </c>
      <c r="F8188" s="3" t="inlineStr">
        <is>
          <t>남이면</t>
        </is>
      </c>
      <c r="G8188" s="3" t="inlineStr">
        <is>
          <t>양촌리</t>
        </is>
      </c>
      <c r="H8188" s="3" t="inlineStr">
        <is>
          <t>자연녹지지역</t>
        </is>
      </c>
      <c r="I8188" s="3" t="inlineStr">
        <is>
          <t>임야</t>
        </is>
      </c>
      <c r="J8188" s="3" t="inlineStr">
        <is>
          <t>남이면</t>
        </is>
      </c>
    </row>
    <row r="8189">
      <c r="A8189" s="3" t="n">
        <v>2023</v>
      </c>
      <c r="B8189" s="4" t="n">
        <v>4794</v>
      </c>
      <c r="C8189" s="4" t="n">
        <v>5276</v>
      </c>
      <c r="D8189" s="4" t="n">
        <v>1595.99</v>
      </c>
      <c r="E8189" s="5" t="n">
        <v>3</v>
      </c>
      <c r="F8189" s="3" t="inlineStr">
        <is>
          <t>현도면</t>
        </is>
      </c>
      <c r="G8189" s="3" t="inlineStr">
        <is>
          <t>하석리</t>
        </is>
      </c>
      <c r="H8189" s="3" t="inlineStr">
        <is>
          <t>자연녹지지역</t>
        </is>
      </c>
      <c r="I8189" s="3" t="inlineStr">
        <is>
          <t>임야</t>
        </is>
      </c>
      <c r="J8189" s="3" t="inlineStr">
        <is>
          <t>현도면</t>
        </is>
      </c>
    </row>
    <row r="8190">
      <c r="A8190" s="3" t="n">
        <v>2023</v>
      </c>
      <c r="B8190" s="4" t="n">
        <v>57840</v>
      </c>
      <c r="C8190" s="4" t="n">
        <v>3187</v>
      </c>
      <c r="D8190" s="4" t="n">
        <v>964.0675</v>
      </c>
      <c r="E8190" s="5" t="n">
        <v>60</v>
      </c>
      <c r="F8190" s="3" t="inlineStr">
        <is>
          <t>현도면</t>
        </is>
      </c>
      <c r="G8190" s="3" t="inlineStr">
        <is>
          <t>선동리</t>
        </is>
      </c>
      <c r="H8190" s="3" t="inlineStr">
        <is>
          <t>계획관리지역</t>
        </is>
      </c>
      <c r="I8190" s="3" t="inlineStr">
        <is>
          <t>전</t>
        </is>
      </c>
      <c r="J8190" s="3" t="inlineStr">
        <is>
          <t>현도면</t>
        </is>
      </c>
    </row>
    <row r="8191">
      <c r="A8191" s="3" t="n">
        <v>2023</v>
      </c>
      <c r="B8191" s="4" t="n">
        <v>5800</v>
      </c>
      <c r="C8191" s="4" t="n">
        <v>215</v>
      </c>
      <c r="D8191" s="4" t="n">
        <v>65.03749999999999</v>
      </c>
      <c r="E8191" s="5" t="n">
        <v>89.2</v>
      </c>
      <c r="F8191" s="3" t="inlineStr">
        <is>
          <t>남이면</t>
        </is>
      </c>
      <c r="G8191" s="3" t="inlineStr">
        <is>
          <t>비룡리</t>
        </is>
      </c>
      <c r="H8191" s="3" t="inlineStr">
        <is>
          <t>계획관리지역</t>
        </is>
      </c>
      <c r="I8191" s="3" t="inlineStr">
        <is>
          <t>대</t>
        </is>
      </c>
      <c r="J8191" s="3" t="inlineStr">
        <is>
          <t>남이면</t>
        </is>
      </c>
    </row>
    <row r="8192">
      <c r="A8192" s="3" t="n">
        <v>2023</v>
      </c>
      <c r="B8192" s="4" t="n">
        <v>1200</v>
      </c>
      <c r="C8192" s="4" t="n">
        <v>46</v>
      </c>
      <c r="D8192" s="4" t="n">
        <v>13.915</v>
      </c>
      <c r="E8192" s="5" t="n">
        <v>86.2</v>
      </c>
      <c r="F8192" s="3" t="inlineStr">
        <is>
          <t>남이면</t>
        </is>
      </c>
      <c r="G8192" s="3" t="inlineStr">
        <is>
          <t>비룡리</t>
        </is>
      </c>
      <c r="H8192" s="3" t="inlineStr">
        <is>
          <t>계획관리지역</t>
        </is>
      </c>
      <c r="I8192" s="3" t="inlineStr">
        <is>
          <t>대</t>
        </is>
      </c>
      <c r="J8192" s="3" t="inlineStr">
        <is>
          <t>남이면</t>
        </is>
      </c>
    </row>
    <row r="8193">
      <c r="A8193" s="3" t="n">
        <v>2023</v>
      </c>
      <c r="B8193" s="4" t="n">
        <v>7500</v>
      </c>
      <c r="C8193" s="4" t="n">
        <v>291</v>
      </c>
      <c r="D8193" s="4" t="n">
        <v>88.0275</v>
      </c>
      <c r="E8193" s="5" t="n">
        <v>85.2</v>
      </c>
      <c r="F8193" s="3" t="inlineStr">
        <is>
          <t>현도면</t>
        </is>
      </c>
      <c r="G8193" s="3" t="inlineStr">
        <is>
          <t>우록리</t>
        </is>
      </c>
      <c r="H8193" s="3" t="inlineStr">
        <is>
          <t>계획관리지역</t>
        </is>
      </c>
      <c r="I8193" s="3" t="inlineStr">
        <is>
          <t>답</t>
        </is>
      </c>
      <c r="J8193" s="3" t="inlineStr">
        <is>
          <t>현도면</t>
        </is>
      </c>
    </row>
    <row r="8194">
      <c r="A8194" s="3" t="n">
        <v>2023</v>
      </c>
      <c r="B8194" s="4" t="n">
        <v>6000</v>
      </c>
      <c r="C8194" s="4" t="n">
        <v>7835</v>
      </c>
      <c r="D8194" s="4" t="n">
        <v>2370.0875</v>
      </c>
      <c r="E8194" s="5" t="n">
        <v>2.5</v>
      </c>
      <c r="F8194" s="3" t="inlineStr">
        <is>
          <t>현도면</t>
        </is>
      </c>
      <c r="G8194" s="3" t="inlineStr">
        <is>
          <t>양지리</t>
        </is>
      </c>
      <c r="H8194" s="3" t="inlineStr">
        <is>
          <t>개발제한구역</t>
        </is>
      </c>
      <c r="I8194" s="3" t="inlineStr">
        <is>
          <t>임야</t>
        </is>
      </c>
      <c r="J8194" s="3" t="inlineStr">
        <is>
          <t>현도면</t>
        </is>
      </c>
    </row>
    <row r="8195">
      <c r="A8195" s="3" t="n">
        <v>2023</v>
      </c>
      <c r="B8195" s="4" t="n">
        <v>7500</v>
      </c>
      <c r="C8195" s="4" t="n">
        <v>291</v>
      </c>
      <c r="D8195" s="4" t="n">
        <v>88.0275</v>
      </c>
      <c r="E8195" s="5" t="n">
        <v>85.2</v>
      </c>
      <c r="F8195" s="3" t="inlineStr">
        <is>
          <t>현도면</t>
        </is>
      </c>
      <c r="G8195" s="3" t="inlineStr">
        <is>
          <t>우록리</t>
        </is>
      </c>
      <c r="H8195" s="3" t="inlineStr">
        <is>
          <t>계획관리지역</t>
        </is>
      </c>
      <c r="I8195" s="3" t="inlineStr">
        <is>
          <t>답</t>
        </is>
      </c>
      <c r="J8195" s="3" t="inlineStr">
        <is>
          <t>현도면</t>
        </is>
      </c>
    </row>
    <row r="8196">
      <c r="A8196" s="3" t="n">
        <v>2023</v>
      </c>
      <c r="B8196" s="4" t="n">
        <v>26000</v>
      </c>
      <c r="C8196" s="4" t="n">
        <v>2480</v>
      </c>
      <c r="D8196" s="4" t="n">
        <v>750.1999999999999</v>
      </c>
      <c r="E8196" s="5" t="n">
        <v>34.7</v>
      </c>
      <c r="F8196" s="3" t="inlineStr">
        <is>
          <t>남이면</t>
        </is>
      </c>
      <c r="G8196" s="3" t="inlineStr">
        <is>
          <t>가마리</t>
        </is>
      </c>
      <c r="H8196" s="3" t="inlineStr">
        <is>
          <t>보전녹지지역</t>
        </is>
      </c>
      <c r="I8196" s="3" t="inlineStr">
        <is>
          <t>임야</t>
        </is>
      </c>
      <c r="J8196" s="3" t="inlineStr">
        <is>
          <t>남이면</t>
        </is>
      </c>
    </row>
    <row r="8197">
      <c r="A8197" s="3" t="n">
        <v>2023</v>
      </c>
      <c r="B8197" s="4" t="n">
        <v>2000</v>
      </c>
      <c r="C8197" s="4" t="n">
        <v>185</v>
      </c>
      <c r="D8197" s="4" t="n">
        <v>55.9625</v>
      </c>
      <c r="E8197" s="5" t="n">
        <v>35.7</v>
      </c>
      <c r="F8197" s="3" t="inlineStr">
        <is>
          <t>남이면</t>
        </is>
      </c>
      <c r="G8197" s="3" t="inlineStr">
        <is>
          <t>외천리</t>
        </is>
      </c>
      <c r="H8197" s="3" t="inlineStr">
        <is>
          <t>계획관리지역</t>
        </is>
      </c>
      <c r="I8197" s="3" t="inlineStr">
        <is>
          <t>임야</t>
        </is>
      </c>
      <c r="J8197" s="3" t="inlineStr">
        <is>
          <t>남이면</t>
        </is>
      </c>
    </row>
    <row r="8198">
      <c r="A8198" s="3" t="n">
        <v>2023</v>
      </c>
      <c r="B8198" s="4" t="n">
        <v>17800</v>
      </c>
      <c r="C8198" s="4" t="n">
        <v>1993</v>
      </c>
      <c r="D8198" s="4" t="n">
        <v>602.8824999999999</v>
      </c>
      <c r="E8198" s="5" t="n">
        <v>29.5</v>
      </c>
      <c r="F8198" s="3" t="inlineStr">
        <is>
          <t>현도면</t>
        </is>
      </c>
      <c r="G8198" s="3" t="inlineStr">
        <is>
          <t>중척리</t>
        </is>
      </c>
      <c r="H8198" s="3" t="inlineStr">
        <is>
          <t>개발제한구역</t>
        </is>
      </c>
      <c r="I8198" s="3" t="inlineStr">
        <is>
          <t>전</t>
        </is>
      </c>
      <c r="J8198" s="3" t="inlineStr">
        <is>
          <t>현도면</t>
        </is>
      </c>
    </row>
    <row r="8199">
      <c r="A8199" s="3" t="n">
        <v>2023</v>
      </c>
      <c r="B8199" s="4" t="n">
        <v>8459</v>
      </c>
      <c r="C8199" s="4" t="n">
        <v>11603</v>
      </c>
      <c r="D8199" s="4" t="n">
        <v>3509.9075</v>
      </c>
      <c r="E8199" s="5" t="n">
        <v>2.4</v>
      </c>
      <c r="F8199" s="3" t="inlineStr">
        <is>
          <t>남이면</t>
        </is>
      </c>
      <c r="G8199" s="3" t="inlineStr">
        <is>
          <t>부용외천리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남이면</t>
        </is>
      </c>
    </row>
    <row r="8200">
      <c r="A8200" s="3" t="n">
        <v>2023</v>
      </c>
      <c r="B8200" s="4" t="n">
        <v>1041</v>
      </c>
      <c r="C8200" s="4" t="n">
        <v>1388</v>
      </c>
      <c r="D8200" s="4" t="n">
        <v>419.87</v>
      </c>
      <c r="E8200" s="5" t="n">
        <v>2.5</v>
      </c>
      <c r="F8200" s="3" t="inlineStr">
        <is>
          <t>남이면</t>
        </is>
      </c>
      <c r="G8200" s="3" t="inlineStr">
        <is>
          <t>부용외천리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남이면</t>
        </is>
      </c>
    </row>
    <row r="8201">
      <c r="A8201" s="3" t="n">
        <v>2023</v>
      </c>
      <c r="B8201" s="4" t="n">
        <v>7883</v>
      </c>
      <c r="C8201" s="4" t="n">
        <v>11405</v>
      </c>
      <c r="D8201" s="4" t="n">
        <v>3450.0125</v>
      </c>
      <c r="E8201" s="5" t="n">
        <v>2.3</v>
      </c>
      <c r="F8201" s="3" t="inlineStr">
        <is>
          <t>남이면</t>
        </is>
      </c>
      <c r="G8201" s="3" t="inlineStr">
        <is>
          <t>부용외천리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남이면</t>
        </is>
      </c>
    </row>
    <row r="8202">
      <c r="A8202" s="3" t="n">
        <v>2023</v>
      </c>
      <c r="B8202" s="4" t="n">
        <v>117</v>
      </c>
      <c r="C8202" s="4" t="n">
        <v>99</v>
      </c>
      <c r="D8202" s="4" t="n">
        <v>29.9475</v>
      </c>
      <c r="E8202" s="5" t="n">
        <v>3.9</v>
      </c>
      <c r="F8202" s="3" t="inlineStr">
        <is>
          <t>남이면</t>
        </is>
      </c>
      <c r="G8202" s="3" t="inlineStr">
        <is>
          <t>부용외천리</t>
        </is>
      </c>
      <c r="H8202" s="3" t="inlineStr">
        <is>
          <t>보전관리지역</t>
        </is>
      </c>
      <c r="I8202" s="3" t="inlineStr">
        <is>
          <t>임야</t>
        </is>
      </c>
      <c r="J8202" s="3" t="inlineStr">
        <is>
          <t>남이면</t>
        </is>
      </c>
    </row>
    <row r="8203">
      <c r="A8203" s="3" t="n">
        <v>2025</v>
      </c>
      <c r="B8203" s="4" t="n">
        <v>12700</v>
      </c>
      <c r="C8203" s="4" t="n">
        <v>635</v>
      </c>
      <c r="D8203" s="4" t="n">
        <v>192.0875</v>
      </c>
      <c r="E8203" s="5" t="n">
        <v>66.09999999999999</v>
      </c>
      <c r="F8203" s="3" t="inlineStr">
        <is>
          <t>오송읍</t>
        </is>
      </c>
      <c r="G8203" s="3" t="inlineStr">
        <is>
          <t>서평리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오송읍</t>
        </is>
      </c>
    </row>
    <row r="8204">
      <c r="A8204" s="3" t="n">
        <v>2025</v>
      </c>
      <c r="B8204" s="4" t="n">
        <v>65000</v>
      </c>
      <c r="C8204" s="4" t="n">
        <v>3233</v>
      </c>
      <c r="D8204" s="4" t="n">
        <v>977.9825</v>
      </c>
      <c r="E8204" s="5" t="n">
        <v>66.5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농림지역</t>
        </is>
      </c>
      <c r="I8204" s="3" t="inlineStr">
        <is>
          <t>답</t>
        </is>
      </c>
      <c r="J8204" s="3" t="inlineStr">
        <is>
          <t>오송읍</t>
        </is>
      </c>
    </row>
    <row r="8205">
      <c r="A8205" s="3" t="n">
        <v>2025</v>
      </c>
      <c r="B8205" s="4" t="n">
        <v>20300</v>
      </c>
      <c r="C8205" s="4" t="n">
        <v>1012</v>
      </c>
      <c r="D8205" s="4" t="n">
        <v>306.13</v>
      </c>
      <c r="E8205" s="5" t="n">
        <v>66.3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농림지역</t>
        </is>
      </c>
      <c r="I8205" s="3" t="inlineStr">
        <is>
          <t>답</t>
        </is>
      </c>
      <c r="J8205" s="3" t="inlineStr">
        <is>
          <t>오송읍</t>
        </is>
      </c>
    </row>
    <row r="8206">
      <c r="A8206" s="3" t="n">
        <v>2025</v>
      </c>
      <c r="B8206" s="4" t="n">
        <v>4803</v>
      </c>
      <c r="C8206" s="4" t="n">
        <v>635</v>
      </c>
      <c r="D8206" s="4" t="n">
        <v>192.0875</v>
      </c>
      <c r="E8206" s="5" t="n">
        <v>25</v>
      </c>
      <c r="F8206" s="3" t="inlineStr">
        <is>
          <t>오송읍</t>
        </is>
      </c>
      <c r="G8206" s="3" t="inlineStr">
        <is>
          <t>쌍청리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197</v>
      </c>
      <c r="C8207" s="4" t="n">
        <v>26</v>
      </c>
      <c r="D8207" s="4" t="n">
        <v>7.865</v>
      </c>
      <c r="E8207" s="5" t="n">
        <v>25</v>
      </c>
      <c r="F8207" s="3" t="inlineStr">
        <is>
          <t>오송읍</t>
        </is>
      </c>
      <c r="G8207" s="3" t="inlineStr">
        <is>
          <t>쌍청리</t>
        </is>
      </c>
      <c r="H8207" s="3" t="inlineStr">
        <is>
          <t>농림지역</t>
        </is>
      </c>
      <c r="I8207" s="3" t="inlineStr">
        <is>
          <t>전</t>
        </is>
      </c>
      <c r="J8207" s="3" t="inlineStr">
        <is>
          <t>오송읍</t>
        </is>
      </c>
    </row>
    <row r="8208">
      <c r="A8208" s="3" t="n">
        <v>2025</v>
      </c>
      <c r="B8208" s="4" t="n">
        <v>1200</v>
      </c>
      <c r="C8208" s="4" t="n">
        <v>15</v>
      </c>
      <c r="D8208" s="4" t="n">
        <v>4.5375</v>
      </c>
      <c r="E8208" s="5" t="n">
        <v>264.5</v>
      </c>
      <c r="F8208" s="3" t="inlineStr">
        <is>
          <t>오송읍</t>
        </is>
      </c>
      <c r="G8208" s="3" t="inlineStr">
        <is>
          <t>오송리</t>
        </is>
      </c>
      <c r="H8208" s="3" t="inlineStr">
        <is>
          <t>계획관리지역</t>
        </is>
      </c>
      <c r="I8208" s="3" t="inlineStr">
        <is>
          <t>대</t>
        </is>
      </c>
      <c r="J8208" s="3" t="inlineStr">
        <is>
          <t>오송읍</t>
        </is>
      </c>
    </row>
    <row r="8209">
      <c r="A8209" s="3" t="n">
        <v>2025</v>
      </c>
      <c r="B8209" s="4" t="n">
        <v>64724</v>
      </c>
      <c r="C8209" s="4" t="n">
        <v>2647</v>
      </c>
      <c r="D8209" s="4" t="n">
        <v>800.7175</v>
      </c>
      <c r="E8209" s="5" t="n">
        <v>80.8</v>
      </c>
      <c r="F8209" s="3" t="inlineStr">
        <is>
          <t>오송읍</t>
        </is>
      </c>
      <c r="G8209" s="3" t="inlineStr">
        <is>
          <t>궁평리</t>
        </is>
      </c>
      <c r="H8209" s="3" t="inlineStr">
        <is>
          <t>농림지역</t>
        </is>
      </c>
      <c r="I8209" s="3" t="inlineStr">
        <is>
          <t>전</t>
        </is>
      </c>
      <c r="J8209" s="3" t="inlineStr">
        <is>
          <t>오송읍</t>
        </is>
      </c>
    </row>
    <row r="8210">
      <c r="A8210" s="3" t="n">
        <v>2025</v>
      </c>
      <c r="B8210" s="4" t="n">
        <v>16138</v>
      </c>
      <c r="C8210" s="4" t="n">
        <v>660</v>
      </c>
      <c r="D8210" s="4" t="n">
        <v>199.65</v>
      </c>
      <c r="E8210" s="5" t="n">
        <v>80.8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전</t>
        </is>
      </c>
      <c r="J8210" s="3" t="inlineStr">
        <is>
          <t>오송읍</t>
        </is>
      </c>
    </row>
    <row r="8211">
      <c r="A8211" s="3" t="n">
        <v>2025</v>
      </c>
      <c r="B8211" s="4" t="n">
        <v>16138</v>
      </c>
      <c r="C8211" s="4" t="n">
        <v>660</v>
      </c>
      <c r="D8211" s="4" t="n">
        <v>199.65</v>
      </c>
      <c r="E8211" s="5" t="n">
        <v>80.8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창고용지</t>
        </is>
      </c>
      <c r="J8211" s="3" t="inlineStr">
        <is>
          <t>오송읍</t>
        </is>
      </c>
    </row>
    <row r="8212">
      <c r="A8212" s="3" t="n">
        <v>2025</v>
      </c>
      <c r="B8212" s="4" t="n">
        <v>22000</v>
      </c>
      <c r="C8212" s="4" t="n">
        <v>2803</v>
      </c>
      <c r="D8212" s="4" t="n">
        <v>847.9075</v>
      </c>
      <c r="E8212" s="5" t="n">
        <v>25.9</v>
      </c>
      <c r="F8212" s="3" t="inlineStr">
        <is>
          <t>강내면</t>
        </is>
      </c>
      <c r="G8212" s="3" t="inlineStr">
        <is>
          <t>산단리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강내면</t>
        </is>
      </c>
    </row>
    <row r="8213">
      <c r="A8213" s="3" t="n">
        <v>2025</v>
      </c>
      <c r="B8213" s="4" t="n">
        <v>12700</v>
      </c>
      <c r="C8213" s="4" t="n">
        <v>635</v>
      </c>
      <c r="D8213" s="4" t="n">
        <v>192.0875</v>
      </c>
      <c r="E8213" s="5" t="n">
        <v>66.09999999999999</v>
      </c>
      <c r="F8213" s="3" t="inlineStr">
        <is>
          <t>오송읍</t>
        </is>
      </c>
      <c r="G8213" s="3" t="inlineStr">
        <is>
          <t>서평리</t>
        </is>
      </c>
      <c r="H8213" s="3" t="inlineStr">
        <is>
          <t>농림지역</t>
        </is>
      </c>
      <c r="I8213" s="3" t="inlineStr">
        <is>
          <t>답</t>
        </is>
      </c>
      <c r="J8213" s="3" t="inlineStr">
        <is>
          <t>오송읍</t>
        </is>
      </c>
    </row>
    <row r="8214">
      <c r="A8214" s="3" t="n">
        <v>2025</v>
      </c>
      <c r="B8214" s="4" t="n">
        <v>65000</v>
      </c>
      <c r="C8214" s="4" t="n">
        <v>3233</v>
      </c>
      <c r="D8214" s="4" t="n">
        <v>977.9825</v>
      </c>
      <c r="E8214" s="5" t="n">
        <v>66.5</v>
      </c>
      <c r="F8214" s="3" t="inlineStr">
        <is>
          <t>오송읍</t>
        </is>
      </c>
      <c r="G8214" s="3" t="inlineStr">
        <is>
          <t>서평리</t>
        </is>
      </c>
      <c r="H8214" s="3" t="inlineStr">
        <is>
          <t>농림지역</t>
        </is>
      </c>
      <c r="I8214" s="3" t="inlineStr">
        <is>
          <t>답</t>
        </is>
      </c>
      <c r="J8214" s="3" t="inlineStr">
        <is>
          <t>오송읍</t>
        </is>
      </c>
    </row>
    <row r="8215">
      <c r="A8215" s="3" t="n">
        <v>2025</v>
      </c>
      <c r="B8215" s="4" t="n">
        <v>20300</v>
      </c>
      <c r="C8215" s="4" t="n">
        <v>1012</v>
      </c>
      <c r="D8215" s="4" t="n">
        <v>306.13</v>
      </c>
      <c r="E8215" s="5" t="n">
        <v>66.3</v>
      </c>
      <c r="F8215" s="3" t="inlineStr">
        <is>
          <t>오송읍</t>
        </is>
      </c>
      <c r="G8215" s="3" t="inlineStr">
        <is>
          <t>서평리</t>
        </is>
      </c>
      <c r="H8215" s="3" t="inlineStr">
        <is>
          <t>농림지역</t>
        </is>
      </c>
      <c r="I8215" s="3" t="inlineStr">
        <is>
          <t>답</t>
        </is>
      </c>
      <c r="J8215" s="3" t="inlineStr">
        <is>
          <t>오송읍</t>
        </is>
      </c>
    </row>
    <row r="8216">
      <c r="A8216" s="3" t="n">
        <v>2025</v>
      </c>
      <c r="B8216" s="4" t="n">
        <v>16000</v>
      </c>
      <c r="C8216" s="4" t="n">
        <v>660</v>
      </c>
      <c r="D8216" s="4" t="n">
        <v>199.65</v>
      </c>
      <c r="E8216" s="5" t="n">
        <v>80.09999999999999</v>
      </c>
      <c r="F8216" s="3" t="inlineStr">
        <is>
          <t>강내면</t>
        </is>
      </c>
      <c r="G8216" s="3" t="inlineStr">
        <is>
          <t>저산리</t>
        </is>
      </c>
      <c r="H8216" s="3" t="inlineStr">
        <is>
          <t>계획관리지역</t>
        </is>
      </c>
      <c r="I8216" s="3" t="inlineStr">
        <is>
          <t>전</t>
        </is>
      </c>
      <c r="J8216" s="3" t="inlineStr">
        <is>
          <t>강내면</t>
        </is>
      </c>
    </row>
    <row r="8217">
      <c r="A8217" s="3" t="n">
        <v>2022</v>
      </c>
      <c r="B8217" s="4" t="n">
        <v>9000</v>
      </c>
      <c r="C8217" s="4" t="n">
        <v>232</v>
      </c>
      <c r="D8217" s="4" t="n">
        <v>70.17999999999999</v>
      </c>
      <c r="E8217" s="5" t="n">
        <v>128.2</v>
      </c>
      <c r="F8217" s="3" t="inlineStr">
        <is>
          <t>오송읍</t>
        </is>
      </c>
      <c r="G8217" s="3" t="inlineStr">
        <is>
          <t>연제리</t>
        </is>
      </c>
      <c r="H8217" s="3" t="inlineStr">
        <is>
          <t>농림지역</t>
        </is>
      </c>
      <c r="I8217" s="3" t="inlineStr">
        <is>
          <t>전</t>
        </is>
      </c>
      <c r="J8217" s="3" t="inlineStr">
        <is>
          <t>오송읍</t>
        </is>
      </c>
    </row>
    <row r="8218">
      <c r="A8218" s="3" t="n">
        <v>2022</v>
      </c>
      <c r="B8218" s="4" t="n">
        <v>5980</v>
      </c>
      <c r="C8218" s="4" t="n">
        <v>154</v>
      </c>
      <c r="D8218" s="4" t="n">
        <v>46.585</v>
      </c>
      <c r="E8218" s="5" t="n">
        <v>128.4</v>
      </c>
      <c r="F8218" s="3" t="inlineStr">
        <is>
          <t>오송읍</t>
        </is>
      </c>
      <c r="G8218" s="3" t="inlineStr">
        <is>
          <t>연제리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10000</v>
      </c>
      <c r="C8219" s="4" t="n">
        <v>410</v>
      </c>
      <c r="D8219" s="4" t="n">
        <v>124.025</v>
      </c>
      <c r="E8219" s="5" t="n">
        <v>80.59999999999999</v>
      </c>
      <c r="F8219" s="3" t="inlineStr">
        <is>
          <t>강내면</t>
        </is>
      </c>
      <c r="G8219" s="3" t="inlineStr">
        <is>
          <t>궁현리</t>
        </is>
      </c>
      <c r="H8219" s="3" t="inlineStr">
        <is>
          <t>계획관리지역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2022</v>
      </c>
      <c r="B8220" s="4" t="n">
        <v>1650</v>
      </c>
      <c r="C8220" s="4" t="n">
        <v>95</v>
      </c>
      <c r="D8220" s="4" t="n">
        <v>28.7375</v>
      </c>
      <c r="E8220" s="5" t="n">
        <v>57.4</v>
      </c>
      <c r="F8220" s="3" t="inlineStr">
        <is>
          <t>강내면</t>
        </is>
      </c>
      <c r="G8220" s="3" t="inlineStr">
        <is>
          <t>궁현리</t>
        </is>
      </c>
      <c r="H8220" s="3" t="inlineStr">
        <is>
          <t>계획관리지역</t>
        </is>
      </c>
      <c r="I8220" s="3" t="inlineStr">
        <is>
          <t>묘지</t>
        </is>
      </c>
      <c r="J8220" s="3" t="inlineStr">
        <is>
          <t>강내면</t>
        </is>
      </c>
    </row>
    <row r="8221">
      <c r="A8221" s="3" t="n">
        <v>2022</v>
      </c>
      <c r="B8221" s="4" t="n">
        <v>2115</v>
      </c>
      <c r="C8221" s="4" t="n">
        <v>26</v>
      </c>
      <c r="D8221" s="4" t="n">
        <v>7.865</v>
      </c>
      <c r="E8221" s="5" t="n">
        <v>268.9</v>
      </c>
      <c r="F8221" s="3" t="inlineStr">
        <is>
          <t>강내면</t>
        </is>
      </c>
      <c r="G8221" s="3" t="inlineStr">
        <is>
          <t>탑연리</t>
        </is>
      </c>
      <c r="H8221" s="3" t="inlineStr">
        <is>
          <t>계획관리지역</t>
        </is>
      </c>
      <c r="I8221" s="3" t="inlineStr">
        <is>
          <t>잡종지</t>
        </is>
      </c>
      <c r="J8221" s="3" t="inlineStr">
        <is>
          <t>강내면</t>
        </is>
      </c>
    </row>
    <row r="8222">
      <c r="A8222" s="3" t="n">
        <v>2022</v>
      </c>
      <c r="B8222" s="4" t="n">
        <v>10814</v>
      </c>
      <c r="C8222" s="4" t="n">
        <v>127</v>
      </c>
      <c r="D8222" s="4" t="n">
        <v>38.4175</v>
      </c>
      <c r="E8222" s="5" t="n">
        <v>281.5</v>
      </c>
      <c r="F8222" s="3" t="inlineStr">
        <is>
          <t>강내면</t>
        </is>
      </c>
      <c r="G8222" s="3" t="inlineStr">
        <is>
          <t>탑연리</t>
        </is>
      </c>
      <c r="H8222" s="3" t="inlineStr">
        <is>
          <t>계획관리지역</t>
        </is>
      </c>
      <c r="I8222" s="3" t="inlineStr">
        <is>
          <t>도로</t>
        </is>
      </c>
      <c r="J8222" s="3" t="inlineStr">
        <is>
          <t>강내면</t>
        </is>
      </c>
    </row>
    <row r="8223">
      <c r="A8223" s="3" t="n">
        <v>2022</v>
      </c>
      <c r="B8223" s="4" t="n">
        <v>164500</v>
      </c>
      <c r="C8223" s="4" t="n">
        <v>2315</v>
      </c>
      <c r="D8223" s="4" t="n">
        <v>700.2875</v>
      </c>
      <c r="E8223" s="5" t="n">
        <v>234.9</v>
      </c>
      <c r="F8223" s="3" t="inlineStr">
        <is>
          <t>오송읍</t>
        </is>
      </c>
      <c r="G8223" s="3" t="inlineStr">
        <is>
          <t>궁평리</t>
        </is>
      </c>
      <c r="H8223" s="3" t="inlineStr">
        <is>
          <t>농림지역</t>
        </is>
      </c>
      <c r="I8223" s="3" t="inlineStr">
        <is>
          <t>전</t>
        </is>
      </c>
      <c r="J8223" s="3" t="inlineStr">
        <is>
          <t>오송읍</t>
        </is>
      </c>
    </row>
    <row r="8224">
      <c r="A8224" s="3" t="n">
        <v>2022</v>
      </c>
      <c r="B8224" s="4" t="n">
        <v>19000</v>
      </c>
      <c r="C8224" s="4" t="n">
        <v>530</v>
      </c>
      <c r="D8224" s="4" t="n">
        <v>160.325</v>
      </c>
      <c r="E8224" s="5" t="n">
        <v>118.5</v>
      </c>
      <c r="F8224" s="3" t="inlineStr">
        <is>
          <t>강내면</t>
        </is>
      </c>
      <c r="G8224" s="3" t="inlineStr">
        <is>
          <t>석화리</t>
        </is>
      </c>
      <c r="H8224" s="3" t="inlineStr">
        <is>
          <t>자연녹지지역</t>
        </is>
      </c>
      <c r="I8224" s="3" t="inlineStr">
        <is>
          <t>대</t>
        </is>
      </c>
      <c r="J8224" s="3" t="inlineStr">
        <is>
          <t>강내면</t>
        </is>
      </c>
    </row>
    <row r="8225">
      <c r="A8225" s="3" t="n">
        <v>2022</v>
      </c>
      <c r="B8225" s="4" t="n">
        <v>20000</v>
      </c>
      <c r="C8225" s="4" t="n">
        <v>575</v>
      </c>
      <c r="D8225" s="4" t="n">
        <v>173.9375</v>
      </c>
      <c r="E8225" s="5" t="n">
        <v>115</v>
      </c>
      <c r="F8225" s="3" t="inlineStr">
        <is>
          <t>강내면</t>
        </is>
      </c>
      <c r="G8225" s="3" t="inlineStr">
        <is>
          <t>석화리</t>
        </is>
      </c>
      <c r="H8225" s="3" t="inlineStr">
        <is>
          <t>자연녹지지역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49000</v>
      </c>
      <c r="C8226" s="4" t="n">
        <v>1402</v>
      </c>
      <c r="D8226" s="4" t="n">
        <v>424.105</v>
      </c>
      <c r="E8226" s="5" t="n">
        <v>115.5</v>
      </c>
      <c r="F8226" s="3" t="inlineStr">
        <is>
          <t>강내면</t>
        </is>
      </c>
      <c r="G8226" s="3" t="inlineStr">
        <is>
          <t>석화리</t>
        </is>
      </c>
      <c r="H8226" s="3" t="inlineStr">
        <is>
          <t>자연녹지지역</t>
        </is>
      </c>
      <c r="I8226" s="3" t="inlineStr">
        <is>
          <t>답</t>
        </is>
      </c>
      <c r="J8226" s="3" t="inlineStr">
        <is>
          <t>강내면</t>
        </is>
      </c>
    </row>
    <row r="8227">
      <c r="A8227" s="3" t="n">
        <v>2022</v>
      </c>
      <c r="B8227" s="4" t="n">
        <v>7000</v>
      </c>
      <c r="C8227" s="4" t="n">
        <v>202</v>
      </c>
      <c r="D8227" s="4" t="n">
        <v>61.105</v>
      </c>
      <c r="E8227" s="5" t="n">
        <v>114.6</v>
      </c>
      <c r="F8227" s="3" t="inlineStr">
        <is>
          <t>강내면</t>
        </is>
      </c>
      <c r="G8227" s="3" t="inlineStr">
        <is>
          <t>석화리</t>
        </is>
      </c>
      <c r="H8227" s="3" t="inlineStr">
        <is>
          <t>자연녹지지역</t>
        </is>
      </c>
      <c r="I8227" s="3" t="inlineStr">
        <is>
          <t>답</t>
        </is>
      </c>
      <c r="J8227" s="3" t="inlineStr">
        <is>
          <t>강내면</t>
        </is>
      </c>
    </row>
    <row r="8228">
      <c r="A8228" s="3" t="n">
        <v>2022</v>
      </c>
      <c r="B8228" s="4" t="n">
        <v>800</v>
      </c>
      <c r="C8228" s="4" t="n">
        <v>3</v>
      </c>
      <c r="D8228" s="4" t="n">
        <v>0.9075</v>
      </c>
      <c r="E8228" s="5" t="n">
        <v>881.5</v>
      </c>
      <c r="F8228" s="3" t="inlineStr">
        <is>
          <t>오송읍</t>
        </is>
      </c>
      <c r="G8228" s="3" t="inlineStr">
        <is>
          <t>궁평리</t>
        </is>
      </c>
      <c r="H8228" s="3" t="inlineStr">
        <is>
          <t>일반상업지역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2022</v>
      </c>
      <c r="B8229" s="4" t="n">
        <v>80009</v>
      </c>
      <c r="C8229" s="4" t="n">
        <v>1392</v>
      </c>
      <c r="D8229" s="4" t="n">
        <v>421.08</v>
      </c>
      <c r="E8229" s="5" t="n">
        <v>190</v>
      </c>
      <c r="F8229" s="3" t="inlineStr">
        <is>
          <t>오송읍</t>
        </is>
      </c>
      <c r="G8229" s="3" t="inlineStr">
        <is>
          <t>궁평리</t>
        </is>
      </c>
      <c r="H8229" s="3" t="inlineStr">
        <is>
          <t>농림지역</t>
        </is>
      </c>
      <c r="I8229" s="3" t="inlineStr">
        <is>
          <t>답</t>
        </is>
      </c>
      <c r="J8229" s="3" t="inlineStr">
        <is>
          <t>오송읍</t>
        </is>
      </c>
    </row>
    <row r="8230">
      <c r="A8230" s="3" t="n">
        <v>2022</v>
      </c>
      <c r="B8230" s="4" t="n">
        <v>990</v>
      </c>
      <c r="C8230" s="4" t="n">
        <v>19</v>
      </c>
      <c r="D8230" s="4" t="n">
        <v>5.7475</v>
      </c>
      <c r="E8230" s="5" t="n">
        <v>172.2</v>
      </c>
      <c r="F8230" s="3" t="inlineStr">
        <is>
          <t>강내면</t>
        </is>
      </c>
      <c r="G8230" s="3" t="inlineStr">
        <is>
          <t>저산리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2022</v>
      </c>
      <c r="B8231" s="4" t="n">
        <v>2700</v>
      </c>
      <c r="C8231" s="4" t="n">
        <v>66</v>
      </c>
      <c r="D8231" s="4" t="n">
        <v>19.965</v>
      </c>
      <c r="E8231" s="5" t="n">
        <v>135.2</v>
      </c>
      <c r="F8231" s="3" t="inlineStr">
        <is>
          <t>강내면</t>
        </is>
      </c>
      <c r="G8231" s="3" t="inlineStr">
        <is>
          <t>저산리</t>
        </is>
      </c>
      <c r="H8231" s="3" t="inlineStr">
        <is>
          <t>보전관리지역</t>
        </is>
      </c>
      <c r="I8231" s="3" t="inlineStr">
        <is>
          <t>임야</t>
        </is>
      </c>
      <c r="J8231" s="3" t="inlineStr">
        <is>
          <t>강내면</t>
        </is>
      </c>
    </row>
    <row r="8232">
      <c r="A8232" s="3" t="n">
        <v>2022</v>
      </c>
      <c r="B8232" s="4" t="n">
        <v>17000</v>
      </c>
      <c r="C8232" s="4" t="n">
        <v>405</v>
      </c>
      <c r="D8232" s="4" t="n">
        <v>122.5125</v>
      </c>
      <c r="E8232" s="5" t="n">
        <v>138.8</v>
      </c>
      <c r="F8232" s="3" t="inlineStr">
        <is>
          <t>강내면</t>
        </is>
      </c>
      <c r="G8232" s="3" t="inlineStr">
        <is>
          <t>저산리</t>
        </is>
      </c>
      <c r="H8232" s="3" t="inlineStr">
        <is>
          <t>보전관리지역</t>
        </is>
      </c>
      <c r="I8232" s="3" t="inlineStr">
        <is>
          <t>임야</t>
        </is>
      </c>
      <c r="J8232" s="3" t="inlineStr">
        <is>
          <t>강내면</t>
        </is>
      </c>
    </row>
    <row r="8233">
      <c r="A8233" s="3" t="n">
        <v>2022</v>
      </c>
      <c r="B8233" s="4" t="n">
        <v>19800</v>
      </c>
      <c r="C8233" s="4" t="n">
        <v>469</v>
      </c>
      <c r="D8233" s="4" t="n">
        <v>141.8725</v>
      </c>
      <c r="E8233" s="5" t="n">
        <v>139.6</v>
      </c>
      <c r="F8233" s="3" t="inlineStr">
        <is>
          <t>강내면</t>
        </is>
      </c>
      <c r="G8233" s="3" t="inlineStr">
        <is>
          <t>저산리</t>
        </is>
      </c>
      <c r="H8233" s="3" t="inlineStr">
        <is>
          <t>보전관리지역</t>
        </is>
      </c>
      <c r="I8233" s="3" t="inlineStr">
        <is>
          <t>임야</t>
        </is>
      </c>
      <c r="J8233" s="3" t="inlineStr">
        <is>
          <t>강내면</t>
        </is>
      </c>
    </row>
    <row r="8234">
      <c r="A8234" s="3" t="n">
        <v>2022</v>
      </c>
      <c r="B8234" s="4" t="n">
        <v>875</v>
      </c>
      <c r="C8234" s="4" t="n">
        <v>20</v>
      </c>
      <c r="D8234" s="4" t="n">
        <v>6.05</v>
      </c>
      <c r="E8234" s="5" t="n">
        <v>144.6</v>
      </c>
      <c r="F8234" s="3" t="inlineStr">
        <is>
          <t>강내면</t>
        </is>
      </c>
      <c r="G8234" s="3" t="inlineStr">
        <is>
          <t>저산리</t>
        </is>
      </c>
      <c r="H8234" s="3" t="inlineStr">
        <is>
          <t>계획관리지역</t>
        </is>
      </c>
      <c r="I8234" s="3" t="inlineStr">
        <is>
          <t>전</t>
        </is>
      </c>
      <c r="J8234" s="3" t="inlineStr">
        <is>
          <t>강내면</t>
        </is>
      </c>
    </row>
    <row r="8235">
      <c r="A8235" s="3" t="n">
        <v>2022</v>
      </c>
      <c r="B8235" s="4" t="n">
        <v>20500</v>
      </c>
      <c r="C8235" s="4" t="n">
        <v>194</v>
      </c>
      <c r="D8235" s="4" t="n">
        <v>58.685</v>
      </c>
      <c r="E8235" s="5" t="n">
        <v>349.3</v>
      </c>
      <c r="F8235" s="3" t="inlineStr">
        <is>
          <t>강내면</t>
        </is>
      </c>
      <c r="G8235" s="3" t="inlineStr">
        <is>
          <t>탑연리</t>
        </is>
      </c>
      <c r="H8235" s="3" t="inlineStr">
        <is>
          <t>일반상업지역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2022</v>
      </c>
      <c r="B8236" s="4" t="n">
        <v>52760</v>
      </c>
      <c r="C8236" s="4" t="n">
        <v>790</v>
      </c>
      <c r="D8236" s="4" t="n">
        <v>238.975</v>
      </c>
      <c r="E8236" s="5" t="n">
        <v>220.8</v>
      </c>
      <c r="F8236" s="3" t="inlineStr">
        <is>
          <t>강내면</t>
        </is>
      </c>
      <c r="G8236" s="3" t="inlineStr">
        <is>
          <t>사인리</t>
        </is>
      </c>
      <c r="H8236" s="3" t="inlineStr">
        <is>
          <t>자연녹지지역</t>
        </is>
      </c>
      <c r="I8236" s="3" t="inlineStr">
        <is>
          <t>전</t>
        </is>
      </c>
      <c r="J8236" s="3" t="inlineStr">
        <is>
          <t>강내면</t>
        </is>
      </c>
    </row>
    <row r="8237">
      <c r="A8237" s="3" t="n">
        <v>2023</v>
      </c>
      <c r="B8237" s="4" t="n">
        <v>10000</v>
      </c>
      <c r="C8237" s="4" t="n">
        <v>199</v>
      </c>
      <c r="D8237" s="4" t="n">
        <v>60.1975</v>
      </c>
      <c r="E8237" s="5" t="n">
        <v>166.1</v>
      </c>
      <c r="F8237" s="3" t="inlineStr">
        <is>
          <t>남이면</t>
        </is>
      </c>
      <c r="G8237" s="3" t="inlineStr">
        <is>
          <t>구미리</t>
        </is>
      </c>
      <c r="H8237" s="3" t="inlineStr">
        <is>
          <t>계획관리지역</t>
        </is>
      </c>
      <c r="I8237" s="3" t="inlineStr">
        <is>
          <t>전</t>
        </is>
      </c>
      <c r="J8237" s="3" t="inlineStr">
        <is>
          <t>남이면</t>
        </is>
      </c>
    </row>
    <row r="8238">
      <c r="A8238" s="3" t="n">
        <v>2024</v>
      </c>
      <c r="B8238" s="4" t="n">
        <v>63000</v>
      </c>
      <c r="C8238" s="4" t="n">
        <v>1273</v>
      </c>
      <c r="D8238" s="4" t="n">
        <v>385.0825</v>
      </c>
      <c r="E8238" s="5" t="n">
        <v>163.6</v>
      </c>
      <c r="F8238" s="3" t="inlineStr">
        <is>
          <t>남이면</t>
        </is>
      </c>
      <c r="G8238" s="3" t="inlineStr">
        <is>
          <t>가좌리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2024</v>
      </c>
      <c r="B8239" s="4" t="n">
        <v>43500</v>
      </c>
      <c r="C8239" s="4" t="n">
        <v>1044</v>
      </c>
      <c r="D8239" s="4" t="n">
        <v>315.81</v>
      </c>
      <c r="E8239" s="5" t="n">
        <v>137.7</v>
      </c>
      <c r="F8239" s="3" t="inlineStr">
        <is>
          <t>현도면</t>
        </is>
      </c>
      <c r="G8239" s="3" t="inlineStr">
        <is>
          <t>매봉리</t>
        </is>
      </c>
      <c r="H8239" s="3" t="inlineStr">
        <is>
          <t>제1종일반주거지역</t>
        </is>
      </c>
      <c r="I8239" s="3" t="inlineStr">
        <is>
          <t>답</t>
        </is>
      </c>
      <c r="J8239" s="3" t="inlineStr">
        <is>
          <t>현도면</t>
        </is>
      </c>
    </row>
    <row r="8240">
      <c r="A8240" s="3" t="n">
        <v>2024</v>
      </c>
      <c r="B8240" s="4" t="n">
        <v>59800</v>
      </c>
      <c r="C8240" s="4" t="n">
        <v>1483</v>
      </c>
      <c r="D8240" s="4" t="n">
        <v>448.6075</v>
      </c>
      <c r="E8240" s="5" t="n">
        <v>133.3</v>
      </c>
      <c r="F8240" s="3" t="inlineStr">
        <is>
          <t>현도면</t>
        </is>
      </c>
      <c r="G8240" s="3" t="inlineStr">
        <is>
          <t>매봉리</t>
        </is>
      </c>
      <c r="H8240" s="3" t="inlineStr">
        <is>
          <t>제1종일반주거지역</t>
        </is>
      </c>
      <c r="I8240" s="3" t="inlineStr">
        <is>
          <t>답</t>
        </is>
      </c>
      <c r="J8240" s="3" t="inlineStr">
        <is>
          <t>현도면</t>
        </is>
      </c>
    </row>
    <row r="8241">
      <c r="A8241" s="3" t="n">
        <v>2024</v>
      </c>
      <c r="B8241" s="4" t="n">
        <v>22700</v>
      </c>
      <c r="C8241" s="4" t="n">
        <v>431</v>
      </c>
      <c r="D8241" s="4" t="n">
        <v>130.3775</v>
      </c>
      <c r="E8241" s="5" t="n">
        <v>174.1</v>
      </c>
      <c r="F8241" s="3" t="inlineStr">
        <is>
          <t>현도면</t>
        </is>
      </c>
      <c r="G8241" s="3" t="inlineStr">
        <is>
          <t>매봉리</t>
        </is>
      </c>
      <c r="H8241" s="3" t="inlineStr">
        <is>
          <t>제1종일반주거지역</t>
        </is>
      </c>
      <c r="I8241" s="3" t="inlineStr">
        <is>
          <t>잡종지</t>
        </is>
      </c>
      <c r="J8241" s="3" t="inlineStr">
        <is>
          <t>현도면</t>
        </is>
      </c>
    </row>
    <row r="8242">
      <c r="A8242" s="3" t="n">
        <v>2024</v>
      </c>
      <c r="B8242" s="4" t="n">
        <v>22000</v>
      </c>
      <c r="C8242" s="4" t="n">
        <v>420</v>
      </c>
      <c r="D8242" s="4" t="n">
        <v>127.05</v>
      </c>
      <c r="E8242" s="5" t="n">
        <v>173.2</v>
      </c>
      <c r="F8242" s="3" t="inlineStr">
        <is>
          <t>현도면</t>
        </is>
      </c>
      <c r="G8242" s="3" t="inlineStr">
        <is>
          <t>매봉리</t>
        </is>
      </c>
      <c r="H8242" s="3" t="inlineStr">
        <is>
          <t>제1종일반주거지역</t>
        </is>
      </c>
      <c r="I8242" s="3" t="inlineStr">
        <is>
          <t>잡종지</t>
        </is>
      </c>
      <c r="J8242" s="3" t="inlineStr">
        <is>
          <t>현도면</t>
        </is>
      </c>
    </row>
    <row r="8243">
      <c r="A8243" s="3" t="n">
        <v>2024</v>
      </c>
      <c r="B8243" s="4" t="n">
        <v>2000</v>
      </c>
      <c r="C8243" s="4" t="n">
        <v>258</v>
      </c>
      <c r="D8243" s="4" t="n">
        <v>78.045</v>
      </c>
      <c r="E8243" s="5" t="n">
        <v>25.6</v>
      </c>
      <c r="F8243" s="3" t="inlineStr">
        <is>
          <t>현도면</t>
        </is>
      </c>
      <c r="G8243" s="3" t="inlineStr">
        <is>
          <t>매봉리</t>
        </is>
      </c>
      <c r="H8243" s="3" t="inlineStr">
        <is>
          <t>자연녹지지역</t>
        </is>
      </c>
      <c r="I8243" s="3" t="inlineStr">
        <is>
          <t>제방</t>
        </is>
      </c>
      <c r="J8243" s="3" t="inlineStr">
        <is>
          <t>현도면</t>
        </is>
      </c>
    </row>
    <row r="8244">
      <c r="A8244" s="3" t="n">
        <v>2024</v>
      </c>
      <c r="B8244" s="4" t="n">
        <v>75063</v>
      </c>
      <c r="C8244" s="4" t="n">
        <v>1088</v>
      </c>
      <c r="D8244" s="4" t="n">
        <v>329.12</v>
      </c>
      <c r="E8244" s="5" t="n">
        <v>228.1</v>
      </c>
      <c r="F8244" s="3" t="inlineStr">
        <is>
          <t>현도면</t>
        </is>
      </c>
      <c r="G8244" s="3" t="inlineStr">
        <is>
          <t>죽암리</t>
        </is>
      </c>
      <c r="H8244" s="3" t="inlineStr">
        <is>
          <t>계획관리지역</t>
        </is>
      </c>
      <c r="I8244" s="3" t="inlineStr">
        <is>
          <t>전</t>
        </is>
      </c>
      <c r="J8244" s="3" t="inlineStr">
        <is>
          <t>현도면</t>
        </is>
      </c>
    </row>
    <row r="8245">
      <c r="A8245" s="3" t="n">
        <v>2022</v>
      </c>
      <c r="B8245" s="4" t="n">
        <v>4818</v>
      </c>
      <c r="C8245" s="4" t="n">
        <v>97</v>
      </c>
      <c r="D8245" s="4" t="n">
        <v>29.3425</v>
      </c>
      <c r="E8245" s="5" t="n">
        <v>164.2</v>
      </c>
      <c r="F8245" s="3" t="inlineStr">
        <is>
          <t>강내면</t>
        </is>
      </c>
      <c r="G8245" s="3" t="inlineStr">
        <is>
          <t>사인리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2025</v>
      </c>
      <c r="B8246" s="4" t="n">
        <v>26800</v>
      </c>
      <c r="C8246" s="4" t="n">
        <v>686</v>
      </c>
      <c r="D8246" s="4" t="n">
        <v>207.515</v>
      </c>
      <c r="E8246" s="5" t="n">
        <v>129.1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보전관리지역</t>
        </is>
      </c>
      <c r="I8246" s="3" t="inlineStr">
        <is>
          <t>전</t>
        </is>
      </c>
      <c r="J8246" s="3" t="inlineStr">
        <is>
          <t>오송읍</t>
        </is>
      </c>
    </row>
    <row r="8247">
      <c r="A8247" s="3" t="n">
        <v>2025</v>
      </c>
      <c r="B8247" s="4" t="n">
        <v>2674</v>
      </c>
      <c r="C8247" s="4" t="n">
        <v>191</v>
      </c>
      <c r="D8247" s="4" t="n">
        <v>57.7775</v>
      </c>
      <c r="E8247" s="5" t="n">
        <v>46.3</v>
      </c>
      <c r="F8247" s="3" t="inlineStr">
        <is>
          <t>강내면</t>
        </is>
      </c>
      <c r="G8247" s="3" t="inlineStr">
        <is>
          <t>태성리</t>
        </is>
      </c>
      <c r="H8247" s="3" t="inlineStr">
        <is>
          <t>계획관리지역</t>
        </is>
      </c>
      <c r="I8247" s="3" t="inlineStr">
        <is>
          <t>대</t>
        </is>
      </c>
      <c r="J8247" s="3" t="inlineStr">
        <is>
          <t>강내면</t>
        </is>
      </c>
    </row>
    <row r="8248">
      <c r="A8248" s="3" t="n">
        <v>2025</v>
      </c>
      <c r="B8248" s="4" t="n">
        <v>11000</v>
      </c>
      <c r="C8248" s="4" t="n">
        <v>1268</v>
      </c>
      <c r="D8248" s="4" t="n">
        <v>383.57</v>
      </c>
      <c r="E8248" s="5" t="n">
        <v>28.7</v>
      </c>
      <c r="F8248" s="3" t="inlineStr">
        <is>
          <t>강내면</t>
        </is>
      </c>
      <c r="G8248" s="3" t="inlineStr">
        <is>
          <t>저산리</t>
        </is>
      </c>
      <c r="H8248" s="3" t="inlineStr">
        <is>
          <t>농림지역</t>
        </is>
      </c>
      <c r="I8248" s="3" t="inlineStr">
        <is>
          <t>전</t>
        </is>
      </c>
      <c r="J8248" s="3" t="inlineStr">
        <is>
          <t>강내면</t>
        </is>
      </c>
    </row>
    <row r="8249">
      <c r="A8249" s="3" t="n">
        <v>2025</v>
      </c>
      <c r="B8249" s="4" t="n">
        <v>4000</v>
      </c>
      <c r="C8249" s="4" t="n">
        <v>564</v>
      </c>
      <c r="D8249" s="4" t="n">
        <v>170.61</v>
      </c>
      <c r="E8249" s="5" t="n">
        <v>23.4</v>
      </c>
      <c r="F8249" s="3" t="inlineStr">
        <is>
          <t>강내면</t>
        </is>
      </c>
      <c r="G8249" s="3" t="inlineStr">
        <is>
          <t>저산리</t>
        </is>
      </c>
      <c r="H8249" s="3" t="inlineStr">
        <is>
          <t>보전관리지역</t>
        </is>
      </c>
      <c r="I8249" s="3" t="inlineStr">
        <is>
          <t>임야</t>
        </is>
      </c>
      <c r="J8249" s="3" t="inlineStr">
        <is>
          <t>강내면</t>
        </is>
      </c>
    </row>
    <row r="8250">
      <c r="A8250" s="3" t="n">
        <v>2026</v>
      </c>
      <c r="B8250" s="4" t="n">
        <v>9864</v>
      </c>
      <c r="C8250" s="4" t="n">
        <v>331</v>
      </c>
      <c r="D8250" s="4" t="n">
        <v>100.1275</v>
      </c>
      <c r="E8250" s="5" t="n">
        <v>98.5</v>
      </c>
      <c r="F8250" s="3" t="inlineStr">
        <is>
          <t>오송읍</t>
        </is>
      </c>
      <c r="G8250" s="3" t="inlineStr">
        <is>
          <t>서평리</t>
        </is>
      </c>
      <c r="H8250" s="3" t="inlineStr">
        <is>
          <t>생산관리지역</t>
        </is>
      </c>
      <c r="I8250" s="3" t="inlineStr">
        <is>
          <t>전</t>
        </is>
      </c>
      <c r="J8250" s="3" t="inlineStr">
        <is>
          <t>오송읍</t>
        </is>
      </c>
    </row>
    <row r="8251">
      <c r="A8251" s="3" t="n">
        <v>2026</v>
      </c>
      <c r="B8251" s="4" t="n">
        <v>3636</v>
      </c>
      <c r="C8251" s="4" t="n">
        <v>122</v>
      </c>
      <c r="D8251" s="4" t="n">
        <v>36.905</v>
      </c>
      <c r="E8251" s="5" t="n">
        <v>98.5</v>
      </c>
      <c r="F8251" s="3" t="inlineStr">
        <is>
          <t>오송읍</t>
        </is>
      </c>
      <c r="G8251" s="3" t="inlineStr">
        <is>
          <t>서평리</t>
        </is>
      </c>
      <c r="H8251" s="3" t="inlineStr">
        <is>
          <t>생산관리지역</t>
        </is>
      </c>
      <c r="I8251" s="3" t="inlineStr">
        <is>
          <t>답</t>
        </is>
      </c>
      <c r="J8251" s="3" t="inlineStr">
        <is>
          <t>오송읍</t>
        </is>
      </c>
    </row>
    <row r="8252">
      <c r="A8252" s="3" t="n">
        <v>2026</v>
      </c>
      <c r="B8252" s="4" t="n">
        <v>21000</v>
      </c>
      <c r="C8252" s="4" t="n">
        <v>1001</v>
      </c>
      <c r="D8252" s="4" t="n">
        <v>302.8025</v>
      </c>
      <c r="E8252" s="5" t="n">
        <v>69.40000000000001</v>
      </c>
      <c r="F8252" s="3" t="inlineStr">
        <is>
          <t>오송읍</t>
        </is>
      </c>
      <c r="G8252" s="3" t="inlineStr">
        <is>
          <t>서평리</t>
        </is>
      </c>
      <c r="H8252" s="3" t="inlineStr">
        <is>
          <t>농림지역</t>
        </is>
      </c>
      <c r="I8252" s="3" t="inlineStr">
        <is>
          <t>전</t>
        </is>
      </c>
      <c r="J8252" s="3" t="inlineStr">
        <is>
          <t>오송읍</t>
        </is>
      </c>
    </row>
    <row r="8253">
      <c r="A8253" s="3" t="n">
        <v>2024</v>
      </c>
      <c r="B8253" s="4" t="n">
        <v>75063</v>
      </c>
      <c r="C8253" s="4" t="n">
        <v>1250</v>
      </c>
      <c r="D8253" s="4" t="n">
        <v>378.125</v>
      </c>
      <c r="E8253" s="5" t="n">
        <v>198.5</v>
      </c>
      <c r="F8253" s="3" t="inlineStr">
        <is>
          <t>현도면</t>
        </is>
      </c>
      <c r="G8253" s="3" t="inlineStr">
        <is>
          <t>죽암리</t>
        </is>
      </c>
      <c r="H8253" s="3" t="inlineStr">
        <is>
          <t>계획관리지역</t>
        </is>
      </c>
      <c r="I8253" s="3" t="inlineStr">
        <is>
          <t>전</t>
        </is>
      </c>
      <c r="J8253" s="3" t="inlineStr">
        <is>
          <t>현도면</t>
        </is>
      </c>
    </row>
    <row r="8254">
      <c r="A8254" s="3" t="n">
        <v>2023</v>
      </c>
      <c r="B8254" s="4" t="n">
        <v>6820</v>
      </c>
      <c r="C8254" s="4" t="n">
        <v>73</v>
      </c>
      <c r="D8254" s="4" t="n">
        <v>22.0825</v>
      </c>
      <c r="E8254" s="5" t="n">
        <v>308.8</v>
      </c>
      <c r="F8254" s="3" t="inlineStr">
        <is>
          <t>남이면</t>
        </is>
      </c>
      <c r="G8254" s="3" t="inlineStr">
        <is>
          <t>부용외천리</t>
        </is>
      </c>
      <c r="H8254" s="3" t="inlineStr">
        <is>
          <t>계획관리지역</t>
        </is>
      </c>
      <c r="I8254" s="3" t="inlineStr">
        <is>
          <t>도로</t>
        </is>
      </c>
      <c r="J8254" s="3" t="inlineStr">
        <is>
          <t>남이면</t>
        </is>
      </c>
    </row>
    <row r="8255">
      <c r="A8255" s="3" t="n">
        <v>2023</v>
      </c>
      <c r="B8255" s="4" t="n">
        <v>930</v>
      </c>
      <c r="C8255" s="4" t="n">
        <v>11</v>
      </c>
      <c r="D8255" s="4" t="n">
        <v>3.3275</v>
      </c>
      <c r="E8255" s="5" t="n">
        <v>279.5</v>
      </c>
      <c r="F8255" s="3" t="inlineStr">
        <is>
          <t>남이면</t>
        </is>
      </c>
      <c r="G8255" s="3" t="inlineStr">
        <is>
          <t>부용외천리</t>
        </is>
      </c>
      <c r="H8255" s="3" t="inlineStr">
        <is>
          <t>계획관리지역</t>
        </is>
      </c>
      <c r="I8255" s="3" t="inlineStr">
        <is>
          <t>도로</t>
        </is>
      </c>
      <c r="J8255" s="3" t="inlineStr">
        <is>
          <t>남이면</t>
        </is>
      </c>
    </row>
    <row r="8256">
      <c r="A8256" s="3" t="n">
        <v>2023</v>
      </c>
      <c r="B8256" s="4" t="n">
        <v>13050</v>
      </c>
      <c r="C8256" s="4" t="n">
        <v>863</v>
      </c>
      <c r="D8256" s="4" t="n">
        <v>261.0575</v>
      </c>
      <c r="E8256" s="5" t="n">
        <v>50</v>
      </c>
      <c r="F8256" s="3" t="inlineStr">
        <is>
          <t>남이면</t>
        </is>
      </c>
      <c r="G8256" s="3" t="inlineStr">
        <is>
          <t>산막리</t>
        </is>
      </c>
      <c r="H8256" s="3" t="inlineStr">
        <is>
          <t>생산관리지역</t>
        </is>
      </c>
      <c r="I8256" s="3" t="inlineStr">
        <is>
          <t>답</t>
        </is>
      </c>
      <c r="J8256" s="3" t="inlineStr">
        <is>
          <t>남이면</t>
        </is>
      </c>
    </row>
    <row r="8257">
      <c r="A8257" s="3" t="n">
        <v>2023</v>
      </c>
      <c r="B8257" s="4" t="n">
        <v>13900</v>
      </c>
      <c r="C8257" s="4" t="n">
        <v>2297</v>
      </c>
      <c r="D8257" s="4" t="n">
        <v>694.8425</v>
      </c>
      <c r="E8257" s="5" t="n">
        <v>20</v>
      </c>
      <c r="F8257" s="3" t="inlineStr">
        <is>
          <t>현도면</t>
        </is>
      </c>
      <c r="G8257" s="3" t="inlineStr">
        <is>
          <t>시동리</t>
        </is>
      </c>
      <c r="H8257" s="3" t="inlineStr">
        <is>
          <t>개발제한구역</t>
        </is>
      </c>
      <c r="I8257" s="3" t="inlineStr">
        <is>
          <t>답</t>
        </is>
      </c>
      <c r="J8257" s="3" t="inlineStr">
        <is>
          <t>현도면</t>
        </is>
      </c>
    </row>
    <row r="8258">
      <c r="A8258" s="3" t="n">
        <v>2023</v>
      </c>
      <c r="B8258" s="4" t="n">
        <v>8000</v>
      </c>
      <c r="C8258" s="4" t="n">
        <v>1323</v>
      </c>
      <c r="D8258" s="4" t="n">
        <v>400.2075</v>
      </c>
      <c r="E8258" s="5" t="n">
        <v>20</v>
      </c>
      <c r="F8258" s="3" t="inlineStr">
        <is>
          <t>현도면</t>
        </is>
      </c>
      <c r="G8258" s="3" t="inlineStr">
        <is>
          <t>시동리</t>
        </is>
      </c>
      <c r="H8258" s="3" t="inlineStr">
        <is>
          <t>개발제한구역</t>
        </is>
      </c>
      <c r="I8258" s="3" t="inlineStr">
        <is>
          <t>답</t>
        </is>
      </c>
      <c r="J8258" s="3" t="inlineStr">
        <is>
          <t>현도면</t>
        </is>
      </c>
    </row>
    <row r="8259">
      <c r="A8259" s="3" t="n">
        <v>2023</v>
      </c>
      <c r="B8259" s="4" t="n">
        <v>28000</v>
      </c>
      <c r="C8259" s="4" t="n">
        <v>4591</v>
      </c>
      <c r="D8259" s="4" t="n">
        <v>1388.7775</v>
      </c>
      <c r="E8259" s="5" t="n">
        <v>20.2</v>
      </c>
      <c r="F8259" s="3" t="inlineStr">
        <is>
          <t>현도면</t>
        </is>
      </c>
      <c r="G8259" s="3" t="inlineStr">
        <is>
          <t>달계리</t>
        </is>
      </c>
      <c r="H8259" s="3" t="inlineStr">
        <is>
          <t>개발제한구역</t>
        </is>
      </c>
      <c r="I8259" s="3" t="inlineStr">
        <is>
          <t>전</t>
        </is>
      </c>
      <c r="J8259" s="3" t="inlineStr">
        <is>
          <t>현도면</t>
        </is>
      </c>
    </row>
    <row r="8260">
      <c r="A8260" s="3" t="n">
        <v>2023</v>
      </c>
      <c r="B8260" s="4" t="n">
        <v>2000</v>
      </c>
      <c r="C8260" s="4" t="n">
        <v>895</v>
      </c>
      <c r="D8260" s="4" t="n">
        <v>270.7375</v>
      </c>
      <c r="E8260" s="5" t="n">
        <v>7.4</v>
      </c>
      <c r="F8260" s="3" t="inlineStr">
        <is>
          <t>현도면</t>
        </is>
      </c>
      <c r="G8260" s="3" t="inlineStr">
        <is>
          <t>달계리</t>
        </is>
      </c>
      <c r="H8260" s="3" t="inlineStr">
        <is>
          <t>개발제한구역</t>
        </is>
      </c>
      <c r="I8260" s="3" t="inlineStr">
        <is>
          <t>임야</t>
        </is>
      </c>
      <c r="J8260" s="3" t="inlineStr">
        <is>
          <t>현도면</t>
        </is>
      </c>
    </row>
    <row r="8261">
      <c r="A8261" s="3" t="n">
        <v>2023</v>
      </c>
      <c r="B8261" s="4" t="n">
        <v>5500</v>
      </c>
      <c r="C8261" s="4" t="n">
        <v>330</v>
      </c>
      <c r="D8261" s="4" t="n">
        <v>99.825</v>
      </c>
      <c r="E8261" s="5" t="n">
        <v>55.1</v>
      </c>
      <c r="F8261" s="3" t="inlineStr">
        <is>
          <t>남이면</t>
        </is>
      </c>
      <c r="G8261" s="3" t="inlineStr">
        <is>
          <t>산막리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남이면</t>
        </is>
      </c>
    </row>
    <row r="8262">
      <c r="A8262" s="3" t="n">
        <v>2023</v>
      </c>
      <c r="B8262" s="4" t="n">
        <v>3550</v>
      </c>
      <c r="C8262" s="4" t="n">
        <v>966</v>
      </c>
      <c r="D8262" s="4" t="n">
        <v>292.215</v>
      </c>
      <c r="E8262" s="5" t="n">
        <v>12.1</v>
      </c>
      <c r="F8262" s="3" t="inlineStr">
        <is>
          <t>현도면</t>
        </is>
      </c>
      <c r="G8262" s="3" t="inlineStr">
        <is>
          <t>시동리</t>
        </is>
      </c>
      <c r="H8262" s="3" t="inlineStr">
        <is>
          <t>보전관리지역</t>
        </is>
      </c>
      <c r="I8262" s="3" t="inlineStr">
        <is>
          <t>전</t>
        </is>
      </c>
      <c r="J8262" s="3" t="inlineStr">
        <is>
          <t>현도면</t>
        </is>
      </c>
    </row>
    <row r="8263">
      <c r="A8263" s="3" t="n">
        <v>2023</v>
      </c>
      <c r="B8263" s="4" t="n">
        <v>1421</v>
      </c>
      <c r="C8263" s="4" t="n">
        <v>94</v>
      </c>
      <c r="D8263" s="4" t="n">
        <v>28.435</v>
      </c>
      <c r="E8263" s="5" t="n">
        <v>50</v>
      </c>
      <c r="F8263" s="3" t="inlineStr">
        <is>
          <t>남이면</t>
        </is>
      </c>
      <c r="G8263" s="3" t="inlineStr">
        <is>
          <t>가좌리</t>
        </is>
      </c>
      <c r="H8263" s="3" t="inlineStr">
        <is>
          <t>자연녹지지역</t>
        </is>
      </c>
      <c r="I8263" s="3" t="inlineStr">
        <is>
          <t>답</t>
        </is>
      </c>
      <c r="J8263" s="3" t="inlineStr">
        <is>
          <t>남이면</t>
        </is>
      </c>
    </row>
    <row r="8264">
      <c r="A8264" s="3" t="n">
        <v>2023</v>
      </c>
      <c r="B8264" s="4" t="n">
        <v>574</v>
      </c>
      <c r="C8264" s="4" t="n">
        <v>38</v>
      </c>
      <c r="D8264" s="4" t="n">
        <v>11.495</v>
      </c>
      <c r="E8264" s="5" t="n">
        <v>49.9</v>
      </c>
      <c r="F8264" s="3" t="inlineStr">
        <is>
          <t>남이면</t>
        </is>
      </c>
      <c r="G8264" s="3" t="inlineStr">
        <is>
          <t>가좌리</t>
        </is>
      </c>
      <c r="H8264" s="3" t="inlineStr">
        <is>
          <t>자연녹지지역</t>
        </is>
      </c>
      <c r="I8264" s="3" t="inlineStr">
        <is>
          <t>답</t>
        </is>
      </c>
      <c r="J8264" s="3" t="inlineStr">
        <is>
          <t>남이면</t>
        </is>
      </c>
    </row>
    <row r="8265">
      <c r="A8265" s="3" t="n">
        <v>2023</v>
      </c>
      <c r="B8265" s="4" t="n">
        <v>25878</v>
      </c>
      <c r="C8265" s="4" t="n">
        <v>1711</v>
      </c>
      <c r="D8265" s="4" t="n">
        <v>517.5775</v>
      </c>
      <c r="E8265" s="5" t="n">
        <v>50</v>
      </c>
      <c r="F8265" s="3" t="inlineStr">
        <is>
          <t>남이면</t>
        </is>
      </c>
      <c r="G8265" s="3" t="inlineStr">
        <is>
          <t>가좌리</t>
        </is>
      </c>
      <c r="H8265" s="3" t="inlineStr">
        <is>
          <t>자연녹지지역</t>
        </is>
      </c>
      <c r="I8265" s="3" t="inlineStr">
        <is>
          <t>답</t>
        </is>
      </c>
      <c r="J8265" s="3" t="inlineStr">
        <is>
          <t>남이면</t>
        </is>
      </c>
    </row>
    <row r="8266">
      <c r="A8266" s="3" t="n">
        <v>2023</v>
      </c>
      <c r="B8266" s="4" t="n">
        <v>21595</v>
      </c>
      <c r="C8266" s="4" t="n">
        <v>1298</v>
      </c>
      <c r="D8266" s="4" t="n">
        <v>392.645</v>
      </c>
      <c r="E8266" s="5" t="n">
        <v>55</v>
      </c>
      <c r="F8266" s="3" t="inlineStr">
        <is>
          <t>남이면</t>
        </is>
      </c>
      <c r="G8266" s="3" t="inlineStr">
        <is>
          <t>가좌리</t>
        </is>
      </c>
      <c r="H8266" s="3" t="inlineStr">
        <is>
          <t>자연녹지지역</t>
        </is>
      </c>
      <c r="I8266" s="3" t="inlineStr">
        <is>
          <t>답</t>
        </is>
      </c>
      <c r="J8266" s="3" t="inlineStr">
        <is>
          <t>남이면</t>
        </is>
      </c>
    </row>
    <row r="8267">
      <c r="A8267" s="3" t="n">
        <v>2023</v>
      </c>
      <c r="B8267" s="4" t="n">
        <v>25450</v>
      </c>
      <c r="C8267" s="4" t="n">
        <v>1683</v>
      </c>
      <c r="D8267" s="4" t="n">
        <v>509.1075</v>
      </c>
      <c r="E8267" s="5" t="n">
        <v>50</v>
      </c>
      <c r="F8267" s="3" t="inlineStr">
        <is>
          <t>남이면</t>
        </is>
      </c>
      <c r="G8267" s="3" t="inlineStr">
        <is>
          <t>가좌리</t>
        </is>
      </c>
      <c r="H8267" s="3" t="inlineStr">
        <is>
          <t>자연녹지지역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2022</v>
      </c>
      <c r="B8268" s="4" t="n">
        <v>4884</v>
      </c>
      <c r="C8268" s="4" t="n">
        <v>266</v>
      </c>
      <c r="D8268" s="4" t="n">
        <v>80.465</v>
      </c>
      <c r="E8268" s="5" t="n">
        <v>60.7</v>
      </c>
      <c r="F8268" s="3" t="inlineStr">
        <is>
          <t>강내면</t>
        </is>
      </c>
      <c r="G8268" s="3" t="inlineStr">
        <is>
          <t>사인리</t>
        </is>
      </c>
      <c r="H8268" s="3" t="inlineStr">
        <is>
          <t>자연녹지지역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2022</v>
      </c>
      <c r="B8269" s="4" t="n">
        <v>15000</v>
      </c>
      <c r="C8269" s="4" t="n">
        <v>1111</v>
      </c>
      <c r="D8269" s="4" t="n">
        <v>336.0775</v>
      </c>
      <c r="E8269" s="5" t="n">
        <v>44.6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자연녹지지역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2022</v>
      </c>
      <c r="B8270" s="4" t="n">
        <v>36000</v>
      </c>
      <c r="C8270" s="4" t="n">
        <v>240.9</v>
      </c>
      <c r="D8270" s="4" t="n">
        <v>72.87224999999999</v>
      </c>
      <c r="E8270" s="5" t="n">
        <v>494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2022</v>
      </c>
      <c r="B8271" s="4" t="n">
        <v>48000</v>
      </c>
      <c r="C8271" s="4" t="n">
        <v>1083</v>
      </c>
      <c r="D8271" s="4" t="n">
        <v>327.6075</v>
      </c>
      <c r="E8271" s="5" t="n">
        <v>146.5</v>
      </c>
      <c r="F8271" s="3" t="inlineStr">
        <is>
          <t>오송읍</t>
        </is>
      </c>
      <c r="G8271" s="3" t="inlineStr">
        <is>
          <t>오송리</t>
        </is>
      </c>
      <c r="H8271" s="3" t="inlineStr">
        <is>
          <t>일반상업지역</t>
        </is>
      </c>
      <c r="I8271" s="3" t="inlineStr">
        <is>
          <t>답</t>
        </is>
      </c>
      <c r="J8271" s="3" t="inlineStr">
        <is>
          <t>오송읍</t>
        </is>
      </c>
    </row>
    <row r="8272">
      <c r="A8272" s="3" t="n">
        <v>2022</v>
      </c>
      <c r="B8272" s="4" t="n">
        <v>12000</v>
      </c>
      <c r="C8272" s="4" t="n">
        <v>568</v>
      </c>
      <c r="D8272" s="4" t="n">
        <v>171.82</v>
      </c>
      <c r="E8272" s="5" t="n">
        <v>69.8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2022</v>
      </c>
      <c r="B8273" s="4" t="n">
        <v>360</v>
      </c>
      <c r="C8273" s="4" t="n">
        <v>17</v>
      </c>
      <c r="D8273" s="4" t="n">
        <v>5.1425</v>
      </c>
      <c r="E8273" s="5" t="n">
        <v>70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대</t>
        </is>
      </c>
      <c r="J8273" s="3" t="inlineStr">
        <is>
          <t>강내면</t>
        </is>
      </c>
    </row>
    <row r="8274">
      <c r="A8274" s="3" t="n">
        <v>2022</v>
      </c>
      <c r="B8274" s="4" t="n">
        <v>12300</v>
      </c>
      <c r="C8274" s="4" t="n">
        <v>1597</v>
      </c>
      <c r="D8274" s="4" t="n">
        <v>483.0925</v>
      </c>
      <c r="E8274" s="5" t="n">
        <v>25.5</v>
      </c>
      <c r="F8274" s="3" t="inlineStr">
        <is>
          <t>강내면</t>
        </is>
      </c>
      <c r="G8274" s="3" t="inlineStr">
        <is>
          <t>황탄리</t>
        </is>
      </c>
      <c r="H8274" s="3" t="inlineStr">
        <is>
          <t>농림지역</t>
        </is>
      </c>
      <c r="I8274" s="3" t="inlineStr">
        <is>
          <t>답</t>
        </is>
      </c>
      <c r="J8274" s="3" t="inlineStr">
        <is>
          <t>강내면</t>
        </is>
      </c>
    </row>
    <row r="8275">
      <c r="A8275" s="3" t="n">
        <v>2022</v>
      </c>
      <c r="B8275" s="4" t="n">
        <v>4700</v>
      </c>
      <c r="C8275" s="4" t="n">
        <v>605</v>
      </c>
      <c r="D8275" s="4" t="n">
        <v>183.0125</v>
      </c>
      <c r="E8275" s="5" t="n">
        <v>25.7</v>
      </c>
      <c r="F8275" s="3" t="inlineStr">
        <is>
          <t>강내면</t>
        </is>
      </c>
      <c r="G8275" s="3" t="inlineStr">
        <is>
          <t>황탄리</t>
        </is>
      </c>
      <c r="H8275" s="3" t="inlineStr">
        <is>
          <t>농림지역</t>
        </is>
      </c>
      <c r="I8275" s="3" t="inlineStr">
        <is>
          <t>전</t>
        </is>
      </c>
      <c r="J8275" s="3" t="inlineStr">
        <is>
          <t>강내면</t>
        </is>
      </c>
    </row>
    <row r="8276">
      <c r="A8276" s="3" t="n">
        <v>2022</v>
      </c>
      <c r="B8276" s="4" t="n">
        <v>150</v>
      </c>
      <c r="C8276" s="4" t="n">
        <v>7</v>
      </c>
      <c r="D8276" s="4" t="n">
        <v>2.1175</v>
      </c>
      <c r="E8276" s="5" t="n">
        <v>70.8</v>
      </c>
      <c r="F8276" s="3" t="inlineStr">
        <is>
          <t>강내면</t>
        </is>
      </c>
      <c r="G8276" s="3" t="inlineStr">
        <is>
          <t>다락리</t>
        </is>
      </c>
      <c r="H8276" s="3" t="inlineStr">
        <is>
          <t>-</t>
        </is>
      </c>
      <c r="I8276" s="3" t="inlineStr">
        <is>
          <t>대</t>
        </is>
      </c>
      <c r="J8276" s="3" t="inlineStr">
        <is>
          <t>강내면</t>
        </is>
      </c>
    </row>
    <row r="8277">
      <c r="A8277" s="3" t="n">
        <v>2022</v>
      </c>
      <c r="B8277" s="4" t="n">
        <v>210</v>
      </c>
      <c r="C8277" s="4" t="n">
        <v>10</v>
      </c>
      <c r="D8277" s="4" t="n">
        <v>3.025</v>
      </c>
      <c r="E8277" s="5" t="n">
        <v>69.40000000000001</v>
      </c>
      <c r="F8277" s="3" t="inlineStr">
        <is>
          <t>강내면</t>
        </is>
      </c>
      <c r="G8277" s="3" t="inlineStr">
        <is>
          <t>다락리</t>
        </is>
      </c>
      <c r="H8277" s="3" t="inlineStr">
        <is>
          <t>-</t>
        </is>
      </c>
      <c r="I8277" s="3" t="inlineStr">
        <is>
          <t>대</t>
        </is>
      </c>
      <c r="J8277" s="3" t="inlineStr">
        <is>
          <t>강내면</t>
        </is>
      </c>
    </row>
    <row r="8278">
      <c r="A8278" s="3" t="n">
        <v>2022</v>
      </c>
      <c r="B8278" s="4" t="n">
        <v>1700</v>
      </c>
      <c r="C8278" s="4" t="n">
        <v>132</v>
      </c>
      <c r="D8278" s="4" t="n">
        <v>39.93</v>
      </c>
      <c r="E8278" s="5" t="n">
        <v>42.6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계획관리지역</t>
        </is>
      </c>
      <c r="I8278" s="3" t="inlineStr">
        <is>
          <t>임야</t>
        </is>
      </c>
      <c r="J8278" s="3" t="inlineStr">
        <is>
          <t>오송읍</t>
        </is>
      </c>
    </row>
    <row r="8279">
      <c r="A8279" s="3" t="n">
        <v>2022</v>
      </c>
      <c r="B8279" s="4" t="n">
        <v>76000</v>
      </c>
      <c r="C8279" s="4" t="n">
        <v>2638</v>
      </c>
      <c r="D8279" s="4" t="n">
        <v>797.995</v>
      </c>
      <c r="E8279" s="5" t="n">
        <v>95.2</v>
      </c>
      <c r="F8279" s="3" t="inlineStr">
        <is>
          <t>강내면</t>
        </is>
      </c>
      <c r="G8279" s="3" t="inlineStr">
        <is>
          <t>석화리</t>
        </is>
      </c>
      <c r="H8279" s="3" t="inlineStr">
        <is>
          <t>생산녹지지역</t>
        </is>
      </c>
      <c r="I8279" s="3" t="inlineStr">
        <is>
          <t>답</t>
        </is>
      </c>
      <c r="J8279" s="3" t="inlineStr">
        <is>
          <t>강내면</t>
        </is>
      </c>
    </row>
    <row r="8280">
      <c r="A8280" s="3" t="n">
        <v>2022</v>
      </c>
      <c r="B8280" s="4" t="n">
        <v>18000</v>
      </c>
      <c r="C8280" s="4" t="n">
        <v>407</v>
      </c>
      <c r="D8280" s="4" t="n">
        <v>123.1175</v>
      </c>
      <c r="E8280" s="5" t="n">
        <v>146.2</v>
      </c>
      <c r="F8280" s="3" t="inlineStr">
        <is>
          <t>강내면</t>
        </is>
      </c>
      <c r="G8280" s="3" t="inlineStr">
        <is>
          <t>사인리</t>
        </is>
      </c>
      <c r="H8280" s="3" t="inlineStr">
        <is>
          <t>자연녹지지역</t>
        </is>
      </c>
      <c r="I8280" s="3" t="inlineStr">
        <is>
          <t>임야</t>
        </is>
      </c>
      <c r="J8280" s="3" t="inlineStr">
        <is>
          <t>강내면</t>
        </is>
      </c>
    </row>
    <row r="8281">
      <c r="A8281" s="3" t="n">
        <v>2024</v>
      </c>
      <c r="B8281" s="4" t="n">
        <v>47100</v>
      </c>
      <c r="C8281" s="4" t="n">
        <v>622</v>
      </c>
      <c r="D8281" s="4" t="n">
        <v>188.155</v>
      </c>
      <c r="E8281" s="5" t="n">
        <v>250.3</v>
      </c>
      <c r="F8281" s="3" t="inlineStr">
        <is>
          <t>오송읍</t>
        </is>
      </c>
      <c r="G8281" s="3" t="inlineStr">
        <is>
          <t>궁평리</t>
        </is>
      </c>
      <c r="H8281" s="3" t="inlineStr">
        <is>
          <t>농림지역</t>
        </is>
      </c>
      <c r="I8281" s="3" t="inlineStr">
        <is>
          <t>대</t>
        </is>
      </c>
      <c r="J8281" s="3" t="inlineStr">
        <is>
          <t>오송읍</t>
        </is>
      </c>
    </row>
    <row r="8282">
      <c r="A8282" s="3" t="n">
        <v>2024</v>
      </c>
      <c r="B8282" s="4" t="n">
        <v>1377</v>
      </c>
      <c r="C8282" s="4" t="n">
        <v>36</v>
      </c>
      <c r="D8282" s="4" t="n">
        <v>10.89</v>
      </c>
      <c r="E8282" s="5" t="n">
        <v>126.4</v>
      </c>
      <c r="F8282" s="3" t="inlineStr">
        <is>
          <t>강내면</t>
        </is>
      </c>
      <c r="G8282" s="3" t="inlineStr">
        <is>
          <t>월곡리</t>
        </is>
      </c>
      <c r="H8282" s="3" t="inlineStr">
        <is>
          <t>제2종일반주거지역</t>
        </is>
      </c>
      <c r="I8282" s="3" t="inlineStr">
        <is>
          <t>대</t>
        </is>
      </c>
      <c r="J8282" s="3" t="inlineStr">
        <is>
          <t>강내면</t>
        </is>
      </c>
    </row>
    <row r="8283">
      <c r="A8283" s="3" t="n">
        <v>2024</v>
      </c>
      <c r="B8283" s="4" t="n">
        <v>5508</v>
      </c>
      <c r="C8283" s="4" t="n">
        <v>9</v>
      </c>
      <c r="D8283" s="4" t="n">
        <v>2.7225</v>
      </c>
      <c r="E8283" s="5" t="n">
        <v>2023.1</v>
      </c>
      <c r="F8283" s="3" t="inlineStr">
        <is>
          <t>강내면</t>
        </is>
      </c>
      <c r="G8283" s="3" t="inlineStr">
        <is>
          <t>월곡리</t>
        </is>
      </c>
      <c r="H8283" s="3" t="inlineStr">
        <is>
          <t>제2종일반주거지역</t>
        </is>
      </c>
      <c r="I8283" s="3" t="inlineStr">
        <is>
          <t>구거</t>
        </is>
      </c>
      <c r="J8283" s="3" t="inlineStr">
        <is>
          <t>강내면</t>
        </is>
      </c>
    </row>
    <row r="8284">
      <c r="A8284" s="3" t="n">
        <v>2024</v>
      </c>
      <c r="B8284" s="4" t="n">
        <v>153000</v>
      </c>
      <c r="C8284" s="4" t="n">
        <v>507</v>
      </c>
      <c r="D8284" s="4" t="n">
        <v>153.3675</v>
      </c>
      <c r="E8284" s="5" t="n">
        <v>997.6</v>
      </c>
      <c r="F8284" s="3" t="inlineStr">
        <is>
          <t>강내면</t>
        </is>
      </c>
      <c r="G8284" s="3" t="inlineStr">
        <is>
          <t>탑연리</t>
        </is>
      </c>
      <c r="H8284" s="3" t="inlineStr">
        <is>
          <t>일반상업지역</t>
        </is>
      </c>
      <c r="I8284" s="3" t="inlineStr">
        <is>
          <t>전</t>
        </is>
      </c>
      <c r="J8284" s="3" t="inlineStr">
        <is>
          <t>강내면</t>
        </is>
      </c>
    </row>
    <row r="8285">
      <c r="A8285" s="3" t="n">
        <v>2024</v>
      </c>
      <c r="B8285" s="4" t="n">
        <v>4000</v>
      </c>
      <c r="C8285" s="4" t="n">
        <v>13</v>
      </c>
      <c r="D8285" s="4" t="n">
        <v>3.9325</v>
      </c>
      <c r="E8285" s="5" t="n">
        <v>1017.2</v>
      </c>
      <c r="F8285" s="3" t="inlineStr">
        <is>
          <t>강내면</t>
        </is>
      </c>
      <c r="G8285" s="3" t="inlineStr">
        <is>
          <t>탑연리</t>
        </is>
      </c>
      <c r="H8285" s="3" t="inlineStr">
        <is>
          <t>일반상업지역</t>
        </is>
      </c>
      <c r="I8285" s="3" t="inlineStr">
        <is>
          <t>임야</t>
        </is>
      </c>
      <c r="J8285" s="3" t="inlineStr">
        <is>
          <t>강내면</t>
        </is>
      </c>
    </row>
    <row r="8286">
      <c r="A8286" s="3" t="n">
        <v>2024</v>
      </c>
      <c r="B8286" s="4" t="n">
        <v>450</v>
      </c>
      <c r="C8286" s="4" t="n">
        <v>15</v>
      </c>
      <c r="D8286" s="4" t="n">
        <v>4.5375</v>
      </c>
      <c r="E8286" s="5" t="n">
        <v>99.2</v>
      </c>
      <c r="F8286" s="3" t="inlineStr">
        <is>
          <t>강내면</t>
        </is>
      </c>
      <c r="G8286" s="3" t="inlineStr">
        <is>
          <t>저산리</t>
        </is>
      </c>
      <c r="H8286" s="3" t="inlineStr">
        <is>
          <t>보전관리지역</t>
        </is>
      </c>
      <c r="I8286" s="3" t="inlineStr">
        <is>
          <t>대</t>
        </is>
      </c>
      <c r="J8286" s="3" t="inlineStr">
        <is>
          <t>강내면</t>
        </is>
      </c>
    </row>
    <row r="8287">
      <c r="A8287" s="3" t="n">
        <v>2024</v>
      </c>
      <c r="B8287" s="4" t="n">
        <v>21120</v>
      </c>
      <c r="C8287" s="4" t="n">
        <v>583</v>
      </c>
      <c r="D8287" s="4" t="n">
        <v>176.3575</v>
      </c>
      <c r="E8287" s="5" t="n">
        <v>119.8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보전관리지역</t>
        </is>
      </c>
      <c r="I8287" s="3" t="inlineStr">
        <is>
          <t>대</t>
        </is>
      </c>
      <c r="J8287" s="3" t="inlineStr">
        <is>
          <t>강내면</t>
        </is>
      </c>
    </row>
    <row r="8288">
      <c r="A8288" s="3" t="n">
        <v>2024</v>
      </c>
      <c r="B8288" s="4" t="n">
        <v>18400</v>
      </c>
      <c r="C8288" s="4" t="n">
        <v>612</v>
      </c>
      <c r="D8288" s="4" t="n">
        <v>185.13</v>
      </c>
      <c r="E8288" s="5" t="n">
        <v>99.40000000000001</v>
      </c>
      <c r="F8288" s="3" t="inlineStr">
        <is>
          <t>강내면</t>
        </is>
      </c>
      <c r="G8288" s="3" t="inlineStr">
        <is>
          <t>저산리</t>
        </is>
      </c>
      <c r="H8288" s="3" t="inlineStr">
        <is>
          <t>계획관리지역</t>
        </is>
      </c>
      <c r="I8288" s="3" t="inlineStr">
        <is>
          <t>대</t>
        </is>
      </c>
      <c r="J8288" s="3" t="inlineStr">
        <is>
          <t>강내면</t>
        </is>
      </c>
    </row>
    <row r="8289">
      <c r="A8289" s="3" t="n">
        <v>2024</v>
      </c>
      <c r="B8289" s="4" t="n">
        <v>880000</v>
      </c>
      <c r="C8289" s="4" t="n">
        <v>2868</v>
      </c>
      <c r="D8289" s="4" t="n">
        <v>867.5699999999999</v>
      </c>
      <c r="E8289" s="5" t="n">
        <v>1014.3</v>
      </c>
      <c r="F8289" s="3" t="inlineStr">
        <is>
          <t>강내면</t>
        </is>
      </c>
      <c r="G8289" s="3" t="inlineStr">
        <is>
          <t>탑연리</t>
        </is>
      </c>
      <c r="H8289" s="3" t="inlineStr">
        <is>
          <t>일반상업지역</t>
        </is>
      </c>
      <c r="I8289" s="3" t="inlineStr">
        <is>
          <t>대</t>
        </is>
      </c>
      <c r="J8289" s="3" t="inlineStr">
        <is>
          <t>강내면</t>
        </is>
      </c>
    </row>
    <row r="8290">
      <c r="A8290" s="3" t="n">
        <v>2024</v>
      </c>
      <c r="B8290" s="4" t="n">
        <v>55000</v>
      </c>
      <c r="C8290" s="4" t="n">
        <v>2387</v>
      </c>
      <c r="D8290" s="4" t="n">
        <v>722.0675</v>
      </c>
      <c r="E8290" s="5" t="n">
        <v>76.2</v>
      </c>
      <c r="F8290" s="3" t="inlineStr">
        <is>
          <t>강내면</t>
        </is>
      </c>
      <c r="G8290" s="3" t="inlineStr">
        <is>
          <t>다락리</t>
        </is>
      </c>
      <c r="H8290" s="3" t="inlineStr">
        <is>
          <t>계획관리지역</t>
        </is>
      </c>
      <c r="I8290" s="3" t="inlineStr">
        <is>
          <t>전</t>
        </is>
      </c>
      <c r="J8290" s="3" t="inlineStr">
        <is>
          <t>강내면</t>
        </is>
      </c>
    </row>
    <row r="8291">
      <c r="A8291" s="3" t="n">
        <v>2026</v>
      </c>
      <c r="B8291" s="4" t="n">
        <v>141000</v>
      </c>
      <c r="C8291" s="4" t="n">
        <v>8525</v>
      </c>
      <c r="D8291" s="4" t="n">
        <v>2578.8125</v>
      </c>
      <c r="E8291" s="5" t="n">
        <v>54.7</v>
      </c>
      <c r="F8291" s="3" t="inlineStr">
        <is>
          <t>강내면</t>
        </is>
      </c>
      <c r="G8291" s="3" t="inlineStr">
        <is>
          <t>태성리</t>
        </is>
      </c>
      <c r="H8291" s="3" t="inlineStr">
        <is>
          <t>계획관리지역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2026</v>
      </c>
      <c r="B8292" s="4" t="n">
        <v>23500</v>
      </c>
      <c r="C8292" s="4" t="n">
        <v>242</v>
      </c>
      <c r="D8292" s="4" t="n">
        <v>73.205</v>
      </c>
      <c r="E8292" s="5" t="n">
        <v>321</v>
      </c>
      <c r="F8292" s="3" t="inlineStr">
        <is>
          <t>오송읍</t>
        </is>
      </c>
      <c r="G8292" s="3" t="inlineStr">
        <is>
          <t>궁평리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2024</v>
      </c>
      <c r="B8293" s="4" t="n">
        <v>29874</v>
      </c>
      <c r="C8293" s="4" t="n">
        <v>271</v>
      </c>
      <c r="D8293" s="4" t="n">
        <v>81.97749999999999</v>
      </c>
      <c r="E8293" s="5" t="n">
        <v>364.4</v>
      </c>
      <c r="F8293" s="3" t="inlineStr">
        <is>
          <t>현도면</t>
        </is>
      </c>
      <c r="G8293" s="3" t="inlineStr">
        <is>
          <t>죽암리</t>
        </is>
      </c>
      <c r="H8293" s="3" t="inlineStr">
        <is>
          <t>계획관리지역</t>
        </is>
      </c>
      <c r="I8293" s="3" t="inlineStr">
        <is>
          <t>전</t>
        </is>
      </c>
      <c r="J8293" s="3" t="inlineStr">
        <is>
          <t>현도면</t>
        </is>
      </c>
    </row>
    <row r="8294">
      <c r="A8294" s="3" t="n">
        <v>2026</v>
      </c>
      <c r="B8294" s="4" t="n">
        <v>2091</v>
      </c>
      <c r="C8294" s="4" t="n">
        <v>854</v>
      </c>
      <c r="D8294" s="4" t="n">
        <v>258.335</v>
      </c>
      <c r="E8294" s="5" t="n">
        <v>8.1</v>
      </c>
      <c r="F8294" s="3" t="inlineStr">
        <is>
          <t>남이면</t>
        </is>
      </c>
      <c r="G8294" s="3" t="inlineStr">
        <is>
          <t>부용외천리</t>
        </is>
      </c>
      <c r="H8294" s="3" t="inlineStr">
        <is>
          <t>생산관리지역</t>
        </is>
      </c>
      <c r="I8294" s="3" t="inlineStr">
        <is>
          <t>전</t>
        </is>
      </c>
      <c r="J8294" s="3" t="inlineStr">
        <is>
          <t>남이면</t>
        </is>
      </c>
    </row>
    <row r="8295">
      <c r="A8295" s="3" t="n">
        <v>2026</v>
      </c>
      <c r="B8295" s="4" t="n">
        <v>32000</v>
      </c>
      <c r="C8295" s="4" t="n">
        <v>267.9</v>
      </c>
      <c r="D8295" s="4" t="n">
        <v>81.03974999999998</v>
      </c>
      <c r="E8295" s="5" t="n">
        <v>394.9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2026</v>
      </c>
      <c r="B8296" s="4" t="n">
        <v>35900</v>
      </c>
      <c r="C8296" s="4" t="n">
        <v>2081</v>
      </c>
      <c r="D8296" s="4" t="n">
        <v>629.5024999999999</v>
      </c>
      <c r="E8296" s="5" t="n">
        <v>57</v>
      </c>
      <c r="F8296" s="3" t="inlineStr">
        <is>
          <t>강내면</t>
        </is>
      </c>
      <c r="G8296" s="3" t="inlineStr">
        <is>
          <t>사곡리</t>
        </is>
      </c>
      <c r="H8296" s="3" t="inlineStr">
        <is>
          <t>계획관리지역</t>
        </is>
      </c>
      <c r="I8296" s="3" t="inlineStr">
        <is>
          <t>전</t>
        </is>
      </c>
      <c r="J8296" s="3" t="inlineStr">
        <is>
          <t>강내면</t>
        </is>
      </c>
    </row>
    <row r="8297">
      <c r="A8297" s="3" t="n">
        <v>2022</v>
      </c>
      <c r="B8297" s="4" t="n">
        <v>6012</v>
      </c>
      <c r="C8297" s="4" t="n">
        <v>755</v>
      </c>
      <c r="D8297" s="4" t="n">
        <v>228.3875</v>
      </c>
      <c r="E8297" s="5" t="n">
        <v>26.3</v>
      </c>
      <c r="F8297" s="3" t="inlineStr">
        <is>
          <t>강내면</t>
        </is>
      </c>
      <c r="G8297" s="3" t="inlineStr">
        <is>
          <t>태성리</t>
        </is>
      </c>
      <c r="H8297" s="3" t="inlineStr">
        <is>
          <t>계획관리지역</t>
        </is>
      </c>
      <c r="I8297" s="3" t="inlineStr">
        <is>
          <t>임야</t>
        </is>
      </c>
      <c r="J8297" s="3" t="inlineStr">
        <is>
          <t>강내면</t>
        </is>
      </c>
    </row>
    <row r="8298">
      <c r="A8298" s="3" t="n">
        <v>2022</v>
      </c>
      <c r="B8298" s="4" t="n">
        <v>14147</v>
      </c>
      <c r="C8298" s="4" t="n">
        <v>177</v>
      </c>
      <c r="D8298" s="4" t="n">
        <v>53.5425</v>
      </c>
      <c r="E8298" s="5" t="n">
        <v>264.2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제2종일반주거지역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2022</v>
      </c>
      <c r="B8299" s="4" t="n">
        <v>10231</v>
      </c>
      <c r="C8299" s="4" t="n">
        <v>128</v>
      </c>
      <c r="D8299" s="4" t="n">
        <v>38.72</v>
      </c>
      <c r="E8299" s="5" t="n">
        <v>264.2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제2종일반주거지역</t>
        </is>
      </c>
      <c r="I8299" s="3" t="inlineStr">
        <is>
          <t>답</t>
        </is>
      </c>
      <c r="J8299" s="3" t="inlineStr">
        <is>
          <t>강내면</t>
        </is>
      </c>
    </row>
    <row r="8300">
      <c r="A8300" s="3" t="n">
        <v>2022</v>
      </c>
      <c r="B8300" s="4" t="n">
        <v>3436</v>
      </c>
      <c r="C8300" s="4" t="n">
        <v>43</v>
      </c>
      <c r="D8300" s="4" t="n">
        <v>13.0075</v>
      </c>
      <c r="E8300" s="5" t="n">
        <v>264.2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제2종일반주거지역</t>
        </is>
      </c>
      <c r="I8300" s="3" t="inlineStr">
        <is>
          <t>전</t>
        </is>
      </c>
      <c r="J8300" s="3" t="inlineStr">
        <is>
          <t>강내면</t>
        </is>
      </c>
    </row>
    <row r="8301">
      <c r="A8301" s="3" t="n">
        <v>2022</v>
      </c>
      <c r="B8301" s="4" t="n">
        <v>100569</v>
      </c>
      <c r="C8301" s="4" t="n">
        <v>4821.6</v>
      </c>
      <c r="D8301" s="4" t="n">
        <v>1458.534</v>
      </c>
      <c r="E8301" s="5" t="n">
        <v>69</v>
      </c>
      <c r="F8301" s="3" t="inlineStr">
        <is>
          <t>오송읍</t>
        </is>
      </c>
      <c r="G8301" s="3" t="inlineStr">
        <is>
          <t>연제리</t>
        </is>
      </c>
      <c r="H8301" s="3" t="inlineStr">
        <is>
          <t>준공업지역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8370</v>
      </c>
      <c r="C8302" s="4" t="n">
        <v>209</v>
      </c>
      <c r="D8302" s="4" t="n">
        <v>63.2225</v>
      </c>
      <c r="E8302" s="5" t="n">
        <v>132.4</v>
      </c>
      <c r="F8302" s="3" t="inlineStr">
        <is>
          <t>오송읍</t>
        </is>
      </c>
      <c r="G8302" s="3" t="inlineStr">
        <is>
          <t>연제리</t>
        </is>
      </c>
      <c r="H8302" s="3" t="inlineStr">
        <is>
          <t>농림지역</t>
        </is>
      </c>
      <c r="I8302" s="3" t="inlineStr">
        <is>
          <t>답</t>
        </is>
      </c>
      <c r="J8302" s="3" t="inlineStr">
        <is>
          <t>오송읍</t>
        </is>
      </c>
    </row>
    <row r="8303">
      <c r="A8303" s="3" t="n">
        <v>2022</v>
      </c>
      <c r="B8303" s="4" t="n">
        <v>58684</v>
      </c>
      <c r="C8303" s="4" t="n">
        <v>2917</v>
      </c>
      <c r="D8303" s="4" t="n">
        <v>882.3924999999999</v>
      </c>
      <c r="E8303" s="5" t="n">
        <v>66.5</v>
      </c>
      <c r="F8303" s="3" t="inlineStr">
        <is>
          <t>강내면</t>
        </is>
      </c>
      <c r="G8303" s="3" t="inlineStr">
        <is>
          <t>월탄리</t>
        </is>
      </c>
      <c r="H8303" s="3" t="inlineStr">
        <is>
          <t>농림지역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2022</v>
      </c>
      <c r="B8304" s="4" t="n">
        <v>26000</v>
      </c>
      <c r="C8304" s="4" t="n">
        <v>215</v>
      </c>
      <c r="D8304" s="4" t="n">
        <v>65.03749999999999</v>
      </c>
      <c r="E8304" s="5" t="n">
        <v>399.8</v>
      </c>
      <c r="F8304" s="3" t="inlineStr">
        <is>
          <t>오송읍</t>
        </is>
      </c>
      <c r="G8304" s="3" t="inlineStr">
        <is>
          <t>오송리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오송읍</t>
        </is>
      </c>
    </row>
    <row r="8305">
      <c r="A8305" s="3" t="n">
        <v>2022</v>
      </c>
      <c r="B8305" s="4" t="n">
        <v>15000</v>
      </c>
      <c r="C8305" s="4" t="n">
        <v>693</v>
      </c>
      <c r="D8305" s="4" t="n">
        <v>209.6325</v>
      </c>
      <c r="E8305" s="5" t="n">
        <v>71.59999999999999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강내면</t>
        </is>
      </c>
    </row>
    <row r="8306">
      <c r="A8306" s="3" t="n">
        <v>2022</v>
      </c>
      <c r="B8306" s="4" t="n">
        <v>8500</v>
      </c>
      <c r="C8306" s="4" t="n">
        <v>60</v>
      </c>
      <c r="D8306" s="4" t="n">
        <v>18.15</v>
      </c>
      <c r="E8306" s="5" t="n">
        <v>468.3</v>
      </c>
      <c r="F8306" s="3" t="inlineStr">
        <is>
          <t>오송읍</t>
        </is>
      </c>
      <c r="G8306" s="3" t="inlineStr">
        <is>
          <t>오송리</t>
        </is>
      </c>
      <c r="H8306" s="3" t="inlineStr">
        <is>
          <t>계획관리지역</t>
        </is>
      </c>
      <c r="I8306" s="3" t="inlineStr">
        <is>
          <t>대</t>
        </is>
      </c>
      <c r="J8306" s="3" t="inlineStr">
        <is>
          <t>오송읍</t>
        </is>
      </c>
    </row>
    <row r="8307">
      <c r="A8307" s="3" t="n">
        <v>2022</v>
      </c>
      <c r="B8307" s="4" t="n">
        <v>54000</v>
      </c>
      <c r="C8307" s="4" t="n">
        <v>506</v>
      </c>
      <c r="D8307" s="4" t="n">
        <v>153.065</v>
      </c>
      <c r="E8307" s="5" t="n">
        <v>352.8</v>
      </c>
      <c r="F8307" s="3" t="inlineStr">
        <is>
          <t>오송읍</t>
        </is>
      </c>
      <c r="G8307" s="3" t="inlineStr">
        <is>
          <t>연제리</t>
        </is>
      </c>
      <c r="H8307" s="3" t="inlineStr">
        <is>
          <t>계획관리지역</t>
        </is>
      </c>
      <c r="I8307" s="3" t="inlineStr">
        <is>
          <t>공장용지</t>
        </is>
      </c>
      <c r="J8307" s="3" t="inlineStr">
        <is>
          <t>오송읍</t>
        </is>
      </c>
    </row>
    <row r="8308">
      <c r="A8308" s="3" t="n">
        <v>2022</v>
      </c>
      <c r="B8308" s="4" t="n">
        <v>586588</v>
      </c>
      <c r="C8308" s="4" t="n">
        <v>16496.2</v>
      </c>
      <c r="D8308" s="4" t="n">
        <v>4990.1005</v>
      </c>
      <c r="E8308" s="5" t="n">
        <v>117.6</v>
      </c>
      <c r="F8308" s="3" t="inlineStr">
        <is>
          <t>오송읍</t>
        </is>
      </c>
      <c r="G8308" s="3" t="inlineStr">
        <is>
          <t>정중리</t>
        </is>
      </c>
      <c r="H8308" s="3" t="inlineStr">
        <is>
          <t>일반공업지역</t>
        </is>
      </c>
      <c r="I8308" s="3" t="inlineStr">
        <is>
          <t>공장용지</t>
        </is>
      </c>
      <c r="J8308" s="3" t="inlineStr">
        <is>
          <t>오송읍</t>
        </is>
      </c>
    </row>
    <row r="8309">
      <c r="A8309" s="3" t="n">
        <v>2022</v>
      </c>
      <c r="B8309" s="4" t="n">
        <v>162000</v>
      </c>
      <c r="C8309" s="4" t="n">
        <v>584.2</v>
      </c>
      <c r="D8309" s="4" t="n">
        <v>176.7205</v>
      </c>
      <c r="E8309" s="5" t="n">
        <v>916.7</v>
      </c>
      <c r="F8309" s="3" t="inlineStr">
        <is>
          <t>오송읍</t>
        </is>
      </c>
      <c r="G8309" s="3" t="inlineStr">
        <is>
          <t>정중리</t>
        </is>
      </c>
      <c r="H8309" s="3" t="inlineStr">
        <is>
          <t>준공업지역</t>
        </is>
      </c>
      <c r="I8309" s="3" t="inlineStr">
        <is>
          <t>대</t>
        </is>
      </c>
      <c r="J8309" s="3" t="inlineStr">
        <is>
          <t>오송읍</t>
        </is>
      </c>
    </row>
    <row r="8310">
      <c r="A8310" s="3" t="n">
        <v>2022</v>
      </c>
      <c r="B8310" s="4" t="n">
        <v>800000</v>
      </c>
      <c r="C8310" s="4" t="n">
        <v>2187.4</v>
      </c>
      <c r="D8310" s="4" t="n">
        <v>661.6885</v>
      </c>
      <c r="E8310" s="5" t="n">
        <v>1209</v>
      </c>
      <c r="F8310" s="3" t="inlineStr">
        <is>
          <t>오송읍</t>
        </is>
      </c>
      <c r="G8310" s="3" t="inlineStr">
        <is>
          <t>봉산리</t>
        </is>
      </c>
      <c r="H8310" s="3" t="inlineStr">
        <is>
          <t>일반상업지역</t>
        </is>
      </c>
      <c r="I8310" s="3" t="inlineStr">
        <is>
          <t>주차장</t>
        </is>
      </c>
      <c r="J8310" s="3" t="inlineStr">
        <is>
          <t>오송읍</t>
        </is>
      </c>
    </row>
    <row r="8311">
      <c r="A8311" s="3" t="n">
        <v>2022</v>
      </c>
      <c r="B8311" s="4" t="n">
        <v>36000</v>
      </c>
      <c r="C8311" s="4" t="n">
        <v>264.8</v>
      </c>
      <c r="D8311" s="4" t="n">
        <v>80.102</v>
      </c>
      <c r="E8311" s="5" t="n">
        <v>449.4</v>
      </c>
      <c r="F8311" s="3" t="inlineStr">
        <is>
          <t>오송읍</t>
        </is>
      </c>
      <c r="G8311" s="3" t="inlineStr">
        <is>
          <t>봉산리</t>
        </is>
      </c>
      <c r="H8311" s="3" t="inlineStr">
        <is>
          <t>제1종일반주거지역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2022</v>
      </c>
      <c r="B8312" s="4" t="n">
        <v>214400</v>
      </c>
      <c r="C8312" s="4" t="n">
        <v>584</v>
      </c>
      <c r="D8312" s="4" t="n">
        <v>176.66</v>
      </c>
      <c r="E8312" s="5" t="n">
        <v>1213.6</v>
      </c>
      <c r="F8312" s="3" t="inlineStr">
        <is>
          <t>오송읍</t>
        </is>
      </c>
      <c r="G8312" s="3" t="inlineStr">
        <is>
          <t>정중리</t>
        </is>
      </c>
      <c r="H8312" s="3" t="inlineStr">
        <is>
          <t>준공업지역</t>
        </is>
      </c>
      <c r="I8312" s="3" t="inlineStr">
        <is>
          <t>대</t>
        </is>
      </c>
      <c r="J8312" s="3" t="inlineStr">
        <is>
          <t>오송읍</t>
        </is>
      </c>
    </row>
    <row r="8313">
      <c r="A8313" s="3" t="n">
        <v>2022</v>
      </c>
      <c r="B8313" s="4" t="n">
        <v>235000</v>
      </c>
      <c r="C8313" s="4" t="n">
        <v>559</v>
      </c>
      <c r="D8313" s="4" t="n">
        <v>169.0975</v>
      </c>
      <c r="E8313" s="5" t="n">
        <v>1389.7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준공업지역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2022</v>
      </c>
      <c r="B8314" s="4" t="n">
        <v>12850</v>
      </c>
      <c r="C8314" s="4" t="n">
        <v>531</v>
      </c>
      <c r="D8314" s="4" t="n">
        <v>160.6275</v>
      </c>
      <c r="E8314" s="5" t="n">
        <v>80</v>
      </c>
      <c r="F8314" s="3" t="inlineStr">
        <is>
          <t>강내면</t>
        </is>
      </c>
      <c r="G8314" s="3" t="inlineStr">
        <is>
          <t>저산리</t>
        </is>
      </c>
      <c r="H8314" s="3" t="inlineStr">
        <is>
          <t>보전관리지역</t>
        </is>
      </c>
      <c r="I8314" s="3" t="inlineStr">
        <is>
          <t>임야</t>
        </is>
      </c>
      <c r="J8314" s="3" t="inlineStr">
        <is>
          <t>강내면</t>
        </is>
      </c>
    </row>
    <row r="8315">
      <c r="A8315" s="3" t="n">
        <v>2026</v>
      </c>
      <c r="B8315" s="4" t="n">
        <v>17600</v>
      </c>
      <c r="C8315" s="4" t="n">
        <v>2152</v>
      </c>
      <c r="D8315" s="4" t="n">
        <v>650.98</v>
      </c>
      <c r="E8315" s="5" t="n">
        <v>27</v>
      </c>
      <c r="F8315" s="3" t="inlineStr">
        <is>
          <t>현도면</t>
        </is>
      </c>
      <c r="G8315" s="3" t="inlineStr">
        <is>
          <t>시동리</t>
        </is>
      </c>
      <c r="H8315" s="3" t="inlineStr">
        <is>
          <t>생산관리지역</t>
        </is>
      </c>
      <c r="I8315" s="3" t="inlineStr">
        <is>
          <t>답</t>
        </is>
      </c>
      <c r="J8315" s="3" t="inlineStr">
        <is>
          <t>현도면</t>
        </is>
      </c>
    </row>
    <row r="8316">
      <c r="A8316" s="3" t="n">
        <v>2025</v>
      </c>
      <c r="B8316" s="4" t="n">
        <v>3000</v>
      </c>
      <c r="C8316" s="4" t="n">
        <v>66</v>
      </c>
      <c r="D8316" s="4" t="n">
        <v>19.965</v>
      </c>
      <c r="E8316" s="5" t="n">
        <v>150.3</v>
      </c>
      <c r="F8316" s="3" t="inlineStr">
        <is>
          <t>연서면</t>
        </is>
      </c>
      <c r="G8316" s="3" t="inlineStr">
        <is>
          <t>성제리</t>
        </is>
      </c>
      <c r="H8316" s="3" t="inlineStr">
        <is>
          <t>계획관리지역</t>
        </is>
      </c>
      <c r="I8316" s="3" t="inlineStr">
        <is>
          <t>전</t>
        </is>
      </c>
      <c r="J8316" s="3" t="inlineStr">
        <is>
          <t>연서면</t>
        </is>
      </c>
    </row>
    <row r="8317">
      <c r="A8317" s="3" t="n">
        <v>2025</v>
      </c>
      <c r="B8317" s="4" t="n">
        <v>30000</v>
      </c>
      <c r="C8317" s="4" t="n">
        <v>3306</v>
      </c>
      <c r="D8317" s="4" t="n">
        <v>1000.065</v>
      </c>
      <c r="E8317" s="5" t="n">
        <v>30</v>
      </c>
      <c r="F8317" s="3" t="inlineStr">
        <is>
          <t>장군면</t>
        </is>
      </c>
      <c r="G8317" s="3" t="inlineStr">
        <is>
          <t>금암리</t>
        </is>
      </c>
      <c r="H8317" s="3" t="inlineStr">
        <is>
          <t>농림지역</t>
        </is>
      </c>
      <c r="I8317" s="3" t="inlineStr">
        <is>
          <t>임야</t>
        </is>
      </c>
      <c r="J8317" s="3" t="inlineStr">
        <is>
          <t>장군면</t>
        </is>
      </c>
    </row>
    <row r="8318">
      <c r="A8318" s="3" t="n">
        <v>2025</v>
      </c>
      <c r="B8318" s="4" t="n">
        <v>32778</v>
      </c>
      <c r="C8318" s="4" t="n">
        <v>4013</v>
      </c>
      <c r="D8318" s="4" t="n">
        <v>1213.9325</v>
      </c>
      <c r="E8318" s="5" t="n">
        <v>27</v>
      </c>
      <c r="F8318" s="3" t="inlineStr">
        <is>
          <t>장군면</t>
        </is>
      </c>
      <c r="G8318" s="3" t="inlineStr">
        <is>
          <t>평기리</t>
        </is>
      </c>
      <c r="H8318" s="3" t="inlineStr">
        <is>
          <t>농림지역</t>
        </is>
      </c>
      <c r="I8318" s="3" t="inlineStr">
        <is>
          <t>임야</t>
        </is>
      </c>
      <c r="J8318" s="3" t="inlineStr">
        <is>
          <t>장군면</t>
        </is>
      </c>
    </row>
    <row r="8319">
      <c r="A8319" s="3" t="n">
        <v>2025</v>
      </c>
      <c r="B8319" s="4" t="n">
        <v>37000</v>
      </c>
      <c r="C8319" s="4" t="n">
        <v>2467</v>
      </c>
      <c r="D8319" s="4" t="n">
        <v>746.2674999999999</v>
      </c>
      <c r="E8319" s="5" t="n">
        <v>49.6</v>
      </c>
      <c r="F8319" s="3" t="inlineStr">
        <is>
          <t>남이면</t>
        </is>
      </c>
      <c r="G8319" s="3" t="inlineStr">
        <is>
          <t>갈원리</t>
        </is>
      </c>
      <c r="H8319" s="3" t="inlineStr">
        <is>
          <t>농림지역</t>
        </is>
      </c>
      <c r="I8319" s="3" t="inlineStr">
        <is>
          <t>답</t>
        </is>
      </c>
      <c r="J8319" s="3" t="inlineStr">
        <is>
          <t>남이면</t>
        </is>
      </c>
    </row>
    <row r="8320">
      <c r="A8320" s="3" t="n">
        <v>2025</v>
      </c>
      <c r="B8320" s="4" t="n">
        <v>65000</v>
      </c>
      <c r="C8320" s="4" t="n">
        <v>2109.7</v>
      </c>
      <c r="D8320" s="4" t="n">
        <v>638.1842499999999</v>
      </c>
      <c r="E8320" s="5" t="n">
        <v>101.9</v>
      </c>
      <c r="F8320" s="3" t="inlineStr">
        <is>
          <t>남이면</t>
        </is>
      </c>
      <c r="G8320" s="3" t="inlineStr">
        <is>
          <t>가좌리</t>
        </is>
      </c>
      <c r="H8320" s="3" t="inlineStr">
        <is>
          <t>자연녹지지역</t>
        </is>
      </c>
      <c r="I8320" s="3" t="inlineStr">
        <is>
          <t>공장용지</t>
        </is>
      </c>
      <c r="J8320" s="3" t="inlineStr">
        <is>
          <t>남이면</t>
        </is>
      </c>
    </row>
    <row r="8321">
      <c r="A8321" s="3" t="n">
        <v>2025</v>
      </c>
      <c r="B8321" s="4" t="n">
        <v>1900</v>
      </c>
      <c r="C8321" s="4" t="n">
        <v>80</v>
      </c>
      <c r="D8321" s="4" t="n">
        <v>24.2</v>
      </c>
      <c r="E8321" s="5" t="n">
        <v>78.5</v>
      </c>
      <c r="F8321" s="3" t="inlineStr">
        <is>
          <t>현도면</t>
        </is>
      </c>
      <c r="G8321" s="3" t="inlineStr">
        <is>
          <t>매봉리</t>
        </is>
      </c>
      <c r="H8321" s="3" t="inlineStr">
        <is>
          <t>자연녹지지역</t>
        </is>
      </c>
      <c r="I8321" s="3" t="inlineStr">
        <is>
          <t>전</t>
        </is>
      </c>
      <c r="J8321" s="3" t="inlineStr">
        <is>
          <t>현도면</t>
        </is>
      </c>
    </row>
    <row r="8322">
      <c r="A8322" s="3" t="n">
        <v>2025</v>
      </c>
      <c r="B8322" s="4" t="n">
        <v>25500</v>
      </c>
      <c r="C8322" s="4" t="n">
        <v>790</v>
      </c>
      <c r="D8322" s="4" t="n">
        <v>238.975</v>
      </c>
      <c r="E8322" s="5" t="n">
        <v>106.7</v>
      </c>
      <c r="F8322" s="3" t="inlineStr">
        <is>
          <t>남이면</t>
        </is>
      </c>
      <c r="G8322" s="3" t="inlineStr">
        <is>
          <t>양촌리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남이면</t>
        </is>
      </c>
    </row>
    <row r="8323">
      <c r="A8323" s="3" t="n">
        <v>2025</v>
      </c>
      <c r="B8323" s="4" t="n">
        <v>2500</v>
      </c>
      <c r="C8323" s="4" t="n">
        <v>77</v>
      </c>
      <c r="D8323" s="4" t="n">
        <v>23.2925</v>
      </c>
      <c r="E8323" s="5" t="n">
        <v>107.3</v>
      </c>
      <c r="F8323" s="3" t="inlineStr">
        <is>
          <t>남이면</t>
        </is>
      </c>
      <c r="G8323" s="3" t="inlineStr">
        <is>
          <t>양촌리</t>
        </is>
      </c>
      <c r="H8323" s="3" t="inlineStr">
        <is>
          <t>자연녹지지역</t>
        </is>
      </c>
      <c r="I8323" s="3" t="inlineStr">
        <is>
          <t>전</t>
        </is>
      </c>
      <c r="J8323" s="3" t="inlineStr">
        <is>
          <t>남이면</t>
        </is>
      </c>
    </row>
    <row r="8324">
      <c r="A8324" s="3" t="n">
        <v>2025</v>
      </c>
      <c r="B8324" s="4" t="n">
        <v>9800</v>
      </c>
      <c r="C8324" s="4" t="n">
        <v>2575</v>
      </c>
      <c r="D8324" s="4" t="n">
        <v>778.9375</v>
      </c>
      <c r="E8324" s="5" t="n">
        <v>12.6</v>
      </c>
      <c r="F8324" s="3" t="inlineStr">
        <is>
          <t>남이면</t>
        </is>
      </c>
      <c r="G8324" s="3" t="inlineStr">
        <is>
          <t>외천리</t>
        </is>
      </c>
      <c r="H8324" s="3" t="inlineStr">
        <is>
          <t>계획관리지역</t>
        </is>
      </c>
      <c r="I8324" s="3" t="inlineStr">
        <is>
          <t>답</t>
        </is>
      </c>
      <c r="J8324" s="3" t="inlineStr">
        <is>
          <t>남이면</t>
        </is>
      </c>
    </row>
    <row r="8325">
      <c r="A8325" s="3" t="n">
        <v>2025</v>
      </c>
      <c r="B8325" s="4" t="n">
        <v>1200</v>
      </c>
      <c r="C8325" s="4" t="n">
        <v>317</v>
      </c>
      <c r="D8325" s="4" t="n">
        <v>95.8925</v>
      </c>
      <c r="E8325" s="5" t="n">
        <v>12.5</v>
      </c>
      <c r="F8325" s="3" t="inlineStr">
        <is>
          <t>남이면</t>
        </is>
      </c>
      <c r="G8325" s="3" t="inlineStr">
        <is>
          <t>외천리</t>
        </is>
      </c>
      <c r="H8325" s="3" t="inlineStr">
        <is>
          <t>보전관리지역</t>
        </is>
      </c>
      <c r="I8325" s="3" t="inlineStr">
        <is>
          <t>답</t>
        </is>
      </c>
      <c r="J8325" s="3" t="inlineStr">
        <is>
          <t>남이면</t>
        </is>
      </c>
    </row>
    <row r="8326">
      <c r="A8326" s="3" t="n">
        <v>2025</v>
      </c>
      <c r="B8326" s="4" t="n">
        <v>8500</v>
      </c>
      <c r="C8326" s="4" t="n">
        <v>3271</v>
      </c>
      <c r="D8326" s="4" t="n">
        <v>989.4775</v>
      </c>
      <c r="E8326" s="5" t="n">
        <v>8.6</v>
      </c>
      <c r="F8326" s="3" t="inlineStr">
        <is>
          <t>현도면</t>
        </is>
      </c>
      <c r="G8326" s="3" t="inlineStr">
        <is>
          <t>죽전리</t>
        </is>
      </c>
      <c r="H8326" s="3" t="inlineStr">
        <is>
          <t>계획관리지역</t>
        </is>
      </c>
      <c r="I8326" s="3" t="inlineStr">
        <is>
          <t>임야</t>
        </is>
      </c>
      <c r="J8326" s="3" t="inlineStr">
        <is>
          <t>현도면</t>
        </is>
      </c>
    </row>
    <row r="8327">
      <c r="A8327" s="3" t="n">
        <v>2025</v>
      </c>
      <c r="B8327" s="4" t="n">
        <v>4000</v>
      </c>
      <c r="C8327" s="4" t="n">
        <v>103</v>
      </c>
      <c r="D8327" s="4" t="n">
        <v>31.1575</v>
      </c>
      <c r="E8327" s="5" t="n">
        <v>128.4</v>
      </c>
      <c r="F8327" s="3" t="inlineStr">
        <is>
          <t>현도면</t>
        </is>
      </c>
      <c r="G8327" s="3" t="inlineStr">
        <is>
          <t>매봉리</t>
        </is>
      </c>
      <c r="H8327" s="3" t="inlineStr">
        <is>
          <t>제2종일반주거지역</t>
        </is>
      </c>
      <c r="I8327" s="3" t="inlineStr">
        <is>
          <t>제방</t>
        </is>
      </c>
      <c r="J8327" s="3" t="inlineStr">
        <is>
          <t>현도면</t>
        </is>
      </c>
    </row>
    <row r="8328">
      <c r="A8328" s="3" t="n">
        <v>2025</v>
      </c>
      <c r="B8328" s="4" t="n">
        <v>3000</v>
      </c>
      <c r="C8328" s="4" t="n">
        <v>2294</v>
      </c>
      <c r="D8328" s="4" t="n">
        <v>693.9349999999999</v>
      </c>
      <c r="E8328" s="5" t="n">
        <v>4.3</v>
      </c>
      <c r="F8328" s="3" t="inlineStr">
        <is>
          <t>남이면</t>
        </is>
      </c>
      <c r="G8328" s="3" t="inlineStr">
        <is>
          <t>외천리</t>
        </is>
      </c>
      <c r="H8328" s="3" t="inlineStr">
        <is>
          <t>보전관리지역</t>
        </is>
      </c>
      <c r="I8328" s="3" t="inlineStr">
        <is>
          <t>답</t>
        </is>
      </c>
      <c r="J8328" s="3" t="inlineStr">
        <is>
          <t>남이면</t>
        </is>
      </c>
    </row>
    <row r="8329">
      <c r="A8329" s="3" t="n">
        <v>2025</v>
      </c>
      <c r="B8329" s="4" t="n">
        <v>42500</v>
      </c>
      <c r="C8329" s="4" t="n">
        <v>1167</v>
      </c>
      <c r="D8329" s="4" t="n">
        <v>353.0175</v>
      </c>
      <c r="E8329" s="5" t="n">
        <v>120.4</v>
      </c>
      <c r="F8329" s="3" t="inlineStr">
        <is>
          <t>남이면</t>
        </is>
      </c>
      <c r="G8329" s="3" t="inlineStr">
        <is>
          <t>양촌리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2025</v>
      </c>
      <c r="B8330" s="4" t="n">
        <v>1000</v>
      </c>
      <c r="C8330" s="4" t="n">
        <v>55</v>
      </c>
      <c r="D8330" s="4" t="n">
        <v>16.6375</v>
      </c>
      <c r="E8330" s="5" t="n">
        <v>60.1</v>
      </c>
      <c r="F8330" s="3" t="inlineStr">
        <is>
          <t>남이면</t>
        </is>
      </c>
      <c r="G8330" s="3" t="inlineStr">
        <is>
          <t>가좌리</t>
        </is>
      </c>
      <c r="H8330" s="3" t="inlineStr">
        <is>
          <t>자연녹지지역</t>
        </is>
      </c>
      <c r="I8330" s="3" t="inlineStr">
        <is>
          <t>전</t>
        </is>
      </c>
      <c r="J8330" s="3" t="inlineStr">
        <is>
          <t>남이면</t>
        </is>
      </c>
    </row>
    <row r="8331">
      <c r="A8331" s="3" t="n">
        <v>2025</v>
      </c>
      <c r="B8331" s="4" t="n">
        <v>12235</v>
      </c>
      <c r="C8331" s="4" t="n">
        <v>626</v>
      </c>
      <c r="D8331" s="4" t="n">
        <v>189.365</v>
      </c>
      <c r="E8331" s="5" t="n">
        <v>64.59999999999999</v>
      </c>
      <c r="F8331" s="3" t="inlineStr">
        <is>
          <t>남이면</t>
        </is>
      </c>
      <c r="G8331" s="3" t="inlineStr">
        <is>
          <t>가좌리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2025</v>
      </c>
      <c r="B8332" s="4" t="n">
        <v>1200</v>
      </c>
      <c r="C8332" s="4" t="n">
        <v>61</v>
      </c>
      <c r="D8332" s="4" t="n">
        <v>18.4525</v>
      </c>
      <c r="E8332" s="5" t="n">
        <v>65</v>
      </c>
      <c r="F8332" s="3" t="inlineStr">
        <is>
          <t>남이면</t>
        </is>
      </c>
      <c r="G8332" s="3" t="inlineStr">
        <is>
          <t>가좌리</t>
        </is>
      </c>
      <c r="H8332" s="3" t="inlineStr">
        <is>
          <t>자연녹지지역</t>
        </is>
      </c>
      <c r="I8332" s="3" t="inlineStr">
        <is>
          <t>전</t>
        </is>
      </c>
      <c r="J8332" s="3" t="inlineStr">
        <is>
          <t>남이면</t>
        </is>
      </c>
    </row>
    <row r="8333">
      <c r="A8333" s="3" t="n">
        <v>2025</v>
      </c>
      <c r="B8333" s="4" t="n">
        <v>65</v>
      </c>
      <c r="C8333" s="4" t="n">
        <v>3</v>
      </c>
      <c r="D8333" s="4" t="n">
        <v>0.9075</v>
      </c>
      <c r="E8333" s="5" t="n">
        <v>71.59999999999999</v>
      </c>
      <c r="F8333" s="3" t="inlineStr">
        <is>
          <t>남이면</t>
        </is>
      </c>
      <c r="G8333" s="3" t="inlineStr">
        <is>
          <t>가좌리</t>
        </is>
      </c>
      <c r="H8333" s="3" t="inlineStr">
        <is>
          <t>자연녹지지역</t>
        </is>
      </c>
      <c r="I8333" s="3" t="inlineStr">
        <is>
          <t>전</t>
        </is>
      </c>
      <c r="J8333" s="3" t="inlineStr">
        <is>
          <t>남이면</t>
        </is>
      </c>
    </row>
    <row r="8334">
      <c r="A8334" s="3" t="n">
        <v>2025</v>
      </c>
      <c r="B8334" s="4" t="n">
        <v>22500</v>
      </c>
      <c r="C8334" s="4" t="n">
        <v>1683</v>
      </c>
      <c r="D8334" s="4" t="n">
        <v>509.1075</v>
      </c>
      <c r="E8334" s="5" t="n">
        <v>44.2</v>
      </c>
      <c r="F8334" s="3" t="inlineStr">
        <is>
          <t>현도면</t>
        </is>
      </c>
      <c r="G8334" s="3" t="inlineStr">
        <is>
          <t>달계리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2025</v>
      </c>
      <c r="B8335" s="4" t="n">
        <v>23920</v>
      </c>
      <c r="C8335" s="4" t="n">
        <v>2083</v>
      </c>
      <c r="D8335" s="4" t="n">
        <v>630.1075</v>
      </c>
      <c r="E8335" s="5" t="n">
        <v>38</v>
      </c>
      <c r="F8335" s="3" t="inlineStr">
        <is>
          <t>남이면</t>
        </is>
      </c>
      <c r="G8335" s="3" t="inlineStr">
        <is>
          <t>구암리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2025</v>
      </c>
      <c r="B8336" s="4" t="n">
        <v>722</v>
      </c>
      <c r="C8336" s="4" t="n">
        <v>63</v>
      </c>
      <c r="D8336" s="4" t="n">
        <v>19.0575</v>
      </c>
      <c r="E8336" s="5" t="n">
        <v>37.9</v>
      </c>
      <c r="F8336" s="3" t="inlineStr">
        <is>
          <t>남이면</t>
        </is>
      </c>
      <c r="G8336" s="3" t="inlineStr">
        <is>
          <t>구암리</t>
        </is>
      </c>
      <c r="H8336" s="3" t="inlineStr">
        <is>
          <t>자연녹지지역</t>
        </is>
      </c>
      <c r="I8336" s="3" t="inlineStr">
        <is>
          <t>구거</t>
        </is>
      </c>
      <c r="J8336" s="3" t="inlineStr">
        <is>
          <t>남이면</t>
        </is>
      </c>
    </row>
    <row r="8337">
      <c r="A8337" s="3" t="n">
        <v>2025</v>
      </c>
      <c r="B8337" s="4" t="n">
        <v>5358</v>
      </c>
      <c r="C8337" s="4" t="n">
        <v>467</v>
      </c>
      <c r="D8337" s="4" t="n">
        <v>141.2675</v>
      </c>
      <c r="E8337" s="5" t="n">
        <v>37.9</v>
      </c>
      <c r="F8337" s="3" t="inlineStr">
        <is>
          <t>남이면</t>
        </is>
      </c>
      <c r="G8337" s="3" t="inlineStr">
        <is>
          <t>구암리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2025</v>
      </c>
      <c r="B8338" s="4" t="n">
        <v>27000</v>
      </c>
      <c r="C8338" s="4" t="n">
        <v>548</v>
      </c>
      <c r="D8338" s="4" t="n">
        <v>165.77</v>
      </c>
      <c r="E8338" s="5" t="n">
        <v>162.9</v>
      </c>
      <c r="F8338" s="3" t="inlineStr">
        <is>
          <t>남이면</t>
        </is>
      </c>
      <c r="G8338" s="3" t="inlineStr">
        <is>
          <t>가마리</t>
        </is>
      </c>
      <c r="H8338" s="3" t="inlineStr">
        <is>
          <t>보전녹지지역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2025</v>
      </c>
      <c r="B8339" s="4" t="n">
        <v>12235</v>
      </c>
      <c r="C8339" s="4" t="n">
        <v>626</v>
      </c>
      <c r="D8339" s="4" t="n">
        <v>189.365</v>
      </c>
      <c r="E8339" s="5" t="n">
        <v>64.59999999999999</v>
      </c>
      <c r="F8339" s="3" t="inlineStr">
        <is>
          <t>남이면</t>
        </is>
      </c>
      <c r="G8339" s="3" t="inlineStr">
        <is>
          <t>가좌리</t>
        </is>
      </c>
      <c r="H8339" s="3" t="inlineStr">
        <is>
          <t>자연녹지지역</t>
        </is>
      </c>
      <c r="I8339" s="3" t="inlineStr">
        <is>
          <t>전</t>
        </is>
      </c>
      <c r="J8339" s="3" t="inlineStr">
        <is>
          <t>남이면</t>
        </is>
      </c>
    </row>
    <row r="8340">
      <c r="A8340" s="3" t="n">
        <v>2025</v>
      </c>
      <c r="B8340" s="4" t="n">
        <v>1200</v>
      </c>
      <c r="C8340" s="4" t="n">
        <v>61</v>
      </c>
      <c r="D8340" s="4" t="n">
        <v>18.4525</v>
      </c>
      <c r="E8340" s="5" t="n">
        <v>65</v>
      </c>
      <c r="F8340" s="3" t="inlineStr">
        <is>
          <t>남이면</t>
        </is>
      </c>
      <c r="G8340" s="3" t="inlineStr">
        <is>
          <t>가좌리</t>
        </is>
      </c>
      <c r="H8340" s="3" t="inlineStr">
        <is>
          <t>자연녹지지역</t>
        </is>
      </c>
      <c r="I8340" s="3" t="inlineStr">
        <is>
          <t>전</t>
        </is>
      </c>
      <c r="J8340" s="3" t="inlineStr">
        <is>
          <t>남이면</t>
        </is>
      </c>
    </row>
    <row r="8341">
      <c r="A8341" s="3" t="n">
        <v>2025</v>
      </c>
      <c r="B8341" s="4" t="n">
        <v>65</v>
      </c>
      <c r="C8341" s="4" t="n">
        <v>3</v>
      </c>
      <c r="D8341" s="4" t="n">
        <v>0.9075</v>
      </c>
      <c r="E8341" s="5" t="n">
        <v>71.59999999999999</v>
      </c>
      <c r="F8341" s="3" t="inlineStr">
        <is>
          <t>남이면</t>
        </is>
      </c>
      <c r="G8341" s="3" t="inlineStr">
        <is>
          <t>가좌리</t>
        </is>
      </c>
      <c r="H8341" s="3" t="inlineStr">
        <is>
          <t>자연녹지지역</t>
        </is>
      </c>
      <c r="I8341" s="3" t="inlineStr">
        <is>
          <t>전</t>
        </is>
      </c>
      <c r="J8341" s="3" t="inlineStr">
        <is>
          <t>남이면</t>
        </is>
      </c>
    </row>
    <row r="8342">
      <c r="A8342" s="3" t="n">
        <v>2023</v>
      </c>
      <c r="B8342" s="4" t="n">
        <v>2451</v>
      </c>
      <c r="C8342" s="4" t="n">
        <v>145</v>
      </c>
      <c r="D8342" s="4" t="n">
        <v>43.8625</v>
      </c>
      <c r="E8342" s="5" t="n">
        <v>55.9</v>
      </c>
      <c r="F8342" s="3" t="inlineStr">
        <is>
          <t>장군면</t>
        </is>
      </c>
      <c r="G8342" s="3" t="inlineStr">
        <is>
          <t>용암리</t>
        </is>
      </c>
      <c r="H8342" s="3" t="inlineStr">
        <is>
          <t>생산관리지역</t>
        </is>
      </c>
      <c r="I8342" s="3" t="inlineStr">
        <is>
          <t>하천</t>
        </is>
      </c>
      <c r="J8342" s="3" t="inlineStr">
        <is>
          <t>장군면</t>
        </is>
      </c>
    </row>
    <row r="8343">
      <c r="A8343" s="3" t="n">
        <v>2023</v>
      </c>
      <c r="B8343" s="4" t="n">
        <v>2000</v>
      </c>
      <c r="C8343" s="4" t="n">
        <v>95</v>
      </c>
      <c r="D8343" s="4" t="n">
        <v>28.7375</v>
      </c>
      <c r="E8343" s="5" t="n">
        <v>69.59999999999999</v>
      </c>
      <c r="F8343" s="3" t="inlineStr">
        <is>
          <t>전의면</t>
        </is>
      </c>
      <c r="G8343" s="3" t="inlineStr">
        <is>
          <t>서정리</t>
        </is>
      </c>
      <c r="H8343" s="3" t="inlineStr">
        <is>
          <t>계획관리지역</t>
        </is>
      </c>
      <c r="I8343" s="3" t="inlineStr">
        <is>
          <t>도로</t>
        </is>
      </c>
      <c r="J8343" s="3" t="inlineStr">
        <is>
          <t>전의면</t>
        </is>
      </c>
    </row>
    <row r="8344">
      <c r="A8344" s="3" t="n">
        <v>2024</v>
      </c>
      <c r="B8344" s="4" t="n">
        <v>10000</v>
      </c>
      <c r="C8344" s="4" t="n">
        <v>46.6</v>
      </c>
      <c r="D8344" s="4" t="n">
        <v>14.0965</v>
      </c>
      <c r="E8344" s="5" t="n">
        <v>709.4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46200</v>
      </c>
      <c r="C8345" s="4" t="n">
        <v>990</v>
      </c>
      <c r="D8345" s="4" t="n">
        <v>299.475</v>
      </c>
      <c r="E8345" s="5" t="n">
        <v>154.3</v>
      </c>
      <c r="F8345" s="3" t="inlineStr">
        <is>
          <t>남이면</t>
        </is>
      </c>
      <c r="G8345" s="3" t="inlineStr">
        <is>
          <t>상발리</t>
        </is>
      </c>
      <c r="H8345" s="3" t="inlineStr">
        <is>
          <t>자연녹지지역</t>
        </is>
      </c>
      <c r="I8345" s="3" t="inlineStr">
        <is>
          <t>전</t>
        </is>
      </c>
      <c r="J8345" s="3" t="inlineStr">
        <is>
          <t>남이면</t>
        </is>
      </c>
    </row>
    <row r="8346">
      <c r="A8346" s="3" t="n">
        <v>2025</v>
      </c>
      <c r="B8346" s="4" t="n">
        <v>18420</v>
      </c>
      <c r="C8346" s="4" t="n">
        <v>937</v>
      </c>
      <c r="D8346" s="4" t="n">
        <v>283.4425</v>
      </c>
      <c r="E8346" s="5" t="n">
        <v>65</v>
      </c>
      <c r="F8346" s="3" t="inlineStr">
        <is>
          <t>남이면</t>
        </is>
      </c>
      <c r="G8346" s="3" t="inlineStr">
        <is>
          <t>가좌리</t>
        </is>
      </c>
      <c r="H8346" s="3" t="inlineStr">
        <is>
          <t>자연녹지지역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2025</v>
      </c>
      <c r="B8347" s="4" t="n">
        <v>8294</v>
      </c>
      <c r="C8347" s="4" t="n">
        <v>119</v>
      </c>
      <c r="D8347" s="4" t="n">
        <v>35.9975</v>
      </c>
      <c r="E8347" s="5" t="n">
        <v>230.4</v>
      </c>
      <c r="F8347" s="3" t="inlineStr">
        <is>
          <t>남이면</t>
        </is>
      </c>
      <c r="G8347" s="3" t="inlineStr">
        <is>
          <t>외천리</t>
        </is>
      </c>
      <c r="H8347" s="3" t="inlineStr">
        <is>
          <t>계획관리지역</t>
        </is>
      </c>
      <c r="I8347" s="3" t="inlineStr">
        <is>
          <t>구거</t>
        </is>
      </c>
      <c r="J8347" s="3" t="inlineStr">
        <is>
          <t>남이면</t>
        </is>
      </c>
    </row>
    <row r="8348">
      <c r="A8348" s="3" t="n">
        <v>2025</v>
      </c>
      <c r="B8348" s="4" t="n">
        <v>53768</v>
      </c>
      <c r="C8348" s="4" t="n">
        <v>999.7</v>
      </c>
      <c r="D8348" s="4" t="n">
        <v>302.40925</v>
      </c>
      <c r="E8348" s="5" t="n">
        <v>177.8</v>
      </c>
      <c r="F8348" s="3" t="inlineStr">
        <is>
          <t>남이면</t>
        </is>
      </c>
      <c r="G8348" s="3" t="inlineStr">
        <is>
          <t>석판리</t>
        </is>
      </c>
      <c r="H8348" s="3" t="inlineStr">
        <is>
          <t>자연녹지지역</t>
        </is>
      </c>
      <c r="I8348" s="3" t="inlineStr">
        <is>
          <t>답</t>
        </is>
      </c>
      <c r="J8348" s="3" t="inlineStr">
        <is>
          <t>남이면</t>
        </is>
      </c>
    </row>
    <row r="8349">
      <c r="A8349" s="3" t="n">
        <v>2025</v>
      </c>
      <c r="B8349" s="4" t="n">
        <v>232</v>
      </c>
      <c r="C8349" s="4" t="n">
        <v>4.3</v>
      </c>
      <c r="D8349" s="4" t="n">
        <v>1.30075</v>
      </c>
      <c r="E8349" s="5" t="n">
        <v>178.4</v>
      </c>
      <c r="F8349" s="3" t="inlineStr">
        <is>
          <t>남이면</t>
        </is>
      </c>
      <c r="G8349" s="3" t="inlineStr">
        <is>
          <t>석판리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2025</v>
      </c>
      <c r="B8350" s="4" t="n">
        <v>26517</v>
      </c>
      <c r="C8350" s="4" t="n">
        <v>3652</v>
      </c>
      <c r="D8350" s="4" t="n">
        <v>1104.73</v>
      </c>
      <c r="E8350" s="5" t="n">
        <v>24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보전녹지지역</t>
        </is>
      </c>
      <c r="I8350" s="3" t="inlineStr">
        <is>
          <t>임야</t>
        </is>
      </c>
      <c r="J8350" s="3" t="inlineStr">
        <is>
          <t>남이면</t>
        </is>
      </c>
    </row>
    <row r="8351">
      <c r="A8351" s="3" t="n">
        <v>2025</v>
      </c>
      <c r="B8351" s="4" t="n">
        <v>35361</v>
      </c>
      <c r="C8351" s="4" t="n">
        <v>4870</v>
      </c>
      <c r="D8351" s="4" t="n">
        <v>1473.175</v>
      </c>
      <c r="E8351" s="5" t="n">
        <v>24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2025</v>
      </c>
      <c r="B8352" s="4" t="n">
        <v>12881</v>
      </c>
      <c r="C8352" s="4" t="n">
        <v>1774</v>
      </c>
      <c r="D8352" s="4" t="n">
        <v>536.635</v>
      </c>
      <c r="E8352" s="5" t="n">
        <v>24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2025</v>
      </c>
      <c r="B8353" s="4" t="n">
        <v>15000</v>
      </c>
      <c r="C8353" s="4" t="n">
        <v>3107</v>
      </c>
      <c r="D8353" s="4" t="n">
        <v>939.8674999999999</v>
      </c>
      <c r="E8353" s="5" t="n">
        <v>16</v>
      </c>
      <c r="F8353" s="3" t="inlineStr">
        <is>
          <t>남이면</t>
        </is>
      </c>
      <c r="G8353" s="3" t="inlineStr">
        <is>
          <t>산막리</t>
        </is>
      </c>
      <c r="H8353" s="3" t="inlineStr">
        <is>
          <t>보전관리지역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2025</v>
      </c>
      <c r="B8354" s="4" t="n">
        <v>8000</v>
      </c>
      <c r="C8354" s="4" t="n">
        <v>1815</v>
      </c>
      <c r="D8354" s="4" t="n">
        <v>549.0375</v>
      </c>
      <c r="E8354" s="5" t="n">
        <v>14.6</v>
      </c>
      <c r="F8354" s="3" t="inlineStr">
        <is>
          <t>남이면</t>
        </is>
      </c>
      <c r="G8354" s="3" t="inlineStr">
        <is>
          <t>산막리</t>
        </is>
      </c>
      <c r="H8354" s="3" t="inlineStr">
        <is>
          <t>계획관리지역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2025</v>
      </c>
      <c r="B8355" s="4" t="n">
        <v>21300</v>
      </c>
      <c r="C8355" s="4" t="n">
        <v>1410</v>
      </c>
      <c r="D8355" s="4" t="n">
        <v>426.525</v>
      </c>
      <c r="E8355" s="5" t="n">
        <v>49.9</v>
      </c>
      <c r="F8355" s="3" t="inlineStr">
        <is>
          <t>남이면</t>
        </is>
      </c>
      <c r="G8355" s="3" t="inlineStr">
        <is>
          <t>가좌리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2025</v>
      </c>
      <c r="B8356" s="4" t="n">
        <v>33400</v>
      </c>
      <c r="C8356" s="4" t="n">
        <v>879</v>
      </c>
      <c r="D8356" s="4" t="n">
        <v>265.8975</v>
      </c>
      <c r="E8356" s="5" t="n">
        <v>125.6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2025</v>
      </c>
      <c r="B8357" s="4" t="n">
        <v>1600</v>
      </c>
      <c r="C8357" s="4" t="n">
        <v>43</v>
      </c>
      <c r="D8357" s="4" t="n">
        <v>13.0075</v>
      </c>
      <c r="E8357" s="5" t="n">
        <v>123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도로</t>
        </is>
      </c>
      <c r="J8357" s="3" t="inlineStr">
        <is>
          <t>남이면</t>
        </is>
      </c>
    </row>
    <row r="8358">
      <c r="A8358" s="3" t="n">
        <v>2025</v>
      </c>
      <c r="B8358" s="4" t="n">
        <v>23900</v>
      </c>
      <c r="C8358" s="4" t="n">
        <v>2261</v>
      </c>
      <c r="D8358" s="4" t="n">
        <v>683.9525</v>
      </c>
      <c r="E8358" s="5" t="n">
        <v>34.9</v>
      </c>
      <c r="F8358" s="3" t="inlineStr">
        <is>
          <t>남이면</t>
        </is>
      </c>
      <c r="G8358" s="3" t="inlineStr">
        <is>
          <t>척산리</t>
        </is>
      </c>
      <c r="H8358" s="3" t="inlineStr">
        <is>
          <t>자연녹지지역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2025</v>
      </c>
      <c r="B8359" s="4" t="n">
        <v>2577</v>
      </c>
      <c r="C8359" s="4" t="n">
        <v>71</v>
      </c>
      <c r="D8359" s="4" t="n">
        <v>21.4775</v>
      </c>
      <c r="E8359" s="5" t="n">
        <v>120</v>
      </c>
      <c r="F8359" s="3" t="inlineStr">
        <is>
          <t>남이면</t>
        </is>
      </c>
      <c r="G8359" s="3" t="inlineStr">
        <is>
          <t>척산리</t>
        </is>
      </c>
      <c r="H8359" s="3" t="inlineStr">
        <is>
          <t>계획관리지역</t>
        </is>
      </c>
      <c r="I8359" s="3" t="inlineStr">
        <is>
          <t>공장용지</t>
        </is>
      </c>
      <c r="J8359" s="3" t="inlineStr">
        <is>
          <t>남이면</t>
        </is>
      </c>
    </row>
    <row r="8360">
      <c r="A8360" s="3" t="n">
        <v>2025</v>
      </c>
      <c r="B8360" s="4" t="n">
        <v>3000</v>
      </c>
      <c r="C8360" s="4" t="n">
        <v>370</v>
      </c>
      <c r="D8360" s="4" t="n">
        <v>111.925</v>
      </c>
      <c r="E8360" s="5" t="n">
        <v>26.8</v>
      </c>
      <c r="F8360" s="3" t="inlineStr">
        <is>
          <t>오송읍</t>
        </is>
      </c>
      <c r="G8360" s="3" t="inlineStr">
        <is>
          <t>쌍청리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오송읍</t>
        </is>
      </c>
    </row>
    <row r="8361">
      <c r="A8361" s="3" t="n">
        <v>2025</v>
      </c>
      <c r="B8361" s="4" t="n">
        <v>9500</v>
      </c>
      <c r="C8361" s="4" t="n">
        <v>1755</v>
      </c>
      <c r="D8361" s="4" t="n">
        <v>530.8874999999999</v>
      </c>
      <c r="E8361" s="5" t="n">
        <v>17.9</v>
      </c>
      <c r="F8361" s="3" t="inlineStr">
        <is>
          <t>현도면</t>
        </is>
      </c>
      <c r="G8361" s="3" t="inlineStr">
        <is>
          <t>중척리</t>
        </is>
      </c>
      <c r="H8361" s="3" t="inlineStr">
        <is>
          <t>개발제한구역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12419</v>
      </c>
      <c r="C8362" s="4" t="n">
        <v>2116</v>
      </c>
      <c r="D8362" s="4" t="n">
        <v>640.09</v>
      </c>
      <c r="E8362" s="5" t="n">
        <v>19.4</v>
      </c>
      <c r="F8362" s="3" t="inlineStr">
        <is>
          <t>전동면</t>
        </is>
      </c>
      <c r="G8362" s="3" t="inlineStr">
        <is>
          <t>보덕리</t>
        </is>
      </c>
      <c r="H8362" s="3" t="inlineStr">
        <is>
          <t>농림지역</t>
        </is>
      </c>
      <c r="I8362" s="3" t="inlineStr">
        <is>
          <t>임야</t>
        </is>
      </c>
      <c r="J8362" s="3" t="inlineStr">
        <is>
          <t>전동면</t>
        </is>
      </c>
    </row>
    <row r="8363">
      <c r="A8363" s="3" t="n">
        <v>2022</v>
      </c>
      <c r="B8363" s="4" t="n">
        <v>29100</v>
      </c>
      <c r="C8363" s="4" t="n">
        <v>962</v>
      </c>
      <c r="D8363" s="4" t="n">
        <v>291.005</v>
      </c>
      <c r="E8363" s="5" t="n">
        <v>100</v>
      </c>
      <c r="F8363" s="3" t="inlineStr">
        <is>
          <t>부강면</t>
        </is>
      </c>
      <c r="G8363" s="3" t="inlineStr">
        <is>
          <t>노호리</t>
        </is>
      </c>
      <c r="H8363" s="3" t="inlineStr">
        <is>
          <t>계획관리지역</t>
        </is>
      </c>
      <c r="I8363" s="3" t="inlineStr">
        <is>
          <t>답</t>
        </is>
      </c>
      <c r="J8363" s="3" t="inlineStr">
        <is>
          <t>부강면</t>
        </is>
      </c>
    </row>
    <row r="8364">
      <c r="A8364" s="3" t="n">
        <v>2022</v>
      </c>
      <c r="B8364" s="4" t="n">
        <v>28600</v>
      </c>
      <c r="C8364" s="4" t="n">
        <v>945</v>
      </c>
      <c r="D8364" s="4" t="n">
        <v>285.8625</v>
      </c>
      <c r="E8364" s="5" t="n">
        <v>100</v>
      </c>
      <c r="F8364" s="3" t="inlineStr">
        <is>
          <t>부강면</t>
        </is>
      </c>
      <c r="G8364" s="3" t="inlineStr">
        <is>
          <t>노호리</t>
        </is>
      </c>
      <c r="H8364" s="3" t="inlineStr">
        <is>
          <t>계획관리지역</t>
        </is>
      </c>
      <c r="I8364" s="3" t="inlineStr">
        <is>
          <t>답</t>
        </is>
      </c>
      <c r="J8364" s="3" t="inlineStr">
        <is>
          <t>부강면</t>
        </is>
      </c>
    </row>
    <row r="8365">
      <c r="A8365" s="3" t="n">
        <v>2022</v>
      </c>
      <c r="B8365" s="4" t="n">
        <v>7880</v>
      </c>
      <c r="C8365" s="4" t="n">
        <v>326</v>
      </c>
      <c r="D8365" s="4" t="n">
        <v>98.61499999999999</v>
      </c>
      <c r="E8365" s="5" t="n">
        <v>79.90000000000001</v>
      </c>
      <c r="F8365" s="3" t="inlineStr">
        <is>
          <t>강내면</t>
        </is>
      </c>
      <c r="G8365" s="3" t="inlineStr">
        <is>
          <t>저산리</t>
        </is>
      </c>
      <c r="H8365" s="3" t="inlineStr">
        <is>
          <t>보전관리지역</t>
        </is>
      </c>
      <c r="I8365" s="3" t="inlineStr">
        <is>
          <t>임야</t>
        </is>
      </c>
      <c r="J8365" s="3" t="inlineStr">
        <is>
          <t>강내면</t>
        </is>
      </c>
    </row>
    <row r="8366">
      <c r="A8366" s="3" t="n">
        <v>2022</v>
      </c>
      <c r="B8366" s="4" t="n">
        <v>5470</v>
      </c>
      <c r="C8366" s="4" t="n">
        <v>226</v>
      </c>
      <c r="D8366" s="4" t="n">
        <v>68.36499999999999</v>
      </c>
      <c r="E8366" s="5" t="n">
        <v>80</v>
      </c>
      <c r="F8366" s="3" t="inlineStr">
        <is>
          <t>강내면</t>
        </is>
      </c>
      <c r="G8366" s="3" t="inlineStr">
        <is>
          <t>저산리</t>
        </is>
      </c>
      <c r="H8366" s="3" t="inlineStr">
        <is>
          <t>보전관리지역</t>
        </is>
      </c>
      <c r="I8366" s="3" t="inlineStr">
        <is>
          <t>임야</t>
        </is>
      </c>
      <c r="J8366" s="3" t="inlineStr">
        <is>
          <t>강내면</t>
        </is>
      </c>
    </row>
    <row r="8367">
      <c r="A8367" s="3" t="n">
        <v>2022</v>
      </c>
      <c r="B8367" s="4" t="n">
        <v>11280</v>
      </c>
      <c r="C8367" s="4" t="n">
        <v>466</v>
      </c>
      <c r="D8367" s="4" t="n">
        <v>140.965</v>
      </c>
      <c r="E8367" s="5" t="n">
        <v>80</v>
      </c>
      <c r="F8367" s="3" t="inlineStr">
        <is>
          <t>강내면</t>
        </is>
      </c>
      <c r="G8367" s="3" t="inlineStr">
        <is>
          <t>저산리</t>
        </is>
      </c>
      <c r="H8367" s="3" t="inlineStr">
        <is>
          <t>보전관리지역</t>
        </is>
      </c>
      <c r="I8367" s="3" t="inlineStr">
        <is>
          <t>임야</t>
        </is>
      </c>
      <c r="J8367" s="3" t="inlineStr">
        <is>
          <t>강내면</t>
        </is>
      </c>
    </row>
    <row r="8368">
      <c r="A8368" s="3" t="n">
        <v>2022</v>
      </c>
      <c r="B8368" s="4" t="n">
        <v>3000</v>
      </c>
      <c r="C8368" s="4" t="n">
        <v>25</v>
      </c>
      <c r="D8368" s="4" t="n">
        <v>7.5625</v>
      </c>
      <c r="E8368" s="5" t="n">
        <v>396.7</v>
      </c>
      <c r="F8368" s="3" t="inlineStr">
        <is>
          <t>오송읍</t>
        </is>
      </c>
      <c r="G8368" s="3" t="inlineStr">
        <is>
          <t>봉산리</t>
        </is>
      </c>
      <c r="H8368" s="3" t="inlineStr">
        <is>
          <t>계획관리지역</t>
        </is>
      </c>
      <c r="I8368" s="3" t="inlineStr">
        <is>
          <t>도로</t>
        </is>
      </c>
      <c r="J8368" s="3" t="inlineStr">
        <is>
          <t>오송읍</t>
        </is>
      </c>
    </row>
    <row r="8369">
      <c r="A8369" s="3" t="n">
        <v>2022</v>
      </c>
      <c r="B8369" s="4" t="n">
        <v>6500</v>
      </c>
      <c r="C8369" s="4" t="n">
        <v>54</v>
      </c>
      <c r="D8369" s="4" t="n">
        <v>16.335</v>
      </c>
      <c r="E8369" s="5" t="n">
        <v>397.9</v>
      </c>
      <c r="F8369" s="3" t="inlineStr">
        <is>
          <t>오송읍</t>
        </is>
      </c>
      <c r="G8369" s="3" t="inlineStr">
        <is>
          <t>봉산리</t>
        </is>
      </c>
      <c r="H8369" s="3" t="inlineStr">
        <is>
          <t>계획관리지역</t>
        </is>
      </c>
      <c r="I8369" s="3" t="inlineStr">
        <is>
          <t>도로</t>
        </is>
      </c>
      <c r="J8369" s="3" t="inlineStr">
        <is>
          <t>오송읍</t>
        </is>
      </c>
    </row>
    <row r="8370">
      <c r="A8370" s="3" t="n">
        <v>2022</v>
      </c>
      <c r="B8370" s="4" t="n">
        <v>18600</v>
      </c>
      <c r="C8370" s="4" t="n">
        <v>560</v>
      </c>
      <c r="D8370" s="4" t="n">
        <v>169.4</v>
      </c>
      <c r="E8370" s="5" t="n">
        <v>109.8</v>
      </c>
      <c r="F8370" s="3" t="inlineStr">
        <is>
          <t>강내면</t>
        </is>
      </c>
      <c r="G8370" s="3" t="inlineStr">
        <is>
          <t>궁현리</t>
        </is>
      </c>
      <c r="H8370" s="3" t="inlineStr">
        <is>
          <t>계획관리지역</t>
        </is>
      </c>
      <c r="I8370" s="3" t="inlineStr">
        <is>
          <t>임야</t>
        </is>
      </c>
      <c r="J8370" s="3" t="inlineStr">
        <is>
          <t>강내면</t>
        </is>
      </c>
    </row>
    <row r="8371">
      <c r="A8371" s="3" t="n">
        <v>2022</v>
      </c>
      <c r="B8371" s="4" t="n">
        <v>219000</v>
      </c>
      <c r="C8371" s="4" t="n">
        <v>558.8</v>
      </c>
      <c r="D8371" s="4" t="n">
        <v>169.037</v>
      </c>
      <c r="E8371" s="5" t="n">
        <v>1295.6</v>
      </c>
      <c r="F8371" s="3" t="inlineStr">
        <is>
          <t>오송읍</t>
        </is>
      </c>
      <c r="G8371" s="3" t="inlineStr">
        <is>
          <t>정중리</t>
        </is>
      </c>
      <c r="H8371" s="3" t="inlineStr">
        <is>
          <t>준공업지역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2022</v>
      </c>
      <c r="B8372" s="4" t="n">
        <v>500</v>
      </c>
      <c r="C8372" s="4" t="n">
        <v>46</v>
      </c>
      <c r="D8372" s="4" t="n">
        <v>13.915</v>
      </c>
      <c r="E8372" s="5" t="n">
        <v>35.9</v>
      </c>
      <c r="F8372" s="3" t="inlineStr">
        <is>
          <t>오송읍</t>
        </is>
      </c>
      <c r="G8372" s="3" t="inlineStr">
        <is>
          <t>쌍청리</t>
        </is>
      </c>
      <c r="H8372" s="3" t="inlineStr">
        <is>
          <t>보전관리지역</t>
        </is>
      </c>
      <c r="I8372" s="3" t="inlineStr">
        <is>
          <t>임야</t>
        </is>
      </c>
      <c r="J8372" s="3" t="inlineStr">
        <is>
          <t>오송읍</t>
        </is>
      </c>
    </row>
    <row r="8373">
      <c r="A8373" s="3" t="n">
        <v>2022</v>
      </c>
      <c r="B8373" s="4" t="n">
        <v>139590</v>
      </c>
      <c r="C8373" s="4" t="n">
        <v>2620</v>
      </c>
      <c r="D8373" s="4" t="n">
        <v>792.55</v>
      </c>
      <c r="E8373" s="5" t="n">
        <v>176.1</v>
      </c>
      <c r="F8373" s="3" t="inlineStr">
        <is>
          <t>강내면</t>
        </is>
      </c>
      <c r="G8373" s="3" t="inlineStr">
        <is>
          <t>월곡리</t>
        </is>
      </c>
      <c r="H8373" s="3" t="inlineStr">
        <is>
          <t>자연녹지지역</t>
        </is>
      </c>
      <c r="I8373" s="3" t="inlineStr">
        <is>
          <t>임야</t>
        </is>
      </c>
      <c r="J8373" s="3" t="inlineStr">
        <is>
          <t>강내면</t>
        </is>
      </c>
    </row>
    <row r="8374">
      <c r="A8374" s="3" t="n">
        <v>2022</v>
      </c>
      <c r="B8374" s="4" t="n">
        <v>10110</v>
      </c>
      <c r="C8374" s="4" t="n">
        <v>190</v>
      </c>
      <c r="D8374" s="4" t="n">
        <v>57.475</v>
      </c>
      <c r="E8374" s="5" t="n">
        <v>175.9</v>
      </c>
      <c r="F8374" s="3" t="inlineStr">
        <is>
          <t>강내면</t>
        </is>
      </c>
      <c r="G8374" s="3" t="inlineStr">
        <is>
          <t>월곡리</t>
        </is>
      </c>
      <c r="H8374" s="3" t="inlineStr">
        <is>
          <t>자연녹지지역</t>
        </is>
      </c>
      <c r="I8374" s="3" t="inlineStr">
        <is>
          <t>임야</t>
        </is>
      </c>
      <c r="J8374" s="3" t="inlineStr">
        <is>
          <t>강내면</t>
        </is>
      </c>
    </row>
    <row r="8375">
      <c r="A8375" s="3" t="n">
        <v>2022</v>
      </c>
      <c r="B8375" s="4" t="n">
        <v>198000</v>
      </c>
      <c r="C8375" s="4" t="n">
        <v>31679</v>
      </c>
      <c r="D8375" s="4" t="n">
        <v>9582.897499999999</v>
      </c>
      <c r="E8375" s="5" t="n">
        <v>20.7</v>
      </c>
      <c r="F8375" s="3" t="inlineStr">
        <is>
          <t>강내면</t>
        </is>
      </c>
      <c r="G8375" s="3" t="inlineStr">
        <is>
          <t>저산리</t>
        </is>
      </c>
      <c r="H8375" s="3" t="inlineStr">
        <is>
          <t>보전관리지역</t>
        </is>
      </c>
      <c r="I8375" s="3" t="inlineStr">
        <is>
          <t>임야</t>
        </is>
      </c>
      <c r="J8375" s="3" t="inlineStr">
        <is>
          <t>강내면</t>
        </is>
      </c>
    </row>
    <row r="8376">
      <c r="A8376" s="3" t="n">
        <v>2022</v>
      </c>
      <c r="B8376" s="4" t="n">
        <v>4900</v>
      </c>
      <c r="C8376" s="4" t="n">
        <v>453</v>
      </c>
      <c r="D8376" s="4" t="n">
        <v>137.0325</v>
      </c>
      <c r="E8376" s="5" t="n">
        <v>35.8</v>
      </c>
      <c r="F8376" s="3" t="inlineStr">
        <is>
          <t>강내면</t>
        </is>
      </c>
      <c r="G8376" s="3" t="inlineStr">
        <is>
          <t>저산리</t>
        </is>
      </c>
      <c r="H8376" s="3" t="inlineStr">
        <is>
          <t>농림지역</t>
        </is>
      </c>
      <c r="I8376" s="3" t="inlineStr">
        <is>
          <t>전</t>
        </is>
      </c>
      <c r="J8376" s="3" t="inlineStr">
        <is>
          <t>강내면</t>
        </is>
      </c>
    </row>
    <row r="8377">
      <c r="A8377" s="3" t="n">
        <v>2022</v>
      </c>
      <c r="B8377" s="4" t="n">
        <v>50</v>
      </c>
      <c r="C8377" s="4" t="n">
        <v>3</v>
      </c>
      <c r="D8377" s="4" t="n">
        <v>0.9075</v>
      </c>
      <c r="E8377" s="5" t="n">
        <v>55.1</v>
      </c>
      <c r="F8377" s="3" t="inlineStr">
        <is>
          <t>강내면</t>
        </is>
      </c>
      <c r="G8377" s="3" t="inlineStr">
        <is>
          <t>사인리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2022</v>
      </c>
      <c r="B8378" s="4" t="n">
        <v>270</v>
      </c>
      <c r="C8378" s="4" t="n">
        <v>17</v>
      </c>
      <c r="D8378" s="4" t="n">
        <v>5.1425</v>
      </c>
      <c r="E8378" s="5" t="n">
        <v>52.5</v>
      </c>
      <c r="F8378" s="3" t="inlineStr">
        <is>
          <t>강내면</t>
        </is>
      </c>
      <c r="G8378" s="3" t="inlineStr">
        <is>
          <t>사인리</t>
        </is>
      </c>
      <c r="H8378" s="3" t="inlineStr">
        <is>
          <t>자연녹지지역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2022</v>
      </c>
      <c r="B8379" s="4" t="n">
        <v>160</v>
      </c>
      <c r="C8379" s="4" t="n">
        <v>25</v>
      </c>
      <c r="D8379" s="4" t="n">
        <v>7.5625</v>
      </c>
      <c r="E8379" s="5" t="n">
        <v>21.2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2022</v>
      </c>
      <c r="B8380" s="4" t="n">
        <v>71800</v>
      </c>
      <c r="C8380" s="4" t="n">
        <v>3570</v>
      </c>
      <c r="D8380" s="4" t="n">
        <v>1079.925</v>
      </c>
      <c r="E8380" s="5" t="n">
        <v>66.5</v>
      </c>
      <c r="F8380" s="3" t="inlineStr">
        <is>
          <t>강내면</t>
        </is>
      </c>
      <c r="G8380" s="3" t="inlineStr">
        <is>
          <t>월탄리</t>
        </is>
      </c>
      <c r="H8380" s="3" t="inlineStr">
        <is>
          <t>농림지역</t>
        </is>
      </c>
      <c r="I8380" s="3" t="inlineStr">
        <is>
          <t>답</t>
        </is>
      </c>
      <c r="J8380" s="3" t="inlineStr">
        <is>
          <t>강내면</t>
        </is>
      </c>
    </row>
    <row r="8381">
      <c r="A8381" s="3" t="n">
        <v>2022</v>
      </c>
      <c r="B8381" s="4" t="n">
        <v>29920</v>
      </c>
      <c r="C8381" s="4" t="n">
        <v>638</v>
      </c>
      <c r="D8381" s="4" t="n">
        <v>192.995</v>
      </c>
      <c r="E8381" s="5" t="n">
        <v>155</v>
      </c>
      <c r="F8381" s="3" t="inlineStr">
        <is>
          <t>강내면</t>
        </is>
      </c>
      <c r="G8381" s="3" t="inlineStr">
        <is>
          <t>사인리</t>
        </is>
      </c>
      <c r="H8381" s="3" t="inlineStr">
        <is>
          <t>자연녹지지역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2022</v>
      </c>
      <c r="B8382" s="4" t="n">
        <v>10080</v>
      </c>
      <c r="C8382" s="4" t="n">
        <v>215</v>
      </c>
      <c r="D8382" s="4" t="n">
        <v>65.03749999999999</v>
      </c>
      <c r="E8382" s="5" t="n">
        <v>155</v>
      </c>
      <c r="F8382" s="3" t="inlineStr">
        <is>
          <t>강내면</t>
        </is>
      </c>
      <c r="G8382" s="3" t="inlineStr">
        <is>
          <t>사인리</t>
        </is>
      </c>
      <c r="H8382" s="3" t="inlineStr">
        <is>
          <t>자연녹지지역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2022</v>
      </c>
      <c r="B8383" s="4" t="n">
        <v>43300</v>
      </c>
      <c r="C8383" s="4" t="n">
        <v>1431</v>
      </c>
      <c r="D8383" s="4" t="n">
        <v>432.8775</v>
      </c>
      <c r="E8383" s="5" t="n">
        <v>100</v>
      </c>
      <c r="F8383" s="3" t="inlineStr">
        <is>
          <t>부강면</t>
        </is>
      </c>
      <c r="G8383" s="3" t="inlineStr">
        <is>
          <t>노호리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부강면</t>
        </is>
      </c>
    </row>
    <row r="8384">
      <c r="A8384" s="3" t="n">
        <v>2024</v>
      </c>
      <c r="B8384" s="4" t="n">
        <v>64000</v>
      </c>
      <c r="C8384" s="4" t="n">
        <v>3025</v>
      </c>
      <c r="D8384" s="4" t="n">
        <v>915.0625</v>
      </c>
      <c r="E8384" s="5" t="n">
        <v>69.90000000000001</v>
      </c>
      <c r="F8384" s="3" t="inlineStr">
        <is>
          <t>오송읍</t>
        </is>
      </c>
      <c r="G8384" s="3" t="inlineStr">
        <is>
          <t>서평리</t>
        </is>
      </c>
      <c r="H8384" s="3" t="inlineStr">
        <is>
          <t>농림지역</t>
        </is>
      </c>
      <c r="I8384" s="3" t="inlineStr">
        <is>
          <t>답</t>
        </is>
      </c>
      <c r="J8384" s="3" t="inlineStr">
        <is>
          <t>오송읍</t>
        </is>
      </c>
    </row>
    <row r="8385">
      <c r="A8385" s="3" t="n">
        <v>2024</v>
      </c>
      <c r="B8385" s="4" t="n">
        <v>1658</v>
      </c>
      <c r="C8385" s="4" t="n">
        <v>24</v>
      </c>
      <c r="D8385" s="4" t="n">
        <v>7.26</v>
      </c>
      <c r="E8385" s="5" t="n">
        <v>228.4</v>
      </c>
      <c r="F8385" s="3" t="inlineStr">
        <is>
          <t>오송읍</t>
        </is>
      </c>
      <c r="G8385" s="3" t="inlineStr">
        <is>
          <t>궁평리</t>
        </is>
      </c>
      <c r="H8385" s="3" t="inlineStr">
        <is>
          <t>계획관리지역</t>
        </is>
      </c>
      <c r="I8385" s="3" t="inlineStr">
        <is>
          <t>도로</t>
        </is>
      </c>
      <c r="J8385" s="3" t="inlineStr">
        <is>
          <t>오송읍</t>
        </is>
      </c>
    </row>
    <row r="8386">
      <c r="A8386" s="3" t="n">
        <v>2024</v>
      </c>
      <c r="B8386" s="4" t="n">
        <v>34600</v>
      </c>
      <c r="C8386" s="4" t="n">
        <v>2084</v>
      </c>
      <c r="D8386" s="4" t="n">
        <v>630.41</v>
      </c>
      <c r="E8386" s="5" t="n">
        <v>54.9</v>
      </c>
      <c r="F8386" s="3" t="inlineStr">
        <is>
          <t>오송읍</t>
        </is>
      </c>
      <c r="G8386" s="3" t="inlineStr">
        <is>
          <t>공북리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오송읍</t>
        </is>
      </c>
    </row>
    <row r="8387">
      <c r="A8387" s="3" t="n">
        <v>2024</v>
      </c>
      <c r="B8387" s="4" t="n">
        <v>1200</v>
      </c>
      <c r="C8387" s="4" t="n">
        <v>15</v>
      </c>
      <c r="D8387" s="4" t="n">
        <v>4.5375</v>
      </c>
      <c r="E8387" s="5" t="n">
        <v>264.5</v>
      </c>
      <c r="F8387" s="3" t="inlineStr">
        <is>
          <t>오송읍</t>
        </is>
      </c>
      <c r="G8387" s="3" t="inlineStr">
        <is>
          <t>오송리</t>
        </is>
      </c>
      <c r="H8387" s="3" t="inlineStr">
        <is>
          <t>계획관리지역</t>
        </is>
      </c>
      <c r="I8387" s="3" t="inlineStr">
        <is>
          <t>대</t>
        </is>
      </c>
      <c r="J8387" s="3" t="inlineStr">
        <is>
          <t>오송읍</t>
        </is>
      </c>
    </row>
    <row r="8388">
      <c r="A8388" s="3" t="n">
        <v>2024</v>
      </c>
      <c r="B8388" s="4" t="n">
        <v>19600</v>
      </c>
      <c r="C8388" s="4" t="n">
        <v>1617</v>
      </c>
      <c r="D8388" s="4" t="n">
        <v>489.1425</v>
      </c>
      <c r="E8388" s="5" t="n">
        <v>40.1</v>
      </c>
      <c r="F8388" s="3" t="inlineStr">
        <is>
          <t>오송읍</t>
        </is>
      </c>
      <c r="G8388" s="3" t="inlineStr">
        <is>
          <t>호계리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2024</v>
      </c>
      <c r="B8389" s="4" t="n">
        <v>4520</v>
      </c>
      <c r="C8389" s="4" t="n">
        <v>377</v>
      </c>
      <c r="D8389" s="4" t="n">
        <v>114.0425</v>
      </c>
      <c r="E8389" s="5" t="n">
        <v>39.6</v>
      </c>
      <c r="F8389" s="3" t="inlineStr">
        <is>
          <t>오송읍</t>
        </is>
      </c>
      <c r="G8389" s="3" t="inlineStr">
        <is>
          <t>호계리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2024</v>
      </c>
      <c r="B8390" s="4" t="n">
        <v>23000</v>
      </c>
      <c r="C8390" s="4" t="n">
        <v>460</v>
      </c>
      <c r="D8390" s="4" t="n">
        <v>139.15</v>
      </c>
      <c r="E8390" s="5" t="n">
        <v>165.3</v>
      </c>
      <c r="F8390" s="3" t="inlineStr">
        <is>
          <t>강내면</t>
        </is>
      </c>
      <c r="G8390" s="3" t="inlineStr">
        <is>
          <t>사곡리</t>
        </is>
      </c>
      <c r="H8390" s="3" t="inlineStr">
        <is>
          <t>계획관리지역</t>
        </is>
      </c>
      <c r="I8390" s="3" t="inlineStr">
        <is>
          <t>대</t>
        </is>
      </c>
      <c r="J8390" s="3" t="inlineStr">
        <is>
          <t>강내면</t>
        </is>
      </c>
    </row>
    <row r="8391">
      <c r="A8391" s="3" t="n">
        <v>2024</v>
      </c>
      <c r="B8391" s="4" t="n">
        <v>55000</v>
      </c>
      <c r="C8391" s="4" t="n">
        <v>257</v>
      </c>
      <c r="D8391" s="4" t="n">
        <v>77.74249999999999</v>
      </c>
      <c r="E8391" s="5" t="n">
        <v>707.5</v>
      </c>
      <c r="F8391" s="3" t="inlineStr">
        <is>
          <t>강내면</t>
        </is>
      </c>
      <c r="G8391" s="3" t="inlineStr">
        <is>
          <t>월곡리</t>
        </is>
      </c>
      <c r="H8391" s="3" t="inlineStr">
        <is>
          <t>제2종일반주거지역</t>
        </is>
      </c>
      <c r="I8391" s="3" t="inlineStr">
        <is>
          <t>답</t>
        </is>
      </c>
      <c r="J8391" s="3" t="inlineStr">
        <is>
          <t>강내면</t>
        </is>
      </c>
    </row>
    <row r="8392">
      <c r="A8392" s="3" t="n">
        <v>2024</v>
      </c>
      <c r="B8392" s="4" t="n">
        <v>316</v>
      </c>
      <c r="C8392" s="4" t="n">
        <v>10</v>
      </c>
      <c r="D8392" s="4" t="n">
        <v>3.025</v>
      </c>
      <c r="E8392" s="5" t="n">
        <v>104.5</v>
      </c>
      <c r="F8392" s="3" t="inlineStr">
        <is>
          <t>오송읍</t>
        </is>
      </c>
      <c r="G8392" s="3" t="inlineStr">
        <is>
          <t>상정리</t>
        </is>
      </c>
      <c r="H8392" s="3" t="inlineStr">
        <is>
          <t>보전관리지역</t>
        </is>
      </c>
      <c r="I8392" s="3" t="inlineStr">
        <is>
          <t>대</t>
        </is>
      </c>
      <c r="J8392" s="3" t="inlineStr">
        <is>
          <t>오송읍</t>
        </is>
      </c>
    </row>
    <row r="8393">
      <c r="A8393" s="3" t="n">
        <v>2024</v>
      </c>
      <c r="B8393" s="4" t="n">
        <v>37296</v>
      </c>
      <c r="C8393" s="4" t="n">
        <v>1102</v>
      </c>
      <c r="D8393" s="4" t="n">
        <v>333.355</v>
      </c>
      <c r="E8393" s="5" t="n">
        <v>111.9</v>
      </c>
      <c r="F8393" s="3" t="inlineStr">
        <is>
          <t>오송읍</t>
        </is>
      </c>
      <c r="G8393" s="3" t="inlineStr">
        <is>
          <t>쌍청리</t>
        </is>
      </c>
      <c r="H8393" s="3" t="inlineStr">
        <is>
          <t>생산관리지역</t>
        </is>
      </c>
      <c r="I8393" s="3" t="inlineStr">
        <is>
          <t>답</t>
        </is>
      </c>
      <c r="J8393" s="3" t="inlineStr">
        <is>
          <t>오송읍</t>
        </is>
      </c>
    </row>
    <row r="8394">
      <c r="A8394" s="3" t="n">
        <v>2024</v>
      </c>
      <c r="B8394" s="4" t="n">
        <v>12849</v>
      </c>
      <c r="C8394" s="4" t="n">
        <v>390</v>
      </c>
      <c r="D8394" s="4" t="n">
        <v>117.975</v>
      </c>
      <c r="E8394" s="5" t="n">
        <v>108.9</v>
      </c>
      <c r="F8394" s="3" t="inlineStr">
        <is>
          <t>강내면</t>
        </is>
      </c>
      <c r="G8394" s="3" t="inlineStr">
        <is>
          <t>저산리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강내면</t>
        </is>
      </c>
    </row>
    <row r="8395">
      <c r="A8395" s="3" t="n">
        <v>2024</v>
      </c>
      <c r="B8395" s="4" t="n">
        <v>12300</v>
      </c>
      <c r="C8395" s="4" t="n">
        <v>417</v>
      </c>
      <c r="D8395" s="4" t="n">
        <v>126.1425</v>
      </c>
      <c r="E8395" s="5" t="n">
        <v>97.5</v>
      </c>
      <c r="F8395" s="3" t="inlineStr">
        <is>
          <t>현도면</t>
        </is>
      </c>
      <c r="G8395" s="3" t="inlineStr">
        <is>
          <t>죽암리</t>
        </is>
      </c>
      <c r="H8395" s="3" t="inlineStr">
        <is>
          <t>보전관리지역</t>
        </is>
      </c>
      <c r="I8395" s="3" t="inlineStr">
        <is>
          <t>전</t>
        </is>
      </c>
      <c r="J8395" s="3" t="inlineStr">
        <is>
          <t>현도면</t>
        </is>
      </c>
    </row>
    <row r="8396">
      <c r="A8396" s="3" t="n">
        <v>2024</v>
      </c>
      <c r="B8396" s="4" t="n">
        <v>7700</v>
      </c>
      <c r="C8396" s="4" t="n">
        <v>261</v>
      </c>
      <c r="D8396" s="4" t="n">
        <v>78.9525</v>
      </c>
      <c r="E8396" s="5" t="n">
        <v>97.5</v>
      </c>
      <c r="F8396" s="3" t="inlineStr">
        <is>
          <t>현도면</t>
        </is>
      </c>
      <c r="G8396" s="3" t="inlineStr">
        <is>
          <t>죽암리</t>
        </is>
      </c>
      <c r="H8396" s="3" t="inlineStr">
        <is>
          <t>보전관리지역</t>
        </is>
      </c>
      <c r="I8396" s="3" t="inlineStr">
        <is>
          <t>전</t>
        </is>
      </c>
      <c r="J8396" s="3" t="inlineStr">
        <is>
          <t>현도면</t>
        </is>
      </c>
    </row>
    <row r="8397">
      <c r="A8397" s="3" t="n">
        <v>2024</v>
      </c>
      <c r="B8397" s="4" t="n">
        <v>4000</v>
      </c>
      <c r="C8397" s="4" t="n">
        <v>436</v>
      </c>
      <c r="D8397" s="4" t="n">
        <v>131.89</v>
      </c>
      <c r="E8397" s="5" t="n">
        <v>30.3</v>
      </c>
      <c r="F8397" s="3" t="inlineStr">
        <is>
          <t>남이면</t>
        </is>
      </c>
      <c r="G8397" s="3" t="inlineStr">
        <is>
          <t>상발리</t>
        </is>
      </c>
      <c r="H8397" s="3" t="inlineStr">
        <is>
          <t>계획관리지역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2024</v>
      </c>
      <c r="B8398" s="4" t="n">
        <v>19300</v>
      </c>
      <c r="C8398" s="4" t="n">
        <v>493</v>
      </c>
      <c r="D8398" s="4" t="n">
        <v>149.1325</v>
      </c>
      <c r="E8398" s="5" t="n">
        <v>129.4</v>
      </c>
      <c r="F8398" s="3" t="inlineStr">
        <is>
          <t>현도면</t>
        </is>
      </c>
      <c r="G8398" s="3" t="inlineStr">
        <is>
          <t>죽암리</t>
        </is>
      </c>
      <c r="H8398" s="3" t="inlineStr">
        <is>
          <t>계획관리지역</t>
        </is>
      </c>
      <c r="I8398" s="3" t="inlineStr">
        <is>
          <t>대</t>
        </is>
      </c>
      <c r="J8398" s="3" t="inlineStr">
        <is>
          <t>현도면</t>
        </is>
      </c>
    </row>
    <row r="8399">
      <c r="A8399" s="3" t="n">
        <v>2024</v>
      </c>
      <c r="B8399" s="4" t="n">
        <v>12500</v>
      </c>
      <c r="C8399" s="4" t="n">
        <v>354</v>
      </c>
      <c r="D8399" s="4" t="n">
        <v>107.085</v>
      </c>
      <c r="E8399" s="5" t="n">
        <v>116.7</v>
      </c>
      <c r="F8399" s="3" t="inlineStr">
        <is>
          <t>남이면</t>
        </is>
      </c>
      <c r="G8399" s="3" t="inlineStr">
        <is>
          <t>척산리</t>
        </is>
      </c>
      <c r="H8399" s="3" t="inlineStr">
        <is>
          <t>계획관리지역</t>
        </is>
      </c>
      <c r="I8399" s="3" t="inlineStr">
        <is>
          <t>대</t>
        </is>
      </c>
      <c r="J8399" s="3" t="inlineStr">
        <is>
          <t>남이면</t>
        </is>
      </c>
    </row>
    <row r="8400">
      <c r="A8400" s="3" t="n">
        <v>2024</v>
      </c>
      <c r="B8400" s="4" t="n">
        <v>9320</v>
      </c>
      <c r="C8400" s="4" t="n">
        <v>615</v>
      </c>
      <c r="D8400" s="4" t="n">
        <v>186.0375</v>
      </c>
      <c r="E8400" s="5" t="n">
        <v>50.1</v>
      </c>
      <c r="F8400" s="3" t="inlineStr">
        <is>
          <t>남이면</t>
        </is>
      </c>
      <c r="G8400" s="3" t="inlineStr">
        <is>
          <t>문동리</t>
        </is>
      </c>
      <c r="H8400" s="3" t="inlineStr">
        <is>
          <t>보전녹지지역</t>
        </is>
      </c>
      <c r="I8400" s="3" t="inlineStr">
        <is>
          <t>임야</t>
        </is>
      </c>
      <c r="J8400" s="3" t="inlineStr">
        <is>
          <t>남이면</t>
        </is>
      </c>
    </row>
    <row r="8401">
      <c r="A8401" s="3" t="n">
        <v>2024</v>
      </c>
      <c r="B8401" s="4" t="n">
        <v>2300</v>
      </c>
      <c r="C8401" s="4" t="n">
        <v>714</v>
      </c>
      <c r="D8401" s="4" t="n">
        <v>215.985</v>
      </c>
      <c r="E8401" s="5" t="n">
        <v>10.6</v>
      </c>
      <c r="F8401" s="3" t="inlineStr">
        <is>
          <t>현도면</t>
        </is>
      </c>
      <c r="G8401" s="3" t="inlineStr">
        <is>
          <t>달계리</t>
        </is>
      </c>
      <c r="H8401" s="3" t="inlineStr">
        <is>
          <t>자연녹지지역</t>
        </is>
      </c>
      <c r="I8401" s="3" t="inlineStr">
        <is>
          <t>전</t>
        </is>
      </c>
      <c r="J8401" s="3" t="inlineStr">
        <is>
          <t>현도면</t>
        </is>
      </c>
    </row>
    <row r="8402">
      <c r="A8402" s="3" t="n">
        <v>2024</v>
      </c>
      <c r="B8402" s="4" t="n">
        <v>5700</v>
      </c>
      <c r="C8402" s="4" t="n">
        <v>1815</v>
      </c>
      <c r="D8402" s="4" t="n">
        <v>549.0375</v>
      </c>
      <c r="E8402" s="5" t="n">
        <v>10.4</v>
      </c>
      <c r="F8402" s="3" t="inlineStr">
        <is>
          <t>현도면</t>
        </is>
      </c>
      <c r="G8402" s="3" t="inlineStr">
        <is>
          <t>달계리</t>
        </is>
      </c>
      <c r="H8402" s="3" t="inlineStr">
        <is>
          <t>자연녹지지역</t>
        </is>
      </c>
      <c r="I8402" s="3" t="inlineStr">
        <is>
          <t>전</t>
        </is>
      </c>
      <c r="J8402" s="3" t="inlineStr">
        <is>
          <t>현도면</t>
        </is>
      </c>
    </row>
    <row r="8403">
      <c r="A8403" s="3" t="n">
        <v>2024</v>
      </c>
      <c r="B8403" s="4" t="n">
        <v>1356</v>
      </c>
      <c r="C8403" s="4" t="n">
        <v>96</v>
      </c>
      <c r="D8403" s="4" t="n">
        <v>29.04</v>
      </c>
      <c r="E8403" s="5" t="n">
        <v>46.7</v>
      </c>
      <c r="F8403" s="3" t="inlineStr">
        <is>
          <t>남이면</t>
        </is>
      </c>
      <c r="G8403" s="3" t="inlineStr">
        <is>
          <t>척산리</t>
        </is>
      </c>
      <c r="H8403" s="3" t="inlineStr">
        <is>
          <t>생산관리지역</t>
        </is>
      </c>
      <c r="I8403" s="3" t="inlineStr">
        <is>
          <t>전</t>
        </is>
      </c>
      <c r="J8403" s="3" t="inlineStr">
        <is>
          <t>남이면</t>
        </is>
      </c>
    </row>
    <row r="8404">
      <c r="A8404" s="3" t="n">
        <v>2024</v>
      </c>
      <c r="B8404" s="4" t="n">
        <v>13</v>
      </c>
      <c r="C8404" s="4" t="n">
        <v>1</v>
      </c>
      <c r="D8404" s="4" t="n">
        <v>0.3025</v>
      </c>
      <c r="E8404" s="5" t="n">
        <v>43</v>
      </c>
      <c r="F8404" s="3" t="inlineStr">
        <is>
          <t>남이면</t>
        </is>
      </c>
      <c r="G8404" s="3" t="inlineStr">
        <is>
          <t>척산리</t>
        </is>
      </c>
      <c r="H8404" s="3" t="inlineStr">
        <is>
          <t>생산관리지역</t>
        </is>
      </c>
      <c r="I8404" s="3" t="inlineStr">
        <is>
          <t>전</t>
        </is>
      </c>
      <c r="J8404" s="3" t="inlineStr">
        <is>
          <t>남이면</t>
        </is>
      </c>
    </row>
    <row r="8405">
      <c r="A8405" s="3" t="n">
        <v>2024</v>
      </c>
      <c r="B8405" s="4" t="n">
        <v>164</v>
      </c>
      <c r="C8405" s="4" t="n">
        <v>47</v>
      </c>
      <c r="D8405" s="4" t="n">
        <v>14.2175</v>
      </c>
      <c r="E8405" s="5" t="n">
        <v>11.5</v>
      </c>
      <c r="F8405" s="3" t="inlineStr">
        <is>
          <t>남이면</t>
        </is>
      </c>
      <c r="G8405" s="3" t="inlineStr">
        <is>
          <t>척산리</t>
        </is>
      </c>
      <c r="H8405" s="3" t="inlineStr">
        <is>
          <t>계획관리지역</t>
        </is>
      </c>
      <c r="I8405" s="3" t="inlineStr">
        <is>
          <t>도로</t>
        </is>
      </c>
      <c r="J8405" s="3" t="inlineStr">
        <is>
          <t>남이면</t>
        </is>
      </c>
    </row>
    <row r="8406">
      <c r="A8406" s="3" t="n">
        <v>2024</v>
      </c>
      <c r="B8406" s="4" t="n">
        <v>15660</v>
      </c>
      <c r="C8406" s="4" t="n">
        <v>5752</v>
      </c>
      <c r="D8406" s="4" t="n">
        <v>1739.98</v>
      </c>
      <c r="E8406" s="5" t="n">
        <v>9</v>
      </c>
      <c r="F8406" s="3" t="inlineStr">
        <is>
          <t>현도면</t>
        </is>
      </c>
      <c r="G8406" s="3" t="inlineStr">
        <is>
          <t>시목리</t>
        </is>
      </c>
      <c r="H8406" s="3" t="inlineStr">
        <is>
          <t>자연녹지지역</t>
        </is>
      </c>
      <c r="I8406" s="3" t="inlineStr">
        <is>
          <t>임야</t>
        </is>
      </c>
      <c r="J8406" s="3" t="inlineStr">
        <is>
          <t>현도면</t>
        </is>
      </c>
    </row>
    <row r="8407">
      <c r="A8407" s="3" t="n">
        <v>2024</v>
      </c>
      <c r="B8407" s="4" t="n">
        <v>46500</v>
      </c>
      <c r="C8407" s="4" t="n">
        <v>1605</v>
      </c>
      <c r="D8407" s="4" t="n">
        <v>485.5125</v>
      </c>
      <c r="E8407" s="5" t="n">
        <v>95.8</v>
      </c>
      <c r="F8407" s="3" t="inlineStr">
        <is>
          <t>남이면</t>
        </is>
      </c>
      <c r="G8407" s="3" t="inlineStr">
        <is>
          <t>척산리</t>
        </is>
      </c>
      <c r="H8407" s="3" t="inlineStr">
        <is>
          <t>계획관리지역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20556</v>
      </c>
      <c r="C8408" s="4" t="n">
        <v>612</v>
      </c>
      <c r="D8408" s="4" t="n">
        <v>185.13</v>
      </c>
      <c r="E8408" s="5" t="n">
        <v>111</v>
      </c>
      <c r="F8408" s="3" t="inlineStr">
        <is>
          <t>남이면</t>
        </is>
      </c>
      <c r="G8408" s="3" t="inlineStr">
        <is>
          <t>석판리</t>
        </is>
      </c>
      <c r="H8408" s="3" t="inlineStr">
        <is>
          <t>자연녹지지역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2024</v>
      </c>
      <c r="B8409" s="4" t="n">
        <v>6950</v>
      </c>
      <c r="C8409" s="4" t="n">
        <v>772</v>
      </c>
      <c r="D8409" s="4" t="n">
        <v>233.53</v>
      </c>
      <c r="E8409" s="5" t="n">
        <v>29.8</v>
      </c>
      <c r="F8409" s="3" t="inlineStr">
        <is>
          <t>남이면</t>
        </is>
      </c>
      <c r="G8409" s="3" t="inlineStr">
        <is>
          <t>문동리</t>
        </is>
      </c>
      <c r="H8409" s="3" t="inlineStr">
        <is>
          <t>보전녹지지역</t>
        </is>
      </c>
      <c r="I8409" s="3" t="inlineStr">
        <is>
          <t>임야</t>
        </is>
      </c>
      <c r="J8409" s="3" t="inlineStr">
        <is>
          <t>남이면</t>
        </is>
      </c>
    </row>
    <row r="8410">
      <c r="A8410" s="3" t="n">
        <v>2024</v>
      </c>
      <c r="B8410" s="4" t="n">
        <v>6950</v>
      </c>
      <c r="C8410" s="4" t="n">
        <v>842</v>
      </c>
      <c r="D8410" s="4" t="n">
        <v>254.705</v>
      </c>
      <c r="E8410" s="5" t="n">
        <v>27.3</v>
      </c>
      <c r="F8410" s="3" t="inlineStr">
        <is>
          <t>남이면</t>
        </is>
      </c>
      <c r="G8410" s="3" t="inlineStr">
        <is>
          <t>문동리</t>
        </is>
      </c>
      <c r="H8410" s="3" t="inlineStr">
        <is>
          <t>보전녹지지역</t>
        </is>
      </c>
      <c r="I8410" s="3" t="inlineStr">
        <is>
          <t>임야</t>
        </is>
      </c>
      <c r="J8410" s="3" t="inlineStr">
        <is>
          <t>남이면</t>
        </is>
      </c>
    </row>
    <row r="8411">
      <c r="A8411" s="3" t="n">
        <v>2024</v>
      </c>
      <c r="B8411" s="4" t="n">
        <v>6300</v>
      </c>
      <c r="C8411" s="4" t="n">
        <v>385</v>
      </c>
      <c r="D8411" s="4" t="n">
        <v>116.4625</v>
      </c>
      <c r="E8411" s="5" t="n">
        <v>54.1</v>
      </c>
      <c r="F8411" s="3" t="inlineStr">
        <is>
          <t>현도면</t>
        </is>
      </c>
      <c r="G8411" s="3" t="inlineStr">
        <is>
          <t>죽전리</t>
        </is>
      </c>
      <c r="H8411" s="3" t="inlineStr">
        <is>
          <t>계획관리지역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70000</v>
      </c>
      <c r="C8412" s="4" t="n">
        <v>1461.4</v>
      </c>
      <c r="D8412" s="4" t="n">
        <v>442.0735</v>
      </c>
      <c r="E8412" s="5" t="n">
        <v>158.3</v>
      </c>
      <c r="F8412" s="3" t="inlineStr">
        <is>
          <t>남이면</t>
        </is>
      </c>
      <c r="G8412" s="3" t="inlineStr">
        <is>
          <t>가좌리</t>
        </is>
      </c>
      <c r="H8412" s="3" t="inlineStr">
        <is>
          <t>자연녹지지역</t>
        </is>
      </c>
      <c r="I8412" s="3" t="inlineStr">
        <is>
          <t>전</t>
        </is>
      </c>
      <c r="J8412" s="3" t="inlineStr">
        <is>
          <t>남이면</t>
        </is>
      </c>
    </row>
    <row r="8413">
      <c r="A8413" s="3" t="n">
        <v>2024</v>
      </c>
      <c r="B8413" s="4" t="n">
        <v>13671</v>
      </c>
      <c r="C8413" s="4" t="n">
        <v>1653</v>
      </c>
      <c r="D8413" s="4" t="n">
        <v>500.0325</v>
      </c>
      <c r="E8413" s="5" t="n">
        <v>27.3</v>
      </c>
      <c r="F8413" s="3" t="inlineStr">
        <is>
          <t>연서면</t>
        </is>
      </c>
      <c r="G8413" s="3" t="inlineStr">
        <is>
          <t>기룡리</t>
        </is>
      </c>
      <c r="H8413" s="3" t="inlineStr">
        <is>
          <t>보전관리지역</t>
        </is>
      </c>
      <c r="I8413" s="3" t="inlineStr">
        <is>
          <t>임야</t>
        </is>
      </c>
      <c r="J8413" s="3" t="inlineStr">
        <is>
          <t>연서면</t>
        </is>
      </c>
    </row>
    <row r="8414">
      <c r="A8414" s="3" t="n">
        <v>2023</v>
      </c>
      <c r="B8414" s="4" t="n">
        <v>48000</v>
      </c>
      <c r="C8414" s="4" t="n">
        <v>1112</v>
      </c>
      <c r="D8414" s="4" t="n">
        <v>336.38</v>
      </c>
      <c r="E8414" s="5" t="n">
        <v>142.7</v>
      </c>
      <c r="F8414" s="3" t="inlineStr">
        <is>
          <t>연서면</t>
        </is>
      </c>
      <c r="G8414" s="3" t="inlineStr">
        <is>
          <t>와촌리</t>
        </is>
      </c>
      <c r="H8414" s="3" t="inlineStr">
        <is>
          <t>농림지역</t>
        </is>
      </c>
      <c r="I8414" s="3" t="inlineStr">
        <is>
          <t>과수원</t>
        </is>
      </c>
      <c r="J8414" s="3" t="inlineStr">
        <is>
          <t>연서면</t>
        </is>
      </c>
    </row>
    <row r="8415">
      <c r="A8415" s="3" t="n">
        <v>2023</v>
      </c>
      <c r="B8415" s="4" t="n">
        <v>183</v>
      </c>
      <c r="C8415" s="4" t="n">
        <v>12</v>
      </c>
      <c r="D8415" s="4" t="n">
        <v>3.63</v>
      </c>
      <c r="E8415" s="5" t="n">
        <v>50.4</v>
      </c>
      <c r="F8415" s="3" t="inlineStr">
        <is>
          <t>부강면</t>
        </is>
      </c>
      <c r="G8415" s="3" t="inlineStr">
        <is>
          <t>등곡리</t>
        </is>
      </c>
      <c r="H8415" s="3" t="inlineStr">
        <is>
          <t>제1종일반주거지역</t>
        </is>
      </c>
      <c r="I8415" s="3" t="inlineStr">
        <is>
          <t>임야</t>
        </is>
      </c>
      <c r="J8415" s="3" t="inlineStr">
        <is>
          <t>부강면</t>
        </is>
      </c>
    </row>
    <row r="8416">
      <c r="A8416" s="3" t="n">
        <v>2023</v>
      </c>
      <c r="B8416" s="4" t="n">
        <v>212</v>
      </c>
      <c r="C8416" s="4" t="n">
        <v>14</v>
      </c>
      <c r="D8416" s="4" t="n">
        <v>4.234999999999999</v>
      </c>
      <c r="E8416" s="5" t="n">
        <v>50.1</v>
      </c>
      <c r="F8416" s="3" t="inlineStr">
        <is>
          <t>부강면</t>
        </is>
      </c>
      <c r="G8416" s="3" t="inlineStr">
        <is>
          <t>등곡리</t>
        </is>
      </c>
      <c r="H8416" s="3" t="inlineStr">
        <is>
          <t>제1종일반주거지역</t>
        </is>
      </c>
      <c r="I8416" s="3" t="inlineStr">
        <is>
          <t>임야</t>
        </is>
      </c>
      <c r="J8416" s="3" t="inlineStr">
        <is>
          <t>부강면</t>
        </is>
      </c>
    </row>
    <row r="8417">
      <c r="A8417" s="3" t="n">
        <v>2023</v>
      </c>
      <c r="B8417" s="4" t="n">
        <v>12508</v>
      </c>
      <c r="C8417" s="4" t="n">
        <v>780</v>
      </c>
      <c r="D8417" s="4" t="n">
        <v>235.95</v>
      </c>
      <c r="E8417" s="5" t="n">
        <v>53</v>
      </c>
      <c r="F8417" s="3" t="inlineStr">
        <is>
          <t>장군면</t>
        </is>
      </c>
      <c r="G8417" s="3" t="inlineStr">
        <is>
          <t>금암리</t>
        </is>
      </c>
      <c r="H8417" s="3" t="inlineStr">
        <is>
          <t>제1종일반주거지역</t>
        </is>
      </c>
      <c r="I8417" s="3" t="inlineStr">
        <is>
          <t>답</t>
        </is>
      </c>
      <c r="J8417" s="3" t="inlineStr">
        <is>
          <t>장군면</t>
        </is>
      </c>
    </row>
    <row r="8418">
      <c r="A8418" s="3" t="n">
        <v>2023</v>
      </c>
      <c r="B8418" s="4" t="n">
        <v>2670</v>
      </c>
      <c r="C8418" s="4" t="n">
        <v>793</v>
      </c>
      <c r="D8418" s="4" t="n">
        <v>239.8825</v>
      </c>
      <c r="E8418" s="5" t="n">
        <v>11.1</v>
      </c>
      <c r="F8418" s="3" t="inlineStr">
        <is>
          <t>연동면</t>
        </is>
      </c>
      <c r="G8418" s="3" t="inlineStr">
        <is>
          <t>명학리</t>
        </is>
      </c>
      <c r="H8418" s="3" t="inlineStr">
        <is>
          <t>보전관리지역</t>
        </is>
      </c>
      <c r="I8418" s="3" t="inlineStr">
        <is>
          <t>임야</t>
        </is>
      </c>
      <c r="J8418" s="3" t="inlineStr">
        <is>
          <t>연동면</t>
        </is>
      </c>
    </row>
    <row r="8419">
      <c r="A8419" s="3" t="n">
        <v>2023</v>
      </c>
      <c r="B8419" s="4" t="n">
        <v>2000</v>
      </c>
      <c r="C8419" s="4" t="n">
        <v>595</v>
      </c>
      <c r="D8419" s="4" t="n">
        <v>179.9875</v>
      </c>
      <c r="E8419" s="5" t="n">
        <v>11.1</v>
      </c>
      <c r="F8419" s="3" t="inlineStr">
        <is>
          <t>연동면</t>
        </is>
      </c>
      <c r="G8419" s="3" t="inlineStr">
        <is>
          <t>명학리</t>
        </is>
      </c>
      <c r="H8419" s="3" t="inlineStr">
        <is>
          <t>보전관리지역</t>
        </is>
      </c>
      <c r="I8419" s="3" t="inlineStr">
        <is>
          <t>임야</t>
        </is>
      </c>
      <c r="J8419" s="3" t="inlineStr">
        <is>
          <t>연동면</t>
        </is>
      </c>
    </row>
    <row r="8420">
      <c r="A8420" s="3" t="n">
        <v>2023</v>
      </c>
      <c r="B8420" s="4" t="n">
        <v>1000</v>
      </c>
      <c r="C8420" s="4" t="n">
        <v>298</v>
      </c>
      <c r="D8420" s="4" t="n">
        <v>90.145</v>
      </c>
      <c r="E8420" s="5" t="n">
        <v>11.1</v>
      </c>
      <c r="F8420" s="3" t="inlineStr">
        <is>
          <t>연동면</t>
        </is>
      </c>
      <c r="G8420" s="3" t="inlineStr">
        <is>
          <t>명학리</t>
        </is>
      </c>
      <c r="H8420" s="3" t="inlineStr">
        <is>
          <t>보전관리지역</t>
        </is>
      </c>
      <c r="I8420" s="3" t="inlineStr">
        <is>
          <t>임야</t>
        </is>
      </c>
      <c r="J8420" s="3" t="inlineStr">
        <is>
          <t>연동면</t>
        </is>
      </c>
    </row>
    <row r="8421">
      <c r="A8421" s="3" t="n">
        <v>2023</v>
      </c>
      <c r="B8421" s="4" t="n">
        <v>4330</v>
      </c>
      <c r="C8421" s="4" t="n">
        <v>1289</v>
      </c>
      <c r="D8421" s="4" t="n">
        <v>389.9225</v>
      </c>
      <c r="E8421" s="5" t="n">
        <v>11.1</v>
      </c>
      <c r="F8421" s="3" t="inlineStr">
        <is>
          <t>연동면</t>
        </is>
      </c>
      <c r="G8421" s="3" t="inlineStr">
        <is>
          <t>명학리</t>
        </is>
      </c>
      <c r="H8421" s="3" t="inlineStr">
        <is>
          <t>보전관리지역</t>
        </is>
      </c>
      <c r="I8421" s="3" t="inlineStr">
        <is>
          <t>임야</t>
        </is>
      </c>
      <c r="J8421" s="3" t="inlineStr">
        <is>
          <t>연동면</t>
        </is>
      </c>
    </row>
    <row r="8422">
      <c r="A8422" s="3" t="n">
        <v>2023</v>
      </c>
      <c r="B8422" s="4" t="n">
        <v>11600</v>
      </c>
      <c r="C8422" s="4" t="n">
        <v>866.2</v>
      </c>
      <c r="D8422" s="4" t="n">
        <v>262.0255</v>
      </c>
      <c r="E8422" s="5" t="n">
        <v>44.3</v>
      </c>
      <c r="F8422" s="3" t="inlineStr">
        <is>
          <t>소정면</t>
        </is>
      </c>
      <c r="G8422" s="3" t="inlineStr">
        <is>
          <t>고등리</t>
        </is>
      </c>
      <c r="H8422" s="3" t="inlineStr">
        <is>
          <t>계획관리지역</t>
        </is>
      </c>
      <c r="I8422" s="3" t="inlineStr">
        <is>
          <t>전</t>
        </is>
      </c>
      <c r="J8422" s="3" t="inlineStr">
        <is>
          <t>소정면</t>
        </is>
      </c>
    </row>
    <row r="8423">
      <c r="A8423" s="3" t="n">
        <v>2023</v>
      </c>
      <c r="B8423" s="4" t="n">
        <v>22600</v>
      </c>
      <c r="C8423" s="4" t="n">
        <v>2729.1</v>
      </c>
      <c r="D8423" s="4" t="n">
        <v>825.5527499999999</v>
      </c>
      <c r="E8423" s="5" t="n">
        <v>27.4</v>
      </c>
      <c r="F8423" s="3" t="inlineStr">
        <is>
          <t>소정면</t>
        </is>
      </c>
      <c r="G8423" s="3" t="inlineStr">
        <is>
          <t>고등리</t>
        </is>
      </c>
      <c r="H8423" s="3" t="inlineStr">
        <is>
          <t>계획관리지역</t>
        </is>
      </c>
      <c r="I8423" s="3" t="inlineStr">
        <is>
          <t>전</t>
        </is>
      </c>
      <c r="J8423" s="3" t="inlineStr">
        <is>
          <t>소정면</t>
        </is>
      </c>
    </row>
    <row r="8424">
      <c r="A8424" s="3" t="n">
        <v>2023</v>
      </c>
      <c r="B8424" s="4" t="n">
        <v>128000</v>
      </c>
      <c r="C8424" s="4" t="n">
        <v>292</v>
      </c>
      <c r="D8424" s="4" t="n">
        <v>88.33</v>
      </c>
      <c r="E8424" s="5" t="n">
        <v>1449.1</v>
      </c>
      <c r="F8424" s="3" t="inlineStr">
        <is>
          <t>부강면</t>
        </is>
      </c>
      <c r="G8424" s="3" t="inlineStr">
        <is>
          <t>부강리</t>
        </is>
      </c>
      <c r="H8424" s="3" t="inlineStr">
        <is>
          <t>일반상업지역</t>
        </is>
      </c>
      <c r="I8424" s="3" t="inlineStr">
        <is>
          <t>대</t>
        </is>
      </c>
      <c r="J8424" s="3" t="inlineStr">
        <is>
          <t>부강면</t>
        </is>
      </c>
    </row>
    <row r="8425">
      <c r="A8425" s="3" t="n">
        <v>2023</v>
      </c>
      <c r="B8425" s="4" t="n">
        <v>5000</v>
      </c>
      <c r="C8425" s="4" t="n">
        <v>495</v>
      </c>
      <c r="D8425" s="4" t="n">
        <v>149.7375</v>
      </c>
      <c r="E8425" s="5" t="n">
        <v>33.4</v>
      </c>
      <c r="F8425" s="3" t="inlineStr">
        <is>
          <t>장군면</t>
        </is>
      </c>
      <c r="G8425" s="3" t="inlineStr">
        <is>
          <t>용암리</t>
        </is>
      </c>
      <c r="H8425" s="3" t="inlineStr">
        <is>
          <t>생산관리지역</t>
        </is>
      </c>
      <c r="I8425" s="3" t="inlineStr">
        <is>
          <t>전</t>
        </is>
      </c>
      <c r="J8425" s="3" t="inlineStr">
        <is>
          <t>장군면</t>
        </is>
      </c>
    </row>
    <row r="8426">
      <c r="A8426" s="3" t="n">
        <v>2023</v>
      </c>
      <c r="B8426" s="4" t="n">
        <v>12509</v>
      </c>
      <c r="C8426" s="4" t="n">
        <v>399</v>
      </c>
      <c r="D8426" s="4" t="n">
        <v>120.6975</v>
      </c>
      <c r="E8426" s="5" t="n">
        <v>103.6</v>
      </c>
      <c r="F8426" s="3" t="inlineStr">
        <is>
          <t>전의면</t>
        </is>
      </c>
      <c r="G8426" s="3" t="inlineStr">
        <is>
          <t>원성리</t>
        </is>
      </c>
      <c r="H8426" s="3" t="inlineStr">
        <is>
          <t>계획관리지역</t>
        </is>
      </c>
      <c r="I8426" s="3" t="inlineStr">
        <is>
          <t>대</t>
        </is>
      </c>
      <c r="J8426" s="3" t="inlineStr">
        <is>
          <t>전의면</t>
        </is>
      </c>
    </row>
    <row r="8427">
      <c r="A8427" s="3" t="n">
        <v>2023</v>
      </c>
      <c r="B8427" s="4" t="n">
        <v>20000</v>
      </c>
      <c r="C8427" s="4" t="n">
        <v>1164</v>
      </c>
      <c r="D8427" s="4" t="n">
        <v>352.11</v>
      </c>
      <c r="E8427" s="5" t="n">
        <v>56.8</v>
      </c>
      <c r="F8427" s="3" t="inlineStr">
        <is>
          <t>전의면</t>
        </is>
      </c>
      <c r="G8427" s="3" t="inlineStr">
        <is>
          <t>다방리</t>
        </is>
      </c>
      <c r="H8427" s="3" t="inlineStr">
        <is>
          <t>생산관리지역</t>
        </is>
      </c>
      <c r="I8427" s="3" t="inlineStr">
        <is>
          <t>전</t>
        </is>
      </c>
      <c r="J8427" s="3" t="inlineStr">
        <is>
          <t>전의면</t>
        </is>
      </c>
    </row>
    <row r="8428">
      <c r="A8428" s="3" t="n">
        <v>2023</v>
      </c>
      <c r="B8428" s="4" t="n">
        <v>15000</v>
      </c>
      <c r="C8428" s="4" t="n">
        <v>1700</v>
      </c>
      <c r="D8428" s="4" t="n">
        <v>514.25</v>
      </c>
      <c r="E8428" s="5" t="n">
        <v>29.2</v>
      </c>
      <c r="F8428" s="3" t="inlineStr">
        <is>
          <t>금남면</t>
        </is>
      </c>
      <c r="G8428" s="3" t="inlineStr">
        <is>
          <t>신촌리</t>
        </is>
      </c>
      <c r="H8428" s="3" t="inlineStr">
        <is>
          <t>개발제한구역</t>
        </is>
      </c>
      <c r="I8428" s="3" t="inlineStr">
        <is>
          <t>임야</t>
        </is>
      </c>
      <c r="J8428" s="3" t="inlineStr">
        <is>
          <t>금남면</t>
        </is>
      </c>
    </row>
    <row r="8429">
      <c r="A8429" s="3" t="n">
        <v>2023</v>
      </c>
      <c r="B8429" s="4" t="n">
        <v>50000</v>
      </c>
      <c r="C8429" s="4" t="n">
        <v>878</v>
      </c>
      <c r="D8429" s="4" t="n">
        <v>265.595</v>
      </c>
      <c r="E8429" s="5" t="n">
        <v>188.3</v>
      </c>
      <c r="F8429" s="3" t="inlineStr">
        <is>
          <t>장군면</t>
        </is>
      </c>
      <c r="G8429" s="3" t="inlineStr">
        <is>
          <t>산학리</t>
        </is>
      </c>
      <c r="H8429" s="3" t="inlineStr">
        <is>
          <t>보전관리지역</t>
        </is>
      </c>
      <c r="I8429" s="3" t="inlineStr">
        <is>
          <t>임야</t>
        </is>
      </c>
      <c r="J8429" s="3" t="inlineStr">
        <is>
          <t>장군면</t>
        </is>
      </c>
    </row>
    <row r="8430">
      <c r="A8430" s="3" t="n">
        <v>2023</v>
      </c>
      <c r="B8430" s="4" t="n">
        <v>30000</v>
      </c>
      <c r="C8430" s="4" t="n">
        <v>376</v>
      </c>
      <c r="D8430" s="4" t="n">
        <v>113.74</v>
      </c>
      <c r="E8430" s="5" t="n">
        <v>263.8</v>
      </c>
      <c r="F8430" s="3" t="inlineStr">
        <is>
          <t>장군면</t>
        </is>
      </c>
      <c r="G8430" s="3" t="inlineStr">
        <is>
          <t>산학리</t>
        </is>
      </c>
      <c r="H8430" s="3" t="inlineStr">
        <is>
          <t>보전관리지역</t>
        </is>
      </c>
      <c r="I8430" s="3" t="inlineStr">
        <is>
          <t>임야</t>
        </is>
      </c>
      <c r="J8430" s="3" t="inlineStr">
        <is>
          <t>장군면</t>
        </is>
      </c>
    </row>
    <row r="8431">
      <c r="A8431" s="3" t="n">
        <v>2023</v>
      </c>
      <c r="B8431" s="4" t="n">
        <v>90000</v>
      </c>
      <c r="C8431" s="4" t="n">
        <v>2590</v>
      </c>
      <c r="D8431" s="4" t="n">
        <v>783.475</v>
      </c>
      <c r="E8431" s="5" t="n">
        <v>114.9</v>
      </c>
      <c r="F8431" s="3" t="inlineStr">
        <is>
          <t>장군면</t>
        </is>
      </c>
      <c r="G8431" s="3" t="inlineStr">
        <is>
          <t>산학리</t>
        </is>
      </c>
      <c r="H8431" s="3" t="inlineStr">
        <is>
          <t>보전관리지역</t>
        </is>
      </c>
      <c r="I8431" s="3" t="inlineStr">
        <is>
          <t>임야</t>
        </is>
      </c>
      <c r="J8431" s="3" t="inlineStr">
        <is>
          <t>장군면</t>
        </is>
      </c>
    </row>
    <row r="8432">
      <c r="A8432" s="3" t="n">
        <v>2023</v>
      </c>
      <c r="B8432" s="4" t="n">
        <v>12000</v>
      </c>
      <c r="C8432" s="4" t="n">
        <v>130</v>
      </c>
      <c r="D8432" s="4" t="n">
        <v>39.325</v>
      </c>
      <c r="E8432" s="5" t="n">
        <v>305.1</v>
      </c>
      <c r="F8432" s="3" t="inlineStr">
        <is>
          <t>장군면</t>
        </is>
      </c>
      <c r="G8432" s="3" t="inlineStr">
        <is>
          <t>산학리</t>
        </is>
      </c>
      <c r="H8432" s="3" t="inlineStr">
        <is>
          <t>계획관리지역</t>
        </is>
      </c>
      <c r="I8432" s="3" t="inlineStr">
        <is>
          <t>대</t>
        </is>
      </c>
      <c r="J8432" s="3" t="inlineStr">
        <is>
          <t>장군면</t>
        </is>
      </c>
    </row>
    <row r="8433">
      <c r="A8433" s="3" t="n">
        <v>2023</v>
      </c>
      <c r="B8433" s="4" t="n">
        <v>2000</v>
      </c>
      <c r="C8433" s="4" t="n">
        <v>37</v>
      </c>
      <c r="D8433" s="4" t="n">
        <v>11.1925</v>
      </c>
      <c r="E8433" s="5" t="n">
        <v>178.7</v>
      </c>
      <c r="F8433" s="3" t="inlineStr">
        <is>
          <t>장군면</t>
        </is>
      </c>
      <c r="G8433" s="3" t="inlineStr">
        <is>
          <t>산학리</t>
        </is>
      </c>
      <c r="H8433" s="3" t="inlineStr">
        <is>
          <t>계획관리지역</t>
        </is>
      </c>
      <c r="I8433" s="3" t="inlineStr">
        <is>
          <t>대</t>
        </is>
      </c>
      <c r="J8433" s="3" t="inlineStr">
        <is>
          <t>장군면</t>
        </is>
      </c>
    </row>
    <row r="8434">
      <c r="A8434" s="3" t="n">
        <v>2024</v>
      </c>
      <c r="B8434" s="4" t="n">
        <v>320</v>
      </c>
      <c r="C8434" s="4" t="n">
        <v>37</v>
      </c>
      <c r="D8434" s="4" t="n">
        <v>11.1925</v>
      </c>
      <c r="E8434" s="5" t="n">
        <v>28.6</v>
      </c>
      <c r="F8434" s="3" t="inlineStr">
        <is>
          <t>강내면</t>
        </is>
      </c>
      <c r="G8434" s="3" t="inlineStr">
        <is>
          <t>당곡리</t>
        </is>
      </c>
      <c r="H8434" s="3" t="inlineStr">
        <is>
          <t>계획관리지역</t>
        </is>
      </c>
      <c r="I8434" s="3" t="inlineStr">
        <is>
          <t>도로</t>
        </is>
      </c>
      <c r="J8434" s="3" t="inlineStr">
        <is>
          <t>강내면</t>
        </is>
      </c>
    </row>
    <row r="8435">
      <c r="A8435" s="3" t="n">
        <v>2022</v>
      </c>
      <c r="B8435" s="4" t="n">
        <v>40000</v>
      </c>
      <c r="C8435" s="4" t="n">
        <v>702</v>
      </c>
      <c r="D8435" s="4" t="n">
        <v>212.355</v>
      </c>
      <c r="E8435" s="5" t="n">
        <v>188.4</v>
      </c>
      <c r="F8435" s="3" t="inlineStr">
        <is>
          <t>강내면</t>
        </is>
      </c>
      <c r="G8435" s="3" t="inlineStr">
        <is>
          <t>탑연리</t>
        </is>
      </c>
      <c r="H8435" s="3" t="inlineStr">
        <is>
          <t>자연녹지지역</t>
        </is>
      </c>
      <c r="I8435" s="3" t="inlineStr">
        <is>
          <t>임야</t>
        </is>
      </c>
      <c r="J8435" s="3" t="inlineStr">
        <is>
          <t>강내면</t>
        </is>
      </c>
    </row>
    <row r="8436">
      <c r="A8436" s="3" t="n">
        <v>2022</v>
      </c>
      <c r="B8436" s="4" t="n">
        <v>32400</v>
      </c>
      <c r="C8436" s="4" t="n">
        <v>568</v>
      </c>
      <c r="D8436" s="4" t="n">
        <v>171.82</v>
      </c>
      <c r="E8436" s="5" t="n">
        <v>188.6</v>
      </c>
      <c r="F8436" s="3" t="inlineStr">
        <is>
          <t>강내면</t>
        </is>
      </c>
      <c r="G8436" s="3" t="inlineStr">
        <is>
          <t>저산리</t>
        </is>
      </c>
      <c r="H8436" s="3" t="inlineStr">
        <is>
          <t>보전관리지역</t>
        </is>
      </c>
      <c r="I8436" s="3" t="inlineStr">
        <is>
          <t>임야</t>
        </is>
      </c>
      <c r="J8436" s="3" t="inlineStr">
        <is>
          <t>강내면</t>
        </is>
      </c>
    </row>
    <row r="8437">
      <c r="A8437" s="3" t="n">
        <v>2022</v>
      </c>
      <c r="B8437" s="4" t="n">
        <v>4300</v>
      </c>
      <c r="C8437" s="4" t="n">
        <v>72</v>
      </c>
      <c r="D8437" s="4" t="n">
        <v>21.78</v>
      </c>
      <c r="E8437" s="5" t="n">
        <v>197.4</v>
      </c>
      <c r="F8437" s="3" t="inlineStr">
        <is>
          <t>오송읍</t>
        </is>
      </c>
      <c r="G8437" s="3" t="inlineStr">
        <is>
          <t>정중리</t>
        </is>
      </c>
      <c r="H8437" s="3" t="inlineStr">
        <is>
          <t>계획관리지역</t>
        </is>
      </c>
      <c r="I8437" s="3" t="inlineStr">
        <is>
          <t>대</t>
        </is>
      </c>
      <c r="J8437" s="3" t="inlineStr">
        <is>
          <t>오송읍</t>
        </is>
      </c>
    </row>
    <row r="8438">
      <c r="A8438" s="3" t="n">
        <v>2022</v>
      </c>
      <c r="B8438" s="4" t="n">
        <v>394000</v>
      </c>
      <c r="C8438" s="4" t="n">
        <v>2435.1</v>
      </c>
      <c r="D8438" s="4" t="n">
        <v>736.61775</v>
      </c>
      <c r="E8438" s="5" t="n">
        <v>534.9</v>
      </c>
      <c r="F8438" s="3" t="inlineStr">
        <is>
          <t>오송읍</t>
        </is>
      </c>
      <c r="G8438" s="3" t="inlineStr">
        <is>
          <t>봉산리</t>
        </is>
      </c>
      <c r="H8438" s="3" t="inlineStr">
        <is>
          <t>일반상업지역</t>
        </is>
      </c>
      <c r="I8438" s="3" t="inlineStr">
        <is>
          <t>주차장</t>
        </is>
      </c>
      <c r="J8438" s="3" t="inlineStr">
        <is>
          <t>오송읍</t>
        </is>
      </c>
    </row>
    <row r="8439">
      <c r="A8439" s="3" t="n">
        <v>2022</v>
      </c>
      <c r="B8439" s="4" t="n">
        <v>12000</v>
      </c>
      <c r="C8439" s="4" t="n">
        <v>896</v>
      </c>
      <c r="D8439" s="4" t="n">
        <v>271.04</v>
      </c>
      <c r="E8439" s="5" t="n">
        <v>44.3</v>
      </c>
      <c r="F8439" s="3" t="inlineStr">
        <is>
          <t>강내면</t>
        </is>
      </c>
      <c r="G8439" s="3" t="inlineStr">
        <is>
          <t>탑연리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2022</v>
      </c>
      <c r="B8440" s="4" t="n">
        <v>20958</v>
      </c>
      <c r="C8440" s="4" t="n">
        <v>495</v>
      </c>
      <c r="D8440" s="4" t="n">
        <v>149.7375</v>
      </c>
      <c r="E8440" s="5" t="n">
        <v>140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생산관리지역</t>
        </is>
      </c>
      <c r="I8440" s="3" t="inlineStr">
        <is>
          <t>전</t>
        </is>
      </c>
      <c r="J8440" s="3" t="inlineStr">
        <is>
          <t>오송읍</t>
        </is>
      </c>
    </row>
    <row r="8441">
      <c r="A8441" s="3" t="n">
        <v>2022</v>
      </c>
      <c r="B8441" s="4" t="n">
        <v>22660</v>
      </c>
      <c r="C8441" s="4" t="n">
        <v>556</v>
      </c>
      <c r="D8441" s="4" t="n">
        <v>168.19</v>
      </c>
      <c r="E8441" s="5" t="n">
        <v>134.7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오송읍</t>
        </is>
      </c>
    </row>
    <row r="8442">
      <c r="A8442" s="3" t="n">
        <v>2022</v>
      </c>
      <c r="B8442" s="4" t="n">
        <v>440</v>
      </c>
      <c r="C8442" s="4" t="n">
        <v>11</v>
      </c>
      <c r="D8442" s="4" t="n">
        <v>3.3275</v>
      </c>
      <c r="E8442" s="5" t="n">
        <v>132.2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용도미지정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2022</v>
      </c>
      <c r="B8443" s="4" t="n">
        <v>10000</v>
      </c>
      <c r="C8443" s="4" t="n">
        <v>114</v>
      </c>
      <c r="D8443" s="4" t="n">
        <v>34.485</v>
      </c>
      <c r="E8443" s="5" t="n">
        <v>290</v>
      </c>
      <c r="F8443" s="3" t="inlineStr">
        <is>
          <t>강내면</t>
        </is>
      </c>
      <c r="G8443" s="3" t="inlineStr">
        <is>
          <t>월곡리</t>
        </is>
      </c>
      <c r="H8443" s="3" t="inlineStr">
        <is>
          <t>제2종일반주거지역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2022</v>
      </c>
      <c r="B8444" s="4" t="n">
        <v>18383</v>
      </c>
      <c r="C8444" s="4" t="n">
        <v>340</v>
      </c>
      <c r="D8444" s="4" t="n">
        <v>102.85</v>
      </c>
      <c r="E8444" s="5" t="n">
        <v>178.7</v>
      </c>
      <c r="F8444" s="3" t="inlineStr">
        <is>
          <t>강내면</t>
        </is>
      </c>
      <c r="G8444" s="3" t="inlineStr">
        <is>
          <t>월곡리</t>
        </is>
      </c>
      <c r="H8444" s="3" t="inlineStr">
        <is>
          <t>제2종일반주거지역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2022</v>
      </c>
      <c r="B8445" s="4" t="n">
        <v>40388</v>
      </c>
      <c r="C8445" s="4" t="n">
        <v>747</v>
      </c>
      <c r="D8445" s="4" t="n">
        <v>225.9675</v>
      </c>
      <c r="E8445" s="5" t="n">
        <v>178.7</v>
      </c>
      <c r="F8445" s="3" t="inlineStr">
        <is>
          <t>강내면</t>
        </is>
      </c>
      <c r="G8445" s="3" t="inlineStr">
        <is>
          <t>월곡리</t>
        </is>
      </c>
      <c r="H8445" s="3" t="inlineStr">
        <is>
          <t>제2종일반주거지역</t>
        </is>
      </c>
      <c r="I8445" s="3" t="inlineStr">
        <is>
          <t>답</t>
        </is>
      </c>
      <c r="J8445" s="3" t="inlineStr">
        <is>
          <t>강내면</t>
        </is>
      </c>
    </row>
    <row r="8446">
      <c r="A8446" s="3" t="n">
        <v>2022</v>
      </c>
      <c r="B8446" s="4" t="n">
        <v>2000</v>
      </c>
      <c r="C8446" s="4" t="n">
        <v>37</v>
      </c>
      <c r="D8446" s="4" t="n">
        <v>11.1925</v>
      </c>
      <c r="E8446" s="5" t="n">
        <v>178.7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2022</v>
      </c>
      <c r="B8447" s="4" t="n">
        <v>1244</v>
      </c>
      <c r="C8447" s="4" t="n">
        <v>23</v>
      </c>
      <c r="D8447" s="4" t="n">
        <v>6.9575</v>
      </c>
      <c r="E8447" s="5" t="n">
        <v>178.8</v>
      </c>
      <c r="F8447" s="3" t="inlineStr">
        <is>
          <t>강내면</t>
        </is>
      </c>
      <c r="G8447" s="3" t="inlineStr">
        <is>
          <t>월곡리</t>
        </is>
      </c>
      <c r="H8447" s="3" t="inlineStr">
        <is>
          <t>제2종일반주거지역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2022</v>
      </c>
      <c r="B8448" s="4" t="n">
        <v>81804</v>
      </c>
      <c r="C8448" s="4" t="n">
        <v>1513</v>
      </c>
      <c r="D8448" s="4" t="n">
        <v>457.6825</v>
      </c>
      <c r="E8448" s="5" t="n">
        <v>178.7</v>
      </c>
      <c r="F8448" s="3" t="inlineStr">
        <is>
          <t>강내면</t>
        </is>
      </c>
      <c r="G8448" s="3" t="inlineStr">
        <is>
          <t>월곡리</t>
        </is>
      </c>
      <c r="H8448" s="3" t="inlineStr">
        <is>
          <t>제2종일반주거지역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2022</v>
      </c>
      <c r="B8449" s="4" t="n">
        <v>59312</v>
      </c>
      <c r="C8449" s="4" t="n">
        <v>1097</v>
      </c>
      <c r="D8449" s="4" t="n">
        <v>331.8425</v>
      </c>
      <c r="E8449" s="5" t="n">
        <v>178.7</v>
      </c>
      <c r="F8449" s="3" t="inlineStr">
        <is>
          <t>강내면</t>
        </is>
      </c>
      <c r="G8449" s="3" t="inlineStr">
        <is>
          <t>월곡리</t>
        </is>
      </c>
      <c r="H8449" s="3" t="inlineStr">
        <is>
          <t>제2종일반주거지역</t>
        </is>
      </c>
      <c r="I8449" s="3" t="inlineStr">
        <is>
          <t>답</t>
        </is>
      </c>
      <c r="J8449" s="3" t="inlineStr">
        <is>
          <t>강내면</t>
        </is>
      </c>
    </row>
    <row r="8450">
      <c r="A8450" s="3" t="n">
        <v>2022</v>
      </c>
      <c r="B8450" s="4" t="n">
        <v>1784</v>
      </c>
      <c r="C8450" s="4" t="n">
        <v>33</v>
      </c>
      <c r="D8450" s="4" t="n">
        <v>9.9825</v>
      </c>
      <c r="E8450" s="5" t="n">
        <v>178.7</v>
      </c>
      <c r="F8450" s="3" t="inlineStr">
        <is>
          <t>강내면</t>
        </is>
      </c>
      <c r="G8450" s="3" t="inlineStr">
        <is>
          <t>월곡리</t>
        </is>
      </c>
      <c r="H8450" s="3" t="inlineStr">
        <is>
          <t>제2종일반주거지역</t>
        </is>
      </c>
      <c r="I8450" s="3" t="inlineStr">
        <is>
          <t>답</t>
        </is>
      </c>
      <c r="J8450" s="3" t="inlineStr">
        <is>
          <t>강내면</t>
        </is>
      </c>
    </row>
    <row r="8451">
      <c r="A8451" s="3" t="n">
        <v>2022</v>
      </c>
      <c r="B8451" s="4" t="n">
        <v>15085</v>
      </c>
      <c r="C8451" s="4" t="n">
        <v>279</v>
      </c>
      <c r="D8451" s="4" t="n">
        <v>84.39749999999999</v>
      </c>
      <c r="E8451" s="5" t="n">
        <v>178.7</v>
      </c>
      <c r="F8451" s="3" t="inlineStr">
        <is>
          <t>강내면</t>
        </is>
      </c>
      <c r="G8451" s="3" t="inlineStr">
        <is>
          <t>월곡리</t>
        </is>
      </c>
      <c r="H8451" s="3" t="inlineStr">
        <is>
          <t>제2종일반주거지역</t>
        </is>
      </c>
      <c r="I8451" s="3" t="inlineStr">
        <is>
          <t>답</t>
        </is>
      </c>
      <c r="J8451" s="3" t="inlineStr">
        <is>
          <t>강내면</t>
        </is>
      </c>
    </row>
    <row r="8452">
      <c r="A8452" s="3" t="n">
        <v>2022</v>
      </c>
      <c r="B8452" s="4" t="n">
        <v>50600</v>
      </c>
      <c r="C8452" s="4" t="n">
        <v>1676</v>
      </c>
      <c r="D8452" s="4" t="n">
        <v>506.99</v>
      </c>
      <c r="E8452" s="5" t="n">
        <v>99.8</v>
      </c>
      <c r="F8452" s="3" t="inlineStr">
        <is>
          <t>부강면</t>
        </is>
      </c>
      <c r="G8452" s="3" t="inlineStr">
        <is>
          <t>노호리</t>
        </is>
      </c>
      <c r="H8452" s="3" t="inlineStr">
        <is>
          <t>계획관리지역</t>
        </is>
      </c>
      <c r="I8452" s="3" t="inlineStr">
        <is>
          <t>답</t>
        </is>
      </c>
      <c r="J8452" s="3" t="inlineStr">
        <is>
          <t>부강면</t>
        </is>
      </c>
    </row>
    <row r="8453">
      <c r="A8453" s="3" t="n">
        <v>2022</v>
      </c>
      <c r="B8453" s="4" t="n">
        <v>154</v>
      </c>
      <c r="C8453" s="4" t="n">
        <v>19</v>
      </c>
      <c r="D8453" s="4" t="n">
        <v>5.7475</v>
      </c>
      <c r="E8453" s="5" t="n">
        <v>26.8</v>
      </c>
      <c r="F8453" s="3" t="inlineStr">
        <is>
          <t>전동면</t>
        </is>
      </c>
      <c r="G8453" s="3" t="inlineStr">
        <is>
          <t>청람리</t>
        </is>
      </c>
      <c r="H8453" s="3" t="inlineStr">
        <is>
          <t>생산관리지역</t>
        </is>
      </c>
      <c r="I8453" s="3" t="inlineStr">
        <is>
          <t>도로</t>
        </is>
      </c>
      <c r="J8453" s="3" t="inlineStr">
        <is>
          <t>전동면</t>
        </is>
      </c>
    </row>
    <row r="8454">
      <c r="A8454" s="3" t="n">
        <v>2022</v>
      </c>
      <c r="B8454" s="4" t="n">
        <v>218</v>
      </c>
      <c r="C8454" s="4" t="n">
        <v>27</v>
      </c>
      <c r="D8454" s="4" t="n">
        <v>8.1675</v>
      </c>
      <c r="E8454" s="5" t="n">
        <v>26.7</v>
      </c>
      <c r="F8454" s="3" t="inlineStr">
        <is>
          <t>전동면</t>
        </is>
      </c>
      <c r="G8454" s="3" t="inlineStr">
        <is>
          <t>청람리</t>
        </is>
      </c>
      <c r="H8454" s="3" t="inlineStr">
        <is>
          <t>생산관리지역</t>
        </is>
      </c>
      <c r="I8454" s="3" t="inlineStr">
        <is>
          <t>도로</t>
        </is>
      </c>
      <c r="J8454" s="3" t="inlineStr">
        <is>
          <t>전동면</t>
        </is>
      </c>
    </row>
    <row r="8455">
      <c r="A8455" s="3" t="n">
        <v>2022</v>
      </c>
      <c r="B8455" s="4" t="n">
        <v>47400</v>
      </c>
      <c r="C8455" s="4" t="n">
        <v>523</v>
      </c>
      <c r="D8455" s="4" t="n">
        <v>158.2075</v>
      </c>
      <c r="E8455" s="5" t="n">
        <v>299.6</v>
      </c>
      <c r="F8455" s="3" t="inlineStr">
        <is>
          <t>장군면</t>
        </is>
      </c>
      <c r="G8455" s="3" t="inlineStr">
        <is>
          <t>봉안리</t>
        </is>
      </c>
      <c r="H8455" s="3" t="inlineStr">
        <is>
          <t>계획관리지역</t>
        </is>
      </c>
      <c r="I8455" s="3" t="inlineStr">
        <is>
          <t>전</t>
        </is>
      </c>
      <c r="J8455" s="3" t="inlineStr">
        <is>
          <t>장군면</t>
        </is>
      </c>
    </row>
    <row r="8456">
      <c r="A8456" s="3" t="n">
        <v>2022</v>
      </c>
      <c r="B8456" s="4" t="n">
        <v>57300</v>
      </c>
      <c r="C8456" s="4" t="n">
        <v>631</v>
      </c>
      <c r="D8456" s="4" t="n">
        <v>190.8775</v>
      </c>
      <c r="E8456" s="5" t="n">
        <v>300.2</v>
      </c>
      <c r="F8456" s="3" t="inlineStr">
        <is>
          <t>장군면</t>
        </is>
      </c>
      <c r="G8456" s="3" t="inlineStr">
        <is>
          <t>봉안리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장군면</t>
        </is>
      </c>
    </row>
    <row r="8457">
      <c r="A8457" s="3" t="n">
        <v>2022</v>
      </c>
      <c r="B8457" s="4" t="n">
        <v>82000</v>
      </c>
      <c r="C8457" s="4" t="n">
        <v>1322</v>
      </c>
      <c r="D8457" s="4" t="n">
        <v>399.905</v>
      </c>
      <c r="E8457" s="5" t="n">
        <v>205</v>
      </c>
      <c r="F8457" s="3" t="inlineStr">
        <is>
          <t>장군면</t>
        </is>
      </c>
      <c r="G8457" s="3" t="inlineStr">
        <is>
          <t>봉안리</t>
        </is>
      </c>
      <c r="H8457" s="3" t="inlineStr">
        <is>
          <t>보전관리지역</t>
        </is>
      </c>
      <c r="I8457" s="3" t="inlineStr">
        <is>
          <t>임야</t>
        </is>
      </c>
      <c r="J8457" s="3" t="inlineStr">
        <is>
          <t>장군면</t>
        </is>
      </c>
    </row>
    <row r="8458">
      <c r="A8458" s="3" t="n">
        <v>2022</v>
      </c>
      <c r="B8458" s="4" t="n">
        <v>20700</v>
      </c>
      <c r="C8458" s="4" t="n">
        <v>750</v>
      </c>
      <c r="D8458" s="4" t="n">
        <v>226.875</v>
      </c>
      <c r="E8458" s="5" t="n">
        <v>91.2</v>
      </c>
      <c r="F8458" s="3" t="inlineStr">
        <is>
          <t>금남면</t>
        </is>
      </c>
      <c r="G8458" s="3" t="inlineStr">
        <is>
          <t>원봉리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금남면</t>
        </is>
      </c>
    </row>
    <row r="8459">
      <c r="A8459" s="3" t="n">
        <v>2022</v>
      </c>
      <c r="B8459" s="4" t="n">
        <v>19000</v>
      </c>
      <c r="C8459" s="4" t="n">
        <v>1954</v>
      </c>
      <c r="D8459" s="4" t="n">
        <v>591.085</v>
      </c>
      <c r="E8459" s="5" t="n">
        <v>32.1</v>
      </c>
      <c r="F8459" s="3" t="inlineStr">
        <is>
          <t>전의면</t>
        </is>
      </c>
      <c r="G8459" s="3" t="inlineStr">
        <is>
          <t>신정리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전의면</t>
        </is>
      </c>
    </row>
    <row r="8460">
      <c r="A8460" s="3" t="n">
        <v>2022</v>
      </c>
      <c r="B8460" s="4" t="n">
        <v>122580</v>
      </c>
      <c r="C8460" s="4" t="n">
        <v>4503.2</v>
      </c>
      <c r="D8460" s="4" t="n">
        <v>1362.218</v>
      </c>
      <c r="E8460" s="5" t="n">
        <v>90</v>
      </c>
      <c r="F8460" s="3" t="inlineStr">
        <is>
          <t>금남면</t>
        </is>
      </c>
      <c r="G8460" s="3" t="inlineStr">
        <is>
          <t>부용리</t>
        </is>
      </c>
      <c r="H8460" s="3" t="inlineStr">
        <is>
          <t>농림지역</t>
        </is>
      </c>
      <c r="I8460" s="3" t="inlineStr">
        <is>
          <t>답</t>
        </is>
      </c>
      <c r="J8460" s="3" t="inlineStr">
        <is>
          <t>금남면</t>
        </is>
      </c>
    </row>
    <row r="8461">
      <c r="A8461" s="3" t="n">
        <v>2022</v>
      </c>
      <c r="B8461" s="4" t="n">
        <v>40196</v>
      </c>
      <c r="C8461" s="4" t="n">
        <v>511</v>
      </c>
      <c r="D8461" s="4" t="n">
        <v>154.5775</v>
      </c>
      <c r="E8461" s="5" t="n">
        <v>260</v>
      </c>
      <c r="F8461" s="3" t="inlineStr">
        <is>
          <t>연기면</t>
        </is>
      </c>
      <c r="G8461" s="3" t="inlineStr">
        <is>
          <t>눌왕리</t>
        </is>
      </c>
      <c r="H8461" s="3" t="inlineStr">
        <is>
          <t>보전관리지역</t>
        </is>
      </c>
      <c r="I8461" s="3" t="inlineStr">
        <is>
          <t>임야</t>
        </is>
      </c>
      <c r="J8461" s="3" t="inlineStr">
        <is>
          <t>연기면</t>
        </is>
      </c>
    </row>
    <row r="8462">
      <c r="A8462" s="3" t="n">
        <v>2022</v>
      </c>
      <c r="B8462" s="4" t="n">
        <v>37425</v>
      </c>
      <c r="C8462" s="4" t="n">
        <v>495</v>
      </c>
      <c r="D8462" s="4" t="n">
        <v>149.7375</v>
      </c>
      <c r="E8462" s="5" t="n">
        <v>249.9</v>
      </c>
      <c r="F8462" s="3" t="inlineStr">
        <is>
          <t>연기면</t>
        </is>
      </c>
      <c r="G8462" s="3" t="inlineStr">
        <is>
          <t>눌왕리</t>
        </is>
      </c>
      <c r="H8462" s="3" t="inlineStr">
        <is>
          <t>보전관리지역</t>
        </is>
      </c>
      <c r="I8462" s="3" t="inlineStr">
        <is>
          <t>임야</t>
        </is>
      </c>
      <c r="J8462" s="3" t="inlineStr">
        <is>
          <t>연기면</t>
        </is>
      </c>
    </row>
    <row r="8463">
      <c r="A8463" s="3" t="n">
        <v>2022</v>
      </c>
      <c r="B8463" s="4" t="n">
        <v>120</v>
      </c>
      <c r="C8463" s="4" t="n">
        <v>83</v>
      </c>
      <c r="D8463" s="4" t="n">
        <v>25.1075</v>
      </c>
      <c r="E8463" s="5" t="n">
        <v>4.8</v>
      </c>
      <c r="F8463" s="3" t="inlineStr">
        <is>
          <t>전동면</t>
        </is>
      </c>
      <c r="G8463" s="3" t="inlineStr">
        <is>
          <t>청람리</t>
        </is>
      </c>
      <c r="H8463" s="3" t="inlineStr">
        <is>
          <t>계획관리지역</t>
        </is>
      </c>
      <c r="I8463" s="3" t="inlineStr">
        <is>
          <t>전</t>
        </is>
      </c>
      <c r="J8463" s="3" t="inlineStr">
        <is>
          <t>전동면</t>
        </is>
      </c>
    </row>
    <row r="8464">
      <c r="A8464" s="3" t="n">
        <v>2022</v>
      </c>
      <c r="B8464" s="4" t="n">
        <v>1020</v>
      </c>
      <c r="C8464" s="4" t="n">
        <v>129</v>
      </c>
      <c r="D8464" s="4" t="n">
        <v>39.0225</v>
      </c>
      <c r="E8464" s="5" t="n">
        <v>26.1</v>
      </c>
      <c r="F8464" s="3" t="inlineStr">
        <is>
          <t>전동면</t>
        </is>
      </c>
      <c r="G8464" s="3" t="inlineStr">
        <is>
          <t>청람리</t>
        </is>
      </c>
      <c r="H8464" s="3" t="inlineStr">
        <is>
          <t>계획관리지역</t>
        </is>
      </c>
      <c r="I8464" s="3" t="inlineStr">
        <is>
          <t>전</t>
        </is>
      </c>
      <c r="J8464" s="3" t="inlineStr">
        <is>
          <t>전동면</t>
        </is>
      </c>
    </row>
    <row r="8465">
      <c r="A8465" s="3" t="n">
        <v>2022</v>
      </c>
      <c r="B8465" s="4" t="n">
        <v>82000</v>
      </c>
      <c r="C8465" s="4" t="n">
        <v>1322</v>
      </c>
      <c r="D8465" s="4" t="n">
        <v>399.905</v>
      </c>
      <c r="E8465" s="5" t="n">
        <v>205</v>
      </c>
      <c r="F8465" s="3" t="inlineStr">
        <is>
          <t>장군면</t>
        </is>
      </c>
      <c r="G8465" s="3" t="inlineStr">
        <is>
          <t>봉안리</t>
        </is>
      </c>
      <c r="H8465" s="3" t="inlineStr">
        <is>
          <t>보전관리지역</t>
        </is>
      </c>
      <c r="I8465" s="3" t="inlineStr">
        <is>
          <t>임야</t>
        </is>
      </c>
      <c r="J8465" s="3" t="inlineStr">
        <is>
          <t>장군면</t>
        </is>
      </c>
    </row>
    <row r="8466">
      <c r="A8466" s="3" t="n">
        <v>2022</v>
      </c>
      <c r="B8466" s="4" t="n">
        <v>35000</v>
      </c>
      <c r="C8466" s="4" t="n">
        <v>2979</v>
      </c>
      <c r="D8466" s="4" t="n">
        <v>901.1474999999999</v>
      </c>
      <c r="E8466" s="5" t="n">
        <v>38.8</v>
      </c>
      <c r="F8466" s="3" t="inlineStr">
        <is>
          <t>금남면</t>
        </is>
      </c>
      <c r="G8466" s="3" t="inlineStr">
        <is>
          <t>용담리</t>
        </is>
      </c>
      <c r="H8466" s="3" t="inlineStr">
        <is>
          <t>개발제한구역</t>
        </is>
      </c>
      <c r="I8466" s="3" t="inlineStr">
        <is>
          <t>답</t>
        </is>
      </c>
      <c r="J8466" s="3" t="inlineStr">
        <is>
          <t>금남면</t>
        </is>
      </c>
    </row>
    <row r="8467">
      <c r="A8467" s="3" t="n">
        <v>2022</v>
      </c>
      <c r="B8467" s="4" t="n">
        <v>3600</v>
      </c>
      <c r="C8467" s="4" t="n">
        <v>610</v>
      </c>
      <c r="D8467" s="4" t="n">
        <v>184.525</v>
      </c>
      <c r="E8467" s="5" t="n">
        <v>19.5</v>
      </c>
      <c r="F8467" s="3" t="inlineStr">
        <is>
          <t>전의면</t>
        </is>
      </c>
      <c r="G8467" s="3" t="inlineStr">
        <is>
          <t>신방리</t>
        </is>
      </c>
      <c r="H8467" s="3" t="inlineStr">
        <is>
          <t>계획관리지역</t>
        </is>
      </c>
      <c r="I8467" s="3" t="inlineStr">
        <is>
          <t>답</t>
        </is>
      </c>
      <c r="J8467" s="3" t="inlineStr">
        <is>
          <t>전의면</t>
        </is>
      </c>
    </row>
    <row r="8468">
      <c r="A8468" s="3" t="n">
        <v>2024</v>
      </c>
      <c r="B8468" s="4" t="n">
        <v>63300</v>
      </c>
      <c r="C8468" s="4" t="n">
        <v>3270.3</v>
      </c>
      <c r="D8468" s="4" t="n">
        <v>989.26575</v>
      </c>
      <c r="E8468" s="5" t="n">
        <v>64</v>
      </c>
      <c r="F8468" s="3" t="inlineStr">
        <is>
          <t>오송읍</t>
        </is>
      </c>
      <c r="G8468" s="3" t="inlineStr">
        <is>
          <t>공북리</t>
        </is>
      </c>
      <c r="H8468" s="3" t="inlineStr">
        <is>
          <t>농림지역</t>
        </is>
      </c>
      <c r="I8468" s="3" t="inlineStr">
        <is>
          <t>답</t>
        </is>
      </c>
      <c r="J8468" s="3" t="inlineStr">
        <is>
          <t>오송읍</t>
        </is>
      </c>
    </row>
    <row r="8469">
      <c r="A8469" s="3" t="n">
        <v>2024</v>
      </c>
      <c r="B8469" s="4" t="n">
        <v>15800</v>
      </c>
      <c r="C8469" s="4" t="n">
        <v>1954</v>
      </c>
      <c r="D8469" s="4" t="n">
        <v>591.085</v>
      </c>
      <c r="E8469" s="5" t="n">
        <v>26.7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생산녹지지역</t>
        </is>
      </c>
      <c r="I8469" s="3" t="inlineStr">
        <is>
          <t>답</t>
        </is>
      </c>
      <c r="J8469" s="3" t="inlineStr">
        <is>
          <t>강내면</t>
        </is>
      </c>
    </row>
    <row r="8470">
      <c r="A8470" s="3" t="n">
        <v>2024</v>
      </c>
      <c r="B8470" s="4" t="n">
        <v>50400</v>
      </c>
      <c r="C8470" s="4" t="n">
        <v>1111</v>
      </c>
      <c r="D8470" s="4" t="n">
        <v>336.0775</v>
      </c>
      <c r="E8470" s="5" t="n">
        <v>150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전</t>
        </is>
      </c>
      <c r="J8470" s="3" t="inlineStr">
        <is>
          <t>강내면</t>
        </is>
      </c>
    </row>
    <row r="8471">
      <c r="A8471" s="3" t="n">
        <v>2024</v>
      </c>
      <c r="B8471" s="4" t="n">
        <v>4070</v>
      </c>
      <c r="C8471" s="4" t="n">
        <v>275</v>
      </c>
      <c r="D8471" s="4" t="n">
        <v>83.1875</v>
      </c>
      <c r="E8471" s="5" t="n">
        <v>48.9</v>
      </c>
      <c r="F8471" s="3" t="inlineStr">
        <is>
          <t>오송읍</t>
        </is>
      </c>
      <c r="G8471" s="3" t="inlineStr">
        <is>
          <t>정중리</t>
        </is>
      </c>
      <c r="H8471" s="3" t="inlineStr">
        <is>
          <t>농림지역</t>
        </is>
      </c>
      <c r="I8471" s="3" t="inlineStr">
        <is>
          <t>목장용지</t>
        </is>
      </c>
      <c r="J8471" s="3" t="inlineStr">
        <is>
          <t>오송읍</t>
        </is>
      </c>
    </row>
    <row r="8472">
      <c r="A8472" s="3" t="n">
        <v>2024</v>
      </c>
      <c r="B8472" s="4" t="n">
        <v>2192</v>
      </c>
      <c r="C8472" s="4" t="n">
        <v>189</v>
      </c>
      <c r="D8472" s="4" t="n">
        <v>57.1725</v>
      </c>
      <c r="E8472" s="5" t="n">
        <v>38.3</v>
      </c>
      <c r="F8472" s="3" t="inlineStr">
        <is>
          <t>강내면</t>
        </is>
      </c>
      <c r="G8472" s="3" t="inlineStr">
        <is>
          <t>저산리</t>
        </is>
      </c>
      <c r="H8472" s="3" t="inlineStr">
        <is>
          <t>농림지역</t>
        </is>
      </c>
      <c r="I8472" s="3" t="inlineStr">
        <is>
          <t>전</t>
        </is>
      </c>
      <c r="J8472" s="3" t="inlineStr">
        <is>
          <t>강내면</t>
        </is>
      </c>
    </row>
    <row r="8473">
      <c r="A8473" s="3" t="n">
        <v>2024</v>
      </c>
      <c r="B8473" s="4" t="n">
        <v>20000</v>
      </c>
      <c r="C8473" s="4" t="n">
        <v>2688</v>
      </c>
      <c r="D8473" s="4" t="n">
        <v>813.12</v>
      </c>
      <c r="E8473" s="5" t="n">
        <v>24.6</v>
      </c>
      <c r="F8473" s="3" t="inlineStr">
        <is>
          <t>강내면</t>
        </is>
      </c>
      <c r="G8473" s="3" t="inlineStr">
        <is>
          <t>학천리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2024</v>
      </c>
      <c r="B8474" s="4" t="n">
        <v>32600</v>
      </c>
      <c r="C8474" s="4" t="n">
        <v>980</v>
      </c>
      <c r="D8474" s="4" t="n">
        <v>296.45</v>
      </c>
      <c r="E8474" s="5" t="n">
        <v>110</v>
      </c>
      <c r="F8474" s="3" t="inlineStr">
        <is>
          <t>오송읍</t>
        </is>
      </c>
      <c r="G8474" s="3" t="inlineStr">
        <is>
          <t>쌍청리</t>
        </is>
      </c>
      <c r="H8474" s="3" t="inlineStr">
        <is>
          <t>생산관리지역</t>
        </is>
      </c>
      <c r="I8474" s="3" t="inlineStr">
        <is>
          <t>답</t>
        </is>
      </c>
      <c r="J8474" s="3" t="inlineStr">
        <is>
          <t>오송읍</t>
        </is>
      </c>
    </row>
    <row r="8475">
      <c r="A8475" s="3" t="n">
        <v>2024</v>
      </c>
      <c r="B8475" s="4" t="n">
        <v>145062</v>
      </c>
      <c r="C8475" s="4" t="n">
        <v>7495</v>
      </c>
      <c r="D8475" s="4" t="n">
        <v>2267.2375</v>
      </c>
      <c r="E8475" s="5" t="n">
        <v>64</v>
      </c>
      <c r="F8475" s="3" t="inlineStr">
        <is>
          <t>오송읍</t>
        </is>
      </c>
      <c r="G8475" s="3" t="inlineStr">
        <is>
          <t>연제리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2024</v>
      </c>
      <c r="B8476" s="4" t="n">
        <v>71200</v>
      </c>
      <c r="C8476" s="4" t="n">
        <v>4076</v>
      </c>
      <c r="D8476" s="4" t="n">
        <v>1232.99</v>
      </c>
      <c r="E8476" s="5" t="n">
        <v>57.7</v>
      </c>
      <c r="F8476" s="3" t="inlineStr">
        <is>
          <t>오송읍</t>
        </is>
      </c>
      <c r="G8476" s="3" t="inlineStr">
        <is>
          <t>서평리</t>
        </is>
      </c>
      <c r="H8476" s="3" t="inlineStr">
        <is>
          <t>농림지역</t>
        </is>
      </c>
      <c r="I8476" s="3" t="inlineStr">
        <is>
          <t>답</t>
        </is>
      </c>
      <c r="J8476" s="3" t="inlineStr">
        <is>
          <t>오송읍</t>
        </is>
      </c>
    </row>
    <row r="8477">
      <c r="A8477" s="3" t="n">
        <v>2024</v>
      </c>
      <c r="B8477" s="4" t="n">
        <v>22800</v>
      </c>
      <c r="C8477" s="4" t="n">
        <v>1299</v>
      </c>
      <c r="D8477" s="4" t="n">
        <v>392.9475</v>
      </c>
      <c r="E8477" s="5" t="n">
        <v>58</v>
      </c>
      <c r="F8477" s="3" t="inlineStr">
        <is>
          <t>오송읍</t>
        </is>
      </c>
      <c r="G8477" s="3" t="inlineStr">
        <is>
          <t>서평리</t>
        </is>
      </c>
      <c r="H8477" s="3" t="inlineStr">
        <is>
          <t>농림지역</t>
        </is>
      </c>
      <c r="I8477" s="3" t="inlineStr">
        <is>
          <t>답</t>
        </is>
      </c>
      <c r="J8477" s="3" t="inlineStr">
        <is>
          <t>오송읍</t>
        </is>
      </c>
    </row>
    <row r="8478">
      <c r="A8478" s="3" t="n">
        <v>2024</v>
      </c>
      <c r="B8478" s="4" t="n">
        <v>2380</v>
      </c>
      <c r="C8478" s="4" t="n">
        <v>704</v>
      </c>
      <c r="D8478" s="4" t="n">
        <v>212.96</v>
      </c>
      <c r="E8478" s="5" t="n">
        <v>11.2</v>
      </c>
      <c r="F8478" s="3" t="inlineStr">
        <is>
          <t>오송읍</t>
        </is>
      </c>
      <c r="G8478" s="3" t="inlineStr">
        <is>
          <t>상봉리</t>
        </is>
      </c>
      <c r="H8478" s="3" t="inlineStr">
        <is>
          <t>계획관리지역</t>
        </is>
      </c>
      <c r="I8478" s="3" t="inlineStr">
        <is>
          <t>도로</t>
        </is>
      </c>
      <c r="J8478" s="3" t="inlineStr">
        <is>
          <t>오송읍</t>
        </is>
      </c>
    </row>
    <row r="8479">
      <c r="A8479" s="3" t="n">
        <v>2025</v>
      </c>
      <c r="B8479" s="4" t="n">
        <v>3168</v>
      </c>
      <c r="C8479" s="4" t="n">
        <v>80</v>
      </c>
      <c r="D8479" s="4" t="n">
        <v>24.2</v>
      </c>
      <c r="E8479" s="5" t="n">
        <v>130.9</v>
      </c>
      <c r="F8479" s="3" t="inlineStr">
        <is>
          <t>연동면</t>
        </is>
      </c>
      <c r="G8479" s="3" t="inlineStr">
        <is>
          <t>송용리</t>
        </is>
      </c>
      <c r="H8479" s="3" t="inlineStr">
        <is>
          <t>농림지역</t>
        </is>
      </c>
      <c r="I8479" s="3" t="inlineStr">
        <is>
          <t>답</t>
        </is>
      </c>
      <c r="J8479" s="3" t="inlineStr">
        <is>
          <t>연동면</t>
        </is>
      </c>
    </row>
    <row r="8480">
      <c r="A8480" s="3" t="n">
        <v>2025</v>
      </c>
      <c r="B8480" s="4" t="n">
        <v>5400</v>
      </c>
      <c r="C8480" s="4" t="n">
        <v>255</v>
      </c>
      <c r="D8480" s="4" t="n">
        <v>77.1375</v>
      </c>
      <c r="E8480" s="5" t="n">
        <v>70</v>
      </c>
      <c r="F8480" s="3" t="inlineStr">
        <is>
          <t>전의면</t>
        </is>
      </c>
      <c r="G8480" s="3" t="inlineStr">
        <is>
          <t>다방리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전의면</t>
        </is>
      </c>
    </row>
    <row r="8481">
      <c r="A8481" s="3" t="n">
        <v>2025</v>
      </c>
      <c r="B8481" s="4" t="n">
        <v>40000</v>
      </c>
      <c r="C8481" s="4" t="n">
        <v>825</v>
      </c>
      <c r="D8481" s="4" t="n">
        <v>249.5625</v>
      </c>
      <c r="E8481" s="5" t="n">
        <v>160.3</v>
      </c>
      <c r="F8481" s="3" t="inlineStr">
        <is>
          <t>금남면</t>
        </is>
      </c>
      <c r="G8481" s="3" t="inlineStr">
        <is>
          <t>용포리</t>
        </is>
      </c>
      <c r="H8481" s="3" t="inlineStr">
        <is>
          <t>생산녹지지역</t>
        </is>
      </c>
      <c r="I8481" s="3" t="inlineStr">
        <is>
          <t>답</t>
        </is>
      </c>
      <c r="J8481" s="3" t="inlineStr">
        <is>
          <t>금남면</t>
        </is>
      </c>
    </row>
    <row r="8482">
      <c r="A8482" s="3" t="n">
        <v>2025</v>
      </c>
      <c r="B8482" s="4" t="n">
        <v>7600</v>
      </c>
      <c r="C8482" s="4" t="n">
        <v>1306</v>
      </c>
      <c r="D8482" s="4" t="n">
        <v>395.065</v>
      </c>
      <c r="E8482" s="5" t="n">
        <v>19.2</v>
      </c>
      <c r="F8482" s="3" t="inlineStr">
        <is>
          <t>전의면</t>
        </is>
      </c>
      <c r="G8482" s="3" t="inlineStr">
        <is>
          <t>신정리</t>
        </is>
      </c>
      <c r="H8482" s="3" t="inlineStr">
        <is>
          <t>농림지역</t>
        </is>
      </c>
      <c r="I8482" s="3" t="inlineStr">
        <is>
          <t>전</t>
        </is>
      </c>
      <c r="J8482" s="3" t="inlineStr">
        <is>
          <t>전의면</t>
        </is>
      </c>
    </row>
    <row r="8483">
      <c r="A8483" s="3" t="n">
        <v>2025</v>
      </c>
      <c r="B8483" s="4" t="n">
        <v>63</v>
      </c>
      <c r="C8483" s="4" t="n">
        <v>30</v>
      </c>
      <c r="D8483" s="4" t="n">
        <v>9.074999999999999</v>
      </c>
      <c r="E8483" s="5" t="n">
        <v>6.9</v>
      </c>
      <c r="F8483" s="3" t="inlineStr">
        <is>
          <t>전의면</t>
        </is>
      </c>
      <c r="G8483" s="3" t="inlineStr">
        <is>
          <t>양곡리</t>
        </is>
      </c>
      <c r="H8483" s="3" t="inlineStr">
        <is>
          <t>계획관리지역</t>
        </is>
      </c>
      <c r="I8483" s="3" t="inlineStr">
        <is>
          <t>도로</t>
        </is>
      </c>
      <c r="J8483" s="3" t="inlineStr">
        <is>
          <t>전의면</t>
        </is>
      </c>
    </row>
    <row r="8484">
      <c r="A8484" s="3" t="n">
        <v>2025</v>
      </c>
      <c r="B8484" s="4" t="n">
        <v>62608</v>
      </c>
      <c r="C8484" s="4" t="n">
        <v>1295</v>
      </c>
      <c r="D8484" s="4" t="n">
        <v>391.7375</v>
      </c>
      <c r="E8484" s="5" t="n">
        <v>159.8</v>
      </c>
      <c r="F8484" s="3" t="inlineStr">
        <is>
          <t>금남면</t>
        </is>
      </c>
      <c r="G8484" s="3" t="inlineStr">
        <is>
          <t>용포리</t>
        </is>
      </c>
      <c r="H8484" s="3" t="inlineStr">
        <is>
          <t>생산녹지지역</t>
        </is>
      </c>
      <c r="I8484" s="3" t="inlineStr">
        <is>
          <t>답</t>
        </is>
      </c>
      <c r="J8484" s="3" t="inlineStr">
        <is>
          <t>금남면</t>
        </is>
      </c>
    </row>
    <row r="8485">
      <c r="A8485" s="3" t="n">
        <v>2025</v>
      </c>
      <c r="B8485" s="4" t="n">
        <v>50600</v>
      </c>
      <c r="C8485" s="4" t="n">
        <v>787</v>
      </c>
      <c r="D8485" s="4" t="n">
        <v>238.0675</v>
      </c>
      <c r="E8485" s="5" t="n">
        <v>212.5</v>
      </c>
      <c r="F8485" s="3" t="inlineStr">
        <is>
          <t>부강면</t>
        </is>
      </c>
      <c r="G8485" s="3" t="inlineStr">
        <is>
          <t>문곡리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부강면</t>
        </is>
      </c>
    </row>
    <row r="8486">
      <c r="A8486" s="3" t="n">
        <v>2025</v>
      </c>
      <c r="B8486" s="4" t="n">
        <v>52500</v>
      </c>
      <c r="C8486" s="4" t="n">
        <v>2195</v>
      </c>
      <c r="D8486" s="4" t="n">
        <v>663.9875</v>
      </c>
      <c r="E8486" s="5" t="n">
        <v>79.09999999999999</v>
      </c>
      <c r="F8486" s="3" t="inlineStr">
        <is>
          <t>연기면</t>
        </is>
      </c>
      <c r="G8486" s="3" t="inlineStr">
        <is>
          <t>수산리</t>
        </is>
      </c>
      <c r="H8486" s="3" t="inlineStr">
        <is>
          <t>생산관리지역</t>
        </is>
      </c>
      <c r="I8486" s="3" t="inlineStr">
        <is>
          <t>임야</t>
        </is>
      </c>
      <c r="J8486" s="3" t="inlineStr">
        <is>
          <t>연기면</t>
        </is>
      </c>
    </row>
    <row r="8487">
      <c r="A8487" s="3" t="n">
        <v>2025</v>
      </c>
      <c r="B8487" s="4" t="n">
        <v>20000</v>
      </c>
      <c r="C8487" s="4" t="n">
        <v>3060</v>
      </c>
      <c r="D8487" s="4" t="n">
        <v>925.65</v>
      </c>
      <c r="E8487" s="5" t="n">
        <v>21.6</v>
      </c>
      <c r="F8487" s="3" t="inlineStr">
        <is>
          <t>전의면</t>
        </is>
      </c>
      <c r="G8487" s="3" t="inlineStr">
        <is>
          <t>신정리</t>
        </is>
      </c>
      <c r="H8487" s="3" t="inlineStr">
        <is>
          <t>생산관리지역</t>
        </is>
      </c>
      <c r="I8487" s="3" t="inlineStr">
        <is>
          <t>답</t>
        </is>
      </c>
      <c r="J8487" s="3" t="inlineStr">
        <is>
          <t>전의면</t>
        </is>
      </c>
    </row>
    <row r="8488">
      <c r="A8488" s="3" t="n">
        <v>2025</v>
      </c>
      <c r="B8488" s="4" t="n">
        <v>1000</v>
      </c>
      <c r="C8488" s="4" t="n">
        <v>35</v>
      </c>
      <c r="D8488" s="4" t="n">
        <v>10.5875</v>
      </c>
      <c r="E8488" s="5" t="n">
        <v>94.5</v>
      </c>
      <c r="F8488" s="3" t="inlineStr">
        <is>
          <t>금남면</t>
        </is>
      </c>
      <c r="G8488" s="3" t="inlineStr">
        <is>
          <t>영대리</t>
        </is>
      </c>
      <c r="H8488" s="3" t="inlineStr">
        <is>
          <t>제1종일반주거지역</t>
        </is>
      </c>
      <c r="I8488" s="3" t="inlineStr">
        <is>
          <t>대</t>
        </is>
      </c>
      <c r="J8488" s="3" t="inlineStr">
        <is>
          <t>금남면</t>
        </is>
      </c>
    </row>
    <row r="8489">
      <c r="A8489" s="3" t="n">
        <v>2025</v>
      </c>
      <c r="B8489" s="4" t="n">
        <v>35000</v>
      </c>
      <c r="C8489" s="4" t="n">
        <v>1160</v>
      </c>
      <c r="D8489" s="4" t="n">
        <v>350.9</v>
      </c>
      <c r="E8489" s="5" t="n">
        <v>99.7</v>
      </c>
      <c r="F8489" s="3" t="inlineStr">
        <is>
          <t>연서면</t>
        </is>
      </c>
      <c r="G8489" s="3" t="inlineStr">
        <is>
          <t>봉암리</t>
        </is>
      </c>
      <c r="H8489" s="3" t="inlineStr">
        <is>
          <t>농림지역</t>
        </is>
      </c>
      <c r="I8489" s="3" t="inlineStr">
        <is>
          <t>답</t>
        </is>
      </c>
      <c r="J8489" s="3" t="inlineStr">
        <is>
          <t>연서면</t>
        </is>
      </c>
    </row>
    <row r="8490">
      <c r="A8490" s="3" t="n">
        <v>2025</v>
      </c>
      <c r="B8490" s="4" t="n">
        <v>14120</v>
      </c>
      <c r="C8490" s="4" t="n">
        <v>1765</v>
      </c>
      <c r="D8490" s="4" t="n">
        <v>533.9125</v>
      </c>
      <c r="E8490" s="5" t="n">
        <v>26.4</v>
      </c>
      <c r="F8490" s="3" t="inlineStr">
        <is>
          <t>금남면</t>
        </is>
      </c>
      <c r="G8490" s="3" t="inlineStr">
        <is>
          <t>박산리</t>
        </is>
      </c>
      <c r="H8490" s="3" t="inlineStr">
        <is>
          <t>개발제한구역</t>
        </is>
      </c>
      <c r="I8490" s="3" t="inlineStr">
        <is>
          <t>전</t>
        </is>
      </c>
      <c r="J8490" s="3" t="inlineStr">
        <is>
          <t>금남면</t>
        </is>
      </c>
    </row>
    <row r="8491">
      <c r="A8491" s="3" t="n">
        <v>2025</v>
      </c>
      <c r="B8491" s="4" t="n">
        <v>17000</v>
      </c>
      <c r="C8491" s="4" t="n">
        <v>369</v>
      </c>
      <c r="D8491" s="4" t="n">
        <v>111.6225</v>
      </c>
      <c r="E8491" s="5" t="n">
        <v>152.3</v>
      </c>
      <c r="F8491" s="3" t="inlineStr">
        <is>
          <t>금남면</t>
        </is>
      </c>
      <c r="G8491" s="3" t="inlineStr">
        <is>
          <t>국곡리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금남면</t>
        </is>
      </c>
    </row>
    <row r="8492">
      <c r="A8492" s="3" t="n">
        <v>2025</v>
      </c>
      <c r="B8492" s="4" t="n">
        <v>65500</v>
      </c>
      <c r="C8492" s="4" t="n">
        <v>333.7</v>
      </c>
      <c r="D8492" s="4" t="n">
        <v>100.94425</v>
      </c>
      <c r="E8492" s="5" t="n">
        <v>648.9</v>
      </c>
      <c r="F8492" s="3" t="inlineStr">
        <is>
          <t>도담동</t>
        </is>
      </c>
      <c r="G8492" s="3" t="inlineStr"/>
      <c r="H8492" s="3" t="inlineStr">
        <is>
          <t>제1종전용주거지역</t>
        </is>
      </c>
      <c r="I8492" s="3" t="inlineStr">
        <is>
          <t>대</t>
        </is>
      </c>
      <c r="J8492" s="3" t="inlineStr">
        <is>
          <t>도담동</t>
        </is>
      </c>
    </row>
    <row r="8493">
      <c r="A8493" s="3" t="n">
        <v>2025</v>
      </c>
      <c r="B8493" s="4" t="n">
        <v>46000</v>
      </c>
      <c r="C8493" s="4" t="n">
        <v>340.7</v>
      </c>
      <c r="D8493" s="4" t="n">
        <v>103.06175</v>
      </c>
      <c r="E8493" s="5" t="n">
        <v>446.3</v>
      </c>
      <c r="F8493" s="3" t="inlineStr">
        <is>
          <t>고운동</t>
        </is>
      </c>
      <c r="G8493" s="3" t="inlineStr"/>
      <c r="H8493" s="3" t="inlineStr">
        <is>
          <t>제1종전용주거지역</t>
        </is>
      </c>
      <c r="I8493" s="3" t="inlineStr">
        <is>
          <t>대</t>
        </is>
      </c>
      <c r="J8493" s="3" t="inlineStr">
        <is>
          <t>고운동</t>
        </is>
      </c>
    </row>
    <row r="8494">
      <c r="A8494" s="3" t="n">
        <v>2025</v>
      </c>
      <c r="B8494" s="4" t="n">
        <v>40000</v>
      </c>
      <c r="C8494" s="4" t="n">
        <v>2046</v>
      </c>
      <c r="D8494" s="4" t="n">
        <v>618.915</v>
      </c>
      <c r="E8494" s="5" t="n">
        <v>64.59999999999999</v>
      </c>
      <c r="F8494" s="3" t="inlineStr">
        <is>
          <t>금남면</t>
        </is>
      </c>
      <c r="G8494" s="3" t="inlineStr">
        <is>
          <t>대박리</t>
        </is>
      </c>
      <c r="H8494" s="3" t="inlineStr">
        <is>
          <t>개발제한구역</t>
        </is>
      </c>
      <c r="I8494" s="3" t="inlineStr">
        <is>
          <t>답</t>
        </is>
      </c>
      <c r="J8494" s="3" t="inlineStr">
        <is>
          <t>금남면</t>
        </is>
      </c>
    </row>
    <row r="8495">
      <c r="A8495" s="3" t="n">
        <v>2025</v>
      </c>
      <c r="B8495" s="4" t="n">
        <v>5700</v>
      </c>
      <c r="C8495" s="4" t="n">
        <v>284</v>
      </c>
      <c r="D8495" s="4" t="n">
        <v>85.91</v>
      </c>
      <c r="E8495" s="5" t="n">
        <v>66.3</v>
      </c>
      <c r="F8495" s="3" t="inlineStr">
        <is>
          <t>금남면</t>
        </is>
      </c>
      <c r="G8495" s="3" t="inlineStr">
        <is>
          <t>대박리</t>
        </is>
      </c>
      <c r="H8495" s="3" t="inlineStr">
        <is>
          <t>개발제한구역</t>
        </is>
      </c>
      <c r="I8495" s="3" t="inlineStr">
        <is>
          <t>답</t>
        </is>
      </c>
      <c r="J8495" s="3" t="inlineStr">
        <is>
          <t>금남면</t>
        </is>
      </c>
    </row>
    <row r="8496">
      <c r="A8496" s="3" t="n">
        <v>2025</v>
      </c>
      <c r="B8496" s="4" t="n">
        <v>64721</v>
      </c>
      <c r="C8496" s="4" t="n">
        <v>43057</v>
      </c>
      <c r="D8496" s="4" t="n">
        <v>13024.7425</v>
      </c>
      <c r="E8496" s="5" t="n">
        <v>5</v>
      </c>
      <c r="F8496" s="3" t="inlineStr">
        <is>
          <t>연서면</t>
        </is>
      </c>
      <c r="G8496" s="3" t="inlineStr">
        <is>
          <t>쌍류리</t>
        </is>
      </c>
      <c r="H8496" s="3" t="inlineStr">
        <is>
          <t>보전관리지역</t>
        </is>
      </c>
      <c r="I8496" s="3" t="inlineStr">
        <is>
          <t>임야</t>
        </is>
      </c>
      <c r="J8496" s="3" t="inlineStr">
        <is>
          <t>연서면</t>
        </is>
      </c>
    </row>
    <row r="8497">
      <c r="A8497" s="3" t="n">
        <v>2025</v>
      </c>
      <c r="B8497" s="4" t="n">
        <v>14257</v>
      </c>
      <c r="C8497" s="4" t="n">
        <v>1872</v>
      </c>
      <c r="D8497" s="4" t="n">
        <v>566.28</v>
      </c>
      <c r="E8497" s="5" t="n">
        <v>25.2</v>
      </c>
      <c r="F8497" s="3" t="inlineStr">
        <is>
          <t>연서면</t>
        </is>
      </c>
      <c r="G8497" s="3" t="inlineStr">
        <is>
          <t>쌍류리</t>
        </is>
      </c>
      <c r="H8497" s="3" t="inlineStr">
        <is>
          <t>보전관리지역</t>
        </is>
      </c>
      <c r="I8497" s="3" t="inlineStr">
        <is>
          <t>전</t>
        </is>
      </c>
      <c r="J8497" s="3" t="inlineStr">
        <is>
          <t>연서면</t>
        </is>
      </c>
    </row>
    <row r="8498">
      <c r="A8498" s="3" t="n">
        <v>2025</v>
      </c>
      <c r="B8498" s="4" t="n">
        <v>42628</v>
      </c>
      <c r="C8498" s="4" t="n">
        <v>28360</v>
      </c>
      <c r="D8498" s="4" t="n">
        <v>8578.9</v>
      </c>
      <c r="E8498" s="5" t="n">
        <v>5</v>
      </c>
      <c r="F8498" s="3" t="inlineStr">
        <is>
          <t>연서면</t>
        </is>
      </c>
      <c r="G8498" s="3" t="inlineStr">
        <is>
          <t>쌍류리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연서면</t>
        </is>
      </c>
    </row>
    <row r="8499">
      <c r="A8499" s="3" t="n">
        <v>2025</v>
      </c>
      <c r="B8499" s="4" t="n">
        <v>5743</v>
      </c>
      <c r="C8499" s="4" t="n">
        <v>756</v>
      </c>
      <c r="D8499" s="4" t="n">
        <v>228.69</v>
      </c>
      <c r="E8499" s="5" t="n">
        <v>25.1</v>
      </c>
      <c r="F8499" s="3" t="inlineStr">
        <is>
          <t>연서면</t>
        </is>
      </c>
      <c r="G8499" s="3" t="inlineStr">
        <is>
          <t>쌍류리</t>
        </is>
      </c>
      <c r="H8499" s="3" t="inlineStr">
        <is>
          <t>보전관리지역</t>
        </is>
      </c>
      <c r="I8499" s="3" t="inlineStr">
        <is>
          <t>전</t>
        </is>
      </c>
      <c r="J8499" s="3" t="inlineStr">
        <is>
          <t>연서면</t>
        </is>
      </c>
    </row>
    <row r="8500">
      <c r="A8500" s="3" t="n">
        <v>2025</v>
      </c>
      <c r="B8500" s="4" t="n">
        <v>7000</v>
      </c>
      <c r="C8500" s="4" t="n">
        <v>499</v>
      </c>
      <c r="D8500" s="4" t="n">
        <v>150.9475</v>
      </c>
      <c r="E8500" s="5" t="n">
        <v>46.4</v>
      </c>
      <c r="F8500" s="3" t="inlineStr">
        <is>
          <t>금남면</t>
        </is>
      </c>
      <c r="G8500" s="3" t="inlineStr">
        <is>
          <t>황용리</t>
        </is>
      </c>
      <c r="H8500" s="3" t="inlineStr">
        <is>
          <t>개발제한구역</t>
        </is>
      </c>
      <c r="I8500" s="3" t="inlineStr">
        <is>
          <t>전</t>
        </is>
      </c>
      <c r="J8500" s="3" t="inlineStr">
        <is>
          <t>금남면</t>
        </is>
      </c>
    </row>
    <row r="8501">
      <c r="A8501" s="3" t="n">
        <v>2025</v>
      </c>
      <c r="B8501" s="4" t="n">
        <v>12300</v>
      </c>
      <c r="C8501" s="4" t="n">
        <v>863</v>
      </c>
      <c r="D8501" s="4" t="n">
        <v>261.0575</v>
      </c>
      <c r="E8501" s="5" t="n">
        <v>47.1</v>
      </c>
      <c r="F8501" s="3" t="inlineStr">
        <is>
          <t>금남면</t>
        </is>
      </c>
      <c r="G8501" s="3" t="inlineStr">
        <is>
          <t>황용리</t>
        </is>
      </c>
      <c r="H8501" s="3" t="inlineStr">
        <is>
          <t>개발제한구역</t>
        </is>
      </c>
      <c r="I8501" s="3" t="inlineStr">
        <is>
          <t>전</t>
        </is>
      </c>
      <c r="J8501" s="3" t="inlineStr">
        <is>
          <t>금남면</t>
        </is>
      </c>
    </row>
    <row r="8502">
      <c r="A8502" s="3" t="n">
        <v>2025</v>
      </c>
      <c r="B8502" s="4" t="n">
        <v>113500</v>
      </c>
      <c r="C8502" s="4" t="n">
        <v>1501</v>
      </c>
      <c r="D8502" s="4" t="n">
        <v>454.0525</v>
      </c>
      <c r="E8502" s="5" t="n">
        <v>250</v>
      </c>
      <c r="F8502" s="3" t="inlineStr">
        <is>
          <t>장군면</t>
        </is>
      </c>
      <c r="G8502" s="3" t="inlineStr">
        <is>
          <t>은용리</t>
        </is>
      </c>
      <c r="H8502" s="3" t="inlineStr">
        <is>
          <t>계획관리지역</t>
        </is>
      </c>
      <c r="I8502" s="3" t="inlineStr">
        <is>
          <t>전</t>
        </is>
      </c>
      <c r="J8502" s="3" t="inlineStr">
        <is>
          <t>장군면</t>
        </is>
      </c>
    </row>
    <row r="8503">
      <c r="A8503" s="3" t="n">
        <v>2024</v>
      </c>
      <c r="B8503" s="4" t="n">
        <v>53500</v>
      </c>
      <c r="C8503" s="4" t="n">
        <v>3216.4</v>
      </c>
      <c r="D8503" s="4" t="n">
        <v>972.961</v>
      </c>
      <c r="E8503" s="5" t="n">
        <v>55</v>
      </c>
      <c r="F8503" s="3" t="inlineStr">
        <is>
          <t>오송읍</t>
        </is>
      </c>
      <c r="G8503" s="3" t="inlineStr">
        <is>
          <t>공북리</t>
        </is>
      </c>
      <c r="H8503" s="3" t="inlineStr">
        <is>
          <t>농림지역</t>
        </is>
      </c>
      <c r="I8503" s="3" t="inlineStr">
        <is>
          <t>답</t>
        </is>
      </c>
      <c r="J8503" s="3" t="inlineStr">
        <is>
          <t>오송읍</t>
        </is>
      </c>
    </row>
    <row r="8504">
      <c r="A8504" s="3" t="n">
        <v>2025</v>
      </c>
      <c r="B8504" s="4" t="n">
        <v>830</v>
      </c>
      <c r="C8504" s="4" t="n">
        <v>275</v>
      </c>
      <c r="D8504" s="4" t="n">
        <v>83.1875</v>
      </c>
      <c r="E8504" s="5" t="n">
        <v>10</v>
      </c>
      <c r="F8504" s="3" t="inlineStr">
        <is>
          <t>부강면</t>
        </is>
      </c>
      <c r="G8504" s="3" t="inlineStr">
        <is>
          <t>노호리</t>
        </is>
      </c>
      <c r="H8504" s="3" t="inlineStr">
        <is>
          <t>보전관리지역</t>
        </is>
      </c>
      <c r="I8504" s="3" t="inlineStr">
        <is>
          <t>임야</t>
        </is>
      </c>
      <c r="J8504" s="3" t="inlineStr">
        <is>
          <t>부강면</t>
        </is>
      </c>
    </row>
    <row r="8505">
      <c r="A8505" s="3" t="n">
        <v>2025</v>
      </c>
      <c r="B8505" s="4" t="n">
        <v>10000</v>
      </c>
      <c r="C8505" s="4" t="n">
        <v>355</v>
      </c>
      <c r="D8505" s="4" t="n">
        <v>107.3875</v>
      </c>
      <c r="E8505" s="5" t="n">
        <v>93.09999999999999</v>
      </c>
      <c r="F8505" s="3" t="inlineStr">
        <is>
          <t>장군면</t>
        </is>
      </c>
      <c r="G8505" s="3" t="inlineStr">
        <is>
          <t>은용리</t>
        </is>
      </c>
      <c r="H8505" s="3" t="inlineStr">
        <is>
          <t>계획관리지역</t>
        </is>
      </c>
      <c r="I8505" s="3" t="inlineStr">
        <is>
          <t>답</t>
        </is>
      </c>
      <c r="J8505" s="3" t="inlineStr">
        <is>
          <t>장군면</t>
        </is>
      </c>
    </row>
    <row r="8506">
      <c r="A8506" s="3" t="n">
        <v>2025</v>
      </c>
      <c r="B8506" s="4" t="n">
        <v>42038</v>
      </c>
      <c r="C8506" s="4" t="n">
        <v>284.9</v>
      </c>
      <c r="D8506" s="4" t="n">
        <v>86.18225</v>
      </c>
      <c r="E8506" s="5" t="n">
        <v>487.8</v>
      </c>
      <c r="F8506" s="3" t="inlineStr">
        <is>
          <t>고운동</t>
        </is>
      </c>
      <c r="G8506" s="3" t="inlineStr"/>
      <c r="H8506" s="3" t="inlineStr">
        <is>
          <t>제1종전용주거지역</t>
        </is>
      </c>
      <c r="I8506" s="3" t="inlineStr">
        <is>
          <t>대</t>
        </is>
      </c>
      <c r="J8506" s="3" t="inlineStr">
        <is>
          <t>고운동</t>
        </is>
      </c>
    </row>
    <row r="8507">
      <c r="A8507" s="3" t="n">
        <v>2025</v>
      </c>
      <c r="B8507" s="4" t="n">
        <v>77670</v>
      </c>
      <c r="C8507" s="4" t="n">
        <v>412</v>
      </c>
      <c r="D8507" s="4" t="n">
        <v>124.63</v>
      </c>
      <c r="E8507" s="5" t="n">
        <v>623.2</v>
      </c>
      <c r="F8507" s="3" t="inlineStr">
        <is>
          <t>연서면</t>
        </is>
      </c>
      <c r="G8507" s="3" t="inlineStr">
        <is>
          <t>봉암리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연서면</t>
        </is>
      </c>
    </row>
    <row r="8508">
      <c r="A8508" s="3" t="n">
        <v>2025</v>
      </c>
      <c r="B8508" s="4" t="n">
        <v>17500</v>
      </c>
      <c r="C8508" s="4" t="n">
        <v>1157</v>
      </c>
      <c r="D8508" s="4" t="n">
        <v>349.9925</v>
      </c>
      <c r="E8508" s="5" t="n">
        <v>50</v>
      </c>
      <c r="F8508" s="3" t="inlineStr">
        <is>
          <t>부강면</t>
        </is>
      </c>
      <c r="G8508" s="3" t="inlineStr">
        <is>
          <t>노호리</t>
        </is>
      </c>
      <c r="H8508" s="3" t="inlineStr">
        <is>
          <t>계획관리지역</t>
        </is>
      </c>
      <c r="I8508" s="3" t="inlineStr">
        <is>
          <t>임야</t>
        </is>
      </c>
      <c r="J8508" s="3" t="inlineStr">
        <is>
          <t>부강면</t>
        </is>
      </c>
    </row>
    <row r="8509">
      <c r="A8509" s="3" t="n">
        <v>2025</v>
      </c>
      <c r="B8509" s="4" t="n">
        <v>52000</v>
      </c>
      <c r="C8509" s="4" t="n">
        <v>337</v>
      </c>
      <c r="D8509" s="4" t="n">
        <v>101.9425</v>
      </c>
      <c r="E8509" s="5" t="n">
        <v>510.1</v>
      </c>
      <c r="F8509" s="3" t="inlineStr">
        <is>
          <t>고운동</t>
        </is>
      </c>
      <c r="G8509" s="3" t="inlineStr"/>
      <c r="H8509" s="3" t="inlineStr">
        <is>
          <t>제1종전용주거지역</t>
        </is>
      </c>
      <c r="I8509" s="3" t="inlineStr">
        <is>
          <t>대</t>
        </is>
      </c>
      <c r="J8509" s="3" t="inlineStr">
        <is>
          <t>고운동</t>
        </is>
      </c>
    </row>
    <row r="8510">
      <c r="A8510" s="3" t="n">
        <v>2025</v>
      </c>
      <c r="B8510" s="4" t="n">
        <v>15000</v>
      </c>
      <c r="C8510" s="4" t="n">
        <v>187</v>
      </c>
      <c r="D8510" s="4" t="n">
        <v>56.5675</v>
      </c>
      <c r="E8510" s="5" t="n">
        <v>265.2</v>
      </c>
      <c r="F8510" s="3" t="inlineStr">
        <is>
          <t>조치원읍</t>
        </is>
      </c>
      <c r="G8510" s="3" t="inlineStr">
        <is>
          <t>명리</t>
        </is>
      </c>
      <c r="H8510" s="3" t="inlineStr">
        <is>
          <t>제2종일반주거지역</t>
        </is>
      </c>
      <c r="I8510" s="3" t="inlineStr">
        <is>
          <t>대</t>
        </is>
      </c>
      <c r="J8510" s="3" t="inlineStr">
        <is>
          <t>조치원읍</t>
        </is>
      </c>
    </row>
    <row r="8511">
      <c r="A8511" s="3" t="n">
        <v>2025</v>
      </c>
      <c r="B8511" s="4" t="n">
        <v>41000</v>
      </c>
      <c r="C8511" s="4" t="n">
        <v>3073</v>
      </c>
      <c r="D8511" s="4" t="n">
        <v>929.5825</v>
      </c>
      <c r="E8511" s="5" t="n">
        <v>44.1</v>
      </c>
      <c r="F8511" s="3" t="inlineStr">
        <is>
          <t>전동면</t>
        </is>
      </c>
      <c r="G8511" s="3" t="inlineStr">
        <is>
          <t>청람리</t>
        </is>
      </c>
      <c r="H8511" s="3" t="inlineStr">
        <is>
          <t>생산관리지역</t>
        </is>
      </c>
      <c r="I8511" s="3" t="inlineStr">
        <is>
          <t>전</t>
        </is>
      </c>
      <c r="J8511" s="3" t="inlineStr">
        <is>
          <t>전동면</t>
        </is>
      </c>
    </row>
    <row r="8512">
      <c r="A8512" s="3" t="n">
        <v>2025</v>
      </c>
      <c r="B8512" s="4" t="n">
        <v>11351</v>
      </c>
      <c r="C8512" s="4" t="n">
        <v>292</v>
      </c>
      <c r="D8512" s="4" t="n">
        <v>88.33</v>
      </c>
      <c r="E8512" s="5" t="n">
        <v>128.5</v>
      </c>
      <c r="F8512" s="3" t="inlineStr">
        <is>
          <t>금남면</t>
        </is>
      </c>
      <c r="G8512" s="3" t="inlineStr">
        <is>
          <t>원봉리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금남면</t>
        </is>
      </c>
    </row>
    <row r="8513">
      <c r="A8513" s="3" t="n">
        <v>2025</v>
      </c>
      <c r="B8513" s="4" t="n">
        <v>3149</v>
      </c>
      <c r="C8513" s="4" t="n">
        <v>81</v>
      </c>
      <c r="D8513" s="4" t="n">
        <v>24.5025</v>
      </c>
      <c r="E8513" s="5" t="n">
        <v>128.5</v>
      </c>
      <c r="F8513" s="3" t="inlineStr">
        <is>
          <t>금남면</t>
        </is>
      </c>
      <c r="G8513" s="3" t="inlineStr">
        <is>
          <t>원봉리</t>
        </is>
      </c>
      <c r="H8513" s="3" t="inlineStr">
        <is>
          <t>계획관리지역</t>
        </is>
      </c>
      <c r="I8513" s="3" t="inlineStr">
        <is>
          <t>대</t>
        </is>
      </c>
      <c r="J8513" s="3" t="inlineStr">
        <is>
          <t>금남면</t>
        </is>
      </c>
    </row>
    <row r="8514">
      <c r="A8514" s="3" t="n">
        <v>2025</v>
      </c>
      <c r="B8514" s="4" t="n">
        <v>149000</v>
      </c>
      <c r="C8514" s="4" t="n">
        <v>3303.5</v>
      </c>
      <c r="D8514" s="4" t="n">
        <v>999.3087499999999</v>
      </c>
      <c r="E8514" s="5" t="n">
        <v>149.1</v>
      </c>
      <c r="F8514" s="3" t="inlineStr">
        <is>
          <t>소정면</t>
        </is>
      </c>
      <c r="G8514" s="3" t="inlineStr">
        <is>
          <t>고등리</t>
        </is>
      </c>
      <c r="H8514" s="3" t="inlineStr">
        <is>
          <t>일반공업지역</t>
        </is>
      </c>
      <c r="I8514" s="3" t="inlineStr">
        <is>
          <t>공장용지</t>
        </is>
      </c>
      <c r="J8514" s="3" t="inlineStr">
        <is>
          <t>소정면</t>
        </is>
      </c>
    </row>
    <row r="8515">
      <c r="A8515" s="3" t="n">
        <v>2025</v>
      </c>
      <c r="B8515" s="4" t="n">
        <v>20892</v>
      </c>
      <c r="C8515" s="4" t="n">
        <v>3590</v>
      </c>
      <c r="D8515" s="4" t="n">
        <v>1085.975</v>
      </c>
      <c r="E8515" s="5" t="n">
        <v>19.2</v>
      </c>
      <c r="F8515" s="3" t="inlineStr">
        <is>
          <t>전의면</t>
        </is>
      </c>
      <c r="G8515" s="3" t="inlineStr">
        <is>
          <t>유천리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전의면</t>
        </is>
      </c>
    </row>
    <row r="8516">
      <c r="A8516" s="3" t="n">
        <v>2025</v>
      </c>
      <c r="B8516" s="4" t="n">
        <v>29222</v>
      </c>
      <c r="C8516" s="4" t="n">
        <v>2760</v>
      </c>
      <c r="D8516" s="4" t="n">
        <v>834.9</v>
      </c>
      <c r="E8516" s="5" t="n">
        <v>35</v>
      </c>
      <c r="F8516" s="3" t="inlineStr">
        <is>
          <t>전의면</t>
        </is>
      </c>
      <c r="G8516" s="3" t="inlineStr">
        <is>
          <t>유천리</t>
        </is>
      </c>
      <c r="H8516" s="3" t="inlineStr">
        <is>
          <t>계획관리지역</t>
        </is>
      </c>
      <c r="I8516" s="3" t="inlineStr">
        <is>
          <t>전</t>
        </is>
      </c>
      <c r="J8516" s="3" t="inlineStr">
        <is>
          <t>전의면</t>
        </is>
      </c>
    </row>
    <row r="8517">
      <c r="A8517" s="3" t="n">
        <v>2025</v>
      </c>
      <c r="B8517" s="4" t="n">
        <v>38000</v>
      </c>
      <c r="C8517" s="4" t="n">
        <v>331.8</v>
      </c>
      <c r="D8517" s="4" t="n">
        <v>100.3695</v>
      </c>
      <c r="E8517" s="5" t="n">
        <v>378.6</v>
      </c>
      <c r="F8517" s="3" t="inlineStr">
        <is>
          <t>아름동</t>
        </is>
      </c>
      <c r="G8517" s="3" t="inlineStr"/>
      <c r="H8517" s="3" t="inlineStr">
        <is>
          <t>제1종전용주거지역</t>
        </is>
      </c>
      <c r="I8517" s="3" t="inlineStr">
        <is>
          <t>대</t>
        </is>
      </c>
      <c r="J8517" s="3" t="inlineStr">
        <is>
          <t>아름동</t>
        </is>
      </c>
    </row>
    <row r="8518">
      <c r="A8518" s="3" t="n">
        <v>2024</v>
      </c>
      <c r="B8518" s="4" t="n">
        <v>213213</v>
      </c>
      <c r="C8518" s="4" t="n">
        <v>30645</v>
      </c>
      <c r="D8518" s="4" t="n">
        <v>9270.112499999999</v>
      </c>
      <c r="E8518" s="5" t="n">
        <v>23</v>
      </c>
      <c r="F8518" s="3" t="inlineStr">
        <is>
          <t>장군면</t>
        </is>
      </c>
      <c r="G8518" s="3" t="inlineStr">
        <is>
          <t>은용리</t>
        </is>
      </c>
      <c r="H8518" s="3" t="inlineStr">
        <is>
          <t>생산관리지역</t>
        </is>
      </c>
      <c r="I8518" s="3" t="inlineStr">
        <is>
          <t>임야</t>
        </is>
      </c>
      <c r="J8518" s="3" t="inlineStr">
        <is>
          <t>장군면</t>
        </is>
      </c>
    </row>
    <row r="8519">
      <c r="A8519" s="3" t="n">
        <v>2024</v>
      </c>
      <c r="B8519" s="4" t="n">
        <v>104000</v>
      </c>
      <c r="C8519" s="4" t="n">
        <v>1949</v>
      </c>
      <c r="D8519" s="4" t="n">
        <v>589.5725</v>
      </c>
      <c r="E8519" s="5" t="n">
        <v>176.4</v>
      </c>
      <c r="F8519" s="3" t="inlineStr">
        <is>
          <t>장군면</t>
        </is>
      </c>
      <c r="G8519" s="3" t="inlineStr">
        <is>
          <t>봉안리</t>
        </is>
      </c>
      <c r="H8519" s="3" t="inlineStr">
        <is>
          <t>계획관리지역</t>
        </is>
      </c>
      <c r="I8519" s="3" t="inlineStr">
        <is>
          <t>답</t>
        </is>
      </c>
      <c r="J8519" s="3" t="inlineStr">
        <is>
          <t>장군면</t>
        </is>
      </c>
    </row>
    <row r="8520">
      <c r="A8520" s="3" t="n">
        <v>2024</v>
      </c>
      <c r="B8520" s="4" t="n">
        <v>10000</v>
      </c>
      <c r="C8520" s="4" t="n">
        <v>195</v>
      </c>
      <c r="D8520" s="4" t="n">
        <v>58.9875</v>
      </c>
      <c r="E8520" s="5" t="n">
        <v>169.5</v>
      </c>
      <c r="F8520" s="3" t="inlineStr">
        <is>
          <t>장군면</t>
        </is>
      </c>
      <c r="G8520" s="3" t="inlineStr">
        <is>
          <t>봉안리</t>
        </is>
      </c>
      <c r="H8520" s="3" t="inlineStr">
        <is>
          <t>계획관리지역</t>
        </is>
      </c>
      <c r="I8520" s="3" t="inlineStr">
        <is>
          <t>답</t>
        </is>
      </c>
      <c r="J8520" s="3" t="inlineStr">
        <is>
          <t>장군면</t>
        </is>
      </c>
    </row>
    <row r="8521">
      <c r="A8521" s="3" t="n">
        <v>2024</v>
      </c>
      <c r="B8521" s="4" t="n">
        <v>25000</v>
      </c>
      <c r="C8521" s="4" t="n">
        <v>286</v>
      </c>
      <c r="D8521" s="4" t="n">
        <v>86.515</v>
      </c>
      <c r="E8521" s="5" t="n">
        <v>289</v>
      </c>
      <c r="F8521" s="3" t="inlineStr">
        <is>
          <t>조치원읍</t>
        </is>
      </c>
      <c r="G8521" s="3" t="inlineStr">
        <is>
          <t>신안리</t>
        </is>
      </c>
      <c r="H8521" s="3" t="inlineStr">
        <is>
          <t>제1종일반주거지역</t>
        </is>
      </c>
      <c r="I8521" s="3" t="inlineStr">
        <is>
          <t>대</t>
        </is>
      </c>
      <c r="J8521" s="3" t="inlineStr">
        <is>
          <t>조치원읍</t>
        </is>
      </c>
    </row>
    <row r="8522">
      <c r="A8522" s="3" t="n">
        <v>2024</v>
      </c>
      <c r="B8522" s="4" t="n">
        <v>48000</v>
      </c>
      <c r="C8522" s="4" t="n">
        <v>297</v>
      </c>
      <c r="D8522" s="4" t="n">
        <v>89.8425</v>
      </c>
      <c r="E8522" s="5" t="n">
        <v>534.3</v>
      </c>
      <c r="F8522" s="3" t="inlineStr">
        <is>
          <t>해밀동</t>
        </is>
      </c>
      <c r="G8522" s="3" t="inlineStr"/>
      <c r="H8522" s="3" t="inlineStr">
        <is>
          <t>제2종전용주거지역</t>
        </is>
      </c>
      <c r="I8522" s="3" t="inlineStr">
        <is>
          <t>대</t>
        </is>
      </c>
      <c r="J8522" s="3" t="inlineStr">
        <is>
          <t>해밀동</t>
        </is>
      </c>
    </row>
    <row r="8523">
      <c r="A8523" s="3" t="n">
        <v>2024</v>
      </c>
      <c r="B8523" s="4" t="n">
        <v>30000</v>
      </c>
      <c r="C8523" s="4" t="n">
        <v>33058</v>
      </c>
      <c r="D8523" s="4" t="n">
        <v>10000.045</v>
      </c>
      <c r="E8523" s="5" t="n">
        <v>3</v>
      </c>
      <c r="F8523" s="3" t="inlineStr">
        <is>
          <t>전의면</t>
        </is>
      </c>
      <c r="G8523" s="3" t="inlineStr">
        <is>
          <t>다방리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전의면</t>
        </is>
      </c>
    </row>
    <row r="8524">
      <c r="A8524" s="3" t="n">
        <v>2024</v>
      </c>
      <c r="B8524" s="4" t="n">
        <v>40000</v>
      </c>
      <c r="C8524" s="4" t="n">
        <v>891</v>
      </c>
      <c r="D8524" s="4" t="n">
        <v>269.5275</v>
      </c>
      <c r="E8524" s="5" t="n">
        <v>148.4</v>
      </c>
      <c r="F8524" s="3" t="inlineStr">
        <is>
          <t>부강면</t>
        </is>
      </c>
      <c r="G8524" s="3" t="inlineStr">
        <is>
          <t>행산리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부강면</t>
        </is>
      </c>
    </row>
    <row r="8525">
      <c r="A8525" s="3" t="n">
        <v>2024</v>
      </c>
      <c r="B8525" s="4" t="n">
        <v>48000</v>
      </c>
      <c r="C8525" s="4" t="n">
        <v>793</v>
      </c>
      <c r="D8525" s="4" t="n">
        <v>239.8825</v>
      </c>
      <c r="E8525" s="5" t="n">
        <v>200.1</v>
      </c>
      <c r="F8525" s="3" t="inlineStr">
        <is>
          <t>연서면</t>
        </is>
      </c>
      <c r="G8525" s="3" t="inlineStr">
        <is>
          <t>고복리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연서면</t>
        </is>
      </c>
    </row>
    <row r="8526">
      <c r="A8526" s="3" t="n">
        <v>2024</v>
      </c>
      <c r="B8526" s="4" t="n">
        <v>42000</v>
      </c>
      <c r="C8526" s="4" t="n">
        <v>660</v>
      </c>
      <c r="D8526" s="4" t="n">
        <v>199.65</v>
      </c>
      <c r="E8526" s="5" t="n">
        <v>210.4</v>
      </c>
      <c r="F8526" s="3" t="inlineStr">
        <is>
          <t>연기면</t>
        </is>
      </c>
      <c r="G8526" s="3" t="inlineStr">
        <is>
          <t>눌왕리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연기면</t>
        </is>
      </c>
    </row>
    <row r="8527">
      <c r="A8527" s="3" t="n">
        <v>2024</v>
      </c>
      <c r="B8527" s="4" t="n">
        <v>7200</v>
      </c>
      <c r="C8527" s="4" t="n">
        <v>496</v>
      </c>
      <c r="D8527" s="4" t="n">
        <v>150.04</v>
      </c>
      <c r="E8527" s="5" t="n">
        <v>48</v>
      </c>
      <c r="F8527" s="3" t="inlineStr">
        <is>
          <t>장군면</t>
        </is>
      </c>
      <c r="G8527" s="3" t="inlineStr">
        <is>
          <t>산학리</t>
        </is>
      </c>
      <c r="H8527" s="3" t="inlineStr">
        <is>
          <t>생산관리지역</t>
        </is>
      </c>
      <c r="I8527" s="3" t="inlineStr">
        <is>
          <t>전</t>
        </is>
      </c>
      <c r="J8527" s="3" t="inlineStr">
        <is>
          <t>장군면</t>
        </is>
      </c>
    </row>
    <row r="8528">
      <c r="A8528" s="3" t="n">
        <v>2024</v>
      </c>
      <c r="B8528" s="4" t="n">
        <v>40500</v>
      </c>
      <c r="C8528" s="4" t="n">
        <v>1359</v>
      </c>
      <c r="D8528" s="4" t="n">
        <v>411.0975</v>
      </c>
      <c r="E8528" s="5" t="n">
        <v>98.5</v>
      </c>
      <c r="F8528" s="3" t="inlineStr">
        <is>
          <t>소정면</t>
        </is>
      </c>
      <c r="G8528" s="3" t="inlineStr">
        <is>
          <t>고등리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소정면</t>
        </is>
      </c>
    </row>
    <row r="8529">
      <c r="A8529" s="3" t="n">
        <v>2024</v>
      </c>
      <c r="B8529" s="4" t="n">
        <v>34134</v>
      </c>
      <c r="C8529" s="4" t="n">
        <v>4340</v>
      </c>
      <c r="D8529" s="4" t="n">
        <v>1312.85</v>
      </c>
      <c r="E8529" s="5" t="n">
        <v>26</v>
      </c>
      <c r="F8529" s="3" t="inlineStr">
        <is>
          <t>전동면</t>
        </is>
      </c>
      <c r="G8529" s="3" t="inlineStr">
        <is>
          <t>봉대리</t>
        </is>
      </c>
      <c r="H8529" s="3" t="inlineStr">
        <is>
          <t>생산관리지역</t>
        </is>
      </c>
      <c r="I8529" s="3" t="inlineStr">
        <is>
          <t>답</t>
        </is>
      </c>
      <c r="J8529" s="3" t="inlineStr">
        <is>
          <t>전동면</t>
        </is>
      </c>
    </row>
    <row r="8530">
      <c r="A8530" s="3" t="n">
        <v>2024</v>
      </c>
      <c r="B8530" s="4" t="n">
        <v>35000</v>
      </c>
      <c r="C8530" s="4" t="n">
        <v>255</v>
      </c>
      <c r="D8530" s="4" t="n">
        <v>77.1375</v>
      </c>
      <c r="E8530" s="5" t="n">
        <v>453.7</v>
      </c>
      <c r="F8530" s="3" t="inlineStr">
        <is>
          <t>조치원읍</t>
        </is>
      </c>
      <c r="G8530" s="3" t="inlineStr">
        <is>
          <t>번암리</t>
        </is>
      </c>
      <c r="H8530" s="3" t="inlineStr">
        <is>
          <t>제2종일반주거지역</t>
        </is>
      </c>
      <c r="I8530" s="3" t="inlineStr">
        <is>
          <t>대</t>
        </is>
      </c>
      <c r="J8530" s="3" t="inlineStr">
        <is>
          <t>조치원읍</t>
        </is>
      </c>
    </row>
    <row r="8531">
      <c r="A8531" s="3" t="n">
        <v>2024</v>
      </c>
      <c r="B8531" s="4" t="n">
        <v>69000</v>
      </c>
      <c r="C8531" s="4" t="n">
        <v>3439.2</v>
      </c>
      <c r="D8531" s="4" t="n">
        <v>1040.358</v>
      </c>
      <c r="E8531" s="5" t="n">
        <v>66.3</v>
      </c>
      <c r="F8531" s="3" t="inlineStr">
        <is>
          <t>장군면</t>
        </is>
      </c>
      <c r="G8531" s="3" t="inlineStr">
        <is>
          <t>용현리</t>
        </is>
      </c>
      <c r="H8531" s="3" t="inlineStr">
        <is>
          <t>농림지역</t>
        </is>
      </c>
      <c r="I8531" s="3" t="inlineStr">
        <is>
          <t>전</t>
        </is>
      </c>
      <c r="J8531" s="3" t="inlineStr">
        <is>
          <t>장군면</t>
        </is>
      </c>
    </row>
    <row r="8532">
      <c r="A8532" s="3" t="n">
        <v>2024</v>
      </c>
      <c r="B8532" s="4" t="n">
        <v>1000</v>
      </c>
      <c r="C8532" s="4" t="n">
        <v>17</v>
      </c>
      <c r="D8532" s="4" t="n">
        <v>5.1425</v>
      </c>
      <c r="E8532" s="5" t="n">
        <v>194.5</v>
      </c>
      <c r="F8532" s="3" t="inlineStr">
        <is>
          <t>조치원읍</t>
        </is>
      </c>
      <c r="G8532" s="3" t="inlineStr">
        <is>
          <t>서창리</t>
        </is>
      </c>
      <c r="H8532" s="3" t="inlineStr">
        <is>
          <t>제1종일반주거지역</t>
        </is>
      </c>
      <c r="I8532" s="3" t="inlineStr">
        <is>
          <t>대</t>
        </is>
      </c>
      <c r="J8532" s="3" t="inlineStr">
        <is>
          <t>조치원읍</t>
        </is>
      </c>
    </row>
    <row r="8533">
      <c r="A8533" s="3" t="n">
        <v>2024</v>
      </c>
      <c r="B8533" s="4" t="n">
        <v>235</v>
      </c>
      <c r="C8533" s="4" t="n">
        <v>44</v>
      </c>
      <c r="D8533" s="4" t="n">
        <v>13.31</v>
      </c>
      <c r="E8533" s="5" t="n">
        <v>17.7</v>
      </c>
      <c r="F8533" s="3" t="inlineStr">
        <is>
          <t>금남면</t>
        </is>
      </c>
      <c r="G8533" s="3" t="inlineStr">
        <is>
          <t>축산리</t>
        </is>
      </c>
      <c r="H8533" s="3" t="inlineStr">
        <is>
          <t>개발제한구역</t>
        </is>
      </c>
      <c r="I8533" s="3" t="inlineStr">
        <is>
          <t>전</t>
        </is>
      </c>
      <c r="J8533" s="3" t="inlineStr">
        <is>
          <t>금남면</t>
        </is>
      </c>
    </row>
    <row r="8534">
      <c r="A8534" s="3" t="n">
        <v>2023</v>
      </c>
      <c r="B8534" s="4" t="n">
        <v>33000</v>
      </c>
      <c r="C8534" s="4" t="n">
        <v>552</v>
      </c>
      <c r="D8534" s="4" t="n">
        <v>166.98</v>
      </c>
      <c r="E8534" s="5" t="n">
        <v>197.6</v>
      </c>
      <c r="F8534" s="3" t="inlineStr">
        <is>
          <t>금남면</t>
        </is>
      </c>
      <c r="G8534" s="3" t="inlineStr">
        <is>
          <t>원봉리</t>
        </is>
      </c>
      <c r="H8534" s="3" t="inlineStr">
        <is>
          <t>계획관리지역</t>
        </is>
      </c>
      <c r="I8534" s="3" t="inlineStr">
        <is>
          <t>임야</t>
        </is>
      </c>
      <c r="J8534" s="3" t="inlineStr">
        <is>
          <t>금남면</t>
        </is>
      </c>
    </row>
    <row r="8535">
      <c r="A8535" s="3" t="n">
        <v>2023</v>
      </c>
      <c r="B8535" s="4" t="n">
        <v>600</v>
      </c>
      <c r="C8535" s="4" t="n">
        <v>20</v>
      </c>
      <c r="D8535" s="4" t="n">
        <v>6.05</v>
      </c>
      <c r="E8535" s="5" t="n">
        <v>99.2</v>
      </c>
      <c r="F8535" s="3" t="inlineStr">
        <is>
          <t>연서면</t>
        </is>
      </c>
      <c r="G8535" s="3" t="inlineStr">
        <is>
          <t>쌍전리</t>
        </is>
      </c>
      <c r="H8535" s="3" t="inlineStr">
        <is>
          <t>자연녹지지역</t>
        </is>
      </c>
      <c r="I8535" s="3" t="inlineStr">
        <is>
          <t>도로</t>
        </is>
      </c>
      <c r="J8535" s="3" t="inlineStr">
        <is>
          <t>연서면</t>
        </is>
      </c>
    </row>
    <row r="8536">
      <c r="A8536" s="3" t="n">
        <v>2023</v>
      </c>
      <c r="B8536" s="4" t="n">
        <v>700</v>
      </c>
      <c r="C8536" s="4" t="n">
        <v>12.8</v>
      </c>
      <c r="D8536" s="4" t="n">
        <v>3.872</v>
      </c>
      <c r="E8536" s="5" t="n">
        <v>180.8</v>
      </c>
      <c r="F8536" s="3" t="inlineStr">
        <is>
          <t>고운동</t>
        </is>
      </c>
      <c r="G8536" s="3" t="inlineStr"/>
      <c r="H8536" s="3" t="inlineStr">
        <is>
          <t>제1종전용주거지역</t>
        </is>
      </c>
      <c r="I8536" s="3" t="inlineStr">
        <is>
          <t>주차장</t>
        </is>
      </c>
      <c r="J8536" s="3" t="inlineStr">
        <is>
          <t>고운동</t>
        </is>
      </c>
    </row>
    <row r="8537">
      <c r="A8537" s="3" t="n">
        <v>2023</v>
      </c>
      <c r="B8537" s="4" t="n">
        <v>300</v>
      </c>
      <c r="C8537" s="4" t="n">
        <v>20</v>
      </c>
      <c r="D8537" s="4" t="n">
        <v>6.05</v>
      </c>
      <c r="E8537" s="5" t="n">
        <v>49.6</v>
      </c>
      <c r="F8537" s="3" t="inlineStr">
        <is>
          <t>연서면</t>
        </is>
      </c>
      <c r="G8537" s="3" t="inlineStr">
        <is>
          <t>쌍전리</t>
        </is>
      </c>
      <c r="H8537" s="3" t="inlineStr">
        <is>
          <t>자연녹지지역</t>
        </is>
      </c>
      <c r="I8537" s="3" t="inlineStr">
        <is>
          <t>임야</t>
        </is>
      </c>
      <c r="J8537" s="3" t="inlineStr">
        <is>
          <t>연서면</t>
        </is>
      </c>
    </row>
    <row r="8538">
      <c r="A8538" s="3" t="n">
        <v>2023</v>
      </c>
      <c r="B8538" s="4" t="n">
        <v>4200</v>
      </c>
      <c r="C8538" s="4" t="n">
        <v>2374</v>
      </c>
      <c r="D8538" s="4" t="n">
        <v>718.135</v>
      </c>
      <c r="E8538" s="5" t="n">
        <v>5.8</v>
      </c>
      <c r="F8538" s="3" t="inlineStr">
        <is>
          <t>전동면</t>
        </is>
      </c>
      <c r="G8538" s="3" t="inlineStr">
        <is>
          <t>송정리</t>
        </is>
      </c>
      <c r="H8538" s="3" t="inlineStr">
        <is>
          <t>농림지역</t>
        </is>
      </c>
      <c r="I8538" s="3" t="inlineStr">
        <is>
          <t>임야</t>
        </is>
      </c>
      <c r="J8538" s="3" t="inlineStr">
        <is>
          <t>전동면</t>
        </is>
      </c>
    </row>
    <row r="8539">
      <c r="A8539" s="3" t="n">
        <v>2023</v>
      </c>
      <c r="B8539" s="4" t="n">
        <v>4000</v>
      </c>
      <c r="C8539" s="4" t="n">
        <v>2277</v>
      </c>
      <c r="D8539" s="4" t="n">
        <v>688.7925</v>
      </c>
      <c r="E8539" s="5" t="n">
        <v>5.8</v>
      </c>
      <c r="F8539" s="3" t="inlineStr">
        <is>
          <t>전동면</t>
        </is>
      </c>
      <c r="G8539" s="3" t="inlineStr">
        <is>
          <t>송정리</t>
        </is>
      </c>
      <c r="H8539" s="3" t="inlineStr">
        <is>
          <t>농림지역</t>
        </is>
      </c>
      <c r="I8539" s="3" t="inlineStr">
        <is>
          <t>임야</t>
        </is>
      </c>
      <c r="J8539" s="3" t="inlineStr">
        <is>
          <t>전동면</t>
        </is>
      </c>
    </row>
    <row r="8540">
      <c r="A8540" s="3" t="n">
        <v>2023</v>
      </c>
      <c r="B8540" s="4" t="n">
        <v>900</v>
      </c>
      <c r="C8540" s="4" t="n">
        <v>495</v>
      </c>
      <c r="D8540" s="4" t="n">
        <v>149.7375</v>
      </c>
      <c r="E8540" s="5" t="n">
        <v>6</v>
      </c>
      <c r="F8540" s="3" t="inlineStr">
        <is>
          <t>전동면</t>
        </is>
      </c>
      <c r="G8540" s="3" t="inlineStr">
        <is>
          <t>송정리</t>
        </is>
      </c>
      <c r="H8540" s="3" t="inlineStr">
        <is>
          <t>농림지역</t>
        </is>
      </c>
      <c r="I8540" s="3" t="inlineStr">
        <is>
          <t>임야</t>
        </is>
      </c>
      <c r="J8540" s="3" t="inlineStr">
        <is>
          <t>전동면</t>
        </is>
      </c>
    </row>
    <row r="8541">
      <c r="A8541" s="3" t="n">
        <v>2023</v>
      </c>
      <c r="B8541" s="4" t="n">
        <v>900</v>
      </c>
      <c r="C8541" s="4" t="n">
        <v>495</v>
      </c>
      <c r="D8541" s="4" t="n">
        <v>149.7375</v>
      </c>
      <c r="E8541" s="5" t="n">
        <v>6</v>
      </c>
      <c r="F8541" s="3" t="inlineStr">
        <is>
          <t>전동면</t>
        </is>
      </c>
      <c r="G8541" s="3" t="inlineStr">
        <is>
          <t>송정리</t>
        </is>
      </c>
      <c r="H8541" s="3" t="inlineStr">
        <is>
          <t>농림지역</t>
        </is>
      </c>
      <c r="I8541" s="3" t="inlineStr">
        <is>
          <t>임야</t>
        </is>
      </c>
      <c r="J8541" s="3" t="inlineStr">
        <is>
          <t>전동면</t>
        </is>
      </c>
    </row>
    <row r="8542">
      <c r="A8542" s="3" t="n">
        <v>2023</v>
      </c>
      <c r="B8542" s="4" t="n">
        <v>23000</v>
      </c>
      <c r="C8542" s="4" t="n">
        <v>454</v>
      </c>
      <c r="D8542" s="4" t="n">
        <v>137.335</v>
      </c>
      <c r="E8542" s="5" t="n">
        <v>167.5</v>
      </c>
      <c r="F8542" s="3" t="inlineStr">
        <is>
          <t>금남면</t>
        </is>
      </c>
      <c r="G8542" s="3" t="inlineStr">
        <is>
          <t>감성리</t>
        </is>
      </c>
      <c r="H8542" s="3" t="inlineStr">
        <is>
          <t>농림지역</t>
        </is>
      </c>
      <c r="I8542" s="3" t="inlineStr">
        <is>
          <t>전</t>
        </is>
      </c>
      <c r="J8542" s="3" t="inlineStr">
        <is>
          <t>금남면</t>
        </is>
      </c>
    </row>
    <row r="8543">
      <c r="A8543" s="3" t="n">
        <v>2023</v>
      </c>
      <c r="B8543" s="4" t="n">
        <v>120061</v>
      </c>
      <c r="C8543" s="4" t="n">
        <v>6101</v>
      </c>
      <c r="D8543" s="4" t="n">
        <v>1845.5525</v>
      </c>
      <c r="E8543" s="5" t="n">
        <v>65.09999999999999</v>
      </c>
      <c r="F8543" s="3" t="inlineStr">
        <is>
          <t>부강면</t>
        </is>
      </c>
      <c r="G8543" s="3" t="inlineStr">
        <is>
          <t>산수리</t>
        </is>
      </c>
      <c r="H8543" s="3" t="inlineStr">
        <is>
          <t>보전관리지역</t>
        </is>
      </c>
      <c r="I8543" s="3" t="inlineStr">
        <is>
          <t>임야</t>
        </is>
      </c>
      <c r="J8543" s="3" t="inlineStr">
        <is>
          <t>부강면</t>
        </is>
      </c>
    </row>
    <row r="8544">
      <c r="A8544" s="3" t="n">
        <v>2023</v>
      </c>
      <c r="B8544" s="4" t="n">
        <v>42939</v>
      </c>
      <c r="C8544" s="4" t="n">
        <v>2182</v>
      </c>
      <c r="D8544" s="4" t="n">
        <v>660.0549999999999</v>
      </c>
      <c r="E8544" s="5" t="n">
        <v>65.09999999999999</v>
      </c>
      <c r="F8544" s="3" t="inlineStr">
        <is>
          <t>부강면</t>
        </is>
      </c>
      <c r="G8544" s="3" t="inlineStr">
        <is>
          <t>산수리</t>
        </is>
      </c>
      <c r="H8544" s="3" t="inlineStr">
        <is>
          <t>계획관리지역</t>
        </is>
      </c>
      <c r="I8544" s="3" t="inlineStr">
        <is>
          <t>임야</t>
        </is>
      </c>
      <c r="J8544" s="3" t="inlineStr">
        <is>
          <t>부강면</t>
        </is>
      </c>
    </row>
    <row r="8545">
      <c r="A8545" s="3" t="n">
        <v>2023</v>
      </c>
      <c r="B8545" s="4" t="n">
        <v>13000</v>
      </c>
      <c r="C8545" s="4" t="n">
        <v>8265</v>
      </c>
      <c r="D8545" s="4" t="n">
        <v>2500.1625</v>
      </c>
      <c r="E8545" s="5" t="n">
        <v>5.2</v>
      </c>
      <c r="F8545" s="3" t="inlineStr">
        <is>
          <t>전의면</t>
        </is>
      </c>
      <c r="G8545" s="3" t="inlineStr">
        <is>
          <t>신정리</t>
        </is>
      </c>
      <c r="H8545" s="3" t="inlineStr">
        <is>
          <t>농림지역</t>
        </is>
      </c>
      <c r="I8545" s="3" t="inlineStr">
        <is>
          <t>임야</t>
        </is>
      </c>
      <c r="J8545" s="3" t="inlineStr">
        <is>
          <t>전의면</t>
        </is>
      </c>
    </row>
    <row r="8546">
      <c r="A8546" s="3" t="n">
        <v>2023</v>
      </c>
      <c r="B8546" s="4" t="n">
        <v>340</v>
      </c>
      <c r="C8546" s="4" t="n">
        <v>57</v>
      </c>
      <c r="D8546" s="4" t="n">
        <v>17.2425</v>
      </c>
      <c r="E8546" s="5" t="n">
        <v>19.7</v>
      </c>
      <c r="F8546" s="3" t="inlineStr">
        <is>
          <t>금남면</t>
        </is>
      </c>
      <c r="G8546" s="3" t="inlineStr">
        <is>
          <t>원봉리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금남면</t>
        </is>
      </c>
    </row>
    <row r="8547">
      <c r="A8547" s="3" t="n">
        <v>2023</v>
      </c>
      <c r="B8547" s="4" t="n">
        <v>90000</v>
      </c>
      <c r="C8547" s="4" t="n">
        <v>323.7</v>
      </c>
      <c r="D8547" s="4" t="n">
        <v>97.91924999999999</v>
      </c>
      <c r="E8547" s="5" t="n">
        <v>919.1</v>
      </c>
      <c r="F8547" s="3" t="inlineStr">
        <is>
          <t>도담동</t>
        </is>
      </c>
      <c r="G8547" s="3" t="inlineStr"/>
      <c r="H8547" s="3" t="inlineStr">
        <is>
          <t>제1종전용주거지역</t>
        </is>
      </c>
      <c r="I8547" s="3" t="inlineStr">
        <is>
          <t>대</t>
        </is>
      </c>
      <c r="J8547" s="3" t="inlineStr">
        <is>
          <t>도담동</t>
        </is>
      </c>
    </row>
    <row r="8548">
      <c r="A8548" s="3" t="n">
        <v>2023</v>
      </c>
      <c r="B8548" s="4" t="n">
        <v>46500</v>
      </c>
      <c r="C8548" s="4" t="n">
        <v>615</v>
      </c>
      <c r="D8548" s="4" t="n">
        <v>186.0375</v>
      </c>
      <c r="E8548" s="5" t="n">
        <v>249.9</v>
      </c>
      <c r="F8548" s="3" t="inlineStr">
        <is>
          <t>연기면</t>
        </is>
      </c>
      <c r="G8548" s="3" t="inlineStr">
        <is>
          <t>눌왕리</t>
        </is>
      </c>
      <c r="H8548" s="3" t="inlineStr">
        <is>
          <t>계획관리지역</t>
        </is>
      </c>
      <c r="I8548" s="3" t="inlineStr">
        <is>
          <t>대</t>
        </is>
      </c>
      <c r="J8548" s="3" t="inlineStr">
        <is>
          <t>연기면</t>
        </is>
      </c>
    </row>
    <row r="8549">
      <c r="A8549" s="3" t="n">
        <v>2023</v>
      </c>
      <c r="B8549" s="4" t="n">
        <v>1200</v>
      </c>
      <c r="C8549" s="4" t="n">
        <v>200</v>
      </c>
      <c r="D8549" s="4" t="n">
        <v>60.5</v>
      </c>
      <c r="E8549" s="5" t="n">
        <v>19.8</v>
      </c>
      <c r="F8549" s="3" t="inlineStr">
        <is>
          <t>금남면</t>
        </is>
      </c>
      <c r="G8549" s="3" t="inlineStr">
        <is>
          <t>황용리</t>
        </is>
      </c>
      <c r="H8549" s="3" t="inlineStr">
        <is>
          <t>자연녹지지역</t>
        </is>
      </c>
      <c r="I8549" s="3" t="inlineStr">
        <is>
          <t>임야</t>
        </is>
      </c>
      <c r="J8549" s="3" t="inlineStr">
        <is>
          <t>금남면</t>
        </is>
      </c>
    </row>
    <row r="8550">
      <c r="A8550" s="3" t="n">
        <v>2023</v>
      </c>
      <c r="B8550" s="4" t="n">
        <v>7613</v>
      </c>
      <c r="C8550" s="4" t="n">
        <v>219</v>
      </c>
      <c r="D8550" s="4" t="n">
        <v>66.2475</v>
      </c>
      <c r="E8550" s="5" t="n">
        <v>114.9</v>
      </c>
      <c r="F8550" s="3" t="inlineStr">
        <is>
          <t>연기면</t>
        </is>
      </c>
      <c r="G8550" s="3" t="inlineStr">
        <is>
          <t>눌왕리</t>
        </is>
      </c>
      <c r="H8550" s="3" t="inlineStr">
        <is>
          <t>계획관리지역</t>
        </is>
      </c>
      <c r="I8550" s="3" t="inlineStr">
        <is>
          <t>전</t>
        </is>
      </c>
      <c r="J8550" s="3" t="inlineStr">
        <is>
          <t>연기면</t>
        </is>
      </c>
    </row>
    <row r="8551">
      <c r="A8551" s="3" t="n">
        <v>2022</v>
      </c>
      <c r="B8551" s="4" t="n">
        <v>2700</v>
      </c>
      <c r="C8551" s="4" t="n">
        <v>157</v>
      </c>
      <c r="D8551" s="4" t="n">
        <v>47.4925</v>
      </c>
      <c r="E8551" s="5" t="n">
        <v>56.9</v>
      </c>
      <c r="F8551" s="3" t="inlineStr">
        <is>
          <t>부강면</t>
        </is>
      </c>
      <c r="G8551" s="3" t="inlineStr">
        <is>
          <t>등곡리</t>
        </is>
      </c>
      <c r="H8551" s="3" t="inlineStr">
        <is>
          <t>계획관리지역</t>
        </is>
      </c>
      <c r="I8551" s="3" t="inlineStr">
        <is>
          <t>전</t>
        </is>
      </c>
      <c r="J8551" s="3" t="inlineStr">
        <is>
          <t>부강면</t>
        </is>
      </c>
    </row>
    <row r="8552">
      <c r="A8552" s="3" t="n">
        <v>2022</v>
      </c>
      <c r="B8552" s="4" t="n">
        <v>300</v>
      </c>
      <c r="C8552" s="4" t="n">
        <v>26</v>
      </c>
      <c r="D8552" s="4" t="n">
        <v>7.865</v>
      </c>
      <c r="E8552" s="5" t="n">
        <v>38.1</v>
      </c>
      <c r="F8552" s="3" t="inlineStr">
        <is>
          <t>부강면</t>
        </is>
      </c>
      <c r="G8552" s="3" t="inlineStr">
        <is>
          <t>등곡리</t>
        </is>
      </c>
      <c r="H8552" s="3" t="inlineStr">
        <is>
          <t>계획관리지역</t>
        </is>
      </c>
      <c r="I8552" s="3" t="inlineStr">
        <is>
          <t>전</t>
        </is>
      </c>
      <c r="J8552" s="3" t="inlineStr">
        <is>
          <t>부강면</t>
        </is>
      </c>
    </row>
    <row r="8553">
      <c r="A8553" s="3" t="n">
        <v>2022</v>
      </c>
      <c r="B8553" s="4" t="n">
        <v>42336</v>
      </c>
      <c r="C8553" s="4" t="n">
        <v>583</v>
      </c>
      <c r="D8553" s="4" t="n">
        <v>176.3575</v>
      </c>
      <c r="E8553" s="5" t="n">
        <v>240.1</v>
      </c>
      <c r="F8553" s="3" t="inlineStr">
        <is>
          <t>연기면</t>
        </is>
      </c>
      <c r="G8553" s="3" t="inlineStr">
        <is>
          <t>눌왕리</t>
        </is>
      </c>
      <c r="H8553" s="3" t="inlineStr">
        <is>
          <t>보전관리지역</t>
        </is>
      </c>
      <c r="I8553" s="3" t="inlineStr">
        <is>
          <t>대</t>
        </is>
      </c>
      <c r="J8553" s="3" t="inlineStr">
        <is>
          <t>연기면</t>
        </is>
      </c>
    </row>
    <row r="8554">
      <c r="A8554" s="3" t="n">
        <v>2022</v>
      </c>
      <c r="B8554" s="4" t="n">
        <v>5500</v>
      </c>
      <c r="C8554" s="4" t="n">
        <v>133</v>
      </c>
      <c r="D8554" s="4" t="n">
        <v>40.2325</v>
      </c>
      <c r="E8554" s="5" t="n">
        <v>136.7</v>
      </c>
      <c r="F8554" s="3" t="inlineStr">
        <is>
          <t>연동면</t>
        </is>
      </c>
      <c r="G8554" s="3" t="inlineStr">
        <is>
          <t>응암리</t>
        </is>
      </c>
      <c r="H8554" s="3" t="inlineStr">
        <is>
          <t>계획관리지역</t>
        </is>
      </c>
      <c r="I8554" s="3" t="inlineStr">
        <is>
          <t>답</t>
        </is>
      </c>
      <c r="J8554" s="3" t="inlineStr">
        <is>
          <t>연동면</t>
        </is>
      </c>
    </row>
    <row r="8555">
      <c r="A8555" s="3" t="n">
        <v>2022</v>
      </c>
      <c r="B8555" s="4" t="n">
        <v>15400</v>
      </c>
      <c r="C8555" s="4" t="n">
        <v>533</v>
      </c>
      <c r="D8555" s="4" t="n">
        <v>161.2325</v>
      </c>
      <c r="E8555" s="5" t="n">
        <v>95.5</v>
      </c>
      <c r="F8555" s="3" t="inlineStr">
        <is>
          <t>연동면</t>
        </is>
      </c>
      <c r="G8555" s="3" t="inlineStr">
        <is>
          <t>응암리</t>
        </is>
      </c>
      <c r="H8555" s="3" t="inlineStr">
        <is>
          <t>계획관리지역</t>
        </is>
      </c>
      <c r="I8555" s="3" t="inlineStr">
        <is>
          <t>전</t>
        </is>
      </c>
      <c r="J8555" s="3" t="inlineStr">
        <is>
          <t>연동면</t>
        </is>
      </c>
    </row>
    <row r="8556">
      <c r="A8556" s="3" t="n">
        <v>2022</v>
      </c>
      <c r="B8556" s="4" t="n">
        <v>28490</v>
      </c>
      <c r="C8556" s="4" t="n">
        <v>856</v>
      </c>
      <c r="D8556" s="4" t="n">
        <v>258.94</v>
      </c>
      <c r="E8556" s="5" t="n">
        <v>110</v>
      </c>
      <c r="F8556" s="3" t="inlineStr">
        <is>
          <t>부강면</t>
        </is>
      </c>
      <c r="G8556" s="3" t="inlineStr">
        <is>
          <t>노호리</t>
        </is>
      </c>
      <c r="H8556" s="3" t="inlineStr">
        <is>
          <t>계획관리지역</t>
        </is>
      </c>
      <c r="I8556" s="3" t="inlineStr">
        <is>
          <t>답</t>
        </is>
      </c>
      <c r="J8556" s="3" t="inlineStr">
        <is>
          <t>부강면</t>
        </is>
      </c>
    </row>
    <row r="8557">
      <c r="A8557" s="3" t="n">
        <v>2022</v>
      </c>
      <c r="B8557" s="4" t="n">
        <v>11690</v>
      </c>
      <c r="C8557" s="4" t="n">
        <v>466</v>
      </c>
      <c r="D8557" s="4" t="n">
        <v>140.965</v>
      </c>
      <c r="E8557" s="5" t="n">
        <v>82.90000000000001</v>
      </c>
      <c r="F8557" s="3" t="inlineStr">
        <is>
          <t>연동면</t>
        </is>
      </c>
      <c r="G8557" s="3" t="inlineStr">
        <is>
          <t>응암리</t>
        </is>
      </c>
      <c r="H8557" s="3" t="inlineStr">
        <is>
          <t>계획관리지역</t>
        </is>
      </c>
      <c r="I8557" s="3" t="inlineStr">
        <is>
          <t>전</t>
        </is>
      </c>
      <c r="J8557" s="3" t="inlineStr">
        <is>
          <t>연동면</t>
        </is>
      </c>
    </row>
    <row r="8558">
      <c r="A8558" s="3" t="n">
        <v>2022</v>
      </c>
      <c r="B8558" s="4" t="n">
        <v>29000</v>
      </c>
      <c r="C8558" s="4" t="n">
        <v>2040</v>
      </c>
      <c r="D8558" s="4" t="n">
        <v>617.1</v>
      </c>
      <c r="E8558" s="5" t="n">
        <v>47</v>
      </c>
      <c r="F8558" s="3" t="inlineStr">
        <is>
          <t>금남면</t>
        </is>
      </c>
      <c r="G8558" s="3" t="inlineStr">
        <is>
          <t>두만리</t>
        </is>
      </c>
      <c r="H8558" s="3" t="inlineStr">
        <is>
          <t>농림지역</t>
        </is>
      </c>
      <c r="I8558" s="3" t="inlineStr">
        <is>
          <t>답</t>
        </is>
      </c>
      <c r="J8558" s="3" t="inlineStr">
        <is>
          <t>금남면</t>
        </is>
      </c>
    </row>
    <row r="8559">
      <c r="A8559" s="3" t="n">
        <v>2022</v>
      </c>
      <c r="B8559" s="4" t="n">
        <v>42336</v>
      </c>
      <c r="C8559" s="4" t="n">
        <v>583</v>
      </c>
      <c r="D8559" s="4" t="n">
        <v>176.3575</v>
      </c>
      <c r="E8559" s="5" t="n">
        <v>240.1</v>
      </c>
      <c r="F8559" s="3" t="inlineStr">
        <is>
          <t>연기면</t>
        </is>
      </c>
      <c r="G8559" s="3" t="inlineStr">
        <is>
          <t>눌왕리</t>
        </is>
      </c>
      <c r="H8559" s="3" t="inlineStr">
        <is>
          <t>보전관리지역</t>
        </is>
      </c>
      <c r="I8559" s="3" t="inlineStr">
        <is>
          <t>대</t>
        </is>
      </c>
      <c r="J8559" s="3" t="inlineStr">
        <is>
          <t>연기면</t>
        </is>
      </c>
    </row>
    <row r="8560">
      <c r="A8560" s="3" t="n">
        <v>2022</v>
      </c>
      <c r="B8560" s="4" t="n">
        <v>35400</v>
      </c>
      <c r="C8560" s="4" t="n">
        <v>2344</v>
      </c>
      <c r="D8560" s="4" t="n">
        <v>709.0599999999999</v>
      </c>
      <c r="E8560" s="5" t="n">
        <v>49.9</v>
      </c>
      <c r="F8560" s="3" t="inlineStr">
        <is>
          <t>연동면</t>
        </is>
      </c>
      <c r="G8560" s="3" t="inlineStr">
        <is>
          <t>응암리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연동면</t>
        </is>
      </c>
    </row>
    <row r="8561">
      <c r="A8561" s="3" t="n">
        <v>2023</v>
      </c>
      <c r="B8561" s="4" t="n">
        <v>11680</v>
      </c>
      <c r="C8561" s="4" t="n">
        <v>486</v>
      </c>
      <c r="D8561" s="4" t="n">
        <v>147.015</v>
      </c>
      <c r="E8561" s="5" t="n">
        <v>79.40000000000001</v>
      </c>
      <c r="F8561" s="3" t="inlineStr">
        <is>
          <t>남이면</t>
        </is>
      </c>
      <c r="G8561" s="3" t="inlineStr">
        <is>
          <t>구암리</t>
        </is>
      </c>
      <c r="H8561" s="3" t="inlineStr">
        <is>
          <t>자연녹지지역</t>
        </is>
      </c>
      <c r="I8561" s="3" t="inlineStr">
        <is>
          <t>답</t>
        </is>
      </c>
      <c r="J8561" s="3" t="inlineStr">
        <is>
          <t>남이면</t>
        </is>
      </c>
    </row>
    <row r="8562">
      <c r="A8562" s="3" t="n">
        <v>2023</v>
      </c>
      <c r="B8562" s="4" t="n">
        <v>700</v>
      </c>
      <c r="C8562" s="4" t="n">
        <v>32.3</v>
      </c>
      <c r="D8562" s="4" t="n">
        <v>9.77075</v>
      </c>
      <c r="E8562" s="5" t="n">
        <v>71.59999999999999</v>
      </c>
      <c r="F8562" s="3" t="inlineStr">
        <is>
          <t>남이면</t>
        </is>
      </c>
      <c r="G8562" s="3" t="inlineStr">
        <is>
          <t>구암리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남이면</t>
        </is>
      </c>
    </row>
    <row r="8563">
      <c r="A8563" s="3" t="n">
        <v>2023</v>
      </c>
      <c r="B8563" s="4" t="n">
        <v>4805</v>
      </c>
      <c r="C8563" s="4" t="n">
        <v>143</v>
      </c>
      <c r="D8563" s="4" t="n">
        <v>43.2575</v>
      </c>
      <c r="E8563" s="5" t="n">
        <v>111.1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2023</v>
      </c>
      <c r="B8564" s="4" t="n">
        <v>2305</v>
      </c>
      <c r="C8564" s="4" t="n">
        <v>67</v>
      </c>
      <c r="D8564" s="4" t="n">
        <v>20.2675</v>
      </c>
      <c r="E8564" s="5" t="n">
        <v>113.7</v>
      </c>
      <c r="F8564" s="3" t="inlineStr">
        <is>
          <t>현도면</t>
        </is>
      </c>
      <c r="G8564" s="3" t="inlineStr">
        <is>
          <t>죽암리</t>
        </is>
      </c>
      <c r="H8564" s="3" t="inlineStr">
        <is>
          <t>계획관리지역</t>
        </is>
      </c>
      <c r="I8564" s="3" t="inlineStr">
        <is>
          <t>공장용지</t>
        </is>
      </c>
      <c r="J8564" s="3" t="inlineStr">
        <is>
          <t>현도면</t>
        </is>
      </c>
    </row>
    <row r="8565">
      <c r="A8565" s="3" t="n">
        <v>2023</v>
      </c>
      <c r="B8565" s="4" t="n">
        <v>73986</v>
      </c>
      <c r="C8565" s="4" t="n">
        <v>3524</v>
      </c>
      <c r="D8565" s="4" t="n">
        <v>1066.01</v>
      </c>
      <c r="E8565" s="5" t="n">
        <v>69.40000000000001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전</t>
        </is>
      </c>
      <c r="J8565" s="3" t="inlineStr">
        <is>
          <t>남이면</t>
        </is>
      </c>
    </row>
    <row r="8566">
      <c r="A8566" s="3" t="n">
        <v>2023</v>
      </c>
      <c r="B8566" s="4" t="n">
        <v>4724</v>
      </c>
      <c r="C8566" s="4" t="n">
        <v>225</v>
      </c>
      <c r="D8566" s="4" t="n">
        <v>68.0625</v>
      </c>
      <c r="E8566" s="5" t="n">
        <v>69.40000000000001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2023</v>
      </c>
      <c r="B8567" s="4" t="n">
        <v>20160</v>
      </c>
      <c r="C8567" s="4" t="n">
        <v>1388</v>
      </c>
      <c r="D8567" s="4" t="n">
        <v>419.87</v>
      </c>
      <c r="E8567" s="5" t="n">
        <v>48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임야</t>
        </is>
      </c>
      <c r="J8567" s="3" t="inlineStr">
        <is>
          <t>남이면</t>
        </is>
      </c>
    </row>
    <row r="8568">
      <c r="A8568" s="3" t="n">
        <v>2023</v>
      </c>
      <c r="B8568" s="4" t="n">
        <v>1131</v>
      </c>
      <c r="C8568" s="4" t="n">
        <v>298</v>
      </c>
      <c r="D8568" s="4" t="n">
        <v>90.145</v>
      </c>
      <c r="E8568" s="5" t="n">
        <v>12.5</v>
      </c>
      <c r="F8568" s="3" t="inlineStr">
        <is>
          <t>남이면</t>
        </is>
      </c>
      <c r="G8568" s="3" t="inlineStr">
        <is>
          <t>석판리</t>
        </is>
      </c>
      <c r="H8568" s="3" t="inlineStr">
        <is>
          <t>보전녹지지역</t>
        </is>
      </c>
      <c r="I8568" s="3" t="inlineStr">
        <is>
          <t>임야</t>
        </is>
      </c>
      <c r="J8568" s="3" t="inlineStr">
        <is>
          <t>남이면</t>
        </is>
      </c>
    </row>
    <row r="8569">
      <c r="A8569" s="3" t="n">
        <v>2023</v>
      </c>
      <c r="B8569" s="4" t="n">
        <v>3000</v>
      </c>
      <c r="C8569" s="4" t="n">
        <v>660</v>
      </c>
      <c r="D8569" s="4" t="n">
        <v>199.65</v>
      </c>
      <c r="E8569" s="5" t="n">
        <v>15</v>
      </c>
      <c r="F8569" s="3" t="inlineStr">
        <is>
          <t>현도면</t>
        </is>
      </c>
      <c r="G8569" s="3" t="inlineStr">
        <is>
          <t>선동리</t>
        </is>
      </c>
      <c r="H8569" s="3" t="inlineStr">
        <is>
          <t>자연녹지지역</t>
        </is>
      </c>
      <c r="I8569" s="3" t="inlineStr">
        <is>
          <t>임야</t>
        </is>
      </c>
      <c r="J8569" s="3" t="inlineStr">
        <is>
          <t>현도면</t>
        </is>
      </c>
    </row>
    <row r="8570">
      <c r="A8570" s="3" t="n">
        <v>2023</v>
      </c>
      <c r="B8570" s="4" t="n">
        <v>1114</v>
      </c>
      <c r="C8570" s="4" t="n">
        <v>62</v>
      </c>
      <c r="D8570" s="4" t="n">
        <v>18.755</v>
      </c>
      <c r="E8570" s="5" t="n">
        <v>59.4</v>
      </c>
      <c r="F8570" s="3" t="inlineStr">
        <is>
          <t>남이면</t>
        </is>
      </c>
      <c r="G8570" s="3" t="inlineStr">
        <is>
          <t>양촌리</t>
        </is>
      </c>
      <c r="H8570" s="3" t="inlineStr">
        <is>
          <t>자연녹지지역</t>
        </is>
      </c>
      <c r="I8570" s="3" t="inlineStr">
        <is>
          <t>전</t>
        </is>
      </c>
      <c r="J8570" s="3" t="inlineStr">
        <is>
          <t>남이면</t>
        </is>
      </c>
    </row>
    <row r="8571">
      <c r="A8571" s="3" t="n">
        <v>2023</v>
      </c>
      <c r="B8571" s="4" t="n">
        <v>4386</v>
      </c>
      <c r="C8571" s="4" t="n">
        <v>244</v>
      </c>
      <c r="D8571" s="4" t="n">
        <v>73.81</v>
      </c>
      <c r="E8571" s="5" t="n">
        <v>59.4</v>
      </c>
      <c r="F8571" s="3" t="inlineStr">
        <is>
          <t>남이면</t>
        </is>
      </c>
      <c r="G8571" s="3" t="inlineStr">
        <is>
          <t>양촌리</t>
        </is>
      </c>
      <c r="H8571" s="3" t="inlineStr">
        <is>
          <t>자연녹지지역</t>
        </is>
      </c>
      <c r="I8571" s="3" t="inlineStr">
        <is>
          <t>전</t>
        </is>
      </c>
      <c r="J8571" s="3" t="inlineStr">
        <is>
          <t>남이면</t>
        </is>
      </c>
    </row>
    <row r="8572">
      <c r="A8572" s="3" t="n">
        <v>2023</v>
      </c>
      <c r="B8572" s="4" t="n">
        <v>67000</v>
      </c>
      <c r="C8572" s="4" t="n">
        <v>26916</v>
      </c>
      <c r="D8572" s="4" t="n">
        <v>8142.09</v>
      </c>
      <c r="E8572" s="5" t="n">
        <v>8.199999999999999</v>
      </c>
      <c r="F8572" s="3" t="inlineStr">
        <is>
          <t>남이면</t>
        </is>
      </c>
      <c r="G8572" s="3" t="inlineStr">
        <is>
          <t>석실리</t>
        </is>
      </c>
      <c r="H8572" s="3" t="inlineStr">
        <is>
          <t>보전녹지지역</t>
        </is>
      </c>
      <c r="I8572" s="3" t="inlineStr">
        <is>
          <t>임야</t>
        </is>
      </c>
      <c r="J8572" s="3" t="inlineStr">
        <is>
          <t>남이면</t>
        </is>
      </c>
    </row>
    <row r="8573">
      <c r="A8573" s="3" t="n">
        <v>2023</v>
      </c>
      <c r="B8573" s="4" t="n">
        <v>6473</v>
      </c>
      <c r="C8573" s="4" t="n">
        <v>899</v>
      </c>
      <c r="D8573" s="4" t="n">
        <v>271.9475</v>
      </c>
      <c r="E8573" s="5" t="n">
        <v>23.8</v>
      </c>
      <c r="F8573" s="3" t="inlineStr">
        <is>
          <t>남이면</t>
        </is>
      </c>
      <c r="G8573" s="3" t="inlineStr">
        <is>
          <t>척산리</t>
        </is>
      </c>
      <c r="H8573" s="3" t="inlineStr">
        <is>
          <t>보전관리지역</t>
        </is>
      </c>
      <c r="I8573" s="3" t="inlineStr">
        <is>
          <t>잡종지</t>
        </is>
      </c>
      <c r="J8573" s="3" t="inlineStr">
        <is>
          <t>남이면</t>
        </is>
      </c>
    </row>
    <row r="8574">
      <c r="A8574" s="3" t="n">
        <v>2022</v>
      </c>
      <c r="B8574" s="4" t="n">
        <v>45000</v>
      </c>
      <c r="C8574" s="4" t="n">
        <v>249.8</v>
      </c>
      <c r="D8574" s="4" t="n">
        <v>75.5645</v>
      </c>
      <c r="E8574" s="5" t="n">
        <v>595.5</v>
      </c>
      <c r="F8574" s="3" t="inlineStr">
        <is>
          <t>오송읍</t>
        </is>
      </c>
      <c r="G8574" s="3" t="inlineStr">
        <is>
          <t>봉산리</t>
        </is>
      </c>
      <c r="H8574" s="3" t="inlineStr">
        <is>
          <t>제1종일반주거지역</t>
        </is>
      </c>
      <c r="I8574" s="3" t="inlineStr">
        <is>
          <t>대</t>
        </is>
      </c>
      <c r="J8574" s="3" t="inlineStr">
        <is>
          <t>오송읍</t>
        </is>
      </c>
    </row>
    <row r="8575">
      <c r="A8575" s="3" t="n">
        <v>2022</v>
      </c>
      <c r="B8575" s="4" t="n">
        <v>20700</v>
      </c>
      <c r="C8575" s="4" t="n">
        <v>1368</v>
      </c>
      <c r="D8575" s="4" t="n">
        <v>413.82</v>
      </c>
      <c r="E8575" s="5" t="n">
        <v>50</v>
      </c>
      <c r="F8575" s="3" t="inlineStr">
        <is>
          <t>강내면</t>
        </is>
      </c>
      <c r="G8575" s="3" t="inlineStr">
        <is>
          <t>탑연리</t>
        </is>
      </c>
      <c r="H8575" s="3" t="inlineStr">
        <is>
          <t>생산녹지지역</t>
        </is>
      </c>
      <c r="I8575" s="3" t="inlineStr">
        <is>
          <t>답</t>
        </is>
      </c>
      <c r="J8575" s="3" t="inlineStr">
        <is>
          <t>강내면</t>
        </is>
      </c>
    </row>
    <row r="8576">
      <c r="A8576" s="3" t="n">
        <v>2022</v>
      </c>
      <c r="B8576" s="4" t="n">
        <v>50000</v>
      </c>
      <c r="C8576" s="4" t="n">
        <v>4215</v>
      </c>
      <c r="D8576" s="4" t="n">
        <v>1275.0375</v>
      </c>
      <c r="E8576" s="5" t="n">
        <v>39.2</v>
      </c>
      <c r="F8576" s="3" t="inlineStr">
        <is>
          <t>오송읍</t>
        </is>
      </c>
      <c r="G8576" s="3" t="inlineStr">
        <is>
          <t>공북리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2022</v>
      </c>
      <c r="B8577" s="4" t="n">
        <v>155000</v>
      </c>
      <c r="C8577" s="4" t="n">
        <v>1088</v>
      </c>
      <c r="D8577" s="4" t="n">
        <v>329.12</v>
      </c>
      <c r="E8577" s="5" t="n">
        <v>471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준공업지역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2022</v>
      </c>
      <c r="B8578" s="4" t="n">
        <v>36000</v>
      </c>
      <c r="C8578" s="4" t="n">
        <v>2000</v>
      </c>
      <c r="D8578" s="4" t="n">
        <v>605</v>
      </c>
      <c r="E8578" s="5" t="n">
        <v>59.5</v>
      </c>
      <c r="F8578" s="3" t="inlineStr">
        <is>
          <t>오송읍</t>
        </is>
      </c>
      <c r="G8578" s="3" t="inlineStr">
        <is>
          <t>상정리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2022</v>
      </c>
      <c r="B8579" s="4" t="n">
        <v>2200</v>
      </c>
      <c r="C8579" s="4" t="n">
        <v>268</v>
      </c>
      <c r="D8579" s="4" t="n">
        <v>81.06999999999999</v>
      </c>
      <c r="E8579" s="5" t="n">
        <v>27.1</v>
      </c>
      <c r="F8579" s="3" t="inlineStr">
        <is>
          <t>강내면</t>
        </is>
      </c>
      <c r="G8579" s="3" t="inlineStr">
        <is>
          <t>석화리</t>
        </is>
      </c>
      <c r="H8579" s="3" t="inlineStr">
        <is>
          <t>자연녹지지역</t>
        </is>
      </c>
      <c r="I8579" s="3" t="inlineStr">
        <is>
          <t>전</t>
        </is>
      </c>
      <c r="J8579" s="3" t="inlineStr">
        <is>
          <t>강내면</t>
        </is>
      </c>
    </row>
    <row r="8580">
      <c r="A8580" s="3" t="n">
        <v>2022</v>
      </c>
      <c r="B8580" s="4" t="n">
        <v>36450</v>
      </c>
      <c r="C8580" s="4" t="n">
        <v>4465</v>
      </c>
      <c r="D8580" s="4" t="n">
        <v>1350.6625</v>
      </c>
      <c r="E8580" s="5" t="n">
        <v>27</v>
      </c>
      <c r="F8580" s="3" t="inlineStr">
        <is>
          <t>강내면</t>
        </is>
      </c>
      <c r="G8580" s="3" t="inlineStr">
        <is>
          <t>석화리</t>
        </is>
      </c>
      <c r="H8580" s="3" t="inlineStr">
        <is>
          <t>자연녹지지역</t>
        </is>
      </c>
      <c r="I8580" s="3" t="inlineStr">
        <is>
          <t>임야</t>
        </is>
      </c>
      <c r="J8580" s="3" t="inlineStr">
        <is>
          <t>강내면</t>
        </is>
      </c>
    </row>
    <row r="8581">
      <c r="A8581" s="3" t="n">
        <v>2022</v>
      </c>
      <c r="B8581" s="4" t="n">
        <v>23100</v>
      </c>
      <c r="C8581" s="4" t="n">
        <v>567</v>
      </c>
      <c r="D8581" s="4" t="n">
        <v>171.5175</v>
      </c>
      <c r="E8581" s="5" t="n">
        <v>134.7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2024</v>
      </c>
      <c r="B8582" s="4" t="n">
        <v>23350</v>
      </c>
      <c r="C8582" s="4" t="n">
        <v>1838</v>
      </c>
      <c r="D8582" s="4" t="n">
        <v>555.995</v>
      </c>
      <c r="E8582" s="5" t="n">
        <v>42</v>
      </c>
      <c r="F8582" s="3" t="inlineStr">
        <is>
          <t>오송읍</t>
        </is>
      </c>
      <c r="G8582" s="3" t="inlineStr">
        <is>
          <t>상봉리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오송읍</t>
        </is>
      </c>
    </row>
    <row r="8583">
      <c r="A8583" s="3" t="n">
        <v>2024</v>
      </c>
      <c r="B8583" s="4" t="n">
        <v>5373</v>
      </c>
      <c r="C8583" s="4" t="n">
        <v>162</v>
      </c>
      <c r="D8583" s="4" t="n">
        <v>49.005</v>
      </c>
      <c r="E8583" s="5" t="n">
        <v>109.6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대</t>
        </is>
      </c>
      <c r="J8583" s="3" t="inlineStr">
        <is>
          <t>강내면</t>
        </is>
      </c>
    </row>
    <row r="8584">
      <c r="A8584" s="3" t="n">
        <v>2024</v>
      </c>
      <c r="B8584" s="4" t="n">
        <v>662</v>
      </c>
      <c r="C8584" s="4" t="n">
        <v>20</v>
      </c>
      <c r="D8584" s="4" t="n">
        <v>6.05</v>
      </c>
      <c r="E8584" s="5" t="n">
        <v>109.4</v>
      </c>
      <c r="F8584" s="3" t="inlineStr">
        <is>
          <t>강내면</t>
        </is>
      </c>
      <c r="G8584" s="3" t="inlineStr">
        <is>
          <t>저산리</t>
        </is>
      </c>
      <c r="H8584" s="3" t="inlineStr">
        <is>
          <t>계획관리지역</t>
        </is>
      </c>
      <c r="I8584" s="3" t="inlineStr">
        <is>
          <t>대</t>
        </is>
      </c>
      <c r="J8584" s="3" t="inlineStr">
        <is>
          <t>강내면</t>
        </is>
      </c>
    </row>
    <row r="8585">
      <c r="A8585" s="3" t="n">
        <v>2024</v>
      </c>
      <c r="B8585" s="4" t="n">
        <v>133</v>
      </c>
      <c r="C8585" s="4" t="n">
        <v>4</v>
      </c>
      <c r="D8585" s="4" t="n">
        <v>1.21</v>
      </c>
      <c r="E8585" s="5" t="n">
        <v>109.9</v>
      </c>
      <c r="F8585" s="3" t="inlineStr">
        <is>
          <t>강내면</t>
        </is>
      </c>
      <c r="G8585" s="3" t="inlineStr">
        <is>
          <t>저산리</t>
        </is>
      </c>
      <c r="H8585" s="3" t="inlineStr">
        <is>
          <t>계획관리지역</t>
        </is>
      </c>
      <c r="I8585" s="3" t="inlineStr">
        <is>
          <t>대</t>
        </is>
      </c>
      <c r="J8585" s="3" t="inlineStr">
        <is>
          <t>강내면</t>
        </is>
      </c>
    </row>
    <row r="8586">
      <c r="A8586" s="3" t="n">
        <v>2024</v>
      </c>
      <c r="B8586" s="4" t="n">
        <v>9344</v>
      </c>
      <c r="C8586" s="4" t="n">
        <v>282</v>
      </c>
      <c r="D8586" s="4" t="n">
        <v>85.30499999999999</v>
      </c>
      <c r="E8586" s="5" t="n">
        <v>109.5</v>
      </c>
      <c r="F8586" s="3" t="inlineStr">
        <is>
          <t>강내면</t>
        </is>
      </c>
      <c r="G8586" s="3" t="inlineStr">
        <is>
          <t>저산리</t>
        </is>
      </c>
      <c r="H8586" s="3" t="inlineStr">
        <is>
          <t>계획관리지역</t>
        </is>
      </c>
      <c r="I8586" s="3" t="inlineStr">
        <is>
          <t>대</t>
        </is>
      </c>
      <c r="J8586" s="3" t="inlineStr">
        <is>
          <t>강내면</t>
        </is>
      </c>
    </row>
    <row r="8587">
      <c r="A8587" s="3" t="n">
        <v>2024</v>
      </c>
      <c r="B8587" s="4" t="n">
        <v>3745</v>
      </c>
      <c r="C8587" s="4" t="n">
        <v>113</v>
      </c>
      <c r="D8587" s="4" t="n">
        <v>34.1825</v>
      </c>
      <c r="E8587" s="5" t="n">
        <v>109.6</v>
      </c>
      <c r="F8587" s="3" t="inlineStr">
        <is>
          <t>강내면</t>
        </is>
      </c>
      <c r="G8587" s="3" t="inlineStr">
        <is>
          <t>저산리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9000</v>
      </c>
      <c r="C8588" s="4" t="n">
        <v>545</v>
      </c>
      <c r="D8588" s="4" t="n">
        <v>164.8625</v>
      </c>
      <c r="E8588" s="5" t="n">
        <v>54.6</v>
      </c>
      <c r="F8588" s="3" t="inlineStr">
        <is>
          <t>오송읍</t>
        </is>
      </c>
      <c r="G8588" s="3" t="inlineStr">
        <is>
          <t>공북리</t>
        </is>
      </c>
      <c r="H8588" s="3" t="inlineStr">
        <is>
          <t>농림지역</t>
        </is>
      </c>
      <c r="I8588" s="3" t="inlineStr">
        <is>
          <t>답</t>
        </is>
      </c>
      <c r="J8588" s="3" t="inlineStr">
        <is>
          <t>오송읍</t>
        </is>
      </c>
    </row>
    <row r="8589">
      <c r="A8589" s="3" t="n">
        <v>2024</v>
      </c>
      <c r="B8589" s="4" t="n">
        <v>466736</v>
      </c>
      <c r="C8589" s="4" t="n">
        <v>55116</v>
      </c>
      <c r="D8589" s="4" t="n">
        <v>16672.59</v>
      </c>
      <c r="E8589" s="5" t="n">
        <v>28</v>
      </c>
      <c r="F8589" s="3" t="inlineStr">
        <is>
          <t>오송읍</t>
        </is>
      </c>
      <c r="G8589" s="3" t="inlineStr">
        <is>
          <t>정중리</t>
        </is>
      </c>
      <c r="H8589" s="3" t="inlineStr">
        <is>
          <t>농림지역</t>
        </is>
      </c>
      <c r="I8589" s="3" t="inlineStr">
        <is>
          <t>전</t>
        </is>
      </c>
      <c r="J8589" s="3" t="inlineStr">
        <is>
          <t>오송읍</t>
        </is>
      </c>
    </row>
    <row r="8590">
      <c r="A8590" s="3" t="n">
        <v>2024</v>
      </c>
      <c r="B8590" s="4" t="n">
        <v>5101</v>
      </c>
      <c r="C8590" s="4" t="n">
        <v>326</v>
      </c>
      <c r="D8590" s="4" t="n">
        <v>98.61499999999999</v>
      </c>
      <c r="E8590" s="5" t="n">
        <v>51.7</v>
      </c>
      <c r="F8590" s="3" t="inlineStr">
        <is>
          <t>오송읍</t>
        </is>
      </c>
      <c r="G8590" s="3" t="inlineStr">
        <is>
          <t>정중리</t>
        </is>
      </c>
      <c r="H8590" s="3" t="inlineStr">
        <is>
          <t>생산관리지역</t>
        </is>
      </c>
      <c r="I8590" s="3" t="inlineStr">
        <is>
          <t>전</t>
        </is>
      </c>
      <c r="J8590" s="3" t="inlineStr">
        <is>
          <t>오송읍</t>
        </is>
      </c>
    </row>
    <row r="8591">
      <c r="A8591" s="3" t="n">
        <v>2024</v>
      </c>
      <c r="B8591" s="4" t="n">
        <v>115380</v>
      </c>
      <c r="C8591" s="4" t="n">
        <v>8022</v>
      </c>
      <c r="D8591" s="4" t="n">
        <v>2426.655</v>
      </c>
      <c r="E8591" s="5" t="n">
        <v>47.5</v>
      </c>
      <c r="F8591" s="3" t="inlineStr">
        <is>
          <t>오송읍</t>
        </is>
      </c>
      <c r="G8591" s="3" t="inlineStr">
        <is>
          <t>정중리</t>
        </is>
      </c>
      <c r="H8591" s="3" t="inlineStr">
        <is>
          <t>생산관리지역</t>
        </is>
      </c>
      <c r="I8591" s="3" t="inlineStr">
        <is>
          <t>답</t>
        </is>
      </c>
      <c r="J8591" s="3" t="inlineStr">
        <is>
          <t>오송읍</t>
        </is>
      </c>
    </row>
    <row r="8592">
      <c r="A8592" s="3" t="n">
        <v>2024</v>
      </c>
      <c r="B8592" s="4" t="n">
        <v>13361</v>
      </c>
      <c r="C8592" s="4" t="n">
        <v>1038</v>
      </c>
      <c r="D8592" s="4" t="n">
        <v>313.995</v>
      </c>
      <c r="E8592" s="5" t="n">
        <v>42.6</v>
      </c>
      <c r="F8592" s="3" t="inlineStr">
        <is>
          <t>오송읍</t>
        </is>
      </c>
      <c r="G8592" s="3" t="inlineStr">
        <is>
          <t>정중리</t>
        </is>
      </c>
      <c r="H8592" s="3" t="inlineStr">
        <is>
          <t>생산관리지역</t>
        </is>
      </c>
      <c r="I8592" s="3" t="inlineStr">
        <is>
          <t>답</t>
        </is>
      </c>
      <c r="J8592" s="3" t="inlineStr">
        <is>
          <t>오송읍</t>
        </is>
      </c>
    </row>
    <row r="8593">
      <c r="A8593" s="3" t="n">
        <v>2024</v>
      </c>
      <c r="B8593" s="4" t="n">
        <v>8069</v>
      </c>
      <c r="C8593" s="4" t="n">
        <v>661</v>
      </c>
      <c r="D8593" s="4" t="n">
        <v>199.9525</v>
      </c>
      <c r="E8593" s="5" t="n">
        <v>40.4</v>
      </c>
      <c r="F8593" s="3" t="inlineStr">
        <is>
          <t>오송읍</t>
        </is>
      </c>
      <c r="G8593" s="3" t="inlineStr">
        <is>
          <t>정중리</t>
        </is>
      </c>
      <c r="H8593" s="3" t="inlineStr">
        <is>
          <t>생산관리지역</t>
        </is>
      </c>
      <c r="I8593" s="3" t="inlineStr">
        <is>
          <t>답</t>
        </is>
      </c>
      <c r="J8593" s="3" t="inlineStr">
        <is>
          <t>오송읍</t>
        </is>
      </c>
    </row>
    <row r="8594">
      <c r="A8594" s="3" t="n">
        <v>2024</v>
      </c>
      <c r="B8594" s="4" t="n">
        <v>86</v>
      </c>
      <c r="C8594" s="4" t="n">
        <v>7</v>
      </c>
      <c r="D8594" s="4" t="n">
        <v>2.1175</v>
      </c>
      <c r="E8594" s="5" t="n">
        <v>40.6</v>
      </c>
      <c r="F8594" s="3" t="inlineStr">
        <is>
          <t>오송읍</t>
        </is>
      </c>
      <c r="G8594" s="3" t="inlineStr">
        <is>
          <t>정중리</t>
        </is>
      </c>
      <c r="H8594" s="3" t="inlineStr">
        <is>
          <t>생산관리지역</t>
        </is>
      </c>
      <c r="I8594" s="3" t="inlineStr">
        <is>
          <t>답</t>
        </is>
      </c>
      <c r="J8594" s="3" t="inlineStr">
        <is>
          <t>오송읍</t>
        </is>
      </c>
    </row>
    <row r="8595">
      <c r="A8595" s="3" t="n">
        <v>2024</v>
      </c>
      <c r="B8595" s="4" t="n">
        <v>9</v>
      </c>
      <c r="C8595" s="4" t="n">
        <v>2</v>
      </c>
      <c r="D8595" s="4" t="n">
        <v>0.605</v>
      </c>
      <c r="E8595" s="5" t="n">
        <v>14.9</v>
      </c>
      <c r="F8595" s="3" t="inlineStr">
        <is>
          <t>오송읍</t>
        </is>
      </c>
      <c r="G8595" s="3" t="inlineStr">
        <is>
          <t>정중리</t>
        </is>
      </c>
      <c r="H8595" s="3" t="inlineStr">
        <is>
          <t>생산관리지역</t>
        </is>
      </c>
      <c r="I8595" s="3" t="inlineStr">
        <is>
          <t>제방</t>
        </is>
      </c>
      <c r="J8595" s="3" t="inlineStr">
        <is>
          <t>오송읍</t>
        </is>
      </c>
    </row>
    <row r="8596">
      <c r="A8596" s="3" t="n">
        <v>2024</v>
      </c>
      <c r="B8596" s="4" t="n">
        <v>189</v>
      </c>
      <c r="C8596" s="4" t="n">
        <v>40</v>
      </c>
      <c r="D8596" s="4" t="n">
        <v>12.1</v>
      </c>
      <c r="E8596" s="5" t="n">
        <v>15.6</v>
      </c>
      <c r="F8596" s="3" t="inlineStr">
        <is>
          <t>오송읍</t>
        </is>
      </c>
      <c r="G8596" s="3" t="inlineStr">
        <is>
          <t>정중리</t>
        </is>
      </c>
      <c r="H8596" s="3" t="inlineStr">
        <is>
          <t>생산관리지역</t>
        </is>
      </c>
      <c r="I8596" s="3" t="inlineStr">
        <is>
          <t>답</t>
        </is>
      </c>
      <c r="J8596" s="3" t="inlineStr">
        <is>
          <t>오송읍</t>
        </is>
      </c>
    </row>
    <row r="8597">
      <c r="A8597" s="3" t="n">
        <v>2024</v>
      </c>
      <c r="B8597" s="4" t="n">
        <v>924</v>
      </c>
      <c r="C8597" s="4" t="n">
        <v>196</v>
      </c>
      <c r="D8597" s="4" t="n">
        <v>59.29</v>
      </c>
      <c r="E8597" s="5" t="n">
        <v>15.6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생산관리지역</t>
        </is>
      </c>
      <c r="I8597" s="3" t="inlineStr">
        <is>
          <t>답</t>
        </is>
      </c>
      <c r="J8597" s="3" t="inlineStr">
        <is>
          <t>오송읍</t>
        </is>
      </c>
    </row>
    <row r="8598">
      <c r="A8598" s="3" t="n">
        <v>2024</v>
      </c>
      <c r="B8598" s="4" t="n">
        <v>4739</v>
      </c>
      <c r="C8598" s="4" t="n">
        <v>411</v>
      </c>
      <c r="D8598" s="4" t="n">
        <v>124.3275</v>
      </c>
      <c r="E8598" s="5" t="n">
        <v>38.1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생산관리지역</t>
        </is>
      </c>
      <c r="I8598" s="3" t="inlineStr">
        <is>
          <t>전</t>
        </is>
      </c>
      <c r="J8598" s="3" t="inlineStr">
        <is>
          <t>오송읍</t>
        </is>
      </c>
    </row>
    <row r="8599">
      <c r="A8599" s="3" t="n">
        <v>2024</v>
      </c>
      <c r="B8599" s="4" t="n">
        <v>427</v>
      </c>
      <c r="C8599" s="4" t="n">
        <v>37</v>
      </c>
      <c r="D8599" s="4" t="n">
        <v>11.1925</v>
      </c>
      <c r="E8599" s="5" t="n">
        <v>38.2</v>
      </c>
      <c r="F8599" s="3" t="inlineStr">
        <is>
          <t>오송읍</t>
        </is>
      </c>
      <c r="G8599" s="3" t="inlineStr">
        <is>
          <t>정중리</t>
        </is>
      </c>
      <c r="H8599" s="3" t="inlineStr">
        <is>
          <t>생산관리지역</t>
        </is>
      </c>
      <c r="I8599" s="3" t="inlineStr">
        <is>
          <t>전</t>
        </is>
      </c>
      <c r="J8599" s="3" t="inlineStr">
        <is>
          <t>오송읍</t>
        </is>
      </c>
    </row>
    <row r="8600">
      <c r="A8600" s="3" t="n">
        <v>2024</v>
      </c>
      <c r="B8600" s="4" t="n">
        <v>2652</v>
      </c>
      <c r="C8600" s="4" t="n">
        <v>230</v>
      </c>
      <c r="D8600" s="4" t="n">
        <v>69.575</v>
      </c>
      <c r="E8600" s="5" t="n">
        <v>38.1</v>
      </c>
      <c r="F8600" s="3" t="inlineStr">
        <is>
          <t>오송읍</t>
        </is>
      </c>
      <c r="G8600" s="3" t="inlineStr">
        <is>
          <t>정중리</t>
        </is>
      </c>
      <c r="H8600" s="3" t="inlineStr">
        <is>
          <t>생산관리지역</t>
        </is>
      </c>
      <c r="I8600" s="3" t="inlineStr">
        <is>
          <t>답</t>
        </is>
      </c>
      <c r="J8600" s="3" t="inlineStr">
        <is>
          <t>오송읍</t>
        </is>
      </c>
    </row>
    <row r="8601">
      <c r="A8601" s="3" t="n">
        <v>2024</v>
      </c>
      <c r="B8601" s="4" t="n">
        <v>484</v>
      </c>
      <c r="C8601" s="4" t="n">
        <v>42</v>
      </c>
      <c r="D8601" s="4" t="n">
        <v>12.705</v>
      </c>
      <c r="E8601" s="5" t="n">
        <v>38.1</v>
      </c>
      <c r="F8601" s="3" t="inlineStr">
        <is>
          <t>오송읍</t>
        </is>
      </c>
      <c r="G8601" s="3" t="inlineStr">
        <is>
          <t>정중리</t>
        </is>
      </c>
      <c r="H8601" s="3" t="inlineStr">
        <is>
          <t>생산관리지역</t>
        </is>
      </c>
      <c r="I8601" s="3" t="inlineStr">
        <is>
          <t>답</t>
        </is>
      </c>
      <c r="J8601" s="3" t="inlineStr">
        <is>
          <t>오송읍</t>
        </is>
      </c>
    </row>
    <row r="8602">
      <c r="A8602" s="3" t="n">
        <v>2024</v>
      </c>
      <c r="B8602" s="4" t="n">
        <v>5233</v>
      </c>
      <c r="C8602" s="4" t="n">
        <v>431</v>
      </c>
      <c r="D8602" s="4" t="n">
        <v>130.3775</v>
      </c>
      <c r="E8602" s="5" t="n">
        <v>40.1</v>
      </c>
      <c r="F8602" s="3" t="inlineStr">
        <is>
          <t>오송읍</t>
        </is>
      </c>
      <c r="G8602" s="3" t="inlineStr">
        <is>
          <t>정중리</t>
        </is>
      </c>
      <c r="H8602" s="3" t="inlineStr">
        <is>
          <t>생산관리지역</t>
        </is>
      </c>
      <c r="I8602" s="3" t="inlineStr">
        <is>
          <t>전</t>
        </is>
      </c>
      <c r="J8602" s="3" t="inlineStr">
        <is>
          <t>오송읍</t>
        </is>
      </c>
    </row>
    <row r="8603">
      <c r="A8603" s="3" t="n">
        <v>2024</v>
      </c>
      <c r="B8603" s="4" t="n">
        <v>2779</v>
      </c>
      <c r="C8603" s="4" t="n">
        <v>241</v>
      </c>
      <c r="D8603" s="4" t="n">
        <v>72.9025</v>
      </c>
      <c r="E8603" s="5" t="n">
        <v>38.1</v>
      </c>
      <c r="F8603" s="3" t="inlineStr">
        <is>
          <t>오송읍</t>
        </is>
      </c>
      <c r="G8603" s="3" t="inlineStr">
        <is>
          <t>정중리</t>
        </is>
      </c>
      <c r="H8603" s="3" t="inlineStr">
        <is>
          <t>생산관리지역</t>
        </is>
      </c>
      <c r="I8603" s="3" t="inlineStr">
        <is>
          <t>전</t>
        </is>
      </c>
      <c r="J8603" s="3" t="inlineStr">
        <is>
          <t>오송읍</t>
        </is>
      </c>
    </row>
    <row r="8604">
      <c r="A8604" s="3" t="n">
        <v>2024</v>
      </c>
      <c r="B8604" s="4" t="n">
        <v>1535</v>
      </c>
      <c r="C8604" s="4" t="n">
        <v>112</v>
      </c>
      <c r="D8604" s="4" t="n">
        <v>33.88</v>
      </c>
      <c r="E8604" s="5" t="n">
        <v>45.3</v>
      </c>
      <c r="F8604" s="3" t="inlineStr">
        <is>
          <t>오송읍</t>
        </is>
      </c>
      <c r="G8604" s="3" t="inlineStr">
        <is>
          <t>정중리</t>
        </is>
      </c>
      <c r="H8604" s="3" t="inlineStr">
        <is>
          <t>생산관리지역</t>
        </is>
      </c>
      <c r="I8604" s="3" t="inlineStr">
        <is>
          <t>임야</t>
        </is>
      </c>
      <c r="J8604" s="3" t="inlineStr">
        <is>
          <t>오송읍</t>
        </is>
      </c>
    </row>
    <row r="8605">
      <c r="A8605" s="3" t="n">
        <v>2024</v>
      </c>
      <c r="B8605" s="4" t="n">
        <v>415</v>
      </c>
      <c r="C8605" s="4" t="n">
        <v>88</v>
      </c>
      <c r="D8605" s="4" t="n">
        <v>26.62</v>
      </c>
      <c r="E8605" s="5" t="n">
        <v>15.6</v>
      </c>
      <c r="F8605" s="3" t="inlineStr">
        <is>
          <t>오송읍</t>
        </is>
      </c>
      <c r="G8605" s="3" t="inlineStr">
        <is>
          <t>정중리</t>
        </is>
      </c>
      <c r="H8605" s="3" t="inlineStr">
        <is>
          <t>생산관리지역</t>
        </is>
      </c>
      <c r="I8605" s="3" t="inlineStr">
        <is>
          <t>구거</t>
        </is>
      </c>
      <c r="J8605" s="3" t="inlineStr">
        <is>
          <t>오송읍</t>
        </is>
      </c>
    </row>
    <row r="8606">
      <c r="A8606" s="3" t="n">
        <v>2024</v>
      </c>
      <c r="B8606" s="4" t="n">
        <v>5495</v>
      </c>
      <c r="C8606" s="4" t="n">
        <v>363</v>
      </c>
      <c r="D8606" s="4" t="n">
        <v>109.8075</v>
      </c>
      <c r="E8606" s="5" t="n">
        <v>50</v>
      </c>
      <c r="F8606" s="3" t="inlineStr">
        <is>
          <t>오송읍</t>
        </is>
      </c>
      <c r="G8606" s="3" t="inlineStr">
        <is>
          <t>정중리</t>
        </is>
      </c>
      <c r="H8606" s="3" t="inlineStr">
        <is>
          <t>생산관리지역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344</v>
      </c>
      <c r="C8607" s="4" t="n">
        <v>73</v>
      </c>
      <c r="D8607" s="4" t="n">
        <v>22.0825</v>
      </c>
      <c r="E8607" s="5" t="n">
        <v>15.6</v>
      </c>
      <c r="F8607" s="3" t="inlineStr">
        <is>
          <t>오송읍</t>
        </is>
      </c>
      <c r="G8607" s="3" t="inlineStr">
        <is>
          <t>정중리</t>
        </is>
      </c>
      <c r="H8607" s="3" t="inlineStr">
        <is>
          <t>생산관리지역</t>
        </is>
      </c>
      <c r="I8607" s="3" t="inlineStr">
        <is>
          <t>제방</t>
        </is>
      </c>
      <c r="J8607" s="3" t="inlineStr">
        <is>
          <t>오송읍</t>
        </is>
      </c>
    </row>
    <row r="8608">
      <c r="A8608" s="3" t="n">
        <v>2024</v>
      </c>
      <c r="B8608" s="4" t="n">
        <v>57</v>
      </c>
      <c r="C8608" s="4" t="n">
        <v>12</v>
      </c>
      <c r="D8608" s="4" t="n">
        <v>3.63</v>
      </c>
      <c r="E8608" s="5" t="n">
        <v>15.7</v>
      </c>
      <c r="F8608" s="3" t="inlineStr">
        <is>
          <t>오송읍</t>
        </is>
      </c>
      <c r="G8608" s="3" t="inlineStr">
        <is>
          <t>정중리</t>
        </is>
      </c>
      <c r="H8608" s="3" t="inlineStr">
        <is>
          <t>생산관리지역</t>
        </is>
      </c>
      <c r="I8608" s="3" t="inlineStr">
        <is>
          <t>제방</t>
        </is>
      </c>
      <c r="J8608" s="3" t="inlineStr">
        <is>
          <t>오송읍</t>
        </is>
      </c>
    </row>
    <row r="8609">
      <c r="A8609" s="3" t="n">
        <v>2024</v>
      </c>
      <c r="B8609" s="4" t="n">
        <v>19705</v>
      </c>
      <c r="C8609" s="4" t="n">
        <v>1370</v>
      </c>
      <c r="D8609" s="4" t="n">
        <v>414.425</v>
      </c>
      <c r="E8609" s="5" t="n">
        <v>47.5</v>
      </c>
      <c r="F8609" s="3" t="inlineStr">
        <is>
          <t>오송읍</t>
        </is>
      </c>
      <c r="G8609" s="3" t="inlineStr">
        <is>
          <t>정중리</t>
        </is>
      </c>
      <c r="H8609" s="3" t="inlineStr">
        <is>
          <t>생산관리지역</t>
        </is>
      </c>
      <c r="I8609" s="3" t="inlineStr">
        <is>
          <t>전</t>
        </is>
      </c>
      <c r="J8609" s="3" t="inlineStr">
        <is>
          <t>오송읍</t>
        </is>
      </c>
    </row>
    <row r="8610">
      <c r="A8610" s="3" t="n">
        <v>2024</v>
      </c>
      <c r="B8610" s="4" t="n">
        <v>62090</v>
      </c>
      <c r="C8610" s="4" t="n">
        <v>3881</v>
      </c>
      <c r="D8610" s="4" t="n">
        <v>1174.0025</v>
      </c>
      <c r="E8610" s="5" t="n">
        <v>52.9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전</t>
        </is>
      </c>
      <c r="J8610" s="3" t="inlineStr">
        <is>
          <t>오송읍</t>
        </is>
      </c>
    </row>
    <row r="8611">
      <c r="A8611" s="3" t="n">
        <v>2024</v>
      </c>
      <c r="B8611" s="4" t="n">
        <v>3674</v>
      </c>
      <c r="C8611" s="4" t="n">
        <v>301</v>
      </c>
      <c r="D8611" s="4" t="n">
        <v>91.05249999999999</v>
      </c>
      <c r="E8611" s="5" t="n">
        <v>40.4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전</t>
        </is>
      </c>
      <c r="J8611" s="3" t="inlineStr">
        <is>
          <t>오송읍</t>
        </is>
      </c>
    </row>
    <row r="8612">
      <c r="A8612" s="3" t="n">
        <v>2024</v>
      </c>
      <c r="B8612" s="4" t="n">
        <v>1892</v>
      </c>
      <c r="C8612" s="4" t="n">
        <v>155</v>
      </c>
      <c r="D8612" s="4" t="n">
        <v>46.8875</v>
      </c>
      <c r="E8612" s="5" t="n">
        <v>40.4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생산관리지역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2024</v>
      </c>
      <c r="B8613" s="4" t="n">
        <v>3855</v>
      </c>
      <c r="C8613" s="4" t="n">
        <v>268</v>
      </c>
      <c r="D8613" s="4" t="n">
        <v>81.06999999999999</v>
      </c>
      <c r="E8613" s="5" t="n">
        <v>47.6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전</t>
        </is>
      </c>
      <c r="J8613" s="3" t="inlineStr">
        <is>
          <t>오송읍</t>
        </is>
      </c>
    </row>
    <row r="8614">
      <c r="A8614" s="3" t="n">
        <v>2024</v>
      </c>
      <c r="B8614" s="4" t="n">
        <v>1537</v>
      </c>
      <c r="C8614" s="4" t="n">
        <v>122</v>
      </c>
      <c r="D8614" s="4" t="n">
        <v>36.905</v>
      </c>
      <c r="E8614" s="5" t="n">
        <v>41.6</v>
      </c>
      <c r="F8614" s="3" t="inlineStr">
        <is>
          <t>오송읍</t>
        </is>
      </c>
      <c r="G8614" s="3" t="inlineStr">
        <is>
          <t>쌍청리</t>
        </is>
      </c>
      <c r="H8614" s="3" t="inlineStr">
        <is>
          <t>농림지역</t>
        </is>
      </c>
      <c r="I8614" s="3" t="inlineStr">
        <is>
          <t>목장용지</t>
        </is>
      </c>
      <c r="J8614" s="3" t="inlineStr">
        <is>
          <t>오송읍</t>
        </is>
      </c>
    </row>
    <row r="8615">
      <c r="A8615" s="3" t="n">
        <v>2024</v>
      </c>
      <c r="B8615" s="4" t="n">
        <v>52000</v>
      </c>
      <c r="C8615" s="4" t="n">
        <v>1646</v>
      </c>
      <c r="D8615" s="4" t="n">
        <v>497.915</v>
      </c>
      <c r="E8615" s="5" t="n">
        <v>104.4</v>
      </c>
      <c r="F8615" s="3" t="inlineStr">
        <is>
          <t>강내면</t>
        </is>
      </c>
      <c r="G8615" s="3" t="inlineStr">
        <is>
          <t>사인리</t>
        </is>
      </c>
      <c r="H8615" s="3" t="inlineStr">
        <is>
          <t>생산녹지지역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21360</v>
      </c>
      <c r="C8616" s="4" t="n">
        <v>1177</v>
      </c>
      <c r="D8616" s="4" t="n">
        <v>356.0425</v>
      </c>
      <c r="E8616" s="5" t="n">
        <v>60</v>
      </c>
      <c r="F8616" s="3" t="inlineStr">
        <is>
          <t>강내면</t>
        </is>
      </c>
      <c r="G8616" s="3" t="inlineStr">
        <is>
          <t>다락리</t>
        </is>
      </c>
      <c r="H8616" s="3" t="inlineStr">
        <is>
          <t>농림지역</t>
        </is>
      </c>
      <c r="I8616" s="3" t="inlineStr">
        <is>
          <t>전</t>
        </is>
      </c>
      <c r="J8616" s="3" t="inlineStr">
        <is>
          <t>강내면</t>
        </is>
      </c>
    </row>
    <row r="8617">
      <c r="A8617" s="3" t="n">
        <v>2023</v>
      </c>
      <c r="B8617" s="4" t="n">
        <v>382400</v>
      </c>
      <c r="C8617" s="4" t="n">
        <v>872</v>
      </c>
      <c r="D8617" s="4" t="n">
        <v>263.78</v>
      </c>
      <c r="E8617" s="5" t="n">
        <v>1449.7</v>
      </c>
      <c r="F8617" s="3" t="inlineStr">
        <is>
          <t>부강면</t>
        </is>
      </c>
      <c r="G8617" s="3" t="inlineStr">
        <is>
          <t>부강리</t>
        </is>
      </c>
      <c r="H8617" s="3" t="inlineStr">
        <is>
          <t>일반상업지역</t>
        </is>
      </c>
      <c r="I8617" s="3" t="inlineStr">
        <is>
          <t>대</t>
        </is>
      </c>
      <c r="J8617" s="3" t="inlineStr">
        <is>
          <t>부강면</t>
        </is>
      </c>
    </row>
    <row r="8618">
      <c r="A8618" s="3" t="n">
        <v>2023</v>
      </c>
      <c r="B8618" s="4" t="n">
        <v>115000</v>
      </c>
      <c r="C8618" s="4" t="n">
        <v>293</v>
      </c>
      <c r="D8618" s="4" t="n">
        <v>88.63249999999999</v>
      </c>
      <c r="E8618" s="5" t="n">
        <v>1297.5</v>
      </c>
      <c r="F8618" s="3" t="inlineStr">
        <is>
          <t>부강면</t>
        </is>
      </c>
      <c r="G8618" s="3" t="inlineStr">
        <is>
          <t>부강리</t>
        </is>
      </c>
      <c r="H8618" s="3" t="inlineStr">
        <is>
          <t>일반상업지역</t>
        </is>
      </c>
      <c r="I8618" s="3" t="inlineStr">
        <is>
          <t>답</t>
        </is>
      </c>
      <c r="J8618" s="3" t="inlineStr">
        <is>
          <t>부강면</t>
        </is>
      </c>
    </row>
    <row r="8619">
      <c r="A8619" s="3" t="n">
        <v>2023</v>
      </c>
      <c r="B8619" s="4" t="n">
        <v>61500</v>
      </c>
      <c r="C8619" s="4" t="n">
        <v>292</v>
      </c>
      <c r="D8619" s="4" t="n">
        <v>88.33</v>
      </c>
      <c r="E8619" s="5" t="n">
        <v>696.3</v>
      </c>
      <c r="F8619" s="3" t="inlineStr">
        <is>
          <t>부강면</t>
        </is>
      </c>
      <c r="G8619" s="3" t="inlineStr">
        <is>
          <t>부강리</t>
        </is>
      </c>
      <c r="H8619" s="3" t="inlineStr">
        <is>
          <t>일반상업지역</t>
        </is>
      </c>
      <c r="I8619" s="3" t="inlineStr">
        <is>
          <t>대</t>
        </is>
      </c>
      <c r="J8619" s="3" t="inlineStr">
        <is>
          <t>부강면</t>
        </is>
      </c>
    </row>
    <row r="8620">
      <c r="A8620" s="3" t="n">
        <v>2023</v>
      </c>
      <c r="B8620" s="4" t="n">
        <v>15000</v>
      </c>
      <c r="C8620" s="4" t="n">
        <v>308</v>
      </c>
      <c r="D8620" s="4" t="n">
        <v>93.17</v>
      </c>
      <c r="E8620" s="5" t="n">
        <v>161</v>
      </c>
      <c r="F8620" s="3" t="inlineStr">
        <is>
          <t>금남면</t>
        </is>
      </c>
      <c r="G8620" s="3" t="inlineStr">
        <is>
          <t>봉암리</t>
        </is>
      </c>
      <c r="H8620" s="3" t="inlineStr">
        <is>
          <t>계획관리지역</t>
        </is>
      </c>
      <c r="I8620" s="3" t="inlineStr">
        <is>
          <t>대</t>
        </is>
      </c>
      <c r="J8620" s="3" t="inlineStr">
        <is>
          <t>금남면</t>
        </is>
      </c>
    </row>
    <row r="8621">
      <c r="A8621" s="3" t="n">
        <v>2023</v>
      </c>
      <c r="B8621" s="4" t="n">
        <v>2700</v>
      </c>
      <c r="C8621" s="4" t="n">
        <v>96</v>
      </c>
      <c r="D8621" s="4" t="n">
        <v>29.04</v>
      </c>
      <c r="E8621" s="5" t="n">
        <v>93</v>
      </c>
      <c r="F8621" s="3" t="inlineStr">
        <is>
          <t>연동면</t>
        </is>
      </c>
      <c r="G8621" s="3" t="inlineStr">
        <is>
          <t>송용리</t>
        </is>
      </c>
      <c r="H8621" s="3" t="inlineStr">
        <is>
          <t>계획관리지역</t>
        </is>
      </c>
      <c r="I8621" s="3" t="inlineStr">
        <is>
          <t>도로</t>
        </is>
      </c>
      <c r="J8621" s="3" t="inlineStr">
        <is>
          <t>연동면</t>
        </is>
      </c>
    </row>
    <row r="8622">
      <c r="A8622" s="3" t="n">
        <v>2023</v>
      </c>
      <c r="B8622" s="4" t="n">
        <v>800</v>
      </c>
      <c r="C8622" s="4" t="n">
        <v>33</v>
      </c>
      <c r="D8622" s="4" t="n">
        <v>9.9825</v>
      </c>
      <c r="E8622" s="5" t="n">
        <v>80.09999999999999</v>
      </c>
      <c r="F8622" s="3" t="inlineStr">
        <is>
          <t>연동면</t>
        </is>
      </c>
      <c r="G8622" s="3" t="inlineStr">
        <is>
          <t>송용리</t>
        </is>
      </c>
      <c r="H8622" s="3" t="inlineStr">
        <is>
          <t>계획관리지역</t>
        </is>
      </c>
      <c r="I8622" s="3" t="inlineStr">
        <is>
          <t>도로</t>
        </is>
      </c>
      <c r="J8622" s="3" t="inlineStr">
        <is>
          <t>연동면</t>
        </is>
      </c>
    </row>
    <row r="8623">
      <c r="A8623" s="3" t="n">
        <v>2023</v>
      </c>
      <c r="B8623" s="4" t="n">
        <v>2500</v>
      </c>
      <c r="C8623" s="4" t="n">
        <v>433</v>
      </c>
      <c r="D8623" s="4" t="n">
        <v>130.9825</v>
      </c>
      <c r="E8623" s="5" t="n">
        <v>19.1</v>
      </c>
      <c r="F8623" s="3" t="inlineStr">
        <is>
          <t>장군면</t>
        </is>
      </c>
      <c r="G8623" s="3" t="inlineStr">
        <is>
          <t>은용리</t>
        </is>
      </c>
      <c r="H8623" s="3" t="inlineStr">
        <is>
          <t>생산관리지역</t>
        </is>
      </c>
      <c r="I8623" s="3" t="inlineStr">
        <is>
          <t>전</t>
        </is>
      </c>
      <c r="J8623" s="3" t="inlineStr">
        <is>
          <t>장군면</t>
        </is>
      </c>
    </row>
    <row r="8624">
      <c r="A8624" s="3" t="n">
        <v>2023</v>
      </c>
      <c r="B8624" s="4" t="n">
        <v>2500</v>
      </c>
      <c r="C8624" s="4" t="n">
        <v>721</v>
      </c>
      <c r="D8624" s="4" t="n">
        <v>218.1025</v>
      </c>
      <c r="E8624" s="5" t="n">
        <v>11.5</v>
      </c>
      <c r="F8624" s="3" t="inlineStr">
        <is>
          <t>전동면</t>
        </is>
      </c>
      <c r="G8624" s="3" t="inlineStr">
        <is>
          <t>송성리</t>
        </is>
      </c>
      <c r="H8624" s="3" t="inlineStr">
        <is>
          <t>생산관리지역</t>
        </is>
      </c>
      <c r="I8624" s="3" t="inlineStr">
        <is>
          <t>전</t>
        </is>
      </c>
      <c r="J8624" s="3" t="inlineStr">
        <is>
          <t>전동면</t>
        </is>
      </c>
    </row>
    <row r="8625">
      <c r="A8625" s="3" t="n">
        <v>2023</v>
      </c>
      <c r="B8625" s="4" t="n">
        <v>11000</v>
      </c>
      <c r="C8625" s="4" t="n">
        <v>374</v>
      </c>
      <c r="D8625" s="4" t="n">
        <v>113.135</v>
      </c>
      <c r="E8625" s="5" t="n">
        <v>97.2</v>
      </c>
      <c r="F8625" s="3" t="inlineStr">
        <is>
          <t>전의면</t>
        </is>
      </c>
      <c r="G8625" s="3" t="inlineStr">
        <is>
          <t>동교리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전의면</t>
        </is>
      </c>
    </row>
    <row r="8626">
      <c r="A8626" s="3" t="n">
        <v>2023</v>
      </c>
      <c r="B8626" s="4" t="n">
        <v>1000</v>
      </c>
      <c r="C8626" s="4" t="n">
        <v>14</v>
      </c>
      <c r="D8626" s="4" t="n">
        <v>4.234999999999999</v>
      </c>
      <c r="E8626" s="5" t="n">
        <v>236.1</v>
      </c>
      <c r="F8626" s="3" t="inlineStr">
        <is>
          <t>소정면</t>
        </is>
      </c>
      <c r="G8626" s="3" t="inlineStr">
        <is>
          <t>대곡리</t>
        </is>
      </c>
      <c r="H8626" s="3" t="inlineStr">
        <is>
          <t>계획관리지역</t>
        </is>
      </c>
      <c r="I8626" s="3" t="inlineStr">
        <is>
          <t>전</t>
        </is>
      </c>
      <c r="J8626" s="3" t="inlineStr">
        <is>
          <t>소정면</t>
        </is>
      </c>
    </row>
    <row r="8627">
      <c r="A8627" s="3" t="n">
        <v>2023</v>
      </c>
      <c r="B8627" s="4" t="n">
        <v>6647</v>
      </c>
      <c r="C8627" s="4" t="n">
        <v>2954</v>
      </c>
      <c r="D8627" s="4" t="n">
        <v>893.5849999999999</v>
      </c>
      <c r="E8627" s="5" t="n">
        <v>7.4</v>
      </c>
      <c r="F8627" s="3" t="inlineStr">
        <is>
          <t>금남면</t>
        </is>
      </c>
      <c r="G8627" s="3" t="inlineStr">
        <is>
          <t>두만리</t>
        </is>
      </c>
      <c r="H8627" s="3" t="inlineStr">
        <is>
          <t>개발제한구역</t>
        </is>
      </c>
      <c r="I8627" s="3" t="inlineStr">
        <is>
          <t>임야</t>
        </is>
      </c>
      <c r="J8627" s="3" t="inlineStr">
        <is>
          <t>금남면</t>
        </is>
      </c>
    </row>
    <row r="8628">
      <c r="A8628" s="3" t="n">
        <v>2023</v>
      </c>
      <c r="B8628" s="4" t="n">
        <v>20000</v>
      </c>
      <c r="C8628" s="4" t="n">
        <v>3360</v>
      </c>
      <c r="D8628" s="4" t="n">
        <v>1016.4</v>
      </c>
      <c r="E8628" s="5" t="n">
        <v>19.7</v>
      </c>
      <c r="F8628" s="3" t="inlineStr">
        <is>
          <t>금남면</t>
        </is>
      </c>
      <c r="G8628" s="3" t="inlineStr">
        <is>
          <t>도남리</t>
        </is>
      </c>
      <c r="H8628" s="3" t="inlineStr">
        <is>
          <t>보전관리지역</t>
        </is>
      </c>
      <c r="I8628" s="3" t="inlineStr">
        <is>
          <t>전</t>
        </is>
      </c>
      <c r="J8628" s="3" t="inlineStr">
        <is>
          <t>금남면</t>
        </is>
      </c>
    </row>
    <row r="8629">
      <c r="A8629" s="3" t="n">
        <v>2023</v>
      </c>
      <c r="B8629" s="4" t="n">
        <v>15500</v>
      </c>
      <c r="C8629" s="4" t="n">
        <v>1071</v>
      </c>
      <c r="D8629" s="4" t="n">
        <v>323.9775</v>
      </c>
      <c r="E8629" s="5" t="n">
        <v>47.8</v>
      </c>
      <c r="F8629" s="3" t="inlineStr">
        <is>
          <t>전동면</t>
        </is>
      </c>
      <c r="G8629" s="3" t="inlineStr">
        <is>
          <t>심중리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전동면</t>
        </is>
      </c>
    </row>
    <row r="8630">
      <c r="A8630" s="3" t="n">
        <v>2023</v>
      </c>
      <c r="B8630" s="4" t="n">
        <v>950</v>
      </c>
      <c r="C8630" s="4" t="n">
        <v>18</v>
      </c>
      <c r="D8630" s="4" t="n">
        <v>5.445</v>
      </c>
      <c r="E8630" s="5" t="n">
        <v>174.5</v>
      </c>
      <c r="F8630" s="3" t="inlineStr">
        <is>
          <t>조치원읍</t>
        </is>
      </c>
      <c r="G8630" s="3" t="inlineStr">
        <is>
          <t>신안리</t>
        </is>
      </c>
      <c r="H8630" s="3" t="inlineStr">
        <is>
          <t>제1종일반주거지역</t>
        </is>
      </c>
      <c r="I8630" s="3" t="inlineStr">
        <is>
          <t>대</t>
        </is>
      </c>
      <c r="J8630" s="3" t="inlineStr">
        <is>
          <t>조치원읍</t>
        </is>
      </c>
    </row>
    <row r="8631">
      <c r="A8631" s="3" t="n">
        <v>2024</v>
      </c>
      <c r="B8631" s="4" t="n">
        <v>26085</v>
      </c>
      <c r="C8631" s="4" t="n">
        <v>5750</v>
      </c>
      <c r="D8631" s="4" t="n">
        <v>1739.375</v>
      </c>
      <c r="E8631" s="5" t="n">
        <v>15</v>
      </c>
      <c r="F8631" s="3" t="inlineStr">
        <is>
          <t>소정면</t>
        </is>
      </c>
      <c r="G8631" s="3" t="inlineStr">
        <is>
          <t>소정리</t>
        </is>
      </c>
      <c r="H8631" s="3" t="inlineStr">
        <is>
          <t>농림지역</t>
        </is>
      </c>
      <c r="I8631" s="3" t="inlineStr">
        <is>
          <t>임야</t>
        </is>
      </c>
      <c r="J8631" s="3" t="inlineStr">
        <is>
          <t>소정면</t>
        </is>
      </c>
    </row>
    <row r="8632">
      <c r="A8632" s="3" t="n">
        <v>2024</v>
      </c>
      <c r="B8632" s="4" t="n">
        <v>21933</v>
      </c>
      <c r="C8632" s="4" t="n">
        <v>449</v>
      </c>
      <c r="D8632" s="4" t="n">
        <v>135.8225</v>
      </c>
      <c r="E8632" s="5" t="n">
        <v>161.5</v>
      </c>
      <c r="F8632" s="3" t="inlineStr">
        <is>
          <t>장군면</t>
        </is>
      </c>
      <c r="G8632" s="3" t="inlineStr">
        <is>
          <t>송문리</t>
        </is>
      </c>
      <c r="H8632" s="3" t="inlineStr">
        <is>
          <t>보전관리지역</t>
        </is>
      </c>
      <c r="I8632" s="3" t="inlineStr">
        <is>
          <t>대</t>
        </is>
      </c>
      <c r="J8632" s="3" t="inlineStr">
        <is>
          <t>장군면</t>
        </is>
      </c>
    </row>
    <row r="8633">
      <c r="A8633" s="3" t="n">
        <v>2024</v>
      </c>
      <c r="B8633" s="4" t="n">
        <v>2990</v>
      </c>
      <c r="C8633" s="4" t="n">
        <v>366</v>
      </c>
      <c r="D8633" s="4" t="n">
        <v>110.715</v>
      </c>
      <c r="E8633" s="5" t="n">
        <v>27</v>
      </c>
      <c r="F8633" s="3" t="inlineStr">
        <is>
          <t>전동면</t>
        </is>
      </c>
      <c r="G8633" s="3" t="inlineStr">
        <is>
          <t>송성리</t>
        </is>
      </c>
      <c r="H8633" s="3" t="inlineStr">
        <is>
          <t>계획관리지역</t>
        </is>
      </c>
      <c r="I8633" s="3" t="inlineStr">
        <is>
          <t>답</t>
        </is>
      </c>
      <c r="J8633" s="3" t="inlineStr">
        <is>
          <t>전동면</t>
        </is>
      </c>
    </row>
    <row r="8634">
      <c r="A8634" s="3" t="n">
        <v>2024</v>
      </c>
      <c r="B8634" s="4" t="n">
        <v>2190</v>
      </c>
      <c r="C8634" s="4" t="n">
        <v>268</v>
      </c>
      <c r="D8634" s="4" t="n">
        <v>81.06999999999999</v>
      </c>
      <c r="E8634" s="5" t="n">
        <v>27</v>
      </c>
      <c r="F8634" s="3" t="inlineStr">
        <is>
          <t>전동면</t>
        </is>
      </c>
      <c r="G8634" s="3" t="inlineStr">
        <is>
          <t>송성리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전동면</t>
        </is>
      </c>
    </row>
    <row r="8635">
      <c r="A8635" s="3" t="n">
        <v>2024</v>
      </c>
      <c r="B8635" s="4" t="n">
        <v>8820</v>
      </c>
      <c r="C8635" s="4" t="n">
        <v>1081</v>
      </c>
      <c r="D8635" s="4" t="n">
        <v>327.0025</v>
      </c>
      <c r="E8635" s="5" t="n">
        <v>27</v>
      </c>
      <c r="F8635" s="3" t="inlineStr">
        <is>
          <t>전동면</t>
        </is>
      </c>
      <c r="G8635" s="3" t="inlineStr">
        <is>
          <t>송성리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전동면</t>
        </is>
      </c>
    </row>
    <row r="8636">
      <c r="A8636" s="3" t="n">
        <v>2024</v>
      </c>
      <c r="B8636" s="4" t="n">
        <v>1400</v>
      </c>
      <c r="C8636" s="4" t="n">
        <v>172</v>
      </c>
      <c r="D8636" s="4" t="n">
        <v>52.03</v>
      </c>
      <c r="E8636" s="5" t="n">
        <v>26.9</v>
      </c>
      <c r="F8636" s="3" t="inlineStr">
        <is>
          <t>전동면</t>
        </is>
      </c>
      <c r="G8636" s="3" t="inlineStr">
        <is>
          <t>송성리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전동면</t>
        </is>
      </c>
    </row>
    <row r="8637">
      <c r="A8637" s="3" t="n">
        <v>2024</v>
      </c>
      <c r="B8637" s="4" t="n">
        <v>81000</v>
      </c>
      <c r="C8637" s="4" t="n">
        <v>793</v>
      </c>
      <c r="D8637" s="4" t="n">
        <v>239.8825</v>
      </c>
      <c r="E8637" s="5" t="n">
        <v>337.7</v>
      </c>
      <c r="F8637" s="3" t="inlineStr">
        <is>
          <t>장군면</t>
        </is>
      </c>
      <c r="G8637" s="3" t="inlineStr">
        <is>
          <t>송문리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장군면</t>
        </is>
      </c>
    </row>
    <row r="8638">
      <c r="A8638" s="3" t="n">
        <v>2024</v>
      </c>
      <c r="B8638" s="4" t="n">
        <v>5400</v>
      </c>
      <c r="C8638" s="4" t="n">
        <v>111</v>
      </c>
      <c r="D8638" s="4" t="n">
        <v>33.5775</v>
      </c>
      <c r="E8638" s="5" t="n">
        <v>160.8</v>
      </c>
      <c r="F8638" s="3" t="inlineStr">
        <is>
          <t>장군면</t>
        </is>
      </c>
      <c r="G8638" s="3" t="inlineStr">
        <is>
          <t>송문리</t>
        </is>
      </c>
      <c r="H8638" s="3" t="inlineStr">
        <is>
          <t>보전관리지역</t>
        </is>
      </c>
      <c r="I8638" s="3" t="inlineStr">
        <is>
          <t>임야</t>
        </is>
      </c>
      <c r="J8638" s="3" t="inlineStr">
        <is>
          <t>장군면</t>
        </is>
      </c>
    </row>
    <row r="8639">
      <c r="A8639" s="3" t="n">
        <v>2024</v>
      </c>
      <c r="B8639" s="4" t="n">
        <v>14000</v>
      </c>
      <c r="C8639" s="4" t="n">
        <v>208</v>
      </c>
      <c r="D8639" s="4" t="n">
        <v>62.92</v>
      </c>
      <c r="E8639" s="5" t="n">
        <v>222.5</v>
      </c>
      <c r="F8639" s="3" t="inlineStr">
        <is>
          <t>장군면</t>
        </is>
      </c>
      <c r="G8639" s="3" t="inlineStr">
        <is>
          <t>송문리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장군면</t>
        </is>
      </c>
    </row>
    <row r="8640">
      <c r="A8640" s="3" t="n">
        <v>2024</v>
      </c>
      <c r="B8640" s="4" t="n">
        <v>30000</v>
      </c>
      <c r="C8640" s="4" t="n">
        <v>4525</v>
      </c>
      <c r="D8640" s="4" t="n">
        <v>1368.8125</v>
      </c>
      <c r="E8640" s="5" t="n">
        <v>21.9</v>
      </c>
      <c r="F8640" s="3" t="inlineStr">
        <is>
          <t>전동면</t>
        </is>
      </c>
      <c r="G8640" s="3" t="inlineStr">
        <is>
          <t>송정리</t>
        </is>
      </c>
      <c r="H8640" s="3" t="inlineStr">
        <is>
          <t>농림지역</t>
        </is>
      </c>
      <c r="I8640" s="3" t="inlineStr">
        <is>
          <t>임야</t>
        </is>
      </c>
      <c r="J8640" s="3" t="inlineStr">
        <is>
          <t>전동면</t>
        </is>
      </c>
    </row>
    <row r="8641">
      <c r="A8641" s="3" t="n">
        <v>2024</v>
      </c>
      <c r="B8641" s="4" t="n">
        <v>3420</v>
      </c>
      <c r="C8641" s="4" t="n">
        <v>1785</v>
      </c>
      <c r="D8641" s="4" t="n">
        <v>539.9625</v>
      </c>
      <c r="E8641" s="5" t="n">
        <v>6.3</v>
      </c>
      <c r="F8641" s="3" t="inlineStr">
        <is>
          <t>금남면</t>
        </is>
      </c>
      <c r="G8641" s="3" t="inlineStr">
        <is>
          <t>부용리</t>
        </is>
      </c>
      <c r="H8641" s="3" t="inlineStr">
        <is>
          <t>농림지역</t>
        </is>
      </c>
      <c r="I8641" s="3" t="inlineStr">
        <is>
          <t>임야</t>
        </is>
      </c>
      <c r="J8641" s="3" t="inlineStr">
        <is>
          <t>금남면</t>
        </is>
      </c>
    </row>
    <row r="8642">
      <c r="A8642" s="3" t="n">
        <v>2024</v>
      </c>
      <c r="B8642" s="4" t="n">
        <v>81000</v>
      </c>
      <c r="C8642" s="4" t="n">
        <v>447</v>
      </c>
      <c r="D8642" s="4" t="n">
        <v>135.2175</v>
      </c>
      <c r="E8642" s="5" t="n">
        <v>599</v>
      </c>
      <c r="F8642" s="3" t="inlineStr">
        <is>
          <t>장군면</t>
        </is>
      </c>
      <c r="G8642" s="3" t="inlineStr">
        <is>
          <t>봉안리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장군면</t>
        </is>
      </c>
    </row>
    <row r="8643">
      <c r="A8643" s="3" t="n">
        <v>2024</v>
      </c>
      <c r="B8643" s="4" t="n">
        <v>31033</v>
      </c>
      <c r="C8643" s="4" t="n">
        <v>698</v>
      </c>
      <c r="D8643" s="4" t="n">
        <v>211.145</v>
      </c>
      <c r="E8643" s="5" t="n">
        <v>147</v>
      </c>
      <c r="F8643" s="3" t="inlineStr">
        <is>
          <t>연동면</t>
        </is>
      </c>
      <c r="G8643" s="3" t="inlineStr">
        <is>
          <t>노송리</t>
        </is>
      </c>
      <c r="H8643" s="3" t="inlineStr">
        <is>
          <t>계획관리지역</t>
        </is>
      </c>
      <c r="I8643" s="3" t="inlineStr">
        <is>
          <t>대</t>
        </is>
      </c>
      <c r="J8643" s="3" t="inlineStr">
        <is>
          <t>연동면</t>
        </is>
      </c>
    </row>
    <row r="8644">
      <c r="A8644" s="3" t="n">
        <v>2024</v>
      </c>
      <c r="B8644" s="4" t="n">
        <v>3512</v>
      </c>
      <c r="C8644" s="4" t="n">
        <v>79</v>
      </c>
      <c r="D8644" s="4" t="n">
        <v>23.8975</v>
      </c>
      <c r="E8644" s="5" t="n">
        <v>147</v>
      </c>
      <c r="F8644" s="3" t="inlineStr">
        <is>
          <t>연동면</t>
        </is>
      </c>
      <c r="G8644" s="3" t="inlineStr">
        <is>
          <t>노송리</t>
        </is>
      </c>
      <c r="H8644" s="3" t="inlineStr">
        <is>
          <t>계획관리지역</t>
        </is>
      </c>
      <c r="I8644" s="3" t="inlineStr">
        <is>
          <t>대</t>
        </is>
      </c>
      <c r="J8644" s="3" t="inlineStr">
        <is>
          <t>연동면</t>
        </is>
      </c>
    </row>
    <row r="8645">
      <c r="A8645" s="3" t="n">
        <v>2024</v>
      </c>
      <c r="B8645" s="4" t="n">
        <v>30000</v>
      </c>
      <c r="C8645" s="4" t="n">
        <v>1653</v>
      </c>
      <c r="D8645" s="4" t="n">
        <v>500.0325</v>
      </c>
      <c r="E8645" s="5" t="n">
        <v>60</v>
      </c>
      <c r="F8645" s="3" t="inlineStr">
        <is>
          <t>장군면</t>
        </is>
      </c>
      <c r="G8645" s="3" t="inlineStr">
        <is>
          <t>금암리</t>
        </is>
      </c>
      <c r="H8645" s="3" t="inlineStr">
        <is>
          <t>보전관리지역</t>
        </is>
      </c>
      <c r="I8645" s="3" t="inlineStr">
        <is>
          <t>임야</t>
        </is>
      </c>
      <c r="J8645" s="3" t="inlineStr">
        <is>
          <t>장군면</t>
        </is>
      </c>
    </row>
    <row r="8646">
      <c r="A8646" s="3" t="n">
        <v>2024</v>
      </c>
      <c r="B8646" s="4" t="n">
        <v>15000</v>
      </c>
      <c r="C8646" s="4" t="n">
        <v>826</v>
      </c>
      <c r="D8646" s="4" t="n">
        <v>249.865</v>
      </c>
      <c r="E8646" s="5" t="n">
        <v>60</v>
      </c>
      <c r="F8646" s="3" t="inlineStr">
        <is>
          <t>장군면</t>
        </is>
      </c>
      <c r="G8646" s="3" t="inlineStr">
        <is>
          <t>금암리</t>
        </is>
      </c>
      <c r="H8646" s="3" t="inlineStr">
        <is>
          <t>보전관리지역</t>
        </is>
      </c>
      <c r="I8646" s="3" t="inlineStr">
        <is>
          <t>임야</t>
        </is>
      </c>
      <c r="J8646" s="3" t="inlineStr">
        <is>
          <t>장군면</t>
        </is>
      </c>
    </row>
    <row r="8647">
      <c r="A8647" s="3" t="n">
        <v>2024</v>
      </c>
      <c r="B8647" s="4" t="n">
        <v>4950</v>
      </c>
      <c r="C8647" s="4" t="n">
        <v>151</v>
      </c>
      <c r="D8647" s="4" t="n">
        <v>45.6775</v>
      </c>
      <c r="E8647" s="5" t="n">
        <v>108.4</v>
      </c>
      <c r="F8647" s="3" t="inlineStr">
        <is>
          <t>연동면</t>
        </is>
      </c>
      <c r="G8647" s="3" t="inlineStr">
        <is>
          <t>명학리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연동면</t>
        </is>
      </c>
    </row>
    <row r="8648">
      <c r="A8648" s="3" t="n">
        <v>2024</v>
      </c>
      <c r="B8648" s="4" t="n">
        <v>19200</v>
      </c>
      <c r="C8648" s="4" t="n">
        <v>198</v>
      </c>
      <c r="D8648" s="4" t="n">
        <v>59.895</v>
      </c>
      <c r="E8648" s="5" t="n">
        <v>320.6</v>
      </c>
      <c r="F8648" s="3" t="inlineStr">
        <is>
          <t>전의면</t>
        </is>
      </c>
      <c r="G8648" s="3" t="inlineStr">
        <is>
          <t>신흥리</t>
        </is>
      </c>
      <c r="H8648" s="3" t="inlineStr">
        <is>
          <t>계획관리지역</t>
        </is>
      </c>
      <c r="I8648" s="3" t="inlineStr">
        <is>
          <t>전</t>
        </is>
      </c>
      <c r="J8648" s="3" t="inlineStr">
        <is>
          <t>전의면</t>
        </is>
      </c>
    </row>
    <row r="8649">
      <c r="A8649" s="3" t="n">
        <v>2024</v>
      </c>
      <c r="B8649" s="4" t="n">
        <v>68500</v>
      </c>
      <c r="C8649" s="4" t="n">
        <v>372</v>
      </c>
      <c r="D8649" s="4" t="n">
        <v>112.53</v>
      </c>
      <c r="E8649" s="5" t="n">
        <v>608.7</v>
      </c>
      <c r="F8649" s="3" t="inlineStr">
        <is>
          <t>조치원읍</t>
        </is>
      </c>
      <c r="G8649" s="3" t="inlineStr">
        <is>
          <t>죽림리</t>
        </is>
      </c>
      <c r="H8649" s="3" t="inlineStr">
        <is>
          <t>제2종일반주거지역</t>
        </is>
      </c>
      <c r="I8649" s="3" t="inlineStr">
        <is>
          <t>대</t>
        </is>
      </c>
      <c r="J8649" s="3" t="inlineStr">
        <is>
          <t>조치원읍</t>
        </is>
      </c>
    </row>
    <row r="8650">
      <c r="A8650" s="3" t="n">
        <v>2024</v>
      </c>
      <c r="B8650" s="4" t="n">
        <v>204200</v>
      </c>
      <c r="C8650" s="4" t="n">
        <v>1876</v>
      </c>
      <c r="D8650" s="4" t="n">
        <v>567.49</v>
      </c>
      <c r="E8650" s="5" t="n">
        <v>359.8</v>
      </c>
      <c r="F8650" s="3" t="inlineStr">
        <is>
          <t>장군면</t>
        </is>
      </c>
      <c r="G8650" s="3" t="inlineStr">
        <is>
          <t>봉안리</t>
        </is>
      </c>
      <c r="H8650" s="3" t="inlineStr">
        <is>
          <t>계획관리지역</t>
        </is>
      </c>
      <c r="I8650" s="3" t="inlineStr">
        <is>
          <t>임야</t>
        </is>
      </c>
      <c r="J8650" s="3" t="inlineStr">
        <is>
          <t>장군면</t>
        </is>
      </c>
    </row>
    <row r="8651">
      <c r="A8651" s="3" t="n">
        <v>2024</v>
      </c>
      <c r="B8651" s="4" t="n">
        <v>5800</v>
      </c>
      <c r="C8651" s="4" t="n">
        <v>53</v>
      </c>
      <c r="D8651" s="4" t="n">
        <v>16.0325</v>
      </c>
      <c r="E8651" s="5" t="n">
        <v>361.8</v>
      </c>
      <c r="F8651" s="3" t="inlineStr">
        <is>
          <t>장군면</t>
        </is>
      </c>
      <c r="G8651" s="3" t="inlineStr">
        <is>
          <t>봉안리</t>
        </is>
      </c>
      <c r="H8651" s="3" t="inlineStr">
        <is>
          <t>계획관리지역</t>
        </is>
      </c>
      <c r="I8651" s="3" t="inlineStr">
        <is>
          <t>도로</t>
        </is>
      </c>
      <c r="J8651" s="3" t="inlineStr">
        <is>
          <t>장군면</t>
        </is>
      </c>
    </row>
    <row r="8652">
      <c r="A8652" s="3" t="n">
        <v>2022</v>
      </c>
      <c r="B8652" s="4" t="n">
        <v>10000</v>
      </c>
      <c r="C8652" s="4" t="n">
        <v>1002</v>
      </c>
      <c r="D8652" s="4" t="n">
        <v>303.105</v>
      </c>
      <c r="E8652" s="5" t="n">
        <v>33</v>
      </c>
      <c r="F8652" s="3" t="inlineStr">
        <is>
          <t>부강면</t>
        </is>
      </c>
      <c r="G8652" s="3" t="inlineStr">
        <is>
          <t>금호리</t>
        </is>
      </c>
      <c r="H8652" s="3" t="inlineStr">
        <is>
          <t>생산관리지역</t>
        </is>
      </c>
      <c r="I8652" s="3" t="inlineStr">
        <is>
          <t>답</t>
        </is>
      </c>
      <c r="J8652" s="3" t="inlineStr">
        <is>
          <t>부강면</t>
        </is>
      </c>
    </row>
    <row r="8653">
      <c r="A8653" s="3" t="n">
        <v>2022</v>
      </c>
      <c r="B8653" s="4" t="n">
        <v>16500</v>
      </c>
      <c r="C8653" s="4" t="n">
        <v>123</v>
      </c>
      <c r="D8653" s="4" t="n">
        <v>37.2075</v>
      </c>
      <c r="E8653" s="5" t="n">
        <v>443.5</v>
      </c>
      <c r="F8653" s="3" t="inlineStr">
        <is>
          <t>장군면</t>
        </is>
      </c>
      <c r="G8653" s="3" t="inlineStr">
        <is>
          <t>도계리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장군면</t>
        </is>
      </c>
    </row>
    <row r="8654">
      <c r="A8654" s="3" t="n">
        <v>2022</v>
      </c>
      <c r="B8654" s="4" t="n">
        <v>600</v>
      </c>
      <c r="C8654" s="4" t="n">
        <v>12</v>
      </c>
      <c r="D8654" s="4" t="n">
        <v>3.63</v>
      </c>
      <c r="E8654" s="5" t="n">
        <v>165.3</v>
      </c>
      <c r="F8654" s="3" t="inlineStr">
        <is>
          <t>장군면</t>
        </is>
      </c>
      <c r="G8654" s="3" t="inlineStr">
        <is>
          <t>도계리</t>
        </is>
      </c>
      <c r="H8654" s="3" t="inlineStr">
        <is>
          <t>계획관리지역</t>
        </is>
      </c>
      <c r="I8654" s="3" t="inlineStr">
        <is>
          <t>답</t>
        </is>
      </c>
      <c r="J8654" s="3" t="inlineStr">
        <is>
          <t>장군면</t>
        </is>
      </c>
    </row>
    <row r="8655">
      <c r="A8655" s="3" t="n">
        <v>2022</v>
      </c>
      <c r="B8655" s="4" t="n">
        <v>900</v>
      </c>
      <c r="C8655" s="4" t="n">
        <v>20</v>
      </c>
      <c r="D8655" s="4" t="n">
        <v>6.05</v>
      </c>
      <c r="E8655" s="5" t="n">
        <v>148.8</v>
      </c>
      <c r="F8655" s="3" t="inlineStr">
        <is>
          <t>장군면</t>
        </is>
      </c>
      <c r="G8655" s="3" t="inlineStr">
        <is>
          <t>도계리</t>
        </is>
      </c>
      <c r="H8655" s="3" t="inlineStr">
        <is>
          <t>계획관리지역</t>
        </is>
      </c>
      <c r="I8655" s="3" t="inlineStr">
        <is>
          <t>답</t>
        </is>
      </c>
      <c r="J8655" s="3" t="inlineStr">
        <is>
          <t>장군면</t>
        </is>
      </c>
    </row>
    <row r="8656">
      <c r="A8656" s="3" t="n">
        <v>2022</v>
      </c>
      <c r="B8656" s="4" t="n">
        <v>44000</v>
      </c>
      <c r="C8656" s="4" t="n">
        <v>496</v>
      </c>
      <c r="D8656" s="4" t="n">
        <v>150.04</v>
      </c>
      <c r="E8656" s="5" t="n">
        <v>293.3</v>
      </c>
      <c r="F8656" s="3" t="inlineStr">
        <is>
          <t>연동면</t>
        </is>
      </c>
      <c r="G8656" s="3" t="inlineStr">
        <is>
          <t>내판리</t>
        </is>
      </c>
      <c r="H8656" s="3" t="inlineStr">
        <is>
          <t>계획관리지역</t>
        </is>
      </c>
      <c r="I8656" s="3" t="inlineStr">
        <is>
          <t>임야</t>
        </is>
      </c>
      <c r="J8656" s="3" t="inlineStr">
        <is>
          <t>연동면</t>
        </is>
      </c>
    </row>
    <row r="8657">
      <c r="A8657" s="3" t="n">
        <v>2022</v>
      </c>
      <c r="B8657" s="4" t="n">
        <v>11880</v>
      </c>
      <c r="C8657" s="4" t="n">
        <v>180</v>
      </c>
      <c r="D8657" s="4" t="n">
        <v>54.45</v>
      </c>
      <c r="E8657" s="5" t="n">
        <v>218.2</v>
      </c>
      <c r="F8657" s="3" t="inlineStr">
        <is>
          <t>전의면</t>
        </is>
      </c>
      <c r="G8657" s="3" t="inlineStr">
        <is>
          <t>읍내리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전의면</t>
        </is>
      </c>
    </row>
    <row r="8658">
      <c r="A8658" s="3" t="n">
        <v>2022</v>
      </c>
      <c r="B8658" s="4" t="n">
        <v>41008</v>
      </c>
      <c r="C8658" s="4" t="n">
        <v>770</v>
      </c>
      <c r="D8658" s="4" t="n">
        <v>232.925</v>
      </c>
      <c r="E8658" s="5" t="n">
        <v>176.1</v>
      </c>
      <c r="F8658" s="3" t="inlineStr">
        <is>
          <t>연서면</t>
        </is>
      </c>
      <c r="G8658" s="3" t="inlineStr">
        <is>
          <t>와촌리</t>
        </is>
      </c>
      <c r="H8658" s="3" t="inlineStr">
        <is>
          <t>계획관리지역</t>
        </is>
      </c>
      <c r="I8658" s="3" t="inlineStr">
        <is>
          <t>답</t>
        </is>
      </c>
      <c r="J8658" s="3" t="inlineStr">
        <is>
          <t>연서면</t>
        </is>
      </c>
    </row>
    <row r="8659">
      <c r="A8659" s="3" t="n">
        <v>2022</v>
      </c>
      <c r="B8659" s="4" t="n">
        <v>3000</v>
      </c>
      <c r="C8659" s="4" t="n">
        <v>219</v>
      </c>
      <c r="D8659" s="4" t="n">
        <v>66.2475</v>
      </c>
      <c r="E8659" s="5" t="n">
        <v>45.3</v>
      </c>
      <c r="F8659" s="3" t="inlineStr">
        <is>
          <t>금남면</t>
        </is>
      </c>
      <c r="G8659" s="3" t="inlineStr">
        <is>
          <t>대박리</t>
        </is>
      </c>
      <c r="H8659" s="3" t="inlineStr">
        <is>
          <t>보전관리지역</t>
        </is>
      </c>
      <c r="I8659" s="3" t="inlineStr">
        <is>
          <t>임야</t>
        </is>
      </c>
      <c r="J8659" s="3" t="inlineStr">
        <is>
          <t>금남면</t>
        </is>
      </c>
    </row>
    <row r="8660">
      <c r="A8660" s="3" t="n">
        <v>2022</v>
      </c>
      <c r="B8660" s="4" t="n">
        <v>9000</v>
      </c>
      <c r="C8660" s="4" t="n">
        <v>396</v>
      </c>
      <c r="D8660" s="4" t="n">
        <v>119.79</v>
      </c>
      <c r="E8660" s="5" t="n">
        <v>75.09999999999999</v>
      </c>
      <c r="F8660" s="3" t="inlineStr">
        <is>
          <t>금남면</t>
        </is>
      </c>
      <c r="G8660" s="3" t="inlineStr">
        <is>
          <t>박산리</t>
        </is>
      </c>
      <c r="H8660" s="3" t="inlineStr">
        <is>
          <t>개발제한구역</t>
        </is>
      </c>
      <c r="I8660" s="3" t="inlineStr">
        <is>
          <t>전</t>
        </is>
      </c>
      <c r="J8660" s="3" t="inlineStr">
        <is>
          <t>금남면</t>
        </is>
      </c>
    </row>
    <row r="8661">
      <c r="A8661" s="3" t="n">
        <v>2022</v>
      </c>
      <c r="B8661" s="4" t="n">
        <v>11000</v>
      </c>
      <c r="C8661" s="4" t="n">
        <v>552</v>
      </c>
      <c r="D8661" s="4" t="n">
        <v>166.98</v>
      </c>
      <c r="E8661" s="5" t="n">
        <v>65.90000000000001</v>
      </c>
      <c r="F8661" s="3" t="inlineStr">
        <is>
          <t>금남면</t>
        </is>
      </c>
      <c r="G8661" s="3" t="inlineStr">
        <is>
          <t>박산리</t>
        </is>
      </c>
      <c r="H8661" s="3" t="inlineStr">
        <is>
          <t>개발제한구역</t>
        </is>
      </c>
      <c r="I8661" s="3" t="inlineStr">
        <is>
          <t>답</t>
        </is>
      </c>
      <c r="J8661" s="3" t="inlineStr">
        <is>
          <t>금남면</t>
        </is>
      </c>
    </row>
    <row r="8662">
      <c r="A8662" s="3" t="n">
        <v>2022</v>
      </c>
      <c r="B8662" s="4" t="n">
        <v>9000</v>
      </c>
      <c r="C8662" s="4" t="n">
        <v>536</v>
      </c>
      <c r="D8662" s="4" t="n">
        <v>162.14</v>
      </c>
      <c r="E8662" s="5" t="n">
        <v>55.5</v>
      </c>
      <c r="F8662" s="3" t="inlineStr">
        <is>
          <t>금남면</t>
        </is>
      </c>
      <c r="G8662" s="3" t="inlineStr">
        <is>
          <t>달전리</t>
        </is>
      </c>
      <c r="H8662" s="3" t="inlineStr">
        <is>
          <t>개발제한구역</t>
        </is>
      </c>
      <c r="I8662" s="3" t="inlineStr">
        <is>
          <t>답</t>
        </is>
      </c>
      <c r="J8662" s="3" t="inlineStr">
        <is>
          <t>금남면</t>
        </is>
      </c>
    </row>
    <row r="8663">
      <c r="A8663" s="3" t="n">
        <v>2024</v>
      </c>
      <c r="B8663" s="4" t="n">
        <v>100</v>
      </c>
      <c r="C8663" s="4" t="n">
        <v>910</v>
      </c>
      <c r="D8663" s="4" t="n">
        <v>275.275</v>
      </c>
      <c r="E8663" s="5" t="n">
        <v>0.4</v>
      </c>
      <c r="F8663" s="3" t="inlineStr">
        <is>
          <t>장군면</t>
        </is>
      </c>
      <c r="G8663" s="3" t="inlineStr">
        <is>
          <t>송문리</t>
        </is>
      </c>
      <c r="H8663" s="3" t="inlineStr">
        <is>
          <t>계획관리지역</t>
        </is>
      </c>
      <c r="I8663" s="3" t="inlineStr">
        <is>
          <t>제방</t>
        </is>
      </c>
      <c r="J8663" s="3" t="inlineStr">
        <is>
          <t>장군면</t>
        </is>
      </c>
    </row>
    <row r="8664">
      <c r="A8664" s="3" t="n">
        <v>2024</v>
      </c>
      <c r="B8664" s="4" t="n">
        <v>4500</v>
      </c>
      <c r="C8664" s="4" t="n">
        <v>860</v>
      </c>
      <c r="D8664" s="4" t="n">
        <v>260.15</v>
      </c>
      <c r="E8664" s="5" t="n">
        <v>17.3</v>
      </c>
      <c r="F8664" s="3" t="inlineStr">
        <is>
          <t>금남면</t>
        </is>
      </c>
      <c r="G8664" s="3" t="inlineStr">
        <is>
          <t>영치리</t>
        </is>
      </c>
      <c r="H8664" s="3" t="inlineStr">
        <is>
          <t>개발제한구역</t>
        </is>
      </c>
      <c r="I8664" s="3" t="inlineStr">
        <is>
          <t>전</t>
        </is>
      </c>
      <c r="J8664" s="3" t="inlineStr">
        <is>
          <t>금남면</t>
        </is>
      </c>
    </row>
    <row r="8665">
      <c r="A8665" s="3" t="n">
        <v>2025</v>
      </c>
      <c r="B8665" s="4" t="n">
        <v>12800</v>
      </c>
      <c r="C8665" s="4" t="n">
        <v>211</v>
      </c>
      <c r="D8665" s="4" t="n">
        <v>63.8275</v>
      </c>
      <c r="E8665" s="5" t="n">
        <v>200.5</v>
      </c>
      <c r="F8665" s="3" t="inlineStr">
        <is>
          <t>조치원읍</t>
        </is>
      </c>
      <c r="G8665" s="3" t="inlineStr">
        <is>
          <t>봉산리</t>
        </is>
      </c>
      <c r="H8665" s="3" t="inlineStr">
        <is>
          <t>자연녹지지역</t>
        </is>
      </c>
      <c r="I8665" s="3" t="inlineStr">
        <is>
          <t>과수원</t>
        </is>
      </c>
      <c r="J8665" s="3" t="inlineStr">
        <is>
          <t>조치원읍</t>
        </is>
      </c>
    </row>
    <row r="8666">
      <c r="A8666" s="3" t="n">
        <v>2025</v>
      </c>
      <c r="B8666" s="4" t="n">
        <v>65000</v>
      </c>
      <c r="C8666" s="4" t="n">
        <v>328</v>
      </c>
      <c r="D8666" s="4" t="n">
        <v>99.22</v>
      </c>
      <c r="E8666" s="5" t="n">
        <v>655.1</v>
      </c>
      <c r="F8666" s="3" t="inlineStr">
        <is>
          <t>반곡동</t>
        </is>
      </c>
      <c r="G8666" s="3" t="inlineStr"/>
      <c r="H8666" s="3" t="inlineStr">
        <is>
          <t>제1종전용주거지역</t>
        </is>
      </c>
      <c r="I8666" s="3" t="inlineStr">
        <is>
          <t>대</t>
        </is>
      </c>
      <c r="J8666" s="3" t="inlineStr">
        <is>
          <t>반곡동</t>
        </is>
      </c>
    </row>
    <row r="8667">
      <c r="A8667" s="3" t="n">
        <v>2022</v>
      </c>
      <c r="B8667" s="4" t="n">
        <v>30500</v>
      </c>
      <c r="C8667" s="4" t="n">
        <v>240.5</v>
      </c>
      <c r="D8667" s="4" t="n">
        <v>72.75125</v>
      </c>
      <c r="E8667" s="5" t="n">
        <v>419.2</v>
      </c>
      <c r="F8667" s="3" t="inlineStr">
        <is>
          <t>오송읍</t>
        </is>
      </c>
      <c r="G8667" s="3" t="inlineStr">
        <is>
          <t>봉산리</t>
        </is>
      </c>
      <c r="H8667" s="3" t="inlineStr">
        <is>
          <t>제1종일반주거지역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2022</v>
      </c>
      <c r="B8668" s="4" t="n">
        <v>42500</v>
      </c>
      <c r="C8668" s="4" t="n">
        <v>3094</v>
      </c>
      <c r="D8668" s="4" t="n">
        <v>935.9349999999999</v>
      </c>
      <c r="E8668" s="5" t="n">
        <v>45.4</v>
      </c>
      <c r="F8668" s="3" t="inlineStr">
        <is>
          <t>강내면</t>
        </is>
      </c>
      <c r="G8668" s="3" t="inlineStr">
        <is>
          <t>다락리</t>
        </is>
      </c>
      <c r="H8668" s="3" t="inlineStr">
        <is>
          <t>농림지역</t>
        </is>
      </c>
      <c r="I8668" s="3" t="inlineStr">
        <is>
          <t>답</t>
        </is>
      </c>
      <c r="J8668" s="3" t="inlineStr">
        <is>
          <t>강내면</t>
        </is>
      </c>
    </row>
    <row r="8669">
      <c r="A8669" s="3" t="n">
        <v>2022</v>
      </c>
      <c r="B8669" s="4" t="n">
        <v>4000</v>
      </c>
      <c r="C8669" s="4" t="n">
        <v>456</v>
      </c>
      <c r="D8669" s="4" t="n">
        <v>137.94</v>
      </c>
      <c r="E8669" s="5" t="n">
        <v>29</v>
      </c>
      <c r="F8669" s="3" t="inlineStr">
        <is>
          <t>강내면</t>
        </is>
      </c>
      <c r="G8669" s="3" t="inlineStr">
        <is>
          <t>다락리</t>
        </is>
      </c>
      <c r="H8669" s="3" t="inlineStr">
        <is>
          <t>농림지역</t>
        </is>
      </c>
      <c r="I8669" s="3" t="inlineStr">
        <is>
          <t>답</t>
        </is>
      </c>
      <c r="J8669" s="3" t="inlineStr">
        <is>
          <t>강내면</t>
        </is>
      </c>
    </row>
    <row r="8670">
      <c r="A8670" s="3" t="n">
        <v>2022</v>
      </c>
      <c r="B8670" s="4" t="n">
        <v>34331</v>
      </c>
      <c r="C8670" s="4" t="n">
        <v>371</v>
      </c>
      <c r="D8670" s="4" t="n">
        <v>112.2275</v>
      </c>
      <c r="E8670" s="5" t="n">
        <v>305.9</v>
      </c>
      <c r="F8670" s="3" t="inlineStr">
        <is>
          <t>오송읍</t>
        </is>
      </c>
      <c r="G8670" s="3" t="inlineStr">
        <is>
          <t>오송리</t>
        </is>
      </c>
      <c r="H8670" s="3" t="inlineStr">
        <is>
          <t>계획관리지역</t>
        </is>
      </c>
      <c r="I8670" s="3" t="inlineStr">
        <is>
          <t>대</t>
        </is>
      </c>
      <c r="J8670" s="3" t="inlineStr">
        <is>
          <t>오송읍</t>
        </is>
      </c>
    </row>
    <row r="8671">
      <c r="A8671" s="3" t="n">
        <v>2022</v>
      </c>
      <c r="B8671" s="4" t="n">
        <v>51989</v>
      </c>
      <c r="C8671" s="4" t="n">
        <v>522</v>
      </c>
      <c r="D8671" s="4" t="n">
        <v>157.905</v>
      </c>
      <c r="E8671" s="5" t="n">
        <v>329.2</v>
      </c>
      <c r="F8671" s="3" t="inlineStr">
        <is>
          <t>오송읍</t>
        </is>
      </c>
      <c r="G8671" s="3" t="inlineStr">
        <is>
          <t>오송리</t>
        </is>
      </c>
      <c r="H8671" s="3" t="inlineStr">
        <is>
          <t>계획관리지역</t>
        </is>
      </c>
      <c r="I8671" s="3" t="inlineStr">
        <is>
          <t>답</t>
        </is>
      </c>
      <c r="J8671" s="3" t="inlineStr">
        <is>
          <t>오송읍</t>
        </is>
      </c>
    </row>
    <row r="8672">
      <c r="A8672" s="3" t="n">
        <v>2022</v>
      </c>
      <c r="B8672" s="4" t="n">
        <v>1500</v>
      </c>
      <c r="C8672" s="4" t="n">
        <v>124</v>
      </c>
      <c r="D8672" s="4" t="n">
        <v>37.51</v>
      </c>
      <c r="E8672" s="5" t="n">
        <v>40</v>
      </c>
      <c r="F8672" s="3" t="inlineStr">
        <is>
          <t>오송읍</t>
        </is>
      </c>
      <c r="G8672" s="3" t="inlineStr">
        <is>
          <t>상봉리</t>
        </is>
      </c>
      <c r="H8672" s="3" t="inlineStr">
        <is>
          <t>생산관리지역</t>
        </is>
      </c>
      <c r="I8672" s="3" t="inlineStr">
        <is>
          <t>전</t>
        </is>
      </c>
      <c r="J8672" s="3" t="inlineStr">
        <is>
          <t>오송읍</t>
        </is>
      </c>
    </row>
    <row r="8673">
      <c r="A8673" s="3" t="n">
        <v>2022</v>
      </c>
      <c r="B8673" s="4" t="n">
        <v>6700</v>
      </c>
      <c r="C8673" s="4" t="n">
        <v>555</v>
      </c>
      <c r="D8673" s="4" t="n">
        <v>167.8875</v>
      </c>
      <c r="E8673" s="5" t="n">
        <v>39.9</v>
      </c>
      <c r="F8673" s="3" t="inlineStr">
        <is>
          <t>강내면</t>
        </is>
      </c>
      <c r="G8673" s="3" t="inlineStr">
        <is>
          <t>궁현리</t>
        </is>
      </c>
      <c r="H8673" s="3" t="inlineStr">
        <is>
          <t>계획관리지역</t>
        </is>
      </c>
      <c r="I8673" s="3" t="inlineStr">
        <is>
          <t>임야</t>
        </is>
      </c>
      <c r="J8673" s="3" t="inlineStr">
        <is>
          <t>강내면</t>
        </is>
      </c>
    </row>
    <row r="8674">
      <c r="A8674" s="3" t="n">
        <v>2022</v>
      </c>
      <c r="B8674" s="4" t="n">
        <v>3406</v>
      </c>
      <c r="C8674" s="4" t="n">
        <v>563</v>
      </c>
      <c r="D8674" s="4" t="n">
        <v>170.3075</v>
      </c>
      <c r="E8674" s="5" t="n">
        <v>20</v>
      </c>
      <c r="F8674" s="3" t="inlineStr">
        <is>
          <t>강내면</t>
        </is>
      </c>
      <c r="G8674" s="3" t="inlineStr">
        <is>
          <t>저산리</t>
        </is>
      </c>
      <c r="H8674" s="3" t="inlineStr">
        <is>
          <t>계획관리지역</t>
        </is>
      </c>
      <c r="I8674" s="3" t="inlineStr">
        <is>
          <t>도로</t>
        </is>
      </c>
      <c r="J8674" s="3" t="inlineStr">
        <is>
          <t>강내면</t>
        </is>
      </c>
    </row>
    <row r="8675">
      <c r="A8675" s="3" t="n">
        <v>2022</v>
      </c>
      <c r="B8675" s="4" t="n">
        <v>116000</v>
      </c>
      <c r="C8675" s="4" t="n">
        <v>2186</v>
      </c>
      <c r="D8675" s="4" t="n">
        <v>661.265</v>
      </c>
      <c r="E8675" s="5" t="n">
        <v>175.4</v>
      </c>
      <c r="F8675" s="3" t="inlineStr">
        <is>
          <t>오송읍</t>
        </is>
      </c>
      <c r="G8675" s="3" t="inlineStr">
        <is>
          <t>오송리</t>
        </is>
      </c>
      <c r="H8675" s="3" t="inlineStr">
        <is>
          <t>계획관리지역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2024</v>
      </c>
      <c r="B8676" s="4" t="n">
        <v>137000</v>
      </c>
      <c r="C8676" s="4" t="n">
        <v>2297</v>
      </c>
      <c r="D8676" s="4" t="n">
        <v>694.8425</v>
      </c>
      <c r="E8676" s="5" t="n">
        <v>197.2</v>
      </c>
      <c r="F8676" s="3" t="inlineStr">
        <is>
          <t>연서면</t>
        </is>
      </c>
      <c r="G8676" s="3" t="inlineStr">
        <is>
          <t>쌍전리</t>
        </is>
      </c>
      <c r="H8676" s="3" t="inlineStr">
        <is>
          <t>자연녹지지역</t>
        </is>
      </c>
      <c r="I8676" s="3" t="inlineStr">
        <is>
          <t>임야</t>
        </is>
      </c>
      <c r="J8676" s="3" t="inlineStr">
        <is>
          <t>연서면</t>
        </is>
      </c>
    </row>
    <row r="8677">
      <c r="A8677" s="3" t="n">
        <v>2024</v>
      </c>
      <c r="B8677" s="4" t="n">
        <v>13000</v>
      </c>
      <c r="C8677" s="4" t="n">
        <v>224</v>
      </c>
      <c r="D8677" s="4" t="n">
        <v>67.75999999999999</v>
      </c>
      <c r="E8677" s="5" t="n">
        <v>191.9</v>
      </c>
      <c r="F8677" s="3" t="inlineStr">
        <is>
          <t>연서면</t>
        </is>
      </c>
      <c r="G8677" s="3" t="inlineStr">
        <is>
          <t>쌍전리</t>
        </is>
      </c>
      <c r="H8677" s="3" t="inlineStr">
        <is>
          <t>자연녹지지역</t>
        </is>
      </c>
      <c r="I8677" s="3" t="inlineStr">
        <is>
          <t>임야</t>
        </is>
      </c>
      <c r="J8677" s="3" t="inlineStr">
        <is>
          <t>연서면</t>
        </is>
      </c>
    </row>
    <row r="8678">
      <c r="A8678" s="3" t="n">
        <v>2024</v>
      </c>
      <c r="B8678" s="4" t="n">
        <v>42800</v>
      </c>
      <c r="C8678" s="4" t="n">
        <v>1345</v>
      </c>
      <c r="D8678" s="4" t="n">
        <v>406.8625</v>
      </c>
      <c r="E8678" s="5" t="n">
        <v>105.2</v>
      </c>
      <c r="F8678" s="3" t="inlineStr">
        <is>
          <t>연서면</t>
        </is>
      </c>
      <c r="G8678" s="3" t="inlineStr">
        <is>
          <t>쌍전리</t>
        </is>
      </c>
      <c r="H8678" s="3" t="inlineStr">
        <is>
          <t>자연녹지지역</t>
        </is>
      </c>
      <c r="I8678" s="3" t="inlineStr">
        <is>
          <t>과수원</t>
        </is>
      </c>
      <c r="J8678" s="3" t="inlineStr">
        <is>
          <t>연서면</t>
        </is>
      </c>
    </row>
    <row r="8679">
      <c r="A8679" s="3" t="n">
        <v>2024</v>
      </c>
      <c r="B8679" s="4" t="n">
        <v>87300</v>
      </c>
      <c r="C8679" s="4" t="n">
        <v>1580</v>
      </c>
      <c r="D8679" s="4" t="n">
        <v>477.95</v>
      </c>
      <c r="E8679" s="5" t="n">
        <v>182.7</v>
      </c>
      <c r="F8679" s="3" t="inlineStr">
        <is>
          <t>연서면</t>
        </is>
      </c>
      <c r="G8679" s="3" t="inlineStr">
        <is>
          <t>쌍전리</t>
        </is>
      </c>
      <c r="H8679" s="3" t="inlineStr">
        <is>
          <t>자연녹지지역</t>
        </is>
      </c>
      <c r="I8679" s="3" t="inlineStr">
        <is>
          <t>과수원</t>
        </is>
      </c>
      <c r="J8679" s="3" t="inlineStr">
        <is>
          <t>연서면</t>
        </is>
      </c>
    </row>
    <row r="8680">
      <c r="A8680" s="3" t="n">
        <v>2024</v>
      </c>
      <c r="B8680" s="4" t="n">
        <v>1650</v>
      </c>
      <c r="C8680" s="4" t="n">
        <v>30</v>
      </c>
      <c r="D8680" s="4" t="n">
        <v>9.074999999999999</v>
      </c>
      <c r="E8680" s="5" t="n">
        <v>181.8</v>
      </c>
      <c r="F8680" s="3" t="inlineStr">
        <is>
          <t>연서면</t>
        </is>
      </c>
      <c r="G8680" s="3" t="inlineStr">
        <is>
          <t>쌍전리</t>
        </is>
      </c>
      <c r="H8680" s="3" t="inlineStr">
        <is>
          <t>자연녹지지역</t>
        </is>
      </c>
      <c r="I8680" s="3" t="inlineStr">
        <is>
          <t>전</t>
        </is>
      </c>
      <c r="J8680" s="3" t="inlineStr">
        <is>
          <t>연서면</t>
        </is>
      </c>
    </row>
    <row r="8681">
      <c r="A8681" s="3" t="n">
        <v>2024</v>
      </c>
      <c r="B8681" s="4" t="n">
        <v>11050</v>
      </c>
      <c r="C8681" s="4" t="n">
        <v>200</v>
      </c>
      <c r="D8681" s="4" t="n">
        <v>60.5</v>
      </c>
      <c r="E8681" s="5" t="n">
        <v>182.6</v>
      </c>
      <c r="F8681" s="3" t="inlineStr">
        <is>
          <t>연서면</t>
        </is>
      </c>
      <c r="G8681" s="3" t="inlineStr">
        <is>
          <t>쌍전리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연서면</t>
        </is>
      </c>
    </row>
    <row r="8682">
      <c r="A8682" s="3" t="n">
        <v>2024</v>
      </c>
      <c r="B8682" s="4" t="n">
        <v>34700</v>
      </c>
      <c r="C8682" s="4" t="n">
        <v>421</v>
      </c>
      <c r="D8682" s="4" t="n">
        <v>127.3525</v>
      </c>
      <c r="E8682" s="5" t="n">
        <v>272.5</v>
      </c>
      <c r="F8682" s="3" t="inlineStr">
        <is>
          <t>장군면</t>
        </is>
      </c>
      <c r="G8682" s="3" t="inlineStr">
        <is>
          <t>송문리</t>
        </is>
      </c>
      <c r="H8682" s="3" t="inlineStr">
        <is>
          <t>계획관리지역</t>
        </is>
      </c>
      <c r="I8682" s="3" t="inlineStr">
        <is>
          <t>임야</t>
        </is>
      </c>
      <c r="J8682" s="3" t="inlineStr">
        <is>
          <t>장군면</t>
        </is>
      </c>
    </row>
    <row r="8683">
      <c r="A8683" s="3" t="n">
        <v>2022</v>
      </c>
      <c r="B8683" s="4" t="n">
        <v>10000</v>
      </c>
      <c r="C8683" s="4" t="n">
        <v>307</v>
      </c>
      <c r="D8683" s="4" t="n">
        <v>92.86749999999999</v>
      </c>
      <c r="E8683" s="5" t="n">
        <v>107.7</v>
      </c>
      <c r="F8683" s="3" t="inlineStr">
        <is>
          <t>금남면</t>
        </is>
      </c>
      <c r="G8683" s="3" t="inlineStr">
        <is>
          <t>달전리</t>
        </is>
      </c>
      <c r="H8683" s="3" t="inlineStr">
        <is>
          <t>개발제한구역</t>
        </is>
      </c>
      <c r="I8683" s="3" t="inlineStr">
        <is>
          <t>답</t>
        </is>
      </c>
      <c r="J8683" s="3" t="inlineStr">
        <is>
          <t>금남면</t>
        </is>
      </c>
    </row>
    <row r="8684">
      <c r="A8684" s="3" t="n">
        <v>2022</v>
      </c>
      <c r="B8684" s="4" t="n">
        <v>13592</v>
      </c>
      <c r="C8684" s="4" t="n">
        <v>442</v>
      </c>
      <c r="D8684" s="4" t="n">
        <v>133.705</v>
      </c>
      <c r="E8684" s="5" t="n">
        <v>101.7</v>
      </c>
      <c r="F8684" s="3" t="inlineStr">
        <is>
          <t>장군면</t>
        </is>
      </c>
      <c r="G8684" s="3" t="inlineStr">
        <is>
          <t>평기리</t>
        </is>
      </c>
      <c r="H8684" s="3" t="inlineStr">
        <is>
          <t>농림지역</t>
        </is>
      </c>
      <c r="I8684" s="3" t="inlineStr">
        <is>
          <t>답</t>
        </is>
      </c>
      <c r="J8684" s="3" t="inlineStr">
        <is>
          <t>장군면</t>
        </is>
      </c>
    </row>
    <row r="8685">
      <c r="A8685" s="3" t="n">
        <v>2024</v>
      </c>
      <c r="B8685" s="4" t="n">
        <v>6600</v>
      </c>
      <c r="C8685" s="4" t="n">
        <v>559</v>
      </c>
      <c r="D8685" s="4" t="n">
        <v>169.0975</v>
      </c>
      <c r="E8685" s="5" t="n">
        <v>39</v>
      </c>
      <c r="F8685" s="3" t="inlineStr">
        <is>
          <t>부강면</t>
        </is>
      </c>
      <c r="G8685" s="3" t="inlineStr">
        <is>
          <t>금호리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부강면</t>
        </is>
      </c>
    </row>
    <row r="8686">
      <c r="A8686" s="3" t="n">
        <v>2024</v>
      </c>
      <c r="B8686" s="4" t="n">
        <v>45960</v>
      </c>
      <c r="C8686" s="4" t="n">
        <v>1451</v>
      </c>
      <c r="D8686" s="4" t="n">
        <v>438.9275</v>
      </c>
      <c r="E8686" s="5" t="n">
        <v>104.7</v>
      </c>
      <c r="F8686" s="3" t="inlineStr">
        <is>
          <t>장군면</t>
        </is>
      </c>
      <c r="G8686" s="3" t="inlineStr">
        <is>
          <t>대교리</t>
        </is>
      </c>
      <c r="H8686" s="3" t="inlineStr">
        <is>
          <t>보전관리지역</t>
        </is>
      </c>
      <c r="I8686" s="3" t="inlineStr">
        <is>
          <t>임야</t>
        </is>
      </c>
      <c r="J8686" s="3" t="inlineStr">
        <is>
          <t>장군면</t>
        </is>
      </c>
    </row>
    <row r="8687">
      <c r="A8687" s="3" t="n">
        <v>2024</v>
      </c>
      <c r="B8687" s="4" t="n">
        <v>92460</v>
      </c>
      <c r="C8687" s="4" t="n">
        <v>986</v>
      </c>
      <c r="D8687" s="4" t="n">
        <v>298.265</v>
      </c>
      <c r="E8687" s="5" t="n">
        <v>310</v>
      </c>
      <c r="F8687" s="3" t="inlineStr">
        <is>
          <t>금남면</t>
        </is>
      </c>
      <c r="G8687" s="3" t="inlineStr">
        <is>
          <t>국곡리</t>
        </is>
      </c>
      <c r="H8687" s="3" t="inlineStr">
        <is>
          <t>계획관리지역</t>
        </is>
      </c>
      <c r="I8687" s="3" t="inlineStr">
        <is>
          <t>창고용지</t>
        </is>
      </c>
      <c r="J8687" s="3" t="inlineStr">
        <is>
          <t>금남면</t>
        </is>
      </c>
    </row>
    <row r="8688">
      <c r="A8688" s="3" t="n">
        <v>2024</v>
      </c>
      <c r="B8688" s="4" t="n">
        <v>13780</v>
      </c>
      <c r="C8688" s="4" t="n">
        <v>435</v>
      </c>
      <c r="D8688" s="4" t="n">
        <v>131.5875</v>
      </c>
      <c r="E8688" s="5" t="n">
        <v>104.7</v>
      </c>
      <c r="F8688" s="3" t="inlineStr">
        <is>
          <t>장군면</t>
        </is>
      </c>
      <c r="G8688" s="3" t="inlineStr">
        <is>
          <t>대교리</t>
        </is>
      </c>
      <c r="H8688" s="3" t="inlineStr">
        <is>
          <t>보전관리지역</t>
        </is>
      </c>
      <c r="I8688" s="3" t="inlineStr">
        <is>
          <t>임야</t>
        </is>
      </c>
      <c r="J8688" s="3" t="inlineStr">
        <is>
          <t>장군면</t>
        </is>
      </c>
    </row>
    <row r="8689">
      <c r="A8689" s="3" t="n">
        <v>2024</v>
      </c>
      <c r="B8689" s="4" t="n">
        <v>38420</v>
      </c>
      <c r="C8689" s="4" t="n">
        <v>527</v>
      </c>
      <c r="D8689" s="4" t="n">
        <v>159.4175</v>
      </c>
      <c r="E8689" s="5" t="n">
        <v>241</v>
      </c>
      <c r="F8689" s="3" t="inlineStr">
        <is>
          <t>금남면</t>
        </is>
      </c>
      <c r="G8689" s="3" t="inlineStr">
        <is>
          <t>성덕리</t>
        </is>
      </c>
      <c r="H8689" s="3" t="inlineStr">
        <is>
          <t>보전관리지역</t>
        </is>
      </c>
      <c r="I8689" s="3" t="inlineStr">
        <is>
          <t>임야</t>
        </is>
      </c>
      <c r="J8689" s="3" t="inlineStr">
        <is>
          <t>금남면</t>
        </is>
      </c>
    </row>
    <row r="8690">
      <c r="A8690" s="3" t="n">
        <v>2022</v>
      </c>
      <c r="B8690" s="4" t="n">
        <v>30000</v>
      </c>
      <c r="C8690" s="4" t="n">
        <v>350</v>
      </c>
      <c r="D8690" s="4" t="n">
        <v>105.875</v>
      </c>
      <c r="E8690" s="5" t="n">
        <v>283.4</v>
      </c>
      <c r="F8690" s="3" t="inlineStr">
        <is>
          <t>강내면</t>
        </is>
      </c>
      <c r="G8690" s="3" t="inlineStr">
        <is>
          <t>탑연리</t>
        </is>
      </c>
      <c r="H8690" s="3" t="inlineStr">
        <is>
          <t>자연녹지지역</t>
        </is>
      </c>
      <c r="I8690" s="3" t="inlineStr">
        <is>
          <t>대</t>
        </is>
      </c>
      <c r="J8690" s="3" t="inlineStr">
        <is>
          <t>강내면</t>
        </is>
      </c>
    </row>
    <row r="8691">
      <c r="A8691" s="3" t="n">
        <v>2024</v>
      </c>
      <c r="B8691" s="4" t="n">
        <v>40000</v>
      </c>
      <c r="C8691" s="4" t="n">
        <v>2684</v>
      </c>
      <c r="D8691" s="4" t="n">
        <v>811.91</v>
      </c>
      <c r="E8691" s="5" t="n">
        <v>49.3</v>
      </c>
      <c r="F8691" s="3" t="inlineStr">
        <is>
          <t>오송읍</t>
        </is>
      </c>
      <c r="G8691" s="3" t="inlineStr">
        <is>
          <t>동평리</t>
        </is>
      </c>
      <c r="H8691" s="3" t="inlineStr">
        <is>
          <t>농림지역</t>
        </is>
      </c>
      <c r="I8691" s="3" t="inlineStr">
        <is>
          <t>전</t>
        </is>
      </c>
      <c r="J8691" s="3" t="inlineStr">
        <is>
          <t>오송읍</t>
        </is>
      </c>
    </row>
    <row r="8692">
      <c r="A8692" s="3" t="n">
        <v>2024</v>
      </c>
      <c r="B8692" s="4" t="n">
        <v>3000</v>
      </c>
      <c r="C8692" s="4" t="n">
        <v>201</v>
      </c>
      <c r="D8692" s="4" t="n">
        <v>60.80249999999999</v>
      </c>
      <c r="E8692" s="5" t="n">
        <v>49.3</v>
      </c>
      <c r="F8692" s="3" t="inlineStr">
        <is>
          <t>오송읍</t>
        </is>
      </c>
      <c r="G8692" s="3" t="inlineStr">
        <is>
          <t>동평리</t>
        </is>
      </c>
      <c r="H8692" s="3" t="inlineStr">
        <is>
          <t>농림지역</t>
        </is>
      </c>
      <c r="I8692" s="3" t="inlineStr">
        <is>
          <t>전</t>
        </is>
      </c>
      <c r="J8692" s="3" t="inlineStr">
        <is>
          <t>오송읍</t>
        </is>
      </c>
    </row>
    <row r="8693">
      <c r="A8693" s="3" t="n">
        <v>2024</v>
      </c>
      <c r="B8693" s="4" t="n">
        <v>9072</v>
      </c>
      <c r="C8693" s="4" t="n">
        <v>250</v>
      </c>
      <c r="D8693" s="4" t="n">
        <v>75.625</v>
      </c>
      <c r="E8693" s="5" t="n">
        <v>120</v>
      </c>
      <c r="F8693" s="3" t="inlineStr">
        <is>
          <t>강내면</t>
        </is>
      </c>
      <c r="G8693" s="3" t="inlineStr">
        <is>
          <t>다락리</t>
        </is>
      </c>
      <c r="H8693" s="3" t="inlineStr">
        <is>
          <t>계획관리지역</t>
        </is>
      </c>
      <c r="I8693" s="3" t="inlineStr">
        <is>
          <t>대</t>
        </is>
      </c>
      <c r="J8693" s="3" t="inlineStr">
        <is>
          <t>강내면</t>
        </is>
      </c>
    </row>
    <row r="8694">
      <c r="A8694" s="3" t="n">
        <v>2024</v>
      </c>
      <c r="B8694" s="4" t="n">
        <v>3000</v>
      </c>
      <c r="C8694" s="4" t="n">
        <v>168</v>
      </c>
      <c r="D8694" s="4" t="n">
        <v>50.82</v>
      </c>
      <c r="E8694" s="5" t="n">
        <v>59</v>
      </c>
      <c r="F8694" s="3" t="inlineStr">
        <is>
          <t>강내면</t>
        </is>
      </c>
      <c r="G8694" s="3" t="inlineStr">
        <is>
          <t>궁현리</t>
        </is>
      </c>
      <c r="H8694" s="3" t="inlineStr">
        <is>
          <t>계획관리지역</t>
        </is>
      </c>
      <c r="I8694" s="3" t="inlineStr">
        <is>
          <t>임야</t>
        </is>
      </c>
      <c r="J8694" s="3" t="inlineStr">
        <is>
          <t>강내면</t>
        </is>
      </c>
    </row>
    <row r="8695">
      <c r="A8695" s="3" t="n">
        <v>2024</v>
      </c>
      <c r="B8695" s="4" t="n">
        <v>1500</v>
      </c>
      <c r="C8695" s="4" t="n">
        <v>16</v>
      </c>
      <c r="D8695" s="4" t="n">
        <v>4.84</v>
      </c>
      <c r="E8695" s="5" t="n">
        <v>309.9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도로</t>
        </is>
      </c>
      <c r="J8695" s="3" t="inlineStr">
        <is>
          <t>오송읍</t>
        </is>
      </c>
    </row>
    <row r="8696">
      <c r="A8696" s="3" t="n">
        <v>2024</v>
      </c>
      <c r="B8696" s="4" t="n">
        <v>150000</v>
      </c>
      <c r="C8696" s="4" t="n">
        <v>819.4</v>
      </c>
      <c r="D8696" s="4" t="n">
        <v>247.8685</v>
      </c>
      <c r="E8696" s="5" t="n">
        <v>605.2</v>
      </c>
      <c r="F8696" s="3" t="inlineStr">
        <is>
          <t>오송읍</t>
        </is>
      </c>
      <c r="G8696" s="3" t="inlineStr">
        <is>
          <t>연제리</t>
        </is>
      </c>
      <c r="H8696" s="3" t="inlineStr">
        <is>
          <t>일반상업지역</t>
        </is>
      </c>
      <c r="I8696" s="3" t="inlineStr">
        <is>
          <t>대</t>
        </is>
      </c>
      <c r="J8696" s="3" t="inlineStr">
        <is>
          <t>오송읍</t>
        </is>
      </c>
    </row>
    <row r="8697">
      <c r="A8697" s="3" t="n">
        <v>2022</v>
      </c>
      <c r="B8697" s="4" t="n">
        <v>21900</v>
      </c>
      <c r="C8697" s="4" t="n">
        <v>241</v>
      </c>
      <c r="D8697" s="4" t="n">
        <v>72.9025</v>
      </c>
      <c r="E8697" s="5" t="n">
        <v>300.4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2022</v>
      </c>
      <c r="B8698" s="4" t="n">
        <v>13717</v>
      </c>
      <c r="C8698" s="4" t="n">
        <v>667</v>
      </c>
      <c r="D8698" s="4" t="n">
        <v>201.7675</v>
      </c>
      <c r="E8698" s="5" t="n">
        <v>68</v>
      </c>
      <c r="F8698" s="3" t="inlineStr">
        <is>
          <t>오송읍</t>
        </is>
      </c>
      <c r="G8698" s="3" t="inlineStr">
        <is>
          <t>공북리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2022</v>
      </c>
      <c r="B8699" s="4" t="n">
        <v>17418</v>
      </c>
      <c r="C8699" s="4" t="n">
        <v>847</v>
      </c>
      <c r="D8699" s="4" t="n">
        <v>256.2175</v>
      </c>
      <c r="E8699" s="5" t="n">
        <v>68</v>
      </c>
      <c r="F8699" s="3" t="inlineStr">
        <is>
          <t>오송읍</t>
        </is>
      </c>
      <c r="G8699" s="3" t="inlineStr">
        <is>
          <t>공북리</t>
        </is>
      </c>
      <c r="H8699" s="3" t="inlineStr">
        <is>
          <t>농림지역</t>
        </is>
      </c>
      <c r="I8699" s="3" t="inlineStr">
        <is>
          <t>답</t>
        </is>
      </c>
      <c r="J8699" s="3" t="inlineStr">
        <is>
          <t>오송읍</t>
        </is>
      </c>
    </row>
    <row r="8700">
      <c r="A8700" s="3" t="n">
        <v>2022</v>
      </c>
      <c r="B8700" s="4" t="n">
        <v>27865</v>
      </c>
      <c r="C8700" s="4" t="n">
        <v>1355</v>
      </c>
      <c r="D8700" s="4" t="n">
        <v>409.8875</v>
      </c>
      <c r="E8700" s="5" t="n">
        <v>68</v>
      </c>
      <c r="F8700" s="3" t="inlineStr">
        <is>
          <t>오송읍</t>
        </is>
      </c>
      <c r="G8700" s="3" t="inlineStr">
        <is>
          <t>공북리</t>
        </is>
      </c>
      <c r="H8700" s="3" t="inlineStr">
        <is>
          <t>농림지역</t>
        </is>
      </c>
      <c r="I8700" s="3" t="inlineStr">
        <is>
          <t>답</t>
        </is>
      </c>
      <c r="J8700" s="3" t="inlineStr">
        <is>
          <t>오송읍</t>
        </is>
      </c>
    </row>
    <row r="8701">
      <c r="A8701" s="3" t="n">
        <v>2022</v>
      </c>
      <c r="B8701" s="4" t="n">
        <v>30000</v>
      </c>
      <c r="C8701" s="4" t="n">
        <v>286.8</v>
      </c>
      <c r="D8701" s="4" t="n">
        <v>86.75700000000001</v>
      </c>
      <c r="E8701" s="5" t="n">
        <v>345.8</v>
      </c>
      <c r="F8701" s="3" t="inlineStr">
        <is>
          <t>오송읍</t>
        </is>
      </c>
      <c r="G8701" s="3" t="inlineStr">
        <is>
          <t>봉산리</t>
        </is>
      </c>
      <c r="H8701" s="3" t="inlineStr">
        <is>
          <t>제1종일반주거지역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2022</v>
      </c>
      <c r="B8702" s="4" t="n">
        <v>21300</v>
      </c>
      <c r="C8702" s="4" t="n">
        <v>534</v>
      </c>
      <c r="D8702" s="4" t="n">
        <v>161.535</v>
      </c>
      <c r="E8702" s="5" t="n">
        <v>131.9</v>
      </c>
      <c r="F8702" s="3" t="inlineStr">
        <is>
          <t>강내면</t>
        </is>
      </c>
      <c r="G8702" s="3" t="inlineStr">
        <is>
          <t>학천리</t>
        </is>
      </c>
      <c r="H8702" s="3" t="inlineStr">
        <is>
          <t>자연녹지지역</t>
        </is>
      </c>
      <c r="I8702" s="3" t="inlineStr">
        <is>
          <t>임야</t>
        </is>
      </c>
      <c r="J8702" s="3" t="inlineStr">
        <is>
          <t>강내면</t>
        </is>
      </c>
    </row>
    <row r="8703">
      <c r="A8703" s="3" t="n">
        <v>2022</v>
      </c>
      <c r="B8703" s="4" t="n">
        <v>20600</v>
      </c>
      <c r="C8703" s="4" t="n">
        <v>514</v>
      </c>
      <c r="D8703" s="4" t="n">
        <v>155.485</v>
      </c>
      <c r="E8703" s="5" t="n">
        <v>132.5</v>
      </c>
      <c r="F8703" s="3" t="inlineStr">
        <is>
          <t>강내면</t>
        </is>
      </c>
      <c r="G8703" s="3" t="inlineStr">
        <is>
          <t>학천리</t>
        </is>
      </c>
      <c r="H8703" s="3" t="inlineStr">
        <is>
          <t>자연녹지지역</t>
        </is>
      </c>
      <c r="I8703" s="3" t="inlineStr">
        <is>
          <t>임야</t>
        </is>
      </c>
      <c r="J8703" s="3" t="inlineStr">
        <is>
          <t>강내면</t>
        </is>
      </c>
    </row>
    <row r="8704">
      <c r="A8704" s="3" t="n">
        <v>2022</v>
      </c>
      <c r="B8704" s="4" t="n">
        <v>30000</v>
      </c>
      <c r="C8704" s="4" t="n">
        <v>267.6</v>
      </c>
      <c r="D8704" s="4" t="n">
        <v>80.949</v>
      </c>
      <c r="E8704" s="5" t="n">
        <v>370.6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2024</v>
      </c>
      <c r="B8705" s="4" t="n">
        <v>206000</v>
      </c>
      <c r="C8705" s="4" t="n">
        <v>3220</v>
      </c>
      <c r="D8705" s="4" t="n">
        <v>974.05</v>
      </c>
      <c r="E8705" s="5" t="n">
        <v>211.5</v>
      </c>
      <c r="F8705" s="3" t="inlineStr">
        <is>
          <t>오송읍</t>
        </is>
      </c>
      <c r="G8705" s="3" t="inlineStr">
        <is>
          <t>궁평리</t>
        </is>
      </c>
      <c r="H8705" s="3" t="inlineStr">
        <is>
          <t>농림지역</t>
        </is>
      </c>
      <c r="I8705" s="3" t="inlineStr">
        <is>
          <t>답</t>
        </is>
      </c>
      <c r="J8705" s="3" t="inlineStr">
        <is>
          <t>오송읍</t>
        </is>
      </c>
    </row>
    <row r="8706">
      <c r="A8706" s="3" t="n">
        <v>2024</v>
      </c>
      <c r="B8706" s="4" t="n">
        <v>2000</v>
      </c>
      <c r="C8706" s="4" t="n">
        <v>24</v>
      </c>
      <c r="D8706" s="4" t="n">
        <v>7.26</v>
      </c>
      <c r="E8706" s="5" t="n">
        <v>275.5</v>
      </c>
      <c r="F8706" s="3" t="inlineStr">
        <is>
          <t>오송읍</t>
        </is>
      </c>
      <c r="G8706" s="3" t="inlineStr">
        <is>
          <t>오송리</t>
        </is>
      </c>
      <c r="H8706" s="3" t="inlineStr">
        <is>
          <t>농림지역</t>
        </is>
      </c>
      <c r="I8706" s="3" t="inlineStr">
        <is>
          <t>제방</t>
        </is>
      </c>
      <c r="J8706" s="3" t="inlineStr">
        <is>
          <t>오송읍</t>
        </is>
      </c>
    </row>
    <row r="8707">
      <c r="A8707" s="3" t="n">
        <v>2024</v>
      </c>
      <c r="B8707" s="4" t="n">
        <v>15000</v>
      </c>
      <c r="C8707" s="4" t="n">
        <v>581</v>
      </c>
      <c r="D8707" s="4" t="n">
        <v>175.7525</v>
      </c>
      <c r="E8707" s="5" t="n">
        <v>85.3</v>
      </c>
      <c r="F8707" s="3" t="inlineStr">
        <is>
          <t>강내면</t>
        </is>
      </c>
      <c r="G8707" s="3" t="inlineStr">
        <is>
          <t>석화리</t>
        </is>
      </c>
      <c r="H8707" s="3" t="inlineStr">
        <is>
          <t>자연녹지지역</t>
        </is>
      </c>
      <c r="I8707" s="3" t="inlineStr">
        <is>
          <t>대</t>
        </is>
      </c>
      <c r="J8707" s="3" t="inlineStr">
        <is>
          <t>강내면</t>
        </is>
      </c>
    </row>
    <row r="8708">
      <c r="A8708" s="3" t="n">
        <v>2024</v>
      </c>
      <c r="B8708" s="4" t="n">
        <v>980</v>
      </c>
      <c r="C8708" s="4" t="n">
        <v>46</v>
      </c>
      <c r="D8708" s="4" t="n">
        <v>13.915</v>
      </c>
      <c r="E8708" s="5" t="n">
        <v>70.40000000000001</v>
      </c>
      <c r="F8708" s="3" t="inlineStr">
        <is>
          <t>강내면</t>
        </is>
      </c>
      <c r="G8708" s="3" t="inlineStr">
        <is>
          <t>연정리</t>
        </is>
      </c>
      <c r="H8708" s="3" t="inlineStr">
        <is>
          <t>계획관리지역</t>
        </is>
      </c>
      <c r="I8708" s="3" t="inlineStr">
        <is>
          <t>임야</t>
        </is>
      </c>
      <c r="J8708" s="3" t="inlineStr">
        <is>
          <t>강내면</t>
        </is>
      </c>
    </row>
    <row r="8709">
      <c r="A8709" s="3" t="n">
        <v>2025</v>
      </c>
      <c r="B8709" s="4" t="n">
        <v>27000</v>
      </c>
      <c r="C8709" s="4" t="n">
        <v>660</v>
      </c>
      <c r="D8709" s="4" t="n">
        <v>199.65</v>
      </c>
      <c r="E8709" s="5" t="n">
        <v>135.2</v>
      </c>
      <c r="F8709" s="3" t="inlineStr">
        <is>
          <t>오송읍</t>
        </is>
      </c>
      <c r="G8709" s="3" t="inlineStr">
        <is>
          <t>궁평리</t>
        </is>
      </c>
      <c r="H8709" s="3" t="inlineStr">
        <is>
          <t>농림지역</t>
        </is>
      </c>
      <c r="I8709" s="3" t="inlineStr">
        <is>
          <t>대</t>
        </is>
      </c>
      <c r="J8709" s="3" t="inlineStr">
        <is>
          <t>오송읍</t>
        </is>
      </c>
    </row>
    <row r="8710">
      <c r="A8710" s="3" t="n">
        <v>2025</v>
      </c>
      <c r="B8710" s="4" t="n">
        <v>29600</v>
      </c>
      <c r="C8710" s="4" t="n">
        <v>727</v>
      </c>
      <c r="D8710" s="4" t="n">
        <v>219.9175</v>
      </c>
      <c r="E8710" s="5" t="n">
        <v>134.6</v>
      </c>
      <c r="F8710" s="3" t="inlineStr">
        <is>
          <t>오송읍</t>
        </is>
      </c>
      <c r="G8710" s="3" t="inlineStr">
        <is>
          <t>궁평리</t>
        </is>
      </c>
      <c r="H8710" s="3" t="inlineStr">
        <is>
          <t>농림지역</t>
        </is>
      </c>
      <c r="I8710" s="3" t="inlineStr">
        <is>
          <t>대</t>
        </is>
      </c>
      <c r="J8710" s="3" t="inlineStr">
        <is>
          <t>오송읍</t>
        </is>
      </c>
    </row>
    <row r="8711">
      <c r="A8711" s="3" t="n">
        <v>2025</v>
      </c>
      <c r="B8711" s="4" t="n">
        <v>17726</v>
      </c>
      <c r="C8711" s="4" t="n">
        <v>1172</v>
      </c>
      <c r="D8711" s="4" t="n">
        <v>354.53</v>
      </c>
      <c r="E8711" s="5" t="n">
        <v>50</v>
      </c>
      <c r="F8711" s="3" t="inlineStr">
        <is>
          <t>강내면</t>
        </is>
      </c>
      <c r="G8711" s="3" t="inlineStr">
        <is>
          <t>당곡리</t>
        </is>
      </c>
      <c r="H8711" s="3" t="inlineStr">
        <is>
          <t>보전관리지역</t>
        </is>
      </c>
      <c r="I8711" s="3" t="inlineStr">
        <is>
          <t>전</t>
        </is>
      </c>
      <c r="J8711" s="3" t="inlineStr">
        <is>
          <t>강내면</t>
        </is>
      </c>
    </row>
    <row r="8712">
      <c r="A8712" s="3" t="n">
        <v>2025</v>
      </c>
      <c r="B8712" s="4" t="n">
        <v>17590</v>
      </c>
      <c r="C8712" s="4" t="n">
        <v>1163</v>
      </c>
      <c r="D8712" s="4" t="n">
        <v>351.8075</v>
      </c>
      <c r="E8712" s="5" t="n">
        <v>50</v>
      </c>
      <c r="F8712" s="3" t="inlineStr">
        <is>
          <t>강내면</t>
        </is>
      </c>
      <c r="G8712" s="3" t="inlineStr">
        <is>
          <t>당곡리</t>
        </is>
      </c>
      <c r="H8712" s="3" t="inlineStr">
        <is>
          <t>보전관리지역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2025</v>
      </c>
      <c r="B8713" s="4" t="n">
        <v>15000</v>
      </c>
      <c r="C8713" s="4" t="n">
        <v>374</v>
      </c>
      <c r="D8713" s="4" t="n">
        <v>113.135</v>
      </c>
      <c r="E8713" s="5" t="n">
        <v>132.6</v>
      </c>
      <c r="F8713" s="3" t="inlineStr">
        <is>
          <t>오송읍</t>
        </is>
      </c>
      <c r="G8713" s="3" t="inlineStr">
        <is>
          <t>궁평리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2025</v>
      </c>
      <c r="B8714" s="4" t="n">
        <v>2000</v>
      </c>
      <c r="C8714" s="4" t="n">
        <v>307</v>
      </c>
      <c r="D8714" s="4" t="n">
        <v>92.86749999999999</v>
      </c>
      <c r="E8714" s="5" t="n">
        <v>21.5</v>
      </c>
      <c r="F8714" s="3" t="inlineStr">
        <is>
          <t>강내면</t>
        </is>
      </c>
      <c r="G8714" s="3" t="inlineStr">
        <is>
          <t>다락리</t>
        </is>
      </c>
      <c r="H8714" s="3" t="inlineStr">
        <is>
          <t>농림지역</t>
        </is>
      </c>
      <c r="I8714" s="3" t="inlineStr">
        <is>
          <t>전</t>
        </is>
      </c>
      <c r="J8714" s="3" t="inlineStr">
        <is>
          <t>강내면</t>
        </is>
      </c>
    </row>
    <row r="8715">
      <c r="A8715" s="3" t="n">
        <v>2025</v>
      </c>
      <c r="B8715" s="4" t="n">
        <v>14000</v>
      </c>
      <c r="C8715" s="4" t="n">
        <v>819</v>
      </c>
      <c r="D8715" s="4" t="n">
        <v>247.7475</v>
      </c>
      <c r="E8715" s="5" t="n">
        <v>56.5</v>
      </c>
      <c r="F8715" s="3" t="inlineStr">
        <is>
          <t>강내면</t>
        </is>
      </c>
      <c r="G8715" s="3" t="inlineStr">
        <is>
          <t>저산리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2025</v>
      </c>
      <c r="B8716" s="4" t="n">
        <v>25500</v>
      </c>
      <c r="C8716" s="4" t="n">
        <v>282.8</v>
      </c>
      <c r="D8716" s="4" t="n">
        <v>85.547</v>
      </c>
      <c r="E8716" s="5" t="n">
        <v>298.1</v>
      </c>
      <c r="F8716" s="3" t="inlineStr">
        <is>
          <t>오송읍</t>
        </is>
      </c>
      <c r="G8716" s="3" t="inlineStr">
        <is>
          <t>만수리</t>
        </is>
      </c>
      <c r="H8716" s="3" t="inlineStr">
        <is>
          <t>제1종일반주거지역</t>
        </is>
      </c>
      <c r="I8716" s="3" t="inlineStr">
        <is>
          <t>대</t>
        </is>
      </c>
      <c r="J8716" s="3" t="inlineStr">
        <is>
          <t>오송읍</t>
        </is>
      </c>
    </row>
    <row r="8717">
      <c r="A8717" s="3" t="n">
        <v>2025</v>
      </c>
      <c r="B8717" s="4" t="n">
        <v>4500</v>
      </c>
      <c r="C8717" s="4" t="n">
        <v>185</v>
      </c>
      <c r="D8717" s="4" t="n">
        <v>55.9625</v>
      </c>
      <c r="E8717" s="5" t="n">
        <v>80.40000000000001</v>
      </c>
      <c r="F8717" s="3" t="inlineStr">
        <is>
          <t>오송읍</t>
        </is>
      </c>
      <c r="G8717" s="3" t="inlineStr">
        <is>
          <t>서평리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2025</v>
      </c>
      <c r="B8718" s="4" t="n">
        <v>1750</v>
      </c>
      <c r="C8718" s="4" t="n">
        <v>173</v>
      </c>
      <c r="D8718" s="4" t="n">
        <v>52.3325</v>
      </c>
      <c r="E8718" s="5" t="n">
        <v>33.4</v>
      </c>
      <c r="F8718" s="3" t="inlineStr">
        <is>
          <t>강내면</t>
        </is>
      </c>
      <c r="G8718" s="3" t="inlineStr">
        <is>
          <t>월탄리</t>
        </is>
      </c>
      <c r="H8718" s="3" t="inlineStr">
        <is>
          <t>계획관리지역</t>
        </is>
      </c>
      <c r="I8718" s="3" t="inlineStr">
        <is>
          <t>임야</t>
        </is>
      </c>
      <c r="J8718" s="3" t="inlineStr">
        <is>
          <t>강내면</t>
        </is>
      </c>
    </row>
    <row r="8719">
      <c r="A8719" s="3" t="n">
        <v>2025</v>
      </c>
      <c r="B8719" s="4" t="n">
        <v>5250</v>
      </c>
      <c r="C8719" s="4" t="n">
        <v>521</v>
      </c>
      <c r="D8719" s="4" t="n">
        <v>157.6025</v>
      </c>
      <c r="E8719" s="5" t="n">
        <v>33.3</v>
      </c>
      <c r="F8719" s="3" t="inlineStr">
        <is>
          <t>강내면</t>
        </is>
      </c>
      <c r="G8719" s="3" t="inlineStr">
        <is>
          <t>월탄리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강내면</t>
        </is>
      </c>
    </row>
    <row r="8720">
      <c r="A8720" s="3" t="n">
        <v>2026</v>
      </c>
      <c r="B8720" s="4" t="n">
        <v>6466</v>
      </c>
      <c r="C8720" s="4" t="n">
        <v>375</v>
      </c>
      <c r="D8720" s="4" t="n">
        <v>113.4375</v>
      </c>
      <c r="E8720" s="5" t="n">
        <v>57</v>
      </c>
      <c r="F8720" s="3" t="inlineStr">
        <is>
          <t>오송읍</t>
        </is>
      </c>
      <c r="G8720" s="3" t="inlineStr">
        <is>
          <t>공북리</t>
        </is>
      </c>
      <c r="H8720" s="3" t="inlineStr">
        <is>
          <t>농림지역</t>
        </is>
      </c>
      <c r="I8720" s="3" t="inlineStr">
        <is>
          <t>임야</t>
        </is>
      </c>
      <c r="J8720" s="3" t="inlineStr">
        <is>
          <t>오송읍</t>
        </is>
      </c>
    </row>
    <row r="8721">
      <c r="A8721" s="3" t="n">
        <v>2026</v>
      </c>
      <c r="B8721" s="4" t="n">
        <v>7187</v>
      </c>
      <c r="C8721" s="4" t="n">
        <v>144</v>
      </c>
      <c r="D8721" s="4" t="n">
        <v>43.56</v>
      </c>
      <c r="E8721" s="5" t="n">
        <v>165</v>
      </c>
      <c r="F8721" s="3" t="inlineStr">
        <is>
          <t>강내면</t>
        </is>
      </c>
      <c r="G8721" s="3" t="inlineStr">
        <is>
          <t>다락리</t>
        </is>
      </c>
      <c r="H8721" s="3" t="inlineStr">
        <is>
          <t>일반공업지역</t>
        </is>
      </c>
      <c r="I8721" s="3" t="inlineStr">
        <is>
          <t>과수원</t>
        </is>
      </c>
      <c r="J8721" s="3" t="inlineStr">
        <is>
          <t>강내면</t>
        </is>
      </c>
    </row>
    <row r="8722">
      <c r="A8722" s="3" t="n">
        <v>2026</v>
      </c>
      <c r="B8722" s="4" t="n">
        <v>14624</v>
      </c>
      <c r="C8722" s="4" t="n">
        <v>293</v>
      </c>
      <c r="D8722" s="4" t="n">
        <v>88.63249999999999</v>
      </c>
      <c r="E8722" s="5" t="n">
        <v>165</v>
      </c>
      <c r="F8722" s="3" t="inlineStr">
        <is>
          <t>강내면</t>
        </is>
      </c>
      <c r="G8722" s="3" t="inlineStr">
        <is>
          <t>다락리</t>
        </is>
      </c>
      <c r="H8722" s="3" t="inlineStr">
        <is>
          <t>일반공업지역</t>
        </is>
      </c>
      <c r="I8722" s="3" t="inlineStr">
        <is>
          <t>임야</t>
        </is>
      </c>
      <c r="J8722" s="3" t="inlineStr">
        <is>
          <t>강내면</t>
        </is>
      </c>
    </row>
    <row r="8723">
      <c r="A8723" s="3" t="n">
        <v>2026</v>
      </c>
      <c r="B8723" s="4" t="n">
        <v>5000</v>
      </c>
      <c r="C8723" s="4" t="n">
        <v>4317</v>
      </c>
      <c r="D8723" s="4" t="n">
        <v>1305.8925</v>
      </c>
      <c r="E8723" s="5" t="n">
        <v>3.8</v>
      </c>
      <c r="F8723" s="3" t="inlineStr">
        <is>
          <t>오송읍</t>
        </is>
      </c>
      <c r="G8723" s="3" t="inlineStr">
        <is>
          <t>상봉리</t>
        </is>
      </c>
      <c r="H8723" s="3" t="inlineStr">
        <is>
          <t>보전관리지역</t>
        </is>
      </c>
      <c r="I8723" s="3" t="inlineStr">
        <is>
          <t>임야</t>
        </is>
      </c>
      <c r="J8723" s="3" t="inlineStr">
        <is>
          <t>오송읍</t>
        </is>
      </c>
    </row>
    <row r="8724">
      <c r="A8724" s="3" t="n">
        <v>2026</v>
      </c>
      <c r="B8724" s="4" t="n">
        <v>23674</v>
      </c>
      <c r="C8724" s="4" t="n">
        <v>543.5</v>
      </c>
      <c r="D8724" s="4" t="n">
        <v>164.40875</v>
      </c>
      <c r="E8724" s="5" t="n">
        <v>144</v>
      </c>
      <c r="F8724" s="3" t="inlineStr">
        <is>
          <t>강내면</t>
        </is>
      </c>
      <c r="G8724" s="3" t="inlineStr">
        <is>
          <t>사곡리</t>
        </is>
      </c>
      <c r="H8724" s="3" t="inlineStr">
        <is>
          <t>보전관리지역</t>
        </is>
      </c>
      <c r="I8724" s="3" t="inlineStr">
        <is>
          <t>대</t>
        </is>
      </c>
      <c r="J8724" s="3" t="inlineStr">
        <is>
          <t>강내면</t>
        </is>
      </c>
    </row>
    <row r="8725">
      <c r="A8725" s="3" t="n">
        <v>2026</v>
      </c>
      <c r="B8725" s="4" t="n">
        <v>10000</v>
      </c>
      <c r="C8725" s="4" t="n">
        <v>351</v>
      </c>
      <c r="D8725" s="4" t="n">
        <v>106.1775</v>
      </c>
      <c r="E8725" s="5" t="n">
        <v>94.2</v>
      </c>
      <c r="F8725" s="3" t="inlineStr">
        <is>
          <t>강내면</t>
        </is>
      </c>
      <c r="G8725" s="3" t="inlineStr">
        <is>
          <t>사인리</t>
        </is>
      </c>
      <c r="H8725" s="3" t="inlineStr">
        <is>
          <t>자연녹지지역</t>
        </is>
      </c>
      <c r="I8725" s="3" t="inlineStr">
        <is>
          <t>대</t>
        </is>
      </c>
      <c r="J8725" s="3" t="inlineStr">
        <is>
          <t>강내면</t>
        </is>
      </c>
    </row>
    <row r="8726">
      <c r="A8726" s="3" t="n">
        <v>2026</v>
      </c>
      <c r="B8726" s="4" t="n">
        <v>24000</v>
      </c>
      <c r="C8726" s="4" t="n">
        <v>854</v>
      </c>
      <c r="D8726" s="4" t="n">
        <v>258.335</v>
      </c>
      <c r="E8726" s="5" t="n">
        <v>92.90000000000001</v>
      </c>
      <c r="F8726" s="3" t="inlineStr">
        <is>
          <t>오송읍</t>
        </is>
      </c>
      <c r="G8726" s="3" t="inlineStr">
        <is>
          <t>서평리</t>
        </is>
      </c>
      <c r="H8726" s="3" t="inlineStr">
        <is>
          <t>농림지역</t>
        </is>
      </c>
      <c r="I8726" s="3" t="inlineStr">
        <is>
          <t>답</t>
        </is>
      </c>
      <c r="J8726" s="3" t="inlineStr">
        <is>
          <t>오송읍</t>
        </is>
      </c>
    </row>
    <row r="8727">
      <c r="A8727" s="3" t="n">
        <v>2022</v>
      </c>
      <c r="B8727" s="4" t="n">
        <v>80000</v>
      </c>
      <c r="C8727" s="4" t="n">
        <v>815.7</v>
      </c>
      <c r="D8727" s="4" t="n">
        <v>246.74925</v>
      </c>
      <c r="E8727" s="5" t="n">
        <v>324.2</v>
      </c>
      <c r="F8727" s="3" t="inlineStr">
        <is>
          <t>오송읍</t>
        </is>
      </c>
      <c r="G8727" s="3" t="inlineStr">
        <is>
          <t>오송리</t>
        </is>
      </c>
      <c r="H8727" s="3" t="inlineStr">
        <is>
          <t>농림지역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2022</v>
      </c>
      <c r="B8728" s="4" t="n">
        <v>11000</v>
      </c>
      <c r="C8728" s="4" t="n">
        <v>182</v>
      </c>
      <c r="D8728" s="4" t="n">
        <v>55.055</v>
      </c>
      <c r="E8728" s="5" t="n">
        <v>199.8</v>
      </c>
      <c r="F8728" s="3" t="inlineStr">
        <is>
          <t>오송읍</t>
        </is>
      </c>
      <c r="G8728" s="3" t="inlineStr">
        <is>
          <t>오송리</t>
        </is>
      </c>
      <c r="H8728" s="3" t="inlineStr">
        <is>
          <t>계획관리지역</t>
        </is>
      </c>
      <c r="I8728" s="3" t="inlineStr">
        <is>
          <t>대</t>
        </is>
      </c>
      <c r="J8728" s="3" t="inlineStr">
        <is>
          <t>오송읍</t>
        </is>
      </c>
    </row>
    <row r="8729">
      <c r="A8729" s="3" t="n">
        <v>2022</v>
      </c>
      <c r="B8729" s="4" t="n">
        <v>55000</v>
      </c>
      <c r="C8729" s="4" t="n">
        <v>275.5</v>
      </c>
      <c r="D8729" s="4" t="n">
        <v>83.33875</v>
      </c>
      <c r="E8729" s="5" t="n">
        <v>660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2022</v>
      </c>
      <c r="B8730" s="4" t="n">
        <v>2632</v>
      </c>
      <c r="C8730" s="4" t="n">
        <v>29</v>
      </c>
      <c r="D8730" s="4" t="n">
        <v>8.772499999999999</v>
      </c>
      <c r="E8730" s="5" t="n">
        <v>300</v>
      </c>
      <c r="F8730" s="3" t="inlineStr">
        <is>
          <t>오송읍</t>
        </is>
      </c>
      <c r="G8730" s="3" t="inlineStr">
        <is>
          <t>봉산리</t>
        </is>
      </c>
      <c r="H8730" s="3" t="inlineStr">
        <is>
          <t>계획관리지역</t>
        </is>
      </c>
      <c r="I8730" s="3" t="inlineStr">
        <is>
          <t>전</t>
        </is>
      </c>
      <c r="J8730" s="3" t="inlineStr">
        <is>
          <t>오송읍</t>
        </is>
      </c>
    </row>
    <row r="8731">
      <c r="A8731" s="3" t="n">
        <v>2022</v>
      </c>
      <c r="B8731" s="4" t="n">
        <v>180000</v>
      </c>
      <c r="C8731" s="4" t="n">
        <v>1983</v>
      </c>
      <c r="D8731" s="4" t="n">
        <v>599.8575</v>
      </c>
      <c r="E8731" s="5" t="n">
        <v>300.1</v>
      </c>
      <c r="F8731" s="3" t="inlineStr">
        <is>
          <t>강내면</t>
        </is>
      </c>
      <c r="G8731" s="3" t="inlineStr">
        <is>
          <t>다락리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강내면</t>
        </is>
      </c>
    </row>
    <row r="8732">
      <c r="A8732" s="3" t="n">
        <v>2022</v>
      </c>
      <c r="B8732" s="4" t="n">
        <v>34600</v>
      </c>
      <c r="C8732" s="4" t="n">
        <v>1907</v>
      </c>
      <c r="D8732" s="4" t="n">
        <v>576.8674999999999</v>
      </c>
      <c r="E8732" s="5" t="n">
        <v>60</v>
      </c>
      <c r="F8732" s="3" t="inlineStr">
        <is>
          <t>오송읍</t>
        </is>
      </c>
      <c r="G8732" s="3" t="inlineStr">
        <is>
          <t>궁평리</t>
        </is>
      </c>
      <c r="H8732" s="3" t="inlineStr">
        <is>
          <t>농림지역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2022</v>
      </c>
      <c r="B8733" s="4" t="n">
        <v>39000</v>
      </c>
      <c r="C8733" s="4" t="n">
        <v>261.9</v>
      </c>
      <c r="D8733" s="4" t="n">
        <v>79.22474999999999</v>
      </c>
      <c r="E8733" s="5" t="n">
        <v>492.3</v>
      </c>
      <c r="F8733" s="3" t="inlineStr">
        <is>
          <t>오송읍</t>
        </is>
      </c>
      <c r="G8733" s="3" t="inlineStr">
        <is>
          <t>봉산리</t>
        </is>
      </c>
      <c r="H8733" s="3" t="inlineStr">
        <is>
          <t>제1종일반주거지역</t>
        </is>
      </c>
      <c r="I8733" s="3" t="inlineStr">
        <is>
          <t>대</t>
        </is>
      </c>
      <c r="J8733" s="3" t="inlineStr">
        <is>
          <t>오송읍</t>
        </is>
      </c>
    </row>
    <row r="8734">
      <c r="A8734" s="3" t="n">
        <v>2022</v>
      </c>
      <c r="B8734" s="4" t="n">
        <v>130000</v>
      </c>
      <c r="C8734" s="4" t="n">
        <v>2988</v>
      </c>
      <c r="D8734" s="4" t="n">
        <v>903.87</v>
      </c>
      <c r="E8734" s="5" t="n">
        <v>143.8</v>
      </c>
      <c r="F8734" s="3" t="inlineStr">
        <is>
          <t>강내면</t>
        </is>
      </c>
      <c r="G8734" s="3" t="inlineStr">
        <is>
          <t>태성리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2022</v>
      </c>
      <c r="B8735" s="4" t="n">
        <v>130000</v>
      </c>
      <c r="C8735" s="4" t="n">
        <v>2988</v>
      </c>
      <c r="D8735" s="4" t="n">
        <v>903.87</v>
      </c>
      <c r="E8735" s="5" t="n">
        <v>143.8</v>
      </c>
      <c r="F8735" s="3" t="inlineStr">
        <is>
          <t>강내면</t>
        </is>
      </c>
      <c r="G8735" s="3" t="inlineStr">
        <is>
          <t>태성리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2022</v>
      </c>
      <c r="B8736" s="4" t="n">
        <v>110000</v>
      </c>
      <c r="C8736" s="4" t="n">
        <v>575</v>
      </c>
      <c r="D8736" s="4" t="n">
        <v>173.9375</v>
      </c>
      <c r="E8736" s="5" t="n">
        <v>632.4</v>
      </c>
      <c r="F8736" s="3" t="inlineStr">
        <is>
          <t>오송읍</t>
        </is>
      </c>
      <c r="G8736" s="3" t="inlineStr">
        <is>
          <t>만수리</t>
        </is>
      </c>
      <c r="H8736" s="3" t="inlineStr">
        <is>
          <t>일반상업지역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2022</v>
      </c>
      <c r="B8737" s="4" t="n">
        <v>2200</v>
      </c>
      <c r="C8737" s="4" t="n">
        <v>302</v>
      </c>
      <c r="D8737" s="4" t="n">
        <v>91.355</v>
      </c>
      <c r="E8737" s="5" t="n">
        <v>24.1</v>
      </c>
      <c r="F8737" s="3" t="inlineStr">
        <is>
          <t>강내면</t>
        </is>
      </c>
      <c r="G8737" s="3" t="inlineStr">
        <is>
          <t>황탄리</t>
        </is>
      </c>
      <c r="H8737" s="3" t="inlineStr">
        <is>
          <t>농림지역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2022</v>
      </c>
      <c r="B8738" s="4" t="n">
        <v>2566</v>
      </c>
      <c r="C8738" s="4" t="n">
        <v>536</v>
      </c>
      <c r="D8738" s="4" t="n">
        <v>162.14</v>
      </c>
      <c r="E8738" s="5" t="n">
        <v>15.8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생산녹지지역</t>
        </is>
      </c>
      <c r="I8738" s="3" t="inlineStr">
        <is>
          <t>임야</t>
        </is>
      </c>
      <c r="J8738" s="3" t="inlineStr">
        <is>
          <t>강내면</t>
        </is>
      </c>
    </row>
    <row r="8739">
      <c r="A8739" s="3" t="n">
        <v>2022</v>
      </c>
      <c r="B8739" s="4" t="n">
        <v>364</v>
      </c>
      <c r="C8739" s="4" t="n">
        <v>76</v>
      </c>
      <c r="D8739" s="4" t="n">
        <v>22.99</v>
      </c>
      <c r="E8739" s="5" t="n">
        <v>15.8</v>
      </c>
      <c r="F8739" s="3" t="inlineStr">
        <is>
          <t>강내면</t>
        </is>
      </c>
      <c r="G8739" s="3" t="inlineStr">
        <is>
          <t>학천리</t>
        </is>
      </c>
      <c r="H8739" s="3" t="inlineStr">
        <is>
          <t>생산녹지지역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2022</v>
      </c>
      <c r="B8740" s="4" t="n">
        <v>38000</v>
      </c>
      <c r="C8740" s="4" t="n">
        <v>331</v>
      </c>
      <c r="D8740" s="4" t="n">
        <v>100.1275</v>
      </c>
      <c r="E8740" s="5" t="n">
        <v>379.5</v>
      </c>
      <c r="F8740" s="3" t="inlineStr">
        <is>
          <t>강내면</t>
        </is>
      </c>
      <c r="G8740" s="3" t="inlineStr">
        <is>
          <t>월곡리</t>
        </is>
      </c>
      <c r="H8740" s="3" t="inlineStr">
        <is>
          <t>제2종일반주거지역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2022</v>
      </c>
      <c r="B8741" s="4" t="n">
        <v>44400</v>
      </c>
      <c r="C8741" s="4" t="n">
        <v>4214</v>
      </c>
      <c r="D8741" s="4" t="n">
        <v>1274.735</v>
      </c>
      <c r="E8741" s="5" t="n">
        <v>34.8</v>
      </c>
      <c r="F8741" s="3" t="inlineStr">
        <is>
          <t>강내면</t>
        </is>
      </c>
      <c r="G8741" s="3" t="inlineStr">
        <is>
          <t>탑연리</t>
        </is>
      </c>
      <c r="H8741" s="3" t="inlineStr">
        <is>
          <t>자연녹지지역</t>
        </is>
      </c>
      <c r="I8741" s="3" t="inlineStr">
        <is>
          <t>전</t>
        </is>
      </c>
      <c r="J8741" s="3" t="inlineStr">
        <is>
          <t>강내면</t>
        </is>
      </c>
    </row>
    <row r="8742">
      <c r="A8742" s="3" t="n">
        <v>2022</v>
      </c>
      <c r="B8742" s="4" t="n">
        <v>6600</v>
      </c>
      <c r="C8742" s="4" t="n">
        <v>628</v>
      </c>
      <c r="D8742" s="4" t="n">
        <v>189.97</v>
      </c>
      <c r="E8742" s="5" t="n">
        <v>34.7</v>
      </c>
      <c r="F8742" s="3" t="inlineStr">
        <is>
          <t>강내면</t>
        </is>
      </c>
      <c r="G8742" s="3" t="inlineStr">
        <is>
          <t>탑연리</t>
        </is>
      </c>
      <c r="H8742" s="3" t="inlineStr">
        <is>
          <t>자연녹지지역</t>
        </is>
      </c>
      <c r="I8742" s="3" t="inlineStr">
        <is>
          <t>전</t>
        </is>
      </c>
      <c r="J8742" s="3" t="inlineStr">
        <is>
          <t>강내면</t>
        </is>
      </c>
    </row>
    <row r="8743">
      <c r="A8743" s="3" t="n">
        <v>2022</v>
      </c>
      <c r="B8743" s="4" t="n">
        <v>1500</v>
      </c>
      <c r="C8743" s="4" t="n">
        <v>15</v>
      </c>
      <c r="D8743" s="4" t="n">
        <v>4.5375</v>
      </c>
      <c r="E8743" s="5" t="n">
        <v>330.6</v>
      </c>
      <c r="F8743" s="3" t="inlineStr">
        <is>
          <t>오송읍</t>
        </is>
      </c>
      <c r="G8743" s="3" t="inlineStr">
        <is>
          <t>오송리</t>
        </is>
      </c>
      <c r="H8743" s="3" t="inlineStr">
        <is>
          <t>계획관리지역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2022</v>
      </c>
      <c r="B8744" s="4" t="n">
        <v>53000</v>
      </c>
      <c r="C8744" s="4" t="n">
        <v>3309</v>
      </c>
      <c r="D8744" s="4" t="n">
        <v>1000.9725</v>
      </c>
      <c r="E8744" s="5" t="n">
        <v>52.9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2022</v>
      </c>
      <c r="B8745" s="4" t="n">
        <v>100</v>
      </c>
      <c r="C8745" s="4" t="n">
        <v>7</v>
      </c>
      <c r="D8745" s="4" t="n">
        <v>2.1175</v>
      </c>
      <c r="E8745" s="5" t="n">
        <v>47.2</v>
      </c>
      <c r="F8745" s="3" t="inlineStr">
        <is>
          <t>강내면</t>
        </is>
      </c>
      <c r="G8745" s="3" t="inlineStr">
        <is>
          <t>산단리</t>
        </is>
      </c>
      <c r="H8745" s="3" t="inlineStr">
        <is>
          <t>계획관리지역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2022</v>
      </c>
      <c r="B8746" s="4" t="n">
        <v>235000</v>
      </c>
      <c r="C8746" s="4" t="n">
        <v>4099</v>
      </c>
      <c r="D8746" s="4" t="n">
        <v>1239.9475</v>
      </c>
      <c r="E8746" s="5" t="n">
        <v>189.5</v>
      </c>
      <c r="F8746" s="3" t="inlineStr">
        <is>
          <t>오송읍</t>
        </is>
      </c>
      <c r="G8746" s="3" t="inlineStr">
        <is>
          <t>궁평리</t>
        </is>
      </c>
      <c r="H8746" s="3" t="inlineStr">
        <is>
          <t>농림지역</t>
        </is>
      </c>
      <c r="I8746" s="3" t="inlineStr">
        <is>
          <t>답</t>
        </is>
      </c>
      <c r="J8746" s="3" t="inlineStr">
        <is>
          <t>오송읍</t>
        </is>
      </c>
    </row>
    <row r="8747">
      <c r="A8747" s="3" t="n">
        <v>2022</v>
      </c>
      <c r="B8747" s="4" t="n">
        <v>800</v>
      </c>
      <c r="C8747" s="4" t="n">
        <v>30</v>
      </c>
      <c r="D8747" s="4" t="n">
        <v>9.074999999999999</v>
      </c>
      <c r="E8747" s="5" t="n">
        <v>88.2</v>
      </c>
      <c r="F8747" s="3" t="inlineStr">
        <is>
          <t>강내면</t>
        </is>
      </c>
      <c r="G8747" s="3" t="inlineStr">
        <is>
          <t>산단리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강내면</t>
        </is>
      </c>
    </row>
    <row r="8748">
      <c r="A8748" s="3" t="n">
        <v>2022</v>
      </c>
      <c r="B8748" s="4" t="n">
        <v>45000</v>
      </c>
      <c r="C8748" s="4" t="n">
        <v>3557</v>
      </c>
      <c r="D8748" s="4" t="n">
        <v>1075.9925</v>
      </c>
      <c r="E8748" s="5" t="n">
        <v>41.8</v>
      </c>
      <c r="F8748" s="3" t="inlineStr">
        <is>
          <t>강내면</t>
        </is>
      </c>
      <c r="G8748" s="3" t="inlineStr">
        <is>
          <t>궁현리</t>
        </is>
      </c>
      <c r="H8748" s="3" t="inlineStr">
        <is>
          <t>농림지역</t>
        </is>
      </c>
      <c r="I8748" s="3" t="inlineStr">
        <is>
          <t>답</t>
        </is>
      </c>
      <c r="J8748" s="3" t="inlineStr">
        <is>
          <t>강내면</t>
        </is>
      </c>
    </row>
    <row r="8749">
      <c r="A8749" s="3" t="n">
        <v>2024</v>
      </c>
      <c r="B8749" s="4" t="n">
        <v>42121</v>
      </c>
      <c r="C8749" s="4" t="n">
        <v>2162</v>
      </c>
      <c r="D8749" s="4" t="n">
        <v>654.005</v>
      </c>
      <c r="E8749" s="5" t="n">
        <v>64.40000000000001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2024</v>
      </c>
      <c r="B8750" s="4" t="n">
        <v>88879</v>
      </c>
      <c r="C8750" s="4" t="n">
        <v>4562</v>
      </c>
      <c r="D8750" s="4" t="n">
        <v>1380.005</v>
      </c>
      <c r="E8750" s="5" t="n">
        <v>64.40000000000001</v>
      </c>
      <c r="F8750" s="3" t="inlineStr">
        <is>
          <t>오송읍</t>
        </is>
      </c>
      <c r="G8750" s="3" t="inlineStr">
        <is>
          <t>서평리</t>
        </is>
      </c>
      <c r="H8750" s="3" t="inlineStr">
        <is>
          <t>농림지역</t>
        </is>
      </c>
      <c r="I8750" s="3" t="inlineStr">
        <is>
          <t>답</t>
        </is>
      </c>
      <c r="J8750" s="3" t="inlineStr">
        <is>
          <t>오송읍</t>
        </is>
      </c>
    </row>
    <row r="8751">
      <c r="A8751" s="3" t="n">
        <v>2024</v>
      </c>
      <c r="B8751" s="4" t="n">
        <v>7900</v>
      </c>
      <c r="C8751" s="4" t="n">
        <v>375</v>
      </c>
      <c r="D8751" s="4" t="n">
        <v>113.4375</v>
      </c>
      <c r="E8751" s="5" t="n">
        <v>69.59999999999999</v>
      </c>
      <c r="F8751" s="3" t="inlineStr">
        <is>
          <t>강내면</t>
        </is>
      </c>
      <c r="G8751" s="3" t="inlineStr">
        <is>
          <t>태성리</t>
        </is>
      </c>
      <c r="H8751" s="3" t="inlineStr">
        <is>
          <t>계획관리지역</t>
        </is>
      </c>
      <c r="I8751" s="3" t="inlineStr">
        <is>
          <t>답</t>
        </is>
      </c>
      <c r="J8751" s="3" t="inlineStr">
        <is>
          <t>강내면</t>
        </is>
      </c>
    </row>
    <row r="8752">
      <c r="A8752" s="3" t="n">
        <v>2024</v>
      </c>
      <c r="B8752" s="4" t="n">
        <v>25000</v>
      </c>
      <c r="C8752" s="4" t="n">
        <v>241.4</v>
      </c>
      <c r="D8752" s="4" t="n">
        <v>73.0235</v>
      </c>
      <c r="E8752" s="5" t="n">
        <v>342.4</v>
      </c>
      <c r="F8752" s="3" t="inlineStr">
        <is>
          <t>오송읍</t>
        </is>
      </c>
      <c r="G8752" s="3" t="inlineStr">
        <is>
          <t>봉산리</t>
        </is>
      </c>
      <c r="H8752" s="3" t="inlineStr">
        <is>
          <t>제1종일반주거지역</t>
        </is>
      </c>
      <c r="I8752" s="3" t="inlineStr">
        <is>
          <t>대</t>
        </is>
      </c>
      <c r="J8752" s="3" t="inlineStr">
        <is>
          <t>오송읍</t>
        </is>
      </c>
    </row>
    <row r="8753">
      <c r="A8753" s="3" t="n">
        <v>2024</v>
      </c>
      <c r="B8753" s="4" t="n">
        <v>2443</v>
      </c>
      <c r="C8753" s="4" t="n">
        <v>112</v>
      </c>
      <c r="D8753" s="4" t="n">
        <v>33.88</v>
      </c>
      <c r="E8753" s="5" t="n">
        <v>72.09999999999999</v>
      </c>
      <c r="F8753" s="3" t="inlineStr">
        <is>
          <t>오송읍</t>
        </is>
      </c>
      <c r="G8753" s="3" t="inlineStr">
        <is>
          <t>상봉리</t>
        </is>
      </c>
      <c r="H8753" s="3" t="inlineStr">
        <is>
          <t>생산관리지역</t>
        </is>
      </c>
      <c r="I8753" s="3" t="inlineStr">
        <is>
          <t>임야</t>
        </is>
      </c>
      <c r="J8753" s="3" t="inlineStr">
        <is>
          <t>오송읍</t>
        </is>
      </c>
    </row>
    <row r="8754">
      <c r="A8754" s="3" t="n">
        <v>2024</v>
      </c>
      <c r="B8754" s="4" t="n">
        <v>50489</v>
      </c>
      <c r="C8754" s="4" t="n">
        <v>2314</v>
      </c>
      <c r="D8754" s="4" t="n">
        <v>699.985</v>
      </c>
      <c r="E8754" s="5" t="n">
        <v>72.09999999999999</v>
      </c>
      <c r="F8754" s="3" t="inlineStr">
        <is>
          <t>오송읍</t>
        </is>
      </c>
      <c r="G8754" s="3" t="inlineStr">
        <is>
          <t>상봉리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2024</v>
      </c>
      <c r="B8755" s="4" t="n">
        <v>20291</v>
      </c>
      <c r="C8755" s="4" t="n">
        <v>559</v>
      </c>
      <c r="D8755" s="4" t="n">
        <v>169.0975</v>
      </c>
      <c r="E8755" s="5" t="n">
        <v>120</v>
      </c>
      <c r="F8755" s="3" t="inlineStr">
        <is>
          <t>강내면</t>
        </is>
      </c>
      <c r="G8755" s="3" t="inlineStr">
        <is>
          <t>다락리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강내면</t>
        </is>
      </c>
    </row>
    <row r="8756">
      <c r="A8756" s="3" t="n">
        <v>2024</v>
      </c>
      <c r="B8756" s="4" t="n">
        <v>2500</v>
      </c>
      <c r="C8756" s="4" t="n">
        <v>112</v>
      </c>
      <c r="D8756" s="4" t="n">
        <v>33.88</v>
      </c>
      <c r="E8756" s="5" t="n">
        <v>73.8</v>
      </c>
      <c r="F8756" s="3" t="inlineStr">
        <is>
          <t>강내면</t>
        </is>
      </c>
      <c r="G8756" s="3" t="inlineStr">
        <is>
          <t>저산리</t>
        </is>
      </c>
      <c r="H8756" s="3" t="inlineStr">
        <is>
          <t>계획관리지역</t>
        </is>
      </c>
      <c r="I8756" s="3" t="inlineStr">
        <is>
          <t>대</t>
        </is>
      </c>
      <c r="J8756" s="3" t="inlineStr">
        <is>
          <t>강내면</t>
        </is>
      </c>
    </row>
    <row r="8757">
      <c r="A8757" s="3" t="n">
        <v>2024</v>
      </c>
      <c r="B8757" s="4" t="n">
        <v>81340</v>
      </c>
      <c r="C8757" s="4" t="n">
        <v>3729</v>
      </c>
      <c r="D8757" s="4" t="n">
        <v>1128.0225</v>
      </c>
      <c r="E8757" s="5" t="n">
        <v>72.09999999999999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2024</v>
      </c>
      <c r="B8758" s="4" t="n">
        <v>18000</v>
      </c>
      <c r="C8758" s="4" t="n">
        <v>2394.9</v>
      </c>
      <c r="D8758" s="4" t="n">
        <v>724.45725</v>
      </c>
      <c r="E8758" s="5" t="n">
        <v>24.8</v>
      </c>
      <c r="F8758" s="3" t="inlineStr">
        <is>
          <t>강내면</t>
        </is>
      </c>
      <c r="G8758" s="3" t="inlineStr">
        <is>
          <t>황탄리</t>
        </is>
      </c>
      <c r="H8758" s="3" t="inlineStr">
        <is>
          <t>농림지역</t>
        </is>
      </c>
      <c r="I8758" s="3" t="inlineStr">
        <is>
          <t>답</t>
        </is>
      </c>
      <c r="J8758" s="3" t="inlineStr">
        <is>
          <t>강내면</t>
        </is>
      </c>
    </row>
    <row r="8759">
      <c r="A8759" s="3" t="n">
        <v>2024</v>
      </c>
      <c r="B8759" s="4" t="n">
        <v>80000</v>
      </c>
      <c r="C8759" s="4" t="n">
        <v>2119</v>
      </c>
      <c r="D8759" s="4" t="n">
        <v>640.9974999999999</v>
      </c>
      <c r="E8759" s="5" t="n">
        <v>124.8</v>
      </c>
      <c r="F8759" s="3" t="inlineStr">
        <is>
          <t>강내면</t>
        </is>
      </c>
      <c r="G8759" s="3" t="inlineStr">
        <is>
          <t>월곡리</t>
        </is>
      </c>
      <c r="H8759" s="3" t="inlineStr">
        <is>
          <t>자연녹지지역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2024</v>
      </c>
      <c r="B8760" s="4" t="n">
        <v>9500</v>
      </c>
      <c r="C8760" s="4" t="n">
        <v>274</v>
      </c>
      <c r="D8760" s="4" t="n">
        <v>82.88499999999999</v>
      </c>
      <c r="E8760" s="5" t="n">
        <v>114.6</v>
      </c>
      <c r="F8760" s="3" t="inlineStr">
        <is>
          <t>오송읍</t>
        </is>
      </c>
      <c r="G8760" s="3" t="inlineStr">
        <is>
          <t>쌍청리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2024</v>
      </c>
      <c r="B8761" s="4" t="n">
        <v>38800</v>
      </c>
      <c r="C8761" s="4" t="n">
        <v>300</v>
      </c>
      <c r="D8761" s="4" t="n">
        <v>90.75</v>
      </c>
      <c r="E8761" s="5" t="n">
        <v>427.5</v>
      </c>
      <c r="F8761" s="3" t="inlineStr">
        <is>
          <t>오송읍</t>
        </is>
      </c>
      <c r="G8761" s="3" t="inlineStr">
        <is>
          <t>오송리</t>
        </is>
      </c>
      <c r="H8761" s="3" t="inlineStr">
        <is>
          <t>제1종일반주거지역</t>
        </is>
      </c>
      <c r="I8761" s="3" t="inlineStr">
        <is>
          <t>대</t>
        </is>
      </c>
      <c r="J8761" s="3" t="inlineStr">
        <is>
          <t>오송읍</t>
        </is>
      </c>
    </row>
    <row r="8762">
      <c r="A8762" s="3" t="n">
        <v>2024</v>
      </c>
      <c r="B8762" s="4" t="n">
        <v>8000</v>
      </c>
      <c r="C8762" s="4" t="n">
        <v>380</v>
      </c>
      <c r="D8762" s="4" t="n">
        <v>114.95</v>
      </c>
      <c r="E8762" s="5" t="n">
        <v>69.59999999999999</v>
      </c>
      <c r="F8762" s="3" t="inlineStr">
        <is>
          <t>강내면</t>
        </is>
      </c>
      <c r="G8762" s="3" t="inlineStr">
        <is>
          <t>태성리</t>
        </is>
      </c>
      <c r="H8762" s="3" t="inlineStr">
        <is>
          <t>계획관리지역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2024</v>
      </c>
      <c r="B8763" s="4" t="n">
        <v>9223</v>
      </c>
      <c r="C8763" s="4" t="n">
        <v>504</v>
      </c>
      <c r="D8763" s="4" t="n">
        <v>152.46</v>
      </c>
      <c r="E8763" s="5" t="n">
        <v>60.5</v>
      </c>
      <c r="F8763" s="3" t="inlineStr">
        <is>
          <t>오송읍</t>
        </is>
      </c>
      <c r="G8763" s="3" t="inlineStr">
        <is>
          <t>공북리</t>
        </is>
      </c>
      <c r="H8763" s="3" t="inlineStr">
        <is>
          <t>농림지역</t>
        </is>
      </c>
      <c r="I8763" s="3" t="inlineStr">
        <is>
          <t>전</t>
        </is>
      </c>
      <c r="J8763" s="3" t="inlineStr">
        <is>
          <t>오송읍</t>
        </is>
      </c>
    </row>
    <row r="8764">
      <c r="A8764" s="3" t="n">
        <v>2024</v>
      </c>
      <c r="B8764" s="4" t="n">
        <v>2949</v>
      </c>
      <c r="C8764" s="4" t="n">
        <v>240</v>
      </c>
      <c r="D8764" s="4" t="n">
        <v>72.59999999999999</v>
      </c>
      <c r="E8764" s="5" t="n">
        <v>40.6</v>
      </c>
      <c r="F8764" s="3" t="inlineStr">
        <is>
          <t>오송읍</t>
        </is>
      </c>
      <c r="G8764" s="3" t="inlineStr">
        <is>
          <t>정중리</t>
        </is>
      </c>
      <c r="H8764" s="3" t="inlineStr">
        <is>
          <t>생산관리지역</t>
        </is>
      </c>
      <c r="I8764" s="3" t="inlineStr">
        <is>
          <t>전</t>
        </is>
      </c>
      <c r="J8764" s="3" t="inlineStr">
        <is>
          <t>오송읍</t>
        </is>
      </c>
    </row>
    <row r="8765">
      <c r="A8765" s="3" t="n">
        <v>2024</v>
      </c>
      <c r="B8765" s="4" t="n">
        <v>65000</v>
      </c>
      <c r="C8765" s="4" t="n">
        <v>1653</v>
      </c>
      <c r="D8765" s="4" t="n">
        <v>500.0325</v>
      </c>
      <c r="E8765" s="5" t="n">
        <v>130</v>
      </c>
      <c r="F8765" s="3" t="inlineStr">
        <is>
          <t>강내면</t>
        </is>
      </c>
      <c r="G8765" s="3" t="inlineStr">
        <is>
          <t>월곡리</t>
        </is>
      </c>
      <c r="H8765" s="3" t="inlineStr">
        <is>
          <t>자연녹지지역</t>
        </is>
      </c>
      <c r="I8765" s="3" t="inlineStr">
        <is>
          <t>답</t>
        </is>
      </c>
      <c r="J8765" s="3" t="inlineStr">
        <is>
          <t>강내면</t>
        </is>
      </c>
    </row>
    <row r="8766">
      <c r="A8766" s="3" t="n">
        <v>2024</v>
      </c>
      <c r="B8766" s="4" t="n">
        <v>5000</v>
      </c>
      <c r="C8766" s="4" t="n">
        <v>344</v>
      </c>
      <c r="D8766" s="4" t="n">
        <v>104.06</v>
      </c>
      <c r="E8766" s="5" t="n">
        <v>48</v>
      </c>
      <c r="F8766" s="3" t="inlineStr">
        <is>
          <t>오송읍</t>
        </is>
      </c>
      <c r="G8766" s="3" t="inlineStr">
        <is>
          <t>상봉리</t>
        </is>
      </c>
      <c r="H8766" s="3" t="inlineStr">
        <is>
          <t>계획관리지역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2026</v>
      </c>
      <c r="B8767" s="4" t="n">
        <v>6466</v>
      </c>
      <c r="C8767" s="4" t="n">
        <v>375</v>
      </c>
      <c r="D8767" s="4" t="n">
        <v>113.4375</v>
      </c>
      <c r="E8767" s="5" t="n">
        <v>57</v>
      </c>
      <c r="F8767" s="3" t="inlineStr">
        <is>
          <t>오송읍</t>
        </is>
      </c>
      <c r="G8767" s="3" t="inlineStr">
        <is>
          <t>공북리</t>
        </is>
      </c>
      <c r="H8767" s="3" t="inlineStr">
        <is>
          <t>농림지역</t>
        </is>
      </c>
      <c r="I8767" s="3" t="inlineStr">
        <is>
          <t>임야</t>
        </is>
      </c>
      <c r="J8767" s="3" t="inlineStr">
        <is>
          <t>오송읍</t>
        </is>
      </c>
    </row>
    <row r="8768">
      <c r="A8768" s="3" t="n">
        <v>2026</v>
      </c>
      <c r="B8768" s="4" t="n">
        <v>34056</v>
      </c>
      <c r="C8768" s="4" t="n">
        <v>4691</v>
      </c>
      <c r="D8768" s="4" t="n">
        <v>1419.0275</v>
      </c>
      <c r="E8768" s="5" t="n">
        <v>24</v>
      </c>
      <c r="F8768" s="3" t="inlineStr">
        <is>
          <t>강내면</t>
        </is>
      </c>
      <c r="G8768" s="3" t="inlineStr">
        <is>
          <t>사곡리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2026</v>
      </c>
      <c r="B8769" s="4" t="n">
        <v>17633</v>
      </c>
      <c r="C8769" s="4" t="n">
        <v>948</v>
      </c>
      <c r="D8769" s="4" t="n">
        <v>286.77</v>
      </c>
      <c r="E8769" s="5" t="n">
        <v>61.5</v>
      </c>
      <c r="F8769" s="3" t="inlineStr">
        <is>
          <t>오송읍</t>
        </is>
      </c>
      <c r="G8769" s="3" t="inlineStr">
        <is>
          <t>공북리</t>
        </is>
      </c>
      <c r="H8769" s="3" t="inlineStr">
        <is>
          <t>농림지역</t>
        </is>
      </c>
      <c r="I8769" s="3" t="inlineStr">
        <is>
          <t>전</t>
        </is>
      </c>
      <c r="J8769" s="3" t="inlineStr">
        <is>
          <t>오송읍</t>
        </is>
      </c>
    </row>
    <row r="8770">
      <c r="A8770" s="3" t="n">
        <v>2026</v>
      </c>
      <c r="B8770" s="4" t="n">
        <v>59944</v>
      </c>
      <c r="C8770" s="4" t="n">
        <v>1649.9</v>
      </c>
      <c r="D8770" s="4" t="n">
        <v>499.09475</v>
      </c>
      <c r="E8770" s="5" t="n">
        <v>120.1</v>
      </c>
      <c r="F8770" s="3" t="inlineStr">
        <is>
          <t>오송읍</t>
        </is>
      </c>
      <c r="G8770" s="3" t="inlineStr">
        <is>
          <t>정중리</t>
        </is>
      </c>
      <c r="H8770" s="3" t="inlineStr">
        <is>
          <t>일반공업지역</t>
        </is>
      </c>
      <c r="I8770" s="3" t="inlineStr">
        <is>
          <t>공장용지</t>
        </is>
      </c>
      <c r="J8770" s="3" t="inlineStr">
        <is>
          <t>오송읍</t>
        </is>
      </c>
    </row>
    <row r="8771">
      <c r="A8771" s="3" t="n">
        <v>2026</v>
      </c>
      <c r="B8771" s="4" t="n">
        <v>12327</v>
      </c>
      <c r="C8771" s="4" t="n">
        <v>168.7</v>
      </c>
      <c r="D8771" s="4" t="n">
        <v>51.03175</v>
      </c>
      <c r="E8771" s="5" t="n">
        <v>241.6</v>
      </c>
      <c r="F8771" s="3" t="inlineStr">
        <is>
          <t>오송읍</t>
        </is>
      </c>
      <c r="G8771" s="3" t="inlineStr">
        <is>
          <t>만수리</t>
        </is>
      </c>
      <c r="H8771" s="3" t="inlineStr">
        <is>
          <t>제1종일반주거지역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7673</v>
      </c>
      <c r="C8772" s="4" t="n">
        <v>105</v>
      </c>
      <c r="D8772" s="4" t="n">
        <v>31.7625</v>
      </c>
      <c r="E8772" s="5" t="n">
        <v>241.6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2026</v>
      </c>
      <c r="B8773" s="4" t="n">
        <v>24668</v>
      </c>
      <c r="C8773" s="4" t="n">
        <v>524.1</v>
      </c>
      <c r="D8773" s="4" t="n">
        <v>158.54025</v>
      </c>
      <c r="E8773" s="5" t="n">
        <v>155.6</v>
      </c>
      <c r="F8773" s="3" t="inlineStr">
        <is>
          <t>강내면</t>
        </is>
      </c>
      <c r="G8773" s="3" t="inlineStr">
        <is>
          <t>사곡리</t>
        </is>
      </c>
      <c r="H8773" s="3" t="inlineStr">
        <is>
          <t>보전관리지역</t>
        </is>
      </c>
      <c r="I8773" s="3" t="inlineStr">
        <is>
          <t>대</t>
        </is>
      </c>
      <c r="J8773" s="3" t="inlineStr">
        <is>
          <t>강내면</t>
        </is>
      </c>
    </row>
    <row r="8774">
      <c r="A8774" s="3" t="n">
        <v>2026</v>
      </c>
      <c r="B8774" s="4" t="n">
        <v>26000</v>
      </c>
      <c r="C8774" s="4" t="n">
        <v>873</v>
      </c>
      <c r="D8774" s="4" t="n">
        <v>264.0825</v>
      </c>
      <c r="E8774" s="5" t="n">
        <v>98.5</v>
      </c>
      <c r="F8774" s="3" t="inlineStr">
        <is>
          <t>강내면</t>
        </is>
      </c>
      <c r="G8774" s="3" t="inlineStr">
        <is>
          <t>탑연리</t>
        </is>
      </c>
      <c r="H8774" s="3" t="inlineStr">
        <is>
          <t>자연녹지지역</t>
        </is>
      </c>
      <c r="I8774" s="3" t="inlineStr">
        <is>
          <t>전</t>
        </is>
      </c>
      <c r="J8774" s="3" t="inlineStr">
        <is>
          <t>강내면</t>
        </is>
      </c>
    </row>
    <row r="8775">
      <c r="A8775" s="3" t="n">
        <v>2026</v>
      </c>
      <c r="B8775" s="4" t="n">
        <v>42700</v>
      </c>
      <c r="C8775" s="4" t="n">
        <v>2016</v>
      </c>
      <c r="D8775" s="4" t="n">
        <v>609.84</v>
      </c>
      <c r="E8775" s="5" t="n">
        <v>70</v>
      </c>
      <c r="F8775" s="3" t="inlineStr">
        <is>
          <t>오송읍</t>
        </is>
      </c>
      <c r="G8775" s="3" t="inlineStr">
        <is>
          <t>서평리</t>
        </is>
      </c>
      <c r="H8775" s="3" t="inlineStr">
        <is>
          <t>농림지역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2026</v>
      </c>
      <c r="B8776" s="4" t="n">
        <v>20610</v>
      </c>
      <c r="C8776" s="4" t="n">
        <v>2272.1</v>
      </c>
      <c r="D8776" s="4" t="n">
        <v>687.31025</v>
      </c>
      <c r="E8776" s="5" t="n">
        <v>30</v>
      </c>
      <c r="F8776" s="3" t="inlineStr">
        <is>
          <t>강내면</t>
        </is>
      </c>
      <c r="G8776" s="3" t="inlineStr">
        <is>
          <t>저산리</t>
        </is>
      </c>
      <c r="H8776" s="3" t="inlineStr">
        <is>
          <t>농림지역</t>
        </is>
      </c>
      <c r="I8776" s="3" t="inlineStr">
        <is>
          <t>답</t>
        </is>
      </c>
      <c r="J8776" s="3" t="inlineStr">
        <is>
          <t>강내면</t>
        </is>
      </c>
    </row>
    <row r="8777">
      <c r="A8777" s="3" t="n">
        <v>2026</v>
      </c>
      <c r="B8777" s="4" t="n">
        <v>5500</v>
      </c>
      <c r="C8777" s="4" t="n">
        <v>99</v>
      </c>
      <c r="D8777" s="4" t="n">
        <v>29.9475</v>
      </c>
      <c r="E8777" s="5" t="n">
        <v>183.7</v>
      </c>
      <c r="F8777" s="3" t="inlineStr">
        <is>
          <t>오송읍</t>
        </is>
      </c>
      <c r="G8777" s="3" t="inlineStr">
        <is>
          <t>만수리</t>
        </is>
      </c>
      <c r="H8777" s="3" t="inlineStr">
        <is>
          <t>농림지역</t>
        </is>
      </c>
      <c r="I8777" s="3" t="inlineStr">
        <is>
          <t>대</t>
        </is>
      </c>
      <c r="J8777" s="3" t="inlineStr">
        <is>
          <t>오송읍</t>
        </is>
      </c>
    </row>
    <row r="8778">
      <c r="A8778" s="3" t="n">
        <v>2026</v>
      </c>
      <c r="B8778" s="4" t="n">
        <v>45000</v>
      </c>
      <c r="C8778" s="4" t="n">
        <v>2618</v>
      </c>
      <c r="D8778" s="4" t="n">
        <v>791.9449999999999</v>
      </c>
      <c r="E8778" s="5" t="n">
        <v>56.8</v>
      </c>
      <c r="F8778" s="3" t="inlineStr">
        <is>
          <t>오송읍</t>
        </is>
      </c>
      <c r="G8778" s="3" t="inlineStr">
        <is>
          <t>서평리</t>
        </is>
      </c>
      <c r="H8778" s="3" t="inlineStr">
        <is>
          <t>농림지역</t>
        </is>
      </c>
      <c r="I8778" s="3" t="inlineStr">
        <is>
          <t>답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2304</v>
      </c>
      <c r="D8779" s="4" t="n">
        <v>696.96</v>
      </c>
      <c r="E8779" s="5" t="n">
        <v>34.4</v>
      </c>
      <c r="F8779" s="3" t="inlineStr">
        <is>
          <t>강내면</t>
        </is>
      </c>
      <c r="G8779" s="3" t="inlineStr">
        <is>
          <t>학천리</t>
        </is>
      </c>
      <c r="H8779" s="3" t="inlineStr">
        <is>
          <t>생산녹지지역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2026</v>
      </c>
      <c r="B8780" s="4" t="n">
        <v>12000</v>
      </c>
      <c r="C8780" s="4" t="n">
        <v>426</v>
      </c>
      <c r="D8780" s="4" t="n">
        <v>128.865</v>
      </c>
      <c r="E8780" s="5" t="n">
        <v>93.09999999999999</v>
      </c>
      <c r="F8780" s="3" t="inlineStr">
        <is>
          <t>강내면</t>
        </is>
      </c>
      <c r="G8780" s="3" t="inlineStr">
        <is>
          <t>석화리</t>
        </is>
      </c>
      <c r="H8780" s="3" t="inlineStr">
        <is>
          <t>자연녹지지역</t>
        </is>
      </c>
      <c r="I8780" s="3" t="inlineStr">
        <is>
          <t>전</t>
        </is>
      </c>
      <c r="J8780" s="3" t="inlineStr">
        <is>
          <t>강내면</t>
        </is>
      </c>
    </row>
    <row r="8781">
      <c r="A8781" s="3" t="n">
        <v>2026</v>
      </c>
      <c r="B8781" s="4" t="n">
        <v>6000</v>
      </c>
      <c r="C8781" s="4" t="n">
        <v>1137</v>
      </c>
      <c r="D8781" s="4" t="n">
        <v>343.9425</v>
      </c>
      <c r="E8781" s="5" t="n">
        <v>17.4</v>
      </c>
      <c r="F8781" s="3" t="inlineStr">
        <is>
          <t>강내면</t>
        </is>
      </c>
      <c r="G8781" s="3" t="inlineStr">
        <is>
          <t>저산리</t>
        </is>
      </c>
      <c r="H8781" s="3" t="inlineStr">
        <is>
          <t>농림지역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2026</v>
      </c>
      <c r="B8782" s="4" t="n">
        <v>94000</v>
      </c>
      <c r="C8782" s="4" t="n">
        <v>3132</v>
      </c>
      <c r="D8782" s="4" t="n">
        <v>947.4299999999999</v>
      </c>
      <c r="E8782" s="5" t="n">
        <v>99.2</v>
      </c>
      <c r="F8782" s="3" t="inlineStr">
        <is>
          <t>오송읍</t>
        </is>
      </c>
      <c r="G8782" s="3" t="inlineStr">
        <is>
          <t>서평리</t>
        </is>
      </c>
      <c r="H8782" s="3" t="inlineStr">
        <is>
          <t>농림지역</t>
        </is>
      </c>
      <c r="I8782" s="3" t="inlineStr">
        <is>
          <t>답</t>
        </is>
      </c>
      <c r="J8782" s="3" t="inlineStr">
        <is>
          <t>오송읍</t>
        </is>
      </c>
    </row>
    <row r="8783">
      <c r="A8783" s="3" t="n">
        <v>2026</v>
      </c>
      <c r="B8783" s="4" t="n">
        <v>35420</v>
      </c>
      <c r="C8783" s="4" t="n">
        <v>1954</v>
      </c>
      <c r="D8783" s="4" t="n">
        <v>591.085</v>
      </c>
      <c r="E8783" s="5" t="n">
        <v>59.9</v>
      </c>
      <c r="F8783" s="3" t="inlineStr">
        <is>
          <t>오송읍</t>
        </is>
      </c>
      <c r="G8783" s="3" t="inlineStr">
        <is>
          <t>서평리</t>
        </is>
      </c>
      <c r="H8783" s="3" t="inlineStr">
        <is>
          <t>농림지역</t>
        </is>
      </c>
      <c r="I8783" s="3" t="inlineStr">
        <is>
          <t>답</t>
        </is>
      </c>
      <c r="J8783" s="3" t="inlineStr">
        <is>
          <t>오송읍</t>
        </is>
      </c>
    </row>
    <row r="8784">
      <c r="A8784" s="3" t="n">
        <v>2026</v>
      </c>
      <c r="B8784" s="4" t="n">
        <v>17800</v>
      </c>
      <c r="C8784" s="4" t="n">
        <v>982</v>
      </c>
      <c r="D8784" s="4" t="n">
        <v>297.055</v>
      </c>
      <c r="E8784" s="5" t="n">
        <v>59.9</v>
      </c>
      <c r="F8784" s="3" t="inlineStr">
        <is>
          <t>오송읍</t>
        </is>
      </c>
      <c r="G8784" s="3" t="inlineStr">
        <is>
          <t>서평리</t>
        </is>
      </c>
      <c r="H8784" s="3" t="inlineStr">
        <is>
          <t>농림지역</t>
        </is>
      </c>
      <c r="I8784" s="3" t="inlineStr">
        <is>
          <t>답</t>
        </is>
      </c>
      <c r="J8784" s="3" t="inlineStr">
        <is>
          <t>오송읍</t>
        </is>
      </c>
    </row>
    <row r="8785">
      <c r="A8785" s="3" t="n">
        <v>2026</v>
      </c>
      <c r="B8785" s="4" t="n">
        <v>6780</v>
      </c>
      <c r="C8785" s="4" t="n">
        <v>375</v>
      </c>
      <c r="D8785" s="4" t="n">
        <v>113.4375</v>
      </c>
      <c r="E8785" s="5" t="n">
        <v>59.8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2026</v>
      </c>
      <c r="B8786" s="4" t="n">
        <v>31750</v>
      </c>
      <c r="C8786" s="4" t="n">
        <v>1567</v>
      </c>
      <c r="D8786" s="4" t="n">
        <v>474.0175</v>
      </c>
      <c r="E8786" s="5" t="n">
        <v>67</v>
      </c>
      <c r="F8786" s="3" t="inlineStr">
        <is>
          <t>오송읍</t>
        </is>
      </c>
      <c r="G8786" s="3" t="inlineStr">
        <is>
          <t>서평리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오송읍</t>
        </is>
      </c>
    </row>
    <row r="8787">
      <c r="A8787" s="3" t="n">
        <v>2026</v>
      </c>
      <c r="B8787" s="4" t="n">
        <v>19558</v>
      </c>
      <c r="C8787" s="4" t="n">
        <v>488</v>
      </c>
      <c r="D8787" s="4" t="n">
        <v>147.62</v>
      </c>
      <c r="E8787" s="5" t="n">
        <v>132.5</v>
      </c>
      <c r="F8787" s="3" t="inlineStr">
        <is>
          <t>강내면</t>
        </is>
      </c>
      <c r="G8787" s="3" t="inlineStr">
        <is>
          <t>탑연리</t>
        </is>
      </c>
      <c r="H8787" s="3" t="inlineStr">
        <is>
          <t>자연녹지지역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2026</v>
      </c>
      <c r="B8788" s="4" t="n">
        <v>30000</v>
      </c>
      <c r="C8788" s="4" t="n">
        <v>314</v>
      </c>
      <c r="D8788" s="4" t="n">
        <v>94.985</v>
      </c>
      <c r="E8788" s="5" t="n">
        <v>315.8</v>
      </c>
      <c r="F8788" s="3" t="inlineStr">
        <is>
          <t>오송읍</t>
        </is>
      </c>
      <c r="G8788" s="3" t="inlineStr">
        <is>
          <t>봉산리</t>
        </is>
      </c>
      <c r="H8788" s="3" t="inlineStr">
        <is>
          <t>제1종일반주거지역</t>
        </is>
      </c>
      <c r="I8788" s="3" t="inlineStr">
        <is>
          <t>대</t>
        </is>
      </c>
      <c r="J8788" s="3" t="inlineStr">
        <is>
          <t>오송읍</t>
        </is>
      </c>
    </row>
    <row r="8789">
      <c r="A8789" s="3" t="n">
        <v>2026</v>
      </c>
      <c r="B8789" s="4" t="n">
        <v>35000</v>
      </c>
      <c r="C8789" s="4" t="n">
        <v>330</v>
      </c>
      <c r="D8789" s="4" t="n">
        <v>99.825</v>
      </c>
      <c r="E8789" s="5" t="n">
        <v>350.6</v>
      </c>
      <c r="F8789" s="3" t="inlineStr">
        <is>
          <t>강내면</t>
        </is>
      </c>
      <c r="G8789" s="3" t="inlineStr">
        <is>
          <t>월탄리</t>
        </is>
      </c>
      <c r="H8789" s="3" t="inlineStr">
        <is>
          <t>계획관리지역</t>
        </is>
      </c>
      <c r="I8789" s="3" t="inlineStr">
        <is>
          <t>도로</t>
        </is>
      </c>
      <c r="J8789" s="3" t="inlineStr">
        <is>
          <t>강내면</t>
        </is>
      </c>
    </row>
    <row r="8790">
      <c r="A8790" s="3" t="n">
        <v>2026</v>
      </c>
      <c r="B8790" s="4" t="n">
        <v>28000</v>
      </c>
      <c r="C8790" s="4" t="n">
        <v>283.7</v>
      </c>
      <c r="D8790" s="4" t="n">
        <v>85.81925</v>
      </c>
      <c r="E8790" s="5" t="n">
        <v>326.3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2026</v>
      </c>
      <c r="B8791" s="4" t="n">
        <v>22700</v>
      </c>
      <c r="C8791" s="4" t="n">
        <v>2040</v>
      </c>
      <c r="D8791" s="4" t="n">
        <v>617.1</v>
      </c>
      <c r="E8791" s="5" t="n">
        <v>36.8</v>
      </c>
      <c r="F8791" s="3" t="inlineStr">
        <is>
          <t>강내면</t>
        </is>
      </c>
      <c r="G8791" s="3" t="inlineStr">
        <is>
          <t>학천리</t>
        </is>
      </c>
      <c r="H8791" s="3" t="inlineStr">
        <is>
          <t>생산녹지지역</t>
        </is>
      </c>
      <c r="I8791" s="3" t="inlineStr">
        <is>
          <t>답</t>
        </is>
      </c>
      <c r="J8791" s="3" t="inlineStr">
        <is>
          <t>강내면</t>
        </is>
      </c>
    </row>
    <row r="8792">
      <c r="A8792" s="3" t="n">
        <v>2022</v>
      </c>
      <c r="B8792" s="4" t="n">
        <v>14340</v>
      </c>
      <c r="C8792" s="4" t="n">
        <v>595</v>
      </c>
      <c r="D8792" s="4" t="n">
        <v>179.9875</v>
      </c>
      <c r="E8792" s="5" t="n">
        <v>79.7</v>
      </c>
      <c r="F8792" s="3" t="inlineStr">
        <is>
          <t>강내면</t>
        </is>
      </c>
      <c r="G8792" s="3" t="inlineStr">
        <is>
          <t>사인리</t>
        </is>
      </c>
      <c r="H8792" s="3" t="inlineStr">
        <is>
          <t>생산녹지지역</t>
        </is>
      </c>
      <c r="I8792" s="3" t="inlineStr">
        <is>
          <t>전</t>
        </is>
      </c>
      <c r="J8792" s="3" t="inlineStr">
        <is>
          <t>강내면</t>
        </is>
      </c>
    </row>
    <row r="8793">
      <c r="A8793" s="3" t="n">
        <v>2022</v>
      </c>
      <c r="B8793" s="4" t="n">
        <v>14380</v>
      </c>
      <c r="C8793" s="4" t="n">
        <v>672</v>
      </c>
      <c r="D8793" s="4" t="n">
        <v>203.28</v>
      </c>
      <c r="E8793" s="5" t="n">
        <v>70.7</v>
      </c>
      <c r="F8793" s="3" t="inlineStr">
        <is>
          <t>강내면</t>
        </is>
      </c>
      <c r="G8793" s="3" t="inlineStr">
        <is>
          <t>사인리</t>
        </is>
      </c>
      <c r="H8793" s="3" t="inlineStr">
        <is>
          <t>생산녹지지역</t>
        </is>
      </c>
      <c r="I8793" s="3" t="inlineStr">
        <is>
          <t>전</t>
        </is>
      </c>
      <c r="J8793" s="3" t="inlineStr">
        <is>
          <t>강내면</t>
        </is>
      </c>
    </row>
    <row r="8794">
      <c r="A8794" s="3" t="n">
        <v>2022</v>
      </c>
      <c r="B8794" s="4" t="n">
        <v>980</v>
      </c>
      <c r="C8794" s="4" t="n">
        <v>46</v>
      </c>
      <c r="D8794" s="4" t="n">
        <v>13.915</v>
      </c>
      <c r="E8794" s="5" t="n">
        <v>70.40000000000001</v>
      </c>
      <c r="F8794" s="3" t="inlineStr">
        <is>
          <t>강내면</t>
        </is>
      </c>
      <c r="G8794" s="3" t="inlineStr">
        <is>
          <t>사인리</t>
        </is>
      </c>
      <c r="H8794" s="3" t="inlineStr">
        <is>
          <t>생산녹지지역</t>
        </is>
      </c>
      <c r="I8794" s="3" t="inlineStr">
        <is>
          <t>전</t>
        </is>
      </c>
      <c r="J8794" s="3" t="inlineStr">
        <is>
          <t>강내면</t>
        </is>
      </c>
    </row>
    <row r="8795">
      <c r="A8795" s="3" t="n">
        <v>2022</v>
      </c>
      <c r="B8795" s="4" t="n">
        <v>1500</v>
      </c>
      <c r="C8795" s="4" t="n">
        <v>172</v>
      </c>
      <c r="D8795" s="4" t="n">
        <v>52.03</v>
      </c>
      <c r="E8795" s="5" t="n">
        <v>28.8</v>
      </c>
      <c r="F8795" s="3" t="inlineStr">
        <is>
          <t>강내면</t>
        </is>
      </c>
      <c r="G8795" s="3" t="inlineStr">
        <is>
          <t>사인리</t>
        </is>
      </c>
      <c r="H8795" s="3" t="inlineStr">
        <is>
          <t>생산녹지지역</t>
        </is>
      </c>
      <c r="I8795" s="3" t="inlineStr">
        <is>
          <t>전</t>
        </is>
      </c>
      <c r="J8795" s="3" t="inlineStr">
        <is>
          <t>강내면</t>
        </is>
      </c>
    </row>
    <row r="8796">
      <c r="A8796" s="3" t="n">
        <v>2022</v>
      </c>
      <c r="B8796" s="4" t="n">
        <v>4500</v>
      </c>
      <c r="C8796" s="4" t="n">
        <v>380</v>
      </c>
      <c r="D8796" s="4" t="n">
        <v>114.95</v>
      </c>
      <c r="E8796" s="5" t="n">
        <v>39.1</v>
      </c>
      <c r="F8796" s="3" t="inlineStr">
        <is>
          <t>강내면</t>
        </is>
      </c>
      <c r="G8796" s="3" t="inlineStr">
        <is>
          <t>태성리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강내면</t>
        </is>
      </c>
    </row>
    <row r="8797">
      <c r="A8797" s="3" t="n">
        <v>2026</v>
      </c>
      <c r="B8797" s="4" t="n">
        <v>2136</v>
      </c>
      <c r="C8797" s="4" t="n">
        <v>178</v>
      </c>
      <c r="D8797" s="4" t="n">
        <v>53.845</v>
      </c>
      <c r="E8797" s="5" t="n">
        <v>39.7</v>
      </c>
      <c r="F8797" s="3" t="inlineStr">
        <is>
          <t>강내면</t>
        </is>
      </c>
      <c r="G8797" s="3" t="inlineStr">
        <is>
          <t>궁현리</t>
        </is>
      </c>
      <c r="H8797" s="3" t="inlineStr">
        <is>
          <t>농림지역</t>
        </is>
      </c>
      <c r="I8797" s="3" t="inlineStr">
        <is>
          <t>답</t>
        </is>
      </c>
      <c r="J8797" s="3" t="inlineStr">
        <is>
          <t>강내면</t>
        </is>
      </c>
    </row>
    <row r="8798">
      <c r="A8798" s="3" t="n">
        <v>2026</v>
      </c>
      <c r="B8798" s="4" t="n">
        <v>24000</v>
      </c>
      <c r="C8798" s="4" t="n">
        <v>1111</v>
      </c>
      <c r="D8798" s="4" t="n">
        <v>336.0775</v>
      </c>
      <c r="E8798" s="5" t="n">
        <v>71.40000000000001</v>
      </c>
      <c r="F8798" s="3" t="inlineStr">
        <is>
          <t>강내면</t>
        </is>
      </c>
      <c r="G8798" s="3" t="inlineStr">
        <is>
          <t>월탄리</t>
        </is>
      </c>
      <c r="H8798" s="3" t="inlineStr">
        <is>
          <t>자연녹지지역</t>
        </is>
      </c>
      <c r="I8798" s="3" t="inlineStr">
        <is>
          <t>답</t>
        </is>
      </c>
      <c r="J8798" s="3" t="inlineStr">
        <is>
          <t>강내면</t>
        </is>
      </c>
    </row>
    <row r="8799">
      <c r="A8799" s="3" t="n">
        <v>2023</v>
      </c>
      <c r="B8799" s="4" t="n">
        <v>11000</v>
      </c>
      <c r="C8799" s="4" t="n">
        <v>1147</v>
      </c>
      <c r="D8799" s="4" t="n">
        <v>346.9675</v>
      </c>
      <c r="E8799" s="5" t="n">
        <v>31.7</v>
      </c>
      <c r="F8799" s="3" t="inlineStr">
        <is>
          <t>남이면</t>
        </is>
      </c>
      <c r="G8799" s="3" t="inlineStr">
        <is>
          <t>부용외천리</t>
        </is>
      </c>
      <c r="H8799" s="3" t="inlineStr">
        <is>
          <t>계획관리지역</t>
        </is>
      </c>
      <c r="I8799" s="3" t="inlineStr">
        <is>
          <t>답</t>
        </is>
      </c>
      <c r="J8799" s="3" t="inlineStr">
        <is>
          <t>남이면</t>
        </is>
      </c>
    </row>
    <row r="8800">
      <c r="A8800" s="3" t="n">
        <v>2025</v>
      </c>
      <c r="B8800" s="4" t="n">
        <v>1000</v>
      </c>
      <c r="C8800" s="4" t="n">
        <v>55</v>
      </c>
      <c r="D8800" s="4" t="n">
        <v>16.6375</v>
      </c>
      <c r="E8800" s="5" t="n">
        <v>60.1</v>
      </c>
      <c r="F8800" s="3" t="inlineStr">
        <is>
          <t>남이면</t>
        </is>
      </c>
      <c r="G8800" s="3" t="inlineStr">
        <is>
          <t>가좌리</t>
        </is>
      </c>
      <c r="H8800" s="3" t="inlineStr">
        <is>
          <t>자연녹지지역</t>
        </is>
      </c>
      <c r="I8800" s="3" t="inlineStr">
        <is>
          <t>전</t>
        </is>
      </c>
      <c r="J8800" s="3" t="inlineStr">
        <is>
          <t>남이면</t>
        </is>
      </c>
    </row>
    <row r="8801">
      <c r="A8801" s="3" t="n">
        <v>2026</v>
      </c>
      <c r="B8801" s="4" t="n">
        <v>171</v>
      </c>
      <c r="C8801" s="4" t="n">
        <v>7</v>
      </c>
      <c r="D8801" s="4" t="n">
        <v>2.1175</v>
      </c>
      <c r="E8801" s="5" t="n">
        <v>80.8</v>
      </c>
      <c r="F8801" s="3" t="inlineStr">
        <is>
          <t>남이면</t>
        </is>
      </c>
      <c r="G8801" s="3" t="inlineStr">
        <is>
          <t>양촌리</t>
        </is>
      </c>
      <c r="H8801" s="3" t="inlineStr">
        <is>
          <t>자연녹지지역</t>
        </is>
      </c>
      <c r="I8801" s="3" t="inlineStr">
        <is>
          <t>도로</t>
        </is>
      </c>
      <c r="J8801" s="3" t="inlineStr">
        <is>
          <t>남이면</t>
        </is>
      </c>
    </row>
    <row r="8802">
      <c r="A8802" s="3" t="n">
        <v>2026</v>
      </c>
      <c r="B8802" s="4" t="n">
        <v>66</v>
      </c>
      <c r="C8802" s="4" t="n">
        <v>55</v>
      </c>
      <c r="D8802" s="4" t="n">
        <v>16.6375</v>
      </c>
      <c r="E8802" s="5" t="n">
        <v>4</v>
      </c>
      <c r="F8802" s="3" t="inlineStr">
        <is>
          <t>남이면</t>
        </is>
      </c>
      <c r="G8802" s="3" t="inlineStr">
        <is>
          <t>문동리</t>
        </is>
      </c>
      <c r="H8802" s="3" t="inlineStr">
        <is>
          <t>보전녹지지역</t>
        </is>
      </c>
      <c r="I8802" s="3" t="inlineStr">
        <is>
          <t>임야</t>
        </is>
      </c>
      <c r="J8802" s="3" t="inlineStr">
        <is>
          <t>남이면</t>
        </is>
      </c>
    </row>
    <row r="8803">
      <c r="A8803" s="3" t="n">
        <v>2026</v>
      </c>
      <c r="B8803" s="4" t="n">
        <v>48962</v>
      </c>
      <c r="C8803" s="4" t="n">
        <v>9534</v>
      </c>
      <c r="D8803" s="4" t="n">
        <v>2884.035</v>
      </c>
      <c r="E8803" s="5" t="n">
        <v>17</v>
      </c>
      <c r="F8803" s="3" t="inlineStr">
        <is>
          <t>남이면</t>
        </is>
      </c>
      <c r="G8803" s="3" t="inlineStr">
        <is>
          <t>척산리</t>
        </is>
      </c>
      <c r="H8803" s="3" t="inlineStr">
        <is>
          <t>계획관리지역</t>
        </is>
      </c>
      <c r="I8803" s="3" t="inlineStr">
        <is>
          <t>임야</t>
        </is>
      </c>
      <c r="J8803" s="3" t="inlineStr">
        <is>
          <t>남이면</t>
        </is>
      </c>
    </row>
    <row r="8804">
      <c r="A8804" s="3" t="n">
        <v>2026</v>
      </c>
      <c r="B8804" s="4" t="n">
        <v>10138</v>
      </c>
      <c r="C8804" s="4" t="n">
        <v>1974</v>
      </c>
      <c r="D8804" s="4" t="n">
        <v>597.135</v>
      </c>
      <c r="E8804" s="5" t="n">
        <v>17</v>
      </c>
      <c r="F8804" s="3" t="inlineStr">
        <is>
          <t>남이면</t>
        </is>
      </c>
      <c r="G8804" s="3" t="inlineStr">
        <is>
          <t>척산리</t>
        </is>
      </c>
      <c r="H8804" s="3" t="inlineStr">
        <is>
          <t>계획관리지역</t>
        </is>
      </c>
      <c r="I8804" s="3" t="inlineStr">
        <is>
          <t>임야</t>
        </is>
      </c>
      <c r="J8804" s="3" t="inlineStr">
        <is>
          <t>남이면</t>
        </is>
      </c>
    </row>
    <row r="8805">
      <c r="A8805" s="3" t="n">
        <v>2026</v>
      </c>
      <c r="B8805" s="4" t="n">
        <v>53000</v>
      </c>
      <c r="C8805" s="4" t="n">
        <v>563</v>
      </c>
      <c r="D8805" s="4" t="n">
        <v>170.3075</v>
      </c>
      <c r="E8805" s="5" t="n">
        <v>311.2</v>
      </c>
      <c r="F8805" s="3" t="inlineStr">
        <is>
          <t>남이면</t>
        </is>
      </c>
      <c r="G8805" s="3" t="inlineStr">
        <is>
          <t>양촌리</t>
        </is>
      </c>
      <c r="H8805" s="3" t="inlineStr">
        <is>
          <t>자연녹지지역</t>
        </is>
      </c>
      <c r="I8805" s="3" t="inlineStr">
        <is>
          <t>대</t>
        </is>
      </c>
      <c r="J8805" s="3" t="inlineStr">
        <is>
          <t>남이면</t>
        </is>
      </c>
    </row>
    <row r="8806">
      <c r="A8806" s="3" t="n">
        <v>2026</v>
      </c>
      <c r="B8806" s="4" t="n">
        <v>6600</v>
      </c>
      <c r="C8806" s="4" t="n">
        <v>648</v>
      </c>
      <c r="D8806" s="4" t="n">
        <v>196.02</v>
      </c>
      <c r="E8806" s="5" t="n">
        <v>33.7</v>
      </c>
      <c r="F8806" s="3" t="inlineStr">
        <is>
          <t>남이면</t>
        </is>
      </c>
      <c r="G8806" s="3" t="inlineStr">
        <is>
          <t>부용외천리</t>
        </is>
      </c>
      <c r="H8806" s="3" t="inlineStr">
        <is>
          <t>자연녹지지역</t>
        </is>
      </c>
      <c r="I8806" s="3" t="inlineStr">
        <is>
          <t>잡종지</t>
        </is>
      </c>
      <c r="J8806" s="3" t="inlineStr">
        <is>
          <t>남이면</t>
        </is>
      </c>
    </row>
    <row r="8807">
      <c r="A8807" s="3" t="n">
        <v>2026</v>
      </c>
      <c r="B8807" s="4" t="n">
        <v>6700</v>
      </c>
      <c r="C8807" s="4" t="n">
        <v>833</v>
      </c>
      <c r="D8807" s="4" t="n">
        <v>251.9825</v>
      </c>
      <c r="E8807" s="5" t="n">
        <v>26.6</v>
      </c>
      <c r="F8807" s="3" t="inlineStr">
        <is>
          <t>남이면</t>
        </is>
      </c>
      <c r="G8807" s="3" t="inlineStr">
        <is>
          <t>부용외천리</t>
        </is>
      </c>
      <c r="H8807" s="3" t="inlineStr">
        <is>
          <t>자연녹지지역</t>
        </is>
      </c>
      <c r="I8807" s="3" t="inlineStr">
        <is>
          <t>잡종지</t>
        </is>
      </c>
      <c r="J8807" s="3" t="inlineStr">
        <is>
          <t>남이면</t>
        </is>
      </c>
    </row>
    <row r="8808">
      <c r="A8808" s="3" t="n">
        <v>2026</v>
      </c>
      <c r="B8808" s="4" t="n">
        <v>5800</v>
      </c>
      <c r="C8808" s="4" t="n">
        <v>587</v>
      </c>
      <c r="D8808" s="4" t="n">
        <v>177.5675</v>
      </c>
      <c r="E8808" s="5" t="n">
        <v>32.7</v>
      </c>
      <c r="F8808" s="3" t="inlineStr">
        <is>
          <t>남이면</t>
        </is>
      </c>
      <c r="G8808" s="3" t="inlineStr">
        <is>
          <t>부용외천리</t>
        </is>
      </c>
      <c r="H8808" s="3" t="inlineStr">
        <is>
          <t>자연녹지지역</t>
        </is>
      </c>
      <c r="I8808" s="3" t="inlineStr">
        <is>
          <t>잡종지</t>
        </is>
      </c>
      <c r="J8808" s="3" t="inlineStr">
        <is>
          <t>남이면</t>
        </is>
      </c>
    </row>
    <row r="8809">
      <c r="A8809" s="3" t="n">
        <v>2026</v>
      </c>
      <c r="B8809" s="4" t="n">
        <v>5500</v>
      </c>
      <c r="C8809" s="4" t="n">
        <v>557</v>
      </c>
      <c r="D8809" s="4" t="n">
        <v>168.4925</v>
      </c>
      <c r="E8809" s="5" t="n">
        <v>32.6</v>
      </c>
      <c r="F8809" s="3" t="inlineStr">
        <is>
          <t>남이면</t>
        </is>
      </c>
      <c r="G8809" s="3" t="inlineStr">
        <is>
          <t>부용외천리</t>
        </is>
      </c>
      <c r="H8809" s="3" t="inlineStr">
        <is>
          <t>자연녹지지역</t>
        </is>
      </c>
      <c r="I8809" s="3" t="inlineStr">
        <is>
          <t>잡종지</t>
        </is>
      </c>
      <c r="J8809" s="3" t="inlineStr">
        <is>
          <t>남이면</t>
        </is>
      </c>
    </row>
    <row r="8810">
      <c r="A8810" s="3" t="n">
        <v>2026</v>
      </c>
      <c r="B8810" s="4" t="n">
        <v>5900</v>
      </c>
      <c r="C8810" s="4" t="n">
        <v>584</v>
      </c>
      <c r="D8810" s="4" t="n">
        <v>176.66</v>
      </c>
      <c r="E8810" s="5" t="n">
        <v>33.4</v>
      </c>
      <c r="F8810" s="3" t="inlineStr">
        <is>
          <t>남이면</t>
        </is>
      </c>
      <c r="G8810" s="3" t="inlineStr">
        <is>
          <t>부용외천리</t>
        </is>
      </c>
      <c r="H8810" s="3" t="inlineStr">
        <is>
          <t>자연녹지지역</t>
        </is>
      </c>
      <c r="I8810" s="3" t="inlineStr">
        <is>
          <t>잡종지</t>
        </is>
      </c>
      <c r="J8810" s="3" t="inlineStr">
        <is>
          <t>남이면</t>
        </is>
      </c>
    </row>
    <row r="8811">
      <c r="A8811" s="3" t="n">
        <v>2023</v>
      </c>
      <c r="B8811" s="4" t="n">
        <v>5100</v>
      </c>
      <c r="C8811" s="4" t="n">
        <v>183</v>
      </c>
      <c r="D8811" s="4" t="n">
        <v>55.3575</v>
      </c>
      <c r="E8811" s="5" t="n">
        <v>92.09999999999999</v>
      </c>
      <c r="F8811" s="3" t="inlineStr">
        <is>
          <t>현도면</t>
        </is>
      </c>
      <c r="G8811" s="3" t="inlineStr">
        <is>
          <t>달계리</t>
        </is>
      </c>
      <c r="H8811" s="3" t="inlineStr">
        <is>
          <t>자연녹지지역</t>
        </is>
      </c>
      <c r="I8811" s="3" t="inlineStr">
        <is>
          <t>대</t>
        </is>
      </c>
      <c r="J8811" s="3" t="inlineStr">
        <is>
          <t>현도면</t>
        </is>
      </c>
    </row>
    <row r="8812">
      <c r="A8812" s="3" t="n">
        <v>2023</v>
      </c>
      <c r="B8812" s="4" t="n">
        <v>8100</v>
      </c>
      <c r="C8812" s="4" t="n">
        <v>1350.8</v>
      </c>
      <c r="D8812" s="4" t="n">
        <v>408.617</v>
      </c>
      <c r="E8812" s="5" t="n">
        <v>19.8</v>
      </c>
      <c r="F8812" s="3" t="inlineStr">
        <is>
          <t>남이면</t>
        </is>
      </c>
      <c r="G8812" s="3" t="inlineStr">
        <is>
          <t>구미리</t>
        </is>
      </c>
      <c r="H8812" s="3" t="inlineStr">
        <is>
          <t>농림지역</t>
        </is>
      </c>
      <c r="I8812" s="3" t="inlineStr">
        <is>
          <t>답</t>
        </is>
      </c>
      <c r="J8812" s="3" t="inlineStr">
        <is>
          <t>남이면</t>
        </is>
      </c>
    </row>
    <row r="8813">
      <c r="A8813" s="3" t="n">
        <v>2023</v>
      </c>
      <c r="B8813" s="4" t="n">
        <v>60500</v>
      </c>
      <c r="C8813" s="4" t="n">
        <v>1448</v>
      </c>
      <c r="D8813" s="4" t="n">
        <v>438.02</v>
      </c>
      <c r="E8813" s="5" t="n">
        <v>138.1</v>
      </c>
      <c r="F8813" s="3" t="inlineStr">
        <is>
          <t>남이면</t>
        </is>
      </c>
      <c r="G8813" s="3" t="inlineStr">
        <is>
          <t>가좌리</t>
        </is>
      </c>
      <c r="H8813" s="3" t="inlineStr">
        <is>
          <t>자연녹지지역</t>
        </is>
      </c>
      <c r="I8813" s="3" t="inlineStr">
        <is>
          <t>임야</t>
        </is>
      </c>
      <c r="J8813" s="3" t="inlineStr">
        <is>
          <t>남이면</t>
        </is>
      </c>
    </row>
    <row r="8814">
      <c r="A8814" s="3" t="n">
        <v>2023</v>
      </c>
      <c r="B8814" s="4" t="n">
        <v>1450</v>
      </c>
      <c r="C8814" s="4" t="n">
        <v>36.8</v>
      </c>
      <c r="D8814" s="4" t="n">
        <v>11.132</v>
      </c>
      <c r="E8814" s="5" t="n">
        <v>130.3</v>
      </c>
      <c r="F8814" s="3" t="inlineStr">
        <is>
          <t>남이면</t>
        </is>
      </c>
      <c r="G8814" s="3" t="inlineStr">
        <is>
          <t>가좌리</t>
        </is>
      </c>
      <c r="H8814" s="3" t="inlineStr">
        <is>
          <t>자연녹지지역</t>
        </is>
      </c>
      <c r="I8814" s="3" t="inlineStr">
        <is>
          <t>임야</t>
        </is>
      </c>
      <c r="J8814" s="3" t="inlineStr">
        <is>
          <t>남이면</t>
        </is>
      </c>
    </row>
    <row r="8815">
      <c r="A8815" s="3" t="n">
        <v>2023</v>
      </c>
      <c r="B8815" s="4" t="n">
        <v>10000</v>
      </c>
      <c r="C8815" s="4" t="n">
        <v>959</v>
      </c>
      <c r="D8815" s="4" t="n">
        <v>290.0975</v>
      </c>
      <c r="E8815" s="5" t="n">
        <v>34.5</v>
      </c>
      <c r="F8815" s="3" t="inlineStr">
        <is>
          <t>남이면</t>
        </is>
      </c>
      <c r="G8815" s="3" t="inlineStr">
        <is>
          <t>부용외천리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남이면</t>
        </is>
      </c>
    </row>
    <row r="8816">
      <c r="A8816" s="3" t="n">
        <v>2024</v>
      </c>
      <c r="B8816" s="4" t="n">
        <v>900</v>
      </c>
      <c r="C8816" s="4" t="n">
        <v>127</v>
      </c>
      <c r="D8816" s="4" t="n">
        <v>38.4175</v>
      </c>
      <c r="E8816" s="5" t="n">
        <v>23.4</v>
      </c>
      <c r="F8816" s="3" t="inlineStr">
        <is>
          <t>현도면</t>
        </is>
      </c>
      <c r="G8816" s="3" t="inlineStr">
        <is>
          <t>중척리</t>
        </is>
      </c>
      <c r="H8816" s="3" t="inlineStr">
        <is>
          <t>자연녹지지역</t>
        </is>
      </c>
      <c r="I8816" s="3" t="inlineStr">
        <is>
          <t>전</t>
        </is>
      </c>
      <c r="J8816" s="3" t="inlineStr">
        <is>
          <t>현도면</t>
        </is>
      </c>
    </row>
    <row r="8817">
      <c r="A8817" s="3" t="n">
        <v>2024</v>
      </c>
      <c r="B8817" s="4" t="n">
        <v>2606</v>
      </c>
      <c r="C8817" s="4" t="n">
        <v>103</v>
      </c>
      <c r="D8817" s="4" t="n">
        <v>31.1575</v>
      </c>
      <c r="E8817" s="5" t="n">
        <v>83.59999999999999</v>
      </c>
      <c r="F8817" s="3" t="inlineStr">
        <is>
          <t>남이면</t>
        </is>
      </c>
      <c r="G8817" s="3" t="inlineStr">
        <is>
          <t>문동리</t>
        </is>
      </c>
      <c r="H8817" s="3" t="inlineStr">
        <is>
          <t>자연녹지지역</t>
        </is>
      </c>
      <c r="I8817" s="3" t="inlineStr">
        <is>
          <t>잡종지</t>
        </is>
      </c>
      <c r="J8817" s="3" t="inlineStr">
        <is>
          <t>남이면</t>
        </is>
      </c>
    </row>
    <row r="8818">
      <c r="A8818" s="3" t="n">
        <v>2024</v>
      </c>
      <c r="B8818" s="4" t="n">
        <v>6900</v>
      </c>
      <c r="C8818" s="4" t="n">
        <v>528</v>
      </c>
      <c r="D8818" s="4" t="n">
        <v>159.72</v>
      </c>
      <c r="E8818" s="5" t="n">
        <v>43.2</v>
      </c>
      <c r="F8818" s="3" t="inlineStr">
        <is>
          <t>현도면</t>
        </is>
      </c>
      <c r="G8818" s="3" t="inlineStr">
        <is>
          <t>중척리</t>
        </is>
      </c>
      <c r="H8818" s="3" t="inlineStr">
        <is>
          <t>자연녹지지역</t>
        </is>
      </c>
      <c r="I8818" s="3" t="inlineStr">
        <is>
          <t>전</t>
        </is>
      </c>
      <c r="J8818" s="3" t="inlineStr">
        <is>
          <t>현도면</t>
        </is>
      </c>
    </row>
    <row r="8819">
      <c r="A8819" s="3" t="n">
        <v>2024</v>
      </c>
      <c r="B8819" s="4" t="n">
        <v>4980</v>
      </c>
      <c r="C8819" s="4" t="n">
        <v>381</v>
      </c>
      <c r="D8819" s="4" t="n">
        <v>115.2525</v>
      </c>
      <c r="E8819" s="5" t="n">
        <v>43.2</v>
      </c>
      <c r="F8819" s="3" t="inlineStr">
        <is>
          <t>현도면</t>
        </is>
      </c>
      <c r="G8819" s="3" t="inlineStr">
        <is>
          <t>중척리</t>
        </is>
      </c>
      <c r="H8819" s="3" t="inlineStr">
        <is>
          <t>자연녹지지역</t>
        </is>
      </c>
      <c r="I8819" s="3" t="inlineStr">
        <is>
          <t>전</t>
        </is>
      </c>
      <c r="J8819" s="3" t="inlineStr">
        <is>
          <t>현도면</t>
        </is>
      </c>
    </row>
    <row r="8820">
      <c r="A8820" s="3" t="n">
        <v>2024</v>
      </c>
      <c r="B8820" s="4" t="n">
        <v>467</v>
      </c>
      <c r="C8820" s="4" t="n">
        <v>35</v>
      </c>
      <c r="D8820" s="4" t="n">
        <v>10.5875</v>
      </c>
      <c r="E8820" s="5" t="n">
        <v>44.1</v>
      </c>
      <c r="F8820" s="3" t="inlineStr">
        <is>
          <t>현도면</t>
        </is>
      </c>
      <c r="G8820" s="3" t="inlineStr">
        <is>
          <t>중척리</t>
        </is>
      </c>
      <c r="H8820" s="3" t="inlineStr">
        <is>
          <t>자연녹지지역</t>
        </is>
      </c>
      <c r="I8820" s="3" t="inlineStr">
        <is>
          <t>대</t>
        </is>
      </c>
      <c r="J8820" s="3" t="inlineStr">
        <is>
          <t>현도면</t>
        </is>
      </c>
    </row>
    <row r="8821">
      <c r="A8821" s="3" t="n">
        <v>2024</v>
      </c>
      <c r="B8821" s="4" t="n">
        <v>17600</v>
      </c>
      <c r="C8821" s="4" t="n">
        <v>1458</v>
      </c>
      <c r="D8821" s="4" t="n">
        <v>441.045</v>
      </c>
      <c r="E8821" s="5" t="n">
        <v>39.9</v>
      </c>
      <c r="F8821" s="3" t="inlineStr">
        <is>
          <t>현도면</t>
        </is>
      </c>
      <c r="G8821" s="3" t="inlineStr">
        <is>
          <t>우록리</t>
        </is>
      </c>
      <c r="H8821" s="3" t="inlineStr">
        <is>
          <t>농림지역</t>
        </is>
      </c>
      <c r="I8821" s="3" t="inlineStr">
        <is>
          <t>답</t>
        </is>
      </c>
      <c r="J8821" s="3" t="inlineStr">
        <is>
          <t>현도면</t>
        </is>
      </c>
    </row>
    <row r="8822">
      <c r="A8822" s="3" t="n">
        <v>2024</v>
      </c>
      <c r="B8822" s="4" t="n">
        <v>2528</v>
      </c>
      <c r="C8822" s="4" t="n">
        <v>75</v>
      </c>
      <c r="D8822" s="4" t="n">
        <v>22.6875</v>
      </c>
      <c r="E8822" s="5" t="n">
        <v>111.4</v>
      </c>
      <c r="F8822" s="3" t="inlineStr">
        <is>
          <t>현도면</t>
        </is>
      </c>
      <c r="G8822" s="3" t="inlineStr">
        <is>
          <t>선동리</t>
        </is>
      </c>
      <c r="H8822" s="3" t="inlineStr">
        <is>
          <t>계획관리지역</t>
        </is>
      </c>
      <c r="I8822" s="3" t="inlineStr">
        <is>
          <t>공장용지</t>
        </is>
      </c>
      <c r="J8822" s="3" t="inlineStr">
        <is>
          <t>현도면</t>
        </is>
      </c>
    </row>
    <row r="8823">
      <c r="A8823" s="3" t="n">
        <v>2024</v>
      </c>
      <c r="B8823" s="4" t="n">
        <v>37003</v>
      </c>
      <c r="C8823" s="4" t="n">
        <v>1098</v>
      </c>
      <c r="D8823" s="4" t="n">
        <v>332.145</v>
      </c>
      <c r="E8823" s="5" t="n">
        <v>111.4</v>
      </c>
      <c r="F8823" s="3" t="inlineStr">
        <is>
          <t>현도면</t>
        </is>
      </c>
      <c r="G8823" s="3" t="inlineStr">
        <is>
          <t>선동리</t>
        </is>
      </c>
      <c r="H8823" s="3" t="inlineStr">
        <is>
          <t>계획관리지역</t>
        </is>
      </c>
      <c r="I8823" s="3" t="inlineStr">
        <is>
          <t>공장용지</t>
        </is>
      </c>
      <c r="J8823" s="3" t="inlineStr">
        <is>
          <t>현도면</t>
        </is>
      </c>
    </row>
    <row r="8824">
      <c r="A8824" s="3" t="n">
        <v>2024</v>
      </c>
      <c r="B8824" s="4" t="n">
        <v>18097</v>
      </c>
      <c r="C8824" s="4" t="n">
        <v>537</v>
      </c>
      <c r="D8824" s="4" t="n">
        <v>162.4425</v>
      </c>
      <c r="E8824" s="5" t="n">
        <v>111.4</v>
      </c>
      <c r="F8824" s="3" t="inlineStr">
        <is>
          <t>현도면</t>
        </is>
      </c>
      <c r="G8824" s="3" t="inlineStr">
        <is>
          <t>선동리</t>
        </is>
      </c>
      <c r="H8824" s="3" t="inlineStr">
        <is>
          <t>계획관리지역</t>
        </is>
      </c>
      <c r="I8824" s="3" t="inlineStr">
        <is>
          <t>공장용지</t>
        </is>
      </c>
      <c r="J8824" s="3" t="inlineStr">
        <is>
          <t>현도면</t>
        </is>
      </c>
    </row>
    <row r="8825">
      <c r="A8825" s="3" t="n">
        <v>2024</v>
      </c>
      <c r="B8825" s="4" t="n">
        <v>41316</v>
      </c>
      <c r="C8825" s="4" t="n">
        <v>1226</v>
      </c>
      <c r="D8825" s="4" t="n">
        <v>370.865</v>
      </c>
      <c r="E8825" s="5" t="n">
        <v>111.4</v>
      </c>
      <c r="F8825" s="3" t="inlineStr">
        <is>
          <t>현도면</t>
        </is>
      </c>
      <c r="G8825" s="3" t="inlineStr">
        <is>
          <t>선동리</t>
        </is>
      </c>
      <c r="H8825" s="3" t="inlineStr">
        <is>
          <t>계획관리지역</t>
        </is>
      </c>
      <c r="I8825" s="3" t="inlineStr">
        <is>
          <t>공장용지</t>
        </is>
      </c>
      <c r="J8825" s="3" t="inlineStr">
        <is>
          <t>현도면</t>
        </is>
      </c>
    </row>
    <row r="8826">
      <c r="A8826" s="3" t="n">
        <v>2024</v>
      </c>
      <c r="B8826" s="4" t="n">
        <v>4583</v>
      </c>
      <c r="C8826" s="4" t="n">
        <v>136</v>
      </c>
      <c r="D8826" s="4" t="n">
        <v>41.14</v>
      </c>
      <c r="E8826" s="5" t="n">
        <v>111.4</v>
      </c>
      <c r="F8826" s="3" t="inlineStr">
        <is>
          <t>현도면</t>
        </is>
      </c>
      <c r="G8826" s="3" t="inlineStr">
        <is>
          <t>선동리</t>
        </is>
      </c>
      <c r="H8826" s="3" t="inlineStr">
        <is>
          <t>계획관리지역</t>
        </is>
      </c>
      <c r="I8826" s="3" t="inlineStr">
        <is>
          <t>공장용지</t>
        </is>
      </c>
      <c r="J8826" s="3" t="inlineStr">
        <is>
          <t>현도면</t>
        </is>
      </c>
    </row>
    <row r="8827">
      <c r="A8827" s="3" t="n">
        <v>2024</v>
      </c>
      <c r="B8827" s="4" t="n">
        <v>7818</v>
      </c>
      <c r="C8827" s="4" t="n">
        <v>232</v>
      </c>
      <c r="D8827" s="4" t="n">
        <v>70.17999999999999</v>
      </c>
      <c r="E8827" s="5" t="n">
        <v>111.4</v>
      </c>
      <c r="F8827" s="3" t="inlineStr">
        <is>
          <t>현도면</t>
        </is>
      </c>
      <c r="G8827" s="3" t="inlineStr">
        <is>
          <t>선동리</t>
        </is>
      </c>
      <c r="H8827" s="3" t="inlineStr">
        <is>
          <t>계획관리지역</t>
        </is>
      </c>
      <c r="I8827" s="3" t="inlineStr">
        <is>
          <t>공장용지</t>
        </is>
      </c>
      <c r="J8827" s="3" t="inlineStr">
        <is>
          <t>현도면</t>
        </is>
      </c>
    </row>
    <row r="8828">
      <c r="A8828" s="3" t="n">
        <v>2024</v>
      </c>
      <c r="B8828" s="4" t="n">
        <v>835</v>
      </c>
      <c r="C8828" s="4" t="n">
        <v>72</v>
      </c>
      <c r="D8828" s="4" t="n">
        <v>21.78</v>
      </c>
      <c r="E8828" s="5" t="n">
        <v>38.3</v>
      </c>
      <c r="F8828" s="3" t="inlineStr">
        <is>
          <t>현도면</t>
        </is>
      </c>
      <c r="G8828" s="3" t="inlineStr">
        <is>
          <t>선동리</t>
        </is>
      </c>
      <c r="H8828" s="3" t="inlineStr">
        <is>
          <t>계획관리지역</t>
        </is>
      </c>
      <c r="I8828" s="3" t="inlineStr">
        <is>
          <t>도로</t>
        </is>
      </c>
      <c r="J8828" s="3" t="inlineStr">
        <is>
          <t>현도면</t>
        </is>
      </c>
    </row>
    <row r="8829">
      <c r="A8829" s="3" t="n">
        <v>2024</v>
      </c>
      <c r="B8829" s="4" t="n">
        <v>3202</v>
      </c>
      <c r="C8829" s="4" t="n">
        <v>111</v>
      </c>
      <c r="D8829" s="4" t="n">
        <v>33.5775</v>
      </c>
      <c r="E8829" s="5" t="n">
        <v>95.40000000000001</v>
      </c>
      <c r="F8829" s="3" t="inlineStr">
        <is>
          <t>현도면</t>
        </is>
      </c>
      <c r="G8829" s="3" t="inlineStr">
        <is>
          <t>선동리</t>
        </is>
      </c>
      <c r="H8829" s="3" t="inlineStr">
        <is>
          <t>계획관리지역</t>
        </is>
      </c>
      <c r="I8829" s="3" t="inlineStr">
        <is>
          <t>도로</t>
        </is>
      </c>
      <c r="J8829" s="3" t="inlineStr">
        <is>
          <t>현도면</t>
        </is>
      </c>
    </row>
    <row r="8830">
      <c r="A8830" s="3" t="n">
        <v>2024</v>
      </c>
      <c r="B8830" s="4" t="n">
        <v>8006</v>
      </c>
      <c r="C8830" s="4" t="n">
        <v>1063.4</v>
      </c>
      <c r="D8830" s="4" t="n">
        <v>321.6785</v>
      </c>
      <c r="E8830" s="5" t="n">
        <v>24.9</v>
      </c>
      <c r="F8830" s="3" t="inlineStr">
        <is>
          <t>남이면</t>
        </is>
      </c>
      <c r="G8830" s="3" t="inlineStr">
        <is>
          <t>갈원리</t>
        </is>
      </c>
      <c r="H8830" s="3" t="inlineStr">
        <is>
          <t>농림지역</t>
        </is>
      </c>
      <c r="I8830" s="3" t="inlineStr">
        <is>
          <t>답</t>
        </is>
      </c>
      <c r="J8830" s="3" t="inlineStr">
        <is>
          <t>남이면</t>
        </is>
      </c>
    </row>
    <row r="8831">
      <c r="A8831" s="3" t="n">
        <v>2024</v>
      </c>
      <c r="B8831" s="4" t="n">
        <v>8300</v>
      </c>
      <c r="C8831" s="4" t="n">
        <v>320</v>
      </c>
      <c r="D8831" s="4" t="n">
        <v>96.8</v>
      </c>
      <c r="E8831" s="5" t="n">
        <v>85.7</v>
      </c>
      <c r="F8831" s="3" t="inlineStr">
        <is>
          <t>현도면</t>
        </is>
      </c>
      <c r="G8831" s="3" t="inlineStr">
        <is>
          <t>매봉리</t>
        </is>
      </c>
      <c r="H8831" s="3" t="inlineStr">
        <is>
          <t>일반상업지역</t>
        </is>
      </c>
      <c r="I8831" s="3" t="inlineStr">
        <is>
          <t>대</t>
        </is>
      </c>
      <c r="J8831" s="3" t="inlineStr">
        <is>
          <t>현도면</t>
        </is>
      </c>
    </row>
    <row r="8832">
      <c r="A8832" s="3" t="n">
        <v>2024</v>
      </c>
      <c r="B8832" s="4" t="n">
        <v>1000</v>
      </c>
      <c r="C8832" s="4" t="n">
        <v>50</v>
      </c>
      <c r="D8832" s="4" t="n">
        <v>15.125</v>
      </c>
      <c r="E8832" s="5" t="n">
        <v>66.09999999999999</v>
      </c>
      <c r="F8832" s="3" t="inlineStr">
        <is>
          <t>남이면</t>
        </is>
      </c>
      <c r="G8832" s="3" t="inlineStr">
        <is>
          <t>가좌리</t>
        </is>
      </c>
      <c r="H8832" s="3" t="inlineStr">
        <is>
          <t>보전녹지지역</t>
        </is>
      </c>
      <c r="I8832" s="3" t="inlineStr">
        <is>
          <t>임야</t>
        </is>
      </c>
      <c r="J8832" s="3" t="inlineStr">
        <is>
          <t>남이면</t>
        </is>
      </c>
    </row>
    <row r="8833">
      <c r="A8833" s="3" t="n">
        <v>2024</v>
      </c>
      <c r="B8833" s="4" t="n">
        <v>17000</v>
      </c>
      <c r="C8833" s="4" t="n">
        <v>873</v>
      </c>
      <c r="D8833" s="4" t="n">
        <v>264.0825</v>
      </c>
      <c r="E8833" s="5" t="n">
        <v>64.40000000000001</v>
      </c>
      <c r="F8833" s="3" t="inlineStr">
        <is>
          <t>남이면</t>
        </is>
      </c>
      <c r="G8833" s="3" t="inlineStr">
        <is>
          <t>가좌리</t>
        </is>
      </c>
      <c r="H8833" s="3" t="inlineStr">
        <is>
          <t>보전녹지지역</t>
        </is>
      </c>
      <c r="I8833" s="3" t="inlineStr">
        <is>
          <t>임야</t>
        </is>
      </c>
      <c r="J8833" s="3" t="inlineStr">
        <is>
          <t>남이면</t>
        </is>
      </c>
    </row>
    <row r="8834">
      <c r="A8834" s="3" t="n">
        <v>2024</v>
      </c>
      <c r="B8834" s="4" t="n">
        <v>6540</v>
      </c>
      <c r="C8834" s="4" t="n">
        <v>2161</v>
      </c>
      <c r="D8834" s="4" t="n">
        <v>653.7025</v>
      </c>
      <c r="E8834" s="5" t="n">
        <v>10</v>
      </c>
      <c r="F8834" s="3" t="inlineStr">
        <is>
          <t>현도면</t>
        </is>
      </c>
      <c r="G8834" s="3" t="inlineStr">
        <is>
          <t>상삼리</t>
        </is>
      </c>
      <c r="H8834" s="3" t="inlineStr">
        <is>
          <t>보전관리지역</t>
        </is>
      </c>
      <c r="I8834" s="3" t="inlineStr">
        <is>
          <t>임야</t>
        </is>
      </c>
      <c r="J8834" s="3" t="inlineStr">
        <is>
          <t>현도면</t>
        </is>
      </c>
    </row>
    <row r="8835">
      <c r="A8835" s="3" t="n">
        <v>2024</v>
      </c>
      <c r="B8835" s="4" t="n">
        <v>960</v>
      </c>
      <c r="C8835" s="4" t="n">
        <v>318</v>
      </c>
      <c r="D8835" s="4" t="n">
        <v>96.19499999999999</v>
      </c>
      <c r="E8835" s="5" t="n">
        <v>10</v>
      </c>
      <c r="F8835" s="3" t="inlineStr">
        <is>
          <t>남이면</t>
        </is>
      </c>
      <c r="G8835" s="3" t="inlineStr">
        <is>
          <t>부용외천리</t>
        </is>
      </c>
      <c r="H8835" s="3" t="inlineStr">
        <is>
          <t>계획관리지역</t>
        </is>
      </c>
      <c r="I8835" s="3" t="inlineStr">
        <is>
          <t>임야</t>
        </is>
      </c>
      <c r="J8835" s="3" t="inlineStr">
        <is>
          <t>남이면</t>
        </is>
      </c>
    </row>
    <row r="8836">
      <c r="A8836" s="3" t="n">
        <v>2024</v>
      </c>
      <c r="B8836" s="4" t="n">
        <v>30740</v>
      </c>
      <c r="C8836" s="4" t="n">
        <v>3136</v>
      </c>
      <c r="D8836" s="4" t="n">
        <v>948.64</v>
      </c>
      <c r="E8836" s="5" t="n">
        <v>32.4</v>
      </c>
      <c r="F8836" s="3" t="inlineStr">
        <is>
          <t>현도면</t>
        </is>
      </c>
      <c r="G8836" s="3" t="inlineStr">
        <is>
          <t>상삼리</t>
        </is>
      </c>
      <c r="H8836" s="3" t="inlineStr">
        <is>
          <t>계획관리지역</t>
        </is>
      </c>
      <c r="I8836" s="3" t="inlineStr">
        <is>
          <t>임야</t>
        </is>
      </c>
      <c r="J8836" s="3" t="inlineStr">
        <is>
          <t>현도면</t>
        </is>
      </c>
    </row>
    <row r="8837">
      <c r="A8837" s="3" t="n">
        <v>2024</v>
      </c>
      <c r="B8837" s="4" t="n">
        <v>19820</v>
      </c>
      <c r="C8837" s="4" t="n">
        <v>474</v>
      </c>
      <c r="D8837" s="4" t="n">
        <v>143.385</v>
      </c>
      <c r="E8837" s="5" t="n">
        <v>138.2</v>
      </c>
      <c r="F8837" s="3" t="inlineStr">
        <is>
          <t>남이면</t>
        </is>
      </c>
      <c r="G8837" s="3" t="inlineStr">
        <is>
          <t>양촌리</t>
        </is>
      </c>
      <c r="H8837" s="3" t="inlineStr">
        <is>
          <t>자연녹지지역</t>
        </is>
      </c>
      <c r="I8837" s="3" t="inlineStr">
        <is>
          <t>전</t>
        </is>
      </c>
      <c r="J8837" s="3" t="inlineStr">
        <is>
          <t>남이면</t>
        </is>
      </c>
    </row>
    <row r="8838">
      <c r="A8838" s="3" t="n">
        <v>2024</v>
      </c>
      <c r="B8838" s="4" t="n">
        <v>17522</v>
      </c>
      <c r="C8838" s="4" t="n">
        <v>420</v>
      </c>
      <c r="D8838" s="4" t="n">
        <v>127.05</v>
      </c>
      <c r="E8838" s="5" t="n">
        <v>137.9</v>
      </c>
      <c r="F8838" s="3" t="inlineStr">
        <is>
          <t>남이면</t>
        </is>
      </c>
      <c r="G8838" s="3" t="inlineStr">
        <is>
          <t>양촌리</t>
        </is>
      </c>
      <c r="H8838" s="3" t="inlineStr">
        <is>
          <t>자연녹지지역</t>
        </is>
      </c>
      <c r="I8838" s="3" t="inlineStr">
        <is>
          <t>전</t>
        </is>
      </c>
      <c r="J8838" s="3" t="inlineStr">
        <is>
          <t>남이면</t>
        </is>
      </c>
    </row>
    <row r="8839">
      <c r="A8839" s="3" t="n">
        <v>2024</v>
      </c>
      <c r="B8839" s="4" t="n">
        <v>13392</v>
      </c>
      <c r="C8839" s="4" t="n">
        <v>321</v>
      </c>
      <c r="D8839" s="4" t="n">
        <v>97.10249999999999</v>
      </c>
      <c r="E8839" s="5" t="n">
        <v>137.9</v>
      </c>
      <c r="F8839" s="3" t="inlineStr">
        <is>
          <t>남이면</t>
        </is>
      </c>
      <c r="G8839" s="3" t="inlineStr">
        <is>
          <t>양촌리</t>
        </is>
      </c>
      <c r="H8839" s="3" t="inlineStr">
        <is>
          <t>자연녹지지역</t>
        </is>
      </c>
      <c r="I8839" s="3" t="inlineStr">
        <is>
          <t>전</t>
        </is>
      </c>
      <c r="J8839" s="3" t="inlineStr">
        <is>
          <t>남이면</t>
        </is>
      </c>
    </row>
    <row r="8840">
      <c r="A8840" s="3" t="n">
        <v>2024</v>
      </c>
      <c r="B8840" s="4" t="n">
        <v>11514</v>
      </c>
      <c r="C8840" s="4" t="n">
        <v>276</v>
      </c>
      <c r="D8840" s="4" t="n">
        <v>83.48999999999999</v>
      </c>
      <c r="E8840" s="5" t="n">
        <v>137.9</v>
      </c>
      <c r="F8840" s="3" t="inlineStr">
        <is>
          <t>남이면</t>
        </is>
      </c>
      <c r="G8840" s="3" t="inlineStr">
        <is>
          <t>양촌리</t>
        </is>
      </c>
      <c r="H8840" s="3" t="inlineStr">
        <is>
          <t>자연녹지지역</t>
        </is>
      </c>
      <c r="I8840" s="3" t="inlineStr">
        <is>
          <t>전</t>
        </is>
      </c>
      <c r="J8840" s="3" t="inlineStr">
        <is>
          <t>남이면</t>
        </is>
      </c>
    </row>
    <row r="8841">
      <c r="A8841" s="3" t="n">
        <v>2024</v>
      </c>
      <c r="B8841" s="4" t="n">
        <v>417</v>
      </c>
      <c r="C8841" s="4" t="n">
        <v>10</v>
      </c>
      <c r="D8841" s="4" t="n">
        <v>3.025</v>
      </c>
      <c r="E8841" s="5" t="n">
        <v>137.9</v>
      </c>
      <c r="F8841" s="3" t="inlineStr">
        <is>
          <t>남이면</t>
        </is>
      </c>
      <c r="G8841" s="3" t="inlineStr">
        <is>
          <t>양촌리</t>
        </is>
      </c>
      <c r="H8841" s="3" t="inlineStr">
        <is>
          <t>자연녹지지역</t>
        </is>
      </c>
      <c r="I8841" s="3" t="inlineStr">
        <is>
          <t>임야</t>
        </is>
      </c>
      <c r="J8841" s="3" t="inlineStr">
        <is>
          <t>남이면</t>
        </is>
      </c>
    </row>
    <row r="8842">
      <c r="A8842" s="3" t="n">
        <v>2026</v>
      </c>
      <c r="B8842" s="4" t="n">
        <v>18210</v>
      </c>
      <c r="C8842" s="4" t="n">
        <v>552</v>
      </c>
      <c r="D8842" s="4" t="n">
        <v>166.98</v>
      </c>
      <c r="E8842" s="5" t="n">
        <v>109.1</v>
      </c>
      <c r="F8842" s="3" t="inlineStr">
        <is>
          <t>남이면</t>
        </is>
      </c>
      <c r="G8842" s="3" t="inlineStr">
        <is>
          <t>석판리</t>
        </is>
      </c>
      <c r="H8842" s="3" t="inlineStr">
        <is>
          <t>자연녹지지역</t>
        </is>
      </c>
      <c r="I8842" s="3" t="inlineStr">
        <is>
          <t>임야</t>
        </is>
      </c>
      <c r="J8842" s="3" t="inlineStr">
        <is>
          <t>남이면</t>
        </is>
      </c>
    </row>
    <row r="8843">
      <c r="A8843" s="3" t="n">
        <v>2026</v>
      </c>
      <c r="B8843" s="4" t="n">
        <v>12880</v>
      </c>
      <c r="C8843" s="4" t="n">
        <v>218</v>
      </c>
      <c r="D8843" s="4" t="n">
        <v>65.94499999999999</v>
      </c>
      <c r="E8843" s="5" t="n">
        <v>195.3</v>
      </c>
      <c r="F8843" s="3" t="inlineStr">
        <is>
          <t>남이면</t>
        </is>
      </c>
      <c r="G8843" s="3" t="inlineStr">
        <is>
          <t>부용외천리</t>
        </is>
      </c>
      <c r="H8843" s="3" t="inlineStr">
        <is>
          <t>계획관리지역</t>
        </is>
      </c>
      <c r="I8843" s="3" t="inlineStr">
        <is>
          <t>공장용지</t>
        </is>
      </c>
      <c r="J8843" s="3" t="inlineStr">
        <is>
          <t>남이면</t>
        </is>
      </c>
    </row>
    <row r="8844">
      <c r="A8844" s="3" t="n">
        <v>2026</v>
      </c>
      <c r="B8844" s="4" t="n">
        <v>272</v>
      </c>
      <c r="C8844" s="4" t="n">
        <v>9</v>
      </c>
      <c r="D8844" s="4" t="n">
        <v>2.7225</v>
      </c>
      <c r="E8844" s="5" t="n">
        <v>99.90000000000001</v>
      </c>
      <c r="F8844" s="3" t="inlineStr">
        <is>
          <t>남이면</t>
        </is>
      </c>
      <c r="G8844" s="3" t="inlineStr">
        <is>
          <t>외천리</t>
        </is>
      </c>
      <c r="H8844" s="3" t="inlineStr">
        <is>
          <t>계획관리지역</t>
        </is>
      </c>
      <c r="I8844" s="3" t="inlineStr">
        <is>
          <t>도로</t>
        </is>
      </c>
      <c r="J8844" s="3" t="inlineStr">
        <is>
          <t>남이면</t>
        </is>
      </c>
    </row>
    <row r="8845">
      <c r="A8845" s="3" t="n">
        <v>2026</v>
      </c>
      <c r="B8845" s="4" t="n">
        <v>36000</v>
      </c>
      <c r="C8845" s="4" t="n">
        <v>268.1</v>
      </c>
      <c r="D8845" s="4" t="n">
        <v>81.10025</v>
      </c>
      <c r="E8845" s="5" t="n">
        <v>443.9</v>
      </c>
      <c r="F8845" s="3" t="inlineStr">
        <is>
          <t>오송읍</t>
        </is>
      </c>
      <c r="G8845" s="3" t="inlineStr">
        <is>
          <t>봉산리</t>
        </is>
      </c>
      <c r="H8845" s="3" t="inlineStr">
        <is>
          <t>제1종일반주거지역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2026</v>
      </c>
      <c r="B8846" s="4" t="n">
        <v>4550</v>
      </c>
      <c r="C8846" s="4" t="n">
        <v>301</v>
      </c>
      <c r="D8846" s="4" t="n">
        <v>91.05249999999999</v>
      </c>
      <c r="E8846" s="5" t="n">
        <v>50</v>
      </c>
      <c r="F8846" s="3" t="inlineStr">
        <is>
          <t>오송읍</t>
        </is>
      </c>
      <c r="G8846" s="3" t="inlineStr">
        <is>
          <t>상봉리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2026</v>
      </c>
      <c r="B8847" s="4" t="n">
        <v>63600</v>
      </c>
      <c r="C8847" s="4" t="n">
        <v>2802</v>
      </c>
      <c r="D8847" s="4" t="n">
        <v>847.605</v>
      </c>
      <c r="E8847" s="5" t="n">
        <v>75</v>
      </c>
      <c r="F8847" s="3" t="inlineStr">
        <is>
          <t>오송읍</t>
        </is>
      </c>
      <c r="G8847" s="3" t="inlineStr">
        <is>
          <t>서평리</t>
        </is>
      </c>
      <c r="H8847" s="3" t="inlineStr">
        <is>
          <t>생산관리지역</t>
        </is>
      </c>
      <c r="I8847" s="3" t="inlineStr">
        <is>
          <t>전</t>
        </is>
      </c>
      <c r="J8847" s="3" t="inlineStr">
        <is>
          <t>오송읍</t>
        </is>
      </c>
    </row>
    <row r="8848">
      <c r="A8848" s="3" t="n">
        <v>2025</v>
      </c>
      <c r="B8848" s="4" t="n">
        <v>55000</v>
      </c>
      <c r="C8848" s="4" t="n">
        <v>2172</v>
      </c>
      <c r="D8848" s="4" t="n">
        <v>657.03</v>
      </c>
      <c r="E8848" s="5" t="n">
        <v>83.7</v>
      </c>
      <c r="F8848" s="3" t="inlineStr">
        <is>
          <t>남이면</t>
        </is>
      </c>
      <c r="G8848" s="3" t="inlineStr">
        <is>
          <t>석판리</t>
        </is>
      </c>
      <c r="H8848" s="3" t="inlineStr">
        <is>
          <t>자연녹지지역</t>
        </is>
      </c>
      <c r="I8848" s="3" t="inlineStr">
        <is>
          <t>전</t>
        </is>
      </c>
      <c r="J8848" s="3" t="inlineStr">
        <is>
          <t>남이면</t>
        </is>
      </c>
    </row>
    <row r="8849">
      <c r="A8849" s="3" t="n">
        <v>2025</v>
      </c>
      <c r="B8849" s="4" t="n">
        <v>5500</v>
      </c>
      <c r="C8849" s="4" t="n">
        <v>694</v>
      </c>
      <c r="D8849" s="4" t="n">
        <v>209.935</v>
      </c>
      <c r="E8849" s="5" t="n">
        <v>26.2</v>
      </c>
      <c r="F8849" s="3" t="inlineStr">
        <is>
          <t>남이면</t>
        </is>
      </c>
      <c r="G8849" s="3" t="inlineStr">
        <is>
          <t>척산리</t>
        </is>
      </c>
      <c r="H8849" s="3" t="inlineStr">
        <is>
          <t>자연녹지지역</t>
        </is>
      </c>
      <c r="I8849" s="3" t="inlineStr">
        <is>
          <t>임야</t>
        </is>
      </c>
      <c r="J8849" s="3" t="inlineStr">
        <is>
          <t>남이면</t>
        </is>
      </c>
    </row>
    <row r="8850">
      <c r="A8850" s="3" t="n">
        <v>2025</v>
      </c>
      <c r="B8850" s="4" t="n">
        <v>22300</v>
      </c>
      <c r="C8850" s="4" t="n">
        <v>2734</v>
      </c>
      <c r="D8850" s="4" t="n">
        <v>827.035</v>
      </c>
      <c r="E8850" s="5" t="n">
        <v>27</v>
      </c>
      <c r="F8850" s="3" t="inlineStr">
        <is>
          <t>남이면</t>
        </is>
      </c>
      <c r="G8850" s="3" t="inlineStr">
        <is>
          <t>산막리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2025</v>
      </c>
      <c r="B8851" s="4" t="n">
        <v>12800</v>
      </c>
      <c r="C8851" s="4" t="n">
        <v>1212.9</v>
      </c>
      <c r="D8851" s="4" t="n">
        <v>366.90225</v>
      </c>
      <c r="E8851" s="5" t="n">
        <v>34.9</v>
      </c>
      <c r="F8851" s="3" t="inlineStr">
        <is>
          <t>남이면</t>
        </is>
      </c>
      <c r="G8851" s="3" t="inlineStr">
        <is>
          <t>구암리</t>
        </is>
      </c>
      <c r="H8851" s="3" t="inlineStr">
        <is>
          <t>자연녹지지역</t>
        </is>
      </c>
      <c r="I8851" s="3" t="inlineStr">
        <is>
          <t>답</t>
        </is>
      </c>
      <c r="J8851" s="3" t="inlineStr">
        <is>
          <t>남이면</t>
        </is>
      </c>
    </row>
    <row r="8852">
      <c r="A8852" s="3" t="n">
        <v>2025</v>
      </c>
      <c r="B8852" s="4" t="n">
        <v>32000</v>
      </c>
      <c r="C8852" s="4" t="n">
        <v>2198</v>
      </c>
      <c r="D8852" s="4" t="n">
        <v>664.895</v>
      </c>
      <c r="E8852" s="5" t="n">
        <v>48.1</v>
      </c>
      <c r="F8852" s="3" t="inlineStr">
        <is>
          <t>남이면</t>
        </is>
      </c>
      <c r="G8852" s="3" t="inlineStr">
        <is>
          <t>구암리</t>
        </is>
      </c>
      <c r="H8852" s="3" t="inlineStr">
        <is>
          <t>자연녹지지역</t>
        </is>
      </c>
      <c r="I8852" s="3" t="inlineStr">
        <is>
          <t>답</t>
        </is>
      </c>
      <c r="J8852" s="3" t="inlineStr">
        <is>
          <t>남이면</t>
        </is>
      </c>
    </row>
    <row r="8853">
      <c r="A8853" s="3" t="n">
        <v>2025</v>
      </c>
      <c r="B8853" s="4" t="n">
        <v>14500</v>
      </c>
      <c r="C8853" s="4" t="n">
        <v>2371</v>
      </c>
      <c r="D8853" s="4" t="n">
        <v>717.2275</v>
      </c>
      <c r="E8853" s="5" t="n">
        <v>20.2</v>
      </c>
      <c r="F8853" s="3" t="inlineStr">
        <is>
          <t>남이면</t>
        </is>
      </c>
      <c r="G8853" s="3" t="inlineStr">
        <is>
          <t>척산리</t>
        </is>
      </c>
      <c r="H8853" s="3" t="inlineStr">
        <is>
          <t>자연녹지지역</t>
        </is>
      </c>
      <c r="I8853" s="3" t="inlineStr">
        <is>
          <t>묘지</t>
        </is>
      </c>
      <c r="J8853" s="3" t="inlineStr">
        <is>
          <t>남이면</t>
        </is>
      </c>
    </row>
    <row r="8854">
      <c r="A8854" s="3" t="n">
        <v>2026</v>
      </c>
      <c r="B8854" s="4" t="n">
        <v>11200</v>
      </c>
      <c r="C8854" s="4" t="n">
        <v>2786</v>
      </c>
      <c r="D8854" s="4" t="n">
        <v>842.765</v>
      </c>
      <c r="E8854" s="5" t="n">
        <v>13.3</v>
      </c>
      <c r="F8854" s="3" t="inlineStr">
        <is>
          <t>강내면</t>
        </is>
      </c>
      <c r="G8854" s="3" t="inlineStr">
        <is>
          <t>태성리</t>
        </is>
      </c>
      <c r="H8854" s="3" t="inlineStr">
        <is>
          <t>계획관리지역</t>
        </is>
      </c>
      <c r="I8854" s="3" t="inlineStr">
        <is>
          <t>임야</t>
        </is>
      </c>
      <c r="J8854" s="3" t="inlineStr">
        <is>
          <t>강내면</t>
        </is>
      </c>
    </row>
    <row r="8855">
      <c r="A8855" s="3" t="n">
        <v>2026</v>
      </c>
      <c r="B8855" s="4" t="n">
        <v>35000</v>
      </c>
      <c r="C8855" s="4" t="n">
        <v>269.8</v>
      </c>
      <c r="D8855" s="4" t="n">
        <v>81.61450000000001</v>
      </c>
      <c r="E8855" s="5" t="n">
        <v>428.8</v>
      </c>
      <c r="F8855" s="3" t="inlineStr">
        <is>
          <t>오송읍</t>
        </is>
      </c>
      <c r="G8855" s="3" t="inlineStr">
        <is>
          <t>봉산리</t>
        </is>
      </c>
      <c r="H8855" s="3" t="inlineStr">
        <is>
          <t>제1종일반주거지역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2026</v>
      </c>
      <c r="B8856" s="4" t="n">
        <v>12990</v>
      </c>
      <c r="C8856" s="4" t="n">
        <v>1431</v>
      </c>
      <c r="D8856" s="4" t="n">
        <v>432.8775</v>
      </c>
      <c r="E8856" s="5" t="n">
        <v>30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농림지역</t>
        </is>
      </c>
      <c r="I8856" s="3" t="inlineStr">
        <is>
          <t>과수원</t>
        </is>
      </c>
      <c r="J8856" s="3" t="inlineStr">
        <is>
          <t>오송읍</t>
        </is>
      </c>
    </row>
    <row r="8857">
      <c r="A8857" s="3" t="n">
        <v>2026</v>
      </c>
      <c r="B8857" s="4" t="n">
        <v>4100</v>
      </c>
      <c r="C8857" s="4" t="n">
        <v>893</v>
      </c>
      <c r="D8857" s="4" t="n">
        <v>270.1325</v>
      </c>
      <c r="E8857" s="5" t="n">
        <v>15.2</v>
      </c>
      <c r="F8857" s="3" t="inlineStr">
        <is>
          <t>강내면</t>
        </is>
      </c>
      <c r="G8857" s="3" t="inlineStr">
        <is>
          <t>사곡리</t>
        </is>
      </c>
      <c r="H8857" s="3" t="inlineStr">
        <is>
          <t>계획관리지역</t>
        </is>
      </c>
      <c r="I8857" s="3" t="inlineStr">
        <is>
          <t>임야</t>
        </is>
      </c>
      <c r="J8857" s="3" t="inlineStr">
        <is>
          <t>강내면</t>
        </is>
      </c>
    </row>
    <row r="8858">
      <c r="A8858" s="3" t="n">
        <v>2026</v>
      </c>
      <c r="B8858" s="4" t="n">
        <v>32000</v>
      </c>
      <c r="C8858" s="4" t="n">
        <v>267.6</v>
      </c>
      <c r="D8858" s="4" t="n">
        <v>80.949</v>
      </c>
      <c r="E8858" s="5" t="n">
        <v>395.3</v>
      </c>
      <c r="F8858" s="3" t="inlineStr">
        <is>
          <t>오송읍</t>
        </is>
      </c>
      <c r="G8858" s="3" t="inlineStr">
        <is>
          <t>봉산리</t>
        </is>
      </c>
      <c r="H8858" s="3" t="inlineStr">
        <is>
          <t>제1종일반주거지역</t>
        </is>
      </c>
      <c r="I8858" s="3" t="inlineStr">
        <is>
          <t>대</t>
        </is>
      </c>
      <c r="J8858" s="3" t="inlineStr">
        <is>
          <t>오송읍</t>
        </is>
      </c>
    </row>
    <row r="8859">
      <c r="A8859" s="3" t="n">
        <v>2026</v>
      </c>
      <c r="B8859" s="4" t="n">
        <v>62000</v>
      </c>
      <c r="C8859" s="4" t="n">
        <v>2061</v>
      </c>
      <c r="D8859" s="4" t="n">
        <v>623.4525</v>
      </c>
      <c r="E8859" s="5" t="n">
        <v>99.40000000000001</v>
      </c>
      <c r="F8859" s="3" t="inlineStr">
        <is>
          <t>오송읍</t>
        </is>
      </c>
      <c r="G8859" s="3" t="inlineStr">
        <is>
          <t>서평리</t>
        </is>
      </c>
      <c r="H8859" s="3" t="inlineStr">
        <is>
          <t>농림지역</t>
        </is>
      </c>
      <c r="I8859" s="3" t="inlineStr">
        <is>
          <t>답</t>
        </is>
      </c>
      <c r="J8859" s="3" t="inlineStr">
        <is>
          <t>오송읍</t>
        </is>
      </c>
    </row>
    <row r="8860">
      <c r="A8860" s="3" t="n">
        <v>2026</v>
      </c>
      <c r="B8860" s="4" t="n">
        <v>59600</v>
      </c>
      <c r="C8860" s="4" t="n">
        <v>490</v>
      </c>
      <c r="D8860" s="4" t="n">
        <v>148.225</v>
      </c>
      <c r="E8860" s="5" t="n">
        <v>402.1</v>
      </c>
      <c r="F8860" s="3" t="inlineStr">
        <is>
          <t>오송읍</t>
        </is>
      </c>
      <c r="G8860" s="3" t="inlineStr">
        <is>
          <t>연제리</t>
        </is>
      </c>
      <c r="H8860" s="3" t="inlineStr">
        <is>
          <t>계획관리지역</t>
        </is>
      </c>
      <c r="I8860" s="3" t="inlineStr">
        <is>
          <t>공장용지</t>
        </is>
      </c>
      <c r="J8860" s="3" t="inlineStr">
        <is>
          <t>오송읍</t>
        </is>
      </c>
    </row>
    <row r="8861">
      <c r="A8861" s="3" t="n">
        <v>2026</v>
      </c>
      <c r="B8861" s="4" t="n">
        <v>72000</v>
      </c>
      <c r="C8861" s="4" t="n">
        <v>2235</v>
      </c>
      <c r="D8861" s="4" t="n">
        <v>676.0875</v>
      </c>
      <c r="E8861" s="5" t="n">
        <v>106.5</v>
      </c>
      <c r="F8861" s="3" t="inlineStr">
        <is>
          <t>오송읍</t>
        </is>
      </c>
      <c r="G8861" s="3" t="inlineStr">
        <is>
          <t>서평리</t>
        </is>
      </c>
      <c r="H8861" s="3" t="inlineStr">
        <is>
          <t>농림지역</t>
        </is>
      </c>
      <c r="I8861" s="3" t="inlineStr">
        <is>
          <t>답</t>
        </is>
      </c>
      <c r="J8861" s="3" t="inlineStr">
        <is>
          <t>오송읍</t>
        </is>
      </c>
    </row>
    <row r="8862">
      <c r="A8862" s="3" t="n">
        <v>2026</v>
      </c>
      <c r="B8862" s="4" t="n">
        <v>24938</v>
      </c>
      <c r="C8862" s="4" t="n">
        <v>465</v>
      </c>
      <c r="D8862" s="4" t="n">
        <v>140.6625</v>
      </c>
      <c r="E8862" s="5" t="n">
        <v>177.3</v>
      </c>
      <c r="F8862" s="3" t="inlineStr">
        <is>
          <t>강내면</t>
        </is>
      </c>
      <c r="G8862" s="3" t="inlineStr">
        <is>
          <t>사곡리</t>
        </is>
      </c>
      <c r="H8862" s="3" t="inlineStr">
        <is>
          <t>보전관리지역</t>
        </is>
      </c>
      <c r="I8862" s="3" t="inlineStr">
        <is>
          <t>대</t>
        </is>
      </c>
      <c r="J8862" s="3" t="inlineStr">
        <is>
          <t>강내면</t>
        </is>
      </c>
    </row>
    <row r="8863">
      <c r="A8863" s="3" t="n">
        <v>2025</v>
      </c>
      <c r="B8863" s="4" t="n">
        <v>5938</v>
      </c>
      <c r="C8863" s="4" t="n">
        <v>302</v>
      </c>
      <c r="D8863" s="4" t="n">
        <v>91.355</v>
      </c>
      <c r="E8863" s="5" t="n">
        <v>65</v>
      </c>
      <c r="F8863" s="3" t="inlineStr">
        <is>
          <t>남이면</t>
        </is>
      </c>
      <c r="G8863" s="3" t="inlineStr">
        <is>
          <t>가좌리</t>
        </is>
      </c>
      <c r="H8863" s="3" t="inlineStr">
        <is>
          <t>자연녹지지역</t>
        </is>
      </c>
      <c r="I8863" s="3" t="inlineStr">
        <is>
          <t>임야</t>
        </is>
      </c>
      <c r="J8863" s="3" t="inlineStr">
        <is>
          <t>남이면</t>
        </is>
      </c>
    </row>
    <row r="8864">
      <c r="A8864" s="3" t="n">
        <v>2025</v>
      </c>
      <c r="B8864" s="4" t="n">
        <v>18823</v>
      </c>
      <c r="C8864" s="4" t="n">
        <v>1196</v>
      </c>
      <c r="D8864" s="4" t="n">
        <v>361.79</v>
      </c>
      <c r="E8864" s="5" t="n">
        <v>52</v>
      </c>
      <c r="F8864" s="3" t="inlineStr">
        <is>
          <t>남이면</t>
        </is>
      </c>
      <c r="G8864" s="3" t="inlineStr">
        <is>
          <t>외천리</t>
        </is>
      </c>
      <c r="H8864" s="3" t="inlineStr">
        <is>
          <t>계획관리지역</t>
        </is>
      </c>
      <c r="I8864" s="3" t="inlineStr">
        <is>
          <t>공장용지</t>
        </is>
      </c>
      <c r="J8864" s="3" t="inlineStr">
        <is>
          <t>남이면</t>
        </is>
      </c>
    </row>
    <row r="8865">
      <c r="A8865" s="3" t="n">
        <v>2025</v>
      </c>
      <c r="B8865" s="4" t="n">
        <v>55052</v>
      </c>
      <c r="C8865" s="4" t="n">
        <v>3498</v>
      </c>
      <c r="D8865" s="4" t="n">
        <v>1058.145</v>
      </c>
      <c r="E8865" s="5" t="n">
        <v>52</v>
      </c>
      <c r="F8865" s="3" t="inlineStr">
        <is>
          <t>남이면</t>
        </is>
      </c>
      <c r="G8865" s="3" t="inlineStr">
        <is>
          <t>외천리</t>
        </is>
      </c>
      <c r="H8865" s="3" t="inlineStr">
        <is>
          <t>계획관리지역</t>
        </is>
      </c>
      <c r="I8865" s="3" t="inlineStr">
        <is>
          <t>공장용지</t>
        </is>
      </c>
      <c r="J8865" s="3" t="inlineStr">
        <is>
          <t>남이면</t>
        </is>
      </c>
    </row>
    <row r="8866">
      <c r="A8866" s="3" t="n">
        <v>2025</v>
      </c>
      <c r="B8866" s="4" t="n">
        <v>87800</v>
      </c>
      <c r="C8866" s="4" t="n">
        <v>1451</v>
      </c>
      <c r="D8866" s="4" t="n">
        <v>438.9275</v>
      </c>
      <c r="E8866" s="5" t="n">
        <v>200</v>
      </c>
      <c r="F8866" s="3" t="inlineStr">
        <is>
          <t>오송읍</t>
        </is>
      </c>
      <c r="G8866" s="3" t="inlineStr">
        <is>
          <t>봉산리</t>
        </is>
      </c>
      <c r="H8866" s="3" t="inlineStr">
        <is>
          <t>계획관리지역</t>
        </is>
      </c>
      <c r="I8866" s="3" t="inlineStr">
        <is>
          <t>답</t>
        </is>
      </c>
      <c r="J8866" s="3" t="inlineStr">
        <is>
          <t>오송읍</t>
        </is>
      </c>
    </row>
    <row r="8867">
      <c r="A8867" s="3" t="n">
        <v>2025</v>
      </c>
      <c r="B8867" s="4" t="n">
        <v>11000</v>
      </c>
      <c r="C8867" s="4" t="n">
        <v>1236</v>
      </c>
      <c r="D8867" s="4" t="n">
        <v>373.89</v>
      </c>
      <c r="E8867" s="5" t="n">
        <v>29.4</v>
      </c>
      <c r="F8867" s="3" t="inlineStr">
        <is>
          <t>강내면</t>
        </is>
      </c>
      <c r="G8867" s="3" t="inlineStr">
        <is>
          <t>학천리</t>
        </is>
      </c>
      <c r="H8867" s="3" t="inlineStr">
        <is>
          <t>생산녹지지역</t>
        </is>
      </c>
      <c r="I8867" s="3" t="inlineStr">
        <is>
          <t>답</t>
        </is>
      </c>
      <c r="J8867" s="3" t="inlineStr">
        <is>
          <t>강내면</t>
        </is>
      </c>
    </row>
    <row r="8868">
      <c r="A8868" s="3" t="n">
        <v>2025</v>
      </c>
      <c r="B8868" s="4" t="n">
        <v>1755</v>
      </c>
      <c r="C8868" s="4" t="n">
        <v>354</v>
      </c>
      <c r="D8868" s="4" t="n">
        <v>107.085</v>
      </c>
      <c r="E8868" s="5" t="n">
        <v>16.4</v>
      </c>
      <c r="F8868" s="3" t="inlineStr">
        <is>
          <t>강내면</t>
        </is>
      </c>
      <c r="G8868" s="3" t="inlineStr">
        <is>
          <t>학천리</t>
        </is>
      </c>
      <c r="H8868" s="3" t="inlineStr">
        <is>
          <t>생산녹지지역</t>
        </is>
      </c>
      <c r="I8868" s="3" t="inlineStr">
        <is>
          <t>답</t>
        </is>
      </c>
      <c r="J8868" s="3" t="inlineStr">
        <is>
          <t>강내면</t>
        </is>
      </c>
    </row>
    <row r="8869">
      <c r="A8869" s="3" t="n">
        <v>2025</v>
      </c>
      <c r="B8869" s="4" t="n">
        <v>2245</v>
      </c>
      <c r="C8869" s="4" t="n">
        <v>453</v>
      </c>
      <c r="D8869" s="4" t="n">
        <v>137.0325</v>
      </c>
      <c r="E8869" s="5" t="n">
        <v>16.4</v>
      </c>
      <c r="F8869" s="3" t="inlineStr">
        <is>
          <t>강내면</t>
        </is>
      </c>
      <c r="G8869" s="3" t="inlineStr">
        <is>
          <t>학천리</t>
        </is>
      </c>
      <c r="H8869" s="3" t="inlineStr">
        <is>
          <t>생산녹지지역</t>
        </is>
      </c>
      <c r="I8869" s="3" t="inlineStr">
        <is>
          <t>답</t>
        </is>
      </c>
      <c r="J8869" s="3" t="inlineStr">
        <is>
          <t>강내면</t>
        </is>
      </c>
    </row>
    <row r="8870">
      <c r="A8870" s="3" t="n">
        <v>2025</v>
      </c>
      <c r="B8870" s="4" t="n">
        <v>2000</v>
      </c>
      <c r="C8870" s="4" t="n">
        <v>344</v>
      </c>
      <c r="D8870" s="4" t="n">
        <v>104.06</v>
      </c>
      <c r="E8870" s="5" t="n">
        <v>19.2</v>
      </c>
      <c r="F8870" s="3" t="inlineStr">
        <is>
          <t>강내면</t>
        </is>
      </c>
      <c r="G8870" s="3" t="inlineStr">
        <is>
          <t>학천리</t>
        </is>
      </c>
      <c r="H8870" s="3" t="inlineStr">
        <is>
          <t>생산녹지지역</t>
        </is>
      </c>
      <c r="I8870" s="3" t="inlineStr">
        <is>
          <t>답</t>
        </is>
      </c>
      <c r="J8870" s="3" t="inlineStr">
        <is>
          <t>강내면</t>
        </is>
      </c>
    </row>
    <row r="8871">
      <c r="A8871" s="3" t="n">
        <v>2025</v>
      </c>
      <c r="B8871" s="4" t="n">
        <v>26900</v>
      </c>
      <c r="C8871" s="4" t="n">
        <v>1537</v>
      </c>
      <c r="D8871" s="4" t="n">
        <v>464.9425</v>
      </c>
      <c r="E8871" s="5" t="n">
        <v>57.9</v>
      </c>
      <c r="F8871" s="3" t="inlineStr">
        <is>
          <t>오송읍</t>
        </is>
      </c>
      <c r="G8871" s="3" t="inlineStr">
        <is>
          <t>서평리</t>
        </is>
      </c>
      <c r="H8871" s="3" t="inlineStr">
        <is>
          <t>농림지역</t>
        </is>
      </c>
      <c r="I8871" s="3" t="inlineStr">
        <is>
          <t>답</t>
        </is>
      </c>
      <c r="J8871" s="3" t="inlineStr">
        <is>
          <t>오송읍</t>
        </is>
      </c>
    </row>
    <row r="8872">
      <c r="A8872" s="3" t="n">
        <v>2025</v>
      </c>
      <c r="B8872" s="4" t="n">
        <v>25155</v>
      </c>
      <c r="C8872" s="4" t="n">
        <v>774</v>
      </c>
      <c r="D8872" s="4" t="n">
        <v>234.135</v>
      </c>
      <c r="E8872" s="5" t="n">
        <v>107.4</v>
      </c>
      <c r="F8872" s="3" t="inlineStr">
        <is>
          <t>오송읍</t>
        </is>
      </c>
      <c r="G8872" s="3" t="inlineStr">
        <is>
          <t>정중리</t>
        </is>
      </c>
      <c r="H8872" s="3" t="inlineStr">
        <is>
          <t>생산관리지역</t>
        </is>
      </c>
      <c r="I8872" s="3" t="inlineStr">
        <is>
          <t>답</t>
        </is>
      </c>
      <c r="J8872" s="3" t="inlineStr">
        <is>
          <t>오송읍</t>
        </is>
      </c>
    </row>
    <row r="8873">
      <c r="A8873" s="3" t="n">
        <v>2025</v>
      </c>
      <c r="B8873" s="4" t="n">
        <v>47635</v>
      </c>
      <c r="C8873" s="4" t="n">
        <v>1392</v>
      </c>
      <c r="D8873" s="4" t="n">
        <v>421.08</v>
      </c>
      <c r="E8873" s="5" t="n">
        <v>113.1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생산관리지역</t>
        </is>
      </c>
      <c r="I8873" s="3" t="inlineStr">
        <is>
          <t>답</t>
        </is>
      </c>
      <c r="J8873" s="3" t="inlineStr">
        <is>
          <t>오송읍</t>
        </is>
      </c>
    </row>
    <row r="8874">
      <c r="A8874" s="3" t="n">
        <v>2025</v>
      </c>
      <c r="B8874" s="4" t="n">
        <v>27918</v>
      </c>
      <c r="C8874" s="4" t="n">
        <v>859</v>
      </c>
      <c r="D8874" s="4" t="n">
        <v>259.8475</v>
      </c>
      <c r="E8874" s="5" t="n">
        <v>107.4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오송읍</t>
        </is>
      </c>
    </row>
    <row r="8875">
      <c r="A8875" s="3" t="n">
        <v>2025</v>
      </c>
      <c r="B8875" s="4" t="n">
        <v>4453</v>
      </c>
      <c r="C8875" s="4" t="n">
        <v>137</v>
      </c>
      <c r="D8875" s="4" t="n">
        <v>41.4425</v>
      </c>
      <c r="E8875" s="5" t="n">
        <v>107.5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생산관리지역</t>
        </is>
      </c>
      <c r="I8875" s="3" t="inlineStr">
        <is>
          <t>답</t>
        </is>
      </c>
      <c r="J8875" s="3" t="inlineStr">
        <is>
          <t>오송읍</t>
        </is>
      </c>
    </row>
    <row r="8876">
      <c r="A8876" s="3" t="n">
        <v>2025</v>
      </c>
      <c r="B8876" s="4" t="n">
        <v>25300</v>
      </c>
      <c r="C8876" s="4" t="n">
        <v>342</v>
      </c>
      <c r="D8876" s="4" t="n">
        <v>103.455</v>
      </c>
      <c r="E8876" s="5" t="n">
        <v>244.6</v>
      </c>
      <c r="F8876" s="3" t="inlineStr">
        <is>
          <t>강내면</t>
        </is>
      </c>
      <c r="G8876" s="3" t="inlineStr">
        <is>
          <t>월곡리</t>
        </is>
      </c>
      <c r="H8876" s="3" t="inlineStr">
        <is>
          <t>제2종일반주거지역</t>
        </is>
      </c>
      <c r="I8876" s="3" t="inlineStr">
        <is>
          <t>대</t>
        </is>
      </c>
      <c r="J8876" s="3" t="inlineStr">
        <is>
          <t>강내면</t>
        </is>
      </c>
    </row>
    <row r="8877">
      <c r="A8877" s="3" t="n">
        <v>2025</v>
      </c>
      <c r="B8877" s="4" t="n">
        <v>11000</v>
      </c>
      <c r="C8877" s="4" t="n">
        <v>1002</v>
      </c>
      <c r="D8877" s="4" t="n">
        <v>303.105</v>
      </c>
      <c r="E8877" s="5" t="n">
        <v>36.3</v>
      </c>
      <c r="F8877" s="3" t="inlineStr">
        <is>
          <t>강내면</t>
        </is>
      </c>
      <c r="G8877" s="3" t="inlineStr">
        <is>
          <t>월곡리</t>
        </is>
      </c>
      <c r="H8877" s="3" t="inlineStr">
        <is>
          <t>자연녹지지역</t>
        </is>
      </c>
      <c r="I8877" s="3" t="inlineStr">
        <is>
          <t>답</t>
        </is>
      </c>
      <c r="J8877" s="3" t="inlineStr">
        <is>
          <t>강내면</t>
        </is>
      </c>
    </row>
    <row r="8878">
      <c r="A8878" s="3" t="n">
        <v>2025</v>
      </c>
      <c r="B8878" s="4" t="n">
        <v>1450</v>
      </c>
      <c r="C8878" s="4" t="n">
        <v>145</v>
      </c>
      <c r="D8878" s="4" t="n">
        <v>43.8625</v>
      </c>
      <c r="E8878" s="5" t="n">
        <v>33.1</v>
      </c>
      <c r="F8878" s="3" t="inlineStr">
        <is>
          <t>강내면</t>
        </is>
      </c>
      <c r="G8878" s="3" t="inlineStr">
        <is>
          <t>월곡리</t>
        </is>
      </c>
      <c r="H8878" s="3" t="inlineStr">
        <is>
          <t>자연녹지지역</t>
        </is>
      </c>
      <c r="I8878" s="3" t="inlineStr">
        <is>
          <t>답</t>
        </is>
      </c>
      <c r="J8878" s="3" t="inlineStr">
        <is>
          <t>강내면</t>
        </is>
      </c>
    </row>
    <row r="8879">
      <c r="A8879" s="3" t="n">
        <v>2025</v>
      </c>
      <c r="B8879" s="4" t="n">
        <v>150</v>
      </c>
      <c r="C8879" s="4" t="n">
        <v>20</v>
      </c>
      <c r="D8879" s="4" t="n">
        <v>6.05</v>
      </c>
      <c r="E8879" s="5" t="n">
        <v>24.8</v>
      </c>
      <c r="F8879" s="3" t="inlineStr">
        <is>
          <t>강내면</t>
        </is>
      </c>
      <c r="G8879" s="3" t="inlineStr">
        <is>
          <t>월곡리</t>
        </is>
      </c>
      <c r="H8879" s="3" t="inlineStr">
        <is>
          <t>자연녹지지역</t>
        </is>
      </c>
      <c r="I8879" s="3" t="inlineStr">
        <is>
          <t>답</t>
        </is>
      </c>
      <c r="J8879" s="3" t="inlineStr">
        <is>
          <t>강내면</t>
        </is>
      </c>
    </row>
    <row r="8880">
      <c r="A8880" s="3" t="n">
        <v>2025</v>
      </c>
      <c r="B8880" s="4" t="n">
        <v>52000</v>
      </c>
      <c r="C8880" s="4" t="n">
        <v>2942</v>
      </c>
      <c r="D8880" s="4" t="n">
        <v>889.9549999999999</v>
      </c>
      <c r="E8880" s="5" t="n">
        <v>58.4</v>
      </c>
      <c r="F8880" s="3" t="inlineStr">
        <is>
          <t>오송읍</t>
        </is>
      </c>
      <c r="G8880" s="3" t="inlineStr">
        <is>
          <t>쌍청리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오송읍</t>
        </is>
      </c>
    </row>
    <row r="8881">
      <c r="A8881" s="3" t="n">
        <v>2024</v>
      </c>
      <c r="B8881" s="4" t="n">
        <v>42000</v>
      </c>
      <c r="C8881" s="4" t="n">
        <v>2062</v>
      </c>
      <c r="D8881" s="4" t="n">
        <v>623.755</v>
      </c>
      <c r="E8881" s="5" t="n">
        <v>67.3</v>
      </c>
      <c r="F8881" s="3" t="inlineStr">
        <is>
          <t>남이면</t>
        </is>
      </c>
      <c r="G8881" s="3" t="inlineStr">
        <is>
          <t>상발리</t>
        </is>
      </c>
      <c r="H8881" s="3" t="inlineStr">
        <is>
          <t>자연녹지지역</t>
        </is>
      </c>
      <c r="I8881" s="3" t="inlineStr">
        <is>
          <t>답</t>
        </is>
      </c>
      <c r="J8881" s="3" t="inlineStr">
        <is>
          <t>남이면</t>
        </is>
      </c>
    </row>
    <row r="8882">
      <c r="A8882" s="3" t="n">
        <v>2024</v>
      </c>
      <c r="B8882" s="4" t="n">
        <v>72000</v>
      </c>
      <c r="C8882" s="4" t="n">
        <v>2025.1</v>
      </c>
      <c r="D8882" s="4" t="n">
        <v>612.5927499999999</v>
      </c>
      <c r="E8882" s="5" t="n">
        <v>117.5</v>
      </c>
      <c r="F8882" s="3" t="inlineStr">
        <is>
          <t>남이면</t>
        </is>
      </c>
      <c r="G8882" s="3" t="inlineStr">
        <is>
          <t>가좌리</t>
        </is>
      </c>
      <c r="H8882" s="3" t="inlineStr">
        <is>
          <t>자연녹지지역</t>
        </is>
      </c>
      <c r="I8882" s="3" t="inlineStr">
        <is>
          <t>답</t>
        </is>
      </c>
      <c r="J8882" s="3" t="inlineStr">
        <is>
          <t>남이면</t>
        </is>
      </c>
    </row>
    <row r="8883">
      <c r="A8883" s="3" t="n">
        <v>2024</v>
      </c>
      <c r="B8883" s="4" t="n">
        <v>36000</v>
      </c>
      <c r="C8883" s="4" t="n">
        <v>1041</v>
      </c>
      <c r="D8883" s="4" t="n">
        <v>314.9025</v>
      </c>
      <c r="E8883" s="5" t="n">
        <v>114.3</v>
      </c>
      <c r="F8883" s="3" t="inlineStr">
        <is>
          <t>남이면</t>
        </is>
      </c>
      <c r="G8883" s="3" t="inlineStr">
        <is>
          <t>가좌리</t>
        </is>
      </c>
      <c r="H8883" s="3" t="inlineStr">
        <is>
          <t>자연녹지지역</t>
        </is>
      </c>
      <c r="I8883" s="3" t="inlineStr">
        <is>
          <t>답</t>
        </is>
      </c>
      <c r="J8883" s="3" t="inlineStr">
        <is>
          <t>남이면</t>
        </is>
      </c>
    </row>
    <row r="8884">
      <c r="A8884" s="3" t="n">
        <v>2024</v>
      </c>
      <c r="B8884" s="4" t="n">
        <v>4592</v>
      </c>
      <c r="C8884" s="4" t="n">
        <v>251</v>
      </c>
      <c r="D8884" s="4" t="n">
        <v>75.92749999999999</v>
      </c>
      <c r="E8884" s="5" t="n">
        <v>60.5</v>
      </c>
      <c r="F8884" s="3" t="inlineStr">
        <is>
          <t>남이면</t>
        </is>
      </c>
      <c r="G8884" s="3" t="inlineStr">
        <is>
          <t>양촌리</t>
        </is>
      </c>
      <c r="H8884" s="3" t="inlineStr">
        <is>
          <t>자연녹지지역</t>
        </is>
      </c>
      <c r="I8884" s="3" t="inlineStr">
        <is>
          <t>대</t>
        </is>
      </c>
      <c r="J8884" s="3" t="inlineStr">
        <is>
          <t>남이면</t>
        </is>
      </c>
    </row>
    <row r="8885">
      <c r="A8885" s="3" t="n">
        <v>2024</v>
      </c>
      <c r="B8885" s="4" t="n">
        <v>10408</v>
      </c>
      <c r="C8885" s="4" t="n">
        <v>569</v>
      </c>
      <c r="D8885" s="4" t="n">
        <v>172.1225</v>
      </c>
      <c r="E8885" s="5" t="n">
        <v>60.5</v>
      </c>
      <c r="F8885" s="3" t="inlineStr">
        <is>
          <t>남이면</t>
        </is>
      </c>
      <c r="G8885" s="3" t="inlineStr">
        <is>
          <t>양촌리</t>
        </is>
      </c>
      <c r="H8885" s="3" t="inlineStr">
        <is>
          <t>자연녹지지역</t>
        </is>
      </c>
      <c r="I8885" s="3" t="inlineStr">
        <is>
          <t>대</t>
        </is>
      </c>
      <c r="J8885" s="3" t="inlineStr">
        <is>
          <t>남이면</t>
        </is>
      </c>
    </row>
    <row r="8886">
      <c r="A8886" s="3" t="n">
        <v>2024</v>
      </c>
      <c r="B8886" s="4" t="n">
        <v>2890</v>
      </c>
      <c r="C8886" s="4" t="n">
        <v>648</v>
      </c>
      <c r="D8886" s="4" t="n">
        <v>196.02</v>
      </c>
      <c r="E8886" s="5" t="n">
        <v>14.7</v>
      </c>
      <c r="F8886" s="3" t="inlineStr">
        <is>
          <t>남이면</t>
        </is>
      </c>
      <c r="G8886" s="3" t="inlineStr">
        <is>
          <t>사동리</t>
        </is>
      </c>
      <c r="H8886" s="3" t="inlineStr">
        <is>
          <t>보전관리지역</t>
        </is>
      </c>
      <c r="I8886" s="3" t="inlineStr">
        <is>
          <t>전</t>
        </is>
      </c>
      <c r="J8886" s="3" t="inlineStr">
        <is>
          <t>남이면</t>
        </is>
      </c>
    </row>
    <row r="8887">
      <c r="A8887" s="3" t="n">
        <v>2024</v>
      </c>
      <c r="B8887" s="4" t="n">
        <v>15388</v>
      </c>
      <c r="C8887" s="4" t="n">
        <v>443</v>
      </c>
      <c r="D8887" s="4" t="n">
        <v>134.0075</v>
      </c>
      <c r="E8887" s="5" t="n">
        <v>114.8</v>
      </c>
      <c r="F8887" s="3" t="inlineStr">
        <is>
          <t>강내면</t>
        </is>
      </c>
      <c r="G8887" s="3" t="inlineStr">
        <is>
          <t>다락리</t>
        </is>
      </c>
      <c r="H8887" s="3" t="inlineStr">
        <is>
          <t>계획관리지역</t>
        </is>
      </c>
      <c r="I8887" s="3" t="inlineStr">
        <is>
          <t>대</t>
        </is>
      </c>
      <c r="J8887" s="3" t="inlineStr">
        <is>
          <t>강내면</t>
        </is>
      </c>
    </row>
    <row r="8888">
      <c r="A8888" s="3" t="n">
        <v>2024</v>
      </c>
      <c r="B8888" s="4" t="n">
        <v>450</v>
      </c>
      <c r="C8888" s="4" t="n">
        <v>36</v>
      </c>
      <c r="D8888" s="4" t="n">
        <v>10.89</v>
      </c>
      <c r="E8888" s="5" t="n">
        <v>41.3</v>
      </c>
      <c r="F8888" s="3" t="inlineStr">
        <is>
          <t>강내면</t>
        </is>
      </c>
      <c r="G8888" s="3" t="inlineStr">
        <is>
          <t>연정리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강내면</t>
        </is>
      </c>
    </row>
    <row r="8889">
      <c r="A8889" s="3" t="n">
        <v>2024</v>
      </c>
      <c r="B8889" s="4" t="n">
        <v>55000</v>
      </c>
      <c r="C8889" s="4" t="n">
        <v>3045</v>
      </c>
      <c r="D8889" s="4" t="n">
        <v>921.1125</v>
      </c>
      <c r="E8889" s="5" t="n">
        <v>59.7</v>
      </c>
      <c r="F8889" s="3" t="inlineStr">
        <is>
          <t>오송읍</t>
        </is>
      </c>
      <c r="G8889" s="3" t="inlineStr">
        <is>
          <t>서평리</t>
        </is>
      </c>
      <c r="H8889" s="3" t="inlineStr">
        <is>
          <t>농림지역</t>
        </is>
      </c>
      <c r="I8889" s="3" t="inlineStr">
        <is>
          <t>답</t>
        </is>
      </c>
      <c r="J8889" s="3" t="inlineStr">
        <is>
          <t>오송읍</t>
        </is>
      </c>
    </row>
    <row r="8890">
      <c r="A8890" s="3" t="n">
        <v>2024</v>
      </c>
      <c r="B8890" s="4" t="n">
        <v>4943</v>
      </c>
      <c r="C8890" s="4" t="n">
        <v>397</v>
      </c>
      <c r="D8890" s="4" t="n">
        <v>120.0925</v>
      </c>
      <c r="E8890" s="5" t="n">
        <v>41.2</v>
      </c>
      <c r="F8890" s="3" t="inlineStr">
        <is>
          <t>강내면</t>
        </is>
      </c>
      <c r="G8890" s="3" t="inlineStr">
        <is>
          <t>석화리</t>
        </is>
      </c>
      <c r="H8890" s="3" t="inlineStr">
        <is>
          <t>자연녹지지역</t>
        </is>
      </c>
      <c r="I8890" s="3" t="inlineStr">
        <is>
          <t>답</t>
        </is>
      </c>
      <c r="J8890" s="3" t="inlineStr">
        <is>
          <t>강내면</t>
        </is>
      </c>
    </row>
    <row r="8891">
      <c r="A8891" s="3" t="n">
        <v>2024</v>
      </c>
      <c r="B8891" s="4" t="n">
        <v>4320</v>
      </c>
      <c r="C8891" s="4" t="n">
        <v>347</v>
      </c>
      <c r="D8891" s="4" t="n">
        <v>104.9675</v>
      </c>
      <c r="E8891" s="5" t="n">
        <v>41.2</v>
      </c>
      <c r="F8891" s="3" t="inlineStr">
        <is>
          <t>강내면</t>
        </is>
      </c>
      <c r="G8891" s="3" t="inlineStr">
        <is>
          <t>석화리</t>
        </is>
      </c>
      <c r="H8891" s="3" t="inlineStr">
        <is>
          <t>자연녹지지역</t>
        </is>
      </c>
      <c r="I8891" s="3" t="inlineStr">
        <is>
          <t>답</t>
        </is>
      </c>
      <c r="J8891" s="3" t="inlineStr">
        <is>
          <t>강내면</t>
        </is>
      </c>
    </row>
    <row r="8892">
      <c r="A8892" s="3" t="n">
        <v>2024</v>
      </c>
      <c r="B8892" s="4" t="n">
        <v>693</v>
      </c>
      <c r="C8892" s="4" t="n">
        <v>50</v>
      </c>
      <c r="D8892" s="4" t="n">
        <v>15.125</v>
      </c>
      <c r="E8892" s="5" t="n">
        <v>45.8</v>
      </c>
      <c r="F8892" s="3" t="inlineStr">
        <is>
          <t>강내면</t>
        </is>
      </c>
      <c r="G8892" s="3" t="inlineStr">
        <is>
          <t>석화리</t>
        </is>
      </c>
      <c r="H8892" s="3" t="inlineStr">
        <is>
          <t>자연녹지지역</t>
        </is>
      </c>
      <c r="I8892" s="3" t="inlineStr">
        <is>
          <t>답</t>
        </is>
      </c>
      <c r="J8892" s="3" t="inlineStr">
        <is>
          <t>강내면</t>
        </is>
      </c>
    </row>
    <row r="8893">
      <c r="A8893" s="3" t="n">
        <v>2024</v>
      </c>
      <c r="B8893" s="4" t="n">
        <v>1820</v>
      </c>
      <c r="C8893" s="4" t="n">
        <v>615</v>
      </c>
      <c r="D8893" s="4" t="n">
        <v>186.0375</v>
      </c>
      <c r="E8893" s="5" t="n">
        <v>9.800000000000001</v>
      </c>
      <c r="F8893" s="3" t="inlineStr">
        <is>
          <t>강내면</t>
        </is>
      </c>
      <c r="G8893" s="3" t="inlineStr">
        <is>
          <t>사인리</t>
        </is>
      </c>
      <c r="H8893" s="3" t="inlineStr">
        <is>
          <t>자연녹지지역</t>
        </is>
      </c>
      <c r="I8893" s="3" t="inlineStr">
        <is>
          <t>전</t>
        </is>
      </c>
      <c r="J8893" s="3" t="inlineStr">
        <is>
          <t>강내면</t>
        </is>
      </c>
    </row>
    <row r="8894">
      <c r="A8894" s="3" t="n">
        <v>2024</v>
      </c>
      <c r="B8894" s="4" t="n">
        <v>500</v>
      </c>
      <c r="C8894" s="4" t="n">
        <v>40</v>
      </c>
      <c r="D8894" s="4" t="n">
        <v>12.1</v>
      </c>
      <c r="E8894" s="5" t="n">
        <v>41.3</v>
      </c>
      <c r="F8894" s="3" t="inlineStr">
        <is>
          <t>오송읍</t>
        </is>
      </c>
      <c r="G8894" s="3" t="inlineStr">
        <is>
          <t>서평리</t>
        </is>
      </c>
      <c r="H8894" s="3" t="inlineStr">
        <is>
          <t>생산관리지역</t>
        </is>
      </c>
      <c r="I8894" s="3" t="inlineStr">
        <is>
          <t>전</t>
        </is>
      </c>
      <c r="J8894" s="3" t="inlineStr">
        <is>
          <t>오송읍</t>
        </is>
      </c>
    </row>
    <row r="8895">
      <c r="A8895" s="3" t="n">
        <v>2024</v>
      </c>
      <c r="B8895" s="4" t="n">
        <v>860452</v>
      </c>
      <c r="C8895" s="4" t="n">
        <v>4958.7</v>
      </c>
      <c r="D8895" s="4" t="n">
        <v>1500.00675</v>
      </c>
      <c r="E8895" s="5" t="n">
        <v>573.6</v>
      </c>
      <c r="F8895" s="3" t="inlineStr">
        <is>
          <t>오송읍</t>
        </is>
      </c>
      <c r="G8895" s="3" t="inlineStr">
        <is>
          <t>연제리</t>
        </is>
      </c>
      <c r="H8895" s="3" t="inlineStr">
        <is>
          <t>준공업지역</t>
        </is>
      </c>
      <c r="I8895" s="3" t="inlineStr">
        <is>
          <t>대</t>
        </is>
      </c>
      <c r="J8895" s="3" t="inlineStr">
        <is>
          <t>오송읍</t>
        </is>
      </c>
    </row>
    <row r="8896">
      <c r="A8896" s="3" t="n">
        <v>2024</v>
      </c>
      <c r="B8896" s="4" t="n">
        <v>869548</v>
      </c>
      <c r="C8896" s="4" t="n">
        <v>4958.7</v>
      </c>
      <c r="D8896" s="4" t="n">
        <v>1500.00675</v>
      </c>
      <c r="E8896" s="5" t="n">
        <v>579.7</v>
      </c>
      <c r="F8896" s="3" t="inlineStr">
        <is>
          <t>오송읍</t>
        </is>
      </c>
      <c r="G8896" s="3" t="inlineStr">
        <is>
          <t>연제리</t>
        </is>
      </c>
      <c r="H8896" s="3" t="inlineStr">
        <is>
          <t>준공업지역</t>
        </is>
      </c>
      <c r="I8896" s="3" t="inlineStr">
        <is>
          <t>대</t>
        </is>
      </c>
      <c r="J8896" s="3" t="inlineStr">
        <is>
          <t>오송읍</t>
        </is>
      </c>
    </row>
    <row r="8897">
      <c r="A8897" s="3" t="n">
        <v>2024</v>
      </c>
      <c r="B8897" s="4" t="n">
        <v>18000</v>
      </c>
      <c r="C8897" s="4" t="n">
        <v>192</v>
      </c>
      <c r="D8897" s="4" t="n">
        <v>58.08</v>
      </c>
      <c r="E8897" s="5" t="n">
        <v>309.9</v>
      </c>
      <c r="F8897" s="3" t="inlineStr">
        <is>
          <t>오송읍</t>
        </is>
      </c>
      <c r="G8897" s="3" t="inlineStr">
        <is>
          <t>오송리</t>
        </is>
      </c>
      <c r="H8897" s="3" t="inlineStr">
        <is>
          <t>농림지역</t>
        </is>
      </c>
      <c r="I8897" s="3" t="inlineStr">
        <is>
          <t>대</t>
        </is>
      </c>
      <c r="J8897" s="3" t="inlineStr">
        <is>
          <t>오송읍</t>
        </is>
      </c>
    </row>
    <row r="8898">
      <c r="A8898" s="3" t="n">
        <v>2024</v>
      </c>
      <c r="B8898" s="4" t="n">
        <v>314000</v>
      </c>
      <c r="C8898" s="4" t="n">
        <v>799.6</v>
      </c>
      <c r="D8898" s="4" t="n">
        <v>241.879</v>
      </c>
      <c r="E8898" s="5" t="n">
        <v>1298.2</v>
      </c>
      <c r="F8898" s="3" t="inlineStr">
        <is>
          <t>오송읍</t>
        </is>
      </c>
      <c r="G8898" s="3" t="inlineStr">
        <is>
          <t>연제리</t>
        </is>
      </c>
      <c r="H8898" s="3" t="inlineStr">
        <is>
          <t>일반상업지역</t>
        </is>
      </c>
      <c r="I8898" s="3" t="inlineStr">
        <is>
          <t>대</t>
        </is>
      </c>
      <c r="J8898" s="3" t="inlineStr">
        <is>
          <t>오송읍</t>
        </is>
      </c>
    </row>
    <row r="8899">
      <c r="A8899" s="3" t="n">
        <v>2024</v>
      </c>
      <c r="B8899" s="4" t="n">
        <v>43730</v>
      </c>
      <c r="C8899" s="4" t="n">
        <v>2628</v>
      </c>
      <c r="D8899" s="4" t="n">
        <v>794.97</v>
      </c>
      <c r="E8899" s="5" t="n">
        <v>55</v>
      </c>
      <c r="F8899" s="3" t="inlineStr">
        <is>
          <t>오송읍</t>
        </is>
      </c>
      <c r="G8899" s="3" t="inlineStr">
        <is>
          <t>동평리</t>
        </is>
      </c>
      <c r="H8899" s="3" t="inlineStr">
        <is>
          <t>농림지역</t>
        </is>
      </c>
      <c r="I8899" s="3" t="inlineStr">
        <is>
          <t>답</t>
        </is>
      </c>
      <c r="J8899" s="3" t="inlineStr">
        <is>
          <t>오송읍</t>
        </is>
      </c>
    </row>
    <row r="8900">
      <c r="A8900" s="3" t="n">
        <v>2024</v>
      </c>
      <c r="B8900" s="4" t="n">
        <v>5770</v>
      </c>
      <c r="C8900" s="4" t="n">
        <v>347</v>
      </c>
      <c r="D8900" s="4" t="n">
        <v>104.9675</v>
      </c>
      <c r="E8900" s="5" t="n">
        <v>55</v>
      </c>
      <c r="F8900" s="3" t="inlineStr">
        <is>
          <t>오송읍</t>
        </is>
      </c>
      <c r="G8900" s="3" t="inlineStr">
        <is>
          <t>동평리</t>
        </is>
      </c>
      <c r="H8900" s="3" t="inlineStr">
        <is>
          <t>농림지역</t>
        </is>
      </c>
      <c r="I8900" s="3" t="inlineStr">
        <is>
          <t>전</t>
        </is>
      </c>
      <c r="J8900" s="3" t="inlineStr">
        <is>
          <t>오송읍</t>
        </is>
      </c>
    </row>
    <row r="8901">
      <c r="A8901" s="3" t="n">
        <v>2024</v>
      </c>
      <c r="B8901" s="4" t="n">
        <v>110</v>
      </c>
      <c r="C8901" s="4" t="n">
        <v>99</v>
      </c>
      <c r="D8901" s="4" t="n">
        <v>29.9475</v>
      </c>
      <c r="E8901" s="5" t="n">
        <v>3.7</v>
      </c>
      <c r="F8901" s="3" t="inlineStr">
        <is>
          <t>남이면</t>
        </is>
      </c>
      <c r="G8901" s="3" t="inlineStr">
        <is>
          <t>사동리</t>
        </is>
      </c>
      <c r="H8901" s="3" t="inlineStr">
        <is>
          <t>보전관리지역</t>
        </is>
      </c>
      <c r="I8901" s="3" t="inlineStr">
        <is>
          <t>임야</t>
        </is>
      </c>
      <c r="J8901" s="3" t="inlineStr">
        <is>
          <t>남이면</t>
        </is>
      </c>
    </row>
    <row r="8902">
      <c r="A8902" s="3" t="n">
        <v>2024</v>
      </c>
      <c r="B8902" s="4" t="n">
        <v>62000</v>
      </c>
      <c r="C8902" s="4" t="n">
        <v>1589</v>
      </c>
      <c r="D8902" s="4" t="n">
        <v>480.6725</v>
      </c>
      <c r="E8902" s="5" t="n">
        <v>129</v>
      </c>
      <c r="F8902" s="3" t="inlineStr">
        <is>
          <t>남이면</t>
        </is>
      </c>
      <c r="G8902" s="3" t="inlineStr">
        <is>
          <t>가좌리</t>
        </is>
      </c>
      <c r="H8902" s="3" t="inlineStr">
        <is>
          <t>자연녹지지역</t>
        </is>
      </c>
      <c r="I8902" s="3" t="inlineStr">
        <is>
          <t>답</t>
        </is>
      </c>
      <c r="J8902" s="3" t="inlineStr">
        <is>
          <t>남이면</t>
        </is>
      </c>
    </row>
    <row r="8903">
      <c r="A8903" s="3" t="n">
        <v>2023</v>
      </c>
      <c r="B8903" s="4" t="n">
        <v>436</v>
      </c>
      <c r="C8903" s="4" t="n">
        <v>9</v>
      </c>
      <c r="D8903" s="4" t="n">
        <v>2.7225</v>
      </c>
      <c r="E8903" s="5" t="n">
        <v>160.1</v>
      </c>
      <c r="F8903" s="3" t="inlineStr">
        <is>
          <t>남이면</t>
        </is>
      </c>
      <c r="G8903" s="3" t="inlineStr">
        <is>
          <t>양촌리</t>
        </is>
      </c>
      <c r="H8903" s="3" t="inlineStr">
        <is>
          <t>자연녹지지역</t>
        </is>
      </c>
      <c r="I8903" s="3" t="inlineStr">
        <is>
          <t>임야</t>
        </is>
      </c>
      <c r="J8903" s="3" t="inlineStr">
        <is>
          <t>남이면</t>
        </is>
      </c>
    </row>
    <row r="8904">
      <c r="A8904" s="3" t="n">
        <v>2023</v>
      </c>
      <c r="B8904" s="4" t="n">
        <v>532</v>
      </c>
      <c r="C8904" s="4" t="n">
        <v>11</v>
      </c>
      <c r="D8904" s="4" t="n">
        <v>3.3275</v>
      </c>
      <c r="E8904" s="5" t="n">
        <v>159.9</v>
      </c>
      <c r="F8904" s="3" t="inlineStr">
        <is>
          <t>남이면</t>
        </is>
      </c>
      <c r="G8904" s="3" t="inlineStr">
        <is>
          <t>양촌리</t>
        </is>
      </c>
      <c r="H8904" s="3" t="inlineStr">
        <is>
          <t>자연녹지지역</t>
        </is>
      </c>
      <c r="I8904" s="3" t="inlineStr">
        <is>
          <t>전</t>
        </is>
      </c>
      <c r="J8904" s="3" t="inlineStr">
        <is>
          <t>남이면</t>
        </is>
      </c>
    </row>
    <row r="8905">
      <c r="A8905" s="3" t="n">
        <v>2023</v>
      </c>
      <c r="B8905" s="4" t="n">
        <v>8000</v>
      </c>
      <c r="C8905" s="4" t="n">
        <v>2056</v>
      </c>
      <c r="D8905" s="4" t="n">
        <v>621.9399999999999</v>
      </c>
      <c r="E8905" s="5" t="n">
        <v>12.9</v>
      </c>
      <c r="F8905" s="3" t="inlineStr">
        <is>
          <t>현도면</t>
        </is>
      </c>
      <c r="G8905" s="3" t="inlineStr">
        <is>
          <t>하석리</t>
        </is>
      </c>
      <c r="H8905" s="3" t="inlineStr">
        <is>
          <t>개발제한구역</t>
        </is>
      </c>
      <c r="I8905" s="3" t="inlineStr">
        <is>
          <t>전</t>
        </is>
      </c>
      <c r="J8905" s="3" t="inlineStr">
        <is>
          <t>현도면</t>
        </is>
      </c>
    </row>
    <row r="8906">
      <c r="A8906" s="3" t="n">
        <v>2023</v>
      </c>
      <c r="B8906" s="4" t="n">
        <v>33640</v>
      </c>
      <c r="C8906" s="4" t="n">
        <v>1236</v>
      </c>
      <c r="D8906" s="4" t="n">
        <v>373.89</v>
      </c>
      <c r="E8906" s="5" t="n">
        <v>90</v>
      </c>
      <c r="F8906" s="3" t="inlineStr">
        <is>
          <t>남이면</t>
        </is>
      </c>
      <c r="G8906" s="3" t="inlineStr">
        <is>
          <t>구암리</t>
        </is>
      </c>
      <c r="H8906" s="3" t="inlineStr">
        <is>
          <t>자연녹지지역</t>
        </is>
      </c>
      <c r="I8906" s="3" t="inlineStr">
        <is>
          <t>임야</t>
        </is>
      </c>
      <c r="J8906" s="3" t="inlineStr">
        <is>
          <t>남이면</t>
        </is>
      </c>
    </row>
    <row r="8907">
      <c r="A8907" s="3" t="n">
        <v>2023</v>
      </c>
      <c r="B8907" s="4" t="n">
        <v>34376</v>
      </c>
      <c r="C8907" s="4" t="n">
        <v>1263</v>
      </c>
      <c r="D8907" s="4" t="n">
        <v>382.0575</v>
      </c>
      <c r="E8907" s="5" t="n">
        <v>90</v>
      </c>
      <c r="F8907" s="3" t="inlineStr">
        <is>
          <t>남이면</t>
        </is>
      </c>
      <c r="G8907" s="3" t="inlineStr">
        <is>
          <t>구암리</t>
        </is>
      </c>
      <c r="H8907" s="3" t="inlineStr">
        <is>
          <t>보전녹지지역</t>
        </is>
      </c>
      <c r="I8907" s="3" t="inlineStr">
        <is>
          <t>전</t>
        </is>
      </c>
      <c r="J8907" s="3" t="inlineStr">
        <is>
          <t>남이면</t>
        </is>
      </c>
    </row>
    <row r="8908">
      <c r="A8908" s="3" t="n">
        <v>2023</v>
      </c>
      <c r="B8908" s="4" t="n">
        <v>3130</v>
      </c>
      <c r="C8908" s="4" t="n">
        <v>115</v>
      </c>
      <c r="D8908" s="4" t="n">
        <v>34.7875</v>
      </c>
      <c r="E8908" s="5" t="n">
        <v>90</v>
      </c>
      <c r="F8908" s="3" t="inlineStr">
        <is>
          <t>남이면</t>
        </is>
      </c>
      <c r="G8908" s="3" t="inlineStr">
        <is>
          <t>구암리</t>
        </is>
      </c>
      <c r="H8908" s="3" t="inlineStr">
        <is>
          <t>보전녹지지역</t>
        </is>
      </c>
      <c r="I8908" s="3" t="inlineStr">
        <is>
          <t>임야</t>
        </is>
      </c>
      <c r="J8908" s="3" t="inlineStr">
        <is>
          <t>남이면</t>
        </is>
      </c>
    </row>
    <row r="8909">
      <c r="A8909" s="3" t="n">
        <v>2022</v>
      </c>
      <c r="B8909" s="4" t="n">
        <v>83700</v>
      </c>
      <c r="C8909" s="4" t="n">
        <v>1846.5</v>
      </c>
      <c r="D8909" s="4" t="n">
        <v>558.56625</v>
      </c>
      <c r="E8909" s="5" t="n">
        <v>149.8</v>
      </c>
      <c r="F8909" s="3" t="inlineStr">
        <is>
          <t>강내면</t>
        </is>
      </c>
      <c r="G8909" s="3" t="inlineStr">
        <is>
          <t>사곡리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강내면</t>
        </is>
      </c>
    </row>
    <row r="8910">
      <c r="A8910" s="3" t="n">
        <v>2022</v>
      </c>
      <c r="B8910" s="4" t="n">
        <v>16500</v>
      </c>
      <c r="C8910" s="4" t="n">
        <v>400</v>
      </c>
      <c r="D8910" s="4" t="n">
        <v>121</v>
      </c>
      <c r="E8910" s="5" t="n">
        <v>136.4</v>
      </c>
      <c r="F8910" s="3" t="inlineStr">
        <is>
          <t>강내면</t>
        </is>
      </c>
      <c r="G8910" s="3" t="inlineStr">
        <is>
          <t>사곡리</t>
        </is>
      </c>
      <c r="H8910" s="3" t="inlineStr">
        <is>
          <t>계획관리지역</t>
        </is>
      </c>
      <c r="I8910" s="3" t="inlineStr">
        <is>
          <t>답</t>
        </is>
      </c>
      <c r="J8910" s="3" t="inlineStr">
        <is>
          <t>강내면</t>
        </is>
      </c>
    </row>
    <row r="8911">
      <c r="A8911" s="3" t="n">
        <v>2022</v>
      </c>
      <c r="B8911" s="4" t="n">
        <v>12800</v>
      </c>
      <c r="C8911" s="4" t="n">
        <v>308.5</v>
      </c>
      <c r="D8911" s="4" t="n">
        <v>93.32124999999999</v>
      </c>
      <c r="E8911" s="5" t="n">
        <v>137.2</v>
      </c>
      <c r="F8911" s="3" t="inlineStr">
        <is>
          <t>강내면</t>
        </is>
      </c>
      <c r="G8911" s="3" t="inlineStr">
        <is>
          <t>사곡리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강내면</t>
        </is>
      </c>
    </row>
    <row r="8912">
      <c r="A8912" s="3" t="n">
        <v>2022</v>
      </c>
      <c r="B8912" s="4" t="n">
        <v>4100</v>
      </c>
      <c r="C8912" s="4" t="n">
        <v>893</v>
      </c>
      <c r="D8912" s="4" t="n">
        <v>270.1325</v>
      </c>
      <c r="E8912" s="5" t="n">
        <v>15.2</v>
      </c>
      <c r="F8912" s="3" t="inlineStr">
        <is>
          <t>강내면</t>
        </is>
      </c>
      <c r="G8912" s="3" t="inlineStr">
        <is>
          <t>사곡리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강내면</t>
        </is>
      </c>
    </row>
    <row r="8913">
      <c r="A8913" s="3" t="n">
        <v>2022</v>
      </c>
      <c r="B8913" s="4" t="n">
        <v>4700</v>
      </c>
      <c r="C8913" s="4" t="n">
        <v>314</v>
      </c>
      <c r="D8913" s="4" t="n">
        <v>94.985</v>
      </c>
      <c r="E8913" s="5" t="n">
        <v>49.5</v>
      </c>
      <c r="F8913" s="3" t="inlineStr">
        <is>
          <t>오송읍</t>
        </is>
      </c>
      <c r="G8913" s="3" t="inlineStr">
        <is>
          <t>쌍청리</t>
        </is>
      </c>
      <c r="H8913" s="3" t="inlineStr">
        <is>
          <t>농림지역</t>
        </is>
      </c>
      <c r="I8913" s="3" t="inlineStr">
        <is>
          <t>전</t>
        </is>
      </c>
      <c r="J8913" s="3" t="inlineStr">
        <is>
          <t>오송읍</t>
        </is>
      </c>
    </row>
    <row r="8914">
      <c r="A8914" s="3" t="n">
        <v>2022</v>
      </c>
      <c r="B8914" s="4" t="n">
        <v>25500</v>
      </c>
      <c r="C8914" s="4" t="n">
        <v>1042</v>
      </c>
      <c r="D8914" s="4" t="n">
        <v>315.205</v>
      </c>
      <c r="E8914" s="5" t="n">
        <v>80.90000000000001</v>
      </c>
      <c r="F8914" s="3" t="inlineStr">
        <is>
          <t>강내면</t>
        </is>
      </c>
      <c r="G8914" s="3" t="inlineStr">
        <is>
          <t>산단리</t>
        </is>
      </c>
      <c r="H8914" s="3" t="inlineStr">
        <is>
          <t>계획관리지역</t>
        </is>
      </c>
      <c r="I8914" s="3" t="inlineStr">
        <is>
          <t>전</t>
        </is>
      </c>
      <c r="J8914" s="3" t="inlineStr">
        <is>
          <t>강내면</t>
        </is>
      </c>
    </row>
    <row r="8915">
      <c r="A8915" s="3" t="n">
        <v>2022</v>
      </c>
      <c r="B8915" s="4" t="n">
        <v>36000</v>
      </c>
      <c r="C8915" s="4" t="n">
        <v>660</v>
      </c>
      <c r="D8915" s="4" t="n">
        <v>199.65</v>
      </c>
      <c r="E8915" s="5" t="n">
        <v>180.3</v>
      </c>
      <c r="F8915" s="3" t="inlineStr">
        <is>
          <t>오송읍</t>
        </is>
      </c>
      <c r="G8915" s="3" t="inlineStr">
        <is>
          <t>궁평리</t>
        </is>
      </c>
      <c r="H8915" s="3" t="inlineStr">
        <is>
          <t>농림지역</t>
        </is>
      </c>
      <c r="I8915" s="3" t="inlineStr">
        <is>
          <t>창고용지</t>
        </is>
      </c>
      <c r="J8915" s="3" t="inlineStr">
        <is>
          <t>오송읍</t>
        </is>
      </c>
    </row>
    <row r="8916">
      <c r="A8916" s="3" t="n">
        <v>2022</v>
      </c>
      <c r="B8916" s="4" t="n">
        <v>40000</v>
      </c>
      <c r="C8916" s="4" t="n">
        <v>272.7</v>
      </c>
      <c r="D8916" s="4" t="n">
        <v>82.49175</v>
      </c>
      <c r="E8916" s="5" t="n">
        <v>484.9</v>
      </c>
      <c r="F8916" s="3" t="inlineStr">
        <is>
          <t>오송읍</t>
        </is>
      </c>
      <c r="G8916" s="3" t="inlineStr">
        <is>
          <t>봉산리</t>
        </is>
      </c>
      <c r="H8916" s="3" t="inlineStr">
        <is>
          <t>제1종일반주거지역</t>
        </is>
      </c>
      <c r="I8916" s="3" t="inlineStr">
        <is>
          <t>대</t>
        </is>
      </c>
      <c r="J8916" s="3" t="inlineStr">
        <is>
          <t>오송읍</t>
        </is>
      </c>
    </row>
    <row r="8917">
      <c r="A8917" s="3" t="n">
        <v>2022</v>
      </c>
      <c r="B8917" s="4" t="n">
        <v>9000</v>
      </c>
      <c r="C8917" s="4" t="n">
        <v>1001</v>
      </c>
      <c r="D8917" s="4" t="n">
        <v>302.8025</v>
      </c>
      <c r="E8917" s="5" t="n">
        <v>29.7</v>
      </c>
      <c r="F8917" s="3" t="inlineStr">
        <is>
          <t>강내면</t>
        </is>
      </c>
      <c r="G8917" s="3" t="inlineStr">
        <is>
          <t>저산리</t>
        </is>
      </c>
      <c r="H8917" s="3" t="inlineStr">
        <is>
          <t>계획관리지역</t>
        </is>
      </c>
      <c r="I8917" s="3" t="inlineStr">
        <is>
          <t>임야</t>
        </is>
      </c>
      <c r="J8917" s="3" t="inlineStr">
        <is>
          <t>강내면</t>
        </is>
      </c>
    </row>
    <row r="8918">
      <c r="A8918" s="3" t="n">
        <v>2023</v>
      </c>
      <c r="B8918" s="4" t="n">
        <v>41000</v>
      </c>
      <c r="C8918" s="4" t="n">
        <v>4853</v>
      </c>
      <c r="D8918" s="4" t="n">
        <v>1468.0325</v>
      </c>
      <c r="E8918" s="5" t="n">
        <v>27.9</v>
      </c>
      <c r="F8918" s="3" t="inlineStr">
        <is>
          <t>남이면</t>
        </is>
      </c>
      <c r="G8918" s="3" t="inlineStr">
        <is>
          <t>상발리</t>
        </is>
      </c>
      <c r="H8918" s="3" t="inlineStr">
        <is>
          <t>자연녹지지역</t>
        </is>
      </c>
      <c r="I8918" s="3" t="inlineStr">
        <is>
          <t>전</t>
        </is>
      </c>
      <c r="J8918" s="3" t="inlineStr">
        <is>
          <t>남이면</t>
        </is>
      </c>
    </row>
    <row r="8919">
      <c r="A8919" s="3" t="n">
        <v>2023</v>
      </c>
      <c r="B8919" s="4" t="n">
        <v>9600</v>
      </c>
      <c r="C8919" s="4" t="n">
        <v>1203</v>
      </c>
      <c r="D8919" s="4" t="n">
        <v>363.9075</v>
      </c>
      <c r="E8919" s="5" t="n">
        <v>26.4</v>
      </c>
      <c r="F8919" s="3" t="inlineStr">
        <is>
          <t>현도면</t>
        </is>
      </c>
      <c r="G8919" s="3" t="inlineStr">
        <is>
          <t>시목리</t>
        </is>
      </c>
      <c r="H8919" s="3" t="inlineStr">
        <is>
          <t>개발제한구역</t>
        </is>
      </c>
      <c r="I8919" s="3" t="inlineStr">
        <is>
          <t>전</t>
        </is>
      </c>
      <c r="J8919" s="3" t="inlineStr">
        <is>
          <t>현도면</t>
        </is>
      </c>
    </row>
    <row r="8920">
      <c r="A8920" s="3" t="n">
        <v>2024</v>
      </c>
      <c r="B8920" s="4" t="n">
        <v>12000</v>
      </c>
      <c r="C8920" s="4" t="n">
        <v>920</v>
      </c>
      <c r="D8920" s="4" t="n">
        <v>278.3</v>
      </c>
      <c r="E8920" s="5" t="n">
        <v>43.1</v>
      </c>
      <c r="F8920" s="3" t="inlineStr">
        <is>
          <t>남이면</t>
        </is>
      </c>
      <c r="G8920" s="3" t="inlineStr">
        <is>
          <t>문동리</t>
        </is>
      </c>
      <c r="H8920" s="3" t="inlineStr">
        <is>
          <t>자연녹지지역</t>
        </is>
      </c>
      <c r="I8920" s="3" t="inlineStr">
        <is>
          <t>전</t>
        </is>
      </c>
      <c r="J8920" s="3" t="inlineStr">
        <is>
          <t>남이면</t>
        </is>
      </c>
    </row>
    <row r="8921">
      <c r="A8921" s="3" t="n">
        <v>2025</v>
      </c>
      <c r="B8921" s="4" t="n">
        <v>46125</v>
      </c>
      <c r="C8921" s="4" t="n">
        <v>1906</v>
      </c>
      <c r="D8921" s="4" t="n">
        <v>576.5649999999999</v>
      </c>
      <c r="E8921" s="5" t="n">
        <v>80</v>
      </c>
      <c r="F8921" s="3" t="inlineStr">
        <is>
          <t>남이면</t>
        </is>
      </c>
      <c r="G8921" s="3" t="inlineStr">
        <is>
          <t>외천리</t>
        </is>
      </c>
      <c r="H8921" s="3" t="inlineStr">
        <is>
          <t>계획관리지역</t>
        </is>
      </c>
      <c r="I8921" s="3" t="inlineStr">
        <is>
          <t>공장용지</t>
        </is>
      </c>
      <c r="J8921" s="3" t="inlineStr">
        <is>
          <t>남이면</t>
        </is>
      </c>
    </row>
    <row r="8922">
      <c r="A8922" s="3" t="n">
        <v>2025</v>
      </c>
      <c r="B8922" s="4" t="n">
        <v>1650</v>
      </c>
      <c r="C8922" s="4" t="n">
        <v>184</v>
      </c>
      <c r="D8922" s="4" t="n">
        <v>55.66</v>
      </c>
      <c r="E8922" s="5" t="n">
        <v>29.6</v>
      </c>
      <c r="F8922" s="3" t="inlineStr">
        <is>
          <t>현도면</t>
        </is>
      </c>
      <c r="G8922" s="3" t="inlineStr">
        <is>
          <t>죽암리</t>
        </is>
      </c>
      <c r="H8922" s="3" t="inlineStr">
        <is>
          <t>생산관리지역</t>
        </is>
      </c>
      <c r="I8922" s="3" t="inlineStr">
        <is>
          <t>전</t>
        </is>
      </c>
      <c r="J8922" s="3" t="inlineStr">
        <is>
          <t>현도면</t>
        </is>
      </c>
    </row>
    <row r="8923">
      <c r="A8923" s="3" t="n">
        <v>2026</v>
      </c>
      <c r="B8923" s="4" t="n">
        <v>8000</v>
      </c>
      <c r="C8923" s="4" t="n">
        <v>878</v>
      </c>
      <c r="D8923" s="4" t="n">
        <v>265.595</v>
      </c>
      <c r="E8923" s="5" t="n">
        <v>30.1</v>
      </c>
      <c r="F8923" s="3" t="inlineStr">
        <is>
          <t>남이면</t>
        </is>
      </c>
      <c r="G8923" s="3" t="inlineStr">
        <is>
          <t>외천리</t>
        </is>
      </c>
      <c r="H8923" s="3" t="inlineStr">
        <is>
          <t>생산관리지역</t>
        </is>
      </c>
      <c r="I8923" s="3" t="inlineStr">
        <is>
          <t>답</t>
        </is>
      </c>
      <c r="J8923" s="3" t="inlineStr">
        <is>
          <t>남이면</t>
        </is>
      </c>
    </row>
    <row r="8924">
      <c r="A8924" s="3" t="n">
        <v>2026</v>
      </c>
      <c r="B8924" s="4" t="n">
        <v>15000</v>
      </c>
      <c r="C8924" s="4" t="n">
        <v>787</v>
      </c>
      <c r="D8924" s="4" t="n">
        <v>238.0675</v>
      </c>
      <c r="E8924" s="5" t="n">
        <v>63</v>
      </c>
      <c r="F8924" s="3" t="inlineStr">
        <is>
          <t>남이면</t>
        </is>
      </c>
      <c r="G8924" s="3" t="inlineStr">
        <is>
          <t>석실리</t>
        </is>
      </c>
      <c r="H8924" s="3" t="inlineStr">
        <is>
          <t>자연녹지지역</t>
        </is>
      </c>
      <c r="I8924" s="3" t="inlineStr">
        <is>
          <t>답</t>
        </is>
      </c>
      <c r="J8924" s="3" t="inlineStr">
        <is>
          <t>남이면</t>
        </is>
      </c>
    </row>
    <row r="8925">
      <c r="A8925" s="3" t="n">
        <v>2026</v>
      </c>
      <c r="B8925" s="4" t="n">
        <v>5000</v>
      </c>
      <c r="C8925" s="4" t="n">
        <v>308</v>
      </c>
      <c r="D8925" s="4" t="n">
        <v>93.17</v>
      </c>
      <c r="E8925" s="5" t="n">
        <v>53.7</v>
      </c>
      <c r="F8925" s="3" t="inlineStr">
        <is>
          <t>남이면</t>
        </is>
      </c>
      <c r="G8925" s="3" t="inlineStr">
        <is>
          <t>척산리</t>
        </is>
      </c>
      <c r="H8925" s="3" t="inlineStr">
        <is>
          <t>자연녹지지역</t>
        </is>
      </c>
      <c r="I8925" s="3" t="inlineStr">
        <is>
          <t>답</t>
        </is>
      </c>
      <c r="J8925" s="3" t="inlineStr">
        <is>
          <t>남이면</t>
        </is>
      </c>
    </row>
    <row r="8926">
      <c r="A8926" s="3" t="n">
        <v>2026</v>
      </c>
      <c r="B8926" s="4" t="n">
        <v>17200</v>
      </c>
      <c r="C8926" s="4" t="n">
        <v>1960</v>
      </c>
      <c r="D8926" s="4" t="n">
        <v>592.9</v>
      </c>
      <c r="E8926" s="5" t="n">
        <v>29</v>
      </c>
      <c r="F8926" s="3" t="inlineStr">
        <is>
          <t>현도면</t>
        </is>
      </c>
      <c r="G8926" s="3" t="inlineStr">
        <is>
          <t>죽전리</t>
        </is>
      </c>
      <c r="H8926" s="3" t="inlineStr">
        <is>
          <t>자연녹지지역</t>
        </is>
      </c>
      <c r="I8926" s="3" t="inlineStr">
        <is>
          <t>답</t>
        </is>
      </c>
      <c r="J8926" s="3" t="inlineStr">
        <is>
          <t>현도면</t>
        </is>
      </c>
    </row>
    <row r="8927">
      <c r="A8927" s="3" t="n">
        <v>2025</v>
      </c>
      <c r="B8927" s="4" t="n">
        <v>1700</v>
      </c>
      <c r="C8927" s="4" t="n">
        <v>56</v>
      </c>
      <c r="D8927" s="4" t="n">
        <v>16.94</v>
      </c>
      <c r="E8927" s="5" t="n">
        <v>100.4</v>
      </c>
      <c r="F8927" s="3" t="inlineStr">
        <is>
          <t>강내면</t>
        </is>
      </c>
      <c r="G8927" s="3" t="inlineStr">
        <is>
          <t>태성리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강내면</t>
        </is>
      </c>
    </row>
    <row r="8928">
      <c r="A8928" s="3" t="n">
        <v>2025</v>
      </c>
      <c r="B8928" s="4" t="n">
        <v>40000</v>
      </c>
      <c r="C8928" s="4" t="n">
        <v>2033</v>
      </c>
      <c r="D8928" s="4" t="n">
        <v>614.9825</v>
      </c>
      <c r="E8928" s="5" t="n">
        <v>65</v>
      </c>
      <c r="F8928" s="3" t="inlineStr">
        <is>
          <t>강내면</t>
        </is>
      </c>
      <c r="G8928" s="3" t="inlineStr">
        <is>
          <t>사인리</t>
        </is>
      </c>
      <c r="H8928" s="3" t="inlineStr">
        <is>
          <t>생산녹지지역</t>
        </is>
      </c>
      <c r="I8928" s="3" t="inlineStr">
        <is>
          <t>답</t>
        </is>
      </c>
      <c r="J8928" s="3" t="inlineStr">
        <is>
          <t>강내면</t>
        </is>
      </c>
    </row>
    <row r="8929">
      <c r="A8929" s="3" t="n">
        <v>2025</v>
      </c>
      <c r="B8929" s="4" t="n">
        <v>10000</v>
      </c>
      <c r="C8929" s="4" t="n">
        <v>992</v>
      </c>
      <c r="D8929" s="4" t="n">
        <v>300.08</v>
      </c>
      <c r="E8929" s="5" t="n">
        <v>33.3</v>
      </c>
      <c r="F8929" s="3" t="inlineStr">
        <is>
          <t>강내면</t>
        </is>
      </c>
      <c r="G8929" s="3" t="inlineStr">
        <is>
          <t>월탄리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강내면</t>
        </is>
      </c>
    </row>
    <row r="8930">
      <c r="A8930" s="3" t="n">
        <v>2025</v>
      </c>
      <c r="B8930" s="4" t="n">
        <v>5200</v>
      </c>
      <c r="C8930" s="4" t="n">
        <v>245</v>
      </c>
      <c r="D8930" s="4" t="n">
        <v>74.1125</v>
      </c>
      <c r="E8930" s="5" t="n">
        <v>70.2</v>
      </c>
      <c r="F8930" s="3" t="inlineStr">
        <is>
          <t>강내면</t>
        </is>
      </c>
      <c r="G8930" s="3" t="inlineStr">
        <is>
          <t>저산리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강내면</t>
        </is>
      </c>
    </row>
    <row r="8931">
      <c r="A8931" s="3" t="n">
        <v>2025</v>
      </c>
      <c r="B8931" s="4" t="n">
        <v>500</v>
      </c>
      <c r="C8931" s="4" t="n">
        <v>25</v>
      </c>
      <c r="D8931" s="4" t="n">
        <v>7.5625</v>
      </c>
      <c r="E8931" s="5" t="n">
        <v>66.09999999999999</v>
      </c>
      <c r="F8931" s="3" t="inlineStr">
        <is>
          <t>강내면</t>
        </is>
      </c>
      <c r="G8931" s="3" t="inlineStr">
        <is>
          <t>저산리</t>
        </is>
      </c>
      <c r="H8931" s="3" t="inlineStr">
        <is>
          <t>계획관리지역</t>
        </is>
      </c>
      <c r="I8931" s="3" t="inlineStr">
        <is>
          <t>임야</t>
        </is>
      </c>
      <c r="J8931" s="3" t="inlineStr">
        <is>
          <t>강내면</t>
        </is>
      </c>
    </row>
    <row r="8932">
      <c r="A8932" s="3" t="n">
        <v>2025</v>
      </c>
      <c r="B8932" s="4" t="n">
        <v>13800</v>
      </c>
      <c r="C8932" s="4" t="n">
        <v>456</v>
      </c>
      <c r="D8932" s="4" t="n">
        <v>137.94</v>
      </c>
      <c r="E8932" s="5" t="n">
        <v>100</v>
      </c>
      <c r="F8932" s="3" t="inlineStr">
        <is>
          <t>강내면</t>
        </is>
      </c>
      <c r="G8932" s="3" t="inlineStr">
        <is>
          <t>저산리</t>
        </is>
      </c>
      <c r="H8932" s="3" t="inlineStr">
        <is>
          <t>계획관리지역</t>
        </is>
      </c>
      <c r="I8932" s="3" t="inlineStr">
        <is>
          <t>답</t>
        </is>
      </c>
      <c r="J8932" s="3" t="inlineStr">
        <is>
          <t>강내면</t>
        </is>
      </c>
    </row>
    <row r="8933">
      <c r="A8933" s="3" t="n">
        <v>2025</v>
      </c>
      <c r="B8933" s="4" t="n">
        <v>4000</v>
      </c>
      <c r="C8933" s="4" t="n">
        <v>132</v>
      </c>
      <c r="D8933" s="4" t="n">
        <v>39.93</v>
      </c>
      <c r="E8933" s="5" t="n">
        <v>100.2</v>
      </c>
      <c r="F8933" s="3" t="inlineStr">
        <is>
          <t>강내면</t>
        </is>
      </c>
      <c r="G8933" s="3" t="inlineStr">
        <is>
          <t>저산리</t>
        </is>
      </c>
      <c r="H8933" s="3" t="inlineStr">
        <is>
          <t>계획관리지역</t>
        </is>
      </c>
      <c r="I8933" s="3" t="inlineStr">
        <is>
          <t>전</t>
        </is>
      </c>
      <c r="J8933" s="3" t="inlineStr">
        <is>
          <t>강내면</t>
        </is>
      </c>
    </row>
    <row r="8934">
      <c r="A8934" s="3" t="n">
        <v>2025</v>
      </c>
      <c r="B8934" s="4" t="n">
        <v>4600</v>
      </c>
      <c r="C8934" s="4" t="n">
        <v>238</v>
      </c>
      <c r="D8934" s="4" t="n">
        <v>71.995</v>
      </c>
      <c r="E8934" s="5" t="n">
        <v>63.9</v>
      </c>
      <c r="F8934" s="3" t="inlineStr">
        <is>
          <t>오송읍</t>
        </is>
      </c>
      <c r="G8934" s="3" t="inlineStr">
        <is>
          <t>서평리</t>
        </is>
      </c>
      <c r="H8934" s="3" t="inlineStr">
        <is>
          <t>생산관리지역</t>
        </is>
      </c>
      <c r="I8934" s="3" t="inlineStr">
        <is>
          <t>전</t>
        </is>
      </c>
      <c r="J8934" s="3" t="inlineStr">
        <is>
          <t>오송읍</t>
        </is>
      </c>
    </row>
    <row r="8935">
      <c r="A8935" s="3" t="n">
        <v>2025</v>
      </c>
      <c r="B8935" s="4" t="n">
        <v>42400</v>
      </c>
      <c r="C8935" s="4" t="n">
        <v>2299</v>
      </c>
      <c r="D8935" s="4" t="n">
        <v>695.4475</v>
      </c>
      <c r="E8935" s="5" t="n">
        <v>61</v>
      </c>
      <c r="F8935" s="3" t="inlineStr">
        <is>
          <t>오송읍</t>
        </is>
      </c>
      <c r="G8935" s="3" t="inlineStr">
        <is>
          <t>서평리</t>
        </is>
      </c>
      <c r="H8935" s="3" t="inlineStr">
        <is>
          <t>생산관리지역</t>
        </is>
      </c>
      <c r="I8935" s="3" t="inlineStr">
        <is>
          <t>전</t>
        </is>
      </c>
      <c r="J8935" s="3" t="inlineStr">
        <is>
          <t>오송읍</t>
        </is>
      </c>
    </row>
    <row r="8936">
      <c r="A8936" s="3" t="n">
        <v>2025</v>
      </c>
      <c r="B8936" s="4" t="n">
        <v>74400</v>
      </c>
      <c r="C8936" s="4" t="n">
        <v>4235</v>
      </c>
      <c r="D8936" s="4" t="n">
        <v>1281.0875</v>
      </c>
      <c r="E8936" s="5" t="n">
        <v>58.1</v>
      </c>
      <c r="F8936" s="3" t="inlineStr">
        <is>
          <t>오송읍</t>
        </is>
      </c>
      <c r="G8936" s="3" t="inlineStr">
        <is>
          <t>서평리</t>
        </is>
      </c>
      <c r="H8936" s="3" t="inlineStr">
        <is>
          <t>농림지역</t>
        </is>
      </c>
      <c r="I8936" s="3" t="inlineStr">
        <is>
          <t>전</t>
        </is>
      </c>
      <c r="J8936" s="3" t="inlineStr">
        <is>
          <t>오송읍</t>
        </is>
      </c>
    </row>
    <row r="8937">
      <c r="A8937" s="3" t="n">
        <v>2025</v>
      </c>
      <c r="B8937" s="4" t="n">
        <v>7200</v>
      </c>
      <c r="C8937" s="4" t="n">
        <v>111</v>
      </c>
      <c r="D8937" s="4" t="n">
        <v>33.5775</v>
      </c>
      <c r="E8937" s="5" t="n">
        <v>214.4</v>
      </c>
      <c r="F8937" s="3" t="inlineStr">
        <is>
          <t>오송읍</t>
        </is>
      </c>
      <c r="G8937" s="3" t="inlineStr">
        <is>
          <t>오송리</t>
        </is>
      </c>
      <c r="H8937" s="3" t="inlineStr">
        <is>
          <t>준주거지역</t>
        </is>
      </c>
      <c r="I8937" s="3" t="inlineStr">
        <is>
          <t>답</t>
        </is>
      </c>
      <c r="J8937" s="3" t="inlineStr">
        <is>
          <t>오송읍</t>
        </is>
      </c>
    </row>
    <row r="8938">
      <c r="A8938" s="3" t="n">
        <v>2025</v>
      </c>
      <c r="B8938" s="4" t="n">
        <v>10700</v>
      </c>
      <c r="C8938" s="4" t="n">
        <v>332</v>
      </c>
      <c r="D8938" s="4" t="n">
        <v>100.43</v>
      </c>
      <c r="E8938" s="5" t="n">
        <v>106.5</v>
      </c>
      <c r="F8938" s="3" t="inlineStr">
        <is>
          <t>강내면</t>
        </is>
      </c>
      <c r="G8938" s="3" t="inlineStr">
        <is>
          <t>저산리</t>
        </is>
      </c>
      <c r="H8938" s="3" t="inlineStr">
        <is>
          <t>계획관리지역</t>
        </is>
      </c>
      <c r="I8938" s="3" t="inlineStr">
        <is>
          <t>임야</t>
        </is>
      </c>
      <c r="J8938" s="3" t="inlineStr">
        <is>
          <t>강내면</t>
        </is>
      </c>
    </row>
    <row r="8939">
      <c r="A8939" s="3" t="n">
        <v>2025</v>
      </c>
      <c r="B8939" s="4" t="n">
        <v>2580</v>
      </c>
      <c r="C8939" s="4" t="n">
        <v>78</v>
      </c>
      <c r="D8939" s="4" t="n">
        <v>23.595</v>
      </c>
      <c r="E8939" s="5" t="n">
        <v>109.3</v>
      </c>
      <c r="F8939" s="3" t="inlineStr">
        <is>
          <t>강내면</t>
        </is>
      </c>
      <c r="G8939" s="3" t="inlineStr">
        <is>
          <t>저산리</t>
        </is>
      </c>
      <c r="H8939" s="3" t="inlineStr">
        <is>
          <t>계획관리지역</t>
        </is>
      </c>
      <c r="I8939" s="3" t="inlineStr">
        <is>
          <t>답</t>
        </is>
      </c>
      <c r="J8939" s="3" t="inlineStr">
        <is>
          <t>강내면</t>
        </is>
      </c>
    </row>
    <row r="8940">
      <c r="A8940" s="3" t="n">
        <v>2025</v>
      </c>
      <c r="B8940" s="4" t="n">
        <v>3500</v>
      </c>
      <c r="C8940" s="4" t="n">
        <v>793</v>
      </c>
      <c r="D8940" s="4" t="n">
        <v>239.8825</v>
      </c>
      <c r="E8940" s="5" t="n">
        <v>14.6</v>
      </c>
      <c r="F8940" s="3" t="inlineStr">
        <is>
          <t>강내면</t>
        </is>
      </c>
      <c r="G8940" s="3" t="inlineStr">
        <is>
          <t>저산리</t>
        </is>
      </c>
      <c r="H8940" s="3" t="inlineStr">
        <is>
          <t>계획관리지역</t>
        </is>
      </c>
      <c r="I8940" s="3" t="inlineStr">
        <is>
          <t>임야</t>
        </is>
      </c>
      <c r="J8940" s="3" t="inlineStr">
        <is>
          <t>강내면</t>
        </is>
      </c>
    </row>
    <row r="8941">
      <c r="A8941" s="3" t="n">
        <v>2025</v>
      </c>
      <c r="B8941" s="4" t="n">
        <v>16280</v>
      </c>
      <c r="C8941" s="4" t="n">
        <v>224</v>
      </c>
      <c r="D8941" s="4" t="n">
        <v>67.75999999999999</v>
      </c>
      <c r="E8941" s="5" t="n">
        <v>240.3</v>
      </c>
      <c r="F8941" s="3" t="inlineStr">
        <is>
          <t>오송읍</t>
        </is>
      </c>
      <c r="G8941" s="3" t="inlineStr">
        <is>
          <t>궁평리</t>
        </is>
      </c>
      <c r="H8941" s="3" t="inlineStr">
        <is>
          <t>농림지역</t>
        </is>
      </c>
      <c r="I8941" s="3" t="inlineStr">
        <is>
          <t>대</t>
        </is>
      </c>
      <c r="J8941" s="3" t="inlineStr">
        <is>
          <t>오송읍</t>
        </is>
      </c>
    </row>
    <row r="8942">
      <c r="A8942" s="3" t="n">
        <v>2026</v>
      </c>
      <c r="B8942" s="4" t="n">
        <v>42000</v>
      </c>
      <c r="C8942" s="4" t="n">
        <v>8191</v>
      </c>
      <c r="D8942" s="4" t="n">
        <v>2477.7775</v>
      </c>
      <c r="E8942" s="5" t="n">
        <v>17</v>
      </c>
      <c r="F8942" s="3" t="inlineStr">
        <is>
          <t>남이면</t>
        </is>
      </c>
      <c r="G8942" s="3" t="inlineStr">
        <is>
          <t>갈원리</t>
        </is>
      </c>
      <c r="H8942" s="3" t="inlineStr">
        <is>
          <t>보전녹지지역</t>
        </is>
      </c>
      <c r="I8942" s="3" t="inlineStr">
        <is>
          <t>임야</t>
        </is>
      </c>
      <c r="J8942" s="3" t="inlineStr">
        <is>
          <t>남이면</t>
        </is>
      </c>
    </row>
    <row r="8943">
      <c r="A8943" s="3" t="n">
        <v>2022</v>
      </c>
      <c r="B8943" s="4" t="n">
        <v>77717</v>
      </c>
      <c r="C8943" s="4" t="n">
        <v>6626.3</v>
      </c>
      <c r="D8943" s="4" t="n">
        <v>2004.45575</v>
      </c>
      <c r="E8943" s="5" t="n">
        <v>38.8</v>
      </c>
      <c r="F8943" s="3" t="inlineStr">
        <is>
          <t>오송읍</t>
        </is>
      </c>
      <c r="G8943" s="3" t="inlineStr">
        <is>
          <t>연제리</t>
        </is>
      </c>
      <c r="H8943" s="3" t="inlineStr">
        <is>
          <t>준공업지역</t>
        </is>
      </c>
      <c r="I8943" s="3" t="inlineStr">
        <is>
          <t>대</t>
        </is>
      </c>
      <c r="J8943" s="3" t="inlineStr">
        <is>
          <t>오송읍</t>
        </is>
      </c>
    </row>
    <row r="8944">
      <c r="A8944" s="3" t="n">
        <v>2022</v>
      </c>
      <c r="B8944" s="4" t="n">
        <v>20000</v>
      </c>
      <c r="C8944" s="4" t="n">
        <v>1368</v>
      </c>
      <c r="D8944" s="4" t="n">
        <v>413.82</v>
      </c>
      <c r="E8944" s="5" t="n">
        <v>48.3</v>
      </c>
      <c r="F8944" s="3" t="inlineStr">
        <is>
          <t>강내면</t>
        </is>
      </c>
      <c r="G8944" s="3" t="inlineStr">
        <is>
          <t>탑연리</t>
        </is>
      </c>
      <c r="H8944" s="3" t="inlineStr">
        <is>
          <t>생산녹지지역</t>
        </is>
      </c>
      <c r="I8944" s="3" t="inlineStr">
        <is>
          <t>답</t>
        </is>
      </c>
      <c r="J8944" s="3" t="inlineStr">
        <is>
          <t>강내면</t>
        </is>
      </c>
    </row>
    <row r="8945">
      <c r="A8945" s="3" t="n">
        <v>2022</v>
      </c>
      <c r="B8945" s="4" t="n">
        <v>12000</v>
      </c>
      <c r="C8945" s="4" t="n">
        <v>485</v>
      </c>
      <c r="D8945" s="4" t="n">
        <v>146.7125</v>
      </c>
      <c r="E8945" s="5" t="n">
        <v>81.8</v>
      </c>
      <c r="F8945" s="3" t="inlineStr">
        <is>
          <t>오송읍</t>
        </is>
      </c>
      <c r="G8945" s="3" t="inlineStr">
        <is>
          <t>상봉리</t>
        </is>
      </c>
      <c r="H8945" s="3" t="inlineStr">
        <is>
          <t>계획관리지역</t>
        </is>
      </c>
      <c r="I8945" s="3" t="inlineStr">
        <is>
          <t>대</t>
        </is>
      </c>
      <c r="J8945" s="3" t="inlineStr">
        <is>
          <t>오송읍</t>
        </is>
      </c>
    </row>
    <row r="8946">
      <c r="A8946" s="3" t="n">
        <v>2022</v>
      </c>
      <c r="B8946" s="4" t="n">
        <v>1550</v>
      </c>
      <c r="C8946" s="4" t="n">
        <v>17</v>
      </c>
      <c r="D8946" s="4" t="n">
        <v>5.1425</v>
      </c>
      <c r="E8946" s="5" t="n">
        <v>301.4</v>
      </c>
      <c r="F8946" s="3" t="inlineStr">
        <is>
          <t>오송읍</t>
        </is>
      </c>
      <c r="G8946" s="3" t="inlineStr">
        <is>
          <t>궁평리</t>
        </is>
      </c>
      <c r="H8946" s="3" t="inlineStr">
        <is>
          <t>준주거지역</t>
        </is>
      </c>
      <c r="I8946" s="3" t="inlineStr">
        <is>
          <t>답</t>
        </is>
      </c>
      <c r="J8946" s="3" t="inlineStr">
        <is>
          <t>오송읍</t>
        </is>
      </c>
    </row>
    <row r="8947">
      <c r="A8947" s="3" t="n">
        <v>2022</v>
      </c>
      <c r="B8947" s="4" t="n">
        <v>487996</v>
      </c>
      <c r="C8947" s="4" t="n">
        <v>14266.6</v>
      </c>
      <c r="D8947" s="4" t="n">
        <v>4315.6465</v>
      </c>
      <c r="E8947" s="5" t="n">
        <v>113.1</v>
      </c>
      <c r="F8947" s="3" t="inlineStr">
        <is>
          <t>오송읍</t>
        </is>
      </c>
      <c r="G8947" s="3" t="inlineStr">
        <is>
          <t>정중리</t>
        </is>
      </c>
      <c r="H8947" s="3" t="inlineStr">
        <is>
          <t>일반공업지역</t>
        </is>
      </c>
      <c r="I8947" s="3" t="inlineStr">
        <is>
          <t>대</t>
        </is>
      </c>
      <c r="J8947" s="3" t="inlineStr">
        <is>
          <t>오송읍</t>
        </is>
      </c>
    </row>
    <row r="8948">
      <c r="A8948" s="3" t="n">
        <v>2022</v>
      </c>
      <c r="B8948" s="4" t="n">
        <v>11600</v>
      </c>
      <c r="C8948" s="4" t="n">
        <v>1283</v>
      </c>
      <c r="D8948" s="4" t="n">
        <v>388.1075</v>
      </c>
      <c r="E8948" s="5" t="n">
        <v>29.9</v>
      </c>
      <c r="F8948" s="3" t="inlineStr">
        <is>
          <t>오송읍</t>
        </is>
      </c>
      <c r="G8948" s="3" t="inlineStr">
        <is>
          <t>쌍청리</t>
        </is>
      </c>
      <c r="H8948" s="3" t="inlineStr">
        <is>
          <t>농림지역</t>
        </is>
      </c>
      <c r="I8948" s="3" t="inlineStr">
        <is>
          <t>전</t>
        </is>
      </c>
      <c r="J8948" s="3" t="inlineStr">
        <is>
          <t>오송읍</t>
        </is>
      </c>
    </row>
    <row r="8949">
      <c r="A8949" s="3" t="n">
        <v>2022</v>
      </c>
      <c r="B8949" s="4" t="n">
        <v>75</v>
      </c>
      <c r="C8949" s="4" t="n">
        <v>3</v>
      </c>
      <c r="D8949" s="4" t="n">
        <v>0.9075</v>
      </c>
      <c r="E8949" s="5" t="n">
        <v>82.59999999999999</v>
      </c>
      <c r="F8949" s="3" t="inlineStr">
        <is>
          <t>오송읍</t>
        </is>
      </c>
      <c r="G8949" s="3" t="inlineStr">
        <is>
          <t>연제리</t>
        </is>
      </c>
      <c r="H8949" s="3" t="inlineStr">
        <is>
          <t>농림지역</t>
        </is>
      </c>
      <c r="I8949" s="3" t="inlineStr">
        <is>
          <t>도로</t>
        </is>
      </c>
      <c r="J8949" s="3" t="inlineStr">
        <is>
          <t>오송읍</t>
        </is>
      </c>
    </row>
    <row r="8950">
      <c r="A8950" s="3" t="n">
        <v>2022</v>
      </c>
      <c r="B8950" s="4" t="n">
        <v>31500</v>
      </c>
      <c r="C8950" s="4" t="n">
        <v>287.2</v>
      </c>
      <c r="D8950" s="4" t="n">
        <v>86.878</v>
      </c>
      <c r="E8950" s="5" t="n">
        <v>362.6</v>
      </c>
      <c r="F8950" s="3" t="inlineStr">
        <is>
          <t>오송읍</t>
        </is>
      </c>
      <c r="G8950" s="3" t="inlineStr">
        <is>
          <t>봉산리</t>
        </is>
      </c>
      <c r="H8950" s="3" t="inlineStr">
        <is>
          <t>제1종일반주거지역</t>
        </is>
      </c>
      <c r="I8950" s="3" t="inlineStr">
        <is>
          <t>대</t>
        </is>
      </c>
      <c r="J8950" s="3" t="inlineStr">
        <is>
          <t>오송읍</t>
        </is>
      </c>
    </row>
    <row r="8951">
      <c r="A8951" s="3" t="n">
        <v>2022</v>
      </c>
      <c r="B8951" s="4" t="n">
        <v>462</v>
      </c>
      <c r="C8951" s="4" t="n">
        <v>6</v>
      </c>
      <c r="D8951" s="4" t="n">
        <v>1.815</v>
      </c>
      <c r="E8951" s="5" t="n">
        <v>254.5</v>
      </c>
      <c r="F8951" s="3" t="inlineStr">
        <is>
          <t>강내면</t>
        </is>
      </c>
      <c r="G8951" s="3" t="inlineStr">
        <is>
          <t>월곡리</t>
        </is>
      </c>
      <c r="H8951" s="3" t="inlineStr">
        <is>
          <t>제2종일반주거지역</t>
        </is>
      </c>
      <c r="I8951" s="3" t="inlineStr">
        <is>
          <t>대</t>
        </is>
      </c>
      <c r="J8951" s="3" t="inlineStr">
        <is>
          <t>강내면</t>
        </is>
      </c>
    </row>
    <row r="8952">
      <c r="A8952" s="3" t="n">
        <v>2022</v>
      </c>
      <c r="B8952" s="4" t="n">
        <v>30000</v>
      </c>
      <c r="C8952" s="4" t="n">
        <v>271.4</v>
      </c>
      <c r="D8952" s="4" t="n">
        <v>82.09849999999999</v>
      </c>
      <c r="E8952" s="5" t="n">
        <v>365.4</v>
      </c>
      <c r="F8952" s="3" t="inlineStr">
        <is>
          <t>오송읍</t>
        </is>
      </c>
      <c r="G8952" s="3" t="inlineStr">
        <is>
          <t>봉산리</t>
        </is>
      </c>
      <c r="H8952" s="3" t="inlineStr">
        <is>
          <t>제1종일반주거지역</t>
        </is>
      </c>
      <c r="I8952" s="3" t="inlineStr">
        <is>
          <t>대</t>
        </is>
      </c>
      <c r="J8952" s="3" t="inlineStr">
        <is>
          <t>오송읍</t>
        </is>
      </c>
    </row>
    <row r="8953">
      <c r="A8953" s="3" t="n">
        <v>2022</v>
      </c>
      <c r="B8953" s="4" t="n">
        <v>200</v>
      </c>
      <c r="C8953" s="4" t="n">
        <v>34</v>
      </c>
      <c r="D8953" s="4" t="n">
        <v>10.285</v>
      </c>
      <c r="E8953" s="5" t="n">
        <v>19.4</v>
      </c>
      <c r="F8953" s="3" t="inlineStr">
        <is>
          <t>오송읍</t>
        </is>
      </c>
      <c r="G8953" s="3" t="inlineStr">
        <is>
          <t>상봉리</t>
        </is>
      </c>
      <c r="H8953" s="3" t="inlineStr">
        <is>
          <t>생산관리지역</t>
        </is>
      </c>
      <c r="I8953" s="3" t="inlineStr">
        <is>
          <t>답</t>
        </is>
      </c>
      <c r="J8953" s="3" t="inlineStr">
        <is>
          <t>오송읍</t>
        </is>
      </c>
    </row>
    <row r="8954">
      <c r="A8954" s="3" t="n">
        <v>2022</v>
      </c>
      <c r="B8954" s="4" t="n">
        <v>3800</v>
      </c>
      <c r="C8954" s="4" t="n">
        <v>424</v>
      </c>
      <c r="D8954" s="4" t="n">
        <v>128.26</v>
      </c>
      <c r="E8954" s="5" t="n">
        <v>29.6</v>
      </c>
      <c r="F8954" s="3" t="inlineStr">
        <is>
          <t>오송읍</t>
        </is>
      </c>
      <c r="G8954" s="3" t="inlineStr">
        <is>
          <t>상봉리</t>
        </is>
      </c>
      <c r="H8954" s="3" t="inlineStr">
        <is>
          <t>생산관리지역</t>
        </is>
      </c>
      <c r="I8954" s="3" t="inlineStr">
        <is>
          <t>답</t>
        </is>
      </c>
      <c r="J8954" s="3" t="inlineStr">
        <is>
          <t>오송읍</t>
        </is>
      </c>
    </row>
    <row r="8955">
      <c r="A8955" s="3" t="n">
        <v>2022</v>
      </c>
      <c r="B8955" s="4" t="n">
        <v>26500</v>
      </c>
      <c r="C8955" s="4" t="n">
        <v>1819</v>
      </c>
      <c r="D8955" s="4" t="n">
        <v>550.2474999999999</v>
      </c>
      <c r="E8955" s="5" t="n">
        <v>48.2</v>
      </c>
      <c r="F8955" s="3" t="inlineStr">
        <is>
          <t>강내면</t>
        </is>
      </c>
      <c r="G8955" s="3" t="inlineStr">
        <is>
          <t>당곡리</t>
        </is>
      </c>
      <c r="H8955" s="3" t="inlineStr">
        <is>
          <t>농림지역</t>
        </is>
      </c>
      <c r="I8955" s="3" t="inlineStr">
        <is>
          <t>답</t>
        </is>
      </c>
      <c r="J8955" s="3" t="inlineStr">
        <is>
          <t>강내면</t>
        </is>
      </c>
    </row>
    <row r="8956">
      <c r="A8956" s="3" t="n">
        <v>2022</v>
      </c>
      <c r="B8956" s="4" t="n">
        <v>10300</v>
      </c>
      <c r="C8956" s="4" t="n">
        <v>576</v>
      </c>
      <c r="D8956" s="4" t="n">
        <v>174.24</v>
      </c>
      <c r="E8956" s="5" t="n">
        <v>59.1</v>
      </c>
      <c r="F8956" s="3" t="inlineStr">
        <is>
          <t>강내면</t>
        </is>
      </c>
      <c r="G8956" s="3" t="inlineStr">
        <is>
          <t>연정리</t>
        </is>
      </c>
      <c r="H8956" s="3" t="inlineStr">
        <is>
          <t>보전관리지역</t>
        </is>
      </c>
      <c r="I8956" s="3" t="inlineStr">
        <is>
          <t>대</t>
        </is>
      </c>
      <c r="J8956" s="3" t="inlineStr">
        <is>
          <t>강내면</t>
        </is>
      </c>
    </row>
    <row r="8957">
      <c r="A8957" s="3" t="n">
        <v>2025</v>
      </c>
      <c r="B8957" s="4" t="n">
        <v>60</v>
      </c>
      <c r="C8957" s="4" t="n">
        <v>7</v>
      </c>
      <c r="D8957" s="4" t="n">
        <v>2.1175</v>
      </c>
      <c r="E8957" s="5" t="n">
        <v>28.3</v>
      </c>
      <c r="F8957" s="3" t="inlineStr">
        <is>
          <t>강내면</t>
        </is>
      </c>
      <c r="G8957" s="3" t="inlineStr">
        <is>
          <t>다락리</t>
        </is>
      </c>
      <c r="H8957" s="3" t="inlineStr">
        <is>
          <t>보전녹지지역</t>
        </is>
      </c>
      <c r="I8957" s="3" t="inlineStr">
        <is>
          <t>전</t>
        </is>
      </c>
      <c r="J8957" s="3" t="inlineStr">
        <is>
          <t>강내면</t>
        </is>
      </c>
    </row>
    <row r="8958">
      <c r="A8958" s="3" t="n">
        <v>2026</v>
      </c>
      <c r="B8958" s="4" t="n">
        <v>5650</v>
      </c>
      <c r="C8958" s="4" t="n">
        <v>669</v>
      </c>
      <c r="D8958" s="4" t="n">
        <v>202.3725</v>
      </c>
      <c r="E8958" s="5" t="n">
        <v>27.9</v>
      </c>
      <c r="F8958" s="3" t="inlineStr">
        <is>
          <t>강내면</t>
        </is>
      </c>
      <c r="G8958" s="3" t="inlineStr">
        <is>
          <t>학천리</t>
        </is>
      </c>
      <c r="H8958" s="3" t="inlineStr">
        <is>
          <t>생산녹지지역</t>
        </is>
      </c>
      <c r="I8958" s="3" t="inlineStr">
        <is>
          <t>답</t>
        </is>
      </c>
      <c r="J8958" s="3" t="inlineStr">
        <is>
          <t>강내면</t>
        </is>
      </c>
    </row>
    <row r="8959">
      <c r="A8959" s="3" t="n">
        <v>2026</v>
      </c>
      <c r="B8959" s="4" t="n">
        <v>39000</v>
      </c>
      <c r="C8959" s="4" t="n">
        <v>268.1</v>
      </c>
      <c r="D8959" s="4" t="n">
        <v>81.10025</v>
      </c>
      <c r="E8959" s="5" t="n">
        <v>480.9</v>
      </c>
      <c r="F8959" s="3" t="inlineStr">
        <is>
          <t>오송읍</t>
        </is>
      </c>
      <c r="G8959" s="3" t="inlineStr">
        <is>
          <t>봉산리</t>
        </is>
      </c>
      <c r="H8959" s="3" t="inlineStr">
        <is>
          <t>제1종일반주거지역</t>
        </is>
      </c>
      <c r="I8959" s="3" t="inlineStr">
        <is>
          <t>대</t>
        </is>
      </c>
      <c r="J8959" s="3" t="inlineStr">
        <is>
          <t>오송읍</t>
        </is>
      </c>
    </row>
    <row r="8960">
      <c r="A8960" s="3" t="n">
        <v>2026</v>
      </c>
      <c r="B8960" s="4" t="n">
        <v>40000</v>
      </c>
      <c r="C8960" s="4" t="n">
        <v>4107</v>
      </c>
      <c r="D8960" s="4" t="n">
        <v>1242.3675</v>
      </c>
      <c r="E8960" s="5" t="n">
        <v>32.2</v>
      </c>
      <c r="F8960" s="3" t="inlineStr">
        <is>
          <t>강내면</t>
        </is>
      </c>
      <c r="G8960" s="3" t="inlineStr">
        <is>
          <t>사곡리</t>
        </is>
      </c>
      <c r="H8960" s="3" t="inlineStr">
        <is>
          <t>농림지역</t>
        </is>
      </c>
      <c r="I8960" s="3" t="inlineStr">
        <is>
          <t>전</t>
        </is>
      </c>
      <c r="J8960" s="3" t="inlineStr">
        <is>
          <t>강내면</t>
        </is>
      </c>
    </row>
    <row r="8961">
      <c r="A8961" s="3" t="n">
        <v>2026</v>
      </c>
      <c r="B8961" s="4" t="n">
        <v>35000</v>
      </c>
      <c r="C8961" s="4" t="n">
        <v>313</v>
      </c>
      <c r="D8961" s="4" t="n">
        <v>94.68249999999999</v>
      </c>
      <c r="E8961" s="5" t="n">
        <v>369.7</v>
      </c>
      <c r="F8961" s="3" t="inlineStr">
        <is>
          <t>오송읍</t>
        </is>
      </c>
      <c r="G8961" s="3" t="inlineStr">
        <is>
          <t>봉산리</t>
        </is>
      </c>
      <c r="H8961" s="3" t="inlineStr">
        <is>
          <t>제1종일반주거지역</t>
        </is>
      </c>
      <c r="I8961" s="3" t="inlineStr">
        <is>
          <t>대</t>
        </is>
      </c>
      <c r="J8961" s="3" t="inlineStr">
        <is>
          <t>오송읍</t>
        </is>
      </c>
    </row>
    <row r="8962">
      <c r="A8962" s="3" t="n">
        <v>2026</v>
      </c>
      <c r="B8962" s="4" t="n">
        <v>154684</v>
      </c>
      <c r="C8962" s="4" t="n">
        <v>6648.4</v>
      </c>
      <c r="D8962" s="4" t="n">
        <v>2011.141</v>
      </c>
      <c r="E8962" s="5" t="n">
        <v>76.90000000000001</v>
      </c>
      <c r="F8962" s="3" t="inlineStr">
        <is>
          <t>오송읍</t>
        </is>
      </c>
      <c r="G8962" s="3" t="inlineStr">
        <is>
          <t>연제리</t>
        </is>
      </c>
      <c r="H8962" s="3" t="inlineStr">
        <is>
          <t>준공업지역</t>
        </is>
      </c>
      <c r="I8962" s="3" t="inlineStr">
        <is>
          <t>대</t>
        </is>
      </c>
      <c r="J8962" s="3" t="inlineStr">
        <is>
          <t>오송읍</t>
        </is>
      </c>
    </row>
    <row r="8963">
      <c r="A8963" s="3" t="n">
        <v>2026</v>
      </c>
      <c r="B8963" s="4" t="n">
        <v>58464</v>
      </c>
      <c r="C8963" s="4" t="n">
        <v>3332</v>
      </c>
      <c r="D8963" s="4" t="n">
        <v>1007.93</v>
      </c>
      <c r="E8963" s="5" t="n">
        <v>58</v>
      </c>
      <c r="F8963" s="3" t="inlineStr">
        <is>
          <t>오송읍</t>
        </is>
      </c>
      <c r="G8963" s="3" t="inlineStr">
        <is>
          <t>서평리</t>
        </is>
      </c>
      <c r="H8963" s="3" t="inlineStr">
        <is>
          <t>농림지역</t>
        </is>
      </c>
      <c r="I8963" s="3" t="inlineStr">
        <is>
          <t>답</t>
        </is>
      </c>
      <c r="J8963" s="3" t="inlineStr">
        <is>
          <t>오송읍</t>
        </is>
      </c>
    </row>
    <row r="8964">
      <c r="A8964" s="3" t="n">
        <v>2026</v>
      </c>
      <c r="B8964" s="4" t="n">
        <v>87564</v>
      </c>
      <c r="C8964" s="4" t="n">
        <v>2420.1</v>
      </c>
      <c r="D8964" s="4" t="n">
        <v>732.08025</v>
      </c>
      <c r="E8964" s="5" t="n">
        <v>119.6</v>
      </c>
      <c r="F8964" s="3" t="inlineStr">
        <is>
          <t>오송읍</t>
        </is>
      </c>
      <c r="G8964" s="3" t="inlineStr">
        <is>
          <t>정중리</t>
        </is>
      </c>
      <c r="H8964" s="3" t="inlineStr">
        <is>
          <t>일반공업지역</t>
        </is>
      </c>
      <c r="I8964" s="3" t="inlineStr">
        <is>
          <t>공장용지</t>
        </is>
      </c>
      <c r="J8964" s="3" t="inlineStr">
        <is>
          <t>오송읍</t>
        </is>
      </c>
    </row>
    <row r="8965">
      <c r="A8965" s="3" t="n">
        <v>2026</v>
      </c>
      <c r="B8965" s="4" t="n">
        <v>7300</v>
      </c>
      <c r="C8965" s="4" t="n">
        <v>774</v>
      </c>
      <c r="D8965" s="4" t="n">
        <v>234.135</v>
      </c>
      <c r="E8965" s="5" t="n">
        <v>31.2</v>
      </c>
      <c r="F8965" s="3" t="inlineStr">
        <is>
          <t>강내면</t>
        </is>
      </c>
      <c r="G8965" s="3" t="inlineStr">
        <is>
          <t>학천리</t>
        </is>
      </c>
      <c r="H8965" s="3" t="inlineStr">
        <is>
          <t>보전녹지지역</t>
        </is>
      </c>
      <c r="I8965" s="3" t="inlineStr">
        <is>
          <t>전</t>
        </is>
      </c>
      <c r="J8965" s="3" t="inlineStr">
        <is>
          <t>강내면</t>
        </is>
      </c>
    </row>
    <row r="8966">
      <c r="A8966" s="3" t="n">
        <v>2026</v>
      </c>
      <c r="B8966" s="4" t="n">
        <v>30000</v>
      </c>
      <c r="C8966" s="4" t="n">
        <v>267.7</v>
      </c>
      <c r="D8966" s="4" t="n">
        <v>80.97924999999999</v>
      </c>
      <c r="E8966" s="5" t="n">
        <v>370.5</v>
      </c>
      <c r="F8966" s="3" t="inlineStr">
        <is>
          <t>오송읍</t>
        </is>
      </c>
      <c r="G8966" s="3" t="inlineStr">
        <is>
          <t>봉산리</t>
        </is>
      </c>
      <c r="H8966" s="3" t="inlineStr">
        <is>
          <t>제1종일반주거지역</t>
        </is>
      </c>
      <c r="I8966" s="3" t="inlineStr">
        <is>
          <t>대</t>
        </is>
      </c>
      <c r="J8966" s="3" t="inlineStr">
        <is>
          <t>오송읍</t>
        </is>
      </c>
    </row>
    <row r="8967">
      <c r="A8967" s="3" t="n">
        <v>2026</v>
      </c>
      <c r="B8967" s="4" t="n">
        <v>7300</v>
      </c>
      <c r="C8967" s="4" t="n">
        <v>774</v>
      </c>
      <c r="D8967" s="4" t="n">
        <v>234.135</v>
      </c>
      <c r="E8967" s="5" t="n">
        <v>31.2</v>
      </c>
      <c r="F8967" s="3" t="inlineStr">
        <is>
          <t>강내면</t>
        </is>
      </c>
      <c r="G8967" s="3" t="inlineStr">
        <is>
          <t>학천리</t>
        </is>
      </c>
      <c r="H8967" s="3" t="inlineStr">
        <is>
          <t>보전녹지지역</t>
        </is>
      </c>
      <c r="I8967" s="3" t="inlineStr">
        <is>
          <t>전</t>
        </is>
      </c>
      <c r="J8967" s="3" t="inlineStr">
        <is>
          <t>강내면</t>
        </is>
      </c>
    </row>
    <row r="8968">
      <c r="A8968" s="3" t="n">
        <v>2026</v>
      </c>
      <c r="B8968" s="4" t="n">
        <v>6000</v>
      </c>
      <c r="C8968" s="4" t="n">
        <v>593</v>
      </c>
      <c r="D8968" s="4" t="n">
        <v>179.3825</v>
      </c>
      <c r="E8968" s="5" t="n">
        <v>33.4</v>
      </c>
      <c r="F8968" s="3" t="inlineStr">
        <is>
          <t>오송읍</t>
        </is>
      </c>
      <c r="G8968" s="3" t="inlineStr">
        <is>
          <t>상봉리</t>
        </is>
      </c>
      <c r="H8968" s="3" t="inlineStr">
        <is>
          <t>생산관리지역</t>
        </is>
      </c>
      <c r="I8968" s="3" t="inlineStr">
        <is>
          <t>전</t>
        </is>
      </c>
      <c r="J8968" s="3" t="inlineStr">
        <is>
          <t>오송읍</t>
        </is>
      </c>
    </row>
    <row r="8969">
      <c r="A8969" s="3" t="n">
        <v>2026</v>
      </c>
      <c r="B8969" s="4" t="n">
        <v>58760</v>
      </c>
      <c r="C8969" s="4" t="n">
        <v>4008</v>
      </c>
      <c r="D8969" s="4" t="n">
        <v>1212.42</v>
      </c>
      <c r="E8969" s="5" t="n">
        <v>48.5</v>
      </c>
      <c r="F8969" s="3" t="inlineStr">
        <is>
          <t>강내면</t>
        </is>
      </c>
      <c r="G8969" s="3" t="inlineStr">
        <is>
          <t>학천리</t>
        </is>
      </c>
      <c r="H8969" s="3" t="inlineStr">
        <is>
          <t>생산녹지지역</t>
        </is>
      </c>
      <c r="I8969" s="3" t="inlineStr">
        <is>
          <t>답</t>
        </is>
      </c>
      <c r="J8969" s="3" t="inlineStr">
        <is>
          <t>강내면</t>
        </is>
      </c>
    </row>
    <row r="8970">
      <c r="A8970" s="3" t="n">
        <v>2026</v>
      </c>
      <c r="B8970" s="4" t="n">
        <v>12240</v>
      </c>
      <c r="C8970" s="4" t="n">
        <v>835</v>
      </c>
      <c r="D8970" s="4" t="n">
        <v>252.5875</v>
      </c>
      <c r="E8970" s="5" t="n">
        <v>48.5</v>
      </c>
      <c r="F8970" s="3" t="inlineStr">
        <is>
          <t>강내면</t>
        </is>
      </c>
      <c r="G8970" s="3" t="inlineStr">
        <is>
          <t>학천리</t>
        </is>
      </c>
      <c r="H8970" s="3" t="inlineStr">
        <is>
          <t>생산녹지지역</t>
        </is>
      </c>
      <c r="I8970" s="3" t="inlineStr">
        <is>
          <t>답</t>
        </is>
      </c>
      <c r="J8970" s="3" t="inlineStr">
        <is>
          <t>강내면</t>
        </is>
      </c>
    </row>
    <row r="8971">
      <c r="A8971" s="3" t="n">
        <v>2026</v>
      </c>
      <c r="B8971" s="4" t="n">
        <v>6870</v>
      </c>
      <c r="C8971" s="4" t="n">
        <v>812</v>
      </c>
      <c r="D8971" s="4" t="n">
        <v>245.63</v>
      </c>
      <c r="E8971" s="5" t="n">
        <v>28</v>
      </c>
      <c r="F8971" s="3" t="inlineStr">
        <is>
          <t>오송읍</t>
        </is>
      </c>
      <c r="G8971" s="3" t="inlineStr">
        <is>
          <t>상봉리</t>
        </is>
      </c>
      <c r="H8971" s="3" t="inlineStr">
        <is>
          <t>용도미지정</t>
        </is>
      </c>
      <c r="I8971" s="3" t="inlineStr">
        <is>
          <t>답</t>
        </is>
      </c>
      <c r="J8971" s="3" t="inlineStr">
        <is>
          <t>오송읍</t>
        </is>
      </c>
    </row>
    <row r="8972">
      <c r="A8972" s="3" t="n">
        <v>2026</v>
      </c>
      <c r="B8972" s="4" t="n">
        <v>6210</v>
      </c>
      <c r="C8972" s="4" t="n">
        <v>684</v>
      </c>
      <c r="D8972" s="4" t="n">
        <v>206.91</v>
      </c>
      <c r="E8972" s="5" t="n">
        <v>30</v>
      </c>
      <c r="F8972" s="3" t="inlineStr">
        <is>
          <t>현도면</t>
        </is>
      </c>
      <c r="G8972" s="3" t="inlineStr">
        <is>
          <t>우록리</t>
        </is>
      </c>
      <c r="H8972" s="3" t="inlineStr">
        <is>
          <t>농림지역</t>
        </is>
      </c>
      <c r="I8972" s="3" t="inlineStr">
        <is>
          <t>답</t>
        </is>
      </c>
      <c r="J8972" s="3" t="inlineStr">
        <is>
          <t>현도면</t>
        </is>
      </c>
    </row>
    <row r="8973">
      <c r="A8973" s="3" t="n">
        <v>2026</v>
      </c>
      <c r="B8973" s="4" t="n">
        <v>11160</v>
      </c>
      <c r="C8973" s="4" t="n">
        <v>1230</v>
      </c>
      <c r="D8973" s="4" t="n">
        <v>372.075</v>
      </c>
      <c r="E8973" s="5" t="n">
        <v>30</v>
      </c>
      <c r="F8973" s="3" t="inlineStr">
        <is>
          <t>현도면</t>
        </is>
      </c>
      <c r="G8973" s="3" t="inlineStr">
        <is>
          <t>우록리</t>
        </is>
      </c>
      <c r="H8973" s="3" t="inlineStr">
        <is>
          <t>농림지역</t>
        </is>
      </c>
      <c r="I8973" s="3" t="inlineStr">
        <is>
          <t>답</t>
        </is>
      </c>
      <c r="J8973" s="3" t="inlineStr">
        <is>
          <t>현도면</t>
        </is>
      </c>
    </row>
    <row r="8974">
      <c r="A8974" s="3" t="n">
        <v>2025</v>
      </c>
      <c r="B8974" s="4" t="n">
        <v>26000</v>
      </c>
      <c r="C8974" s="4" t="n">
        <v>628</v>
      </c>
      <c r="D8974" s="4" t="n">
        <v>189.97</v>
      </c>
      <c r="E8974" s="5" t="n">
        <v>136.9</v>
      </c>
      <c r="F8974" s="3" t="inlineStr">
        <is>
          <t>오송읍</t>
        </is>
      </c>
      <c r="G8974" s="3" t="inlineStr">
        <is>
          <t>서평리</t>
        </is>
      </c>
      <c r="H8974" s="3" t="inlineStr">
        <is>
          <t>계획관리지역</t>
        </is>
      </c>
      <c r="I8974" s="3" t="inlineStr">
        <is>
          <t>대</t>
        </is>
      </c>
      <c r="J8974" s="3" t="inlineStr">
        <is>
          <t>오송읍</t>
        </is>
      </c>
    </row>
    <row r="8975">
      <c r="A8975" s="3" t="n">
        <v>2025</v>
      </c>
      <c r="B8975" s="4" t="n">
        <v>15400</v>
      </c>
      <c r="C8975" s="4" t="n">
        <v>84</v>
      </c>
      <c r="D8975" s="4" t="n">
        <v>25.41</v>
      </c>
      <c r="E8975" s="5" t="n">
        <v>606.1</v>
      </c>
      <c r="F8975" s="3" t="inlineStr">
        <is>
          <t>오송읍</t>
        </is>
      </c>
      <c r="G8975" s="3" t="inlineStr">
        <is>
          <t>오송리</t>
        </is>
      </c>
      <c r="H8975" s="3" t="inlineStr">
        <is>
          <t>계획관리지역</t>
        </is>
      </c>
      <c r="I8975" s="3" t="inlineStr">
        <is>
          <t>대</t>
        </is>
      </c>
      <c r="J8975" s="3" t="inlineStr">
        <is>
          <t>오송읍</t>
        </is>
      </c>
    </row>
    <row r="8976">
      <c r="A8976" s="3" t="n">
        <v>2025</v>
      </c>
      <c r="B8976" s="4" t="n">
        <v>590000</v>
      </c>
      <c r="C8976" s="4" t="n">
        <v>1436.7</v>
      </c>
      <c r="D8976" s="4" t="n">
        <v>434.60175</v>
      </c>
      <c r="E8976" s="5" t="n">
        <v>1357.6</v>
      </c>
      <c r="F8976" s="3" t="inlineStr">
        <is>
          <t>오송읍</t>
        </is>
      </c>
      <c r="G8976" s="3" t="inlineStr">
        <is>
          <t>봉산리</t>
        </is>
      </c>
      <c r="H8976" s="3" t="inlineStr">
        <is>
          <t>일반상업지역</t>
        </is>
      </c>
      <c r="I8976" s="3" t="inlineStr">
        <is>
          <t>대</t>
        </is>
      </c>
      <c r="J8976" s="3" t="inlineStr">
        <is>
          <t>오송읍</t>
        </is>
      </c>
    </row>
    <row r="8977">
      <c r="A8977" s="3" t="n">
        <v>2025</v>
      </c>
      <c r="B8977" s="4" t="n">
        <v>8220</v>
      </c>
      <c r="C8977" s="4" t="n">
        <v>143</v>
      </c>
      <c r="D8977" s="4" t="n">
        <v>43.2575</v>
      </c>
      <c r="E8977" s="5" t="n">
        <v>190</v>
      </c>
      <c r="F8977" s="3" t="inlineStr">
        <is>
          <t>오송읍</t>
        </is>
      </c>
      <c r="G8977" s="3" t="inlineStr">
        <is>
          <t>궁평리</t>
        </is>
      </c>
      <c r="H8977" s="3" t="inlineStr">
        <is>
          <t>농림지역</t>
        </is>
      </c>
      <c r="I8977" s="3" t="inlineStr">
        <is>
          <t>답</t>
        </is>
      </c>
      <c r="J8977" s="3" t="inlineStr">
        <is>
          <t>오송읍</t>
        </is>
      </c>
    </row>
    <row r="8978">
      <c r="A8978" s="3" t="n">
        <v>2025</v>
      </c>
      <c r="B8978" s="4" t="n">
        <v>4140</v>
      </c>
      <c r="C8978" s="4" t="n">
        <v>72</v>
      </c>
      <c r="D8978" s="4" t="n">
        <v>21.78</v>
      </c>
      <c r="E8978" s="5" t="n">
        <v>190.1</v>
      </c>
      <c r="F8978" s="3" t="inlineStr">
        <is>
          <t>오송읍</t>
        </is>
      </c>
      <c r="G8978" s="3" t="inlineStr">
        <is>
          <t>궁평리</t>
        </is>
      </c>
      <c r="H8978" s="3" t="inlineStr">
        <is>
          <t>농림지역</t>
        </is>
      </c>
      <c r="I8978" s="3" t="inlineStr">
        <is>
          <t>답</t>
        </is>
      </c>
      <c r="J8978" s="3" t="inlineStr">
        <is>
          <t>오송읍</t>
        </is>
      </c>
    </row>
    <row r="8979">
      <c r="A8979" s="3" t="n">
        <v>2025</v>
      </c>
      <c r="B8979" s="4" t="n">
        <v>30500</v>
      </c>
      <c r="C8979" s="4" t="n">
        <v>273.4</v>
      </c>
      <c r="D8979" s="4" t="n">
        <v>82.70349999999999</v>
      </c>
      <c r="E8979" s="5" t="n">
        <v>368.8</v>
      </c>
      <c r="F8979" s="3" t="inlineStr">
        <is>
          <t>오송읍</t>
        </is>
      </c>
      <c r="G8979" s="3" t="inlineStr">
        <is>
          <t>봉산리</t>
        </is>
      </c>
      <c r="H8979" s="3" t="inlineStr">
        <is>
          <t>제1종일반주거지역</t>
        </is>
      </c>
      <c r="I8979" s="3" t="inlineStr">
        <is>
          <t>대</t>
        </is>
      </c>
      <c r="J8979" s="3" t="inlineStr">
        <is>
          <t>오송읍</t>
        </is>
      </c>
    </row>
    <row r="8980">
      <c r="A8980" s="3" t="n">
        <v>2025</v>
      </c>
      <c r="B8980" s="4" t="n">
        <v>500</v>
      </c>
      <c r="C8980" s="4" t="n">
        <v>134</v>
      </c>
      <c r="D8980" s="4" t="n">
        <v>40.535</v>
      </c>
      <c r="E8980" s="5" t="n">
        <v>12.3</v>
      </c>
      <c r="F8980" s="3" t="inlineStr">
        <is>
          <t>강내면</t>
        </is>
      </c>
      <c r="G8980" s="3" t="inlineStr">
        <is>
          <t>사인리</t>
        </is>
      </c>
      <c r="H8980" s="3" t="inlineStr">
        <is>
          <t>자연녹지지역</t>
        </is>
      </c>
      <c r="I8980" s="3" t="inlineStr">
        <is>
          <t>대</t>
        </is>
      </c>
      <c r="J8980" s="3" t="inlineStr">
        <is>
          <t>강내면</t>
        </is>
      </c>
    </row>
    <row r="8981">
      <c r="A8981" s="3" t="n">
        <v>2025</v>
      </c>
      <c r="B8981" s="4" t="n">
        <v>663</v>
      </c>
      <c r="C8981" s="4" t="n">
        <v>16</v>
      </c>
      <c r="D8981" s="4" t="n">
        <v>4.84</v>
      </c>
      <c r="E8981" s="5" t="n">
        <v>137</v>
      </c>
      <c r="F8981" s="3" t="inlineStr">
        <is>
          <t>강내면</t>
        </is>
      </c>
      <c r="G8981" s="3" t="inlineStr">
        <is>
          <t>다락리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강내면</t>
        </is>
      </c>
    </row>
    <row r="8982">
      <c r="A8982" s="3" t="n">
        <v>2026</v>
      </c>
      <c r="B8982" s="4" t="n">
        <v>3000</v>
      </c>
      <c r="C8982" s="4" t="n">
        <v>398</v>
      </c>
      <c r="D8982" s="4" t="n">
        <v>120.395</v>
      </c>
      <c r="E8982" s="5" t="n">
        <v>24.9</v>
      </c>
      <c r="F8982" s="3" t="inlineStr">
        <is>
          <t>남이면</t>
        </is>
      </c>
      <c r="G8982" s="3" t="inlineStr">
        <is>
          <t>부용외천리</t>
        </is>
      </c>
      <c r="H8982" s="3" t="inlineStr">
        <is>
          <t>자연녹지지역</t>
        </is>
      </c>
      <c r="I8982" s="3" t="inlineStr">
        <is>
          <t>잡종지</t>
        </is>
      </c>
      <c r="J8982" s="3" t="inlineStr">
        <is>
          <t>남이면</t>
        </is>
      </c>
    </row>
    <row r="8983">
      <c r="A8983" s="3" t="n">
        <v>2026</v>
      </c>
      <c r="B8983" s="4" t="n">
        <v>5350</v>
      </c>
      <c r="C8983" s="4" t="n">
        <v>1225</v>
      </c>
      <c r="D8983" s="4" t="n">
        <v>370.5625</v>
      </c>
      <c r="E8983" s="5" t="n">
        <v>14.4</v>
      </c>
      <c r="F8983" s="3" t="inlineStr">
        <is>
          <t>현도면</t>
        </is>
      </c>
      <c r="G8983" s="3" t="inlineStr">
        <is>
          <t>죽암리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현도면</t>
        </is>
      </c>
    </row>
    <row r="8984">
      <c r="A8984" s="3" t="n">
        <v>2026</v>
      </c>
      <c r="B8984" s="4" t="n">
        <v>3650</v>
      </c>
      <c r="C8984" s="4" t="n">
        <v>743</v>
      </c>
      <c r="D8984" s="4" t="n">
        <v>224.7575</v>
      </c>
      <c r="E8984" s="5" t="n">
        <v>16.2</v>
      </c>
      <c r="F8984" s="3" t="inlineStr">
        <is>
          <t>현도면</t>
        </is>
      </c>
      <c r="G8984" s="3" t="inlineStr">
        <is>
          <t>죽암리</t>
        </is>
      </c>
      <c r="H8984" s="3" t="inlineStr">
        <is>
          <t>생산관리지역</t>
        </is>
      </c>
      <c r="I8984" s="3" t="inlineStr">
        <is>
          <t>전</t>
        </is>
      </c>
      <c r="J8984" s="3" t="inlineStr">
        <is>
          <t>현도면</t>
        </is>
      </c>
    </row>
    <row r="8985">
      <c r="A8985" s="3" t="n">
        <v>2026</v>
      </c>
      <c r="B8985" s="4" t="n">
        <v>23590</v>
      </c>
      <c r="C8985" s="4" t="n">
        <v>498</v>
      </c>
      <c r="D8985" s="4" t="n">
        <v>150.645</v>
      </c>
      <c r="E8985" s="5" t="n">
        <v>156.6</v>
      </c>
      <c r="F8985" s="3" t="inlineStr">
        <is>
          <t>남이면</t>
        </is>
      </c>
      <c r="G8985" s="3" t="inlineStr">
        <is>
          <t>석판리</t>
        </is>
      </c>
      <c r="H8985" s="3" t="inlineStr">
        <is>
          <t>자연녹지지역</t>
        </is>
      </c>
      <c r="I8985" s="3" t="inlineStr">
        <is>
          <t>임야</t>
        </is>
      </c>
      <c r="J8985" s="3" t="inlineStr">
        <is>
          <t>남이면</t>
        </is>
      </c>
    </row>
    <row r="8986">
      <c r="A8986" s="3" t="n">
        <v>2026</v>
      </c>
      <c r="B8986" s="4" t="n">
        <v>9900</v>
      </c>
      <c r="C8986" s="4" t="n">
        <v>353</v>
      </c>
      <c r="D8986" s="4" t="n">
        <v>106.7825</v>
      </c>
      <c r="E8986" s="5" t="n">
        <v>92.7</v>
      </c>
      <c r="F8986" s="3" t="inlineStr">
        <is>
          <t>강내면</t>
        </is>
      </c>
      <c r="G8986" s="3" t="inlineStr">
        <is>
          <t>태성리</t>
        </is>
      </c>
      <c r="H8986" s="3" t="inlineStr">
        <is>
          <t>계획관리지역</t>
        </is>
      </c>
      <c r="I8986" s="3" t="inlineStr">
        <is>
          <t>임야</t>
        </is>
      </c>
      <c r="J8986" s="3" t="inlineStr">
        <is>
          <t>강내면</t>
        </is>
      </c>
    </row>
    <row r="8987">
      <c r="A8987" s="3" t="n">
        <v>2026</v>
      </c>
      <c r="B8987" s="4" t="n">
        <v>2000</v>
      </c>
      <c r="C8987" s="4" t="n">
        <v>201</v>
      </c>
      <c r="D8987" s="4" t="n">
        <v>60.80249999999999</v>
      </c>
      <c r="E8987" s="5" t="n">
        <v>32.9</v>
      </c>
      <c r="F8987" s="3" t="inlineStr">
        <is>
          <t>오송읍</t>
        </is>
      </c>
      <c r="G8987" s="3" t="inlineStr">
        <is>
          <t>서평리</t>
        </is>
      </c>
      <c r="H8987" s="3" t="inlineStr">
        <is>
          <t>농림지역</t>
        </is>
      </c>
      <c r="I8987" s="3" t="inlineStr">
        <is>
          <t>전</t>
        </is>
      </c>
      <c r="J8987" s="3" t="inlineStr">
        <is>
          <t>오송읍</t>
        </is>
      </c>
    </row>
    <row r="8988">
      <c r="A8988" s="3" t="n">
        <v>2026</v>
      </c>
      <c r="B8988" s="4" t="n">
        <v>646012</v>
      </c>
      <c r="C8988" s="4" t="n">
        <v>17499</v>
      </c>
      <c r="D8988" s="4" t="n">
        <v>5293.4475</v>
      </c>
      <c r="E8988" s="5" t="n">
        <v>122</v>
      </c>
      <c r="F8988" s="3" t="inlineStr">
        <is>
          <t>오송읍</t>
        </is>
      </c>
      <c r="G8988" s="3" t="inlineStr">
        <is>
          <t>정중리</t>
        </is>
      </c>
      <c r="H8988" s="3" t="inlineStr">
        <is>
          <t>일반공업지역</t>
        </is>
      </c>
      <c r="I8988" s="3" t="inlineStr">
        <is>
          <t>공장용지</t>
        </is>
      </c>
      <c r="J8988" s="3" t="inlineStr">
        <is>
          <t>오송읍</t>
        </is>
      </c>
    </row>
    <row r="8989">
      <c r="A8989" s="3" t="n">
        <v>2026</v>
      </c>
      <c r="B8989" s="4" t="n">
        <v>32000</v>
      </c>
      <c r="C8989" s="4" t="n">
        <v>267.7</v>
      </c>
      <c r="D8989" s="4" t="n">
        <v>80.97924999999999</v>
      </c>
      <c r="E8989" s="5" t="n">
        <v>395.2</v>
      </c>
      <c r="F8989" s="3" t="inlineStr">
        <is>
          <t>오송읍</t>
        </is>
      </c>
      <c r="G8989" s="3" t="inlineStr">
        <is>
          <t>봉산리</t>
        </is>
      </c>
      <c r="H8989" s="3" t="inlineStr">
        <is>
          <t>제1종일반주거지역</t>
        </is>
      </c>
      <c r="I8989" s="3" t="inlineStr">
        <is>
          <t>대</t>
        </is>
      </c>
      <c r="J8989" s="3" t="inlineStr">
        <is>
          <t>오송읍</t>
        </is>
      </c>
    </row>
    <row r="8990">
      <c r="A8990" s="3" t="n">
        <v>2026</v>
      </c>
      <c r="B8990" s="4" t="n">
        <v>117000</v>
      </c>
      <c r="C8990" s="4" t="n">
        <v>2407</v>
      </c>
      <c r="D8990" s="4" t="n">
        <v>728.1174999999999</v>
      </c>
      <c r="E8990" s="5" t="n">
        <v>160.7</v>
      </c>
      <c r="F8990" s="3" t="inlineStr">
        <is>
          <t>강내면</t>
        </is>
      </c>
      <c r="G8990" s="3" t="inlineStr">
        <is>
          <t>월곡리</t>
        </is>
      </c>
      <c r="H8990" s="3" t="inlineStr">
        <is>
          <t>자연녹지지역</t>
        </is>
      </c>
      <c r="I8990" s="3" t="inlineStr">
        <is>
          <t>전</t>
        </is>
      </c>
      <c r="J8990" s="3" t="inlineStr">
        <is>
          <t>강내면</t>
        </is>
      </c>
    </row>
    <row r="8991">
      <c r="A8991" s="3" t="n">
        <v>2026</v>
      </c>
      <c r="B8991" s="4" t="n">
        <v>4000</v>
      </c>
      <c r="C8991" s="4" t="n">
        <v>119</v>
      </c>
      <c r="D8991" s="4" t="n">
        <v>35.9975</v>
      </c>
      <c r="E8991" s="5" t="n">
        <v>111.1</v>
      </c>
      <c r="F8991" s="3" t="inlineStr">
        <is>
          <t>강내면</t>
        </is>
      </c>
      <c r="G8991" s="3" t="inlineStr">
        <is>
          <t>학천리</t>
        </is>
      </c>
      <c r="H8991" s="3" t="inlineStr">
        <is>
          <t>자연녹지지역</t>
        </is>
      </c>
      <c r="I8991" s="3" t="inlineStr">
        <is>
          <t>임야</t>
        </is>
      </c>
      <c r="J8991" s="3" t="inlineStr">
        <is>
          <t>강내면</t>
        </is>
      </c>
    </row>
    <row r="8992">
      <c r="A8992" s="3" t="n">
        <v>2026</v>
      </c>
      <c r="B8992" s="4" t="n">
        <v>200000</v>
      </c>
      <c r="C8992" s="4" t="n">
        <v>558.8</v>
      </c>
      <c r="D8992" s="4" t="n">
        <v>169.037</v>
      </c>
      <c r="E8992" s="5" t="n">
        <v>1183.2</v>
      </c>
      <c r="F8992" s="3" t="inlineStr">
        <is>
          <t>오송읍</t>
        </is>
      </c>
      <c r="G8992" s="3" t="inlineStr">
        <is>
          <t>정중리</t>
        </is>
      </c>
      <c r="H8992" s="3" t="inlineStr">
        <is>
          <t>준공업지역</t>
        </is>
      </c>
      <c r="I8992" s="3" t="inlineStr">
        <is>
          <t>대</t>
        </is>
      </c>
      <c r="J8992" s="3" t="inlineStr">
        <is>
          <t>오송읍</t>
        </is>
      </c>
    </row>
    <row r="8993">
      <c r="A8993" s="3" t="n">
        <v>2026</v>
      </c>
      <c r="B8993" s="4" t="n">
        <v>33000</v>
      </c>
      <c r="C8993" s="4" t="n">
        <v>266.7</v>
      </c>
      <c r="D8993" s="4" t="n">
        <v>80.67675</v>
      </c>
      <c r="E8993" s="5" t="n">
        <v>409</v>
      </c>
      <c r="F8993" s="3" t="inlineStr">
        <is>
          <t>오송읍</t>
        </is>
      </c>
      <c r="G8993" s="3" t="inlineStr">
        <is>
          <t>봉산리</t>
        </is>
      </c>
      <c r="H8993" s="3" t="inlineStr">
        <is>
          <t>제1종일반주거지역</t>
        </is>
      </c>
      <c r="I8993" s="3" t="inlineStr">
        <is>
          <t>대</t>
        </is>
      </c>
      <c r="J8993" s="3" t="inlineStr">
        <is>
          <t>오송읍</t>
        </is>
      </c>
    </row>
    <row r="8994">
      <c r="A8994" s="3" t="n">
        <v>2026</v>
      </c>
      <c r="B8994" s="4" t="n">
        <v>28000</v>
      </c>
      <c r="C8994" s="4" t="n">
        <v>276.3</v>
      </c>
      <c r="D8994" s="4" t="n">
        <v>83.58074999999999</v>
      </c>
      <c r="E8994" s="5" t="n">
        <v>335</v>
      </c>
      <c r="F8994" s="3" t="inlineStr">
        <is>
          <t>오송읍</t>
        </is>
      </c>
      <c r="G8994" s="3" t="inlineStr">
        <is>
          <t>봉산리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오송읍</t>
        </is>
      </c>
    </row>
    <row r="8995">
      <c r="A8995" s="3" t="n">
        <v>2026</v>
      </c>
      <c r="B8995" s="4" t="n">
        <v>45000</v>
      </c>
      <c r="C8995" s="4" t="n">
        <v>2003</v>
      </c>
      <c r="D8995" s="4" t="n">
        <v>605.9075</v>
      </c>
      <c r="E8995" s="5" t="n">
        <v>74.3</v>
      </c>
      <c r="F8995" s="3" t="inlineStr">
        <is>
          <t>오송읍</t>
        </is>
      </c>
      <c r="G8995" s="3" t="inlineStr">
        <is>
          <t>궁평리</t>
        </is>
      </c>
      <c r="H8995" s="3" t="inlineStr">
        <is>
          <t>농림지역</t>
        </is>
      </c>
      <c r="I8995" s="3" t="inlineStr">
        <is>
          <t>답</t>
        </is>
      </c>
      <c r="J8995" s="3" t="inlineStr">
        <is>
          <t>오송읍</t>
        </is>
      </c>
    </row>
    <row r="8996">
      <c r="A8996" s="3" t="n">
        <v>2026</v>
      </c>
      <c r="B8996" s="4" t="n">
        <v>45000</v>
      </c>
      <c r="C8996" s="4" t="n">
        <v>2004</v>
      </c>
      <c r="D8996" s="4" t="n">
        <v>606.21</v>
      </c>
      <c r="E8996" s="5" t="n">
        <v>74.2</v>
      </c>
      <c r="F8996" s="3" t="inlineStr">
        <is>
          <t>오송읍</t>
        </is>
      </c>
      <c r="G8996" s="3" t="inlineStr">
        <is>
          <t>궁평리</t>
        </is>
      </c>
      <c r="H8996" s="3" t="inlineStr">
        <is>
          <t>농림지역</t>
        </is>
      </c>
      <c r="I8996" s="3" t="inlineStr">
        <is>
          <t>답</t>
        </is>
      </c>
      <c r="J8996" s="3" t="inlineStr">
        <is>
          <t>오송읍</t>
        </is>
      </c>
    </row>
    <row r="8997">
      <c r="A8997" s="3" t="n">
        <v>2025</v>
      </c>
      <c r="B8997" s="4" t="n">
        <v>1400</v>
      </c>
      <c r="C8997" s="4" t="n">
        <v>451</v>
      </c>
      <c r="D8997" s="4" t="n">
        <v>136.4275</v>
      </c>
      <c r="E8997" s="5" t="n">
        <v>10.3</v>
      </c>
      <c r="F8997" s="3" t="inlineStr">
        <is>
          <t>현도면</t>
        </is>
      </c>
      <c r="G8997" s="3" t="inlineStr">
        <is>
          <t>죽암리</t>
        </is>
      </c>
      <c r="H8997" s="3" t="inlineStr">
        <is>
          <t>계획관리지역</t>
        </is>
      </c>
      <c r="I8997" s="3" t="inlineStr">
        <is>
          <t>임야</t>
        </is>
      </c>
      <c r="J8997" s="3" t="inlineStr">
        <is>
          <t>현도면</t>
        </is>
      </c>
    </row>
    <row r="8998">
      <c r="A8998" s="3" t="n">
        <v>2024</v>
      </c>
      <c r="B8998" s="4" t="n">
        <v>69000</v>
      </c>
      <c r="C8998" s="4" t="n">
        <v>2281</v>
      </c>
      <c r="D8998" s="4" t="n">
        <v>690.0024999999999</v>
      </c>
      <c r="E8998" s="5" t="n">
        <v>100</v>
      </c>
      <c r="F8998" s="3" t="inlineStr">
        <is>
          <t>강내면</t>
        </is>
      </c>
      <c r="G8998" s="3" t="inlineStr">
        <is>
          <t>학천리</t>
        </is>
      </c>
      <c r="H8998" s="3" t="inlineStr">
        <is>
          <t>자연녹지지역</t>
        </is>
      </c>
      <c r="I8998" s="3" t="inlineStr">
        <is>
          <t>임야</t>
        </is>
      </c>
      <c r="J8998" s="3" t="inlineStr">
        <is>
          <t>강내면</t>
        </is>
      </c>
    </row>
    <row r="8999">
      <c r="A8999" s="3" t="n">
        <v>2024</v>
      </c>
      <c r="B8999" s="4" t="n">
        <v>69000</v>
      </c>
      <c r="C8999" s="4" t="n">
        <v>2281</v>
      </c>
      <c r="D8999" s="4" t="n">
        <v>690.0024999999999</v>
      </c>
      <c r="E8999" s="5" t="n">
        <v>100</v>
      </c>
      <c r="F8999" s="3" t="inlineStr">
        <is>
          <t>강내면</t>
        </is>
      </c>
      <c r="G8999" s="3" t="inlineStr">
        <is>
          <t>학천리</t>
        </is>
      </c>
      <c r="H8999" s="3" t="inlineStr">
        <is>
          <t>보전녹지지역</t>
        </is>
      </c>
      <c r="I8999" s="3" t="inlineStr">
        <is>
          <t>임야</t>
        </is>
      </c>
      <c r="J8999" s="3" t="inlineStr">
        <is>
          <t>강내면</t>
        </is>
      </c>
    </row>
    <row r="9000">
      <c r="A9000" s="3" t="n">
        <v>2024</v>
      </c>
      <c r="B9000" s="4" t="n">
        <v>40000</v>
      </c>
      <c r="C9000" s="4" t="n">
        <v>2030</v>
      </c>
      <c r="D9000" s="4" t="n">
        <v>614.0749999999999</v>
      </c>
      <c r="E9000" s="5" t="n">
        <v>65.09999999999999</v>
      </c>
      <c r="F9000" s="3" t="inlineStr">
        <is>
          <t>오송읍</t>
        </is>
      </c>
      <c r="G9000" s="3" t="inlineStr">
        <is>
          <t>동평리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오송읍</t>
        </is>
      </c>
    </row>
    <row r="9001">
      <c r="A9001" s="3" t="n">
        <v>2024</v>
      </c>
      <c r="B9001" s="4" t="n">
        <v>41000</v>
      </c>
      <c r="C9001" s="4" t="n">
        <v>2073</v>
      </c>
      <c r="D9001" s="4" t="n">
        <v>627.0825</v>
      </c>
      <c r="E9001" s="5" t="n">
        <v>65.40000000000001</v>
      </c>
      <c r="F9001" s="3" t="inlineStr">
        <is>
          <t>오송읍</t>
        </is>
      </c>
      <c r="G9001" s="3" t="inlineStr">
        <is>
          <t>동평리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오송읍</t>
        </is>
      </c>
    </row>
    <row r="9002">
      <c r="A9002" s="3" t="n">
        <v>2024</v>
      </c>
      <c r="B9002" s="4" t="n">
        <v>2239</v>
      </c>
      <c r="C9002" s="4" t="n">
        <v>202</v>
      </c>
      <c r="D9002" s="4" t="n">
        <v>61.105</v>
      </c>
      <c r="E9002" s="5" t="n">
        <v>36.6</v>
      </c>
      <c r="F9002" s="3" t="inlineStr">
        <is>
          <t>강내면</t>
        </is>
      </c>
      <c r="G9002" s="3" t="inlineStr">
        <is>
          <t>학천리</t>
        </is>
      </c>
      <c r="H9002" s="3" t="inlineStr">
        <is>
          <t>생산녹지지역</t>
        </is>
      </c>
      <c r="I9002" s="3" t="inlineStr">
        <is>
          <t>도로</t>
        </is>
      </c>
      <c r="J9002" s="3" t="inlineStr">
        <is>
          <t>강내면</t>
        </is>
      </c>
    </row>
    <row r="9003">
      <c r="A9003" s="3" t="n">
        <v>2024</v>
      </c>
      <c r="B9003" s="4" t="n">
        <v>11250</v>
      </c>
      <c r="C9003" s="4" t="n">
        <v>1015</v>
      </c>
      <c r="D9003" s="4" t="n">
        <v>307.0375</v>
      </c>
      <c r="E9003" s="5" t="n">
        <v>36.6</v>
      </c>
      <c r="F9003" s="3" t="inlineStr">
        <is>
          <t>강내면</t>
        </is>
      </c>
      <c r="G9003" s="3" t="inlineStr">
        <is>
          <t>학천리</t>
        </is>
      </c>
      <c r="H9003" s="3" t="inlineStr">
        <is>
          <t>생산녹지지역</t>
        </is>
      </c>
      <c r="I9003" s="3" t="inlineStr">
        <is>
          <t>답</t>
        </is>
      </c>
      <c r="J9003" s="3" t="inlineStr">
        <is>
          <t>강내면</t>
        </is>
      </c>
    </row>
    <row r="9004">
      <c r="A9004" s="3" t="n">
        <v>2024</v>
      </c>
      <c r="B9004" s="4" t="n">
        <v>7215</v>
      </c>
      <c r="C9004" s="4" t="n">
        <v>651</v>
      </c>
      <c r="D9004" s="4" t="n">
        <v>196.9275</v>
      </c>
      <c r="E9004" s="5" t="n">
        <v>36.6</v>
      </c>
      <c r="F9004" s="3" t="inlineStr">
        <is>
          <t>강내면</t>
        </is>
      </c>
      <c r="G9004" s="3" t="inlineStr">
        <is>
          <t>학천리</t>
        </is>
      </c>
      <c r="H9004" s="3" t="inlineStr">
        <is>
          <t>생산녹지지역</t>
        </is>
      </c>
      <c r="I9004" s="3" t="inlineStr">
        <is>
          <t>전</t>
        </is>
      </c>
      <c r="J9004" s="3" t="inlineStr">
        <is>
          <t>강내면</t>
        </is>
      </c>
    </row>
    <row r="9005">
      <c r="A9005" s="3" t="n">
        <v>2024</v>
      </c>
      <c r="B9005" s="4" t="n">
        <v>8407</v>
      </c>
      <c r="C9005" s="4" t="n">
        <v>800</v>
      </c>
      <c r="D9005" s="4" t="n">
        <v>242</v>
      </c>
      <c r="E9005" s="5" t="n">
        <v>34.7</v>
      </c>
      <c r="F9005" s="3" t="inlineStr">
        <is>
          <t>강내면</t>
        </is>
      </c>
      <c r="G9005" s="3" t="inlineStr">
        <is>
          <t>학천리</t>
        </is>
      </c>
      <c r="H9005" s="3" t="inlineStr">
        <is>
          <t>생산녹지지역</t>
        </is>
      </c>
      <c r="I9005" s="3" t="inlineStr">
        <is>
          <t>답</t>
        </is>
      </c>
      <c r="J9005" s="3" t="inlineStr">
        <is>
          <t>강내면</t>
        </is>
      </c>
    </row>
    <row r="9006">
      <c r="A9006" s="3" t="n">
        <v>2024</v>
      </c>
      <c r="B9006" s="4" t="n">
        <v>4067</v>
      </c>
      <c r="C9006" s="4" t="n">
        <v>387</v>
      </c>
      <c r="D9006" s="4" t="n">
        <v>117.0675</v>
      </c>
      <c r="E9006" s="5" t="n">
        <v>34.7</v>
      </c>
      <c r="F9006" s="3" t="inlineStr">
        <is>
          <t>강내면</t>
        </is>
      </c>
      <c r="G9006" s="3" t="inlineStr">
        <is>
          <t>학천리</t>
        </is>
      </c>
      <c r="H9006" s="3" t="inlineStr">
        <is>
          <t>생산녹지지역</t>
        </is>
      </c>
      <c r="I9006" s="3" t="inlineStr">
        <is>
          <t>답</t>
        </is>
      </c>
      <c r="J9006" s="3" t="inlineStr">
        <is>
          <t>강내면</t>
        </is>
      </c>
    </row>
    <row r="9007">
      <c r="A9007" s="3" t="n">
        <v>2024</v>
      </c>
      <c r="B9007" s="4" t="n">
        <v>725</v>
      </c>
      <c r="C9007" s="4" t="n">
        <v>69</v>
      </c>
      <c r="D9007" s="4" t="n">
        <v>20.8725</v>
      </c>
      <c r="E9007" s="5" t="n">
        <v>34.7</v>
      </c>
      <c r="F9007" s="3" t="inlineStr">
        <is>
          <t>강내면</t>
        </is>
      </c>
      <c r="G9007" s="3" t="inlineStr">
        <is>
          <t>학천리</t>
        </is>
      </c>
      <c r="H9007" s="3" t="inlineStr">
        <is>
          <t>생산녹지지역</t>
        </is>
      </c>
      <c r="I9007" s="3" t="inlineStr">
        <is>
          <t>전</t>
        </is>
      </c>
      <c r="J9007" s="3" t="inlineStr">
        <is>
          <t>강내면</t>
        </is>
      </c>
    </row>
    <row r="9008">
      <c r="A9008" s="3" t="n">
        <v>2024</v>
      </c>
      <c r="B9008" s="4" t="n">
        <v>5938</v>
      </c>
      <c r="C9008" s="4" t="n">
        <v>565</v>
      </c>
      <c r="D9008" s="4" t="n">
        <v>170.9125</v>
      </c>
      <c r="E9008" s="5" t="n">
        <v>34.7</v>
      </c>
      <c r="F9008" s="3" t="inlineStr">
        <is>
          <t>강내면</t>
        </is>
      </c>
      <c r="G9008" s="3" t="inlineStr">
        <is>
          <t>학천리</t>
        </is>
      </c>
      <c r="H9008" s="3" t="inlineStr">
        <is>
          <t>생산녹지지역</t>
        </is>
      </c>
      <c r="I9008" s="3" t="inlineStr">
        <is>
          <t>전</t>
        </is>
      </c>
      <c r="J9008" s="3" t="inlineStr">
        <is>
          <t>강내면</t>
        </is>
      </c>
    </row>
    <row r="9009">
      <c r="A9009" s="3" t="n">
        <v>2024</v>
      </c>
      <c r="B9009" s="4" t="n">
        <v>15827</v>
      </c>
      <c r="C9009" s="4" t="n">
        <v>436</v>
      </c>
      <c r="D9009" s="4" t="n">
        <v>131.89</v>
      </c>
      <c r="E9009" s="5" t="n">
        <v>120</v>
      </c>
      <c r="F9009" s="3" t="inlineStr">
        <is>
          <t>강내면</t>
        </is>
      </c>
      <c r="G9009" s="3" t="inlineStr">
        <is>
          <t>다락리</t>
        </is>
      </c>
      <c r="H9009" s="3" t="inlineStr">
        <is>
          <t>계획관리지역</t>
        </is>
      </c>
      <c r="I9009" s="3" t="inlineStr">
        <is>
          <t>대</t>
        </is>
      </c>
      <c r="J9009" s="3" t="inlineStr">
        <is>
          <t>강내면</t>
        </is>
      </c>
    </row>
    <row r="9010">
      <c r="A9010" s="3" t="n">
        <v>2025</v>
      </c>
      <c r="B9010" s="4" t="n">
        <v>6000</v>
      </c>
      <c r="C9010" s="4" t="n">
        <v>1557</v>
      </c>
      <c r="D9010" s="4" t="n">
        <v>470.9925</v>
      </c>
      <c r="E9010" s="5" t="n">
        <v>12.7</v>
      </c>
      <c r="F9010" s="3" t="inlineStr">
        <is>
          <t>남이면</t>
        </is>
      </c>
      <c r="G9010" s="3" t="inlineStr">
        <is>
          <t>사동리</t>
        </is>
      </c>
      <c r="H9010" s="3" t="inlineStr">
        <is>
          <t>농림지역</t>
        </is>
      </c>
      <c r="I9010" s="3" t="inlineStr">
        <is>
          <t>답</t>
        </is>
      </c>
      <c r="J9010" s="3" t="inlineStr">
        <is>
          <t>남이면</t>
        </is>
      </c>
    </row>
    <row r="9011">
      <c r="A9011" s="3" t="n">
        <v>2025</v>
      </c>
      <c r="B9011" s="4" t="n">
        <v>48800</v>
      </c>
      <c r="C9011" s="4" t="n">
        <v>1565</v>
      </c>
      <c r="D9011" s="4" t="n">
        <v>473.4125</v>
      </c>
      <c r="E9011" s="5" t="n">
        <v>103.1</v>
      </c>
      <c r="F9011" s="3" t="inlineStr">
        <is>
          <t>남이면</t>
        </is>
      </c>
      <c r="G9011" s="3" t="inlineStr">
        <is>
          <t>대련리</t>
        </is>
      </c>
      <c r="H9011" s="3" t="inlineStr">
        <is>
          <t>자연녹지지역</t>
        </is>
      </c>
      <c r="I9011" s="3" t="inlineStr">
        <is>
          <t>답</t>
        </is>
      </c>
      <c r="J9011" s="3" t="inlineStr">
        <is>
          <t>남이면</t>
        </is>
      </c>
    </row>
    <row r="9012">
      <c r="A9012" s="3" t="n">
        <v>2022</v>
      </c>
      <c r="B9012" s="4" t="n">
        <v>25560</v>
      </c>
      <c r="C9012" s="4" t="n">
        <v>995</v>
      </c>
      <c r="D9012" s="4" t="n">
        <v>300.9875</v>
      </c>
      <c r="E9012" s="5" t="n">
        <v>84.90000000000001</v>
      </c>
      <c r="F9012" s="3" t="inlineStr">
        <is>
          <t>남이면</t>
        </is>
      </c>
      <c r="G9012" s="3" t="inlineStr">
        <is>
          <t>외천리</t>
        </is>
      </c>
      <c r="H9012" s="3" t="inlineStr">
        <is>
          <t>생산관리지역</t>
        </is>
      </c>
      <c r="I9012" s="3" t="inlineStr">
        <is>
          <t>답</t>
        </is>
      </c>
      <c r="J9012" s="3" t="inlineStr">
        <is>
          <t>남이면</t>
        </is>
      </c>
    </row>
    <row r="9013">
      <c r="A9013" s="3" t="n">
        <v>2022</v>
      </c>
      <c r="B9013" s="4" t="n">
        <v>5200</v>
      </c>
      <c r="C9013" s="4" t="n">
        <v>203</v>
      </c>
      <c r="D9013" s="4" t="n">
        <v>61.4075</v>
      </c>
      <c r="E9013" s="5" t="n">
        <v>84.7</v>
      </c>
      <c r="F9013" s="3" t="inlineStr">
        <is>
          <t>남이면</t>
        </is>
      </c>
      <c r="G9013" s="3" t="inlineStr">
        <is>
          <t>외천리</t>
        </is>
      </c>
      <c r="H9013" s="3" t="inlineStr">
        <is>
          <t>생산관리지역</t>
        </is>
      </c>
      <c r="I9013" s="3" t="inlineStr">
        <is>
          <t>답</t>
        </is>
      </c>
      <c r="J9013" s="3" t="inlineStr">
        <is>
          <t>남이면</t>
        </is>
      </c>
    </row>
    <row r="9014">
      <c r="A9014" s="3" t="n">
        <v>2022</v>
      </c>
      <c r="B9014" s="4" t="n">
        <v>110</v>
      </c>
      <c r="C9014" s="4" t="n">
        <v>4</v>
      </c>
      <c r="D9014" s="4" t="n">
        <v>1.21</v>
      </c>
      <c r="E9014" s="5" t="n">
        <v>90.90000000000001</v>
      </c>
      <c r="F9014" s="3" t="inlineStr">
        <is>
          <t>남이면</t>
        </is>
      </c>
      <c r="G9014" s="3" t="inlineStr">
        <is>
          <t>외천리</t>
        </is>
      </c>
      <c r="H9014" s="3" t="inlineStr">
        <is>
          <t>생산관리지역</t>
        </is>
      </c>
      <c r="I9014" s="3" t="inlineStr">
        <is>
          <t>답</t>
        </is>
      </c>
      <c r="J9014" s="3" t="inlineStr">
        <is>
          <t>남이면</t>
        </is>
      </c>
    </row>
    <row r="9015">
      <c r="A9015" s="3" t="n">
        <v>2022</v>
      </c>
      <c r="B9015" s="4" t="n">
        <v>33530</v>
      </c>
      <c r="C9015" s="4" t="n">
        <v>1305</v>
      </c>
      <c r="D9015" s="4" t="n">
        <v>394.7625</v>
      </c>
      <c r="E9015" s="5" t="n">
        <v>84.90000000000001</v>
      </c>
      <c r="F9015" s="3" t="inlineStr">
        <is>
          <t>남이면</t>
        </is>
      </c>
      <c r="G9015" s="3" t="inlineStr">
        <is>
          <t>외천리</t>
        </is>
      </c>
      <c r="H9015" s="3" t="inlineStr">
        <is>
          <t>생산관리지역</t>
        </is>
      </c>
      <c r="I9015" s="3" t="inlineStr">
        <is>
          <t>답</t>
        </is>
      </c>
      <c r="J9015" s="3" t="inlineStr">
        <is>
          <t>남이면</t>
        </is>
      </c>
    </row>
    <row r="9016">
      <c r="A9016" s="3" t="n">
        <v>2022</v>
      </c>
      <c r="B9016" s="4" t="n">
        <v>3720</v>
      </c>
      <c r="C9016" s="4" t="n">
        <v>80</v>
      </c>
      <c r="D9016" s="4" t="n">
        <v>24.2</v>
      </c>
      <c r="E9016" s="5" t="n">
        <v>153.7</v>
      </c>
      <c r="F9016" s="3" t="inlineStr">
        <is>
          <t>남이면</t>
        </is>
      </c>
      <c r="G9016" s="3" t="inlineStr">
        <is>
          <t>석실리</t>
        </is>
      </c>
      <c r="H9016" s="3" t="inlineStr">
        <is>
          <t>자연녹지지역</t>
        </is>
      </c>
      <c r="I9016" s="3" t="inlineStr">
        <is>
          <t>공장용지</t>
        </is>
      </c>
      <c r="J9016" s="3" t="inlineStr">
        <is>
          <t>남이면</t>
        </is>
      </c>
    </row>
    <row r="9017">
      <c r="A9017" s="3" t="n">
        <v>2022</v>
      </c>
      <c r="B9017" s="4" t="n">
        <v>8243</v>
      </c>
      <c r="C9017" s="4" t="n">
        <v>594</v>
      </c>
      <c r="D9017" s="4" t="n">
        <v>179.685</v>
      </c>
      <c r="E9017" s="5" t="n">
        <v>45.9</v>
      </c>
      <c r="F9017" s="3" t="inlineStr">
        <is>
          <t>남이면</t>
        </is>
      </c>
      <c r="G9017" s="3" t="inlineStr">
        <is>
          <t>석실리</t>
        </is>
      </c>
      <c r="H9017" s="3" t="inlineStr">
        <is>
          <t>자연녹지지역</t>
        </is>
      </c>
      <c r="I9017" s="3" t="inlineStr">
        <is>
          <t>답</t>
        </is>
      </c>
      <c r="J9017" s="3" t="inlineStr">
        <is>
          <t>남이면</t>
        </is>
      </c>
    </row>
    <row r="9018">
      <c r="A9018" s="3" t="n">
        <v>2022</v>
      </c>
      <c r="B9018" s="4" t="n">
        <v>39700</v>
      </c>
      <c r="C9018" s="4" t="n">
        <v>1544</v>
      </c>
      <c r="D9018" s="4" t="n">
        <v>467.06</v>
      </c>
      <c r="E9018" s="5" t="n">
        <v>85</v>
      </c>
      <c r="F9018" s="3" t="inlineStr">
        <is>
          <t>남이면</t>
        </is>
      </c>
      <c r="G9018" s="3" t="inlineStr">
        <is>
          <t>팔봉리</t>
        </is>
      </c>
      <c r="H9018" s="3" t="inlineStr">
        <is>
          <t>자연녹지지역</t>
        </is>
      </c>
      <c r="I9018" s="3" t="inlineStr">
        <is>
          <t>전</t>
        </is>
      </c>
      <c r="J9018" s="3" t="inlineStr">
        <is>
          <t>남이면</t>
        </is>
      </c>
    </row>
    <row r="9019">
      <c r="A9019" s="3" t="n">
        <v>2022</v>
      </c>
      <c r="B9019" s="4" t="n">
        <v>39700</v>
      </c>
      <c r="C9019" s="4" t="n">
        <v>1544</v>
      </c>
      <c r="D9019" s="4" t="n">
        <v>467.06</v>
      </c>
      <c r="E9019" s="5" t="n">
        <v>85</v>
      </c>
      <c r="F9019" s="3" t="inlineStr">
        <is>
          <t>남이면</t>
        </is>
      </c>
      <c r="G9019" s="3" t="inlineStr">
        <is>
          <t>팔봉리</t>
        </is>
      </c>
      <c r="H9019" s="3" t="inlineStr">
        <is>
          <t>자연녹지지역</t>
        </is>
      </c>
      <c r="I9019" s="3" t="inlineStr">
        <is>
          <t>전</t>
        </is>
      </c>
      <c r="J9019" s="3" t="inlineStr">
        <is>
          <t>남이면</t>
        </is>
      </c>
    </row>
    <row r="9020">
      <c r="A9020" s="3" t="n">
        <v>2022</v>
      </c>
      <c r="B9020" s="4" t="n">
        <v>9670</v>
      </c>
      <c r="C9020" s="4" t="n">
        <v>213</v>
      </c>
      <c r="D9020" s="4" t="n">
        <v>64.4325</v>
      </c>
      <c r="E9020" s="5" t="n">
        <v>150.1</v>
      </c>
      <c r="F9020" s="3" t="inlineStr">
        <is>
          <t>남이면</t>
        </is>
      </c>
      <c r="G9020" s="3" t="inlineStr">
        <is>
          <t>가마리</t>
        </is>
      </c>
      <c r="H9020" s="3" t="inlineStr">
        <is>
          <t>자연녹지지역</t>
        </is>
      </c>
      <c r="I9020" s="3" t="inlineStr">
        <is>
          <t>전</t>
        </is>
      </c>
      <c r="J9020" s="3" t="inlineStr">
        <is>
          <t>남이면</t>
        </is>
      </c>
    </row>
    <row r="9021">
      <c r="A9021" s="3" t="n">
        <v>2022</v>
      </c>
      <c r="B9021" s="4" t="n">
        <v>113200</v>
      </c>
      <c r="C9021" s="4" t="n">
        <v>2495</v>
      </c>
      <c r="D9021" s="4" t="n">
        <v>754.7375</v>
      </c>
      <c r="E9021" s="5" t="n">
        <v>150</v>
      </c>
      <c r="F9021" s="3" t="inlineStr">
        <is>
          <t>남이면</t>
        </is>
      </c>
      <c r="G9021" s="3" t="inlineStr">
        <is>
          <t>가마리</t>
        </is>
      </c>
      <c r="H9021" s="3" t="inlineStr">
        <is>
          <t>자연녹지지역</t>
        </is>
      </c>
      <c r="I9021" s="3" t="inlineStr">
        <is>
          <t>전</t>
        </is>
      </c>
      <c r="J9021" s="3" t="inlineStr">
        <is>
          <t>남이면</t>
        </is>
      </c>
    </row>
    <row r="9022">
      <c r="A9022" s="3" t="n">
        <v>2022</v>
      </c>
      <c r="B9022" s="4" t="n">
        <v>26800</v>
      </c>
      <c r="C9022" s="4" t="n">
        <v>2355</v>
      </c>
      <c r="D9022" s="4" t="n">
        <v>712.3874999999999</v>
      </c>
      <c r="E9022" s="5" t="n">
        <v>37.6</v>
      </c>
      <c r="F9022" s="3" t="inlineStr">
        <is>
          <t>현도면</t>
        </is>
      </c>
      <c r="G9022" s="3" t="inlineStr">
        <is>
          <t>중척리</t>
        </is>
      </c>
      <c r="H9022" s="3" t="inlineStr">
        <is>
          <t>개발제한구역</t>
        </is>
      </c>
      <c r="I9022" s="3" t="inlineStr">
        <is>
          <t>답</t>
        </is>
      </c>
      <c r="J9022" s="3" t="inlineStr">
        <is>
          <t>현도면</t>
        </is>
      </c>
    </row>
    <row r="9023">
      <c r="A9023" s="3" t="n">
        <v>2026</v>
      </c>
      <c r="B9023" s="4" t="n">
        <v>500</v>
      </c>
      <c r="C9023" s="4" t="n">
        <v>85</v>
      </c>
      <c r="D9023" s="4" t="n">
        <v>25.7125</v>
      </c>
      <c r="E9023" s="5" t="n">
        <v>19.4</v>
      </c>
      <c r="F9023" s="3" t="inlineStr">
        <is>
          <t>현도면</t>
        </is>
      </c>
      <c r="G9023" s="3" t="inlineStr">
        <is>
          <t>죽전리</t>
        </is>
      </c>
      <c r="H9023" s="3" t="inlineStr">
        <is>
          <t>계획관리지역</t>
        </is>
      </c>
      <c r="I9023" s="3" t="inlineStr">
        <is>
          <t>답</t>
        </is>
      </c>
      <c r="J9023" s="3" t="inlineStr">
        <is>
          <t>현도면</t>
        </is>
      </c>
    </row>
    <row r="9024">
      <c r="A9024" s="3" t="n">
        <v>2022</v>
      </c>
      <c r="B9024" s="4" t="n">
        <v>1030</v>
      </c>
      <c r="C9024" s="4" t="n">
        <v>99</v>
      </c>
      <c r="D9024" s="4" t="n">
        <v>29.9475</v>
      </c>
      <c r="E9024" s="5" t="n">
        <v>34.4</v>
      </c>
      <c r="F9024" s="3" t="inlineStr">
        <is>
          <t>강내면</t>
        </is>
      </c>
      <c r="G9024" s="3" t="inlineStr">
        <is>
          <t>학천리</t>
        </is>
      </c>
      <c r="H9024" s="3" t="inlineStr">
        <is>
          <t>생산녹지지역</t>
        </is>
      </c>
      <c r="I9024" s="3" t="inlineStr">
        <is>
          <t>철도용지</t>
        </is>
      </c>
      <c r="J9024" s="3" t="inlineStr">
        <is>
          <t>강내면</t>
        </is>
      </c>
    </row>
    <row r="9025">
      <c r="A9025" s="3" t="n">
        <v>2022</v>
      </c>
      <c r="B9025" s="4" t="n">
        <v>40662</v>
      </c>
      <c r="C9025" s="4" t="n">
        <v>572</v>
      </c>
      <c r="D9025" s="4" t="n">
        <v>173.03</v>
      </c>
      <c r="E9025" s="5" t="n">
        <v>235</v>
      </c>
      <c r="F9025" s="3" t="inlineStr">
        <is>
          <t>오송읍</t>
        </is>
      </c>
      <c r="G9025" s="3" t="inlineStr">
        <is>
          <t>정중리</t>
        </is>
      </c>
      <c r="H9025" s="3" t="inlineStr">
        <is>
          <t>용도미지정</t>
        </is>
      </c>
      <c r="I9025" s="3" t="inlineStr">
        <is>
          <t>대</t>
        </is>
      </c>
      <c r="J9025" s="3" t="inlineStr">
        <is>
          <t>오송읍</t>
        </is>
      </c>
    </row>
    <row r="9026">
      <c r="A9026" s="3" t="n">
        <v>2022</v>
      </c>
      <c r="B9026" s="4" t="n">
        <v>36810</v>
      </c>
      <c r="C9026" s="4" t="n">
        <v>566</v>
      </c>
      <c r="D9026" s="4" t="n">
        <v>171.215</v>
      </c>
      <c r="E9026" s="5" t="n">
        <v>215</v>
      </c>
      <c r="F9026" s="3" t="inlineStr">
        <is>
          <t>오송읍</t>
        </is>
      </c>
      <c r="G9026" s="3" t="inlineStr">
        <is>
          <t>정중리</t>
        </is>
      </c>
      <c r="H9026" s="3" t="inlineStr">
        <is>
          <t>용도미지정</t>
        </is>
      </c>
      <c r="I9026" s="3" t="inlineStr">
        <is>
          <t>대</t>
        </is>
      </c>
      <c r="J9026" s="3" t="inlineStr">
        <is>
          <t>오송읍</t>
        </is>
      </c>
    </row>
    <row r="9027">
      <c r="A9027" s="3" t="n">
        <v>2022</v>
      </c>
      <c r="B9027" s="4" t="n">
        <v>27620</v>
      </c>
      <c r="C9027" s="4" t="n">
        <v>397</v>
      </c>
      <c r="D9027" s="4" t="n">
        <v>120.0925</v>
      </c>
      <c r="E9027" s="5" t="n">
        <v>230</v>
      </c>
      <c r="F9027" s="3" t="inlineStr">
        <is>
          <t>오송읍</t>
        </is>
      </c>
      <c r="G9027" s="3" t="inlineStr">
        <is>
          <t>정중리</t>
        </is>
      </c>
      <c r="H9027" s="3" t="inlineStr">
        <is>
          <t>용도미지정</t>
        </is>
      </c>
      <c r="I9027" s="3" t="inlineStr">
        <is>
          <t>대</t>
        </is>
      </c>
      <c r="J9027" s="3" t="inlineStr">
        <is>
          <t>오송읍</t>
        </is>
      </c>
    </row>
    <row r="9028">
      <c r="A9028" s="3" t="n">
        <v>2022</v>
      </c>
      <c r="B9028" s="4" t="n">
        <v>24500</v>
      </c>
      <c r="C9028" s="4" t="n">
        <v>360</v>
      </c>
      <c r="D9028" s="4" t="n">
        <v>108.9</v>
      </c>
      <c r="E9028" s="5" t="n">
        <v>225</v>
      </c>
      <c r="F9028" s="3" t="inlineStr">
        <is>
          <t>오송읍</t>
        </is>
      </c>
      <c r="G9028" s="3" t="inlineStr">
        <is>
          <t>정중리</t>
        </is>
      </c>
      <c r="H9028" s="3" t="inlineStr">
        <is>
          <t>용도미지정</t>
        </is>
      </c>
      <c r="I9028" s="3" t="inlineStr">
        <is>
          <t>대</t>
        </is>
      </c>
      <c r="J9028" s="3" t="inlineStr">
        <is>
          <t>오송읍</t>
        </is>
      </c>
    </row>
    <row r="9029">
      <c r="A9029" s="3" t="n">
        <v>2022</v>
      </c>
      <c r="B9029" s="4" t="n">
        <v>42650</v>
      </c>
      <c r="C9029" s="4" t="n">
        <v>600</v>
      </c>
      <c r="D9029" s="4" t="n">
        <v>181.5</v>
      </c>
      <c r="E9029" s="5" t="n">
        <v>235</v>
      </c>
      <c r="F9029" s="3" t="inlineStr">
        <is>
          <t>오송읍</t>
        </is>
      </c>
      <c r="G9029" s="3" t="inlineStr">
        <is>
          <t>정중리</t>
        </is>
      </c>
      <c r="H9029" s="3" t="inlineStr">
        <is>
          <t>용도미지정</t>
        </is>
      </c>
      <c r="I9029" s="3" t="inlineStr">
        <is>
          <t>대</t>
        </is>
      </c>
      <c r="J9029" s="3" t="inlineStr">
        <is>
          <t>오송읍</t>
        </is>
      </c>
    </row>
    <row r="9030">
      <c r="A9030" s="3" t="n">
        <v>2022</v>
      </c>
      <c r="B9030" s="4" t="n">
        <v>24500</v>
      </c>
      <c r="C9030" s="4" t="n">
        <v>360</v>
      </c>
      <c r="D9030" s="4" t="n">
        <v>108.9</v>
      </c>
      <c r="E9030" s="5" t="n">
        <v>225</v>
      </c>
      <c r="F9030" s="3" t="inlineStr">
        <is>
          <t>오송읍</t>
        </is>
      </c>
      <c r="G9030" s="3" t="inlineStr">
        <is>
          <t>정중리</t>
        </is>
      </c>
      <c r="H9030" s="3" t="inlineStr">
        <is>
          <t>용도미지정</t>
        </is>
      </c>
      <c r="I9030" s="3" t="inlineStr">
        <is>
          <t>대</t>
        </is>
      </c>
      <c r="J9030" s="3" t="inlineStr">
        <is>
          <t>오송읍</t>
        </is>
      </c>
    </row>
    <row r="9031">
      <c r="A9031" s="3" t="n">
        <v>2022</v>
      </c>
      <c r="B9031" s="4" t="n">
        <v>33420</v>
      </c>
      <c r="C9031" s="4" t="n">
        <v>514</v>
      </c>
      <c r="D9031" s="4" t="n">
        <v>155.485</v>
      </c>
      <c r="E9031" s="5" t="n">
        <v>214.9</v>
      </c>
      <c r="F9031" s="3" t="inlineStr">
        <is>
          <t>오송읍</t>
        </is>
      </c>
      <c r="G9031" s="3" t="inlineStr">
        <is>
          <t>정중리</t>
        </is>
      </c>
      <c r="H9031" s="3" t="inlineStr">
        <is>
          <t>용도미지정</t>
        </is>
      </c>
      <c r="I9031" s="3" t="inlineStr">
        <is>
          <t>대</t>
        </is>
      </c>
      <c r="J9031" s="3" t="inlineStr">
        <is>
          <t>오송읍</t>
        </is>
      </c>
    </row>
    <row r="9032">
      <c r="A9032" s="3" t="n">
        <v>2022</v>
      </c>
      <c r="B9032" s="4" t="n">
        <v>37820</v>
      </c>
      <c r="C9032" s="4" t="n">
        <v>532</v>
      </c>
      <c r="D9032" s="4" t="n">
        <v>160.93</v>
      </c>
      <c r="E9032" s="5" t="n">
        <v>235</v>
      </c>
      <c r="F9032" s="3" t="inlineStr">
        <is>
          <t>오송읍</t>
        </is>
      </c>
      <c r="G9032" s="3" t="inlineStr">
        <is>
          <t>정중리</t>
        </is>
      </c>
      <c r="H9032" s="3" t="inlineStr">
        <is>
          <t>용도미지정</t>
        </is>
      </c>
      <c r="I9032" s="3" t="inlineStr">
        <is>
          <t>대</t>
        </is>
      </c>
      <c r="J9032" s="3" t="inlineStr">
        <is>
          <t>오송읍</t>
        </is>
      </c>
    </row>
    <row r="9033">
      <c r="A9033" s="3" t="n">
        <v>2022</v>
      </c>
      <c r="B9033" s="4" t="n">
        <v>33328</v>
      </c>
      <c r="C9033" s="4" t="n">
        <v>339</v>
      </c>
      <c r="D9033" s="4" t="n">
        <v>102.5475</v>
      </c>
      <c r="E9033" s="5" t="n">
        <v>325</v>
      </c>
      <c r="F9033" s="3" t="inlineStr">
        <is>
          <t>오송읍</t>
        </is>
      </c>
      <c r="G9033" s="3" t="inlineStr">
        <is>
          <t>정중리</t>
        </is>
      </c>
      <c r="H9033" s="3" t="inlineStr">
        <is>
          <t>용도미지정</t>
        </is>
      </c>
      <c r="I9033" s="3" t="inlineStr">
        <is>
          <t>대</t>
        </is>
      </c>
      <c r="J9033" s="3" t="inlineStr">
        <is>
          <t>오송읍</t>
        </is>
      </c>
    </row>
    <row r="9034">
      <c r="A9034" s="3" t="n">
        <v>2022</v>
      </c>
      <c r="B9034" s="4" t="n">
        <v>33544</v>
      </c>
      <c r="C9034" s="4" t="n">
        <v>331</v>
      </c>
      <c r="D9034" s="4" t="n">
        <v>100.1275</v>
      </c>
      <c r="E9034" s="5" t="n">
        <v>335</v>
      </c>
      <c r="F9034" s="3" t="inlineStr">
        <is>
          <t>오송읍</t>
        </is>
      </c>
      <c r="G9034" s="3" t="inlineStr">
        <is>
          <t>정중리</t>
        </is>
      </c>
      <c r="H9034" s="3" t="inlineStr">
        <is>
          <t>용도미지정</t>
        </is>
      </c>
      <c r="I9034" s="3" t="inlineStr">
        <is>
          <t>대</t>
        </is>
      </c>
      <c r="J9034" s="3" t="inlineStr">
        <is>
          <t>오송읍</t>
        </is>
      </c>
    </row>
    <row r="9035">
      <c r="A9035" s="3" t="n">
        <v>2022</v>
      </c>
      <c r="B9035" s="4" t="n">
        <v>32760</v>
      </c>
      <c r="C9035" s="4" t="n">
        <v>361</v>
      </c>
      <c r="D9035" s="4" t="n">
        <v>109.2025</v>
      </c>
      <c r="E9035" s="5" t="n">
        <v>300</v>
      </c>
      <c r="F9035" s="3" t="inlineStr">
        <is>
          <t>오송읍</t>
        </is>
      </c>
      <c r="G9035" s="3" t="inlineStr">
        <is>
          <t>정중리</t>
        </is>
      </c>
      <c r="H9035" s="3" t="inlineStr">
        <is>
          <t>용도미지정</t>
        </is>
      </c>
      <c r="I9035" s="3" t="inlineStr">
        <is>
          <t>대</t>
        </is>
      </c>
      <c r="J9035" s="3" t="inlineStr">
        <is>
          <t>오송읍</t>
        </is>
      </c>
    </row>
    <row r="9036">
      <c r="A9036" s="3" t="n">
        <v>2022</v>
      </c>
      <c r="B9036" s="4" t="n">
        <v>32620</v>
      </c>
      <c r="C9036" s="4" t="n">
        <v>459</v>
      </c>
      <c r="D9036" s="4" t="n">
        <v>138.8475</v>
      </c>
      <c r="E9036" s="5" t="n">
        <v>234.9</v>
      </c>
      <c r="F9036" s="3" t="inlineStr">
        <is>
          <t>오송읍</t>
        </is>
      </c>
      <c r="G9036" s="3" t="inlineStr">
        <is>
          <t>정중리</t>
        </is>
      </c>
      <c r="H9036" s="3" t="inlineStr">
        <is>
          <t>용도미지정</t>
        </is>
      </c>
      <c r="I9036" s="3" t="inlineStr">
        <is>
          <t>대</t>
        </is>
      </c>
      <c r="J9036" s="3" t="inlineStr">
        <is>
          <t>오송읍</t>
        </is>
      </c>
    </row>
    <row r="9037">
      <c r="A9037" s="3" t="n">
        <v>2022</v>
      </c>
      <c r="B9037" s="4" t="n">
        <v>35440</v>
      </c>
      <c r="C9037" s="4" t="n">
        <v>404</v>
      </c>
      <c r="D9037" s="4" t="n">
        <v>122.21</v>
      </c>
      <c r="E9037" s="5" t="n">
        <v>290</v>
      </c>
      <c r="F9037" s="3" t="inlineStr">
        <is>
          <t>오송읍</t>
        </is>
      </c>
      <c r="G9037" s="3" t="inlineStr">
        <is>
          <t>정중리</t>
        </is>
      </c>
      <c r="H9037" s="3" t="inlineStr">
        <is>
          <t>용도미지정</t>
        </is>
      </c>
      <c r="I9037" s="3" t="inlineStr">
        <is>
          <t>대</t>
        </is>
      </c>
      <c r="J9037" s="3" t="inlineStr">
        <is>
          <t>오송읍</t>
        </is>
      </c>
    </row>
    <row r="9038">
      <c r="A9038" s="3" t="n">
        <v>2022</v>
      </c>
      <c r="B9038" s="4" t="n">
        <v>35480</v>
      </c>
      <c r="C9038" s="4" t="n">
        <v>519</v>
      </c>
      <c r="D9038" s="4" t="n">
        <v>156.9975</v>
      </c>
      <c r="E9038" s="5" t="n">
        <v>226</v>
      </c>
      <c r="F9038" s="3" t="inlineStr">
        <is>
          <t>오송읍</t>
        </is>
      </c>
      <c r="G9038" s="3" t="inlineStr">
        <is>
          <t>정중리</t>
        </is>
      </c>
      <c r="H9038" s="3" t="inlineStr">
        <is>
          <t>용도미지정</t>
        </is>
      </c>
      <c r="I9038" s="3" t="inlineStr">
        <is>
          <t>대</t>
        </is>
      </c>
      <c r="J9038" s="3" t="inlineStr">
        <is>
          <t>오송읍</t>
        </is>
      </c>
    </row>
    <row r="9039">
      <c r="A9039" s="3" t="n">
        <v>2022</v>
      </c>
      <c r="B9039" s="4" t="n">
        <v>30870</v>
      </c>
      <c r="C9039" s="4" t="n">
        <v>324</v>
      </c>
      <c r="D9039" s="4" t="n">
        <v>98.00999999999999</v>
      </c>
      <c r="E9039" s="5" t="n">
        <v>315</v>
      </c>
      <c r="F9039" s="3" t="inlineStr">
        <is>
          <t>오송읍</t>
        </is>
      </c>
      <c r="G9039" s="3" t="inlineStr">
        <is>
          <t>정중리</t>
        </is>
      </c>
      <c r="H9039" s="3" t="inlineStr">
        <is>
          <t>용도미지정</t>
        </is>
      </c>
      <c r="I9039" s="3" t="inlineStr">
        <is>
          <t>대</t>
        </is>
      </c>
      <c r="J9039" s="3" t="inlineStr">
        <is>
          <t>오송읍</t>
        </is>
      </c>
    </row>
    <row r="9040">
      <c r="A9040" s="3" t="n">
        <v>2022</v>
      </c>
      <c r="B9040" s="4" t="n">
        <v>3300</v>
      </c>
      <c r="C9040" s="4" t="n">
        <v>360</v>
      </c>
      <c r="D9040" s="4" t="n">
        <v>108.9</v>
      </c>
      <c r="E9040" s="5" t="n">
        <v>30.3</v>
      </c>
      <c r="F9040" s="3" t="inlineStr">
        <is>
          <t>오송읍</t>
        </is>
      </c>
      <c r="G9040" s="3" t="inlineStr">
        <is>
          <t>상봉리</t>
        </is>
      </c>
      <c r="H9040" s="3" t="inlineStr">
        <is>
          <t>생산관리지역</t>
        </is>
      </c>
      <c r="I9040" s="3" t="inlineStr">
        <is>
          <t>전</t>
        </is>
      </c>
      <c r="J9040" s="3" t="inlineStr">
        <is>
          <t>오송읍</t>
        </is>
      </c>
    </row>
    <row r="9041">
      <c r="A9041" s="3" t="n">
        <v>2022</v>
      </c>
      <c r="B9041" s="4" t="n">
        <v>31300</v>
      </c>
      <c r="C9041" s="4" t="n">
        <v>1759</v>
      </c>
      <c r="D9041" s="4" t="n">
        <v>532.0975</v>
      </c>
      <c r="E9041" s="5" t="n">
        <v>58.8</v>
      </c>
      <c r="F9041" s="3" t="inlineStr">
        <is>
          <t>강내면</t>
        </is>
      </c>
      <c r="G9041" s="3" t="inlineStr">
        <is>
          <t>월곡리</t>
        </is>
      </c>
      <c r="H9041" s="3" t="inlineStr">
        <is>
          <t>생산녹지지역</t>
        </is>
      </c>
      <c r="I9041" s="3" t="inlineStr">
        <is>
          <t>답</t>
        </is>
      </c>
      <c r="J9041" s="3" t="inlineStr">
        <is>
          <t>강내면</t>
        </is>
      </c>
    </row>
    <row r="9042">
      <c r="A9042" s="3" t="n">
        <v>2022</v>
      </c>
      <c r="B9042" s="4" t="n">
        <v>2400</v>
      </c>
      <c r="C9042" s="4" t="n">
        <v>24</v>
      </c>
      <c r="D9042" s="4" t="n">
        <v>7.26</v>
      </c>
      <c r="E9042" s="5" t="n">
        <v>330.6</v>
      </c>
      <c r="F9042" s="3" t="inlineStr">
        <is>
          <t>오송읍</t>
        </is>
      </c>
      <c r="G9042" s="3" t="inlineStr">
        <is>
          <t>오송리</t>
        </is>
      </c>
      <c r="H9042" s="3" t="inlineStr">
        <is>
          <t>농림지역</t>
        </is>
      </c>
      <c r="I9042" s="3" t="inlineStr">
        <is>
          <t>도로</t>
        </is>
      </c>
      <c r="J9042" s="3" t="inlineStr">
        <is>
          <t>오송읍</t>
        </is>
      </c>
    </row>
    <row r="9043">
      <c r="A9043" s="3" t="n">
        <v>2022</v>
      </c>
      <c r="B9043" s="4" t="n">
        <v>175000</v>
      </c>
      <c r="C9043" s="4" t="n">
        <v>3421</v>
      </c>
      <c r="D9043" s="4" t="n">
        <v>1034.8525</v>
      </c>
      <c r="E9043" s="5" t="n">
        <v>169.1</v>
      </c>
      <c r="F9043" s="3" t="inlineStr">
        <is>
          <t>오송읍</t>
        </is>
      </c>
      <c r="G9043" s="3" t="inlineStr">
        <is>
          <t>궁평리</t>
        </is>
      </c>
      <c r="H9043" s="3" t="inlineStr">
        <is>
          <t>준주거지역</t>
        </is>
      </c>
      <c r="I9043" s="3" t="inlineStr">
        <is>
          <t>과수원</t>
        </is>
      </c>
      <c r="J9043" s="3" t="inlineStr">
        <is>
          <t>오송읍</t>
        </is>
      </c>
    </row>
    <row r="9044">
      <c r="A9044" s="3" t="n">
        <v>2022</v>
      </c>
      <c r="B9044" s="4" t="n">
        <v>13400</v>
      </c>
      <c r="C9044" s="4" t="n">
        <v>1177</v>
      </c>
      <c r="D9044" s="4" t="n">
        <v>356.0425</v>
      </c>
      <c r="E9044" s="5" t="n">
        <v>37.6</v>
      </c>
      <c r="F9044" s="3" t="inlineStr">
        <is>
          <t>현도면</t>
        </is>
      </c>
      <c r="G9044" s="3" t="inlineStr">
        <is>
          <t>중척리</t>
        </is>
      </c>
      <c r="H9044" s="3" t="inlineStr">
        <is>
          <t>개발제한구역</t>
        </is>
      </c>
      <c r="I9044" s="3" t="inlineStr">
        <is>
          <t>전</t>
        </is>
      </c>
      <c r="J9044" s="3" t="inlineStr">
        <is>
          <t>현도면</t>
        </is>
      </c>
    </row>
    <row r="9045">
      <c r="A9045" s="3" t="n">
        <v>2022</v>
      </c>
      <c r="B9045" s="4" t="n">
        <v>9800</v>
      </c>
      <c r="C9045" s="4" t="n">
        <v>848</v>
      </c>
      <c r="D9045" s="4" t="n">
        <v>256.52</v>
      </c>
      <c r="E9045" s="5" t="n">
        <v>38.2</v>
      </c>
      <c r="F9045" s="3" t="inlineStr">
        <is>
          <t>현도면</t>
        </is>
      </c>
      <c r="G9045" s="3" t="inlineStr">
        <is>
          <t>중척리</t>
        </is>
      </c>
      <c r="H9045" s="3" t="inlineStr">
        <is>
          <t>개발제한구역</t>
        </is>
      </c>
      <c r="I9045" s="3" t="inlineStr">
        <is>
          <t>답</t>
        </is>
      </c>
      <c r="J9045" s="3" t="inlineStr">
        <is>
          <t>현도면</t>
        </is>
      </c>
    </row>
    <row r="9046">
      <c r="A9046" s="3" t="n">
        <v>2022</v>
      </c>
      <c r="B9046" s="4" t="n">
        <v>5750</v>
      </c>
      <c r="C9046" s="4" t="n">
        <v>179</v>
      </c>
      <c r="D9046" s="4" t="n">
        <v>54.1475</v>
      </c>
      <c r="E9046" s="5" t="n">
        <v>106.2</v>
      </c>
      <c r="F9046" s="3" t="inlineStr">
        <is>
          <t>남이면</t>
        </is>
      </c>
      <c r="G9046" s="3" t="inlineStr">
        <is>
          <t>부용외천리</t>
        </is>
      </c>
      <c r="H9046" s="3" t="inlineStr">
        <is>
          <t>계획관리지역</t>
        </is>
      </c>
      <c r="I9046" s="3" t="inlineStr">
        <is>
          <t>답</t>
        </is>
      </c>
      <c r="J9046" s="3" t="inlineStr">
        <is>
          <t>남이면</t>
        </is>
      </c>
    </row>
    <row r="9047">
      <c r="A9047" s="3" t="n">
        <v>2022</v>
      </c>
      <c r="B9047" s="4" t="n">
        <v>942396</v>
      </c>
      <c r="C9047" s="4" t="n">
        <v>28376</v>
      </c>
      <c r="D9047" s="4" t="n">
        <v>8583.74</v>
      </c>
      <c r="E9047" s="5" t="n">
        <v>109.8</v>
      </c>
      <c r="F9047" s="3" t="inlineStr">
        <is>
          <t>남이면</t>
        </is>
      </c>
      <c r="G9047" s="3" t="inlineStr">
        <is>
          <t>부용외천리</t>
        </is>
      </c>
      <c r="H9047" s="3" t="inlineStr">
        <is>
          <t>계획관리지역</t>
        </is>
      </c>
      <c r="I9047" s="3" t="inlineStr">
        <is>
          <t>창고용지</t>
        </is>
      </c>
      <c r="J9047" s="3" t="inlineStr">
        <is>
          <t>남이면</t>
        </is>
      </c>
    </row>
    <row r="9048">
      <c r="A9048" s="3" t="n">
        <v>2022</v>
      </c>
      <c r="B9048" s="4" t="n">
        <v>299218</v>
      </c>
      <c r="C9048" s="4" t="n">
        <v>8747</v>
      </c>
      <c r="D9048" s="4" t="n">
        <v>2645.9675</v>
      </c>
      <c r="E9048" s="5" t="n">
        <v>113.1</v>
      </c>
      <c r="F9048" s="3" t="inlineStr">
        <is>
          <t>남이면</t>
        </is>
      </c>
      <c r="G9048" s="3" t="inlineStr">
        <is>
          <t>부용외천리</t>
        </is>
      </c>
      <c r="H9048" s="3" t="inlineStr">
        <is>
          <t>계획관리지역</t>
        </is>
      </c>
      <c r="I9048" s="3" t="inlineStr">
        <is>
          <t>창고용지</t>
        </is>
      </c>
      <c r="J9048" s="3" t="inlineStr">
        <is>
          <t>남이면</t>
        </is>
      </c>
    </row>
    <row r="9049">
      <c r="A9049" s="3" t="n">
        <v>2022</v>
      </c>
      <c r="B9049" s="4" t="n">
        <v>124654</v>
      </c>
      <c r="C9049" s="4" t="n">
        <v>3644</v>
      </c>
      <c r="D9049" s="4" t="n">
        <v>1102.31</v>
      </c>
      <c r="E9049" s="5" t="n">
        <v>113.1</v>
      </c>
      <c r="F9049" s="3" t="inlineStr">
        <is>
          <t>남이면</t>
        </is>
      </c>
      <c r="G9049" s="3" t="inlineStr">
        <is>
          <t>부용외천리</t>
        </is>
      </c>
      <c r="H9049" s="3" t="inlineStr">
        <is>
          <t>계획관리지역</t>
        </is>
      </c>
      <c r="I9049" s="3" t="inlineStr">
        <is>
          <t>창고용지</t>
        </is>
      </c>
      <c r="J9049" s="3" t="inlineStr">
        <is>
          <t>남이면</t>
        </is>
      </c>
    </row>
    <row r="9050">
      <c r="A9050" s="3" t="n">
        <v>2022</v>
      </c>
      <c r="B9050" s="4" t="n">
        <v>236617</v>
      </c>
      <c r="C9050" s="4" t="n">
        <v>6917</v>
      </c>
      <c r="D9050" s="4" t="n">
        <v>2092.3925</v>
      </c>
      <c r="E9050" s="5" t="n">
        <v>113.1</v>
      </c>
      <c r="F9050" s="3" t="inlineStr">
        <is>
          <t>남이면</t>
        </is>
      </c>
      <c r="G9050" s="3" t="inlineStr">
        <is>
          <t>부용외천리</t>
        </is>
      </c>
      <c r="H9050" s="3" t="inlineStr">
        <is>
          <t>계획관리지역</t>
        </is>
      </c>
      <c r="I9050" s="3" t="inlineStr">
        <is>
          <t>창고용지</t>
        </is>
      </c>
      <c r="J9050" s="3" t="inlineStr">
        <is>
          <t>남이면</t>
        </is>
      </c>
    </row>
    <row r="9051">
      <c r="A9051" s="3" t="n">
        <v>2022</v>
      </c>
      <c r="B9051" s="4" t="n">
        <v>88257</v>
      </c>
      <c r="C9051" s="4" t="n">
        <v>2580</v>
      </c>
      <c r="D9051" s="4" t="n">
        <v>780.4499999999999</v>
      </c>
      <c r="E9051" s="5" t="n">
        <v>113.1</v>
      </c>
      <c r="F9051" s="3" t="inlineStr">
        <is>
          <t>남이면</t>
        </is>
      </c>
      <c r="G9051" s="3" t="inlineStr">
        <is>
          <t>부용외천리</t>
        </is>
      </c>
      <c r="H9051" s="3" t="inlineStr">
        <is>
          <t>계획관리지역</t>
        </is>
      </c>
      <c r="I9051" s="3" t="inlineStr">
        <is>
          <t>창고용지</t>
        </is>
      </c>
      <c r="J9051" s="3" t="inlineStr">
        <is>
          <t>남이면</t>
        </is>
      </c>
    </row>
    <row r="9052">
      <c r="A9052" s="3" t="n">
        <v>2022</v>
      </c>
      <c r="B9052" s="4" t="n">
        <v>185218</v>
      </c>
      <c r="C9052" s="4" t="n">
        <v>5577</v>
      </c>
      <c r="D9052" s="4" t="n">
        <v>1687.0425</v>
      </c>
      <c r="E9052" s="5" t="n">
        <v>109.8</v>
      </c>
      <c r="F9052" s="3" t="inlineStr">
        <is>
          <t>남이면</t>
        </is>
      </c>
      <c r="G9052" s="3" t="inlineStr">
        <is>
          <t>부용외천리</t>
        </is>
      </c>
      <c r="H9052" s="3" t="inlineStr">
        <is>
          <t>계획관리지역</t>
        </is>
      </c>
      <c r="I9052" s="3" t="inlineStr">
        <is>
          <t>창고용지</t>
        </is>
      </c>
      <c r="J9052" s="3" t="inlineStr">
        <is>
          <t>남이면</t>
        </is>
      </c>
    </row>
    <row r="9053">
      <c r="A9053" s="3" t="n">
        <v>2022</v>
      </c>
      <c r="B9053" s="4" t="n">
        <v>165430</v>
      </c>
      <c r="C9053" s="4" t="n">
        <v>4836</v>
      </c>
      <c r="D9053" s="4" t="n">
        <v>1462.89</v>
      </c>
      <c r="E9053" s="5" t="n">
        <v>113.1</v>
      </c>
      <c r="F9053" s="3" t="inlineStr">
        <is>
          <t>남이면</t>
        </is>
      </c>
      <c r="G9053" s="3" t="inlineStr">
        <is>
          <t>부용외천리</t>
        </is>
      </c>
      <c r="H9053" s="3" t="inlineStr">
        <is>
          <t>계획관리지역</t>
        </is>
      </c>
      <c r="I9053" s="3" t="inlineStr">
        <is>
          <t>창고용지</t>
        </is>
      </c>
      <c r="J9053" s="3" t="inlineStr">
        <is>
          <t>남이면</t>
        </is>
      </c>
    </row>
    <row r="9054">
      <c r="A9054" s="3" t="n">
        <v>2022</v>
      </c>
      <c r="B9054" s="4" t="n">
        <v>437521</v>
      </c>
      <c r="C9054" s="4" t="n">
        <v>12790</v>
      </c>
      <c r="D9054" s="4" t="n">
        <v>3868.975</v>
      </c>
      <c r="E9054" s="5" t="n">
        <v>113.1</v>
      </c>
      <c r="F9054" s="3" t="inlineStr">
        <is>
          <t>남이면</t>
        </is>
      </c>
      <c r="G9054" s="3" t="inlineStr">
        <is>
          <t>부용외천리</t>
        </is>
      </c>
      <c r="H9054" s="3" t="inlineStr">
        <is>
          <t>계획관리지역</t>
        </is>
      </c>
      <c r="I9054" s="3" t="inlineStr">
        <is>
          <t>창고용지</t>
        </is>
      </c>
      <c r="J9054" s="3" t="inlineStr">
        <is>
          <t>남이면</t>
        </is>
      </c>
    </row>
    <row r="9055">
      <c r="A9055" s="3" t="n">
        <v>2022</v>
      </c>
      <c r="B9055" s="4" t="n">
        <v>186468</v>
      </c>
      <c r="C9055" s="4" t="n">
        <v>5451</v>
      </c>
      <c r="D9055" s="4" t="n">
        <v>1648.9275</v>
      </c>
      <c r="E9055" s="5" t="n">
        <v>113.1</v>
      </c>
      <c r="F9055" s="3" t="inlineStr">
        <is>
          <t>남이면</t>
        </is>
      </c>
      <c r="G9055" s="3" t="inlineStr">
        <is>
          <t>부용외천리</t>
        </is>
      </c>
      <c r="H9055" s="3" t="inlineStr">
        <is>
          <t>계획관리지역</t>
        </is>
      </c>
      <c r="I9055" s="3" t="inlineStr">
        <is>
          <t>창고용지</t>
        </is>
      </c>
      <c r="J9055" s="3" t="inlineStr">
        <is>
          <t>남이면</t>
        </is>
      </c>
    </row>
    <row r="9056">
      <c r="A9056" s="3" t="n">
        <v>2022</v>
      </c>
      <c r="B9056" s="4" t="n">
        <v>2442</v>
      </c>
      <c r="C9056" s="4" t="n">
        <v>76</v>
      </c>
      <c r="D9056" s="4" t="n">
        <v>22.99</v>
      </c>
      <c r="E9056" s="5" t="n">
        <v>106.2</v>
      </c>
      <c r="F9056" s="3" t="inlineStr">
        <is>
          <t>남이면</t>
        </is>
      </c>
      <c r="G9056" s="3" t="inlineStr">
        <is>
          <t>부용외천리</t>
        </is>
      </c>
      <c r="H9056" s="3" t="inlineStr">
        <is>
          <t>계획관리지역</t>
        </is>
      </c>
      <c r="I9056" s="3" t="inlineStr">
        <is>
          <t>답</t>
        </is>
      </c>
      <c r="J9056" s="3" t="inlineStr">
        <is>
          <t>남이면</t>
        </is>
      </c>
    </row>
    <row r="9057">
      <c r="A9057" s="3" t="n">
        <v>2022</v>
      </c>
      <c r="B9057" s="4" t="n">
        <v>39700</v>
      </c>
      <c r="C9057" s="4" t="n">
        <v>5058</v>
      </c>
      <c r="D9057" s="4" t="n">
        <v>1530.045</v>
      </c>
      <c r="E9057" s="5" t="n">
        <v>25.9</v>
      </c>
      <c r="F9057" s="3" t="inlineStr">
        <is>
          <t>남이면</t>
        </is>
      </c>
      <c r="G9057" s="3" t="inlineStr">
        <is>
          <t>구미리</t>
        </is>
      </c>
      <c r="H9057" s="3" t="inlineStr">
        <is>
          <t>농림지역</t>
        </is>
      </c>
      <c r="I9057" s="3" t="inlineStr">
        <is>
          <t>답</t>
        </is>
      </c>
      <c r="J9057" s="3" t="inlineStr">
        <is>
          <t>남이면</t>
        </is>
      </c>
    </row>
    <row r="9058">
      <c r="A9058" s="3" t="n">
        <v>2022</v>
      </c>
      <c r="B9058" s="4" t="n">
        <v>10000</v>
      </c>
      <c r="C9058" s="4" t="n">
        <v>2493</v>
      </c>
      <c r="D9058" s="4" t="n">
        <v>754.1324999999999</v>
      </c>
      <c r="E9058" s="5" t="n">
        <v>13.3</v>
      </c>
      <c r="F9058" s="3" t="inlineStr">
        <is>
          <t>현도면</t>
        </is>
      </c>
      <c r="G9058" s="3" t="inlineStr">
        <is>
          <t>중척리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현도면</t>
        </is>
      </c>
    </row>
    <row r="9059">
      <c r="A9059" s="3" t="n">
        <v>2022</v>
      </c>
      <c r="B9059" s="4" t="n">
        <v>1105</v>
      </c>
      <c r="C9059" s="4" t="n">
        <v>83.95</v>
      </c>
      <c r="D9059" s="4" t="n">
        <v>25.394875</v>
      </c>
      <c r="E9059" s="5" t="n">
        <v>43.5</v>
      </c>
      <c r="F9059" s="3" t="inlineStr">
        <is>
          <t>남이면</t>
        </is>
      </c>
      <c r="G9059" s="3" t="inlineStr">
        <is>
          <t>구미리</t>
        </is>
      </c>
      <c r="H9059" s="3" t="inlineStr">
        <is>
          <t>계획관리지역</t>
        </is>
      </c>
      <c r="I9059" s="3" t="inlineStr">
        <is>
          <t>도로</t>
        </is>
      </c>
      <c r="J9059" s="3" t="inlineStr">
        <is>
          <t>남이면</t>
        </is>
      </c>
    </row>
    <row r="9060">
      <c r="A9060" s="3" t="n">
        <v>2022</v>
      </c>
      <c r="B9060" s="4" t="n">
        <v>159</v>
      </c>
      <c r="C9060" s="4" t="n">
        <v>12.1</v>
      </c>
      <c r="D9060" s="4" t="n">
        <v>3.66025</v>
      </c>
      <c r="E9060" s="5" t="n">
        <v>43.4</v>
      </c>
      <c r="F9060" s="3" t="inlineStr">
        <is>
          <t>남이면</t>
        </is>
      </c>
      <c r="G9060" s="3" t="inlineStr">
        <is>
          <t>구미리</t>
        </is>
      </c>
      <c r="H9060" s="3" t="inlineStr">
        <is>
          <t>계획관리지역</t>
        </is>
      </c>
      <c r="I9060" s="3" t="inlineStr">
        <is>
          <t>도로</t>
        </is>
      </c>
      <c r="J9060" s="3" t="inlineStr">
        <is>
          <t>남이면</t>
        </is>
      </c>
    </row>
    <row r="9061">
      <c r="A9061" s="3" t="n">
        <v>2022</v>
      </c>
      <c r="B9061" s="4" t="n">
        <v>166</v>
      </c>
      <c r="C9061" s="4" t="n">
        <v>12.58</v>
      </c>
      <c r="D9061" s="4" t="n">
        <v>3.80545</v>
      </c>
      <c r="E9061" s="5" t="n">
        <v>43.6</v>
      </c>
      <c r="F9061" s="3" t="inlineStr">
        <is>
          <t>남이면</t>
        </is>
      </c>
      <c r="G9061" s="3" t="inlineStr">
        <is>
          <t>구미리</t>
        </is>
      </c>
      <c r="H9061" s="3" t="inlineStr">
        <is>
          <t>계획관리지역</t>
        </is>
      </c>
      <c r="I9061" s="3" t="inlineStr">
        <is>
          <t>도로</t>
        </is>
      </c>
      <c r="J9061" s="3" t="inlineStr">
        <is>
          <t>남이면</t>
        </is>
      </c>
    </row>
    <row r="9062">
      <c r="A9062" s="3" t="n">
        <v>2022</v>
      </c>
      <c r="B9062" s="4" t="n">
        <v>1124</v>
      </c>
      <c r="C9062" s="4" t="n">
        <v>85</v>
      </c>
      <c r="D9062" s="4" t="n">
        <v>25.7125</v>
      </c>
      <c r="E9062" s="5" t="n">
        <v>43.7</v>
      </c>
      <c r="F9062" s="3" t="inlineStr">
        <is>
          <t>남이면</t>
        </is>
      </c>
      <c r="G9062" s="3" t="inlineStr">
        <is>
          <t>구미리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남이면</t>
        </is>
      </c>
    </row>
    <row r="9063">
      <c r="A9063" s="3" t="n">
        <v>2022</v>
      </c>
      <c r="B9063" s="4" t="n">
        <v>350</v>
      </c>
      <c r="C9063" s="4" t="n">
        <v>81.58</v>
      </c>
      <c r="D9063" s="4" t="n">
        <v>24.67795</v>
      </c>
      <c r="E9063" s="5" t="n">
        <v>14.2</v>
      </c>
      <c r="F9063" s="3" t="inlineStr">
        <is>
          <t>남이면</t>
        </is>
      </c>
      <c r="G9063" s="3" t="inlineStr">
        <is>
          <t>구미리</t>
        </is>
      </c>
      <c r="H9063" s="3" t="inlineStr">
        <is>
          <t>계획관리지역</t>
        </is>
      </c>
      <c r="I9063" s="3" t="inlineStr">
        <is>
          <t>도로</t>
        </is>
      </c>
      <c r="J9063" s="3" t="inlineStr">
        <is>
          <t>남이면</t>
        </is>
      </c>
    </row>
    <row r="9064">
      <c r="A9064" s="3" t="n">
        <v>2022</v>
      </c>
      <c r="B9064" s="4" t="n">
        <v>50</v>
      </c>
      <c r="C9064" s="4" t="n">
        <v>11.76</v>
      </c>
      <c r="D9064" s="4" t="n">
        <v>3.5574</v>
      </c>
      <c r="E9064" s="5" t="n">
        <v>14.1</v>
      </c>
      <c r="F9064" s="3" t="inlineStr">
        <is>
          <t>남이면</t>
        </is>
      </c>
      <c r="G9064" s="3" t="inlineStr">
        <is>
          <t>구미리</t>
        </is>
      </c>
      <c r="H9064" s="3" t="inlineStr">
        <is>
          <t>계획관리지역</t>
        </is>
      </c>
      <c r="I9064" s="3" t="inlineStr">
        <is>
          <t>도로</t>
        </is>
      </c>
      <c r="J9064" s="3" t="inlineStr">
        <is>
          <t>남이면</t>
        </is>
      </c>
    </row>
    <row r="9065">
      <c r="A9065" s="3" t="n">
        <v>2022</v>
      </c>
      <c r="B9065" s="4" t="n">
        <v>52</v>
      </c>
      <c r="C9065" s="4" t="n">
        <v>12.22</v>
      </c>
      <c r="D9065" s="4" t="n">
        <v>3.69655</v>
      </c>
      <c r="E9065" s="5" t="n">
        <v>14.1</v>
      </c>
      <c r="F9065" s="3" t="inlineStr">
        <is>
          <t>남이면</t>
        </is>
      </c>
      <c r="G9065" s="3" t="inlineStr">
        <is>
          <t>구미리</t>
        </is>
      </c>
      <c r="H9065" s="3" t="inlineStr">
        <is>
          <t>계획관리지역</t>
        </is>
      </c>
      <c r="I9065" s="3" t="inlineStr">
        <is>
          <t>도로</t>
        </is>
      </c>
      <c r="J9065" s="3" t="inlineStr">
        <is>
          <t>남이면</t>
        </is>
      </c>
    </row>
    <row r="9066">
      <c r="A9066" s="3" t="n">
        <v>2022</v>
      </c>
      <c r="B9066" s="4" t="n">
        <v>930</v>
      </c>
      <c r="C9066" s="4" t="n">
        <v>251.38</v>
      </c>
      <c r="D9066" s="4" t="n">
        <v>76.04245</v>
      </c>
      <c r="E9066" s="5" t="n">
        <v>12.2</v>
      </c>
      <c r="F9066" s="3" t="inlineStr">
        <is>
          <t>남이면</t>
        </is>
      </c>
      <c r="G9066" s="3" t="inlineStr">
        <is>
          <t>구미리</t>
        </is>
      </c>
      <c r="H9066" s="3" t="inlineStr">
        <is>
          <t>계획관리지역</t>
        </is>
      </c>
      <c r="I9066" s="3" t="inlineStr">
        <is>
          <t>도로</t>
        </is>
      </c>
      <c r="J9066" s="3" t="inlineStr">
        <is>
          <t>남이면</t>
        </is>
      </c>
    </row>
    <row r="9067">
      <c r="A9067" s="3" t="n">
        <v>2022</v>
      </c>
      <c r="B9067" s="4" t="n">
        <v>344</v>
      </c>
      <c r="C9067" s="4" t="n">
        <v>80.62</v>
      </c>
      <c r="D9067" s="4" t="n">
        <v>24.38755</v>
      </c>
      <c r="E9067" s="5" t="n">
        <v>14.1</v>
      </c>
      <c r="F9067" s="3" t="inlineStr">
        <is>
          <t>남이면</t>
        </is>
      </c>
      <c r="G9067" s="3" t="inlineStr">
        <is>
          <t>구미리</t>
        </is>
      </c>
      <c r="H9067" s="3" t="inlineStr">
        <is>
          <t>계획관리지역</t>
        </is>
      </c>
      <c r="I9067" s="3" t="inlineStr">
        <is>
          <t>도로</t>
        </is>
      </c>
      <c r="J9067" s="3" t="inlineStr">
        <is>
          <t>남이면</t>
        </is>
      </c>
    </row>
    <row r="9068">
      <c r="A9068" s="3" t="n">
        <v>2022</v>
      </c>
      <c r="B9068" s="4" t="n">
        <v>23000</v>
      </c>
      <c r="C9068" s="4" t="n">
        <v>492</v>
      </c>
      <c r="D9068" s="4" t="n">
        <v>148.83</v>
      </c>
      <c r="E9068" s="5" t="n">
        <v>154.5</v>
      </c>
      <c r="F9068" s="3" t="inlineStr">
        <is>
          <t>남이면</t>
        </is>
      </c>
      <c r="G9068" s="3" t="inlineStr">
        <is>
          <t>석판리</t>
        </is>
      </c>
      <c r="H9068" s="3" t="inlineStr">
        <is>
          <t>자연녹지지역</t>
        </is>
      </c>
      <c r="I9068" s="3" t="inlineStr">
        <is>
          <t>임야</t>
        </is>
      </c>
      <c r="J9068" s="3" t="inlineStr">
        <is>
          <t>남이면</t>
        </is>
      </c>
    </row>
    <row r="9069">
      <c r="A9069" s="3" t="n">
        <v>2022</v>
      </c>
      <c r="B9069" s="4" t="n">
        <v>9370</v>
      </c>
      <c r="C9069" s="4" t="n">
        <v>2037</v>
      </c>
      <c r="D9069" s="4" t="n">
        <v>616.1925</v>
      </c>
      <c r="E9069" s="5" t="n">
        <v>15.2</v>
      </c>
      <c r="F9069" s="3" t="inlineStr">
        <is>
          <t>남이면</t>
        </is>
      </c>
      <c r="G9069" s="3" t="inlineStr">
        <is>
          <t>산막리</t>
        </is>
      </c>
      <c r="H9069" s="3" t="inlineStr">
        <is>
          <t>생산관리지역</t>
        </is>
      </c>
      <c r="I9069" s="3" t="inlineStr">
        <is>
          <t>임야</t>
        </is>
      </c>
      <c r="J9069" s="3" t="inlineStr">
        <is>
          <t>남이면</t>
        </is>
      </c>
    </row>
    <row r="9070">
      <c r="A9070" s="3" t="n">
        <v>2022</v>
      </c>
      <c r="B9070" s="4" t="n">
        <v>9062</v>
      </c>
      <c r="C9070" s="4" t="n">
        <v>1888</v>
      </c>
      <c r="D9070" s="4" t="n">
        <v>571.12</v>
      </c>
      <c r="E9070" s="5" t="n">
        <v>15.9</v>
      </c>
      <c r="F9070" s="3" t="inlineStr">
        <is>
          <t>남이면</t>
        </is>
      </c>
      <c r="G9070" s="3" t="inlineStr">
        <is>
          <t>산막리</t>
        </is>
      </c>
      <c r="H9070" s="3" t="inlineStr">
        <is>
          <t>생산관리지역</t>
        </is>
      </c>
      <c r="I9070" s="3" t="inlineStr">
        <is>
          <t>임야</t>
        </is>
      </c>
      <c r="J9070" s="3" t="inlineStr">
        <is>
          <t>남이면</t>
        </is>
      </c>
    </row>
    <row r="9071">
      <c r="A9071" s="3" t="n">
        <v>2022</v>
      </c>
      <c r="B9071" s="4" t="n">
        <v>6606</v>
      </c>
      <c r="C9071" s="4" t="n">
        <v>1436</v>
      </c>
      <c r="D9071" s="4" t="n">
        <v>434.39</v>
      </c>
      <c r="E9071" s="5" t="n">
        <v>15.2</v>
      </c>
      <c r="F9071" s="3" t="inlineStr">
        <is>
          <t>남이면</t>
        </is>
      </c>
      <c r="G9071" s="3" t="inlineStr">
        <is>
          <t>산막리</t>
        </is>
      </c>
      <c r="H9071" s="3" t="inlineStr">
        <is>
          <t>생산관리지역</t>
        </is>
      </c>
      <c r="I9071" s="3" t="inlineStr">
        <is>
          <t>임야</t>
        </is>
      </c>
      <c r="J9071" s="3" t="inlineStr">
        <is>
          <t>남이면</t>
        </is>
      </c>
    </row>
    <row r="9072">
      <c r="A9072" s="3" t="n">
        <v>2022</v>
      </c>
      <c r="B9072" s="4" t="n">
        <v>12162</v>
      </c>
      <c r="C9072" s="4" t="n">
        <v>2638</v>
      </c>
      <c r="D9072" s="4" t="n">
        <v>797.995</v>
      </c>
      <c r="E9072" s="5" t="n">
        <v>15.2</v>
      </c>
      <c r="F9072" s="3" t="inlineStr">
        <is>
          <t>남이면</t>
        </is>
      </c>
      <c r="G9072" s="3" t="inlineStr">
        <is>
          <t>산막리</t>
        </is>
      </c>
      <c r="H9072" s="3" t="inlineStr">
        <is>
          <t>생산관리지역</t>
        </is>
      </c>
      <c r="I9072" s="3" t="inlineStr">
        <is>
          <t>임야</t>
        </is>
      </c>
      <c r="J9072" s="3" t="inlineStr">
        <is>
          <t>남이면</t>
        </is>
      </c>
    </row>
    <row r="9073">
      <c r="A9073" s="3" t="n">
        <v>2022</v>
      </c>
      <c r="B9073" s="4" t="n">
        <v>51900</v>
      </c>
      <c r="C9073" s="4" t="n">
        <v>2697</v>
      </c>
      <c r="D9073" s="4" t="n">
        <v>815.8425</v>
      </c>
      <c r="E9073" s="5" t="n">
        <v>63.6</v>
      </c>
      <c r="F9073" s="3" t="inlineStr">
        <is>
          <t>남이면</t>
        </is>
      </c>
      <c r="G9073" s="3" t="inlineStr">
        <is>
          <t>대련리</t>
        </is>
      </c>
      <c r="H9073" s="3" t="inlineStr">
        <is>
          <t>자연녹지지역</t>
        </is>
      </c>
      <c r="I9073" s="3" t="inlineStr">
        <is>
          <t>답</t>
        </is>
      </c>
      <c r="J9073" s="3" t="inlineStr">
        <is>
          <t>남이면</t>
        </is>
      </c>
    </row>
    <row r="9074">
      <c r="A9074" s="3" t="n">
        <v>2022</v>
      </c>
      <c r="B9074" s="4" t="n">
        <v>42000</v>
      </c>
      <c r="C9074" s="4" t="n">
        <v>2479</v>
      </c>
      <c r="D9074" s="4" t="n">
        <v>749.8974999999999</v>
      </c>
      <c r="E9074" s="5" t="n">
        <v>56</v>
      </c>
      <c r="F9074" s="3" t="inlineStr">
        <is>
          <t>남이면</t>
        </is>
      </c>
      <c r="G9074" s="3" t="inlineStr">
        <is>
          <t>가좌리</t>
        </is>
      </c>
      <c r="H9074" s="3" t="inlineStr">
        <is>
          <t>자연녹지지역</t>
        </is>
      </c>
      <c r="I9074" s="3" t="inlineStr">
        <is>
          <t>답</t>
        </is>
      </c>
      <c r="J9074" s="3" t="inlineStr">
        <is>
          <t>남이면</t>
        </is>
      </c>
    </row>
    <row r="9075">
      <c r="A9075" s="3" t="n">
        <v>2022</v>
      </c>
      <c r="B9075" s="4" t="n">
        <v>24000</v>
      </c>
      <c r="C9075" s="4" t="n">
        <v>1415</v>
      </c>
      <c r="D9075" s="4" t="n">
        <v>428.0375</v>
      </c>
      <c r="E9075" s="5" t="n">
        <v>56.1</v>
      </c>
      <c r="F9075" s="3" t="inlineStr">
        <is>
          <t>남이면</t>
        </is>
      </c>
      <c r="G9075" s="3" t="inlineStr">
        <is>
          <t>가좌리</t>
        </is>
      </c>
      <c r="H9075" s="3" t="inlineStr">
        <is>
          <t>자연녹지지역</t>
        </is>
      </c>
      <c r="I9075" s="3" t="inlineStr">
        <is>
          <t>답</t>
        </is>
      </c>
      <c r="J9075" s="3" t="inlineStr">
        <is>
          <t>남이면</t>
        </is>
      </c>
    </row>
    <row r="9076">
      <c r="A9076" s="3" t="n">
        <v>2022</v>
      </c>
      <c r="B9076" s="4" t="n">
        <v>24000</v>
      </c>
      <c r="C9076" s="4" t="n">
        <v>1405</v>
      </c>
      <c r="D9076" s="4" t="n">
        <v>425.0125</v>
      </c>
      <c r="E9076" s="5" t="n">
        <v>56.5</v>
      </c>
      <c r="F9076" s="3" t="inlineStr">
        <is>
          <t>남이면</t>
        </is>
      </c>
      <c r="G9076" s="3" t="inlineStr">
        <is>
          <t>가좌리</t>
        </is>
      </c>
      <c r="H9076" s="3" t="inlineStr">
        <is>
          <t>자연녹지지역</t>
        </is>
      </c>
      <c r="I9076" s="3" t="inlineStr">
        <is>
          <t>답</t>
        </is>
      </c>
      <c r="J9076" s="3" t="inlineStr">
        <is>
          <t>남이면</t>
        </is>
      </c>
    </row>
    <row r="9077">
      <c r="A9077" s="3" t="n">
        <v>2022</v>
      </c>
      <c r="B9077" s="4" t="n">
        <v>44000</v>
      </c>
      <c r="C9077" s="4" t="n">
        <v>2648</v>
      </c>
      <c r="D9077" s="4" t="n">
        <v>801.02</v>
      </c>
      <c r="E9077" s="5" t="n">
        <v>54.9</v>
      </c>
      <c r="F9077" s="3" t="inlineStr">
        <is>
          <t>남이면</t>
        </is>
      </c>
      <c r="G9077" s="3" t="inlineStr">
        <is>
          <t>가좌리</t>
        </is>
      </c>
      <c r="H9077" s="3" t="inlineStr">
        <is>
          <t>자연녹지지역</t>
        </is>
      </c>
      <c r="I9077" s="3" t="inlineStr">
        <is>
          <t>답</t>
        </is>
      </c>
      <c r="J9077" s="3" t="inlineStr">
        <is>
          <t>남이면</t>
        </is>
      </c>
    </row>
    <row r="9078">
      <c r="A9078" s="3" t="n">
        <v>2022</v>
      </c>
      <c r="B9078" s="4" t="n">
        <v>12673</v>
      </c>
      <c r="C9078" s="4" t="n">
        <v>3091</v>
      </c>
      <c r="D9078" s="4" t="n">
        <v>935.0274999999999</v>
      </c>
      <c r="E9078" s="5" t="n">
        <v>13.6</v>
      </c>
      <c r="F9078" s="3" t="inlineStr">
        <is>
          <t>남이면</t>
        </is>
      </c>
      <c r="G9078" s="3" t="inlineStr">
        <is>
          <t>산막리</t>
        </is>
      </c>
      <c r="H9078" s="3" t="inlineStr">
        <is>
          <t>보전관리지역</t>
        </is>
      </c>
      <c r="I9078" s="3" t="inlineStr">
        <is>
          <t>임야</t>
        </is>
      </c>
      <c r="J9078" s="3" t="inlineStr">
        <is>
          <t>남이면</t>
        </is>
      </c>
    </row>
    <row r="9079">
      <c r="A9079" s="3" t="n">
        <v>2024</v>
      </c>
      <c r="B9079" s="4" t="n">
        <v>47300</v>
      </c>
      <c r="C9079" s="4" t="n">
        <v>942</v>
      </c>
      <c r="D9079" s="4" t="n">
        <v>284.955</v>
      </c>
      <c r="E9079" s="5" t="n">
        <v>166</v>
      </c>
      <c r="F9079" s="3" t="inlineStr">
        <is>
          <t>남이면</t>
        </is>
      </c>
      <c r="G9079" s="3" t="inlineStr">
        <is>
          <t>척산리</t>
        </is>
      </c>
      <c r="H9079" s="3" t="inlineStr">
        <is>
          <t>계획관리지역</t>
        </is>
      </c>
      <c r="I9079" s="3" t="inlineStr">
        <is>
          <t>공장용지</t>
        </is>
      </c>
      <c r="J9079" s="3" t="inlineStr">
        <is>
          <t>남이면</t>
        </is>
      </c>
    </row>
    <row r="9080">
      <c r="A9080" s="3" t="n">
        <v>2024</v>
      </c>
      <c r="B9080" s="4" t="n">
        <v>26421</v>
      </c>
      <c r="C9080" s="4" t="n">
        <v>1894</v>
      </c>
      <c r="D9080" s="4" t="n">
        <v>572.9349999999999</v>
      </c>
      <c r="E9080" s="5" t="n">
        <v>46.1</v>
      </c>
      <c r="F9080" s="3" t="inlineStr">
        <is>
          <t>남이면</t>
        </is>
      </c>
      <c r="G9080" s="3" t="inlineStr">
        <is>
          <t>산막리</t>
        </is>
      </c>
      <c r="H9080" s="3" t="inlineStr">
        <is>
          <t>계획관리지역</t>
        </is>
      </c>
      <c r="I9080" s="3" t="inlineStr">
        <is>
          <t>체육용지</t>
        </is>
      </c>
      <c r="J9080" s="3" t="inlineStr">
        <is>
          <t>남이면</t>
        </is>
      </c>
    </row>
    <row r="9081">
      <c r="A9081" s="3" t="n">
        <v>2024</v>
      </c>
      <c r="B9081" s="4" t="n">
        <v>22418</v>
      </c>
      <c r="C9081" s="4" t="n">
        <v>1673</v>
      </c>
      <c r="D9081" s="4" t="n">
        <v>506.0825</v>
      </c>
      <c r="E9081" s="5" t="n">
        <v>44.3</v>
      </c>
      <c r="F9081" s="3" t="inlineStr">
        <is>
          <t>남이면</t>
        </is>
      </c>
      <c r="G9081" s="3" t="inlineStr">
        <is>
          <t>산막리</t>
        </is>
      </c>
      <c r="H9081" s="3" t="inlineStr">
        <is>
          <t>계획관리지역</t>
        </is>
      </c>
      <c r="I9081" s="3" t="inlineStr">
        <is>
          <t>잡종지</t>
        </is>
      </c>
      <c r="J9081" s="3" t="inlineStr">
        <is>
          <t>남이면</t>
        </is>
      </c>
    </row>
    <row r="9082">
      <c r="A9082" s="3" t="n">
        <v>2024</v>
      </c>
      <c r="B9082" s="4" t="n">
        <v>35606</v>
      </c>
      <c r="C9082" s="4" t="n">
        <v>1521</v>
      </c>
      <c r="D9082" s="4" t="n">
        <v>460.1025</v>
      </c>
      <c r="E9082" s="5" t="n">
        <v>77.40000000000001</v>
      </c>
      <c r="F9082" s="3" t="inlineStr">
        <is>
          <t>남이면</t>
        </is>
      </c>
      <c r="G9082" s="3" t="inlineStr">
        <is>
          <t>가좌리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남이면</t>
        </is>
      </c>
    </row>
    <row r="9083">
      <c r="A9083" s="3" t="n">
        <v>2024</v>
      </c>
      <c r="B9083" s="4" t="n">
        <v>66952</v>
      </c>
      <c r="C9083" s="4" t="n">
        <v>2860</v>
      </c>
      <c r="D9083" s="4" t="n">
        <v>865.15</v>
      </c>
      <c r="E9083" s="5" t="n">
        <v>77.40000000000001</v>
      </c>
      <c r="F9083" s="3" t="inlineStr">
        <is>
          <t>남이면</t>
        </is>
      </c>
      <c r="G9083" s="3" t="inlineStr">
        <is>
          <t>가좌리</t>
        </is>
      </c>
      <c r="H9083" s="3" t="inlineStr">
        <is>
          <t>자연녹지지역</t>
        </is>
      </c>
      <c r="I9083" s="3" t="inlineStr">
        <is>
          <t>전</t>
        </is>
      </c>
      <c r="J9083" s="3" t="inlineStr">
        <is>
          <t>남이면</t>
        </is>
      </c>
    </row>
    <row r="9084">
      <c r="A9084" s="3" t="n">
        <v>2024</v>
      </c>
      <c r="B9084" s="4" t="n">
        <v>42442</v>
      </c>
      <c r="C9084" s="4" t="n">
        <v>1813</v>
      </c>
      <c r="D9084" s="4" t="n">
        <v>548.4325</v>
      </c>
      <c r="E9084" s="5" t="n">
        <v>77.40000000000001</v>
      </c>
      <c r="F9084" s="3" t="inlineStr">
        <is>
          <t>남이면</t>
        </is>
      </c>
      <c r="G9084" s="3" t="inlineStr">
        <is>
          <t>가좌리</t>
        </is>
      </c>
      <c r="H9084" s="3" t="inlineStr">
        <is>
          <t>자연녹지지역</t>
        </is>
      </c>
      <c r="I9084" s="3" t="inlineStr">
        <is>
          <t>전</t>
        </is>
      </c>
      <c r="J9084" s="3" t="inlineStr">
        <is>
          <t>남이면</t>
        </is>
      </c>
    </row>
    <row r="9085">
      <c r="A9085" s="3" t="n">
        <v>2024</v>
      </c>
      <c r="B9085" s="4" t="n">
        <v>20000</v>
      </c>
      <c r="C9085" s="4" t="n">
        <v>865</v>
      </c>
      <c r="D9085" s="4" t="n">
        <v>261.6625</v>
      </c>
      <c r="E9085" s="5" t="n">
        <v>76.40000000000001</v>
      </c>
      <c r="F9085" s="3" t="inlineStr">
        <is>
          <t>남이면</t>
        </is>
      </c>
      <c r="G9085" s="3" t="inlineStr">
        <is>
          <t>척산리</t>
        </is>
      </c>
      <c r="H9085" s="3" t="inlineStr">
        <is>
          <t>자연녹지지역</t>
        </is>
      </c>
      <c r="I9085" s="3" t="inlineStr">
        <is>
          <t>답</t>
        </is>
      </c>
      <c r="J9085" s="3" t="inlineStr">
        <is>
          <t>남이면</t>
        </is>
      </c>
    </row>
    <row r="9086">
      <c r="A9086" s="3" t="n">
        <v>2024</v>
      </c>
      <c r="B9086" s="4" t="n">
        <v>62400</v>
      </c>
      <c r="C9086" s="4" t="n">
        <v>1653</v>
      </c>
      <c r="D9086" s="4" t="n">
        <v>500.0325</v>
      </c>
      <c r="E9086" s="5" t="n">
        <v>124.8</v>
      </c>
      <c r="F9086" s="3" t="inlineStr">
        <is>
          <t>강내면</t>
        </is>
      </c>
      <c r="G9086" s="3" t="inlineStr">
        <is>
          <t>궁현리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강내면</t>
        </is>
      </c>
    </row>
    <row r="9087">
      <c r="A9087" s="3" t="n">
        <v>2025</v>
      </c>
      <c r="B9087" s="4" t="n">
        <v>8000</v>
      </c>
      <c r="C9087" s="4" t="n">
        <v>585</v>
      </c>
      <c r="D9087" s="4" t="n">
        <v>176.9625</v>
      </c>
      <c r="E9087" s="5" t="n">
        <v>45.2</v>
      </c>
      <c r="F9087" s="3" t="inlineStr">
        <is>
          <t>오송읍</t>
        </is>
      </c>
      <c r="G9087" s="3" t="inlineStr">
        <is>
          <t>쌍청리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오송읍</t>
        </is>
      </c>
    </row>
    <row r="9088">
      <c r="A9088" s="3" t="n">
        <v>2024</v>
      </c>
      <c r="B9088" s="4" t="n">
        <v>27265</v>
      </c>
      <c r="C9088" s="4" t="n">
        <v>1461</v>
      </c>
      <c r="D9088" s="4" t="n">
        <v>441.9525</v>
      </c>
      <c r="E9088" s="5" t="n">
        <v>61.7</v>
      </c>
      <c r="F9088" s="3" t="inlineStr">
        <is>
          <t>남이면</t>
        </is>
      </c>
      <c r="G9088" s="3" t="inlineStr">
        <is>
          <t>비룡리</t>
        </is>
      </c>
      <c r="H9088" s="3" t="inlineStr">
        <is>
          <t>계획관리지역</t>
        </is>
      </c>
      <c r="I9088" s="3" t="inlineStr">
        <is>
          <t>전</t>
        </is>
      </c>
      <c r="J9088" s="3" t="inlineStr">
        <is>
          <t>남이면</t>
        </is>
      </c>
    </row>
    <row r="9089">
      <c r="A9089" s="3" t="n">
        <v>2024</v>
      </c>
      <c r="B9089" s="4" t="n">
        <v>1250</v>
      </c>
      <c r="C9089" s="4" t="n">
        <v>67</v>
      </c>
      <c r="D9089" s="4" t="n">
        <v>20.2675</v>
      </c>
      <c r="E9089" s="5" t="n">
        <v>61.7</v>
      </c>
      <c r="F9089" s="3" t="inlineStr">
        <is>
          <t>남이면</t>
        </is>
      </c>
      <c r="G9089" s="3" t="inlineStr">
        <is>
          <t>비룡리</t>
        </is>
      </c>
      <c r="H9089" s="3" t="inlineStr">
        <is>
          <t>계획관리지역</t>
        </is>
      </c>
      <c r="I9089" s="3" t="inlineStr">
        <is>
          <t>전</t>
        </is>
      </c>
      <c r="J9089" s="3" t="inlineStr">
        <is>
          <t>남이면</t>
        </is>
      </c>
    </row>
    <row r="9090">
      <c r="A9090" s="3" t="n">
        <v>2022</v>
      </c>
      <c r="B9090" s="4" t="n">
        <v>13594</v>
      </c>
      <c r="C9090" s="4" t="n">
        <v>1021</v>
      </c>
      <c r="D9090" s="4" t="n">
        <v>308.8525</v>
      </c>
      <c r="E9090" s="5" t="n">
        <v>44</v>
      </c>
      <c r="F9090" s="3" t="inlineStr">
        <is>
          <t>남이면</t>
        </is>
      </c>
      <c r="G9090" s="3" t="inlineStr">
        <is>
          <t>구암리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남이면</t>
        </is>
      </c>
    </row>
    <row r="9091">
      <c r="A9091" s="3" t="n">
        <v>2022</v>
      </c>
      <c r="B9091" s="4" t="n">
        <v>8361</v>
      </c>
      <c r="C9091" s="4" t="n">
        <v>628</v>
      </c>
      <c r="D9091" s="4" t="n">
        <v>189.97</v>
      </c>
      <c r="E9091" s="5" t="n">
        <v>44</v>
      </c>
      <c r="F9091" s="3" t="inlineStr">
        <is>
          <t>남이면</t>
        </is>
      </c>
      <c r="G9091" s="3" t="inlineStr">
        <is>
          <t>구암리</t>
        </is>
      </c>
      <c r="H9091" s="3" t="inlineStr">
        <is>
          <t>자연녹지지역</t>
        </is>
      </c>
      <c r="I9091" s="3" t="inlineStr">
        <is>
          <t>전</t>
        </is>
      </c>
      <c r="J9091" s="3" t="inlineStr">
        <is>
          <t>남이면</t>
        </is>
      </c>
    </row>
    <row r="9092">
      <c r="A9092" s="3" t="n">
        <v>2022</v>
      </c>
      <c r="B9092" s="4" t="n">
        <v>20197</v>
      </c>
      <c r="C9092" s="4" t="n">
        <v>1517</v>
      </c>
      <c r="D9092" s="4" t="n">
        <v>458.8925</v>
      </c>
      <c r="E9092" s="5" t="n">
        <v>44</v>
      </c>
      <c r="F9092" s="3" t="inlineStr">
        <is>
          <t>남이면</t>
        </is>
      </c>
      <c r="G9092" s="3" t="inlineStr">
        <is>
          <t>구암리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남이면</t>
        </is>
      </c>
    </row>
    <row r="9093">
      <c r="A9093" s="3" t="n">
        <v>2022</v>
      </c>
      <c r="B9093" s="4" t="n">
        <v>3000</v>
      </c>
      <c r="C9093" s="4" t="n">
        <v>20</v>
      </c>
      <c r="D9093" s="4" t="n">
        <v>6.05</v>
      </c>
      <c r="E9093" s="5" t="n">
        <v>495.9</v>
      </c>
      <c r="F9093" s="3" t="inlineStr">
        <is>
          <t>남이면</t>
        </is>
      </c>
      <c r="G9093" s="3" t="inlineStr">
        <is>
          <t>양촌리</t>
        </is>
      </c>
      <c r="H9093" s="3" t="inlineStr">
        <is>
          <t>자연녹지지역</t>
        </is>
      </c>
      <c r="I9093" s="3" t="inlineStr">
        <is>
          <t>답</t>
        </is>
      </c>
      <c r="J9093" s="3" t="inlineStr">
        <is>
          <t>남이면</t>
        </is>
      </c>
    </row>
    <row r="9094">
      <c r="A9094" s="3" t="n">
        <v>2022</v>
      </c>
      <c r="B9094" s="4" t="n">
        <v>60924</v>
      </c>
      <c r="C9094" s="4" t="n">
        <v>8056</v>
      </c>
      <c r="D9094" s="4" t="n">
        <v>2436.94</v>
      </c>
      <c r="E9094" s="5" t="n">
        <v>25</v>
      </c>
      <c r="F9094" s="3" t="inlineStr">
        <is>
          <t>남이면</t>
        </is>
      </c>
      <c r="G9094" s="3" t="inlineStr">
        <is>
          <t>비룡리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남이면</t>
        </is>
      </c>
    </row>
    <row r="9095">
      <c r="A9095" s="3" t="n">
        <v>2022</v>
      </c>
      <c r="B9095" s="4" t="n">
        <v>18550</v>
      </c>
      <c r="C9095" s="4" t="n">
        <v>472</v>
      </c>
      <c r="D9095" s="4" t="n">
        <v>142.78</v>
      </c>
      <c r="E9095" s="5" t="n">
        <v>129.9</v>
      </c>
      <c r="F9095" s="3" t="inlineStr">
        <is>
          <t>남이면</t>
        </is>
      </c>
      <c r="G9095" s="3" t="inlineStr">
        <is>
          <t>석판리</t>
        </is>
      </c>
      <c r="H9095" s="3" t="inlineStr">
        <is>
          <t>자연녹지지역</t>
        </is>
      </c>
      <c r="I9095" s="3" t="inlineStr">
        <is>
          <t>전</t>
        </is>
      </c>
      <c r="J9095" s="3" t="inlineStr">
        <is>
          <t>남이면</t>
        </is>
      </c>
    </row>
    <row r="9096">
      <c r="A9096" s="3" t="n">
        <v>2022</v>
      </c>
      <c r="B9096" s="4" t="n">
        <v>13342</v>
      </c>
      <c r="C9096" s="4" t="n">
        <v>272</v>
      </c>
      <c r="D9096" s="4" t="n">
        <v>82.28</v>
      </c>
      <c r="E9096" s="5" t="n">
        <v>162.2</v>
      </c>
      <c r="F9096" s="3" t="inlineStr">
        <is>
          <t>현도면</t>
        </is>
      </c>
      <c r="G9096" s="3" t="inlineStr">
        <is>
          <t>선동리</t>
        </is>
      </c>
      <c r="H9096" s="3" t="inlineStr">
        <is>
          <t>용도미지정</t>
        </is>
      </c>
      <c r="I9096" s="3" t="inlineStr">
        <is>
          <t>대</t>
        </is>
      </c>
      <c r="J9096" s="3" t="inlineStr">
        <is>
          <t>현도면</t>
        </is>
      </c>
    </row>
    <row r="9097">
      <c r="A9097" s="3" t="n">
        <v>2022</v>
      </c>
      <c r="B9097" s="4" t="n">
        <v>354</v>
      </c>
      <c r="C9097" s="4" t="n">
        <v>9</v>
      </c>
      <c r="D9097" s="4" t="n">
        <v>2.7225</v>
      </c>
      <c r="E9097" s="5" t="n">
        <v>130</v>
      </c>
      <c r="F9097" s="3" t="inlineStr">
        <is>
          <t>남이면</t>
        </is>
      </c>
      <c r="G9097" s="3" t="inlineStr">
        <is>
          <t>석판리</t>
        </is>
      </c>
      <c r="H9097" s="3" t="inlineStr">
        <is>
          <t>자연녹지지역</t>
        </is>
      </c>
      <c r="I9097" s="3" t="inlineStr">
        <is>
          <t>전</t>
        </is>
      </c>
      <c r="J9097" s="3" t="inlineStr">
        <is>
          <t>남이면</t>
        </is>
      </c>
    </row>
    <row r="9098">
      <c r="A9098" s="3" t="n">
        <v>2022</v>
      </c>
      <c r="B9098" s="4" t="n">
        <v>6209</v>
      </c>
      <c r="C9098" s="4" t="n">
        <v>158</v>
      </c>
      <c r="D9098" s="4" t="n">
        <v>47.795</v>
      </c>
      <c r="E9098" s="5" t="n">
        <v>129.9</v>
      </c>
      <c r="F9098" s="3" t="inlineStr">
        <is>
          <t>남이면</t>
        </is>
      </c>
      <c r="G9098" s="3" t="inlineStr">
        <is>
          <t>석판리</t>
        </is>
      </c>
      <c r="H9098" s="3" t="inlineStr">
        <is>
          <t>자연녹지지역</t>
        </is>
      </c>
      <c r="I9098" s="3" t="inlineStr">
        <is>
          <t>전</t>
        </is>
      </c>
      <c r="J9098" s="3" t="inlineStr">
        <is>
          <t>남이면</t>
        </is>
      </c>
    </row>
    <row r="9099">
      <c r="A9099" s="3" t="n">
        <v>2022</v>
      </c>
      <c r="B9099" s="4" t="n">
        <v>225</v>
      </c>
      <c r="C9099" s="4" t="n">
        <v>54</v>
      </c>
      <c r="D9099" s="4" t="n">
        <v>16.335</v>
      </c>
      <c r="E9099" s="5" t="n">
        <v>13.8</v>
      </c>
      <c r="F9099" s="3" t="inlineStr">
        <is>
          <t>현도면</t>
        </is>
      </c>
      <c r="G9099" s="3" t="inlineStr">
        <is>
          <t>죽암리</t>
        </is>
      </c>
      <c r="H9099" s="3" t="inlineStr">
        <is>
          <t>계획관리지역</t>
        </is>
      </c>
      <c r="I9099" s="3" t="inlineStr">
        <is>
          <t>답</t>
        </is>
      </c>
      <c r="J9099" s="3" t="inlineStr">
        <is>
          <t>현도면</t>
        </is>
      </c>
    </row>
    <row r="9100">
      <c r="A9100" s="3" t="n">
        <v>2022</v>
      </c>
      <c r="B9100" s="4" t="n">
        <v>662</v>
      </c>
      <c r="C9100" s="4" t="n">
        <v>159</v>
      </c>
      <c r="D9100" s="4" t="n">
        <v>48.0975</v>
      </c>
      <c r="E9100" s="5" t="n">
        <v>13.8</v>
      </c>
      <c r="F9100" s="3" t="inlineStr">
        <is>
          <t>현도면</t>
        </is>
      </c>
      <c r="G9100" s="3" t="inlineStr">
        <is>
          <t>죽암리</t>
        </is>
      </c>
      <c r="H9100" s="3" t="inlineStr">
        <is>
          <t>계획관리지역</t>
        </is>
      </c>
      <c r="I9100" s="3" t="inlineStr">
        <is>
          <t>답</t>
        </is>
      </c>
      <c r="J9100" s="3" t="inlineStr">
        <is>
          <t>현도면</t>
        </is>
      </c>
    </row>
    <row r="9101">
      <c r="A9101" s="3" t="n">
        <v>2022</v>
      </c>
      <c r="B9101" s="4" t="n">
        <v>4131</v>
      </c>
      <c r="C9101" s="4" t="n">
        <v>992</v>
      </c>
      <c r="D9101" s="4" t="n">
        <v>300.08</v>
      </c>
      <c r="E9101" s="5" t="n">
        <v>13.8</v>
      </c>
      <c r="F9101" s="3" t="inlineStr">
        <is>
          <t>현도면</t>
        </is>
      </c>
      <c r="G9101" s="3" t="inlineStr">
        <is>
          <t>죽암리</t>
        </is>
      </c>
      <c r="H9101" s="3" t="inlineStr">
        <is>
          <t>보전관리지역</t>
        </is>
      </c>
      <c r="I9101" s="3" t="inlineStr">
        <is>
          <t>답</t>
        </is>
      </c>
      <c r="J9101" s="3" t="inlineStr">
        <is>
          <t>현도면</t>
        </is>
      </c>
    </row>
    <row r="9102">
      <c r="A9102" s="3" t="n">
        <v>2022</v>
      </c>
      <c r="B9102" s="4" t="n">
        <v>1612</v>
      </c>
      <c r="C9102" s="4" t="n">
        <v>387</v>
      </c>
      <c r="D9102" s="4" t="n">
        <v>117.0675</v>
      </c>
      <c r="E9102" s="5" t="n">
        <v>13.8</v>
      </c>
      <c r="F9102" s="3" t="inlineStr">
        <is>
          <t>현도면</t>
        </is>
      </c>
      <c r="G9102" s="3" t="inlineStr">
        <is>
          <t>죽암리</t>
        </is>
      </c>
      <c r="H9102" s="3" t="inlineStr">
        <is>
          <t>보전관리지역</t>
        </is>
      </c>
      <c r="I9102" s="3" t="inlineStr">
        <is>
          <t>답</t>
        </is>
      </c>
      <c r="J9102" s="3" t="inlineStr">
        <is>
          <t>현도면</t>
        </is>
      </c>
    </row>
    <row r="9103">
      <c r="A9103" s="3" t="n">
        <v>2022</v>
      </c>
      <c r="B9103" s="4" t="n">
        <v>1899</v>
      </c>
      <c r="C9103" s="4" t="n">
        <v>456</v>
      </c>
      <c r="D9103" s="4" t="n">
        <v>137.94</v>
      </c>
      <c r="E9103" s="5" t="n">
        <v>13.8</v>
      </c>
      <c r="F9103" s="3" t="inlineStr">
        <is>
          <t>현도면</t>
        </is>
      </c>
      <c r="G9103" s="3" t="inlineStr">
        <is>
          <t>죽암리</t>
        </is>
      </c>
      <c r="H9103" s="3" t="inlineStr">
        <is>
          <t>보전관리지역</t>
        </is>
      </c>
      <c r="I9103" s="3" t="inlineStr">
        <is>
          <t>답</t>
        </is>
      </c>
      <c r="J9103" s="3" t="inlineStr">
        <is>
          <t>현도면</t>
        </is>
      </c>
    </row>
    <row r="9104">
      <c r="A9104" s="3" t="n">
        <v>2022</v>
      </c>
      <c r="B9104" s="4" t="n">
        <v>12651</v>
      </c>
      <c r="C9104" s="4" t="n">
        <v>3038</v>
      </c>
      <c r="D9104" s="4" t="n">
        <v>918.995</v>
      </c>
      <c r="E9104" s="5" t="n">
        <v>13.8</v>
      </c>
      <c r="F9104" s="3" t="inlineStr">
        <is>
          <t>현도면</t>
        </is>
      </c>
      <c r="G9104" s="3" t="inlineStr">
        <is>
          <t>죽암리</t>
        </is>
      </c>
      <c r="H9104" s="3" t="inlineStr">
        <is>
          <t>보전관리지역</t>
        </is>
      </c>
      <c r="I9104" s="3" t="inlineStr">
        <is>
          <t>답</t>
        </is>
      </c>
      <c r="J9104" s="3" t="inlineStr">
        <is>
          <t>현도면</t>
        </is>
      </c>
    </row>
    <row r="9105">
      <c r="A9105" s="3" t="n">
        <v>2022</v>
      </c>
      <c r="B9105" s="4" t="n">
        <v>1320</v>
      </c>
      <c r="C9105" s="4" t="n">
        <v>317</v>
      </c>
      <c r="D9105" s="4" t="n">
        <v>95.8925</v>
      </c>
      <c r="E9105" s="5" t="n">
        <v>13.8</v>
      </c>
      <c r="F9105" s="3" t="inlineStr">
        <is>
          <t>현도면</t>
        </is>
      </c>
      <c r="G9105" s="3" t="inlineStr">
        <is>
          <t>죽암리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현도면</t>
        </is>
      </c>
    </row>
    <row r="9106">
      <c r="A9106" s="3" t="n">
        <v>2022</v>
      </c>
      <c r="B9106" s="4" t="n">
        <v>22080</v>
      </c>
      <c r="C9106" s="4" t="n">
        <v>1217</v>
      </c>
      <c r="D9106" s="4" t="n">
        <v>368.1425</v>
      </c>
      <c r="E9106" s="5" t="n">
        <v>60</v>
      </c>
      <c r="F9106" s="3" t="inlineStr">
        <is>
          <t>남이면</t>
        </is>
      </c>
      <c r="G9106" s="3" t="inlineStr">
        <is>
          <t>부용외천리</t>
        </is>
      </c>
      <c r="H9106" s="3" t="inlineStr">
        <is>
          <t>계획관리지역</t>
        </is>
      </c>
      <c r="I9106" s="3" t="inlineStr">
        <is>
          <t>답</t>
        </is>
      </c>
      <c r="J9106" s="3" t="inlineStr">
        <is>
          <t>남이면</t>
        </is>
      </c>
    </row>
    <row r="9107">
      <c r="A9107" s="3" t="n">
        <v>2022</v>
      </c>
      <c r="B9107" s="4" t="n">
        <v>2400</v>
      </c>
      <c r="C9107" s="4" t="n">
        <v>192</v>
      </c>
      <c r="D9107" s="4" t="n">
        <v>58.08</v>
      </c>
      <c r="E9107" s="5" t="n">
        <v>41.3</v>
      </c>
      <c r="F9107" s="3" t="inlineStr">
        <is>
          <t>남이면</t>
        </is>
      </c>
      <c r="G9107" s="3" t="inlineStr">
        <is>
          <t>갈원리</t>
        </is>
      </c>
      <c r="H9107" s="3" t="inlineStr">
        <is>
          <t>계획관리지역</t>
        </is>
      </c>
      <c r="I9107" s="3" t="inlineStr">
        <is>
          <t>대</t>
        </is>
      </c>
      <c r="J9107" s="3" t="inlineStr">
        <is>
          <t>남이면</t>
        </is>
      </c>
    </row>
    <row r="9108">
      <c r="A9108" s="3" t="n">
        <v>2022</v>
      </c>
      <c r="B9108" s="4" t="n">
        <v>35920</v>
      </c>
      <c r="C9108" s="4" t="n">
        <v>1979</v>
      </c>
      <c r="D9108" s="4" t="n">
        <v>598.6475</v>
      </c>
      <c r="E9108" s="5" t="n">
        <v>60</v>
      </c>
      <c r="F9108" s="3" t="inlineStr">
        <is>
          <t>현도면</t>
        </is>
      </c>
      <c r="G9108" s="3" t="inlineStr">
        <is>
          <t>우록리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현도면</t>
        </is>
      </c>
    </row>
    <row r="9109">
      <c r="A9109" s="3" t="n">
        <v>2022</v>
      </c>
      <c r="B9109" s="4" t="n">
        <v>90700</v>
      </c>
      <c r="C9109" s="4" t="n">
        <v>955</v>
      </c>
      <c r="D9109" s="4" t="n">
        <v>288.8875</v>
      </c>
      <c r="E9109" s="5" t="n">
        <v>314</v>
      </c>
      <c r="F9109" s="3" t="inlineStr">
        <is>
          <t>남이면</t>
        </is>
      </c>
      <c r="G9109" s="3" t="inlineStr">
        <is>
          <t>석판리</t>
        </is>
      </c>
      <c r="H9109" s="3" t="inlineStr">
        <is>
          <t>자연녹지지역</t>
        </is>
      </c>
      <c r="I9109" s="3" t="inlineStr">
        <is>
          <t>전</t>
        </is>
      </c>
      <c r="J9109" s="3" t="inlineStr">
        <is>
          <t>남이면</t>
        </is>
      </c>
    </row>
    <row r="9110">
      <c r="A9110" s="3" t="n">
        <v>2022</v>
      </c>
      <c r="B9110" s="4" t="n">
        <v>11300</v>
      </c>
      <c r="C9110" s="4" t="n">
        <v>120</v>
      </c>
      <c r="D9110" s="4" t="n">
        <v>36.3</v>
      </c>
      <c r="E9110" s="5" t="n">
        <v>311.3</v>
      </c>
      <c r="F9110" s="3" t="inlineStr">
        <is>
          <t>남이면</t>
        </is>
      </c>
      <c r="G9110" s="3" t="inlineStr">
        <is>
          <t>석판리</t>
        </is>
      </c>
      <c r="H9110" s="3" t="inlineStr">
        <is>
          <t>자연녹지지역</t>
        </is>
      </c>
      <c r="I9110" s="3" t="inlineStr">
        <is>
          <t>임야</t>
        </is>
      </c>
      <c r="J9110" s="3" t="inlineStr">
        <is>
          <t>남이면</t>
        </is>
      </c>
    </row>
    <row r="9111">
      <c r="A9111" s="3" t="n">
        <v>2022</v>
      </c>
      <c r="B9111" s="4" t="n">
        <v>88330</v>
      </c>
      <c r="C9111" s="4" t="n">
        <v>24955</v>
      </c>
      <c r="D9111" s="4" t="n">
        <v>7548.8875</v>
      </c>
      <c r="E9111" s="5" t="n">
        <v>11.7</v>
      </c>
      <c r="F9111" s="3" t="inlineStr">
        <is>
          <t>남이면</t>
        </is>
      </c>
      <c r="G9111" s="3" t="inlineStr">
        <is>
          <t>산막리</t>
        </is>
      </c>
      <c r="H9111" s="3" t="inlineStr">
        <is>
          <t>보전관리지역</t>
        </is>
      </c>
      <c r="I9111" s="3" t="inlineStr">
        <is>
          <t>임야</t>
        </is>
      </c>
      <c r="J9111" s="3" t="inlineStr">
        <is>
          <t>남이면</t>
        </is>
      </c>
    </row>
    <row r="9112">
      <c r="A9112" s="3" t="n">
        <v>2022</v>
      </c>
      <c r="B9112" s="4" t="n">
        <v>10928</v>
      </c>
      <c r="C9112" s="4" t="n">
        <v>3570</v>
      </c>
      <c r="D9112" s="4" t="n">
        <v>1079.925</v>
      </c>
      <c r="E9112" s="5" t="n">
        <v>10.1</v>
      </c>
      <c r="F9112" s="3" t="inlineStr">
        <is>
          <t>남이면</t>
        </is>
      </c>
      <c r="G9112" s="3" t="inlineStr">
        <is>
          <t>산막리</t>
        </is>
      </c>
      <c r="H9112" s="3" t="inlineStr">
        <is>
          <t>보전관리지역</t>
        </is>
      </c>
      <c r="I9112" s="3" t="inlineStr">
        <is>
          <t>임야</t>
        </is>
      </c>
      <c r="J9112" s="3" t="inlineStr">
        <is>
          <t>남이면</t>
        </is>
      </c>
    </row>
    <row r="9113">
      <c r="A9113" s="3" t="n">
        <v>2022</v>
      </c>
      <c r="B9113" s="4" t="n">
        <v>15000</v>
      </c>
      <c r="C9113" s="4" t="n">
        <v>2027</v>
      </c>
      <c r="D9113" s="4" t="n">
        <v>613.1675</v>
      </c>
      <c r="E9113" s="5" t="n">
        <v>24.5</v>
      </c>
      <c r="F9113" s="3" t="inlineStr">
        <is>
          <t>현도면</t>
        </is>
      </c>
      <c r="G9113" s="3" t="inlineStr">
        <is>
          <t>시목리</t>
        </is>
      </c>
      <c r="H9113" s="3" t="inlineStr">
        <is>
          <t>개발제한구역</t>
        </is>
      </c>
      <c r="I9113" s="3" t="inlineStr">
        <is>
          <t>답</t>
        </is>
      </c>
      <c r="J9113" s="3" t="inlineStr">
        <is>
          <t>현도면</t>
        </is>
      </c>
    </row>
    <row r="9114">
      <c r="A9114" s="3" t="n">
        <v>2022</v>
      </c>
      <c r="B9114" s="4" t="n">
        <v>13000</v>
      </c>
      <c r="C9114" s="4" t="n">
        <v>555</v>
      </c>
      <c r="D9114" s="4" t="n">
        <v>167.8875</v>
      </c>
      <c r="E9114" s="5" t="n">
        <v>77.40000000000001</v>
      </c>
      <c r="F9114" s="3" t="inlineStr">
        <is>
          <t>남이면</t>
        </is>
      </c>
      <c r="G9114" s="3" t="inlineStr">
        <is>
          <t>팔봉리</t>
        </is>
      </c>
      <c r="H9114" s="3" t="inlineStr">
        <is>
          <t>보전녹지지역</t>
        </is>
      </c>
      <c r="I9114" s="3" t="inlineStr">
        <is>
          <t>임야</t>
        </is>
      </c>
      <c r="J9114" s="3" t="inlineStr">
        <is>
          <t>남이면</t>
        </is>
      </c>
    </row>
    <row r="9115">
      <c r="A9115" s="3" t="n">
        <v>2025</v>
      </c>
      <c r="B9115" s="4" t="n">
        <v>1500</v>
      </c>
      <c r="C9115" s="4" t="n">
        <v>96</v>
      </c>
      <c r="D9115" s="4" t="n">
        <v>29.04</v>
      </c>
      <c r="E9115" s="5" t="n">
        <v>51.7</v>
      </c>
      <c r="F9115" s="3" t="inlineStr">
        <is>
          <t>오송읍</t>
        </is>
      </c>
      <c r="G9115" s="3" t="inlineStr">
        <is>
          <t>쌍청리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오송읍</t>
        </is>
      </c>
    </row>
    <row r="9116">
      <c r="A9116" s="3" t="n">
        <v>2025</v>
      </c>
      <c r="B9116" s="4" t="n">
        <v>1000</v>
      </c>
      <c r="C9116" s="4" t="n">
        <v>149</v>
      </c>
      <c r="D9116" s="4" t="n">
        <v>45.0725</v>
      </c>
      <c r="E9116" s="5" t="n">
        <v>22.2</v>
      </c>
      <c r="F9116" s="3" t="inlineStr">
        <is>
          <t>강내면</t>
        </is>
      </c>
      <c r="G9116" s="3" t="inlineStr">
        <is>
          <t>학천리</t>
        </is>
      </c>
      <c r="H9116" s="3" t="inlineStr">
        <is>
          <t>생산녹지지역</t>
        </is>
      </c>
      <c r="I9116" s="3" t="inlineStr">
        <is>
          <t>답</t>
        </is>
      </c>
      <c r="J9116" s="3" t="inlineStr">
        <is>
          <t>강내면</t>
        </is>
      </c>
    </row>
    <row r="9117">
      <c r="A9117" s="3" t="n">
        <v>2025</v>
      </c>
      <c r="B9117" s="4" t="n">
        <v>5000</v>
      </c>
      <c r="C9117" s="4" t="n">
        <v>814</v>
      </c>
      <c r="D9117" s="4" t="n">
        <v>246.235</v>
      </c>
      <c r="E9117" s="5" t="n">
        <v>20.3</v>
      </c>
      <c r="F9117" s="3" t="inlineStr">
        <is>
          <t>오송읍</t>
        </is>
      </c>
      <c r="G9117" s="3" t="inlineStr">
        <is>
          <t>쌍청리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오송읍</t>
        </is>
      </c>
    </row>
    <row r="9118">
      <c r="A9118" s="3" t="n">
        <v>2025</v>
      </c>
      <c r="B9118" s="4" t="n">
        <v>15000</v>
      </c>
      <c r="C9118" s="4" t="n">
        <v>1792</v>
      </c>
      <c r="D9118" s="4" t="n">
        <v>542.0799999999999</v>
      </c>
      <c r="E9118" s="5" t="n">
        <v>27.7</v>
      </c>
      <c r="F9118" s="3" t="inlineStr">
        <is>
          <t>오송읍</t>
        </is>
      </c>
      <c r="G9118" s="3" t="inlineStr">
        <is>
          <t>상정리</t>
        </is>
      </c>
      <c r="H9118" s="3" t="inlineStr">
        <is>
          <t>생산관리지역</t>
        </is>
      </c>
      <c r="I9118" s="3" t="inlineStr">
        <is>
          <t>답</t>
        </is>
      </c>
      <c r="J9118" s="3" t="inlineStr">
        <is>
          <t>오송읍</t>
        </is>
      </c>
    </row>
    <row r="9119">
      <c r="A9119" s="3" t="n">
        <v>2025</v>
      </c>
      <c r="B9119" s="4" t="n">
        <v>18000</v>
      </c>
      <c r="C9119" s="4" t="n">
        <v>1983</v>
      </c>
      <c r="D9119" s="4" t="n">
        <v>599.8575</v>
      </c>
      <c r="E9119" s="5" t="n">
        <v>30</v>
      </c>
      <c r="F9119" s="3" t="inlineStr">
        <is>
          <t>강내면</t>
        </is>
      </c>
      <c r="G9119" s="3" t="inlineStr">
        <is>
          <t>학천리</t>
        </is>
      </c>
      <c r="H9119" s="3" t="inlineStr">
        <is>
          <t>보전녹지지역</t>
        </is>
      </c>
      <c r="I9119" s="3" t="inlineStr">
        <is>
          <t>임야</t>
        </is>
      </c>
      <c r="J9119" s="3" t="inlineStr">
        <is>
          <t>강내면</t>
        </is>
      </c>
    </row>
    <row r="9120">
      <c r="A9120" s="3" t="n">
        <v>2025</v>
      </c>
      <c r="B9120" s="4" t="n">
        <v>63500</v>
      </c>
      <c r="C9120" s="4" t="n">
        <v>3620</v>
      </c>
      <c r="D9120" s="4" t="n">
        <v>1095.05</v>
      </c>
      <c r="E9120" s="5" t="n">
        <v>58</v>
      </c>
      <c r="F9120" s="3" t="inlineStr">
        <is>
          <t>오송읍</t>
        </is>
      </c>
      <c r="G9120" s="3" t="inlineStr">
        <is>
          <t>서평리</t>
        </is>
      </c>
      <c r="H9120" s="3" t="inlineStr">
        <is>
          <t>농림지역</t>
        </is>
      </c>
      <c r="I9120" s="3" t="inlineStr">
        <is>
          <t>답</t>
        </is>
      </c>
      <c r="J9120" s="3" t="inlineStr">
        <is>
          <t>오송읍</t>
        </is>
      </c>
    </row>
    <row r="9121">
      <c r="A9121" s="3" t="n">
        <v>2025</v>
      </c>
      <c r="B9121" s="4" t="n">
        <v>36500</v>
      </c>
      <c r="C9121" s="4" t="n">
        <v>2083</v>
      </c>
      <c r="D9121" s="4" t="n">
        <v>630.1075</v>
      </c>
      <c r="E9121" s="5" t="n">
        <v>57.9</v>
      </c>
      <c r="F9121" s="3" t="inlineStr">
        <is>
          <t>오송읍</t>
        </is>
      </c>
      <c r="G9121" s="3" t="inlineStr">
        <is>
          <t>서평리</t>
        </is>
      </c>
      <c r="H9121" s="3" t="inlineStr">
        <is>
          <t>농림지역</t>
        </is>
      </c>
      <c r="I9121" s="3" t="inlineStr">
        <is>
          <t>답</t>
        </is>
      </c>
      <c r="J9121" s="3" t="inlineStr">
        <is>
          <t>오송읍</t>
        </is>
      </c>
    </row>
    <row r="9122">
      <c r="A9122" s="3" t="n">
        <v>2025</v>
      </c>
      <c r="B9122" s="4" t="n">
        <v>9650</v>
      </c>
      <c r="C9122" s="4" t="n">
        <v>1772</v>
      </c>
      <c r="D9122" s="4" t="n">
        <v>536.03</v>
      </c>
      <c r="E9122" s="5" t="n">
        <v>18</v>
      </c>
      <c r="F9122" s="3" t="inlineStr">
        <is>
          <t>강내면</t>
        </is>
      </c>
      <c r="G9122" s="3" t="inlineStr">
        <is>
          <t>산단리</t>
        </is>
      </c>
      <c r="H9122" s="3" t="inlineStr">
        <is>
          <t>계획관리지역</t>
        </is>
      </c>
      <c r="I9122" s="3" t="inlineStr">
        <is>
          <t>임야</t>
        </is>
      </c>
      <c r="J9122" s="3" t="inlineStr">
        <is>
          <t>강내면</t>
        </is>
      </c>
    </row>
    <row r="9123">
      <c r="A9123" s="3" t="n">
        <v>2025</v>
      </c>
      <c r="B9123" s="4" t="n">
        <v>35200</v>
      </c>
      <c r="C9123" s="4" t="n">
        <v>267.5</v>
      </c>
      <c r="D9123" s="4" t="n">
        <v>80.91875</v>
      </c>
      <c r="E9123" s="5" t="n">
        <v>435</v>
      </c>
      <c r="F9123" s="3" t="inlineStr">
        <is>
          <t>오송읍</t>
        </is>
      </c>
      <c r="G9123" s="3" t="inlineStr">
        <is>
          <t>봉산리</t>
        </is>
      </c>
      <c r="H9123" s="3" t="inlineStr">
        <is>
          <t>제1종일반주거지역</t>
        </is>
      </c>
      <c r="I9123" s="3" t="inlineStr">
        <is>
          <t>대</t>
        </is>
      </c>
      <c r="J9123" s="3" t="inlineStr">
        <is>
          <t>오송읍</t>
        </is>
      </c>
    </row>
    <row r="9124">
      <c r="A9124" s="3" t="n">
        <v>2025</v>
      </c>
      <c r="B9124" s="4" t="n">
        <v>2723</v>
      </c>
      <c r="C9124" s="4" t="n">
        <v>45</v>
      </c>
      <c r="D9124" s="4" t="n">
        <v>13.6125</v>
      </c>
      <c r="E9124" s="5" t="n">
        <v>200</v>
      </c>
      <c r="F9124" s="3" t="inlineStr">
        <is>
          <t>오송읍</t>
        </is>
      </c>
      <c r="G9124" s="3" t="inlineStr">
        <is>
          <t>궁평리</t>
        </is>
      </c>
      <c r="H9124" s="3" t="inlineStr">
        <is>
          <t>농림지역</t>
        </is>
      </c>
      <c r="I9124" s="3" t="inlineStr">
        <is>
          <t>답</t>
        </is>
      </c>
      <c r="J9124" s="3" t="inlineStr">
        <is>
          <t>오송읍</t>
        </is>
      </c>
    </row>
    <row r="9125">
      <c r="A9125" s="3" t="n">
        <v>2025</v>
      </c>
      <c r="B9125" s="4" t="n">
        <v>36000</v>
      </c>
      <c r="C9125" s="4" t="n">
        <v>267.6</v>
      </c>
      <c r="D9125" s="4" t="n">
        <v>80.949</v>
      </c>
      <c r="E9125" s="5" t="n">
        <v>444.7</v>
      </c>
      <c r="F9125" s="3" t="inlineStr">
        <is>
          <t>오송읍</t>
        </is>
      </c>
      <c r="G9125" s="3" t="inlineStr">
        <is>
          <t>봉산리</t>
        </is>
      </c>
      <c r="H9125" s="3" t="inlineStr">
        <is>
          <t>제1종일반주거지역</t>
        </is>
      </c>
      <c r="I9125" s="3" t="inlineStr">
        <is>
          <t>대</t>
        </is>
      </c>
      <c r="J9125" s="3" t="inlineStr">
        <is>
          <t>오송읍</t>
        </is>
      </c>
    </row>
    <row r="9126">
      <c r="A9126" s="3" t="n">
        <v>2025</v>
      </c>
      <c r="B9126" s="4" t="n">
        <v>9946</v>
      </c>
      <c r="C9126" s="4" t="n">
        <v>274</v>
      </c>
      <c r="D9126" s="4" t="n">
        <v>82.88499999999999</v>
      </c>
      <c r="E9126" s="5" t="n">
        <v>120</v>
      </c>
      <c r="F9126" s="3" t="inlineStr">
        <is>
          <t>강내면</t>
        </is>
      </c>
      <c r="G9126" s="3" t="inlineStr">
        <is>
          <t>석화리</t>
        </is>
      </c>
      <c r="H9126" s="3" t="inlineStr">
        <is>
          <t>자연녹지지역</t>
        </is>
      </c>
      <c r="I9126" s="3" t="inlineStr">
        <is>
          <t>대</t>
        </is>
      </c>
      <c r="J9126" s="3" t="inlineStr">
        <is>
          <t>강내면</t>
        </is>
      </c>
    </row>
    <row r="9127">
      <c r="A9127" s="3" t="n">
        <v>2025</v>
      </c>
      <c r="B9127" s="4" t="n">
        <v>13540</v>
      </c>
      <c r="C9127" s="4" t="n">
        <v>373</v>
      </c>
      <c r="D9127" s="4" t="n">
        <v>112.8325</v>
      </c>
      <c r="E9127" s="5" t="n">
        <v>120</v>
      </c>
      <c r="F9127" s="3" t="inlineStr">
        <is>
          <t>강내면</t>
        </is>
      </c>
      <c r="G9127" s="3" t="inlineStr">
        <is>
          <t>석화리</t>
        </is>
      </c>
      <c r="H9127" s="3" t="inlineStr">
        <is>
          <t>자연녹지지역</t>
        </is>
      </c>
      <c r="I9127" s="3" t="inlineStr">
        <is>
          <t>대</t>
        </is>
      </c>
      <c r="J9127" s="3" t="inlineStr">
        <is>
          <t>강내면</t>
        </is>
      </c>
    </row>
    <row r="9128">
      <c r="A9128" s="3" t="n">
        <v>2025</v>
      </c>
      <c r="B9128" s="4" t="n">
        <v>13267</v>
      </c>
      <c r="C9128" s="4" t="n">
        <v>2182</v>
      </c>
      <c r="D9128" s="4" t="n">
        <v>660.0549999999999</v>
      </c>
      <c r="E9128" s="5" t="n">
        <v>20.1</v>
      </c>
      <c r="F9128" s="3" t="inlineStr">
        <is>
          <t>강내면</t>
        </is>
      </c>
      <c r="G9128" s="3" t="inlineStr">
        <is>
          <t>황탄리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강내면</t>
        </is>
      </c>
    </row>
    <row r="9129">
      <c r="A9129" s="3" t="n">
        <v>2025</v>
      </c>
      <c r="B9129" s="4" t="n">
        <v>6000</v>
      </c>
      <c r="C9129" s="4" t="n">
        <v>165</v>
      </c>
      <c r="D9129" s="4" t="n">
        <v>49.9125</v>
      </c>
      <c r="E9129" s="5" t="n">
        <v>120.2</v>
      </c>
      <c r="F9129" s="3" t="inlineStr">
        <is>
          <t>강내면</t>
        </is>
      </c>
      <c r="G9129" s="3" t="inlineStr">
        <is>
          <t>사인리</t>
        </is>
      </c>
      <c r="H9129" s="3" t="inlineStr">
        <is>
          <t>자연녹지지역</t>
        </is>
      </c>
      <c r="I9129" s="3" t="inlineStr">
        <is>
          <t>대</t>
        </is>
      </c>
      <c r="J9129" s="3" t="inlineStr">
        <is>
          <t>강내면</t>
        </is>
      </c>
    </row>
    <row r="9130">
      <c r="A9130" s="3" t="n">
        <v>2025</v>
      </c>
      <c r="B9130" s="4" t="n">
        <v>28879</v>
      </c>
      <c r="C9130" s="4" t="n">
        <v>546.3</v>
      </c>
      <c r="D9130" s="4" t="n">
        <v>165.25575</v>
      </c>
      <c r="E9130" s="5" t="n">
        <v>174.8</v>
      </c>
      <c r="F9130" s="3" t="inlineStr">
        <is>
          <t>강내면</t>
        </is>
      </c>
      <c r="G9130" s="3" t="inlineStr">
        <is>
          <t>사곡리</t>
        </is>
      </c>
      <c r="H9130" s="3" t="inlineStr">
        <is>
          <t>보전관리지역</t>
        </is>
      </c>
      <c r="I9130" s="3" t="inlineStr">
        <is>
          <t>대</t>
        </is>
      </c>
      <c r="J9130" s="3" t="inlineStr">
        <is>
          <t>강내면</t>
        </is>
      </c>
    </row>
    <row r="9131">
      <c r="A9131" s="3" t="n">
        <v>2025</v>
      </c>
      <c r="B9131" s="4" t="n">
        <v>24374</v>
      </c>
      <c r="C9131" s="4" t="n">
        <v>465</v>
      </c>
      <c r="D9131" s="4" t="n">
        <v>140.6625</v>
      </c>
      <c r="E9131" s="5" t="n">
        <v>173.3</v>
      </c>
      <c r="F9131" s="3" t="inlineStr">
        <is>
          <t>강내면</t>
        </is>
      </c>
      <c r="G9131" s="3" t="inlineStr">
        <is>
          <t>사곡리</t>
        </is>
      </c>
      <c r="H9131" s="3" t="inlineStr">
        <is>
          <t>보전관리지역</t>
        </is>
      </c>
      <c r="I9131" s="3" t="inlineStr">
        <is>
          <t>대</t>
        </is>
      </c>
      <c r="J9131" s="3" t="inlineStr">
        <is>
          <t>강내면</t>
        </is>
      </c>
    </row>
    <row r="9132">
      <c r="A9132" s="3" t="n">
        <v>2025</v>
      </c>
      <c r="B9132" s="4" t="n">
        <v>41334</v>
      </c>
      <c r="C9132" s="4" t="n">
        <v>2469</v>
      </c>
      <c r="D9132" s="4" t="n">
        <v>746.8724999999999</v>
      </c>
      <c r="E9132" s="5" t="n">
        <v>55.3</v>
      </c>
      <c r="F9132" s="3" t="inlineStr">
        <is>
          <t>강내면</t>
        </is>
      </c>
      <c r="G9132" s="3" t="inlineStr">
        <is>
          <t>태성리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강내면</t>
        </is>
      </c>
    </row>
    <row r="9133">
      <c r="A9133" s="3" t="n">
        <v>2025</v>
      </c>
      <c r="B9133" s="4" t="n">
        <v>34500</v>
      </c>
      <c r="C9133" s="4" t="n">
        <v>2116</v>
      </c>
      <c r="D9133" s="4" t="n">
        <v>640.09</v>
      </c>
      <c r="E9133" s="5" t="n">
        <v>53.9</v>
      </c>
      <c r="F9133" s="3" t="inlineStr">
        <is>
          <t>강내면</t>
        </is>
      </c>
      <c r="G9133" s="3" t="inlineStr">
        <is>
          <t>태성리</t>
        </is>
      </c>
      <c r="H9133" s="3" t="inlineStr">
        <is>
          <t>계획관리지역</t>
        </is>
      </c>
      <c r="I9133" s="3" t="inlineStr">
        <is>
          <t>답</t>
        </is>
      </c>
      <c r="J9133" s="3" t="inlineStr">
        <is>
          <t>강내면</t>
        </is>
      </c>
    </row>
    <row r="9134">
      <c r="A9134" s="3" t="n">
        <v>2025</v>
      </c>
      <c r="B9134" s="4" t="n">
        <v>65166</v>
      </c>
      <c r="C9134" s="4" t="n">
        <v>3940</v>
      </c>
      <c r="D9134" s="4" t="n">
        <v>1191.85</v>
      </c>
      <c r="E9134" s="5" t="n">
        <v>54.7</v>
      </c>
      <c r="F9134" s="3" t="inlineStr">
        <is>
          <t>강내면</t>
        </is>
      </c>
      <c r="G9134" s="3" t="inlineStr">
        <is>
          <t>태성리</t>
        </is>
      </c>
      <c r="H9134" s="3" t="inlineStr">
        <is>
          <t>계획관리지역</t>
        </is>
      </c>
      <c r="I9134" s="3" t="inlineStr">
        <is>
          <t>답</t>
        </is>
      </c>
      <c r="J9134" s="3" t="inlineStr">
        <is>
          <t>강내면</t>
        </is>
      </c>
    </row>
    <row r="9135">
      <c r="A9135" s="3" t="n">
        <v>2025</v>
      </c>
      <c r="B9135" s="4" t="n">
        <v>36000</v>
      </c>
      <c r="C9135" s="4" t="n">
        <v>1931</v>
      </c>
      <c r="D9135" s="4" t="n">
        <v>584.1274999999999</v>
      </c>
      <c r="E9135" s="5" t="n">
        <v>61.6</v>
      </c>
      <c r="F9135" s="3" t="inlineStr">
        <is>
          <t>강내면</t>
        </is>
      </c>
      <c r="G9135" s="3" t="inlineStr">
        <is>
          <t>월탄리</t>
        </is>
      </c>
      <c r="H9135" s="3" t="inlineStr">
        <is>
          <t>계획관리지역</t>
        </is>
      </c>
      <c r="I9135" s="3" t="inlineStr">
        <is>
          <t>임야</t>
        </is>
      </c>
      <c r="J9135" s="3" t="inlineStr">
        <is>
          <t>강내면</t>
        </is>
      </c>
    </row>
    <row r="9136">
      <c r="A9136" s="3" t="n">
        <v>2023</v>
      </c>
      <c r="B9136" s="4" t="n">
        <v>6685</v>
      </c>
      <c r="C9136" s="4" t="n">
        <v>1105</v>
      </c>
      <c r="D9136" s="4" t="n">
        <v>334.2625</v>
      </c>
      <c r="E9136" s="5" t="n">
        <v>20</v>
      </c>
      <c r="F9136" s="3" t="inlineStr">
        <is>
          <t>남이면</t>
        </is>
      </c>
      <c r="G9136" s="3" t="inlineStr">
        <is>
          <t>문동리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남이면</t>
        </is>
      </c>
    </row>
    <row r="9137">
      <c r="A9137" s="3" t="n">
        <v>2023</v>
      </c>
      <c r="B9137" s="4" t="n">
        <v>10642</v>
      </c>
      <c r="C9137" s="4" t="n">
        <v>1759</v>
      </c>
      <c r="D9137" s="4" t="n">
        <v>532.0975</v>
      </c>
      <c r="E9137" s="5" t="n">
        <v>20</v>
      </c>
      <c r="F9137" s="3" t="inlineStr">
        <is>
          <t>남이면</t>
        </is>
      </c>
      <c r="G9137" s="3" t="inlineStr">
        <is>
          <t>문동리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남이면</t>
        </is>
      </c>
    </row>
    <row r="9138">
      <c r="A9138" s="3" t="n">
        <v>2023</v>
      </c>
      <c r="B9138" s="4" t="n">
        <v>16968</v>
      </c>
      <c r="C9138" s="4" t="n">
        <v>935</v>
      </c>
      <c r="D9138" s="4" t="n">
        <v>282.8375</v>
      </c>
      <c r="E9138" s="5" t="n">
        <v>60</v>
      </c>
      <c r="F9138" s="3" t="inlineStr">
        <is>
          <t>남이면</t>
        </is>
      </c>
      <c r="G9138" s="3" t="inlineStr">
        <is>
          <t>양촌리</t>
        </is>
      </c>
      <c r="H9138" s="3" t="inlineStr">
        <is>
          <t>보전관리지역</t>
        </is>
      </c>
      <c r="I9138" s="3" t="inlineStr">
        <is>
          <t>임야</t>
        </is>
      </c>
      <c r="J9138" s="3" t="inlineStr">
        <is>
          <t>남이면</t>
        </is>
      </c>
    </row>
    <row r="9139">
      <c r="A9139" s="3" t="n">
        <v>2023</v>
      </c>
      <c r="B9139" s="4" t="n">
        <v>36200</v>
      </c>
      <c r="C9139" s="4" t="n">
        <v>861</v>
      </c>
      <c r="D9139" s="4" t="n">
        <v>260.4525</v>
      </c>
      <c r="E9139" s="5" t="n">
        <v>139</v>
      </c>
      <c r="F9139" s="3" t="inlineStr">
        <is>
          <t>남이면</t>
        </is>
      </c>
      <c r="G9139" s="3" t="inlineStr">
        <is>
          <t>구암리</t>
        </is>
      </c>
      <c r="H9139" s="3" t="inlineStr">
        <is>
          <t>자연녹지지역</t>
        </is>
      </c>
      <c r="I9139" s="3" t="inlineStr">
        <is>
          <t>임야</t>
        </is>
      </c>
      <c r="J9139" s="3" t="inlineStr">
        <is>
          <t>남이면</t>
        </is>
      </c>
    </row>
    <row r="9140">
      <c r="A9140" s="3" t="n">
        <v>2023</v>
      </c>
      <c r="B9140" s="4" t="n">
        <v>30000</v>
      </c>
      <c r="C9140" s="4" t="n">
        <v>1217</v>
      </c>
      <c r="D9140" s="4" t="n">
        <v>368.1425</v>
      </c>
      <c r="E9140" s="5" t="n">
        <v>81.5</v>
      </c>
      <c r="F9140" s="3" t="inlineStr">
        <is>
          <t>남이면</t>
        </is>
      </c>
      <c r="G9140" s="3" t="inlineStr">
        <is>
          <t>외천리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남이면</t>
        </is>
      </c>
    </row>
    <row r="9141">
      <c r="A9141" s="3" t="n">
        <v>2023</v>
      </c>
      <c r="B9141" s="4" t="n">
        <v>56760</v>
      </c>
      <c r="C9141" s="4" t="n">
        <v>1564</v>
      </c>
      <c r="D9141" s="4" t="n">
        <v>473.11</v>
      </c>
      <c r="E9141" s="5" t="n">
        <v>120</v>
      </c>
      <c r="F9141" s="3" t="inlineStr">
        <is>
          <t>남이면</t>
        </is>
      </c>
      <c r="G9141" s="3" t="inlineStr">
        <is>
          <t>석판리</t>
        </is>
      </c>
      <c r="H9141" s="3" t="inlineStr">
        <is>
          <t>자연녹지지역</t>
        </is>
      </c>
      <c r="I9141" s="3" t="inlineStr">
        <is>
          <t>임야</t>
        </is>
      </c>
      <c r="J9141" s="3" t="inlineStr">
        <is>
          <t>남이면</t>
        </is>
      </c>
    </row>
    <row r="9142">
      <c r="A9142" s="3" t="n">
        <v>2023</v>
      </c>
      <c r="B9142" s="4" t="n">
        <v>10000</v>
      </c>
      <c r="C9142" s="4" t="n">
        <v>990</v>
      </c>
      <c r="D9142" s="4" t="n">
        <v>299.475</v>
      </c>
      <c r="E9142" s="5" t="n">
        <v>33.4</v>
      </c>
      <c r="F9142" s="3" t="inlineStr">
        <is>
          <t>남이면</t>
        </is>
      </c>
      <c r="G9142" s="3" t="inlineStr">
        <is>
          <t>가좌리</t>
        </is>
      </c>
      <c r="H9142" s="3" t="inlineStr">
        <is>
          <t>보전녹지지역</t>
        </is>
      </c>
      <c r="I9142" s="3" t="inlineStr">
        <is>
          <t>임야</t>
        </is>
      </c>
      <c r="J9142" s="3" t="inlineStr">
        <is>
          <t>남이면</t>
        </is>
      </c>
    </row>
    <row r="9143">
      <c r="A9143" s="3" t="n">
        <v>2023</v>
      </c>
      <c r="B9143" s="4" t="n">
        <v>13000</v>
      </c>
      <c r="C9143" s="4" t="n">
        <v>1510.5</v>
      </c>
      <c r="D9143" s="4" t="n">
        <v>456.92625</v>
      </c>
      <c r="E9143" s="5" t="n">
        <v>28.5</v>
      </c>
      <c r="F9143" s="3" t="inlineStr">
        <is>
          <t>남이면</t>
        </is>
      </c>
      <c r="G9143" s="3" t="inlineStr">
        <is>
          <t>대련리</t>
        </is>
      </c>
      <c r="H9143" s="3" t="inlineStr">
        <is>
          <t>자연녹지지역</t>
        </is>
      </c>
      <c r="I9143" s="3" t="inlineStr">
        <is>
          <t>전</t>
        </is>
      </c>
      <c r="J9143" s="3" t="inlineStr">
        <is>
          <t>남이면</t>
        </is>
      </c>
    </row>
    <row r="9144">
      <c r="A9144" s="3" t="n">
        <v>2023</v>
      </c>
      <c r="B9144" s="4" t="n">
        <v>4500</v>
      </c>
      <c r="C9144" s="4" t="n">
        <v>293</v>
      </c>
      <c r="D9144" s="4" t="n">
        <v>88.63249999999999</v>
      </c>
      <c r="E9144" s="5" t="n">
        <v>50.8</v>
      </c>
      <c r="F9144" s="3" t="inlineStr">
        <is>
          <t>현도면</t>
        </is>
      </c>
      <c r="G9144" s="3" t="inlineStr">
        <is>
          <t>중척리</t>
        </is>
      </c>
      <c r="H9144" s="3" t="inlineStr">
        <is>
          <t>자연녹지지역</t>
        </is>
      </c>
      <c r="I9144" s="3" t="inlineStr">
        <is>
          <t>답</t>
        </is>
      </c>
      <c r="J9144" s="3" t="inlineStr">
        <is>
          <t>현도면</t>
        </is>
      </c>
    </row>
    <row r="9145">
      <c r="A9145" s="3" t="n">
        <v>2026</v>
      </c>
      <c r="B9145" s="4" t="n">
        <v>6413</v>
      </c>
      <c r="C9145" s="4" t="n">
        <v>106</v>
      </c>
      <c r="D9145" s="4" t="n">
        <v>32.065</v>
      </c>
      <c r="E9145" s="5" t="n">
        <v>200</v>
      </c>
      <c r="F9145" s="3" t="inlineStr">
        <is>
          <t>오송읍</t>
        </is>
      </c>
      <c r="G9145" s="3" t="inlineStr">
        <is>
          <t>궁평리</t>
        </is>
      </c>
      <c r="H9145" s="3" t="inlineStr">
        <is>
          <t>용도미지정</t>
        </is>
      </c>
      <c r="I9145" s="3" t="inlineStr">
        <is>
          <t>대</t>
        </is>
      </c>
      <c r="J9145" s="3" t="inlineStr">
        <is>
          <t>오송읍</t>
        </is>
      </c>
    </row>
    <row r="9146">
      <c r="A9146" s="3" t="n">
        <v>2026</v>
      </c>
      <c r="B9146" s="4" t="n">
        <v>44000</v>
      </c>
      <c r="C9146" s="4" t="n">
        <v>2430</v>
      </c>
      <c r="D9146" s="4" t="n">
        <v>735.0749999999999</v>
      </c>
      <c r="E9146" s="5" t="n">
        <v>59.9</v>
      </c>
      <c r="F9146" s="3" t="inlineStr">
        <is>
          <t>오송읍</t>
        </is>
      </c>
      <c r="G9146" s="3" t="inlineStr">
        <is>
          <t>서평리</t>
        </is>
      </c>
      <c r="H9146" s="3" t="inlineStr">
        <is>
          <t>농림지역</t>
        </is>
      </c>
      <c r="I9146" s="3" t="inlineStr">
        <is>
          <t>답</t>
        </is>
      </c>
      <c r="J9146" s="3" t="inlineStr">
        <is>
          <t>오송읍</t>
        </is>
      </c>
    </row>
    <row r="9147">
      <c r="A9147" s="3" t="n">
        <v>2026</v>
      </c>
      <c r="B9147" s="4" t="n">
        <v>45280</v>
      </c>
      <c r="C9147" s="4" t="n">
        <v>935</v>
      </c>
      <c r="D9147" s="4" t="n">
        <v>282.8375</v>
      </c>
      <c r="E9147" s="5" t="n">
        <v>160.1</v>
      </c>
      <c r="F9147" s="3" t="inlineStr">
        <is>
          <t>강내면</t>
        </is>
      </c>
      <c r="G9147" s="3" t="inlineStr">
        <is>
          <t>사곡리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강내면</t>
        </is>
      </c>
    </row>
    <row r="9148">
      <c r="A9148" s="3" t="n">
        <v>2022</v>
      </c>
      <c r="B9148" s="4" t="n">
        <v>4310</v>
      </c>
      <c r="C9148" s="4" t="n">
        <v>714</v>
      </c>
      <c r="D9148" s="4" t="n">
        <v>215.985</v>
      </c>
      <c r="E9148" s="5" t="n">
        <v>20</v>
      </c>
      <c r="F9148" s="3" t="inlineStr">
        <is>
          <t>남이면</t>
        </is>
      </c>
      <c r="G9148" s="3" t="inlineStr">
        <is>
          <t>부용외천리</t>
        </is>
      </c>
      <c r="H9148" s="3" t="inlineStr">
        <is>
          <t>보전관리지역</t>
        </is>
      </c>
      <c r="I9148" s="3" t="inlineStr">
        <is>
          <t>임야</t>
        </is>
      </c>
      <c r="J9148" s="3" t="inlineStr">
        <is>
          <t>남이면</t>
        </is>
      </c>
    </row>
    <row r="9149">
      <c r="A9149" s="3" t="n">
        <v>2022</v>
      </c>
      <c r="B9149" s="4" t="n">
        <v>60000</v>
      </c>
      <c r="C9149" s="4" t="n">
        <v>6347</v>
      </c>
      <c r="D9149" s="4" t="n">
        <v>1919.9675</v>
      </c>
      <c r="E9149" s="5" t="n">
        <v>31.3</v>
      </c>
      <c r="F9149" s="3" t="inlineStr">
        <is>
          <t>남이면</t>
        </is>
      </c>
      <c r="G9149" s="3" t="inlineStr">
        <is>
          <t>석실리</t>
        </is>
      </c>
      <c r="H9149" s="3" t="inlineStr">
        <is>
          <t>보전녹지지역</t>
        </is>
      </c>
      <c r="I9149" s="3" t="inlineStr">
        <is>
          <t>임야</t>
        </is>
      </c>
      <c r="J9149" s="3" t="inlineStr">
        <is>
          <t>남이면</t>
        </is>
      </c>
    </row>
    <row r="9150">
      <c r="A9150" s="3" t="n">
        <v>2022</v>
      </c>
      <c r="B9150" s="4" t="n">
        <v>36000</v>
      </c>
      <c r="C9150" s="4" t="n">
        <v>1009</v>
      </c>
      <c r="D9150" s="4" t="n">
        <v>305.2225</v>
      </c>
      <c r="E9150" s="5" t="n">
        <v>117.9</v>
      </c>
      <c r="F9150" s="3" t="inlineStr">
        <is>
          <t>남이면</t>
        </is>
      </c>
      <c r="G9150" s="3" t="inlineStr">
        <is>
          <t>비룡리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남이면</t>
        </is>
      </c>
    </row>
    <row r="9151">
      <c r="A9151" s="3" t="n">
        <v>2022</v>
      </c>
      <c r="B9151" s="4" t="n">
        <v>3000</v>
      </c>
      <c r="C9151" s="4" t="n">
        <v>85</v>
      </c>
      <c r="D9151" s="4" t="n">
        <v>25.7125</v>
      </c>
      <c r="E9151" s="5" t="n">
        <v>116.7</v>
      </c>
      <c r="F9151" s="3" t="inlineStr">
        <is>
          <t>남이면</t>
        </is>
      </c>
      <c r="G9151" s="3" t="inlineStr">
        <is>
          <t>비룡리</t>
        </is>
      </c>
      <c r="H9151" s="3" t="inlineStr">
        <is>
          <t>계획관리지역</t>
        </is>
      </c>
      <c r="I9151" s="3" t="inlineStr">
        <is>
          <t>전</t>
        </is>
      </c>
      <c r="J9151" s="3" t="inlineStr">
        <is>
          <t>남이면</t>
        </is>
      </c>
    </row>
    <row r="9152">
      <c r="A9152" s="3" t="n">
        <v>2022</v>
      </c>
      <c r="B9152" s="4" t="n">
        <v>21737</v>
      </c>
      <c r="C9152" s="4" t="n">
        <v>660</v>
      </c>
      <c r="D9152" s="4" t="n">
        <v>199.65</v>
      </c>
      <c r="E9152" s="5" t="n">
        <v>108.9</v>
      </c>
      <c r="F9152" s="3" t="inlineStr">
        <is>
          <t>남이면</t>
        </is>
      </c>
      <c r="G9152" s="3" t="inlineStr">
        <is>
          <t>가좌리</t>
        </is>
      </c>
      <c r="H9152" s="3" t="inlineStr">
        <is>
          <t>보전녹지지역</t>
        </is>
      </c>
      <c r="I9152" s="3" t="inlineStr">
        <is>
          <t>임야</t>
        </is>
      </c>
      <c r="J9152" s="3" t="inlineStr">
        <is>
          <t>남이면</t>
        </is>
      </c>
    </row>
    <row r="9153">
      <c r="A9153" s="3" t="n">
        <v>2022</v>
      </c>
      <c r="B9153" s="4" t="n">
        <v>3063</v>
      </c>
      <c r="C9153" s="4" t="n">
        <v>93</v>
      </c>
      <c r="D9153" s="4" t="n">
        <v>28.1325</v>
      </c>
      <c r="E9153" s="5" t="n">
        <v>108.9</v>
      </c>
      <c r="F9153" s="3" t="inlineStr">
        <is>
          <t>남이면</t>
        </is>
      </c>
      <c r="G9153" s="3" t="inlineStr">
        <is>
          <t>가좌리</t>
        </is>
      </c>
      <c r="H9153" s="3" t="inlineStr">
        <is>
          <t>보전녹지지역</t>
        </is>
      </c>
      <c r="I9153" s="3" t="inlineStr">
        <is>
          <t>도로</t>
        </is>
      </c>
      <c r="J9153" s="3" t="inlineStr">
        <is>
          <t>남이면</t>
        </is>
      </c>
    </row>
    <row r="9154">
      <c r="A9154" s="3" t="n">
        <v>2022</v>
      </c>
      <c r="B9154" s="4" t="n">
        <v>9000</v>
      </c>
      <c r="C9154" s="4" t="n">
        <v>724</v>
      </c>
      <c r="D9154" s="4" t="n">
        <v>219.01</v>
      </c>
      <c r="E9154" s="5" t="n">
        <v>41.1</v>
      </c>
      <c r="F9154" s="3" t="inlineStr">
        <is>
          <t>남이면</t>
        </is>
      </c>
      <c r="G9154" s="3" t="inlineStr">
        <is>
          <t>구암리</t>
        </is>
      </c>
      <c r="H9154" s="3" t="inlineStr">
        <is>
          <t>자연녹지지역</t>
        </is>
      </c>
      <c r="I9154" s="3" t="inlineStr">
        <is>
          <t>임야</t>
        </is>
      </c>
      <c r="J9154" s="3" t="inlineStr">
        <is>
          <t>남이면</t>
        </is>
      </c>
    </row>
    <row r="9155">
      <c r="A9155" s="3" t="n">
        <v>2022</v>
      </c>
      <c r="B9155" s="4" t="n">
        <v>6630</v>
      </c>
      <c r="C9155" s="4" t="n">
        <v>731</v>
      </c>
      <c r="D9155" s="4" t="n">
        <v>221.1275</v>
      </c>
      <c r="E9155" s="5" t="n">
        <v>30</v>
      </c>
      <c r="F9155" s="3" t="inlineStr">
        <is>
          <t>현도면</t>
        </is>
      </c>
      <c r="G9155" s="3" t="inlineStr">
        <is>
          <t>우록리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현도면</t>
        </is>
      </c>
    </row>
    <row r="9156">
      <c r="A9156" s="3" t="n">
        <v>2022</v>
      </c>
      <c r="B9156" s="4" t="n">
        <v>7443</v>
      </c>
      <c r="C9156" s="4" t="n">
        <v>594</v>
      </c>
      <c r="D9156" s="4" t="n">
        <v>179.685</v>
      </c>
      <c r="E9156" s="5" t="n">
        <v>41.4</v>
      </c>
      <c r="F9156" s="3" t="inlineStr">
        <is>
          <t>남이면</t>
        </is>
      </c>
      <c r="G9156" s="3" t="inlineStr">
        <is>
          <t>석실리</t>
        </is>
      </c>
      <c r="H9156" s="3" t="inlineStr">
        <is>
          <t>자연녹지지역</t>
        </is>
      </c>
      <c r="I9156" s="3" t="inlineStr">
        <is>
          <t>답</t>
        </is>
      </c>
      <c r="J9156" s="3" t="inlineStr">
        <is>
          <t>남이면</t>
        </is>
      </c>
    </row>
    <row r="9157">
      <c r="A9157" s="3" t="n">
        <v>2022</v>
      </c>
      <c r="B9157" s="4" t="n">
        <v>16400</v>
      </c>
      <c r="C9157" s="4" t="n">
        <v>1812</v>
      </c>
      <c r="D9157" s="4" t="n">
        <v>548.13</v>
      </c>
      <c r="E9157" s="5" t="n">
        <v>29.9</v>
      </c>
      <c r="F9157" s="3" t="inlineStr">
        <is>
          <t>현도면</t>
        </is>
      </c>
      <c r="G9157" s="3" t="inlineStr">
        <is>
          <t>노산리</t>
        </is>
      </c>
      <c r="H9157" s="3" t="inlineStr">
        <is>
          <t>개발제한구역</t>
        </is>
      </c>
      <c r="I9157" s="3" t="inlineStr">
        <is>
          <t>답</t>
        </is>
      </c>
      <c r="J9157" s="3" t="inlineStr">
        <is>
          <t>현도면</t>
        </is>
      </c>
    </row>
    <row r="9158">
      <c r="A9158" s="3" t="n">
        <v>2022</v>
      </c>
      <c r="B9158" s="4" t="n">
        <v>18000</v>
      </c>
      <c r="C9158" s="4" t="n">
        <v>880</v>
      </c>
      <c r="D9158" s="4" t="n">
        <v>266.2</v>
      </c>
      <c r="E9158" s="5" t="n">
        <v>67.59999999999999</v>
      </c>
      <c r="F9158" s="3" t="inlineStr">
        <is>
          <t>남이면</t>
        </is>
      </c>
      <c r="G9158" s="3" t="inlineStr">
        <is>
          <t>양촌리</t>
        </is>
      </c>
      <c r="H9158" s="3" t="inlineStr">
        <is>
          <t>자연녹지지역</t>
        </is>
      </c>
      <c r="I9158" s="3" t="inlineStr">
        <is>
          <t>답</t>
        </is>
      </c>
      <c r="J9158" s="3" t="inlineStr">
        <is>
          <t>남이면</t>
        </is>
      </c>
    </row>
    <row r="9159">
      <c r="A9159" s="3" t="n">
        <v>2022</v>
      </c>
      <c r="B9159" s="4" t="n">
        <v>3600</v>
      </c>
      <c r="C9159" s="4" t="n">
        <v>374</v>
      </c>
      <c r="D9159" s="4" t="n">
        <v>113.135</v>
      </c>
      <c r="E9159" s="5" t="n">
        <v>31.8</v>
      </c>
      <c r="F9159" s="3" t="inlineStr">
        <is>
          <t>남이면</t>
        </is>
      </c>
      <c r="G9159" s="3" t="inlineStr">
        <is>
          <t>석실리</t>
        </is>
      </c>
      <c r="H9159" s="3" t="inlineStr">
        <is>
          <t>자연녹지지역</t>
        </is>
      </c>
      <c r="I9159" s="3" t="inlineStr">
        <is>
          <t>묘지</t>
        </is>
      </c>
      <c r="J9159" s="3" t="inlineStr">
        <is>
          <t>남이면</t>
        </is>
      </c>
    </row>
    <row r="9160">
      <c r="A9160" s="3" t="n">
        <v>2022</v>
      </c>
      <c r="B9160" s="4" t="n">
        <v>11360</v>
      </c>
      <c r="C9160" s="4" t="n">
        <v>493.6</v>
      </c>
      <c r="D9160" s="4" t="n">
        <v>149.314</v>
      </c>
      <c r="E9160" s="5" t="n">
        <v>76.09999999999999</v>
      </c>
      <c r="F9160" s="3" t="inlineStr">
        <is>
          <t>남이면</t>
        </is>
      </c>
      <c r="G9160" s="3" t="inlineStr">
        <is>
          <t>가좌리</t>
        </is>
      </c>
      <c r="H9160" s="3" t="inlineStr">
        <is>
          <t>보전녹지지역</t>
        </is>
      </c>
      <c r="I9160" s="3" t="inlineStr">
        <is>
          <t>임야</t>
        </is>
      </c>
      <c r="J9160" s="3" t="inlineStr">
        <is>
          <t>남이면</t>
        </is>
      </c>
    </row>
    <row r="9161">
      <c r="A9161" s="3" t="n">
        <v>2022</v>
      </c>
      <c r="B9161" s="4" t="n">
        <v>12210</v>
      </c>
      <c r="C9161" s="4" t="n">
        <v>1302</v>
      </c>
      <c r="D9161" s="4" t="n">
        <v>393.855</v>
      </c>
      <c r="E9161" s="5" t="n">
        <v>31</v>
      </c>
      <c r="F9161" s="3" t="inlineStr">
        <is>
          <t>남이면</t>
        </is>
      </c>
      <c r="G9161" s="3" t="inlineStr">
        <is>
          <t>척북리</t>
        </is>
      </c>
      <c r="H9161" s="3" t="inlineStr">
        <is>
          <t>농림지역</t>
        </is>
      </c>
      <c r="I9161" s="3" t="inlineStr">
        <is>
          <t>답</t>
        </is>
      </c>
      <c r="J9161" s="3" t="inlineStr">
        <is>
          <t>남이면</t>
        </is>
      </c>
    </row>
    <row r="9162">
      <c r="A9162" s="3" t="n">
        <v>2022</v>
      </c>
      <c r="B9162" s="4" t="n">
        <v>12490</v>
      </c>
      <c r="C9162" s="4" t="n">
        <v>1332</v>
      </c>
      <c r="D9162" s="4" t="n">
        <v>402.93</v>
      </c>
      <c r="E9162" s="5" t="n">
        <v>31</v>
      </c>
      <c r="F9162" s="3" t="inlineStr">
        <is>
          <t>남이면</t>
        </is>
      </c>
      <c r="G9162" s="3" t="inlineStr">
        <is>
          <t>척북리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남이면</t>
        </is>
      </c>
    </row>
    <row r="9163">
      <c r="A9163" s="3" t="n">
        <v>2022</v>
      </c>
      <c r="B9163" s="4" t="n">
        <v>13000</v>
      </c>
      <c r="C9163" s="4" t="n">
        <v>1696</v>
      </c>
      <c r="D9163" s="4" t="n">
        <v>513.04</v>
      </c>
      <c r="E9163" s="5" t="n">
        <v>25.3</v>
      </c>
      <c r="F9163" s="3" t="inlineStr">
        <is>
          <t>남이면</t>
        </is>
      </c>
      <c r="G9163" s="3" t="inlineStr">
        <is>
          <t>비룡리</t>
        </is>
      </c>
      <c r="H9163" s="3" t="inlineStr">
        <is>
          <t>생산관리지역</t>
        </is>
      </c>
      <c r="I9163" s="3" t="inlineStr">
        <is>
          <t>답</t>
        </is>
      </c>
      <c r="J9163" s="3" t="inlineStr">
        <is>
          <t>남이면</t>
        </is>
      </c>
    </row>
    <row r="9164">
      <c r="A9164" s="3" t="n">
        <v>2022</v>
      </c>
      <c r="B9164" s="4" t="n">
        <v>700</v>
      </c>
      <c r="C9164" s="4" t="n">
        <v>191</v>
      </c>
      <c r="D9164" s="4" t="n">
        <v>57.7775</v>
      </c>
      <c r="E9164" s="5" t="n">
        <v>12.1</v>
      </c>
      <c r="F9164" s="3" t="inlineStr">
        <is>
          <t>현도면</t>
        </is>
      </c>
      <c r="G9164" s="3" t="inlineStr">
        <is>
          <t>양지리</t>
        </is>
      </c>
      <c r="H9164" s="3" t="inlineStr">
        <is>
          <t>개발제한구역</t>
        </is>
      </c>
      <c r="I9164" s="3" t="inlineStr">
        <is>
          <t>임야</t>
        </is>
      </c>
      <c r="J9164" s="3" t="inlineStr">
        <is>
          <t>현도면</t>
        </is>
      </c>
    </row>
    <row r="9165">
      <c r="A9165" s="3" t="n">
        <v>2022</v>
      </c>
      <c r="B9165" s="4" t="n">
        <v>12600</v>
      </c>
      <c r="C9165" s="4" t="n">
        <v>558</v>
      </c>
      <c r="D9165" s="4" t="n">
        <v>168.795</v>
      </c>
      <c r="E9165" s="5" t="n">
        <v>74.59999999999999</v>
      </c>
      <c r="F9165" s="3" t="inlineStr">
        <is>
          <t>남이면</t>
        </is>
      </c>
      <c r="G9165" s="3" t="inlineStr">
        <is>
          <t>문동리</t>
        </is>
      </c>
      <c r="H9165" s="3" t="inlineStr">
        <is>
          <t>자연녹지지역</t>
        </is>
      </c>
      <c r="I9165" s="3" t="inlineStr">
        <is>
          <t>전</t>
        </is>
      </c>
      <c r="J9165" s="3" t="inlineStr">
        <is>
          <t>남이면</t>
        </is>
      </c>
    </row>
    <row r="9166">
      <c r="A9166" s="3" t="n">
        <v>2022</v>
      </c>
      <c r="B9166" s="4" t="n">
        <v>64000</v>
      </c>
      <c r="C9166" s="4" t="n">
        <v>1102</v>
      </c>
      <c r="D9166" s="4" t="n">
        <v>333.355</v>
      </c>
      <c r="E9166" s="5" t="n">
        <v>192</v>
      </c>
      <c r="F9166" s="3" t="inlineStr">
        <is>
          <t>남이면</t>
        </is>
      </c>
      <c r="G9166" s="3" t="inlineStr">
        <is>
          <t>가마리</t>
        </is>
      </c>
      <c r="H9166" s="3" t="inlineStr">
        <is>
          <t>자연녹지지역</t>
        </is>
      </c>
      <c r="I9166" s="3" t="inlineStr">
        <is>
          <t>답</t>
        </is>
      </c>
      <c r="J9166" s="3" t="inlineStr">
        <is>
          <t>남이면</t>
        </is>
      </c>
    </row>
    <row r="9167">
      <c r="A9167" s="3" t="n">
        <v>2022</v>
      </c>
      <c r="B9167" s="4" t="n">
        <v>5400</v>
      </c>
      <c r="C9167" s="4" t="n">
        <v>1980</v>
      </c>
      <c r="D9167" s="4" t="n">
        <v>598.9499999999999</v>
      </c>
      <c r="E9167" s="5" t="n">
        <v>9</v>
      </c>
      <c r="F9167" s="3" t="inlineStr">
        <is>
          <t>남이면</t>
        </is>
      </c>
      <c r="G9167" s="3" t="inlineStr">
        <is>
          <t>문동리</t>
        </is>
      </c>
      <c r="H9167" s="3" t="inlineStr">
        <is>
          <t>생산관리지역</t>
        </is>
      </c>
      <c r="I9167" s="3" t="inlineStr">
        <is>
          <t>전</t>
        </is>
      </c>
      <c r="J9167" s="3" t="inlineStr">
        <is>
          <t>남이면</t>
        </is>
      </c>
    </row>
    <row r="9168">
      <c r="A9168" s="3" t="n">
        <v>2022</v>
      </c>
      <c r="B9168" s="4" t="n">
        <v>4600</v>
      </c>
      <c r="C9168" s="4" t="n">
        <v>1471</v>
      </c>
      <c r="D9168" s="4" t="n">
        <v>444.9775</v>
      </c>
      <c r="E9168" s="5" t="n">
        <v>10.3</v>
      </c>
      <c r="F9168" s="3" t="inlineStr">
        <is>
          <t>남이면</t>
        </is>
      </c>
      <c r="G9168" s="3" t="inlineStr">
        <is>
          <t>문동리</t>
        </is>
      </c>
      <c r="H9168" s="3" t="inlineStr">
        <is>
          <t>생산관리지역</t>
        </is>
      </c>
      <c r="I9168" s="3" t="inlineStr">
        <is>
          <t>전</t>
        </is>
      </c>
      <c r="J9168" s="3" t="inlineStr">
        <is>
          <t>남이면</t>
        </is>
      </c>
    </row>
    <row r="9169">
      <c r="A9169" s="3" t="n">
        <v>2022</v>
      </c>
      <c r="B9169" s="4" t="n">
        <v>8890</v>
      </c>
      <c r="C9169" s="4" t="n">
        <v>980</v>
      </c>
      <c r="D9169" s="4" t="n">
        <v>296.45</v>
      </c>
      <c r="E9169" s="5" t="n">
        <v>30</v>
      </c>
      <c r="F9169" s="3" t="inlineStr">
        <is>
          <t>남이면</t>
        </is>
      </c>
      <c r="G9169" s="3" t="inlineStr">
        <is>
          <t>산막리</t>
        </is>
      </c>
      <c r="H9169" s="3" t="inlineStr">
        <is>
          <t>농림지역</t>
        </is>
      </c>
      <c r="I9169" s="3" t="inlineStr">
        <is>
          <t>전</t>
        </is>
      </c>
      <c r="J9169" s="3" t="inlineStr">
        <is>
          <t>남이면</t>
        </is>
      </c>
    </row>
    <row r="9170">
      <c r="A9170" s="3" t="n">
        <v>2022</v>
      </c>
      <c r="B9170" s="4" t="n">
        <v>14150</v>
      </c>
      <c r="C9170" s="4" t="n">
        <v>1559</v>
      </c>
      <c r="D9170" s="4" t="n">
        <v>471.5975</v>
      </c>
      <c r="E9170" s="5" t="n">
        <v>30</v>
      </c>
      <c r="F9170" s="3" t="inlineStr">
        <is>
          <t>남이면</t>
        </is>
      </c>
      <c r="G9170" s="3" t="inlineStr">
        <is>
          <t>산막리</t>
        </is>
      </c>
      <c r="H9170" s="3" t="inlineStr">
        <is>
          <t>농림지역</t>
        </is>
      </c>
      <c r="I9170" s="3" t="inlineStr">
        <is>
          <t>답</t>
        </is>
      </c>
      <c r="J9170" s="3" t="inlineStr">
        <is>
          <t>남이면</t>
        </is>
      </c>
    </row>
    <row r="9171">
      <c r="A9171" s="3" t="n">
        <v>2022</v>
      </c>
      <c r="B9171" s="4" t="n">
        <v>419</v>
      </c>
      <c r="C9171" s="4" t="n">
        <v>19</v>
      </c>
      <c r="D9171" s="4" t="n">
        <v>5.7475</v>
      </c>
      <c r="E9171" s="5" t="n">
        <v>72.90000000000001</v>
      </c>
      <c r="F9171" s="3" t="inlineStr">
        <is>
          <t>남이면</t>
        </is>
      </c>
      <c r="G9171" s="3" t="inlineStr">
        <is>
          <t>척산리</t>
        </is>
      </c>
      <c r="H9171" s="3" t="inlineStr">
        <is>
          <t>자연녹지지역</t>
        </is>
      </c>
      <c r="I9171" s="3" t="inlineStr">
        <is>
          <t>대</t>
        </is>
      </c>
      <c r="J9171" s="3" t="inlineStr">
        <is>
          <t>남이면</t>
        </is>
      </c>
    </row>
    <row r="9172">
      <c r="A9172" s="3" t="n">
        <v>2022</v>
      </c>
      <c r="B9172" s="4" t="n">
        <v>500</v>
      </c>
      <c r="C9172" s="4" t="n">
        <v>200</v>
      </c>
      <c r="D9172" s="4" t="n">
        <v>60.5</v>
      </c>
      <c r="E9172" s="5" t="n">
        <v>8.300000000000001</v>
      </c>
      <c r="F9172" s="3" t="inlineStr">
        <is>
          <t>남이면</t>
        </is>
      </c>
      <c r="G9172" s="3" t="inlineStr">
        <is>
          <t>문동리</t>
        </is>
      </c>
      <c r="H9172" s="3" t="inlineStr">
        <is>
          <t>보전녹지지역</t>
        </is>
      </c>
      <c r="I9172" s="3" t="inlineStr">
        <is>
          <t>임야</t>
        </is>
      </c>
      <c r="J9172" s="3" t="inlineStr">
        <is>
          <t>남이면</t>
        </is>
      </c>
    </row>
    <row r="9173">
      <c r="A9173" s="3" t="n">
        <v>2022</v>
      </c>
      <c r="B9173" s="4" t="n">
        <v>8900</v>
      </c>
      <c r="C9173" s="4" t="n">
        <v>1448.3</v>
      </c>
      <c r="D9173" s="4" t="n">
        <v>438.11075</v>
      </c>
      <c r="E9173" s="5" t="n">
        <v>20.3</v>
      </c>
      <c r="F9173" s="3" t="inlineStr">
        <is>
          <t>현도면</t>
        </is>
      </c>
      <c r="G9173" s="3" t="inlineStr">
        <is>
          <t>하석리</t>
        </is>
      </c>
      <c r="H9173" s="3" t="inlineStr">
        <is>
          <t>개발제한구역</t>
        </is>
      </c>
      <c r="I9173" s="3" t="inlineStr">
        <is>
          <t>답</t>
        </is>
      </c>
      <c r="J9173" s="3" t="inlineStr">
        <is>
          <t>현도면</t>
        </is>
      </c>
    </row>
    <row r="9174">
      <c r="A9174" s="3" t="n">
        <v>2022</v>
      </c>
      <c r="B9174" s="4" t="n">
        <v>182000</v>
      </c>
      <c r="C9174" s="4" t="n">
        <v>3638</v>
      </c>
      <c r="D9174" s="4" t="n">
        <v>1100.495</v>
      </c>
      <c r="E9174" s="5" t="n">
        <v>165.4</v>
      </c>
      <c r="F9174" s="3" t="inlineStr">
        <is>
          <t>남이면</t>
        </is>
      </c>
      <c r="G9174" s="3" t="inlineStr">
        <is>
          <t>석판리</t>
        </is>
      </c>
      <c r="H9174" s="3" t="inlineStr">
        <is>
          <t>자연녹지지역</t>
        </is>
      </c>
      <c r="I9174" s="3" t="inlineStr">
        <is>
          <t>묘지</t>
        </is>
      </c>
      <c r="J9174" s="3" t="inlineStr">
        <is>
          <t>남이면</t>
        </is>
      </c>
    </row>
    <row r="9175">
      <c r="A9175" s="3" t="n">
        <v>2022</v>
      </c>
      <c r="B9175" s="4" t="n">
        <v>100</v>
      </c>
      <c r="C9175" s="4" t="n">
        <v>69</v>
      </c>
      <c r="D9175" s="4" t="n">
        <v>20.8725</v>
      </c>
      <c r="E9175" s="5" t="n">
        <v>4.8</v>
      </c>
      <c r="F9175" s="3" t="inlineStr">
        <is>
          <t>현도면</t>
        </is>
      </c>
      <c r="G9175" s="3" t="inlineStr">
        <is>
          <t>시목리</t>
        </is>
      </c>
      <c r="H9175" s="3" t="inlineStr">
        <is>
          <t>개발제한구역</t>
        </is>
      </c>
      <c r="I9175" s="3" t="inlineStr">
        <is>
          <t>전</t>
        </is>
      </c>
      <c r="J9175" s="3" t="inlineStr">
        <is>
          <t>현도면</t>
        </is>
      </c>
    </row>
    <row r="9176">
      <c r="A9176" s="3" t="n">
        <v>2023</v>
      </c>
      <c r="B9176" s="4" t="n">
        <v>19816</v>
      </c>
      <c r="C9176" s="4" t="n">
        <v>729</v>
      </c>
      <c r="D9176" s="4" t="n">
        <v>220.5225</v>
      </c>
      <c r="E9176" s="5" t="n">
        <v>89.90000000000001</v>
      </c>
      <c r="F9176" s="3" t="inlineStr">
        <is>
          <t>남이면</t>
        </is>
      </c>
      <c r="G9176" s="3" t="inlineStr">
        <is>
          <t>구암리</t>
        </is>
      </c>
      <c r="H9176" s="3" t="inlineStr">
        <is>
          <t>보전녹지지역</t>
        </is>
      </c>
      <c r="I9176" s="3" t="inlineStr">
        <is>
          <t>전</t>
        </is>
      </c>
      <c r="J9176" s="3" t="inlineStr">
        <is>
          <t>남이면</t>
        </is>
      </c>
    </row>
    <row r="9177">
      <c r="A9177" s="3" t="n">
        <v>2024</v>
      </c>
      <c r="B9177" s="4" t="n">
        <v>59800</v>
      </c>
      <c r="C9177" s="4" t="n">
        <v>1330</v>
      </c>
      <c r="D9177" s="4" t="n">
        <v>402.325</v>
      </c>
      <c r="E9177" s="5" t="n">
        <v>148.6</v>
      </c>
      <c r="F9177" s="3" t="inlineStr">
        <is>
          <t>남이면</t>
        </is>
      </c>
      <c r="G9177" s="3" t="inlineStr">
        <is>
          <t>석실리</t>
        </is>
      </c>
      <c r="H9177" s="3" t="inlineStr">
        <is>
          <t>자연녹지지역</t>
        </is>
      </c>
      <c r="I9177" s="3" t="inlineStr">
        <is>
          <t>전</t>
        </is>
      </c>
      <c r="J9177" s="3" t="inlineStr">
        <is>
          <t>남이면</t>
        </is>
      </c>
    </row>
    <row r="9178">
      <c r="A9178" s="3" t="n">
        <v>2024</v>
      </c>
      <c r="B9178" s="4" t="n">
        <v>9200</v>
      </c>
      <c r="C9178" s="4" t="n">
        <v>372</v>
      </c>
      <c r="D9178" s="4" t="n">
        <v>112.53</v>
      </c>
      <c r="E9178" s="5" t="n">
        <v>81.8</v>
      </c>
      <c r="F9178" s="3" t="inlineStr">
        <is>
          <t>남이면</t>
        </is>
      </c>
      <c r="G9178" s="3" t="inlineStr">
        <is>
          <t>석실리</t>
        </is>
      </c>
      <c r="H9178" s="3" t="inlineStr">
        <is>
          <t>자연녹지지역</t>
        </is>
      </c>
      <c r="I9178" s="3" t="inlineStr">
        <is>
          <t>전</t>
        </is>
      </c>
      <c r="J9178" s="3" t="inlineStr">
        <is>
          <t>남이면</t>
        </is>
      </c>
    </row>
    <row r="9179">
      <c r="A9179" s="3" t="n">
        <v>2024</v>
      </c>
      <c r="B9179" s="4" t="n">
        <v>39319</v>
      </c>
      <c r="C9179" s="4" t="n">
        <v>790</v>
      </c>
      <c r="D9179" s="4" t="n">
        <v>238.975</v>
      </c>
      <c r="E9179" s="5" t="n">
        <v>164.5</v>
      </c>
      <c r="F9179" s="3" t="inlineStr">
        <is>
          <t>남이면</t>
        </is>
      </c>
      <c r="G9179" s="3" t="inlineStr">
        <is>
          <t>석실리</t>
        </is>
      </c>
      <c r="H9179" s="3" t="inlineStr">
        <is>
          <t>자연녹지지역</t>
        </is>
      </c>
      <c r="I9179" s="3" t="inlineStr">
        <is>
          <t>전</t>
        </is>
      </c>
      <c r="J9179" s="3" t="inlineStr">
        <is>
          <t>남이면</t>
        </is>
      </c>
    </row>
    <row r="9180">
      <c r="A9180" s="3" t="n">
        <v>2025</v>
      </c>
      <c r="B9180" s="4" t="n">
        <v>2200</v>
      </c>
      <c r="C9180" s="4" t="n">
        <v>229</v>
      </c>
      <c r="D9180" s="4" t="n">
        <v>69.27249999999999</v>
      </c>
      <c r="E9180" s="5" t="n">
        <v>31.8</v>
      </c>
      <c r="F9180" s="3" t="inlineStr">
        <is>
          <t>강내면</t>
        </is>
      </c>
      <c r="G9180" s="3" t="inlineStr">
        <is>
          <t>저산리</t>
        </is>
      </c>
      <c r="H9180" s="3" t="inlineStr">
        <is>
          <t>농림지역</t>
        </is>
      </c>
      <c r="I9180" s="3" t="inlineStr">
        <is>
          <t>전</t>
        </is>
      </c>
      <c r="J9180" s="3" t="inlineStr">
        <is>
          <t>강내면</t>
        </is>
      </c>
    </row>
    <row r="9181">
      <c r="A9181" s="3" t="n">
        <v>2024</v>
      </c>
      <c r="B9181" s="4" t="n">
        <v>18000</v>
      </c>
      <c r="C9181" s="4" t="n">
        <v>560</v>
      </c>
      <c r="D9181" s="4" t="n">
        <v>169.4</v>
      </c>
      <c r="E9181" s="5" t="n">
        <v>106.3</v>
      </c>
      <c r="F9181" s="3" t="inlineStr">
        <is>
          <t>남이면</t>
        </is>
      </c>
      <c r="G9181" s="3" t="inlineStr">
        <is>
          <t>석실리</t>
        </is>
      </c>
      <c r="H9181" s="3" t="inlineStr">
        <is>
          <t>자연녹지지역</t>
        </is>
      </c>
      <c r="I9181" s="3" t="inlineStr">
        <is>
          <t>전</t>
        </is>
      </c>
      <c r="J9181" s="3" t="inlineStr">
        <is>
          <t>남이면</t>
        </is>
      </c>
    </row>
    <row r="9182">
      <c r="A9182" s="3" t="n">
        <v>2022</v>
      </c>
      <c r="B9182" s="4" t="n">
        <v>22000</v>
      </c>
      <c r="C9182" s="4" t="n">
        <v>233</v>
      </c>
      <c r="D9182" s="4" t="n">
        <v>70.4825</v>
      </c>
      <c r="E9182" s="5" t="n">
        <v>312.1</v>
      </c>
      <c r="F9182" s="3" t="inlineStr">
        <is>
          <t>오송읍</t>
        </is>
      </c>
      <c r="G9182" s="3" t="inlineStr">
        <is>
          <t>봉산리</t>
        </is>
      </c>
      <c r="H9182" s="3" t="inlineStr">
        <is>
          <t>제1종일반주거지역</t>
        </is>
      </c>
      <c r="I9182" s="3" t="inlineStr">
        <is>
          <t>대</t>
        </is>
      </c>
      <c r="J9182" s="3" t="inlineStr">
        <is>
          <t>오송읍</t>
        </is>
      </c>
    </row>
    <row r="9183">
      <c r="A9183" s="3" t="n">
        <v>2022</v>
      </c>
      <c r="B9183" s="4" t="n">
        <v>100</v>
      </c>
      <c r="C9183" s="4" t="n">
        <v>16</v>
      </c>
      <c r="D9183" s="4" t="n">
        <v>4.84</v>
      </c>
      <c r="E9183" s="5" t="n">
        <v>20.7</v>
      </c>
      <c r="F9183" s="3" t="inlineStr">
        <is>
          <t>오송읍</t>
        </is>
      </c>
      <c r="G9183" s="3" t="inlineStr">
        <is>
          <t>오송리</t>
        </is>
      </c>
      <c r="H9183" s="3" t="inlineStr">
        <is>
          <t>계획관리지역</t>
        </is>
      </c>
      <c r="I9183" s="3" t="inlineStr">
        <is>
          <t>답</t>
        </is>
      </c>
      <c r="J9183" s="3" t="inlineStr">
        <is>
          <t>오송읍</t>
        </is>
      </c>
    </row>
    <row r="9184">
      <c r="A9184" s="3" t="n">
        <v>2022</v>
      </c>
      <c r="B9184" s="4" t="n">
        <v>30000</v>
      </c>
      <c r="C9184" s="4" t="n">
        <v>257</v>
      </c>
      <c r="D9184" s="4" t="n">
        <v>77.74249999999999</v>
      </c>
      <c r="E9184" s="5" t="n">
        <v>385.9</v>
      </c>
      <c r="F9184" s="3" t="inlineStr">
        <is>
          <t>오송읍</t>
        </is>
      </c>
      <c r="G9184" s="3" t="inlineStr">
        <is>
          <t>봉산리</t>
        </is>
      </c>
      <c r="H9184" s="3" t="inlineStr">
        <is>
          <t>제1종일반주거지역</t>
        </is>
      </c>
      <c r="I9184" s="3" t="inlineStr">
        <is>
          <t>대</t>
        </is>
      </c>
      <c r="J9184" s="3" t="inlineStr">
        <is>
          <t>오송읍</t>
        </is>
      </c>
    </row>
    <row r="9185">
      <c r="A9185" s="3" t="n">
        <v>2022</v>
      </c>
      <c r="B9185" s="4" t="n">
        <v>46000</v>
      </c>
      <c r="C9185" s="4" t="n">
        <v>287</v>
      </c>
      <c r="D9185" s="4" t="n">
        <v>86.8175</v>
      </c>
      <c r="E9185" s="5" t="n">
        <v>529.8</v>
      </c>
      <c r="F9185" s="3" t="inlineStr">
        <is>
          <t>오송읍</t>
        </is>
      </c>
      <c r="G9185" s="3" t="inlineStr">
        <is>
          <t>봉산리</t>
        </is>
      </c>
      <c r="H9185" s="3" t="inlineStr">
        <is>
          <t>제1종일반주거지역</t>
        </is>
      </c>
      <c r="I9185" s="3" t="inlineStr">
        <is>
          <t>대</t>
        </is>
      </c>
      <c r="J9185" s="3" t="inlineStr">
        <is>
          <t>오송읍</t>
        </is>
      </c>
    </row>
    <row r="9186">
      <c r="A9186" s="3" t="n">
        <v>2022</v>
      </c>
      <c r="B9186" s="4" t="n">
        <v>3300</v>
      </c>
      <c r="C9186" s="4" t="n">
        <v>360</v>
      </c>
      <c r="D9186" s="4" t="n">
        <v>108.9</v>
      </c>
      <c r="E9186" s="5" t="n">
        <v>30.3</v>
      </c>
      <c r="F9186" s="3" t="inlineStr">
        <is>
          <t>오송읍</t>
        </is>
      </c>
      <c r="G9186" s="3" t="inlineStr">
        <is>
          <t>상봉리</t>
        </is>
      </c>
      <c r="H9186" s="3" t="inlineStr">
        <is>
          <t>생산관리지역</t>
        </is>
      </c>
      <c r="I9186" s="3" t="inlineStr">
        <is>
          <t>전</t>
        </is>
      </c>
      <c r="J9186" s="3" t="inlineStr">
        <is>
          <t>오송읍</t>
        </is>
      </c>
    </row>
    <row r="9187">
      <c r="A9187" s="3" t="n">
        <v>2022</v>
      </c>
      <c r="B9187" s="4" t="n">
        <v>17500</v>
      </c>
      <c r="C9187" s="4" t="n">
        <v>1078</v>
      </c>
      <c r="D9187" s="4" t="n">
        <v>326.095</v>
      </c>
      <c r="E9187" s="5" t="n">
        <v>53.7</v>
      </c>
      <c r="F9187" s="3" t="inlineStr">
        <is>
          <t>강내면</t>
        </is>
      </c>
      <c r="G9187" s="3" t="inlineStr">
        <is>
          <t>탑연리</t>
        </is>
      </c>
      <c r="H9187" s="3" t="inlineStr">
        <is>
          <t>자연녹지지역</t>
        </is>
      </c>
      <c r="I9187" s="3" t="inlineStr">
        <is>
          <t>임야</t>
        </is>
      </c>
      <c r="J9187" s="3" t="inlineStr">
        <is>
          <t>강내면</t>
        </is>
      </c>
    </row>
    <row r="9188">
      <c r="A9188" s="3" t="n">
        <v>2022</v>
      </c>
      <c r="B9188" s="4" t="n">
        <v>4400</v>
      </c>
      <c r="C9188" s="4" t="n">
        <v>150</v>
      </c>
      <c r="D9188" s="4" t="n">
        <v>45.375</v>
      </c>
      <c r="E9188" s="5" t="n">
        <v>97</v>
      </c>
      <c r="F9188" s="3" t="inlineStr">
        <is>
          <t>오송읍</t>
        </is>
      </c>
      <c r="G9188" s="3" t="inlineStr">
        <is>
          <t>정중리</t>
        </is>
      </c>
      <c r="H9188" s="3" t="inlineStr">
        <is>
          <t>보전관리지역</t>
        </is>
      </c>
      <c r="I9188" s="3" t="inlineStr">
        <is>
          <t>임야</t>
        </is>
      </c>
      <c r="J9188" s="3" t="inlineStr">
        <is>
          <t>오송읍</t>
        </is>
      </c>
    </row>
    <row r="9189">
      <c r="A9189" s="3" t="n">
        <v>2022</v>
      </c>
      <c r="B9189" s="4" t="n">
        <v>4400</v>
      </c>
      <c r="C9189" s="4" t="n">
        <v>150</v>
      </c>
      <c r="D9189" s="4" t="n">
        <v>45.375</v>
      </c>
      <c r="E9189" s="5" t="n">
        <v>97</v>
      </c>
      <c r="F9189" s="3" t="inlineStr">
        <is>
          <t>오송읍</t>
        </is>
      </c>
      <c r="G9189" s="3" t="inlineStr">
        <is>
          <t>정중리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오송읍</t>
        </is>
      </c>
    </row>
    <row r="9190">
      <c r="A9190" s="3" t="n">
        <v>2022</v>
      </c>
      <c r="B9190" s="4" t="n">
        <v>900</v>
      </c>
      <c r="C9190" s="4" t="n">
        <v>9</v>
      </c>
      <c r="D9190" s="4" t="n">
        <v>2.7225</v>
      </c>
      <c r="E9190" s="5" t="n">
        <v>330.6</v>
      </c>
      <c r="F9190" s="3" t="inlineStr">
        <is>
          <t>오송읍</t>
        </is>
      </c>
      <c r="G9190" s="3" t="inlineStr">
        <is>
          <t>오송리</t>
        </is>
      </c>
      <c r="H9190" s="3" t="inlineStr">
        <is>
          <t>계획관리지역</t>
        </is>
      </c>
      <c r="I9190" s="3" t="inlineStr">
        <is>
          <t>대</t>
        </is>
      </c>
      <c r="J9190" s="3" t="inlineStr">
        <is>
          <t>오송읍</t>
        </is>
      </c>
    </row>
    <row r="9191">
      <c r="A9191" s="3" t="n">
        <v>2022</v>
      </c>
      <c r="B9191" s="4" t="n">
        <v>6537</v>
      </c>
      <c r="C9191" s="4" t="n">
        <v>554</v>
      </c>
      <c r="D9191" s="4" t="n">
        <v>167.585</v>
      </c>
      <c r="E9191" s="5" t="n">
        <v>39</v>
      </c>
      <c r="F9191" s="3" t="inlineStr">
        <is>
          <t>오송읍</t>
        </is>
      </c>
      <c r="G9191" s="3" t="inlineStr">
        <is>
          <t>공북리</t>
        </is>
      </c>
      <c r="H9191" s="3" t="inlineStr">
        <is>
          <t>농림지역</t>
        </is>
      </c>
      <c r="I9191" s="3" t="inlineStr">
        <is>
          <t>전</t>
        </is>
      </c>
      <c r="J9191" s="3" t="inlineStr">
        <is>
          <t>오송읍</t>
        </is>
      </c>
    </row>
    <row r="9192">
      <c r="A9192" s="3" t="n">
        <v>2022</v>
      </c>
      <c r="B9192" s="4" t="n">
        <v>11600</v>
      </c>
      <c r="C9192" s="4" t="n">
        <v>1283</v>
      </c>
      <c r="D9192" s="4" t="n">
        <v>388.1075</v>
      </c>
      <c r="E9192" s="5" t="n">
        <v>29.9</v>
      </c>
      <c r="F9192" s="3" t="inlineStr">
        <is>
          <t>오송읍</t>
        </is>
      </c>
      <c r="G9192" s="3" t="inlineStr">
        <is>
          <t>쌍청리</t>
        </is>
      </c>
      <c r="H9192" s="3" t="inlineStr">
        <is>
          <t>농림지역</t>
        </is>
      </c>
      <c r="I9192" s="3" t="inlineStr">
        <is>
          <t>전</t>
        </is>
      </c>
      <c r="J9192" s="3" t="inlineStr">
        <is>
          <t>오송읍</t>
        </is>
      </c>
    </row>
    <row r="9193">
      <c r="A9193" s="3" t="n">
        <v>2022</v>
      </c>
      <c r="B9193" s="4" t="n">
        <v>8000</v>
      </c>
      <c r="C9193" s="4" t="n">
        <v>361</v>
      </c>
      <c r="D9193" s="4" t="n">
        <v>109.2025</v>
      </c>
      <c r="E9193" s="5" t="n">
        <v>73.3</v>
      </c>
      <c r="F9193" s="3" t="inlineStr">
        <is>
          <t>강내면</t>
        </is>
      </c>
      <c r="G9193" s="3" t="inlineStr">
        <is>
          <t>태성리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강내면</t>
        </is>
      </c>
    </row>
    <row r="9194">
      <c r="A9194" s="3" t="n">
        <v>2022</v>
      </c>
      <c r="B9194" s="4" t="n">
        <v>6000</v>
      </c>
      <c r="C9194" s="4" t="n">
        <v>481</v>
      </c>
      <c r="D9194" s="4" t="n">
        <v>145.5025</v>
      </c>
      <c r="E9194" s="5" t="n">
        <v>41.2</v>
      </c>
      <c r="F9194" s="3" t="inlineStr">
        <is>
          <t>강내면</t>
        </is>
      </c>
      <c r="G9194" s="3" t="inlineStr">
        <is>
          <t>태성리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강내면</t>
        </is>
      </c>
    </row>
    <row r="9195">
      <c r="A9195" s="3" t="n">
        <v>2022</v>
      </c>
      <c r="B9195" s="4" t="n">
        <v>4360</v>
      </c>
      <c r="C9195" s="4" t="n">
        <v>347</v>
      </c>
      <c r="D9195" s="4" t="n">
        <v>104.9675</v>
      </c>
      <c r="E9195" s="5" t="n">
        <v>41.5</v>
      </c>
      <c r="F9195" s="3" t="inlineStr">
        <is>
          <t>강내면</t>
        </is>
      </c>
      <c r="G9195" s="3" t="inlineStr">
        <is>
          <t>태성리</t>
        </is>
      </c>
      <c r="H9195" s="3" t="inlineStr">
        <is>
          <t>계획관리지역</t>
        </is>
      </c>
      <c r="I9195" s="3" t="inlineStr">
        <is>
          <t>전</t>
        </is>
      </c>
      <c r="J9195" s="3" t="inlineStr">
        <is>
          <t>강내면</t>
        </is>
      </c>
    </row>
    <row r="9196">
      <c r="A9196" s="3" t="n">
        <v>2022</v>
      </c>
      <c r="B9196" s="4" t="n">
        <v>177308</v>
      </c>
      <c r="C9196" s="4" t="n">
        <v>5044.4</v>
      </c>
      <c r="D9196" s="4" t="n">
        <v>1525.931</v>
      </c>
      <c r="E9196" s="5" t="n">
        <v>116.2</v>
      </c>
      <c r="F9196" s="3" t="inlineStr">
        <is>
          <t>오송읍</t>
        </is>
      </c>
      <c r="G9196" s="3" t="inlineStr">
        <is>
          <t>정중리</t>
        </is>
      </c>
      <c r="H9196" s="3" t="inlineStr">
        <is>
          <t>일반공업지역</t>
        </is>
      </c>
      <c r="I9196" s="3" t="inlineStr">
        <is>
          <t>대</t>
        </is>
      </c>
      <c r="J9196" s="3" t="inlineStr">
        <is>
          <t>오송읍</t>
        </is>
      </c>
    </row>
    <row r="9197">
      <c r="A9197" s="3" t="n">
        <v>2022</v>
      </c>
      <c r="B9197" s="4" t="n">
        <v>77102</v>
      </c>
      <c r="C9197" s="4" t="n">
        <v>4288.1</v>
      </c>
      <c r="D9197" s="4" t="n">
        <v>1297.15025</v>
      </c>
      <c r="E9197" s="5" t="n">
        <v>59.4</v>
      </c>
      <c r="F9197" s="3" t="inlineStr">
        <is>
          <t>오송읍</t>
        </is>
      </c>
      <c r="G9197" s="3" t="inlineStr">
        <is>
          <t>연제리</t>
        </is>
      </c>
      <c r="H9197" s="3" t="inlineStr">
        <is>
          <t>준공업지역</t>
        </is>
      </c>
      <c r="I9197" s="3" t="inlineStr">
        <is>
          <t>대</t>
        </is>
      </c>
      <c r="J9197" s="3" t="inlineStr">
        <is>
          <t>오송읍</t>
        </is>
      </c>
    </row>
    <row r="9198">
      <c r="A9198" s="3" t="n">
        <v>2022</v>
      </c>
      <c r="B9198" s="4" t="n">
        <v>77210</v>
      </c>
      <c r="C9198" s="4" t="n">
        <v>4294.1</v>
      </c>
      <c r="D9198" s="4" t="n">
        <v>1298.96525</v>
      </c>
      <c r="E9198" s="5" t="n">
        <v>59.4</v>
      </c>
      <c r="F9198" s="3" t="inlineStr">
        <is>
          <t>오송읍</t>
        </is>
      </c>
      <c r="G9198" s="3" t="inlineStr">
        <is>
          <t>연제리</t>
        </is>
      </c>
      <c r="H9198" s="3" t="inlineStr">
        <is>
          <t>준공업지역</t>
        </is>
      </c>
      <c r="I9198" s="3" t="inlineStr">
        <is>
          <t>대</t>
        </is>
      </c>
      <c r="J9198" s="3" t="inlineStr">
        <is>
          <t>오송읍</t>
        </is>
      </c>
    </row>
    <row r="9199">
      <c r="A9199" s="3" t="n">
        <v>2023</v>
      </c>
      <c r="B9199" s="4" t="n">
        <v>25200</v>
      </c>
      <c r="C9199" s="4" t="n">
        <v>704</v>
      </c>
      <c r="D9199" s="4" t="n">
        <v>212.96</v>
      </c>
      <c r="E9199" s="5" t="n">
        <v>118.3</v>
      </c>
      <c r="F9199" s="3" t="inlineStr">
        <is>
          <t>강내면</t>
        </is>
      </c>
      <c r="G9199" s="3" t="inlineStr">
        <is>
          <t>연정리</t>
        </is>
      </c>
      <c r="H9199" s="3" t="inlineStr">
        <is>
          <t>계획관리지역</t>
        </is>
      </c>
      <c r="I9199" s="3" t="inlineStr">
        <is>
          <t>전</t>
        </is>
      </c>
      <c r="J9199" s="3" t="inlineStr">
        <is>
          <t>강내면</t>
        </is>
      </c>
    </row>
    <row r="9200">
      <c r="A9200" s="3" t="n">
        <v>2023</v>
      </c>
      <c r="B9200" s="4" t="n">
        <v>20400</v>
      </c>
      <c r="C9200" s="4" t="n">
        <v>550</v>
      </c>
      <c r="D9200" s="4" t="n">
        <v>166.375</v>
      </c>
      <c r="E9200" s="5" t="n">
        <v>122.6</v>
      </c>
      <c r="F9200" s="3" t="inlineStr">
        <is>
          <t>강내면</t>
        </is>
      </c>
      <c r="G9200" s="3" t="inlineStr">
        <is>
          <t>연정리</t>
        </is>
      </c>
      <c r="H9200" s="3" t="inlineStr">
        <is>
          <t>계획관리지역</t>
        </is>
      </c>
      <c r="I9200" s="3" t="inlineStr">
        <is>
          <t>답</t>
        </is>
      </c>
      <c r="J9200" s="3" t="inlineStr">
        <is>
          <t>강내면</t>
        </is>
      </c>
    </row>
    <row r="9201">
      <c r="A9201" s="3" t="n">
        <v>2023</v>
      </c>
      <c r="B9201" s="4" t="n">
        <v>1200</v>
      </c>
      <c r="C9201" s="4" t="n">
        <v>36</v>
      </c>
      <c r="D9201" s="4" t="n">
        <v>10.89</v>
      </c>
      <c r="E9201" s="5" t="n">
        <v>110.2</v>
      </c>
      <c r="F9201" s="3" t="inlineStr">
        <is>
          <t>강내면</t>
        </is>
      </c>
      <c r="G9201" s="3" t="inlineStr">
        <is>
          <t>연정리</t>
        </is>
      </c>
      <c r="H9201" s="3" t="inlineStr">
        <is>
          <t>계획관리지역</t>
        </is>
      </c>
      <c r="I9201" s="3" t="inlineStr">
        <is>
          <t>전</t>
        </is>
      </c>
      <c r="J9201" s="3" t="inlineStr">
        <is>
          <t>강내면</t>
        </is>
      </c>
    </row>
    <row r="9202">
      <c r="A9202" s="3" t="n">
        <v>2023</v>
      </c>
      <c r="B9202" s="4" t="n">
        <v>24000</v>
      </c>
      <c r="C9202" s="4" t="n">
        <v>661</v>
      </c>
      <c r="D9202" s="4" t="n">
        <v>199.9525</v>
      </c>
      <c r="E9202" s="5" t="n">
        <v>120</v>
      </c>
      <c r="F9202" s="3" t="inlineStr">
        <is>
          <t>강내면</t>
        </is>
      </c>
      <c r="G9202" s="3" t="inlineStr">
        <is>
          <t>연정리</t>
        </is>
      </c>
      <c r="H9202" s="3" t="inlineStr">
        <is>
          <t>계획관리지역</t>
        </is>
      </c>
      <c r="I9202" s="3" t="inlineStr">
        <is>
          <t>답</t>
        </is>
      </c>
      <c r="J9202" s="3" t="inlineStr">
        <is>
          <t>강내면</t>
        </is>
      </c>
    </row>
    <row r="9203">
      <c r="A9203" s="3" t="n">
        <v>2023</v>
      </c>
      <c r="B9203" s="4" t="n">
        <v>31440</v>
      </c>
      <c r="C9203" s="4" t="n">
        <v>867</v>
      </c>
      <c r="D9203" s="4" t="n">
        <v>262.2675</v>
      </c>
      <c r="E9203" s="5" t="n">
        <v>119.9</v>
      </c>
      <c r="F9203" s="3" t="inlineStr">
        <is>
          <t>강내면</t>
        </is>
      </c>
      <c r="G9203" s="3" t="inlineStr">
        <is>
          <t>연정리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강내면</t>
        </is>
      </c>
    </row>
    <row r="9204">
      <c r="A9204" s="3" t="n">
        <v>2023</v>
      </c>
      <c r="B9204" s="4" t="n">
        <v>1200</v>
      </c>
      <c r="C9204" s="4" t="n">
        <v>32</v>
      </c>
      <c r="D9204" s="4" t="n">
        <v>9.68</v>
      </c>
      <c r="E9204" s="5" t="n">
        <v>124</v>
      </c>
      <c r="F9204" s="3" t="inlineStr">
        <is>
          <t>강내면</t>
        </is>
      </c>
      <c r="G9204" s="3" t="inlineStr">
        <is>
          <t>연정리</t>
        </is>
      </c>
      <c r="H9204" s="3" t="inlineStr">
        <is>
          <t>계획관리지역</t>
        </is>
      </c>
      <c r="I9204" s="3" t="inlineStr">
        <is>
          <t>답</t>
        </is>
      </c>
      <c r="J9204" s="3" t="inlineStr">
        <is>
          <t>강내면</t>
        </is>
      </c>
    </row>
    <row r="9205">
      <c r="A9205" s="3" t="n">
        <v>2024</v>
      </c>
      <c r="B9205" s="4" t="n">
        <v>13000</v>
      </c>
      <c r="C9205" s="4" t="n">
        <v>783</v>
      </c>
      <c r="D9205" s="4" t="n">
        <v>236.8575</v>
      </c>
      <c r="E9205" s="5" t="n">
        <v>54.9</v>
      </c>
      <c r="F9205" s="3" t="inlineStr">
        <is>
          <t>오송읍</t>
        </is>
      </c>
      <c r="G9205" s="3" t="inlineStr">
        <is>
          <t>정중리</t>
        </is>
      </c>
      <c r="H9205" s="3" t="inlineStr">
        <is>
          <t>계획관리지역</t>
        </is>
      </c>
      <c r="I9205" s="3" t="inlineStr">
        <is>
          <t>임야</t>
        </is>
      </c>
      <c r="J9205" s="3" t="inlineStr">
        <is>
          <t>오송읍</t>
        </is>
      </c>
    </row>
    <row r="9206">
      <c r="A9206" s="3" t="n">
        <v>2024</v>
      </c>
      <c r="B9206" s="4" t="n">
        <v>1500</v>
      </c>
      <c r="C9206" s="4" t="n">
        <v>50</v>
      </c>
      <c r="D9206" s="4" t="n">
        <v>15.125</v>
      </c>
      <c r="E9206" s="5" t="n">
        <v>99.2</v>
      </c>
      <c r="F9206" s="3" t="inlineStr">
        <is>
          <t>강내면</t>
        </is>
      </c>
      <c r="G9206" s="3" t="inlineStr">
        <is>
          <t>사곡리</t>
        </is>
      </c>
      <c r="H9206" s="3" t="inlineStr">
        <is>
          <t>계획관리지역</t>
        </is>
      </c>
      <c r="I9206" s="3" t="inlineStr">
        <is>
          <t>전</t>
        </is>
      </c>
      <c r="J9206" s="3" t="inlineStr">
        <is>
          <t>강내면</t>
        </is>
      </c>
    </row>
    <row r="9207">
      <c r="A9207" s="3" t="n">
        <v>2024</v>
      </c>
      <c r="B9207" s="4" t="n">
        <v>1830</v>
      </c>
      <c r="C9207" s="4" t="n">
        <v>67</v>
      </c>
      <c r="D9207" s="4" t="n">
        <v>20.2675</v>
      </c>
      <c r="E9207" s="5" t="n">
        <v>90.3</v>
      </c>
      <c r="F9207" s="3" t="inlineStr">
        <is>
          <t>강내면</t>
        </is>
      </c>
      <c r="G9207" s="3" t="inlineStr">
        <is>
          <t>다락리</t>
        </is>
      </c>
      <c r="H9207" s="3" t="inlineStr">
        <is>
          <t>용도미지정</t>
        </is>
      </c>
      <c r="I9207" s="3" t="inlineStr">
        <is>
          <t>전</t>
        </is>
      </c>
      <c r="J9207" s="3" t="inlineStr">
        <is>
          <t>강내면</t>
        </is>
      </c>
    </row>
    <row r="9208">
      <c r="A9208" s="3" t="n">
        <v>2024</v>
      </c>
      <c r="B9208" s="4" t="n">
        <v>95596</v>
      </c>
      <c r="C9208" s="4" t="n">
        <v>4887.8</v>
      </c>
      <c r="D9208" s="4" t="n">
        <v>1478.5595</v>
      </c>
      <c r="E9208" s="5" t="n">
        <v>64.7</v>
      </c>
      <c r="F9208" s="3" t="inlineStr">
        <is>
          <t>오송읍</t>
        </is>
      </c>
      <c r="G9208" s="3" t="inlineStr">
        <is>
          <t>연제리</t>
        </is>
      </c>
      <c r="H9208" s="3" t="inlineStr">
        <is>
          <t>준공업지역</t>
        </is>
      </c>
      <c r="I9208" s="3" t="inlineStr">
        <is>
          <t>대</t>
        </is>
      </c>
      <c r="J9208" s="3" t="inlineStr">
        <is>
          <t>오송읍</t>
        </is>
      </c>
    </row>
    <row r="9209">
      <c r="A9209" s="3" t="n">
        <v>2024</v>
      </c>
      <c r="B9209" s="4" t="n">
        <v>3000</v>
      </c>
      <c r="C9209" s="4" t="n">
        <v>118</v>
      </c>
      <c r="D9209" s="4" t="n">
        <v>35.695</v>
      </c>
      <c r="E9209" s="5" t="n">
        <v>84</v>
      </c>
      <c r="F9209" s="3" t="inlineStr">
        <is>
          <t>강내면</t>
        </is>
      </c>
      <c r="G9209" s="3" t="inlineStr">
        <is>
          <t>다락리</t>
        </is>
      </c>
      <c r="H9209" s="3" t="inlineStr">
        <is>
          <t>계획관리지역</t>
        </is>
      </c>
      <c r="I9209" s="3" t="inlineStr">
        <is>
          <t>대</t>
        </is>
      </c>
      <c r="J9209" s="3" t="inlineStr">
        <is>
          <t>강내면</t>
        </is>
      </c>
    </row>
    <row r="9210">
      <c r="A9210" s="3" t="n">
        <v>2024</v>
      </c>
      <c r="B9210" s="4" t="n">
        <v>28000</v>
      </c>
      <c r="C9210" s="4" t="n">
        <v>267.5</v>
      </c>
      <c r="D9210" s="4" t="n">
        <v>80.91875</v>
      </c>
      <c r="E9210" s="5" t="n">
        <v>346</v>
      </c>
      <c r="F9210" s="3" t="inlineStr">
        <is>
          <t>오송읍</t>
        </is>
      </c>
      <c r="G9210" s="3" t="inlineStr">
        <is>
          <t>봉산리</t>
        </is>
      </c>
      <c r="H9210" s="3" t="inlineStr">
        <is>
          <t>제1종일반주거지역</t>
        </is>
      </c>
      <c r="I9210" s="3" t="inlineStr">
        <is>
          <t>대</t>
        </is>
      </c>
      <c r="J9210" s="3" t="inlineStr">
        <is>
          <t>오송읍</t>
        </is>
      </c>
    </row>
    <row r="9211">
      <c r="A9211" s="3" t="n">
        <v>2024</v>
      </c>
      <c r="B9211" s="4" t="n">
        <v>4227</v>
      </c>
      <c r="C9211" s="4" t="n">
        <v>61</v>
      </c>
      <c r="D9211" s="4" t="n">
        <v>18.4525</v>
      </c>
      <c r="E9211" s="5" t="n">
        <v>229.1</v>
      </c>
      <c r="F9211" s="3" t="inlineStr">
        <is>
          <t>오송읍</t>
        </is>
      </c>
      <c r="G9211" s="3" t="inlineStr">
        <is>
          <t>동평리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오송읍</t>
        </is>
      </c>
    </row>
    <row r="9212">
      <c r="A9212" s="3" t="n">
        <v>2024</v>
      </c>
      <c r="B9212" s="4" t="n">
        <v>762</v>
      </c>
      <c r="C9212" s="4" t="n">
        <v>11</v>
      </c>
      <c r="D9212" s="4" t="n">
        <v>3.3275</v>
      </c>
      <c r="E9212" s="5" t="n">
        <v>229</v>
      </c>
      <c r="F9212" s="3" t="inlineStr">
        <is>
          <t>오송읍</t>
        </is>
      </c>
      <c r="G9212" s="3" t="inlineStr">
        <is>
          <t>오송리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오송읍</t>
        </is>
      </c>
    </row>
    <row r="9213">
      <c r="A9213" s="3" t="n">
        <v>2024</v>
      </c>
      <c r="B9213" s="4" t="n">
        <v>11500</v>
      </c>
      <c r="C9213" s="4" t="n">
        <v>276.5</v>
      </c>
      <c r="D9213" s="4" t="n">
        <v>83.64125</v>
      </c>
      <c r="E9213" s="5" t="n">
        <v>137.5</v>
      </c>
      <c r="F9213" s="3" t="inlineStr">
        <is>
          <t>오송읍</t>
        </is>
      </c>
      <c r="G9213" s="3" t="inlineStr">
        <is>
          <t>봉산리</t>
        </is>
      </c>
      <c r="H9213" s="3" t="inlineStr">
        <is>
          <t>제1종일반주거지역</t>
        </is>
      </c>
      <c r="I9213" s="3" t="inlineStr">
        <is>
          <t>대</t>
        </is>
      </c>
      <c r="J9213" s="3" t="inlineStr">
        <is>
          <t>오송읍</t>
        </is>
      </c>
    </row>
    <row r="9214">
      <c r="A9214" s="3" t="n">
        <v>2024</v>
      </c>
      <c r="B9214" s="4" t="n">
        <v>127000</v>
      </c>
      <c r="C9214" s="4" t="n">
        <v>2932</v>
      </c>
      <c r="D9214" s="4" t="n">
        <v>886.9299999999999</v>
      </c>
      <c r="E9214" s="5" t="n">
        <v>143.2</v>
      </c>
      <c r="F9214" s="3" t="inlineStr">
        <is>
          <t>오송읍</t>
        </is>
      </c>
      <c r="G9214" s="3" t="inlineStr">
        <is>
          <t>궁평리</t>
        </is>
      </c>
      <c r="H9214" s="3" t="inlineStr">
        <is>
          <t>농림지역</t>
        </is>
      </c>
      <c r="I9214" s="3" t="inlineStr">
        <is>
          <t>답</t>
        </is>
      </c>
      <c r="J9214" s="3" t="inlineStr">
        <is>
          <t>오송읍</t>
        </is>
      </c>
    </row>
    <row r="9215">
      <c r="A9215" s="3" t="n">
        <v>2024</v>
      </c>
      <c r="B9215" s="4" t="n">
        <v>720</v>
      </c>
      <c r="C9215" s="4" t="n">
        <v>119</v>
      </c>
      <c r="D9215" s="4" t="n">
        <v>35.9975</v>
      </c>
      <c r="E9215" s="5" t="n">
        <v>20</v>
      </c>
      <c r="F9215" s="3" t="inlineStr">
        <is>
          <t>오송읍</t>
        </is>
      </c>
      <c r="G9215" s="3" t="inlineStr">
        <is>
          <t>쌍청리</t>
        </is>
      </c>
      <c r="H9215" s="3" t="inlineStr">
        <is>
          <t>계획관리지역</t>
        </is>
      </c>
      <c r="I9215" s="3" t="inlineStr">
        <is>
          <t>전</t>
        </is>
      </c>
      <c r="J9215" s="3" t="inlineStr">
        <is>
          <t>오송읍</t>
        </is>
      </c>
    </row>
    <row r="9216">
      <c r="A9216" s="3" t="n">
        <v>2024</v>
      </c>
      <c r="B9216" s="4" t="n">
        <v>660</v>
      </c>
      <c r="C9216" s="4" t="n">
        <v>73</v>
      </c>
      <c r="D9216" s="4" t="n">
        <v>22.0825</v>
      </c>
      <c r="E9216" s="5" t="n">
        <v>29.9</v>
      </c>
      <c r="F9216" s="3" t="inlineStr">
        <is>
          <t>오송읍</t>
        </is>
      </c>
      <c r="G9216" s="3" t="inlineStr">
        <is>
          <t>쌍청리</t>
        </is>
      </c>
      <c r="H9216" s="3" t="inlineStr">
        <is>
          <t>계획관리지역</t>
        </is>
      </c>
      <c r="I9216" s="3" t="inlineStr">
        <is>
          <t>전</t>
        </is>
      </c>
      <c r="J9216" s="3" t="inlineStr">
        <is>
          <t>오송읍</t>
        </is>
      </c>
    </row>
    <row r="9217">
      <c r="A9217" s="3" t="n">
        <v>2024</v>
      </c>
      <c r="B9217" s="4" t="n">
        <v>1100</v>
      </c>
      <c r="C9217" s="4" t="n">
        <v>38</v>
      </c>
      <c r="D9217" s="4" t="n">
        <v>11.495</v>
      </c>
      <c r="E9217" s="5" t="n">
        <v>95.7</v>
      </c>
      <c r="F9217" s="3" t="inlineStr">
        <is>
          <t>오송읍</t>
        </is>
      </c>
      <c r="G9217" s="3" t="inlineStr">
        <is>
          <t>쌍청리</t>
        </is>
      </c>
      <c r="H9217" s="3" t="inlineStr">
        <is>
          <t>계획관리지역</t>
        </is>
      </c>
      <c r="I9217" s="3" t="inlineStr">
        <is>
          <t>임야</t>
        </is>
      </c>
      <c r="J9217" s="3" t="inlineStr">
        <is>
          <t>오송읍</t>
        </is>
      </c>
    </row>
    <row r="9218">
      <c r="A9218" s="3" t="n">
        <v>2023</v>
      </c>
      <c r="B9218" s="4" t="n">
        <v>33834</v>
      </c>
      <c r="C9218" s="4" t="n">
        <v>1243</v>
      </c>
      <c r="D9218" s="4" t="n">
        <v>376.0075</v>
      </c>
      <c r="E9218" s="5" t="n">
        <v>90</v>
      </c>
      <c r="F9218" s="3" t="inlineStr">
        <is>
          <t>남이면</t>
        </is>
      </c>
      <c r="G9218" s="3" t="inlineStr">
        <is>
          <t>구암리</t>
        </is>
      </c>
      <c r="H9218" s="3" t="inlineStr">
        <is>
          <t>보전녹지지역</t>
        </is>
      </c>
      <c r="I9218" s="3" t="inlineStr">
        <is>
          <t>임야</t>
        </is>
      </c>
      <c r="J9218" s="3" t="inlineStr">
        <is>
          <t>남이면</t>
        </is>
      </c>
    </row>
    <row r="9219">
      <c r="A9219" s="3" t="n">
        <v>2025</v>
      </c>
      <c r="B9219" s="4" t="n">
        <v>4431</v>
      </c>
      <c r="C9219" s="4" t="n">
        <v>257</v>
      </c>
      <c r="D9219" s="4" t="n">
        <v>77.74249999999999</v>
      </c>
      <c r="E9219" s="5" t="n">
        <v>57</v>
      </c>
      <c r="F9219" s="3" t="inlineStr">
        <is>
          <t>오송읍</t>
        </is>
      </c>
      <c r="G9219" s="3" t="inlineStr">
        <is>
          <t>공북리</t>
        </is>
      </c>
      <c r="H9219" s="3" t="inlineStr">
        <is>
          <t>농림지역</t>
        </is>
      </c>
      <c r="I9219" s="3" t="inlineStr">
        <is>
          <t>임야</t>
        </is>
      </c>
      <c r="J9219" s="3" t="inlineStr">
        <is>
          <t>오송읍</t>
        </is>
      </c>
    </row>
    <row r="9220">
      <c r="A9220" s="3" t="n">
        <v>2025</v>
      </c>
      <c r="B9220" s="4" t="n">
        <v>34040</v>
      </c>
      <c r="C9220" s="4" t="n">
        <v>1830</v>
      </c>
      <c r="D9220" s="4" t="n">
        <v>553.5749999999999</v>
      </c>
      <c r="E9220" s="5" t="n">
        <v>61.5</v>
      </c>
      <c r="F9220" s="3" t="inlineStr">
        <is>
          <t>오송읍</t>
        </is>
      </c>
      <c r="G9220" s="3" t="inlineStr">
        <is>
          <t>공북리</t>
        </is>
      </c>
      <c r="H9220" s="3" t="inlineStr">
        <is>
          <t>농림지역</t>
        </is>
      </c>
      <c r="I9220" s="3" t="inlineStr">
        <is>
          <t>전</t>
        </is>
      </c>
      <c r="J9220" s="3" t="inlineStr">
        <is>
          <t>오송읍</t>
        </is>
      </c>
    </row>
    <row r="9221">
      <c r="A9221" s="3" t="n">
        <v>2025</v>
      </c>
      <c r="B9221" s="4" t="n">
        <v>3103</v>
      </c>
      <c r="C9221" s="4" t="n">
        <v>180</v>
      </c>
      <c r="D9221" s="4" t="n">
        <v>54.45</v>
      </c>
      <c r="E9221" s="5" t="n">
        <v>57</v>
      </c>
      <c r="F9221" s="3" t="inlineStr">
        <is>
          <t>오송읍</t>
        </is>
      </c>
      <c r="G9221" s="3" t="inlineStr">
        <is>
          <t>공북리</t>
        </is>
      </c>
      <c r="H9221" s="3" t="inlineStr">
        <is>
          <t>농림지역</t>
        </is>
      </c>
      <c r="I9221" s="3" t="inlineStr">
        <is>
          <t>임야</t>
        </is>
      </c>
      <c r="J9221" s="3" t="inlineStr">
        <is>
          <t>오송읍</t>
        </is>
      </c>
    </row>
    <row r="9222">
      <c r="A9222" s="3" t="n">
        <v>2025</v>
      </c>
      <c r="B9222" s="4" t="n">
        <v>12277</v>
      </c>
      <c r="C9222" s="4" t="n">
        <v>660</v>
      </c>
      <c r="D9222" s="4" t="n">
        <v>199.65</v>
      </c>
      <c r="E9222" s="5" t="n">
        <v>61.5</v>
      </c>
      <c r="F9222" s="3" t="inlineStr">
        <is>
          <t>오송읍</t>
        </is>
      </c>
      <c r="G9222" s="3" t="inlineStr">
        <is>
          <t>공북리</t>
        </is>
      </c>
      <c r="H9222" s="3" t="inlineStr">
        <is>
          <t>농림지역</t>
        </is>
      </c>
      <c r="I9222" s="3" t="inlineStr">
        <is>
          <t>전</t>
        </is>
      </c>
      <c r="J9222" s="3" t="inlineStr">
        <is>
          <t>오송읍</t>
        </is>
      </c>
    </row>
    <row r="9223">
      <c r="A9223" s="3" t="n">
        <v>2025</v>
      </c>
      <c r="B9223" s="4" t="n">
        <v>7496</v>
      </c>
      <c r="C9223" s="4" t="n">
        <v>403</v>
      </c>
      <c r="D9223" s="4" t="n">
        <v>121.9075</v>
      </c>
      <c r="E9223" s="5" t="n">
        <v>61.5</v>
      </c>
      <c r="F9223" s="3" t="inlineStr">
        <is>
          <t>오송읍</t>
        </is>
      </c>
      <c r="G9223" s="3" t="inlineStr">
        <is>
          <t>공북리</t>
        </is>
      </c>
      <c r="H9223" s="3" t="inlineStr">
        <is>
          <t>농림지역</t>
        </is>
      </c>
      <c r="I9223" s="3" t="inlineStr">
        <is>
          <t>전</t>
        </is>
      </c>
      <c r="J9223" s="3" t="inlineStr">
        <is>
          <t>오송읍</t>
        </is>
      </c>
    </row>
    <row r="9224">
      <c r="A9224" s="3" t="n">
        <v>2025</v>
      </c>
      <c r="B9224" s="4" t="n">
        <v>50000</v>
      </c>
      <c r="C9224" s="4" t="n">
        <v>308</v>
      </c>
      <c r="D9224" s="4" t="n">
        <v>93.17</v>
      </c>
      <c r="E9224" s="5" t="n">
        <v>536.7</v>
      </c>
      <c r="F9224" s="3" t="inlineStr">
        <is>
          <t>오송읍</t>
        </is>
      </c>
      <c r="G9224" s="3" t="inlineStr">
        <is>
          <t>봉산리</t>
        </is>
      </c>
      <c r="H9224" s="3" t="inlineStr">
        <is>
          <t>제1종일반주거지역</t>
        </is>
      </c>
      <c r="I9224" s="3" t="inlineStr">
        <is>
          <t>대</t>
        </is>
      </c>
      <c r="J9224" s="3" t="inlineStr">
        <is>
          <t>오송읍</t>
        </is>
      </c>
    </row>
    <row r="9225">
      <c r="A9225" s="3" t="n">
        <v>2025</v>
      </c>
      <c r="B9225" s="4" t="n">
        <v>18000</v>
      </c>
      <c r="C9225" s="4" t="n">
        <v>1983</v>
      </c>
      <c r="D9225" s="4" t="n">
        <v>599.8575</v>
      </c>
      <c r="E9225" s="5" t="n">
        <v>30</v>
      </c>
      <c r="F9225" s="3" t="inlineStr">
        <is>
          <t>강내면</t>
        </is>
      </c>
      <c r="G9225" s="3" t="inlineStr">
        <is>
          <t>학천리</t>
        </is>
      </c>
      <c r="H9225" s="3" t="inlineStr">
        <is>
          <t>보전녹지지역</t>
        </is>
      </c>
      <c r="I9225" s="3" t="inlineStr">
        <is>
          <t>임야</t>
        </is>
      </c>
      <c r="J9225" s="3" t="inlineStr">
        <is>
          <t>강내면</t>
        </is>
      </c>
    </row>
    <row r="9226">
      <c r="A9226" s="3" t="n">
        <v>2025</v>
      </c>
      <c r="B9226" s="4" t="n">
        <v>24553</v>
      </c>
      <c r="C9226" s="4" t="n">
        <v>1320</v>
      </c>
      <c r="D9226" s="4" t="n">
        <v>399.3</v>
      </c>
      <c r="E9226" s="5" t="n">
        <v>61.5</v>
      </c>
      <c r="F9226" s="3" t="inlineStr">
        <is>
          <t>오송읍</t>
        </is>
      </c>
      <c r="G9226" s="3" t="inlineStr">
        <is>
          <t>공북리</t>
        </is>
      </c>
      <c r="H9226" s="3" t="inlineStr">
        <is>
          <t>농림지역</t>
        </is>
      </c>
      <c r="I9226" s="3" t="inlineStr">
        <is>
          <t>전</t>
        </is>
      </c>
      <c r="J9226" s="3" t="inlineStr">
        <is>
          <t>오송읍</t>
        </is>
      </c>
    </row>
    <row r="9227">
      <c r="A9227" s="3" t="n">
        <v>2025</v>
      </c>
      <c r="B9227" s="4" t="n">
        <v>31000</v>
      </c>
      <c r="C9227" s="4" t="n">
        <v>266.8</v>
      </c>
      <c r="D9227" s="4" t="n">
        <v>80.70700000000001</v>
      </c>
      <c r="E9227" s="5" t="n">
        <v>384.1</v>
      </c>
      <c r="F9227" s="3" t="inlineStr">
        <is>
          <t>오송읍</t>
        </is>
      </c>
      <c r="G9227" s="3" t="inlineStr">
        <is>
          <t>봉산리</t>
        </is>
      </c>
      <c r="H9227" s="3" t="inlineStr">
        <is>
          <t>제1종일반주거지역</t>
        </is>
      </c>
      <c r="I9227" s="3" t="inlineStr">
        <is>
          <t>대</t>
        </is>
      </c>
      <c r="J9227" s="3" t="inlineStr">
        <is>
          <t>오송읍</t>
        </is>
      </c>
    </row>
    <row r="9228">
      <c r="A9228" s="3" t="n">
        <v>2025</v>
      </c>
      <c r="B9228" s="4" t="n">
        <v>848</v>
      </c>
      <c r="C9228" s="4" t="n">
        <v>44</v>
      </c>
      <c r="D9228" s="4" t="n">
        <v>13.31</v>
      </c>
      <c r="E9228" s="5" t="n">
        <v>63.7</v>
      </c>
      <c r="F9228" s="3" t="inlineStr">
        <is>
          <t>강내면</t>
        </is>
      </c>
      <c r="G9228" s="3" t="inlineStr">
        <is>
          <t>황탄리</t>
        </is>
      </c>
      <c r="H9228" s="3" t="inlineStr">
        <is>
          <t>보전관리지역</t>
        </is>
      </c>
      <c r="I9228" s="3" t="inlineStr">
        <is>
          <t>임야</t>
        </is>
      </c>
      <c r="J9228" s="3" t="inlineStr">
        <is>
          <t>강내면</t>
        </is>
      </c>
    </row>
    <row r="9229">
      <c r="A9229" s="3" t="n">
        <v>2025</v>
      </c>
      <c r="B9229" s="4" t="n">
        <v>7918</v>
      </c>
      <c r="C9229" s="4" t="n">
        <v>3272</v>
      </c>
      <c r="D9229" s="4" t="n">
        <v>989.78</v>
      </c>
      <c r="E9229" s="5" t="n">
        <v>8</v>
      </c>
      <c r="F9229" s="3" t="inlineStr">
        <is>
          <t>강내면</t>
        </is>
      </c>
      <c r="G9229" s="3" t="inlineStr">
        <is>
          <t>저산리</t>
        </is>
      </c>
      <c r="H9229" s="3" t="inlineStr">
        <is>
          <t>보전관리지역</t>
        </is>
      </c>
      <c r="I9229" s="3" t="inlineStr">
        <is>
          <t>임야</t>
        </is>
      </c>
      <c r="J9229" s="3" t="inlineStr">
        <is>
          <t>강내면</t>
        </is>
      </c>
    </row>
    <row r="9230">
      <c r="A9230" s="3" t="n">
        <v>2025</v>
      </c>
      <c r="B9230" s="4" t="n">
        <v>10767</v>
      </c>
      <c r="C9230" s="4" t="n">
        <v>4449</v>
      </c>
      <c r="D9230" s="4" t="n">
        <v>1345.8225</v>
      </c>
      <c r="E9230" s="5" t="n">
        <v>8</v>
      </c>
      <c r="F9230" s="3" t="inlineStr">
        <is>
          <t>강내면</t>
        </is>
      </c>
      <c r="G9230" s="3" t="inlineStr">
        <is>
          <t>저산리</t>
        </is>
      </c>
      <c r="H9230" s="3" t="inlineStr">
        <is>
          <t>보전관리지역</t>
        </is>
      </c>
      <c r="I9230" s="3" t="inlineStr">
        <is>
          <t>임야</t>
        </is>
      </c>
      <c r="J9230" s="3" t="inlineStr">
        <is>
          <t>강내면</t>
        </is>
      </c>
    </row>
    <row r="9231">
      <c r="A9231" s="3" t="n">
        <v>2025</v>
      </c>
      <c r="B9231" s="4" t="n">
        <v>4590</v>
      </c>
      <c r="C9231" s="4" t="n">
        <v>56</v>
      </c>
      <c r="D9231" s="4" t="n">
        <v>16.94</v>
      </c>
      <c r="E9231" s="5" t="n">
        <v>271</v>
      </c>
      <c r="F9231" s="3" t="inlineStr">
        <is>
          <t>오송읍</t>
        </is>
      </c>
      <c r="G9231" s="3" t="inlineStr">
        <is>
          <t>오송리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오송읍</t>
        </is>
      </c>
    </row>
    <row r="9232">
      <c r="A9232" s="3" t="n">
        <v>2025</v>
      </c>
      <c r="B9232" s="4" t="n">
        <v>19000</v>
      </c>
      <c r="C9232" s="4" t="n">
        <v>577</v>
      </c>
      <c r="D9232" s="4" t="n">
        <v>174.5425</v>
      </c>
      <c r="E9232" s="5" t="n">
        <v>108.9</v>
      </c>
      <c r="F9232" s="3" t="inlineStr">
        <is>
          <t>오송읍</t>
        </is>
      </c>
      <c r="G9232" s="3" t="inlineStr">
        <is>
          <t>상정리</t>
        </is>
      </c>
      <c r="H9232" s="3" t="inlineStr">
        <is>
          <t>보전관리지역</t>
        </is>
      </c>
      <c r="I9232" s="3" t="inlineStr">
        <is>
          <t>창고용지</t>
        </is>
      </c>
      <c r="J9232" s="3" t="inlineStr">
        <is>
          <t>오송읍</t>
        </is>
      </c>
    </row>
    <row r="9233">
      <c r="A9233" s="3" t="n">
        <v>2025</v>
      </c>
      <c r="B9233" s="4" t="n">
        <v>33000</v>
      </c>
      <c r="C9233" s="4" t="n">
        <v>3423</v>
      </c>
      <c r="D9233" s="4" t="n">
        <v>1035.4575</v>
      </c>
      <c r="E9233" s="5" t="n">
        <v>31.9</v>
      </c>
      <c r="F9233" s="3" t="inlineStr">
        <is>
          <t>강내면</t>
        </is>
      </c>
      <c r="G9233" s="3" t="inlineStr">
        <is>
          <t>저산리</t>
        </is>
      </c>
      <c r="H9233" s="3" t="inlineStr">
        <is>
          <t>농림지역</t>
        </is>
      </c>
      <c r="I9233" s="3" t="inlineStr">
        <is>
          <t>전</t>
        </is>
      </c>
      <c r="J9233" s="3" t="inlineStr">
        <is>
          <t>강내면</t>
        </is>
      </c>
    </row>
    <row r="9234">
      <c r="A9234" s="3" t="n">
        <v>2025</v>
      </c>
      <c r="B9234" s="4" t="n">
        <v>26000</v>
      </c>
      <c r="C9234" s="4" t="n">
        <v>269.3</v>
      </c>
      <c r="D9234" s="4" t="n">
        <v>81.46325</v>
      </c>
      <c r="E9234" s="5" t="n">
        <v>319.2</v>
      </c>
      <c r="F9234" s="3" t="inlineStr">
        <is>
          <t>오송읍</t>
        </is>
      </c>
      <c r="G9234" s="3" t="inlineStr">
        <is>
          <t>봉산리</t>
        </is>
      </c>
      <c r="H9234" s="3" t="inlineStr">
        <is>
          <t>제1종일반주거지역</t>
        </is>
      </c>
      <c r="I9234" s="3" t="inlineStr">
        <is>
          <t>대</t>
        </is>
      </c>
      <c r="J9234" s="3" t="inlineStr">
        <is>
          <t>오송읍</t>
        </is>
      </c>
    </row>
    <row r="9235">
      <c r="A9235" s="3" t="n">
        <v>2025</v>
      </c>
      <c r="B9235" s="4" t="n">
        <v>19500</v>
      </c>
      <c r="C9235" s="4" t="n">
        <v>1899</v>
      </c>
      <c r="D9235" s="4" t="n">
        <v>574.4475</v>
      </c>
      <c r="E9235" s="5" t="n">
        <v>33.9</v>
      </c>
      <c r="F9235" s="3" t="inlineStr">
        <is>
          <t>강내면</t>
        </is>
      </c>
      <c r="G9235" s="3" t="inlineStr">
        <is>
          <t>저산리</t>
        </is>
      </c>
      <c r="H9235" s="3" t="inlineStr">
        <is>
          <t>보전관리지역</t>
        </is>
      </c>
      <c r="I9235" s="3" t="inlineStr">
        <is>
          <t>임야</t>
        </is>
      </c>
      <c r="J9235" s="3" t="inlineStr">
        <is>
          <t>강내면</t>
        </is>
      </c>
    </row>
    <row r="9236">
      <c r="A9236" s="3" t="n">
        <v>2025</v>
      </c>
      <c r="B9236" s="4" t="n">
        <v>26318</v>
      </c>
      <c r="C9236" s="4" t="n">
        <v>2563</v>
      </c>
      <c r="D9236" s="4" t="n">
        <v>775.3075</v>
      </c>
      <c r="E9236" s="5" t="n">
        <v>33.9</v>
      </c>
      <c r="F9236" s="3" t="inlineStr">
        <is>
          <t>강내면</t>
        </is>
      </c>
      <c r="G9236" s="3" t="inlineStr">
        <is>
          <t>저산리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강내면</t>
        </is>
      </c>
    </row>
    <row r="9237">
      <c r="A9237" s="3" t="n">
        <v>2023</v>
      </c>
      <c r="B9237" s="4" t="n">
        <v>11500</v>
      </c>
      <c r="C9237" s="4" t="n">
        <v>1293</v>
      </c>
      <c r="D9237" s="4" t="n">
        <v>391.1325</v>
      </c>
      <c r="E9237" s="5" t="n">
        <v>29.4</v>
      </c>
      <c r="F9237" s="3" t="inlineStr">
        <is>
          <t>강내면</t>
        </is>
      </c>
      <c r="G9237" s="3" t="inlineStr">
        <is>
          <t>탑연리</t>
        </is>
      </c>
      <c r="H9237" s="3" t="inlineStr">
        <is>
          <t>자연녹지지역</t>
        </is>
      </c>
      <c r="I9237" s="3" t="inlineStr">
        <is>
          <t>답</t>
        </is>
      </c>
      <c r="J9237" s="3" t="inlineStr">
        <is>
          <t>강내면</t>
        </is>
      </c>
    </row>
    <row r="9238">
      <c r="A9238" s="3" t="n">
        <v>2023</v>
      </c>
      <c r="B9238" s="4" t="n">
        <v>25200</v>
      </c>
      <c r="C9238" s="4" t="n">
        <v>704</v>
      </c>
      <c r="D9238" s="4" t="n">
        <v>212.96</v>
      </c>
      <c r="E9238" s="5" t="n">
        <v>118.3</v>
      </c>
      <c r="F9238" s="3" t="inlineStr">
        <is>
          <t>강내면</t>
        </is>
      </c>
      <c r="G9238" s="3" t="inlineStr">
        <is>
          <t>연정리</t>
        </is>
      </c>
      <c r="H9238" s="3" t="inlineStr">
        <is>
          <t>계획관리지역</t>
        </is>
      </c>
      <c r="I9238" s="3" t="inlineStr">
        <is>
          <t>전</t>
        </is>
      </c>
      <c r="J9238" s="3" t="inlineStr">
        <is>
          <t>강내면</t>
        </is>
      </c>
    </row>
    <row r="9239">
      <c r="A9239" s="3" t="n">
        <v>2023</v>
      </c>
      <c r="B9239" s="4" t="n">
        <v>20400</v>
      </c>
      <c r="C9239" s="4" t="n">
        <v>550</v>
      </c>
      <c r="D9239" s="4" t="n">
        <v>166.375</v>
      </c>
      <c r="E9239" s="5" t="n">
        <v>122.6</v>
      </c>
      <c r="F9239" s="3" t="inlineStr">
        <is>
          <t>강내면</t>
        </is>
      </c>
      <c r="G9239" s="3" t="inlineStr">
        <is>
          <t>연정리</t>
        </is>
      </c>
      <c r="H9239" s="3" t="inlineStr">
        <is>
          <t>계획관리지역</t>
        </is>
      </c>
      <c r="I9239" s="3" t="inlineStr">
        <is>
          <t>답</t>
        </is>
      </c>
      <c r="J9239" s="3" t="inlineStr">
        <is>
          <t>강내면</t>
        </is>
      </c>
    </row>
    <row r="9240">
      <c r="A9240" s="3" t="n">
        <v>2023</v>
      </c>
      <c r="B9240" s="4" t="n">
        <v>1200</v>
      </c>
      <c r="C9240" s="4" t="n">
        <v>36</v>
      </c>
      <c r="D9240" s="4" t="n">
        <v>10.89</v>
      </c>
      <c r="E9240" s="5" t="n">
        <v>110.2</v>
      </c>
      <c r="F9240" s="3" t="inlineStr">
        <is>
          <t>강내면</t>
        </is>
      </c>
      <c r="G9240" s="3" t="inlineStr">
        <is>
          <t>연정리</t>
        </is>
      </c>
      <c r="H9240" s="3" t="inlineStr">
        <is>
          <t>계획관리지역</t>
        </is>
      </c>
      <c r="I9240" s="3" t="inlineStr">
        <is>
          <t>전</t>
        </is>
      </c>
      <c r="J9240" s="3" t="inlineStr">
        <is>
          <t>강내면</t>
        </is>
      </c>
    </row>
    <row r="9241">
      <c r="A9241" s="3" t="n">
        <v>2023</v>
      </c>
      <c r="B9241" s="4" t="n">
        <v>24000</v>
      </c>
      <c r="C9241" s="4" t="n">
        <v>661</v>
      </c>
      <c r="D9241" s="4" t="n">
        <v>199.9525</v>
      </c>
      <c r="E9241" s="5" t="n">
        <v>120</v>
      </c>
      <c r="F9241" s="3" t="inlineStr">
        <is>
          <t>강내면</t>
        </is>
      </c>
      <c r="G9241" s="3" t="inlineStr">
        <is>
          <t>연정리</t>
        </is>
      </c>
      <c r="H9241" s="3" t="inlineStr">
        <is>
          <t>계획관리지역</t>
        </is>
      </c>
      <c r="I9241" s="3" t="inlineStr">
        <is>
          <t>답</t>
        </is>
      </c>
      <c r="J9241" s="3" t="inlineStr">
        <is>
          <t>강내면</t>
        </is>
      </c>
    </row>
    <row r="9242">
      <c r="A9242" s="3" t="n">
        <v>2023</v>
      </c>
      <c r="B9242" s="4" t="n">
        <v>31440</v>
      </c>
      <c r="C9242" s="4" t="n">
        <v>867</v>
      </c>
      <c r="D9242" s="4" t="n">
        <v>262.2675</v>
      </c>
      <c r="E9242" s="5" t="n">
        <v>119.9</v>
      </c>
      <c r="F9242" s="3" t="inlineStr">
        <is>
          <t>강내면</t>
        </is>
      </c>
      <c r="G9242" s="3" t="inlineStr">
        <is>
          <t>연정리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강내면</t>
        </is>
      </c>
    </row>
    <row r="9243">
      <c r="A9243" s="3" t="n">
        <v>2023</v>
      </c>
      <c r="B9243" s="4" t="n">
        <v>1200</v>
      </c>
      <c r="C9243" s="4" t="n">
        <v>32</v>
      </c>
      <c r="D9243" s="4" t="n">
        <v>9.68</v>
      </c>
      <c r="E9243" s="5" t="n">
        <v>124</v>
      </c>
      <c r="F9243" s="3" t="inlineStr">
        <is>
          <t>강내면</t>
        </is>
      </c>
      <c r="G9243" s="3" t="inlineStr">
        <is>
          <t>연정리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강내면</t>
        </is>
      </c>
    </row>
    <row r="9244">
      <c r="A9244" s="3" t="n">
        <v>2023</v>
      </c>
      <c r="B9244" s="4" t="n">
        <v>47000</v>
      </c>
      <c r="C9244" s="4" t="n">
        <v>5125</v>
      </c>
      <c r="D9244" s="4" t="n">
        <v>1550.3125</v>
      </c>
      <c r="E9244" s="5" t="n">
        <v>30.3</v>
      </c>
      <c r="F9244" s="3" t="inlineStr">
        <is>
          <t>강내면</t>
        </is>
      </c>
      <c r="G9244" s="3" t="inlineStr">
        <is>
          <t>다락리</t>
        </is>
      </c>
      <c r="H9244" s="3" t="inlineStr">
        <is>
          <t>보전녹지지역</t>
        </is>
      </c>
      <c r="I9244" s="3" t="inlineStr">
        <is>
          <t>임야</t>
        </is>
      </c>
      <c r="J9244" s="3" t="inlineStr">
        <is>
          <t>강내면</t>
        </is>
      </c>
    </row>
    <row r="9245">
      <c r="A9245" s="3" t="n">
        <v>2023</v>
      </c>
      <c r="B9245" s="4" t="n">
        <v>7800</v>
      </c>
      <c r="C9245" s="4" t="n">
        <v>258</v>
      </c>
      <c r="D9245" s="4" t="n">
        <v>78.045</v>
      </c>
      <c r="E9245" s="5" t="n">
        <v>99.90000000000001</v>
      </c>
      <c r="F9245" s="3" t="inlineStr">
        <is>
          <t>오송읍</t>
        </is>
      </c>
      <c r="G9245" s="3" t="inlineStr">
        <is>
          <t>호계리</t>
        </is>
      </c>
      <c r="H9245" s="3" t="inlineStr">
        <is>
          <t>계획관리지역</t>
        </is>
      </c>
      <c r="I9245" s="3" t="inlineStr">
        <is>
          <t>대</t>
        </is>
      </c>
      <c r="J9245" s="3" t="inlineStr">
        <is>
          <t>오송읍</t>
        </is>
      </c>
    </row>
    <row r="9246">
      <c r="A9246" s="3" t="n">
        <v>2023</v>
      </c>
      <c r="B9246" s="4" t="n">
        <v>4000</v>
      </c>
      <c r="C9246" s="4" t="n">
        <v>250</v>
      </c>
      <c r="D9246" s="4" t="n">
        <v>75.625</v>
      </c>
      <c r="E9246" s="5" t="n">
        <v>52.9</v>
      </c>
      <c r="F9246" s="3" t="inlineStr">
        <is>
          <t>강내면</t>
        </is>
      </c>
      <c r="G9246" s="3" t="inlineStr">
        <is>
          <t>다락리</t>
        </is>
      </c>
      <c r="H9246" s="3" t="inlineStr">
        <is>
          <t>자연녹지지역</t>
        </is>
      </c>
      <c r="I9246" s="3" t="inlineStr">
        <is>
          <t>전</t>
        </is>
      </c>
      <c r="J9246" s="3" t="inlineStr">
        <is>
          <t>강내면</t>
        </is>
      </c>
    </row>
    <row r="9247">
      <c r="A9247" s="3" t="n">
        <v>2023</v>
      </c>
      <c r="B9247" s="4" t="n">
        <v>7800</v>
      </c>
      <c r="C9247" s="4" t="n">
        <v>258</v>
      </c>
      <c r="D9247" s="4" t="n">
        <v>78.045</v>
      </c>
      <c r="E9247" s="5" t="n">
        <v>99.90000000000001</v>
      </c>
      <c r="F9247" s="3" t="inlineStr">
        <is>
          <t>오송읍</t>
        </is>
      </c>
      <c r="G9247" s="3" t="inlineStr">
        <is>
          <t>호계리</t>
        </is>
      </c>
      <c r="H9247" s="3" t="inlineStr">
        <is>
          <t>계획관리지역</t>
        </is>
      </c>
      <c r="I9247" s="3" t="inlineStr">
        <is>
          <t>대</t>
        </is>
      </c>
      <c r="J9247" s="3" t="inlineStr">
        <is>
          <t>오송읍</t>
        </is>
      </c>
    </row>
    <row r="9248">
      <c r="A9248" s="3" t="n">
        <v>2023</v>
      </c>
      <c r="B9248" s="4" t="n">
        <v>120000</v>
      </c>
      <c r="C9248" s="4" t="n">
        <v>2641</v>
      </c>
      <c r="D9248" s="4" t="n">
        <v>798.9025</v>
      </c>
      <c r="E9248" s="5" t="n">
        <v>150.2</v>
      </c>
      <c r="F9248" s="3" t="inlineStr">
        <is>
          <t>오송읍</t>
        </is>
      </c>
      <c r="G9248" s="3" t="inlineStr">
        <is>
          <t>연제리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오송읍</t>
        </is>
      </c>
    </row>
    <row r="9249">
      <c r="A9249" s="3" t="n">
        <v>2023</v>
      </c>
      <c r="B9249" s="4" t="n">
        <v>15372</v>
      </c>
      <c r="C9249" s="4" t="n">
        <v>528</v>
      </c>
      <c r="D9249" s="4" t="n">
        <v>159.72</v>
      </c>
      <c r="E9249" s="5" t="n">
        <v>96.2</v>
      </c>
      <c r="F9249" s="3" t="inlineStr">
        <is>
          <t>오송읍</t>
        </is>
      </c>
      <c r="G9249" s="3" t="inlineStr">
        <is>
          <t>상정리</t>
        </is>
      </c>
      <c r="H9249" s="3" t="inlineStr">
        <is>
          <t>계획관리지역</t>
        </is>
      </c>
      <c r="I9249" s="3" t="inlineStr">
        <is>
          <t>대</t>
        </is>
      </c>
      <c r="J9249" s="3" t="inlineStr">
        <is>
          <t>오송읍</t>
        </is>
      </c>
    </row>
    <row r="9250">
      <c r="A9250" s="3" t="n">
        <v>2023</v>
      </c>
      <c r="B9250" s="4" t="n">
        <v>32000</v>
      </c>
      <c r="C9250" s="4" t="n">
        <v>251.5</v>
      </c>
      <c r="D9250" s="4" t="n">
        <v>76.07875</v>
      </c>
      <c r="E9250" s="5" t="n">
        <v>420.6</v>
      </c>
      <c r="F9250" s="3" t="inlineStr">
        <is>
          <t>오송읍</t>
        </is>
      </c>
      <c r="G9250" s="3" t="inlineStr">
        <is>
          <t>봉산리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오송읍</t>
        </is>
      </c>
    </row>
    <row r="9251">
      <c r="A9251" s="3" t="n">
        <v>2023</v>
      </c>
      <c r="B9251" s="4" t="n">
        <v>35000</v>
      </c>
      <c r="C9251" s="4" t="n">
        <v>330</v>
      </c>
      <c r="D9251" s="4" t="n">
        <v>99.825</v>
      </c>
      <c r="E9251" s="5" t="n">
        <v>350.6</v>
      </c>
      <c r="F9251" s="3" t="inlineStr">
        <is>
          <t>강내면</t>
        </is>
      </c>
      <c r="G9251" s="3" t="inlineStr">
        <is>
          <t>월탄리</t>
        </is>
      </c>
      <c r="H9251" s="3" t="inlineStr">
        <is>
          <t>계획관리지역</t>
        </is>
      </c>
      <c r="I9251" s="3" t="inlineStr">
        <is>
          <t>대</t>
        </is>
      </c>
      <c r="J9251" s="3" t="inlineStr">
        <is>
          <t>강내면</t>
        </is>
      </c>
    </row>
    <row r="9252">
      <c r="A9252" s="3" t="n">
        <v>2023</v>
      </c>
      <c r="B9252" s="4" t="n">
        <v>42000</v>
      </c>
      <c r="C9252" s="4" t="n">
        <v>2529</v>
      </c>
      <c r="D9252" s="4" t="n">
        <v>765.0224999999999</v>
      </c>
      <c r="E9252" s="5" t="n">
        <v>54.9</v>
      </c>
      <c r="F9252" s="3" t="inlineStr">
        <is>
          <t>강내면</t>
        </is>
      </c>
      <c r="G9252" s="3" t="inlineStr">
        <is>
          <t>궁현리</t>
        </is>
      </c>
      <c r="H9252" s="3" t="inlineStr">
        <is>
          <t>농림지역</t>
        </is>
      </c>
      <c r="I9252" s="3" t="inlineStr">
        <is>
          <t>답</t>
        </is>
      </c>
      <c r="J9252" s="3" t="inlineStr">
        <is>
          <t>강내면</t>
        </is>
      </c>
    </row>
    <row r="9253">
      <c r="A9253" s="3" t="n">
        <v>2024</v>
      </c>
      <c r="B9253" s="4" t="n">
        <v>266904</v>
      </c>
      <c r="C9253" s="4" t="n">
        <v>26442</v>
      </c>
      <c r="D9253" s="4" t="n">
        <v>7998.705</v>
      </c>
      <c r="E9253" s="5" t="n">
        <v>33.4</v>
      </c>
      <c r="F9253" s="3" t="inlineStr">
        <is>
          <t>오송읍</t>
        </is>
      </c>
      <c r="G9253" s="3" t="inlineStr">
        <is>
          <t>상정리</t>
        </is>
      </c>
      <c r="H9253" s="3" t="inlineStr">
        <is>
          <t>계획관리지역</t>
        </is>
      </c>
      <c r="I9253" s="3" t="inlineStr">
        <is>
          <t>임야</t>
        </is>
      </c>
      <c r="J9253" s="3" t="inlineStr">
        <is>
          <t>오송읍</t>
        </is>
      </c>
    </row>
    <row r="9254">
      <c r="A9254" s="3" t="n">
        <v>2023</v>
      </c>
      <c r="B9254" s="4" t="n">
        <v>22400</v>
      </c>
      <c r="C9254" s="4" t="n">
        <v>655</v>
      </c>
      <c r="D9254" s="4" t="n">
        <v>198.1375</v>
      </c>
      <c r="E9254" s="5" t="n">
        <v>113.1</v>
      </c>
      <c r="F9254" s="3" t="inlineStr">
        <is>
          <t>오송읍</t>
        </is>
      </c>
      <c r="G9254" s="3" t="inlineStr">
        <is>
          <t>연제리</t>
        </is>
      </c>
      <c r="H9254" s="3" t="inlineStr">
        <is>
          <t>계획관리지역</t>
        </is>
      </c>
      <c r="I9254" s="3" t="inlineStr">
        <is>
          <t>답</t>
        </is>
      </c>
      <c r="J9254" s="3" t="inlineStr">
        <is>
          <t>오송읍</t>
        </is>
      </c>
    </row>
    <row r="9255">
      <c r="A9255" s="3" t="n">
        <v>2023</v>
      </c>
      <c r="B9255" s="4" t="n">
        <v>4500</v>
      </c>
      <c r="C9255" s="4" t="n">
        <v>150</v>
      </c>
      <c r="D9255" s="4" t="n">
        <v>45.375</v>
      </c>
      <c r="E9255" s="5" t="n">
        <v>99.2</v>
      </c>
      <c r="F9255" s="3" t="inlineStr">
        <is>
          <t>오송읍</t>
        </is>
      </c>
      <c r="G9255" s="3" t="inlineStr">
        <is>
          <t>정중리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오송읍</t>
        </is>
      </c>
    </row>
    <row r="9256">
      <c r="A9256" s="3" t="n">
        <v>2023</v>
      </c>
      <c r="B9256" s="4" t="n">
        <v>432</v>
      </c>
      <c r="C9256" s="4" t="n">
        <v>36</v>
      </c>
      <c r="D9256" s="4" t="n">
        <v>10.89</v>
      </c>
      <c r="E9256" s="5" t="n">
        <v>39.7</v>
      </c>
      <c r="F9256" s="3" t="inlineStr">
        <is>
          <t>강내면</t>
        </is>
      </c>
      <c r="G9256" s="3" t="inlineStr">
        <is>
          <t>연정리</t>
        </is>
      </c>
      <c r="H9256" s="3" t="inlineStr">
        <is>
          <t>계획관리지역</t>
        </is>
      </c>
      <c r="I9256" s="3" t="inlineStr">
        <is>
          <t>전</t>
        </is>
      </c>
      <c r="J9256" s="3" t="inlineStr">
        <is>
          <t>강내면</t>
        </is>
      </c>
    </row>
    <row r="9257">
      <c r="A9257" s="3" t="n">
        <v>2023</v>
      </c>
      <c r="B9257" s="4" t="n">
        <v>26884</v>
      </c>
      <c r="C9257" s="4" t="n">
        <v>1891</v>
      </c>
      <c r="D9257" s="4" t="n">
        <v>572.0275</v>
      </c>
      <c r="E9257" s="5" t="n">
        <v>47</v>
      </c>
      <c r="F9257" s="3" t="inlineStr">
        <is>
          <t>강내면</t>
        </is>
      </c>
      <c r="G9257" s="3" t="inlineStr">
        <is>
          <t>다락리</t>
        </is>
      </c>
      <c r="H9257" s="3" t="inlineStr">
        <is>
          <t>농림지역</t>
        </is>
      </c>
      <c r="I9257" s="3" t="inlineStr">
        <is>
          <t>답</t>
        </is>
      </c>
      <c r="J9257" s="3" t="inlineStr">
        <is>
          <t>강내면</t>
        </is>
      </c>
    </row>
    <row r="9258">
      <c r="A9258" s="3" t="n">
        <v>2023</v>
      </c>
      <c r="B9258" s="4" t="n">
        <v>480</v>
      </c>
      <c r="C9258" s="4" t="n">
        <v>40</v>
      </c>
      <c r="D9258" s="4" t="n">
        <v>12.1</v>
      </c>
      <c r="E9258" s="5" t="n">
        <v>39.7</v>
      </c>
      <c r="F9258" s="3" t="inlineStr">
        <is>
          <t>강내면</t>
        </is>
      </c>
      <c r="G9258" s="3" t="inlineStr">
        <is>
          <t>연정리</t>
        </is>
      </c>
      <c r="H9258" s="3" t="inlineStr">
        <is>
          <t>계획관리지역</t>
        </is>
      </c>
      <c r="I9258" s="3" t="inlineStr">
        <is>
          <t>답</t>
        </is>
      </c>
      <c r="J9258" s="3" t="inlineStr">
        <is>
          <t>강내면</t>
        </is>
      </c>
    </row>
    <row r="9259">
      <c r="A9259" s="3" t="n">
        <v>2023</v>
      </c>
      <c r="B9259" s="4" t="n">
        <v>312</v>
      </c>
      <c r="C9259" s="4" t="n">
        <v>26</v>
      </c>
      <c r="D9259" s="4" t="n">
        <v>7.865</v>
      </c>
      <c r="E9259" s="5" t="n">
        <v>39.7</v>
      </c>
      <c r="F9259" s="3" t="inlineStr">
        <is>
          <t>강내면</t>
        </is>
      </c>
      <c r="G9259" s="3" t="inlineStr">
        <is>
          <t>연정리</t>
        </is>
      </c>
      <c r="H9259" s="3" t="inlineStr">
        <is>
          <t>계획관리지역</t>
        </is>
      </c>
      <c r="I9259" s="3" t="inlineStr">
        <is>
          <t>전</t>
        </is>
      </c>
      <c r="J9259" s="3" t="inlineStr">
        <is>
          <t>강내면</t>
        </is>
      </c>
    </row>
    <row r="9260">
      <c r="A9260" s="3" t="n">
        <v>2023</v>
      </c>
      <c r="B9260" s="4" t="n">
        <v>158</v>
      </c>
      <c r="C9260" s="4" t="n">
        <v>2.97</v>
      </c>
      <c r="D9260" s="4" t="n">
        <v>0.898425</v>
      </c>
      <c r="E9260" s="5" t="n">
        <v>175.9</v>
      </c>
      <c r="F9260" s="3" t="inlineStr">
        <is>
          <t>오송읍</t>
        </is>
      </c>
      <c r="G9260" s="3" t="inlineStr">
        <is>
          <t>쌍청리</t>
        </is>
      </c>
      <c r="H9260" s="3" t="inlineStr">
        <is>
          <t>계획관리지역</t>
        </is>
      </c>
      <c r="I9260" s="3" t="inlineStr">
        <is>
          <t>도로</t>
        </is>
      </c>
      <c r="J9260" s="3" t="inlineStr">
        <is>
          <t>오송읍</t>
        </is>
      </c>
    </row>
    <row r="9261">
      <c r="A9261" s="3" t="n">
        <v>2023</v>
      </c>
      <c r="B9261" s="4" t="n">
        <v>3900</v>
      </c>
      <c r="C9261" s="4" t="n">
        <v>179</v>
      </c>
      <c r="D9261" s="4" t="n">
        <v>54.1475</v>
      </c>
      <c r="E9261" s="5" t="n">
        <v>72</v>
      </c>
      <c r="F9261" s="3" t="inlineStr">
        <is>
          <t>오송읍</t>
        </is>
      </c>
      <c r="G9261" s="3" t="inlineStr">
        <is>
          <t>호계리</t>
        </is>
      </c>
      <c r="H9261" s="3" t="inlineStr">
        <is>
          <t>계획관리지역</t>
        </is>
      </c>
      <c r="I9261" s="3" t="inlineStr">
        <is>
          <t>제방</t>
        </is>
      </c>
      <c r="J9261" s="3" t="inlineStr">
        <is>
          <t>오송읍</t>
        </is>
      </c>
    </row>
    <row r="9262">
      <c r="A9262" s="3" t="n">
        <v>2023</v>
      </c>
      <c r="B9262" s="4" t="n">
        <v>6100</v>
      </c>
      <c r="C9262" s="4" t="n">
        <v>281</v>
      </c>
      <c r="D9262" s="4" t="n">
        <v>85.0025</v>
      </c>
      <c r="E9262" s="5" t="n">
        <v>71.8</v>
      </c>
      <c r="F9262" s="3" t="inlineStr">
        <is>
          <t>오송읍</t>
        </is>
      </c>
      <c r="G9262" s="3" t="inlineStr">
        <is>
          <t>호계리</t>
        </is>
      </c>
      <c r="H9262" s="3" t="inlineStr">
        <is>
          <t>계획관리지역</t>
        </is>
      </c>
      <c r="I9262" s="3" t="inlineStr">
        <is>
          <t>하천</t>
        </is>
      </c>
      <c r="J9262" s="3" t="inlineStr">
        <is>
          <t>오송읍</t>
        </is>
      </c>
    </row>
    <row r="9263">
      <c r="A9263" s="3" t="n">
        <v>2023</v>
      </c>
      <c r="B9263" s="4" t="n">
        <v>323000</v>
      </c>
      <c r="C9263" s="4" t="n">
        <v>1195.9</v>
      </c>
      <c r="D9263" s="4" t="n">
        <v>361.75975</v>
      </c>
      <c r="E9263" s="5" t="n">
        <v>892.9</v>
      </c>
      <c r="F9263" s="3" t="inlineStr">
        <is>
          <t>오송읍</t>
        </is>
      </c>
      <c r="G9263" s="3" t="inlineStr">
        <is>
          <t>봉산리</t>
        </is>
      </c>
      <c r="H9263" s="3" t="inlineStr">
        <is>
          <t>일반상업지역</t>
        </is>
      </c>
      <c r="I9263" s="3" t="inlineStr">
        <is>
          <t>대</t>
        </is>
      </c>
      <c r="J9263" s="3" t="inlineStr">
        <is>
          <t>오송읍</t>
        </is>
      </c>
    </row>
    <row r="9264">
      <c r="A9264" s="3" t="n">
        <v>2023</v>
      </c>
      <c r="B9264" s="4" t="n">
        <v>58617</v>
      </c>
      <c r="C9264" s="4" t="n">
        <v>2856.1</v>
      </c>
      <c r="D9264" s="4" t="n">
        <v>863.97025</v>
      </c>
      <c r="E9264" s="5" t="n">
        <v>67.8</v>
      </c>
      <c r="F9264" s="3" t="inlineStr">
        <is>
          <t>오송읍</t>
        </is>
      </c>
      <c r="G9264" s="3" t="inlineStr">
        <is>
          <t>연제리</t>
        </is>
      </c>
      <c r="H9264" s="3" t="inlineStr">
        <is>
          <t>준공업지역</t>
        </is>
      </c>
      <c r="I9264" s="3" t="inlineStr">
        <is>
          <t>대</t>
        </is>
      </c>
      <c r="J9264" s="3" t="inlineStr">
        <is>
          <t>오송읍</t>
        </is>
      </c>
    </row>
    <row r="9265">
      <c r="A9265" s="3" t="n">
        <v>2023</v>
      </c>
      <c r="B9265" s="4" t="n">
        <v>122700</v>
      </c>
      <c r="C9265" s="4" t="n">
        <v>1022.2</v>
      </c>
      <c r="D9265" s="4" t="n">
        <v>309.2155</v>
      </c>
      <c r="E9265" s="5" t="n">
        <v>396.8</v>
      </c>
      <c r="F9265" s="3" t="inlineStr">
        <is>
          <t>오송읍</t>
        </is>
      </c>
      <c r="G9265" s="3" t="inlineStr">
        <is>
          <t>봉산리</t>
        </is>
      </c>
      <c r="H9265" s="3" t="inlineStr">
        <is>
          <t>일반상업지역</t>
        </is>
      </c>
      <c r="I9265" s="3" t="inlineStr">
        <is>
          <t>주차장</t>
        </is>
      </c>
      <c r="J9265" s="3" t="inlineStr">
        <is>
          <t>오송읍</t>
        </is>
      </c>
    </row>
    <row r="9266">
      <c r="A9266" s="3" t="n">
        <v>2023</v>
      </c>
      <c r="B9266" s="4" t="n">
        <v>460</v>
      </c>
      <c r="C9266" s="4" t="n">
        <v>87</v>
      </c>
      <c r="D9266" s="4" t="n">
        <v>26.3175</v>
      </c>
      <c r="E9266" s="5" t="n">
        <v>17.5</v>
      </c>
      <c r="F9266" s="3" t="inlineStr">
        <is>
          <t>강내면</t>
        </is>
      </c>
      <c r="G9266" s="3" t="inlineStr">
        <is>
          <t>월탄리</t>
        </is>
      </c>
      <c r="H9266" s="3" t="inlineStr">
        <is>
          <t>계획관리지역</t>
        </is>
      </c>
      <c r="I9266" s="3" t="inlineStr">
        <is>
          <t>도로</t>
        </is>
      </c>
      <c r="J9266" s="3" t="inlineStr">
        <is>
          <t>강내면</t>
        </is>
      </c>
    </row>
    <row r="9267">
      <c r="A9267" s="3" t="n">
        <v>2023</v>
      </c>
      <c r="B9267" s="4" t="n">
        <v>440</v>
      </c>
      <c r="C9267" s="4" t="n">
        <v>83</v>
      </c>
      <c r="D9267" s="4" t="n">
        <v>25.1075</v>
      </c>
      <c r="E9267" s="5" t="n">
        <v>17.5</v>
      </c>
      <c r="F9267" s="3" t="inlineStr">
        <is>
          <t>강내면</t>
        </is>
      </c>
      <c r="G9267" s="3" t="inlineStr">
        <is>
          <t>월탄리</t>
        </is>
      </c>
      <c r="H9267" s="3" t="inlineStr">
        <is>
          <t>계획관리지역</t>
        </is>
      </c>
      <c r="I9267" s="3" t="inlineStr">
        <is>
          <t>도로</t>
        </is>
      </c>
      <c r="J9267" s="3" t="inlineStr">
        <is>
          <t>강내면</t>
        </is>
      </c>
    </row>
    <row r="9268">
      <c r="A9268" s="3" t="n">
        <v>2023</v>
      </c>
      <c r="B9268" s="4" t="n">
        <v>3800</v>
      </c>
      <c r="C9268" s="4" t="n">
        <v>64</v>
      </c>
      <c r="D9268" s="4" t="n">
        <v>19.36</v>
      </c>
      <c r="E9268" s="5" t="n">
        <v>196.3</v>
      </c>
      <c r="F9268" s="3" t="inlineStr">
        <is>
          <t>오송읍</t>
        </is>
      </c>
      <c r="G9268" s="3" t="inlineStr">
        <is>
          <t>오송리</t>
        </is>
      </c>
      <c r="H9268" s="3" t="inlineStr">
        <is>
          <t>계획관리지역</t>
        </is>
      </c>
      <c r="I9268" s="3" t="inlineStr">
        <is>
          <t>전</t>
        </is>
      </c>
      <c r="J9268" s="3" t="inlineStr">
        <is>
          <t>오송읍</t>
        </is>
      </c>
    </row>
    <row r="9269">
      <c r="A9269" s="3" t="n">
        <v>2023</v>
      </c>
      <c r="B9269" s="4" t="n">
        <v>19200</v>
      </c>
      <c r="C9269" s="4" t="n">
        <v>318</v>
      </c>
      <c r="D9269" s="4" t="n">
        <v>96.19499999999999</v>
      </c>
      <c r="E9269" s="5" t="n">
        <v>199.6</v>
      </c>
      <c r="F9269" s="3" t="inlineStr">
        <is>
          <t>오송읍</t>
        </is>
      </c>
      <c r="G9269" s="3" t="inlineStr">
        <is>
          <t>오송리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오송읍</t>
        </is>
      </c>
    </row>
    <row r="9270">
      <c r="A9270" s="3" t="n">
        <v>2023</v>
      </c>
      <c r="B9270" s="4" t="n">
        <v>200</v>
      </c>
      <c r="C9270" s="4" t="n">
        <v>5</v>
      </c>
      <c r="D9270" s="4" t="n">
        <v>1.5125</v>
      </c>
      <c r="E9270" s="5" t="n">
        <v>132.2</v>
      </c>
      <c r="F9270" s="3" t="inlineStr">
        <is>
          <t>오송읍</t>
        </is>
      </c>
      <c r="G9270" s="3" t="inlineStr">
        <is>
          <t>오송리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오송읍</t>
        </is>
      </c>
    </row>
    <row r="9271">
      <c r="A9271" s="3" t="n">
        <v>2023</v>
      </c>
      <c r="B9271" s="4" t="n">
        <v>60100</v>
      </c>
      <c r="C9271" s="4" t="n">
        <v>783</v>
      </c>
      <c r="D9271" s="4" t="n">
        <v>236.8575</v>
      </c>
      <c r="E9271" s="5" t="n">
        <v>253.7</v>
      </c>
      <c r="F9271" s="3" t="inlineStr">
        <is>
          <t>오송읍</t>
        </is>
      </c>
      <c r="G9271" s="3" t="inlineStr">
        <is>
          <t>오송리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오송읍</t>
        </is>
      </c>
    </row>
    <row r="9272">
      <c r="A9272" s="3" t="n">
        <v>2023</v>
      </c>
      <c r="B9272" s="4" t="n">
        <v>10200</v>
      </c>
      <c r="C9272" s="4" t="n">
        <v>225</v>
      </c>
      <c r="D9272" s="4" t="n">
        <v>68.0625</v>
      </c>
      <c r="E9272" s="5" t="n">
        <v>149.9</v>
      </c>
      <c r="F9272" s="3" t="inlineStr">
        <is>
          <t>오송읍</t>
        </is>
      </c>
      <c r="G9272" s="3" t="inlineStr">
        <is>
          <t>동평리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오송읍</t>
        </is>
      </c>
    </row>
    <row r="9273">
      <c r="A9273" s="3" t="n">
        <v>2023</v>
      </c>
      <c r="B9273" s="4" t="n">
        <v>9000</v>
      </c>
      <c r="C9273" s="4" t="n">
        <v>893</v>
      </c>
      <c r="D9273" s="4" t="n">
        <v>270.1325</v>
      </c>
      <c r="E9273" s="5" t="n">
        <v>33.3</v>
      </c>
      <c r="F9273" s="3" t="inlineStr">
        <is>
          <t>강내면</t>
        </is>
      </c>
      <c r="G9273" s="3" t="inlineStr">
        <is>
          <t>저산리</t>
        </is>
      </c>
      <c r="H9273" s="3" t="inlineStr">
        <is>
          <t>계획관리지역</t>
        </is>
      </c>
      <c r="I9273" s="3" t="inlineStr">
        <is>
          <t>임야</t>
        </is>
      </c>
      <c r="J9273" s="3" t="inlineStr">
        <is>
          <t>강내면</t>
        </is>
      </c>
    </row>
    <row r="9274">
      <c r="A9274" s="3" t="n">
        <v>2023</v>
      </c>
      <c r="B9274" s="4" t="n">
        <v>3000</v>
      </c>
      <c r="C9274" s="4" t="n">
        <v>308</v>
      </c>
      <c r="D9274" s="4" t="n">
        <v>93.17</v>
      </c>
      <c r="E9274" s="5" t="n">
        <v>32.2</v>
      </c>
      <c r="F9274" s="3" t="inlineStr">
        <is>
          <t>강내면</t>
        </is>
      </c>
      <c r="G9274" s="3" t="inlineStr">
        <is>
          <t>궁현리</t>
        </is>
      </c>
      <c r="H9274" s="3" t="inlineStr">
        <is>
          <t>계획관리지역</t>
        </is>
      </c>
      <c r="I9274" s="3" t="inlineStr">
        <is>
          <t>임야</t>
        </is>
      </c>
      <c r="J9274" s="3" t="inlineStr">
        <is>
          <t>강내면</t>
        </is>
      </c>
    </row>
    <row r="9275">
      <c r="A9275" s="3" t="n">
        <v>2023</v>
      </c>
      <c r="B9275" s="4" t="n">
        <v>4000</v>
      </c>
      <c r="C9275" s="4" t="n">
        <v>250</v>
      </c>
      <c r="D9275" s="4" t="n">
        <v>75.625</v>
      </c>
      <c r="E9275" s="5" t="n">
        <v>52.9</v>
      </c>
      <c r="F9275" s="3" t="inlineStr">
        <is>
          <t>강내면</t>
        </is>
      </c>
      <c r="G9275" s="3" t="inlineStr">
        <is>
          <t>다락리</t>
        </is>
      </c>
      <c r="H9275" s="3" t="inlineStr">
        <is>
          <t>자연녹지지역</t>
        </is>
      </c>
      <c r="I9275" s="3" t="inlineStr">
        <is>
          <t>전</t>
        </is>
      </c>
      <c r="J9275" s="3" t="inlineStr">
        <is>
          <t>강내면</t>
        </is>
      </c>
    </row>
    <row r="9276">
      <c r="A9276" s="3" t="n">
        <v>2024</v>
      </c>
      <c r="B9276" s="4" t="n">
        <v>26169</v>
      </c>
      <c r="C9276" s="4" t="n">
        <v>13650</v>
      </c>
      <c r="D9276" s="4" t="n">
        <v>4129.125</v>
      </c>
      <c r="E9276" s="5" t="n">
        <v>6.3</v>
      </c>
      <c r="F9276" s="3" t="inlineStr">
        <is>
          <t>오송읍</t>
        </is>
      </c>
      <c r="G9276" s="3" t="inlineStr">
        <is>
          <t>공북리</t>
        </is>
      </c>
      <c r="H9276" s="3" t="inlineStr">
        <is>
          <t>보전관리지역</t>
        </is>
      </c>
      <c r="I9276" s="3" t="inlineStr">
        <is>
          <t>임야</t>
        </is>
      </c>
      <c r="J9276" s="3" t="inlineStr">
        <is>
          <t>오송읍</t>
        </is>
      </c>
    </row>
    <row r="9277">
      <c r="A9277" s="3" t="n">
        <v>2024</v>
      </c>
      <c r="B9277" s="4" t="n">
        <v>143548</v>
      </c>
      <c r="C9277" s="4" t="n">
        <v>56882</v>
      </c>
      <c r="D9277" s="4" t="n">
        <v>17206.805</v>
      </c>
      <c r="E9277" s="5" t="n">
        <v>8.300000000000001</v>
      </c>
      <c r="F9277" s="3" t="inlineStr">
        <is>
          <t>오송읍</t>
        </is>
      </c>
      <c r="G9277" s="3" t="inlineStr">
        <is>
          <t>공북리</t>
        </is>
      </c>
      <c r="H9277" s="3" t="inlineStr">
        <is>
          <t>보전관리지역</t>
        </is>
      </c>
      <c r="I9277" s="3" t="inlineStr">
        <is>
          <t>임야</t>
        </is>
      </c>
      <c r="J9277" s="3" t="inlineStr">
        <is>
          <t>오송읍</t>
        </is>
      </c>
    </row>
    <row r="9278">
      <c r="A9278" s="3" t="n">
        <v>2024</v>
      </c>
      <c r="B9278" s="4" t="n">
        <v>11830</v>
      </c>
      <c r="C9278" s="4" t="n">
        <v>7619</v>
      </c>
      <c r="D9278" s="4" t="n">
        <v>2304.7475</v>
      </c>
      <c r="E9278" s="5" t="n">
        <v>5.1</v>
      </c>
      <c r="F9278" s="3" t="inlineStr">
        <is>
          <t>오송읍</t>
        </is>
      </c>
      <c r="G9278" s="3" t="inlineStr">
        <is>
          <t>공북리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오송읍</t>
        </is>
      </c>
    </row>
    <row r="9279">
      <c r="A9279" s="3" t="n">
        <v>2024</v>
      </c>
      <c r="B9279" s="4" t="n">
        <v>2842</v>
      </c>
      <c r="C9279" s="4" t="n">
        <v>479</v>
      </c>
      <c r="D9279" s="4" t="n">
        <v>144.8975</v>
      </c>
      <c r="E9279" s="5" t="n">
        <v>19.6</v>
      </c>
      <c r="F9279" s="3" t="inlineStr">
        <is>
          <t>오송읍</t>
        </is>
      </c>
      <c r="G9279" s="3" t="inlineStr">
        <is>
          <t>공북리</t>
        </is>
      </c>
      <c r="H9279" s="3" t="inlineStr">
        <is>
          <t>농림지역</t>
        </is>
      </c>
      <c r="I9279" s="3" t="inlineStr">
        <is>
          <t>임야</t>
        </is>
      </c>
      <c r="J9279" s="3" t="inlineStr">
        <is>
          <t>오송읍</t>
        </is>
      </c>
    </row>
    <row r="9280">
      <c r="A9280" s="3" t="n">
        <v>2024</v>
      </c>
      <c r="B9280" s="4" t="n">
        <v>5790</v>
      </c>
      <c r="C9280" s="4" t="n">
        <v>674</v>
      </c>
      <c r="D9280" s="4" t="n">
        <v>203.885</v>
      </c>
      <c r="E9280" s="5" t="n">
        <v>28.4</v>
      </c>
      <c r="F9280" s="3" t="inlineStr">
        <is>
          <t>오송읍</t>
        </is>
      </c>
      <c r="G9280" s="3" t="inlineStr">
        <is>
          <t>공북리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오송읍</t>
        </is>
      </c>
    </row>
    <row r="9281">
      <c r="A9281" s="3" t="n">
        <v>2024</v>
      </c>
      <c r="B9281" s="4" t="n">
        <v>85201</v>
      </c>
      <c r="C9281" s="4" t="n">
        <v>5629</v>
      </c>
      <c r="D9281" s="4" t="n">
        <v>1702.7725</v>
      </c>
      <c r="E9281" s="5" t="n">
        <v>50</v>
      </c>
      <c r="F9281" s="3" t="inlineStr">
        <is>
          <t>오송읍</t>
        </is>
      </c>
      <c r="G9281" s="3" t="inlineStr">
        <is>
          <t>상정리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오송읍</t>
        </is>
      </c>
    </row>
    <row r="9282">
      <c r="A9282" s="3" t="n">
        <v>2024</v>
      </c>
      <c r="B9282" s="4" t="n">
        <v>178260</v>
      </c>
      <c r="C9282" s="4" t="n">
        <v>5052</v>
      </c>
      <c r="D9282" s="4" t="n">
        <v>1528.23</v>
      </c>
      <c r="E9282" s="5" t="n">
        <v>116.6</v>
      </c>
      <c r="F9282" s="3" t="inlineStr">
        <is>
          <t>오송읍</t>
        </is>
      </c>
      <c r="G9282" s="3" t="inlineStr">
        <is>
          <t>상정리</t>
        </is>
      </c>
      <c r="H9282" s="3" t="inlineStr">
        <is>
          <t>보전관리지역</t>
        </is>
      </c>
      <c r="I9282" s="3" t="inlineStr">
        <is>
          <t>임야</t>
        </is>
      </c>
      <c r="J9282" s="3" t="inlineStr">
        <is>
          <t>오송읍</t>
        </is>
      </c>
    </row>
    <row r="9283">
      <c r="A9283" s="3" t="n">
        <v>2024</v>
      </c>
      <c r="B9283" s="4" t="n">
        <v>113596</v>
      </c>
      <c r="C9283" s="4" t="n">
        <v>51308</v>
      </c>
      <c r="D9283" s="4" t="n">
        <v>15520.67</v>
      </c>
      <c r="E9283" s="5" t="n">
        <v>7.3</v>
      </c>
      <c r="F9283" s="3" t="inlineStr">
        <is>
          <t>오송읍</t>
        </is>
      </c>
      <c r="G9283" s="3" t="inlineStr">
        <is>
          <t>상정리</t>
        </is>
      </c>
      <c r="H9283" s="3" t="inlineStr">
        <is>
          <t>계획관리지역</t>
        </is>
      </c>
      <c r="I9283" s="3" t="inlineStr">
        <is>
          <t>임야</t>
        </is>
      </c>
      <c r="J9283" s="3" t="inlineStr">
        <is>
          <t>오송읍</t>
        </is>
      </c>
    </row>
    <row r="9284">
      <c r="A9284" s="3" t="n">
        <v>2024</v>
      </c>
      <c r="B9284" s="4" t="n">
        <v>62947</v>
      </c>
      <c r="C9284" s="4" t="n">
        <v>8726</v>
      </c>
      <c r="D9284" s="4" t="n">
        <v>2639.615</v>
      </c>
      <c r="E9284" s="5" t="n">
        <v>23.8</v>
      </c>
      <c r="F9284" s="3" t="inlineStr">
        <is>
          <t>오송읍</t>
        </is>
      </c>
      <c r="G9284" s="3" t="inlineStr">
        <is>
          <t>공북리</t>
        </is>
      </c>
      <c r="H9284" s="3" t="inlineStr">
        <is>
          <t>계획관리지역</t>
        </is>
      </c>
      <c r="I9284" s="3" t="inlineStr">
        <is>
          <t>임야</t>
        </is>
      </c>
      <c r="J9284" s="3" t="inlineStr">
        <is>
          <t>오송읍</t>
        </is>
      </c>
    </row>
    <row r="9285">
      <c r="A9285" s="3" t="n">
        <v>2024</v>
      </c>
      <c r="B9285" s="4" t="n">
        <v>25200</v>
      </c>
      <c r="C9285" s="4" t="n">
        <v>1440</v>
      </c>
      <c r="D9285" s="4" t="n">
        <v>435.6</v>
      </c>
      <c r="E9285" s="5" t="n">
        <v>57.9</v>
      </c>
      <c r="F9285" s="3" t="inlineStr">
        <is>
          <t>강내면</t>
        </is>
      </c>
      <c r="G9285" s="3" t="inlineStr">
        <is>
          <t>사곡리</t>
        </is>
      </c>
      <c r="H9285" s="3" t="inlineStr">
        <is>
          <t>보전관리지역</t>
        </is>
      </c>
      <c r="I9285" s="3" t="inlineStr">
        <is>
          <t>전</t>
        </is>
      </c>
      <c r="J9285" s="3" t="inlineStr">
        <is>
          <t>강내면</t>
        </is>
      </c>
    </row>
    <row r="9286">
      <c r="A9286" s="3" t="n">
        <v>2024</v>
      </c>
      <c r="B9286" s="4" t="n">
        <v>5000</v>
      </c>
      <c r="C9286" s="4" t="n">
        <v>570</v>
      </c>
      <c r="D9286" s="4" t="n">
        <v>172.425</v>
      </c>
      <c r="E9286" s="5" t="n">
        <v>29</v>
      </c>
      <c r="F9286" s="3" t="inlineStr">
        <is>
          <t>강내면</t>
        </is>
      </c>
      <c r="G9286" s="3" t="inlineStr">
        <is>
          <t>사곡리</t>
        </is>
      </c>
      <c r="H9286" s="3" t="inlineStr">
        <is>
          <t>농림지역</t>
        </is>
      </c>
      <c r="I9286" s="3" t="inlineStr">
        <is>
          <t>전</t>
        </is>
      </c>
      <c r="J9286" s="3" t="inlineStr">
        <is>
          <t>강내면</t>
        </is>
      </c>
    </row>
    <row r="9287">
      <c r="A9287" s="3" t="n">
        <v>2024</v>
      </c>
      <c r="B9287" s="4" t="n">
        <v>9550</v>
      </c>
      <c r="C9287" s="4" t="n">
        <v>330</v>
      </c>
      <c r="D9287" s="4" t="n">
        <v>99.825</v>
      </c>
      <c r="E9287" s="5" t="n">
        <v>95.7</v>
      </c>
      <c r="F9287" s="3" t="inlineStr">
        <is>
          <t>강내면</t>
        </is>
      </c>
      <c r="G9287" s="3" t="inlineStr">
        <is>
          <t>사곡리</t>
        </is>
      </c>
      <c r="H9287" s="3" t="inlineStr">
        <is>
          <t>보전관리지역</t>
        </is>
      </c>
      <c r="I9287" s="3" t="inlineStr">
        <is>
          <t>전</t>
        </is>
      </c>
      <c r="J9287" s="3" t="inlineStr">
        <is>
          <t>강내면</t>
        </is>
      </c>
    </row>
    <row r="9288">
      <c r="A9288" s="3" t="n">
        <v>2024</v>
      </c>
      <c r="B9288" s="4" t="n">
        <v>4000</v>
      </c>
      <c r="C9288" s="4" t="n">
        <v>66</v>
      </c>
      <c r="D9288" s="4" t="n">
        <v>19.965</v>
      </c>
      <c r="E9288" s="5" t="n">
        <v>200.4</v>
      </c>
      <c r="F9288" s="3" t="inlineStr">
        <is>
          <t>오송읍</t>
        </is>
      </c>
      <c r="G9288" s="3" t="inlineStr">
        <is>
          <t>연제리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오송읍</t>
        </is>
      </c>
    </row>
    <row r="9289">
      <c r="A9289" s="3" t="n">
        <v>2024</v>
      </c>
      <c r="B9289" s="4" t="n">
        <v>5400</v>
      </c>
      <c r="C9289" s="4" t="n">
        <v>150</v>
      </c>
      <c r="D9289" s="4" t="n">
        <v>45.375</v>
      </c>
      <c r="E9289" s="5" t="n">
        <v>119</v>
      </c>
      <c r="F9289" s="3" t="inlineStr">
        <is>
          <t>강내면</t>
        </is>
      </c>
      <c r="G9289" s="3" t="inlineStr">
        <is>
          <t>산단리</t>
        </is>
      </c>
      <c r="H9289" s="3" t="inlineStr">
        <is>
          <t>용도미지정</t>
        </is>
      </c>
      <c r="I9289" s="3" t="inlineStr">
        <is>
          <t>대</t>
        </is>
      </c>
      <c r="J9289" s="3" t="inlineStr">
        <is>
          <t>강내면</t>
        </is>
      </c>
    </row>
    <row r="9290">
      <c r="A9290" s="3" t="n">
        <v>2024</v>
      </c>
      <c r="B9290" s="4" t="n">
        <v>5000</v>
      </c>
      <c r="C9290" s="4" t="n">
        <v>200</v>
      </c>
      <c r="D9290" s="4" t="n">
        <v>60.5</v>
      </c>
      <c r="E9290" s="5" t="n">
        <v>82.59999999999999</v>
      </c>
      <c r="F9290" s="3" t="inlineStr">
        <is>
          <t>강내면</t>
        </is>
      </c>
      <c r="G9290" s="3" t="inlineStr">
        <is>
          <t>학천리</t>
        </is>
      </c>
      <c r="H9290" s="3" t="inlineStr">
        <is>
          <t>자연녹지지역</t>
        </is>
      </c>
      <c r="I9290" s="3" t="inlineStr">
        <is>
          <t>임야</t>
        </is>
      </c>
      <c r="J9290" s="3" t="inlineStr">
        <is>
          <t>강내면</t>
        </is>
      </c>
    </row>
    <row r="9291">
      <c r="A9291" s="3" t="n">
        <v>2024</v>
      </c>
      <c r="B9291" s="4" t="n">
        <v>18000</v>
      </c>
      <c r="C9291" s="4" t="n">
        <v>192</v>
      </c>
      <c r="D9291" s="4" t="n">
        <v>58.08</v>
      </c>
      <c r="E9291" s="5" t="n">
        <v>309.9</v>
      </c>
      <c r="F9291" s="3" t="inlineStr">
        <is>
          <t>오송읍</t>
        </is>
      </c>
      <c r="G9291" s="3" t="inlineStr">
        <is>
          <t>오송리</t>
        </is>
      </c>
      <c r="H9291" s="3" t="inlineStr">
        <is>
          <t>농림지역</t>
        </is>
      </c>
      <c r="I9291" s="3" t="inlineStr">
        <is>
          <t>대</t>
        </is>
      </c>
      <c r="J9291" s="3" t="inlineStr">
        <is>
          <t>오송읍</t>
        </is>
      </c>
    </row>
    <row r="9292">
      <c r="A9292" s="3" t="n">
        <v>2024</v>
      </c>
      <c r="B9292" s="4" t="n">
        <v>62500</v>
      </c>
      <c r="C9292" s="4" t="n">
        <v>3059</v>
      </c>
      <c r="D9292" s="4" t="n">
        <v>925.3475</v>
      </c>
      <c r="E9292" s="5" t="n">
        <v>67.5</v>
      </c>
      <c r="F9292" s="3" t="inlineStr">
        <is>
          <t>강내면</t>
        </is>
      </c>
      <c r="G9292" s="3" t="inlineStr">
        <is>
          <t>저산리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강내면</t>
        </is>
      </c>
    </row>
    <row r="9293">
      <c r="A9293" s="3" t="n">
        <v>2024</v>
      </c>
      <c r="B9293" s="4" t="n">
        <v>125000</v>
      </c>
      <c r="C9293" s="4" t="n">
        <v>4172</v>
      </c>
      <c r="D9293" s="4" t="n">
        <v>1262.03</v>
      </c>
      <c r="E9293" s="5" t="n">
        <v>99</v>
      </c>
      <c r="F9293" s="3" t="inlineStr">
        <is>
          <t>강내면</t>
        </is>
      </c>
      <c r="G9293" s="3" t="inlineStr">
        <is>
          <t>산단리</t>
        </is>
      </c>
      <c r="H9293" s="3" t="inlineStr">
        <is>
          <t>계획관리지역</t>
        </is>
      </c>
      <c r="I9293" s="3" t="inlineStr">
        <is>
          <t>전</t>
        </is>
      </c>
      <c r="J9293" s="3" t="inlineStr">
        <is>
          <t>강내면</t>
        </is>
      </c>
    </row>
    <row r="9294">
      <c r="A9294" s="3" t="n">
        <v>2024</v>
      </c>
      <c r="B9294" s="4" t="n">
        <v>350</v>
      </c>
      <c r="C9294" s="4" t="n">
        <v>33</v>
      </c>
      <c r="D9294" s="4" t="n">
        <v>9.9825</v>
      </c>
      <c r="E9294" s="5" t="n">
        <v>35.1</v>
      </c>
      <c r="F9294" s="3" t="inlineStr">
        <is>
          <t>오송읍</t>
        </is>
      </c>
      <c r="G9294" s="3" t="inlineStr">
        <is>
          <t>정중리</t>
        </is>
      </c>
      <c r="H9294" s="3" t="inlineStr">
        <is>
          <t>계획관리지역</t>
        </is>
      </c>
      <c r="I9294" s="3" t="inlineStr">
        <is>
          <t>구거</t>
        </is>
      </c>
      <c r="J9294" s="3" t="inlineStr">
        <is>
          <t>오송읍</t>
        </is>
      </c>
    </row>
    <row r="9295">
      <c r="A9295" s="3" t="n">
        <v>2023</v>
      </c>
      <c r="B9295" s="4" t="n">
        <v>240000</v>
      </c>
      <c r="C9295" s="4" t="n">
        <v>17005</v>
      </c>
      <c r="D9295" s="4" t="n">
        <v>5144.0125</v>
      </c>
      <c r="E9295" s="5" t="n">
        <v>46.7</v>
      </c>
      <c r="F9295" s="3" t="inlineStr">
        <is>
          <t>강내면</t>
        </is>
      </c>
      <c r="G9295" s="3" t="inlineStr">
        <is>
          <t>황탄리</t>
        </is>
      </c>
      <c r="H9295" s="3" t="inlineStr">
        <is>
          <t>보전관리지역</t>
        </is>
      </c>
      <c r="I9295" s="3" t="inlineStr">
        <is>
          <t>임야</t>
        </is>
      </c>
      <c r="J9295" s="3" t="inlineStr">
        <is>
          <t>강내면</t>
        </is>
      </c>
    </row>
    <row r="9296">
      <c r="A9296" s="3" t="n">
        <v>2023</v>
      </c>
      <c r="B9296" s="4" t="n">
        <v>19000</v>
      </c>
      <c r="C9296" s="4" t="n">
        <v>2083</v>
      </c>
      <c r="D9296" s="4" t="n">
        <v>630.1075</v>
      </c>
      <c r="E9296" s="5" t="n">
        <v>30.2</v>
      </c>
      <c r="F9296" s="3" t="inlineStr">
        <is>
          <t>강내면</t>
        </is>
      </c>
      <c r="G9296" s="3" t="inlineStr">
        <is>
          <t>저산리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강내면</t>
        </is>
      </c>
    </row>
    <row r="9297">
      <c r="A9297" s="3" t="n">
        <v>2023</v>
      </c>
      <c r="B9297" s="4" t="n">
        <v>19200</v>
      </c>
      <c r="C9297" s="4" t="n">
        <v>1322</v>
      </c>
      <c r="D9297" s="4" t="n">
        <v>399.905</v>
      </c>
      <c r="E9297" s="5" t="n">
        <v>48</v>
      </c>
      <c r="F9297" s="3" t="inlineStr">
        <is>
          <t>강내면</t>
        </is>
      </c>
      <c r="G9297" s="3" t="inlineStr">
        <is>
          <t>궁현리</t>
        </is>
      </c>
      <c r="H9297" s="3" t="inlineStr">
        <is>
          <t>농림지역</t>
        </is>
      </c>
      <c r="I9297" s="3" t="inlineStr">
        <is>
          <t>전</t>
        </is>
      </c>
      <c r="J9297" s="3" t="inlineStr">
        <is>
          <t>강내면</t>
        </is>
      </c>
    </row>
    <row r="9298">
      <c r="A9298" s="3" t="n">
        <v>2023</v>
      </c>
      <c r="B9298" s="4" t="n">
        <v>31644</v>
      </c>
      <c r="C9298" s="4" t="n">
        <v>758</v>
      </c>
      <c r="D9298" s="4" t="n">
        <v>229.295</v>
      </c>
      <c r="E9298" s="5" t="n">
        <v>138</v>
      </c>
      <c r="F9298" s="3" t="inlineStr">
        <is>
          <t>오송읍</t>
        </is>
      </c>
      <c r="G9298" s="3" t="inlineStr">
        <is>
          <t>정중리</t>
        </is>
      </c>
      <c r="H9298" s="3" t="inlineStr">
        <is>
          <t>생산관리지역</t>
        </is>
      </c>
      <c r="I9298" s="3" t="inlineStr">
        <is>
          <t>전</t>
        </is>
      </c>
      <c r="J9298" s="3" t="inlineStr">
        <is>
          <t>오송읍</t>
        </is>
      </c>
    </row>
    <row r="9299">
      <c r="A9299" s="3" t="n">
        <v>2023</v>
      </c>
      <c r="B9299" s="4" t="n">
        <v>5162</v>
      </c>
      <c r="C9299" s="4" t="n">
        <v>99</v>
      </c>
      <c r="D9299" s="4" t="n">
        <v>29.9475</v>
      </c>
      <c r="E9299" s="5" t="n">
        <v>172.4</v>
      </c>
      <c r="F9299" s="3" t="inlineStr">
        <is>
          <t>오송읍</t>
        </is>
      </c>
      <c r="G9299" s="3" t="inlineStr">
        <is>
          <t>정중리</t>
        </is>
      </c>
      <c r="H9299" s="3" t="inlineStr">
        <is>
          <t>생산관리지역</t>
        </is>
      </c>
      <c r="I9299" s="3" t="inlineStr">
        <is>
          <t>대</t>
        </is>
      </c>
      <c r="J9299" s="3" t="inlineStr">
        <is>
          <t>오송읍</t>
        </is>
      </c>
    </row>
    <row r="9300">
      <c r="A9300" s="3" t="n">
        <v>2023</v>
      </c>
      <c r="B9300" s="4" t="n">
        <v>3442</v>
      </c>
      <c r="C9300" s="4" t="n">
        <v>66</v>
      </c>
      <c r="D9300" s="4" t="n">
        <v>19.965</v>
      </c>
      <c r="E9300" s="5" t="n">
        <v>172.4</v>
      </c>
      <c r="F9300" s="3" t="inlineStr">
        <is>
          <t>오송읍</t>
        </is>
      </c>
      <c r="G9300" s="3" t="inlineStr">
        <is>
          <t>정중리</t>
        </is>
      </c>
      <c r="H9300" s="3" t="inlineStr">
        <is>
          <t>생산관리지역</t>
        </is>
      </c>
      <c r="I9300" s="3" t="inlineStr">
        <is>
          <t>대</t>
        </is>
      </c>
      <c r="J9300" s="3" t="inlineStr">
        <is>
          <t>오송읍</t>
        </is>
      </c>
    </row>
    <row r="9301">
      <c r="A9301" s="3" t="n">
        <v>2024</v>
      </c>
      <c r="B9301" s="4" t="n">
        <v>57598</v>
      </c>
      <c r="C9301" s="4" t="n">
        <v>267.7</v>
      </c>
      <c r="D9301" s="4" t="n">
        <v>80.97924999999999</v>
      </c>
      <c r="E9301" s="5" t="n">
        <v>711.3</v>
      </c>
      <c r="F9301" s="3" t="inlineStr">
        <is>
          <t>오송읍</t>
        </is>
      </c>
      <c r="G9301" s="3" t="inlineStr">
        <is>
          <t>봉산리</t>
        </is>
      </c>
      <c r="H9301" s="3" t="inlineStr">
        <is>
          <t>제1종일반주거지역</t>
        </is>
      </c>
      <c r="I9301" s="3" t="inlineStr">
        <is>
          <t>대</t>
        </is>
      </c>
      <c r="J9301" s="3" t="inlineStr">
        <is>
          <t>오송읍</t>
        </is>
      </c>
    </row>
    <row r="9302">
      <c r="A9302" s="3" t="n">
        <v>2024</v>
      </c>
      <c r="B9302" s="4" t="n">
        <v>43000</v>
      </c>
      <c r="C9302" s="4" t="n">
        <v>272.7</v>
      </c>
      <c r="D9302" s="4" t="n">
        <v>82.49175</v>
      </c>
      <c r="E9302" s="5" t="n">
        <v>521.3</v>
      </c>
      <c r="F9302" s="3" t="inlineStr">
        <is>
          <t>오송읍</t>
        </is>
      </c>
      <c r="G9302" s="3" t="inlineStr">
        <is>
          <t>봉산리</t>
        </is>
      </c>
      <c r="H9302" s="3" t="inlineStr">
        <is>
          <t>제1종일반주거지역</t>
        </is>
      </c>
      <c r="I9302" s="3" t="inlineStr">
        <is>
          <t>대</t>
        </is>
      </c>
      <c r="J9302" s="3" t="inlineStr">
        <is>
          <t>오송읍</t>
        </is>
      </c>
    </row>
    <row r="9303">
      <c r="A9303" s="3" t="n">
        <v>2024</v>
      </c>
      <c r="B9303" s="4" t="n">
        <v>26342</v>
      </c>
      <c r="C9303" s="4" t="n">
        <v>2802.3</v>
      </c>
      <c r="D9303" s="4" t="n">
        <v>847.69575</v>
      </c>
      <c r="E9303" s="5" t="n">
        <v>31.1</v>
      </c>
      <c r="F9303" s="3" t="inlineStr">
        <is>
          <t>강내면</t>
        </is>
      </c>
      <c r="G9303" s="3" t="inlineStr">
        <is>
          <t>월탄리</t>
        </is>
      </c>
      <c r="H9303" s="3" t="inlineStr">
        <is>
          <t>농림지역</t>
        </is>
      </c>
      <c r="I9303" s="3" t="inlineStr">
        <is>
          <t>답</t>
        </is>
      </c>
      <c r="J9303" s="3" t="inlineStr">
        <is>
          <t>강내면</t>
        </is>
      </c>
    </row>
    <row r="9304">
      <c r="A9304" s="3" t="n">
        <v>2024</v>
      </c>
      <c r="B9304" s="4" t="n">
        <v>69000</v>
      </c>
      <c r="C9304" s="4" t="n">
        <v>1548</v>
      </c>
      <c r="D9304" s="4" t="n">
        <v>468.27</v>
      </c>
      <c r="E9304" s="5" t="n">
        <v>147.4</v>
      </c>
      <c r="F9304" s="3" t="inlineStr">
        <is>
          <t>강내면</t>
        </is>
      </c>
      <c r="G9304" s="3" t="inlineStr">
        <is>
          <t>연정리</t>
        </is>
      </c>
      <c r="H9304" s="3" t="inlineStr">
        <is>
          <t>계획관리지역</t>
        </is>
      </c>
      <c r="I9304" s="3" t="inlineStr">
        <is>
          <t>임야</t>
        </is>
      </c>
      <c r="J9304" s="3" t="inlineStr">
        <is>
          <t>강내면</t>
        </is>
      </c>
    </row>
    <row r="9305">
      <c r="A9305" s="3" t="n">
        <v>2024</v>
      </c>
      <c r="B9305" s="4" t="n">
        <v>6000</v>
      </c>
      <c r="C9305" s="4" t="n">
        <v>449.3</v>
      </c>
      <c r="D9305" s="4" t="n">
        <v>135.91325</v>
      </c>
      <c r="E9305" s="5" t="n">
        <v>44.1</v>
      </c>
      <c r="F9305" s="3" t="inlineStr">
        <is>
          <t>강내면</t>
        </is>
      </c>
      <c r="G9305" s="3" t="inlineStr">
        <is>
          <t>사곡리</t>
        </is>
      </c>
      <c r="H9305" s="3" t="inlineStr">
        <is>
          <t>보전관리지역</t>
        </is>
      </c>
      <c r="I9305" s="3" t="inlineStr">
        <is>
          <t>대</t>
        </is>
      </c>
      <c r="J9305" s="3" t="inlineStr">
        <is>
          <t>강내면</t>
        </is>
      </c>
    </row>
    <row r="9306">
      <c r="A9306" s="3" t="n">
        <v>2024</v>
      </c>
      <c r="B9306" s="4" t="n">
        <v>42121</v>
      </c>
      <c r="C9306" s="4" t="n">
        <v>2162</v>
      </c>
      <c r="D9306" s="4" t="n">
        <v>654.005</v>
      </c>
      <c r="E9306" s="5" t="n">
        <v>64.40000000000001</v>
      </c>
      <c r="F9306" s="3" t="inlineStr">
        <is>
          <t>오송읍</t>
        </is>
      </c>
      <c r="G9306" s="3" t="inlineStr">
        <is>
          <t>서평리</t>
        </is>
      </c>
      <c r="H9306" s="3" t="inlineStr">
        <is>
          <t>농림지역</t>
        </is>
      </c>
      <c r="I9306" s="3" t="inlineStr">
        <is>
          <t>답</t>
        </is>
      </c>
      <c r="J9306" s="3" t="inlineStr">
        <is>
          <t>오송읍</t>
        </is>
      </c>
    </row>
    <row r="9307">
      <c r="A9307" s="3" t="n">
        <v>2024</v>
      </c>
      <c r="B9307" s="4" t="n">
        <v>88879</v>
      </c>
      <c r="C9307" s="4" t="n">
        <v>4562</v>
      </c>
      <c r="D9307" s="4" t="n">
        <v>1380.005</v>
      </c>
      <c r="E9307" s="5" t="n">
        <v>64.40000000000001</v>
      </c>
      <c r="F9307" s="3" t="inlineStr">
        <is>
          <t>오송읍</t>
        </is>
      </c>
      <c r="G9307" s="3" t="inlineStr">
        <is>
          <t>서평리</t>
        </is>
      </c>
      <c r="H9307" s="3" t="inlineStr">
        <is>
          <t>농림지역</t>
        </is>
      </c>
      <c r="I9307" s="3" t="inlineStr">
        <is>
          <t>답</t>
        </is>
      </c>
      <c r="J9307" s="3" t="inlineStr">
        <is>
          <t>오송읍</t>
        </is>
      </c>
    </row>
    <row r="9308">
      <c r="A9308" s="3" t="n">
        <v>2024</v>
      </c>
      <c r="B9308" s="4" t="n">
        <v>28000</v>
      </c>
      <c r="C9308" s="4" t="n">
        <v>414</v>
      </c>
      <c r="D9308" s="4" t="n">
        <v>125.235</v>
      </c>
      <c r="E9308" s="5" t="n">
        <v>223.6</v>
      </c>
      <c r="F9308" s="3" t="inlineStr">
        <is>
          <t>강내면</t>
        </is>
      </c>
      <c r="G9308" s="3" t="inlineStr">
        <is>
          <t>월곡리</t>
        </is>
      </c>
      <c r="H9308" s="3" t="inlineStr">
        <is>
          <t>제1종일반주거지역</t>
        </is>
      </c>
      <c r="I9308" s="3" t="inlineStr">
        <is>
          <t>대</t>
        </is>
      </c>
      <c r="J9308" s="3" t="inlineStr">
        <is>
          <t>강내면</t>
        </is>
      </c>
    </row>
    <row r="9309">
      <c r="A9309" s="3" t="n">
        <v>2024</v>
      </c>
      <c r="B9309" s="4" t="n">
        <v>32000</v>
      </c>
      <c r="C9309" s="4" t="n">
        <v>267.6</v>
      </c>
      <c r="D9309" s="4" t="n">
        <v>80.949</v>
      </c>
      <c r="E9309" s="5" t="n">
        <v>395.3</v>
      </c>
      <c r="F9309" s="3" t="inlineStr">
        <is>
          <t>오송읍</t>
        </is>
      </c>
      <c r="G9309" s="3" t="inlineStr">
        <is>
          <t>봉산리</t>
        </is>
      </c>
      <c r="H9309" s="3" t="inlineStr">
        <is>
          <t>제1종일반주거지역</t>
        </is>
      </c>
      <c r="I9309" s="3" t="inlineStr">
        <is>
          <t>대</t>
        </is>
      </c>
      <c r="J9309" s="3" t="inlineStr">
        <is>
          <t>오송읍</t>
        </is>
      </c>
    </row>
    <row r="9310">
      <c r="A9310" s="3" t="n">
        <v>2024</v>
      </c>
      <c r="B9310" s="4" t="n">
        <v>32000</v>
      </c>
      <c r="C9310" s="4" t="n">
        <v>3620</v>
      </c>
      <c r="D9310" s="4" t="n">
        <v>1095.05</v>
      </c>
      <c r="E9310" s="5" t="n">
        <v>29.2</v>
      </c>
      <c r="F9310" s="3" t="inlineStr">
        <is>
          <t>강내면</t>
        </is>
      </c>
      <c r="G9310" s="3" t="inlineStr">
        <is>
          <t>저산리</t>
        </is>
      </c>
      <c r="H9310" s="3" t="inlineStr">
        <is>
          <t>농림지역</t>
        </is>
      </c>
      <c r="I9310" s="3" t="inlineStr">
        <is>
          <t>답</t>
        </is>
      </c>
      <c r="J9310" s="3" t="inlineStr">
        <is>
          <t>강내면</t>
        </is>
      </c>
    </row>
    <row r="9311">
      <c r="A9311" s="3" t="n">
        <v>2023</v>
      </c>
      <c r="B9311" s="4" t="n">
        <v>8640</v>
      </c>
      <c r="C9311" s="4" t="n">
        <v>714</v>
      </c>
      <c r="D9311" s="4" t="n">
        <v>215.985</v>
      </c>
      <c r="E9311" s="5" t="n">
        <v>40</v>
      </c>
      <c r="F9311" s="3" t="inlineStr">
        <is>
          <t>강내면</t>
        </is>
      </c>
      <c r="G9311" s="3" t="inlineStr">
        <is>
          <t>월곡리</t>
        </is>
      </c>
      <c r="H9311" s="3" t="inlineStr">
        <is>
          <t>자연녹지지역</t>
        </is>
      </c>
      <c r="I9311" s="3" t="inlineStr">
        <is>
          <t>전</t>
        </is>
      </c>
      <c r="J9311" s="3" t="inlineStr">
        <is>
          <t>강내면</t>
        </is>
      </c>
    </row>
    <row r="9312">
      <c r="A9312" s="3" t="n">
        <v>2023</v>
      </c>
      <c r="B9312" s="4" t="n">
        <v>3500</v>
      </c>
      <c r="C9312" s="4" t="n">
        <v>374</v>
      </c>
      <c r="D9312" s="4" t="n">
        <v>113.135</v>
      </c>
      <c r="E9312" s="5" t="n">
        <v>30.9</v>
      </c>
      <c r="F9312" s="3" t="inlineStr">
        <is>
          <t>강내면</t>
        </is>
      </c>
      <c r="G9312" s="3" t="inlineStr">
        <is>
          <t>다락리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강내면</t>
        </is>
      </c>
    </row>
    <row r="9313">
      <c r="A9313" s="3" t="n">
        <v>2023</v>
      </c>
      <c r="B9313" s="4" t="n">
        <v>12056</v>
      </c>
      <c r="C9313" s="4" t="n">
        <v>848</v>
      </c>
      <c r="D9313" s="4" t="n">
        <v>256.52</v>
      </c>
      <c r="E9313" s="5" t="n">
        <v>47</v>
      </c>
      <c r="F9313" s="3" t="inlineStr">
        <is>
          <t>오송읍</t>
        </is>
      </c>
      <c r="G9313" s="3" t="inlineStr">
        <is>
          <t>정중리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오송읍</t>
        </is>
      </c>
    </row>
    <row r="9314">
      <c r="A9314" s="3" t="n">
        <v>2023</v>
      </c>
      <c r="B9314" s="4" t="n">
        <v>2000</v>
      </c>
      <c r="C9314" s="4" t="n">
        <v>24</v>
      </c>
      <c r="D9314" s="4" t="n">
        <v>7.26</v>
      </c>
      <c r="E9314" s="5" t="n">
        <v>275.5</v>
      </c>
      <c r="F9314" s="3" t="inlineStr">
        <is>
          <t>오송읍</t>
        </is>
      </c>
      <c r="G9314" s="3" t="inlineStr">
        <is>
          <t>오송리</t>
        </is>
      </c>
      <c r="H9314" s="3" t="inlineStr">
        <is>
          <t>농림지역</t>
        </is>
      </c>
      <c r="I9314" s="3" t="inlineStr">
        <is>
          <t>도로</t>
        </is>
      </c>
      <c r="J9314" s="3" t="inlineStr">
        <is>
          <t>오송읍</t>
        </is>
      </c>
    </row>
    <row r="9315">
      <c r="A9315" s="3" t="n">
        <v>2023</v>
      </c>
      <c r="B9315" s="4" t="n">
        <v>42500</v>
      </c>
      <c r="C9315" s="4" t="n">
        <v>1653</v>
      </c>
      <c r="D9315" s="4" t="n">
        <v>500.0325</v>
      </c>
      <c r="E9315" s="5" t="n">
        <v>85</v>
      </c>
      <c r="F9315" s="3" t="inlineStr">
        <is>
          <t>강내면</t>
        </is>
      </c>
      <c r="G9315" s="3" t="inlineStr">
        <is>
          <t>궁현리</t>
        </is>
      </c>
      <c r="H9315" s="3" t="inlineStr">
        <is>
          <t>계획관리지역</t>
        </is>
      </c>
      <c r="I9315" s="3" t="inlineStr">
        <is>
          <t>임야</t>
        </is>
      </c>
      <c r="J9315" s="3" t="inlineStr">
        <is>
          <t>강내면</t>
        </is>
      </c>
    </row>
    <row r="9316">
      <c r="A9316" s="3" t="n">
        <v>2023</v>
      </c>
      <c r="B9316" s="4" t="n">
        <v>7020</v>
      </c>
      <c r="C9316" s="4" t="n">
        <v>143</v>
      </c>
      <c r="D9316" s="4" t="n">
        <v>43.2575</v>
      </c>
      <c r="E9316" s="5" t="n">
        <v>162.3</v>
      </c>
      <c r="F9316" s="3" t="inlineStr">
        <is>
          <t>오송읍</t>
        </is>
      </c>
      <c r="G9316" s="3" t="inlineStr">
        <is>
          <t>연제리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오송읍</t>
        </is>
      </c>
    </row>
    <row r="9317">
      <c r="A9317" s="3" t="n">
        <v>2023</v>
      </c>
      <c r="B9317" s="4" t="n">
        <v>23000</v>
      </c>
      <c r="C9317" s="4" t="n">
        <v>263</v>
      </c>
      <c r="D9317" s="4" t="n">
        <v>79.5575</v>
      </c>
      <c r="E9317" s="5" t="n">
        <v>289.1</v>
      </c>
      <c r="F9317" s="3" t="inlineStr">
        <is>
          <t>오송읍</t>
        </is>
      </c>
      <c r="G9317" s="3" t="inlineStr">
        <is>
          <t>서평리</t>
        </is>
      </c>
      <c r="H9317" s="3" t="inlineStr">
        <is>
          <t>계획관리지역</t>
        </is>
      </c>
      <c r="I9317" s="3" t="inlineStr">
        <is>
          <t>답</t>
        </is>
      </c>
      <c r="J9317" s="3" t="inlineStr">
        <is>
          <t>오송읍</t>
        </is>
      </c>
    </row>
    <row r="9318">
      <c r="A9318" s="3" t="n">
        <v>2023</v>
      </c>
      <c r="B9318" s="4" t="n">
        <v>7000</v>
      </c>
      <c r="C9318" s="4" t="n">
        <v>66</v>
      </c>
      <c r="D9318" s="4" t="n">
        <v>19.965</v>
      </c>
      <c r="E9318" s="5" t="n">
        <v>350.6</v>
      </c>
      <c r="F9318" s="3" t="inlineStr">
        <is>
          <t>오송읍</t>
        </is>
      </c>
      <c r="G9318" s="3" t="inlineStr">
        <is>
          <t>서평리</t>
        </is>
      </c>
      <c r="H9318" s="3" t="inlineStr">
        <is>
          <t>계획관리지역</t>
        </is>
      </c>
      <c r="I9318" s="3" t="inlineStr">
        <is>
          <t>답</t>
        </is>
      </c>
      <c r="J9318" s="3" t="inlineStr">
        <is>
          <t>오송읍</t>
        </is>
      </c>
    </row>
    <row r="9319">
      <c r="A9319" s="3" t="n">
        <v>2023</v>
      </c>
      <c r="B9319" s="4" t="n">
        <v>38000</v>
      </c>
      <c r="C9319" s="4" t="n">
        <v>938</v>
      </c>
      <c r="D9319" s="4" t="n">
        <v>283.745</v>
      </c>
      <c r="E9319" s="5" t="n">
        <v>133.9</v>
      </c>
      <c r="F9319" s="3" t="inlineStr">
        <is>
          <t>강내면</t>
        </is>
      </c>
      <c r="G9319" s="3" t="inlineStr">
        <is>
          <t>탑연리</t>
        </is>
      </c>
      <c r="H9319" s="3" t="inlineStr">
        <is>
          <t>자연녹지지역</t>
        </is>
      </c>
      <c r="I9319" s="3" t="inlineStr">
        <is>
          <t>답</t>
        </is>
      </c>
      <c r="J9319" s="3" t="inlineStr">
        <is>
          <t>강내면</t>
        </is>
      </c>
    </row>
    <row r="9320">
      <c r="A9320" s="3" t="n">
        <v>2023</v>
      </c>
      <c r="B9320" s="4" t="n">
        <v>64100</v>
      </c>
      <c r="C9320" s="4" t="n">
        <v>3363.9</v>
      </c>
      <c r="D9320" s="4" t="n">
        <v>1017.57975</v>
      </c>
      <c r="E9320" s="5" t="n">
        <v>63</v>
      </c>
      <c r="F9320" s="3" t="inlineStr">
        <is>
          <t>오송읍</t>
        </is>
      </c>
      <c r="G9320" s="3" t="inlineStr">
        <is>
          <t>공북리</t>
        </is>
      </c>
      <c r="H9320" s="3" t="inlineStr">
        <is>
          <t>농림지역</t>
        </is>
      </c>
      <c r="I9320" s="3" t="inlineStr">
        <is>
          <t>답</t>
        </is>
      </c>
      <c r="J9320" s="3" t="inlineStr">
        <is>
          <t>오송읍</t>
        </is>
      </c>
    </row>
    <row r="9321">
      <c r="A9321" s="3" t="n">
        <v>2023</v>
      </c>
      <c r="B9321" s="4" t="n">
        <v>38000</v>
      </c>
      <c r="C9321" s="4" t="n">
        <v>3589.2</v>
      </c>
      <c r="D9321" s="4" t="n">
        <v>1085.733</v>
      </c>
      <c r="E9321" s="5" t="n">
        <v>35</v>
      </c>
      <c r="F9321" s="3" t="inlineStr">
        <is>
          <t>강내면</t>
        </is>
      </c>
      <c r="G9321" s="3" t="inlineStr">
        <is>
          <t>저산리</t>
        </is>
      </c>
      <c r="H9321" s="3" t="inlineStr">
        <is>
          <t>농림지역</t>
        </is>
      </c>
      <c r="I9321" s="3" t="inlineStr">
        <is>
          <t>답</t>
        </is>
      </c>
      <c r="J9321" s="3" t="inlineStr">
        <is>
          <t>강내면</t>
        </is>
      </c>
    </row>
    <row r="9322">
      <c r="A9322" s="3" t="n">
        <v>2023</v>
      </c>
      <c r="B9322" s="4" t="n">
        <v>7020</v>
      </c>
      <c r="C9322" s="4" t="n">
        <v>143</v>
      </c>
      <c r="D9322" s="4" t="n">
        <v>43.2575</v>
      </c>
      <c r="E9322" s="5" t="n">
        <v>162.3</v>
      </c>
      <c r="F9322" s="3" t="inlineStr">
        <is>
          <t>오송읍</t>
        </is>
      </c>
      <c r="G9322" s="3" t="inlineStr">
        <is>
          <t>연제리</t>
        </is>
      </c>
      <c r="H9322" s="3" t="inlineStr">
        <is>
          <t>계획관리지역</t>
        </is>
      </c>
      <c r="I9322" s="3" t="inlineStr">
        <is>
          <t>답</t>
        </is>
      </c>
      <c r="J9322" s="3" t="inlineStr">
        <is>
          <t>오송읍</t>
        </is>
      </c>
    </row>
    <row r="9323">
      <c r="A9323" s="3" t="n">
        <v>2023</v>
      </c>
      <c r="B9323" s="4" t="n">
        <v>7020</v>
      </c>
      <c r="C9323" s="4" t="n">
        <v>143</v>
      </c>
      <c r="D9323" s="4" t="n">
        <v>43.2575</v>
      </c>
      <c r="E9323" s="5" t="n">
        <v>162.3</v>
      </c>
      <c r="F9323" s="3" t="inlineStr">
        <is>
          <t>오송읍</t>
        </is>
      </c>
      <c r="G9323" s="3" t="inlineStr">
        <is>
          <t>연제리</t>
        </is>
      </c>
      <c r="H9323" s="3" t="inlineStr">
        <is>
          <t>계획관리지역</t>
        </is>
      </c>
      <c r="I9323" s="3" t="inlineStr">
        <is>
          <t>답</t>
        </is>
      </c>
      <c r="J9323" s="3" t="inlineStr">
        <is>
          <t>오송읍</t>
        </is>
      </c>
    </row>
    <row r="9324">
      <c r="A9324" s="3" t="n">
        <v>2023</v>
      </c>
      <c r="B9324" s="4" t="n">
        <v>21000</v>
      </c>
      <c r="C9324" s="4" t="n">
        <v>356</v>
      </c>
      <c r="D9324" s="4" t="n">
        <v>107.69</v>
      </c>
      <c r="E9324" s="5" t="n">
        <v>195</v>
      </c>
      <c r="F9324" s="3" t="inlineStr">
        <is>
          <t>오송읍</t>
        </is>
      </c>
      <c r="G9324" s="3" t="inlineStr">
        <is>
          <t>오송리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오송읍</t>
        </is>
      </c>
    </row>
    <row r="9325">
      <c r="A9325" s="3" t="n">
        <v>2023</v>
      </c>
      <c r="B9325" s="4" t="n">
        <v>12000</v>
      </c>
      <c r="C9325" s="4" t="n">
        <v>182</v>
      </c>
      <c r="D9325" s="4" t="n">
        <v>55.055</v>
      </c>
      <c r="E9325" s="5" t="n">
        <v>218</v>
      </c>
      <c r="F9325" s="3" t="inlineStr">
        <is>
          <t>오송읍</t>
        </is>
      </c>
      <c r="G9325" s="3" t="inlineStr">
        <is>
          <t>오송리</t>
        </is>
      </c>
      <c r="H9325" s="3" t="inlineStr">
        <is>
          <t>계획관리지역</t>
        </is>
      </c>
      <c r="I9325" s="3" t="inlineStr">
        <is>
          <t>대</t>
        </is>
      </c>
      <c r="J9325" s="3" t="inlineStr">
        <is>
          <t>오송읍</t>
        </is>
      </c>
    </row>
    <row r="9326">
      <c r="A9326" s="3" t="n">
        <v>2023</v>
      </c>
      <c r="B9326" s="4" t="n">
        <v>40000</v>
      </c>
      <c r="C9326" s="4" t="n">
        <v>1707</v>
      </c>
      <c r="D9326" s="4" t="n">
        <v>516.3674999999999</v>
      </c>
      <c r="E9326" s="5" t="n">
        <v>77.5</v>
      </c>
      <c r="F9326" s="3" t="inlineStr">
        <is>
          <t>강내면</t>
        </is>
      </c>
      <c r="G9326" s="3" t="inlineStr">
        <is>
          <t>연정리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강내면</t>
        </is>
      </c>
    </row>
    <row r="9327">
      <c r="A9327" s="3" t="n">
        <v>2025</v>
      </c>
      <c r="B9327" s="4" t="n">
        <v>2080</v>
      </c>
      <c r="C9327" s="4" t="n">
        <v>398</v>
      </c>
      <c r="D9327" s="4" t="n">
        <v>120.395</v>
      </c>
      <c r="E9327" s="5" t="n">
        <v>17.3</v>
      </c>
      <c r="F9327" s="3" t="inlineStr">
        <is>
          <t>강내면</t>
        </is>
      </c>
      <c r="G9327" s="3" t="inlineStr">
        <is>
          <t>저산리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강내면</t>
        </is>
      </c>
    </row>
    <row r="9328">
      <c r="A9328" s="3" t="n">
        <v>2025</v>
      </c>
      <c r="B9328" s="4" t="n">
        <v>33000</v>
      </c>
      <c r="C9328" s="4" t="n">
        <v>287.2</v>
      </c>
      <c r="D9328" s="4" t="n">
        <v>86.878</v>
      </c>
      <c r="E9328" s="5" t="n">
        <v>379.8</v>
      </c>
      <c r="F9328" s="3" t="inlineStr">
        <is>
          <t>오송읍</t>
        </is>
      </c>
      <c r="G9328" s="3" t="inlineStr">
        <is>
          <t>봉산리</t>
        </is>
      </c>
      <c r="H9328" s="3" t="inlineStr">
        <is>
          <t>제1종일반주거지역</t>
        </is>
      </c>
      <c r="I9328" s="3" t="inlineStr">
        <is>
          <t>대</t>
        </is>
      </c>
      <c r="J9328" s="3" t="inlineStr">
        <is>
          <t>오송읍</t>
        </is>
      </c>
    </row>
    <row r="9329">
      <c r="A9329" s="3" t="n">
        <v>2025</v>
      </c>
      <c r="B9329" s="4" t="n">
        <v>50329</v>
      </c>
      <c r="C9329" s="4" t="n">
        <v>2829</v>
      </c>
      <c r="D9329" s="4" t="n">
        <v>855.7724999999999</v>
      </c>
      <c r="E9329" s="5" t="n">
        <v>58.8</v>
      </c>
      <c r="F9329" s="3" t="inlineStr">
        <is>
          <t>오송읍</t>
        </is>
      </c>
      <c r="G9329" s="3" t="inlineStr">
        <is>
          <t>연제리</t>
        </is>
      </c>
      <c r="H9329" s="3" t="inlineStr">
        <is>
          <t>준공업지역</t>
        </is>
      </c>
      <c r="I9329" s="3" t="inlineStr">
        <is>
          <t>대</t>
        </is>
      </c>
      <c r="J9329" s="3" t="inlineStr">
        <is>
          <t>오송읍</t>
        </is>
      </c>
    </row>
    <row r="9330">
      <c r="A9330" s="3" t="n">
        <v>2025</v>
      </c>
      <c r="B9330" s="4" t="n">
        <v>5881</v>
      </c>
      <c r="C9330" s="4" t="n">
        <v>324</v>
      </c>
      <c r="D9330" s="4" t="n">
        <v>98.00999999999999</v>
      </c>
      <c r="E9330" s="5" t="n">
        <v>60</v>
      </c>
      <c r="F9330" s="3" t="inlineStr">
        <is>
          <t>오송읍</t>
        </is>
      </c>
      <c r="G9330" s="3" t="inlineStr">
        <is>
          <t>서평리</t>
        </is>
      </c>
      <c r="H9330" s="3" t="inlineStr">
        <is>
          <t>농림지역</t>
        </is>
      </c>
      <c r="I9330" s="3" t="inlineStr">
        <is>
          <t>답</t>
        </is>
      </c>
      <c r="J9330" s="3" t="inlineStr">
        <is>
          <t>오송읍</t>
        </is>
      </c>
    </row>
    <row r="9331">
      <c r="A9331" s="3" t="n">
        <v>2025</v>
      </c>
      <c r="B9331" s="4" t="n">
        <v>71277</v>
      </c>
      <c r="C9331" s="4" t="n">
        <v>3927</v>
      </c>
      <c r="D9331" s="4" t="n">
        <v>1187.9175</v>
      </c>
      <c r="E9331" s="5" t="n">
        <v>60</v>
      </c>
      <c r="F9331" s="3" t="inlineStr">
        <is>
          <t>오송읍</t>
        </is>
      </c>
      <c r="G9331" s="3" t="inlineStr">
        <is>
          <t>서평리</t>
        </is>
      </c>
      <c r="H9331" s="3" t="inlineStr">
        <is>
          <t>농림지역</t>
        </is>
      </c>
      <c r="I9331" s="3" t="inlineStr">
        <is>
          <t>답</t>
        </is>
      </c>
      <c r="J9331" s="3" t="inlineStr">
        <is>
          <t>오송읍</t>
        </is>
      </c>
    </row>
    <row r="9332">
      <c r="A9332" s="3" t="n">
        <v>2025</v>
      </c>
      <c r="B9332" s="4" t="n">
        <v>17643</v>
      </c>
      <c r="C9332" s="4" t="n">
        <v>972</v>
      </c>
      <c r="D9332" s="4" t="n">
        <v>294.03</v>
      </c>
      <c r="E9332" s="5" t="n">
        <v>60</v>
      </c>
      <c r="F9332" s="3" t="inlineStr">
        <is>
          <t>오송읍</t>
        </is>
      </c>
      <c r="G9332" s="3" t="inlineStr">
        <is>
          <t>서평리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오송읍</t>
        </is>
      </c>
    </row>
    <row r="9333">
      <c r="A9333" s="3" t="n">
        <v>2025</v>
      </c>
      <c r="B9333" s="4" t="n">
        <v>37500</v>
      </c>
      <c r="C9333" s="4" t="n">
        <v>240.5</v>
      </c>
      <c r="D9333" s="4" t="n">
        <v>72.75125</v>
      </c>
      <c r="E9333" s="5" t="n">
        <v>515.5</v>
      </c>
      <c r="F9333" s="3" t="inlineStr">
        <is>
          <t>오송읍</t>
        </is>
      </c>
      <c r="G9333" s="3" t="inlineStr">
        <is>
          <t>봉산리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오송읍</t>
        </is>
      </c>
    </row>
    <row r="9334">
      <c r="A9334" s="3" t="n">
        <v>2025</v>
      </c>
      <c r="B9334" s="4" t="n">
        <v>42900</v>
      </c>
      <c r="C9334" s="4" t="n">
        <v>2367</v>
      </c>
      <c r="D9334" s="4" t="n">
        <v>716.0174999999999</v>
      </c>
      <c r="E9334" s="5" t="n">
        <v>59.9</v>
      </c>
      <c r="F9334" s="3" t="inlineStr">
        <is>
          <t>오송읍</t>
        </is>
      </c>
      <c r="G9334" s="3" t="inlineStr">
        <is>
          <t>서평리</t>
        </is>
      </c>
      <c r="H9334" s="3" t="inlineStr">
        <is>
          <t>농림지역</t>
        </is>
      </c>
      <c r="I9334" s="3" t="inlineStr">
        <is>
          <t>전</t>
        </is>
      </c>
      <c r="J9334" s="3" t="inlineStr">
        <is>
          <t>오송읍</t>
        </is>
      </c>
    </row>
    <row r="9335">
      <c r="A9335" s="3" t="n">
        <v>2025</v>
      </c>
      <c r="B9335" s="4" t="n">
        <v>20753</v>
      </c>
      <c r="C9335" s="4" t="n">
        <v>444.4</v>
      </c>
      <c r="D9335" s="4" t="n">
        <v>134.431</v>
      </c>
      <c r="E9335" s="5" t="n">
        <v>154.4</v>
      </c>
      <c r="F9335" s="3" t="inlineStr">
        <is>
          <t>강내면</t>
        </is>
      </c>
      <c r="G9335" s="3" t="inlineStr">
        <is>
          <t>사곡리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강내면</t>
        </is>
      </c>
    </row>
    <row r="9336">
      <c r="A9336" s="3" t="n">
        <v>2025</v>
      </c>
      <c r="B9336" s="4" t="n">
        <v>24569</v>
      </c>
      <c r="C9336" s="4" t="n">
        <v>493.3</v>
      </c>
      <c r="D9336" s="4" t="n">
        <v>149.22325</v>
      </c>
      <c r="E9336" s="5" t="n">
        <v>164.6</v>
      </c>
      <c r="F9336" s="3" t="inlineStr">
        <is>
          <t>강내면</t>
        </is>
      </c>
      <c r="G9336" s="3" t="inlineStr">
        <is>
          <t>사곡리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강내면</t>
        </is>
      </c>
    </row>
    <row r="9337">
      <c r="A9337" s="3" t="n">
        <v>2023</v>
      </c>
      <c r="B9337" s="4" t="n">
        <v>2214</v>
      </c>
      <c r="C9337" s="4" t="n">
        <v>144</v>
      </c>
      <c r="D9337" s="4" t="n">
        <v>43.56</v>
      </c>
      <c r="E9337" s="5" t="n">
        <v>50.8</v>
      </c>
      <c r="F9337" s="3" t="inlineStr">
        <is>
          <t>강내면</t>
        </is>
      </c>
      <c r="G9337" s="3" t="inlineStr">
        <is>
          <t>궁현리</t>
        </is>
      </c>
      <c r="H9337" s="3" t="inlineStr">
        <is>
          <t>계획관리지역</t>
        </is>
      </c>
      <c r="I9337" s="3" t="inlineStr">
        <is>
          <t>대</t>
        </is>
      </c>
      <c r="J9337" s="3" t="inlineStr">
        <is>
          <t>강내면</t>
        </is>
      </c>
    </row>
    <row r="9338">
      <c r="A9338" s="3" t="n">
        <v>2023</v>
      </c>
      <c r="B9338" s="4" t="n">
        <v>12180</v>
      </c>
      <c r="C9338" s="4" t="n">
        <v>370</v>
      </c>
      <c r="D9338" s="4" t="n">
        <v>111.925</v>
      </c>
      <c r="E9338" s="5" t="n">
        <v>108.8</v>
      </c>
      <c r="F9338" s="3" t="inlineStr">
        <is>
          <t>강내면</t>
        </is>
      </c>
      <c r="G9338" s="3" t="inlineStr">
        <is>
          <t>월곡리</t>
        </is>
      </c>
      <c r="H9338" s="3" t="inlineStr">
        <is>
          <t>자연녹지지역</t>
        </is>
      </c>
      <c r="I9338" s="3" t="inlineStr">
        <is>
          <t>구거</t>
        </is>
      </c>
      <c r="J9338" s="3" t="inlineStr">
        <is>
          <t>강내면</t>
        </is>
      </c>
    </row>
    <row r="9339">
      <c r="A9339" s="3" t="n">
        <v>2023</v>
      </c>
      <c r="B9339" s="4" t="n">
        <v>47328</v>
      </c>
      <c r="C9339" s="4" t="n">
        <v>2301</v>
      </c>
      <c r="D9339" s="4" t="n">
        <v>696.0525</v>
      </c>
      <c r="E9339" s="5" t="n">
        <v>68</v>
      </c>
      <c r="F9339" s="3" t="inlineStr">
        <is>
          <t>강내면</t>
        </is>
      </c>
      <c r="G9339" s="3" t="inlineStr">
        <is>
          <t>저산리</t>
        </is>
      </c>
      <c r="H9339" s="3" t="inlineStr">
        <is>
          <t>계획관리지역</t>
        </is>
      </c>
      <c r="I9339" s="3" t="inlineStr">
        <is>
          <t>전</t>
        </is>
      </c>
      <c r="J9339" s="3" t="inlineStr">
        <is>
          <t>강내면</t>
        </is>
      </c>
    </row>
    <row r="9340">
      <c r="A9340" s="3" t="n">
        <v>2023</v>
      </c>
      <c r="B9340" s="4" t="n">
        <v>2100</v>
      </c>
      <c r="C9340" s="4" t="n">
        <v>24</v>
      </c>
      <c r="D9340" s="4" t="n">
        <v>7.26</v>
      </c>
      <c r="E9340" s="5" t="n">
        <v>289.3</v>
      </c>
      <c r="F9340" s="3" t="inlineStr">
        <is>
          <t>오송읍</t>
        </is>
      </c>
      <c r="G9340" s="3" t="inlineStr">
        <is>
          <t>오송리</t>
        </is>
      </c>
      <c r="H9340" s="3" t="inlineStr">
        <is>
          <t>농림지역</t>
        </is>
      </c>
      <c r="I9340" s="3" t="inlineStr">
        <is>
          <t>도로</t>
        </is>
      </c>
      <c r="J9340" s="3" t="inlineStr">
        <is>
          <t>오송읍</t>
        </is>
      </c>
    </row>
    <row r="9341">
      <c r="A9341" s="3" t="n">
        <v>2023</v>
      </c>
      <c r="B9341" s="4" t="n">
        <v>13500</v>
      </c>
      <c r="C9341" s="4" t="n">
        <v>1488</v>
      </c>
      <c r="D9341" s="4" t="n">
        <v>450.12</v>
      </c>
      <c r="E9341" s="5" t="n">
        <v>30</v>
      </c>
      <c r="F9341" s="3" t="inlineStr">
        <is>
          <t>오송읍</t>
        </is>
      </c>
      <c r="G9341" s="3" t="inlineStr">
        <is>
          <t>호계리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오송읍</t>
        </is>
      </c>
    </row>
    <row r="9342">
      <c r="A9342" s="3" t="n">
        <v>2023</v>
      </c>
      <c r="B9342" s="4" t="n">
        <v>31800</v>
      </c>
      <c r="C9342" s="4" t="n">
        <v>1607</v>
      </c>
      <c r="D9342" s="4" t="n">
        <v>486.1175</v>
      </c>
      <c r="E9342" s="5" t="n">
        <v>65.40000000000001</v>
      </c>
      <c r="F9342" s="3" t="inlineStr">
        <is>
          <t>강내면</t>
        </is>
      </c>
      <c r="G9342" s="3" t="inlineStr">
        <is>
          <t>궁현리</t>
        </is>
      </c>
      <c r="H9342" s="3" t="inlineStr">
        <is>
          <t>농림지역</t>
        </is>
      </c>
      <c r="I9342" s="3" t="inlineStr">
        <is>
          <t>답</t>
        </is>
      </c>
      <c r="J9342" s="3" t="inlineStr">
        <is>
          <t>강내면</t>
        </is>
      </c>
    </row>
    <row r="9343">
      <c r="A9343" s="3" t="n">
        <v>2024</v>
      </c>
      <c r="B9343" s="4" t="n">
        <v>33357</v>
      </c>
      <c r="C9343" s="4" t="n">
        <v>919</v>
      </c>
      <c r="D9343" s="4" t="n">
        <v>277.9975</v>
      </c>
      <c r="E9343" s="5" t="n">
        <v>120</v>
      </c>
      <c r="F9343" s="3" t="inlineStr">
        <is>
          <t>강내면</t>
        </is>
      </c>
      <c r="G9343" s="3" t="inlineStr">
        <is>
          <t>다락리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강내면</t>
        </is>
      </c>
    </row>
    <row r="9344">
      <c r="A9344" s="3" t="n">
        <v>2024</v>
      </c>
      <c r="B9344" s="4" t="n">
        <v>81165</v>
      </c>
      <c r="C9344" s="4" t="n">
        <v>2117</v>
      </c>
      <c r="D9344" s="4" t="n">
        <v>640.3924999999999</v>
      </c>
      <c r="E9344" s="5" t="n">
        <v>126.7</v>
      </c>
      <c r="F9344" s="3" t="inlineStr">
        <is>
          <t>강내면</t>
        </is>
      </c>
      <c r="G9344" s="3" t="inlineStr">
        <is>
          <t>산단리</t>
        </is>
      </c>
      <c r="H9344" s="3" t="inlineStr">
        <is>
          <t>계획관리지역</t>
        </is>
      </c>
      <c r="I9344" s="3" t="inlineStr">
        <is>
          <t>임야</t>
        </is>
      </c>
      <c r="J9344" s="3" t="inlineStr">
        <is>
          <t>강내면</t>
        </is>
      </c>
    </row>
    <row r="9345">
      <c r="A9345" s="3" t="n">
        <v>2024</v>
      </c>
      <c r="B9345" s="4" t="n">
        <v>63375</v>
      </c>
      <c r="C9345" s="4" t="n">
        <v>1653</v>
      </c>
      <c r="D9345" s="4" t="n">
        <v>500.0325</v>
      </c>
      <c r="E9345" s="5" t="n">
        <v>126.7</v>
      </c>
      <c r="F9345" s="3" t="inlineStr">
        <is>
          <t>강내면</t>
        </is>
      </c>
      <c r="G9345" s="3" t="inlineStr">
        <is>
          <t>궁현리</t>
        </is>
      </c>
      <c r="H9345" s="3" t="inlineStr">
        <is>
          <t>계획관리지역</t>
        </is>
      </c>
      <c r="I9345" s="3" t="inlineStr">
        <is>
          <t>임야</t>
        </is>
      </c>
      <c r="J9345" s="3" t="inlineStr">
        <is>
          <t>강내면</t>
        </is>
      </c>
    </row>
    <row r="9346">
      <c r="A9346" s="3" t="n">
        <v>2024</v>
      </c>
      <c r="B9346" s="4" t="n">
        <v>460</v>
      </c>
      <c r="C9346" s="4" t="n">
        <v>12</v>
      </c>
      <c r="D9346" s="4" t="n">
        <v>3.63</v>
      </c>
      <c r="E9346" s="5" t="n">
        <v>126.7</v>
      </c>
      <c r="F9346" s="3" t="inlineStr">
        <is>
          <t>강내면</t>
        </is>
      </c>
      <c r="G9346" s="3" t="inlineStr">
        <is>
          <t>산단리</t>
        </is>
      </c>
      <c r="H9346" s="3" t="inlineStr">
        <is>
          <t>계획관리지역</t>
        </is>
      </c>
      <c r="I9346" s="3" t="inlineStr">
        <is>
          <t>임야</t>
        </is>
      </c>
      <c r="J9346" s="3" t="inlineStr">
        <is>
          <t>강내면</t>
        </is>
      </c>
    </row>
    <row r="9347">
      <c r="A9347" s="3" t="n">
        <v>2024</v>
      </c>
      <c r="B9347" s="4" t="n">
        <v>32920</v>
      </c>
      <c r="C9347" s="4" t="n">
        <v>302</v>
      </c>
      <c r="D9347" s="4" t="n">
        <v>91.355</v>
      </c>
      <c r="E9347" s="5" t="n">
        <v>360.4</v>
      </c>
      <c r="F9347" s="3" t="inlineStr">
        <is>
          <t>오송읍</t>
        </is>
      </c>
      <c r="G9347" s="3" t="inlineStr">
        <is>
          <t>궁평리</t>
        </is>
      </c>
      <c r="H9347" s="3" t="inlineStr">
        <is>
          <t>농림지역</t>
        </is>
      </c>
      <c r="I9347" s="3" t="inlineStr">
        <is>
          <t>대</t>
        </is>
      </c>
      <c r="J9347" s="3" t="inlineStr">
        <is>
          <t>오송읍</t>
        </is>
      </c>
    </row>
    <row r="9348">
      <c r="A9348" s="3" t="n">
        <v>2024</v>
      </c>
      <c r="B9348" s="4" t="n">
        <v>81165</v>
      </c>
      <c r="C9348" s="4" t="n">
        <v>2117</v>
      </c>
      <c r="D9348" s="4" t="n">
        <v>640.3924999999999</v>
      </c>
      <c r="E9348" s="5" t="n">
        <v>126.7</v>
      </c>
      <c r="F9348" s="3" t="inlineStr">
        <is>
          <t>강내면</t>
        </is>
      </c>
      <c r="G9348" s="3" t="inlineStr">
        <is>
          <t>산단리</t>
        </is>
      </c>
      <c r="H9348" s="3" t="inlineStr">
        <is>
          <t>계획관리지역</t>
        </is>
      </c>
      <c r="I9348" s="3" t="inlineStr">
        <is>
          <t>임야</t>
        </is>
      </c>
      <c r="J9348" s="3" t="inlineStr">
        <is>
          <t>강내면</t>
        </is>
      </c>
    </row>
    <row r="9349">
      <c r="A9349" s="3" t="n">
        <v>2024</v>
      </c>
      <c r="B9349" s="4" t="n">
        <v>63375</v>
      </c>
      <c r="C9349" s="4" t="n">
        <v>1653</v>
      </c>
      <c r="D9349" s="4" t="n">
        <v>500.0325</v>
      </c>
      <c r="E9349" s="5" t="n">
        <v>126.7</v>
      </c>
      <c r="F9349" s="3" t="inlineStr">
        <is>
          <t>강내면</t>
        </is>
      </c>
      <c r="G9349" s="3" t="inlineStr">
        <is>
          <t>궁현리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강내면</t>
        </is>
      </c>
    </row>
    <row r="9350">
      <c r="A9350" s="3" t="n">
        <v>2024</v>
      </c>
      <c r="B9350" s="4" t="n">
        <v>460</v>
      </c>
      <c r="C9350" s="4" t="n">
        <v>12</v>
      </c>
      <c r="D9350" s="4" t="n">
        <v>3.63</v>
      </c>
      <c r="E9350" s="5" t="n">
        <v>126.7</v>
      </c>
      <c r="F9350" s="3" t="inlineStr">
        <is>
          <t>강내면</t>
        </is>
      </c>
      <c r="G9350" s="3" t="inlineStr">
        <is>
          <t>산단리</t>
        </is>
      </c>
      <c r="H9350" s="3" t="inlineStr">
        <is>
          <t>계획관리지역</t>
        </is>
      </c>
      <c r="I9350" s="3" t="inlineStr">
        <is>
          <t>임야</t>
        </is>
      </c>
      <c r="J9350" s="3" t="inlineStr">
        <is>
          <t>강내면</t>
        </is>
      </c>
    </row>
    <row r="9351">
      <c r="A9351" s="3" t="n">
        <v>2024</v>
      </c>
      <c r="B9351" s="4" t="n">
        <v>16700</v>
      </c>
      <c r="C9351" s="4" t="n">
        <v>688</v>
      </c>
      <c r="D9351" s="4" t="n">
        <v>208.12</v>
      </c>
      <c r="E9351" s="5" t="n">
        <v>80.2</v>
      </c>
      <c r="F9351" s="3" t="inlineStr">
        <is>
          <t>강내면</t>
        </is>
      </c>
      <c r="G9351" s="3" t="inlineStr">
        <is>
          <t>저산리</t>
        </is>
      </c>
      <c r="H9351" s="3" t="inlineStr">
        <is>
          <t>계획관리지역</t>
        </is>
      </c>
      <c r="I9351" s="3" t="inlineStr">
        <is>
          <t>대</t>
        </is>
      </c>
      <c r="J9351" s="3" t="inlineStr">
        <is>
          <t>강내면</t>
        </is>
      </c>
    </row>
    <row r="9352">
      <c r="A9352" s="3" t="n">
        <v>2024</v>
      </c>
      <c r="B9352" s="4" t="n">
        <v>3620</v>
      </c>
      <c r="C9352" s="4" t="n">
        <v>505</v>
      </c>
      <c r="D9352" s="4" t="n">
        <v>152.7625</v>
      </c>
      <c r="E9352" s="5" t="n">
        <v>23.7</v>
      </c>
      <c r="F9352" s="3" t="inlineStr">
        <is>
          <t>강내면</t>
        </is>
      </c>
      <c r="G9352" s="3" t="inlineStr">
        <is>
          <t>저산리</t>
        </is>
      </c>
      <c r="H9352" s="3" t="inlineStr">
        <is>
          <t>계획관리지역</t>
        </is>
      </c>
      <c r="I9352" s="3" t="inlineStr">
        <is>
          <t>도로</t>
        </is>
      </c>
      <c r="J9352" s="3" t="inlineStr">
        <is>
          <t>강내면</t>
        </is>
      </c>
    </row>
    <row r="9353">
      <c r="A9353" s="3" t="n">
        <v>2025</v>
      </c>
      <c r="B9353" s="4" t="n">
        <v>87000</v>
      </c>
      <c r="C9353" s="4" t="n">
        <v>580.2</v>
      </c>
      <c r="D9353" s="4" t="n">
        <v>175.5105</v>
      </c>
      <c r="E9353" s="5" t="n">
        <v>495.7</v>
      </c>
      <c r="F9353" s="3" t="inlineStr">
        <is>
          <t>오송읍</t>
        </is>
      </c>
      <c r="G9353" s="3" t="inlineStr">
        <is>
          <t>정중리</t>
        </is>
      </c>
      <c r="H9353" s="3" t="inlineStr">
        <is>
          <t>준공업지역</t>
        </is>
      </c>
      <c r="I9353" s="3" t="inlineStr">
        <is>
          <t>대</t>
        </is>
      </c>
      <c r="J9353" s="3" t="inlineStr">
        <is>
          <t>오송읍</t>
        </is>
      </c>
    </row>
    <row r="9354">
      <c r="A9354" s="3" t="n">
        <v>2023</v>
      </c>
      <c r="B9354" s="4" t="n">
        <v>400092</v>
      </c>
      <c r="C9354" s="4" t="n">
        <v>11497.5</v>
      </c>
      <c r="D9354" s="4" t="n">
        <v>3477.99375</v>
      </c>
      <c r="E9354" s="5" t="n">
        <v>115</v>
      </c>
      <c r="F9354" s="3" t="inlineStr">
        <is>
          <t>오송읍</t>
        </is>
      </c>
      <c r="G9354" s="3" t="inlineStr">
        <is>
          <t>정중리</t>
        </is>
      </c>
      <c r="H9354" s="3" t="inlineStr">
        <is>
          <t>일반공업지역</t>
        </is>
      </c>
      <c r="I9354" s="3" t="inlineStr">
        <is>
          <t>대</t>
        </is>
      </c>
      <c r="J9354" s="3" t="inlineStr">
        <is>
          <t>오송읍</t>
        </is>
      </c>
    </row>
    <row r="9355">
      <c r="A9355" s="3" t="n">
        <v>2023</v>
      </c>
      <c r="B9355" s="4" t="n">
        <v>5387</v>
      </c>
      <c r="C9355" s="4" t="n">
        <v>369</v>
      </c>
      <c r="D9355" s="4" t="n">
        <v>111.6225</v>
      </c>
      <c r="E9355" s="5" t="n">
        <v>48.3</v>
      </c>
      <c r="F9355" s="3" t="inlineStr">
        <is>
          <t>강내면</t>
        </is>
      </c>
      <c r="G9355" s="3" t="inlineStr">
        <is>
          <t>태성리</t>
        </is>
      </c>
      <c r="H9355" s="3" t="inlineStr">
        <is>
          <t>계획관리지역</t>
        </is>
      </c>
      <c r="I9355" s="3" t="inlineStr">
        <is>
          <t>전</t>
        </is>
      </c>
      <c r="J9355" s="3" t="inlineStr">
        <is>
          <t>강내면</t>
        </is>
      </c>
    </row>
    <row r="9356">
      <c r="A9356" s="3" t="n">
        <v>2023</v>
      </c>
      <c r="B9356" s="4" t="n">
        <v>24</v>
      </c>
      <c r="C9356" s="4" t="n">
        <v>2</v>
      </c>
      <c r="D9356" s="4" t="n">
        <v>0.605</v>
      </c>
      <c r="E9356" s="5" t="n">
        <v>39.7</v>
      </c>
      <c r="F9356" s="3" t="inlineStr">
        <is>
          <t>강내면</t>
        </is>
      </c>
      <c r="G9356" s="3" t="inlineStr">
        <is>
          <t>태성리</t>
        </is>
      </c>
      <c r="H9356" s="3" t="inlineStr">
        <is>
          <t>계획관리지역</t>
        </is>
      </c>
      <c r="I9356" s="3" t="inlineStr">
        <is>
          <t>도로</t>
        </is>
      </c>
      <c r="J9356" s="3" t="inlineStr">
        <is>
          <t>강내면</t>
        </is>
      </c>
    </row>
    <row r="9357">
      <c r="A9357" s="3" t="n">
        <v>2023</v>
      </c>
      <c r="B9357" s="4" t="n">
        <v>668</v>
      </c>
      <c r="C9357" s="4" t="n">
        <v>55</v>
      </c>
      <c r="D9357" s="4" t="n">
        <v>16.6375</v>
      </c>
      <c r="E9357" s="5" t="n">
        <v>40.2</v>
      </c>
      <c r="F9357" s="3" t="inlineStr">
        <is>
          <t>강내면</t>
        </is>
      </c>
      <c r="G9357" s="3" t="inlineStr">
        <is>
          <t>태성리</t>
        </is>
      </c>
      <c r="H9357" s="3" t="inlineStr">
        <is>
          <t>계획관리지역</t>
        </is>
      </c>
      <c r="I9357" s="3" t="inlineStr">
        <is>
          <t>도로</t>
        </is>
      </c>
      <c r="J9357" s="3" t="inlineStr">
        <is>
          <t>강내면</t>
        </is>
      </c>
    </row>
    <row r="9358">
      <c r="A9358" s="3" t="n">
        <v>2023</v>
      </c>
      <c r="B9358" s="4" t="n">
        <v>98623</v>
      </c>
      <c r="C9358" s="4" t="n">
        <v>816</v>
      </c>
      <c r="D9358" s="4" t="n">
        <v>246.84</v>
      </c>
      <c r="E9358" s="5" t="n">
        <v>399.5</v>
      </c>
      <c r="F9358" s="3" t="inlineStr">
        <is>
          <t>오송읍</t>
        </is>
      </c>
      <c r="G9358" s="3" t="inlineStr">
        <is>
          <t>오송리</t>
        </is>
      </c>
      <c r="H9358" s="3" t="inlineStr">
        <is>
          <t>농림지역</t>
        </is>
      </c>
      <c r="I9358" s="3" t="inlineStr">
        <is>
          <t>답</t>
        </is>
      </c>
      <c r="J9358" s="3" t="inlineStr">
        <is>
          <t>오송읍</t>
        </is>
      </c>
    </row>
    <row r="9359">
      <c r="A9359" s="3" t="n">
        <v>2023</v>
      </c>
      <c r="B9359" s="4" t="n">
        <v>131377</v>
      </c>
      <c r="C9359" s="4" t="n">
        <v>1087</v>
      </c>
      <c r="D9359" s="4" t="n">
        <v>328.8175</v>
      </c>
      <c r="E9359" s="5" t="n">
        <v>399.5</v>
      </c>
      <c r="F9359" s="3" t="inlineStr">
        <is>
          <t>오송읍</t>
        </is>
      </c>
      <c r="G9359" s="3" t="inlineStr">
        <is>
          <t>오송리</t>
        </is>
      </c>
      <c r="H9359" s="3" t="inlineStr">
        <is>
          <t>농림지역</t>
        </is>
      </c>
      <c r="I9359" s="3" t="inlineStr">
        <is>
          <t>답</t>
        </is>
      </c>
      <c r="J9359" s="3" t="inlineStr">
        <is>
          <t>오송읍</t>
        </is>
      </c>
    </row>
    <row r="9360">
      <c r="A9360" s="3" t="n">
        <v>2023</v>
      </c>
      <c r="B9360" s="4" t="n">
        <v>1800</v>
      </c>
      <c r="C9360" s="4" t="n">
        <v>181</v>
      </c>
      <c r="D9360" s="4" t="n">
        <v>54.7525</v>
      </c>
      <c r="E9360" s="5" t="n">
        <v>32.9</v>
      </c>
      <c r="F9360" s="3" t="inlineStr">
        <is>
          <t>오송읍</t>
        </is>
      </c>
      <c r="G9360" s="3" t="inlineStr">
        <is>
          <t>상봉리</t>
        </is>
      </c>
      <c r="H9360" s="3" t="inlineStr">
        <is>
          <t>생산관리지역</t>
        </is>
      </c>
      <c r="I9360" s="3" t="inlineStr">
        <is>
          <t>답</t>
        </is>
      </c>
      <c r="J9360" s="3" t="inlineStr">
        <is>
          <t>오송읍</t>
        </is>
      </c>
    </row>
    <row r="9361">
      <c r="A9361" s="3" t="n">
        <v>2023</v>
      </c>
      <c r="B9361" s="4" t="n">
        <v>4200</v>
      </c>
      <c r="C9361" s="4" t="n">
        <v>498</v>
      </c>
      <c r="D9361" s="4" t="n">
        <v>150.645</v>
      </c>
      <c r="E9361" s="5" t="n">
        <v>27.9</v>
      </c>
      <c r="F9361" s="3" t="inlineStr">
        <is>
          <t>오송읍</t>
        </is>
      </c>
      <c r="G9361" s="3" t="inlineStr">
        <is>
          <t>상봉리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오송읍</t>
        </is>
      </c>
    </row>
    <row r="9362">
      <c r="A9362" s="3" t="n">
        <v>2024</v>
      </c>
      <c r="B9362" s="4" t="n">
        <v>74800</v>
      </c>
      <c r="C9362" s="4" t="n">
        <v>3297.8</v>
      </c>
      <c r="D9362" s="4" t="n">
        <v>997.5845</v>
      </c>
      <c r="E9362" s="5" t="n">
        <v>75</v>
      </c>
      <c r="F9362" s="3" t="inlineStr">
        <is>
          <t>오송읍</t>
        </is>
      </c>
      <c r="G9362" s="3" t="inlineStr">
        <is>
          <t>공북리</t>
        </is>
      </c>
      <c r="H9362" s="3" t="inlineStr">
        <is>
          <t>농림지역</t>
        </is>
      </c>
      <c r="I9362" s="3" t="inlineStr">
        <is>
          <t>답</t>
        </is>
      </c>
      <c r="J9362" s="3" t="inlineStr">
        <is>
          <t>오송읍</t>
        </is>
      </c>
    </row>
    <row r="9363">
      <c r="A9363" s="3" t="n">
        <v>2024</v>
      </c>
      <c r="B9363" s="4" t="n">
        <v>500</v>
      </c>
      <c r="C9363" s="4" t="n">
        <v>5</v>
      </c>
      <c r="D9363" s="4" t="n">
        <v>1.5125</v>
      </c>
      <c r="E9363" s="5" t="n">
        <v>330.6</v>
      </c>
      <c r="F9363" s="3" t="inlineStr">
        <is>
          <t>오송읍</t>
        </is>
      </c>
      <c r="G9363" s="3" t="inlineStr">
        <is>
          <t>오송리</t>
        </is>
      </c>
      <c r="H9363" s="3" t="inlineStr">
        <is>
          <t>농림지역</t>
        </is>
      </c>
      <c r="I9363" s="3" t="inlineStr">
        <is>
          <t>답</t>
        </is>
      </c>
      <c r="J9363" s="3" t="inlineStr">
        <is>
          <t>오송읍</t>
        </is>
      </c>
    </row>
    <row r="9364">
      <c r="A9364" s="3" t="n">
        <v>2024</v>
      </c>
      <c r="B9364" s="4" t="n">
        <v>12700</v>
      </c>
      <c r="C9364" s="4" t="n">
        <v>349</v>
      </c>
      <c r="D9364" s="4" t="n">
        <v>105.5725</v>
      </c>
      <c r="E9364" s="5" t="n">
        <v>120.3</v>
      </c>
      <c r="F9364" s="3" t="inlineStr">
        <is>
          <t>강내면</t>
        </is>
      </c>
      <c r="G9364" s="3" t="inlineStr">
        <is>
          <t>저산리</t>
        </is>
      </c>
      <c r="H9364" s="3" t="inlineStr">
        <is>
          <t>계획관리지역</t>
        </is>
      </c>
      <c r="I9364" s="3" t="inlineStr">
        <is>
          <t>임야</t>
        </is>
      </c>
      <c r="J9364" s="3" t="inlineStr">
        <is>
          <t>강내면</t>
        </is>
      </c>
    </row>
    <row r="9365">
      <c r="A9365" s="3" t="n">
        <v>2024</v>
      </c>
      <c r="B9365" s="4" t="n">
        <v>1710</v>
      </c>
      <c r="C9365" s="4" t="n">
        <v>47</v>
      </c>
      <c r="D9365" s="4" t="n">
        <v>14.2175</v>
      </c>
      <c r="E9365" s="5" t="n">
        <v>120.3</v>
      </c>
      <c r="F9365" s="3" t="inlineStr">
        <is>
          <t>강내면</t>
        </is>
      </c>
      <c r="G9365" s="3" t="inlineStr">
        <is>
          <t>저산리</t>
        </is>
      </c>
      <c r="H9365" s="3" t="inlineStr">
        <is>
          <t>계획관리지역</t>
        </is>
      </c>
      <c r="I9365" s="3" t="inlineStr">
        <is>
          <t>전</t>
        </is>
      </c>
      <c r="J9365" s="3" t="inlineStr">
        <is>
          <t>강내면</t>
        </is>
      </c>
    </row>
    <row r="9366">
      <c r="A9366" s="3" t="n">
        <v>2024</v>
      </c>
      <c r="B9366" s="4" t="n">
        <v>28000</v>
      </c>
      <c r="C9366" s="4" t="n">
        <v>276</v>
      </c>
      <c r="D9366" s="4" t="n">
        <v>83.48999999999999</v>
      </c>
      <c r="E9366" s="5" t="n">
        <v>335.4</v>
      </c>
      <c r="F9366" s="3" t="inlineStr">
        <is>
          <t>오송읍</t>
        </is>
      </c>
      <c r="G9366" s="3" t="inlineStr">
        <is>
          <t>봉산리</t>
        </is>
      </c>
      <c r="H9366" s="3" t="inlineStr">
        <is>
          <t>제1종일반주거지역</t>
        </is>
      </c>
      <c r="I9366" s="3" t="inlineStr">
        <is>
          <t>대</t>
        </is>
      </c>
      <c r="J9366" s="3" t="inlineStr">
        <is>
          <t>오송읍</t>
        </is>
      </c>
    </row>
    <row r="9367">
      <c r="A9367" s="3" t="n">
        <v>2024</v>
      </c>
      <c r="B9367" s="4" t="n">
        <v>6750</v>
      </c>
      <c r="C9367" s="4" t="n">
        <v>460.5</v>
      </c>
      <c r="D9367" s="4" t="n">
        <v>139.30125</v>
      </c>
      <c r="E9367" s="5" t="n">
        <v>48.5</v>
      </c>
      <c r="F9367" s="3" t="inlineStr">
        <is>
          <t>강내면</t>
        </is>
      </c>
      <c r="G9367" s="3" t="inlineStr">
        <is>
          <t>석화리</t>
        </is>
      </c>
      <c r="H9367" s="3" t="inlineStr">
        <is>
          <t>자연녹지지역</t>
        </is>
      </c>
      <c r="I9367" s="3" t="inlineStr">
        <is>
          <t>대</t>
        </is>
      </c>
      <c r="J9367" s="3" t="inlineStr">
        <is>
          <t>강내면</t>
        </is>
      </c>
    </row>
    <row r="9368">
      <c r="A9368" s="3" t="n">
        <v>2024</v>
      </c>
      <c r="B9368" s="4" t="n">
        <v>27900</v>
      </c>
      <c r="C9368" s="4" t="n">
        <v>1536</v>
      </c>
      <c r="D9368" s="4" t="n">
        <v>464.64</v>
      </c>
      <c r="E9368" s="5" t="n">
        <v>60</v>
      </c>
      <c r="F9368" s="3" t="inlineStr">
        <is>
          <t>강내면</t>
        </is>
      </c>
      <c r="G9368" s="3" t="inlineStr">
        <is>
          <t>다락리</t>
        </is>
      </c>
      <c r="H9368" s="3" t="inlineStr">
        <is>
          <t>농림지역</t>
        </is>
      </c>
      <c r="I9368" s="3" t="inlineStr">
        <is>
          <t>답</t>
        </is>
      </c>
      <c r="J9368" s="3" t="inlineStr">
        <is>
          <t>강내면</t>
        </is>
      </c>
    </row>
    <row r="9369">
      <c r="A9369" s="3" t="n">
        <v>2023</v>
      </c>
      <c r="B9369" s="4" t="n">
        <v>10000</v>
      </c>
      <c r="C9369" s="4" t="n">
        <v>712</v>
      </c>
      <c r="D9369" s="4" t="n">
        <v>215.38</v>
      </c>
      <c r="E9369" s="5" t="n">
        <v>46.4</v>
      </c>
      <c r="F9369" s="3" t="inlineStr">
        <is>
          <t>강내면</t>
        </is>
      </c>
      <c r="G9369" s="3" t="inlineStr">
        <is>
          <t>태성리</t>
        </is>
      </c>
      <c r="H9369" s="3" t="inlineStr">
        <is>
          <t>계획관리지역</t>
        </is>
      </c>
      <c r="I9369" s="3" t="inlineStr">
        <is>
          <t>전</t>
        </is>
      </c>
      <c r="J9369" s="3" t="inlineStr">
        <is>
          <t>강내면</t>
        </is>
      </c>
    </row>
    <row r="9370">
      <c r="A9370" s="3" t="n">
        <v>2024</v>
      </c>
      <c r="B9370" s="4" t="n">
        <v>43700</v>
      </c>
      <c r="C9370" s="4" t="n">
        <v>2469</v>
      </c>
      <c r="D9370" s="4" t="n">
        <v>746.8724999999999</v>
      </c>
      <c r="E9370" s="5" t="n">
        <v>58.5</v>
      </c>
      <c r="F9370" s="3" t="inlineStr">
        <is>
          <t>강내면</t>
        </is>
      </c>
      <c r="G9370" s="3" t="inlineStr">
        <is>
          <t>태성리</t>
        </is>
      </c>
      <c r="H9370" s="3" t="inlineStr">
        <is>
          <t>계획관리지역</t>
        </is>
      </c>
      <c r="I9370" s="3" t="inlineStr">
        <is>
          <t>답</t>
        </is>
      </c>
      <c r="J9370" s="3" t="inlineStr">
        <is>
          <t>강내면</t>
        </is>
      </c>
    </row>
    <row r="9371">
      <c r="A9371" s="3" t="n">
        <v>2024</v>
      </c>
      <c r="B9371" s="4" t="n">
        <v>37440</v>
      </c>
      <c r="C9371" s="4" t="n">
        <v>2116</v>
      </c>
      <c r="D9371" s="4" t="n">
        <v>640.09</v>
      </c>
      <c r="E9371" s="5" t="n">
        <v>58.5</v>
      </c>
      <c r="F9371" s="3" t="inlineStr">
        <is>
          <t>강내면</t>
        </is>
      </c>
      <c r="G9371" s="3" t="inlineStr">
        <is>
          <t>태성리</t>
        </is>
      </c>
      <c r="H9371" s="3" t="inlineStr">
        <is>
          <t>계획관리지역</t>
        </is>
      </c>
      <c r="I9371" s="3" t="inlineStr">
        <is>
          <t>답</t>
        </is>
      </c>
      <c r="J9371" s="3" t="inlineStr">
        <is>
          <t>강내면</t>
        </is>
      </c>
    </row>
    <row r="9372">
      <c r="A9372" s="3" t="n">
        <v>2024</v>
      </c>
      <c r="B9372" s="4" t="n">
        <v>69861</v>
      </c>
      <c r="C9372" s="4" t="n">
        <v>3940</v>
      </c>
      <c r="D9372" s="4" t="n">
        <v>1191.85</v>
      </c>
      <c r="E9372" s="5" t="n">
        <v>58.6</v>
      </c>
      <c r="F9372" s="3" t="inlineStr">
        <is>
          <t>강내면</t>
        </is>
      </c>
      <c r="G9372" s="3" t="inlineStr">
        <is>
          <t>태성리</t>
        </is>
      </c>
      <c r="H9372" s="3" t="inlineStr">
        <is>
          <t>계획관리지역</t>
        </is>
      </c>
      <c r="I9372" s="3" t="inlineStr">
        <is>
          <t>답</t>
        </is>
      </c>
      <c r="J9372" s="3" t="inlineStr">
        <is>
          <t>강내면</t>
        </is>
      </c>
    </row>
    <row r="9373">
      <c r="A9373" s="3" t="n">
        <v>2024</v>
      </c>
      <c r="B9373" s="4" t="n">
        <v>4400</v>
      </c>
      <c r="C9373" s="4" t="n">
        <v>11277</v>
      </c>
      <c r="D9373" s="4" t="n">
        <v>3411.2925</v>
      </c>
      <c r="E9373" s="5" t="n">
        <v>1.3</v>
      </c>
      <c r="F9373" s="3" t="inlineStr">
        <is>
          <t>강내면</t>
        </is>
      </c>
      <c r="G9373" s="3" t="inlineStr">
        <is>
          <t>학천리</t>
        </is>
      </c>
      <c r="H9373" s="3" t="inlineStr">
        <is>
          <t>보전녹지지역</t>
        </is>
      </c>
      <c r="I9373" s="3" t="inlineStr">
        <is>
          <t>임야</t>
        </is>
      </c>
      <c r="J9373" s="3" t="inlineStr">
        <is>
          <t>강내면</t>
        </is>
      </c>
    </row>
    <row r="9374">
      <c r="A9374" s="3" t="n">
        <v>2024</v>
      </c>
      <c r="B9374" s="4" t="n">
        <v>2178</v>
      </c>
      <c r="C9374" s="4" t="n">
        <v>18</v>
      </c>
      <c r="D9374" s="4" t="n">
        <v>5.445</v>
      </c>
      <c r="E9374" s="5" t="n">
        <v>400</v>
      </c>
      <c r="F9374" s="3" t="inlineStr">
        <is>
          <t>강내면</t>
        </is>
      </c>
      <c r="G9374" s="3" t="inlineStr">
        <is>
          <t>월곡리</t>
        </is>
      </c>
      <c r="H9374" s="3" t="inlineStr">
        <is>
          <t>제2종일반주거지역</t>
        </is>
      </c>
      <c r="I9374" s="3" t="inlineStr">
        <is>
          <t>전</t>
        </is>
      </c>
      <c r="J9374" s="3" t="inlineStr">
        <is>
          <t>강내면</t>
        </is>
      </c>
    </row>
    <row r="9375">
      <c r="A9375" s="3" t="n">
        <v>2024</v>
      </c>
      <c r="B9375" s="4" t="n">
        <v>20000</v>
      </c>
      <c r="C9375" s="4" t="n">
        <v>1488</v>
      </c>
      <c r="D9375" s="4" t="n">
        <v>450.12</v>
      </c>
      <c r="E9375" s="5" t="n">
        <v>44.4</v>
      </c>
      <c r="F9375" s="3" t="inlineStr">
        <is>
          <t>오송읍</t>
        </is>
      </c>
      <c r="G9375" s="3" t="inlineStr">
        <is>
          <t>서평리</t>
        </is>
      </c>
      <c r="H9375" s="3" t="inlineStr">
        <is>
          <t>농림지역</t>
        </is>
      </c>
      <c r="I9375" s="3" t="inlineStr">
        <is>
          <t>전</t>
        </is>
      </c>
      <c r="J9375" s="3" t="inlineStr">
        <is>
          <t>오송읍</t>
        </is>
      </c>
    </row>
    <row r="9376">
      <c r="A9376" s="3" t="n">
        <v>2024</v>
      </c>
      <c r="B9376" s="4" t="n">
        <v>12500</v>
      </c>
      <c r="C9376" s="4" t="n">
        <v>902</v>
      </c>
      <c r="D9376" s="4" t="n">
        <v>272.855</v>
      </c>
      <c r="E9376" s="5" t="n">
        <v>45.8</v>
      </c>
      <c r="F9376" s="3" t="inlineStr">
        <is>
          <t>강내면</t>
        </is>
      </c>
      <c r="G9376" s="3" t="inlineStr">
        <is>
          <t>사인리</t>
        </is>
      </c>
      <c r="H9376" s="3" t="inlineStr">
        <is>
          <t>자연녹지지역</t>
        </is>
      </c>
      <c r="I9376" s="3" t="inlineStr">
        <is>
          <t>전</t>
        </is>
      </c>
      <c r="J9376" s="3" t="inlineStr">
        <is>
          <t>강내면</t>
        </is>
      </c>
    </row>
    <row r="9377">
      <c r="A9377" s="3" t="n">
        <v>2024</v>
      </c>
      <c r="B9377" s="4" t="n">
        <v>60000</v>
      </c>
      <c r="C9377" s="4" t="n">
        <v>234.4</v>
      </c>
      <c r="D9377" s="4" t="n">
        <v>70.90600000000001</v>
      </c>
      <c r="E9377" s="5" t="n">
        <v>846.2</v>
      </c>
      <c r="F9377" s="3" t="inlineStr">
        <is>
          <t>오송읍</t>
        </is>
      </c>
      <c r="G9377" s="3" t="inlineStr">
        <is>
          <t>봉산리</t>
        </is>
      </c>
      <c r="H9377" s="3" t="inlineStr">
        <is>
          <t>제1종일반주거지역</t>
        </is>
      </c>
      <c r="I9377" s="3" t="inlineStr">
        <is>
          <t>대</t>
        </is>
      </c>
      <c r="J9377" s="3" t="inlineStr">
        <is>
          <t>오송읍</t>
        </is>
      </c>
    </row>
    <row r="9378">
      <c r="A9378" s="3" t="n">
        <v>2024</v>
      </c>
      <c r="B9378" s="4" t="n">
        <v>7640</v>
      </c>
      <c r="C9378" s="4" t="n">
        <v>463</v>
      </c>
      <c r="D9378" s="4" t="n">
        <v>140.0575</v>
      </c>
      <c r="E9378" s="5" t="n">
        <v>54.5</v>
      </c>
      <c r="F9378" s="3" t="inlineStr">
        <is>
          <t>오송읍</t>
        </is>
      </c>
      <c r="G9378" s="3" t="inlineStr">
        <is>
          <t>동평리</t>
        </is>
      </c>
      <c r="H9378" s="3" t="inlineStr">
        <is>
          <t>농림지역</t>
        </is>
      </c>
      <c r="I9378" s="3" t="inlineStr">
        <is>
          <t>전</t>
        </is>
      </c>
      <c r="J9378" s="3" t="inlineStr">
        <is>
          <t>오송읍</t>
        </is>
      </c>
    </row>
    <row r="9379">
      <c r="A9379" s="3" t="n">
        <v>2024</v>
      </c>
      <c r="B9379" s="4" t="n">
        <v>2624</v>
      </c>
      <c r="C9379" s="4" t="n">
        <v>159</v>
      </c>
      <c r="D9379" s="4" t="n">
        <v>48.0975</v>
      </c>
      <c r="E9379" s="5" t="n">
        <v>54.6</v>
      </c>
      <c r="F9379" s="3" t="inlineStr">
        <is>
          <t>오송읍</t>
        </is>
      </c>
      <c r="G9379" s="3" t="inlineStr">
        <is>
          <t>동평리</t>
        </is>
      </c>
      <c r="H9379" s="3" t="inlineStr">
        <is>
          <t>농림지역</t>
        </is>
      </c>
      <c r="I9379" s="3" t="inlineStr">
        <is>
          <t>전</t>
        </is>
      </c>
      <c r="J9379" s="3" t="inlineStr">
        <is>
          <t>오송읍</t>
        </is>
      </c>
    </row>
    <row r="9380">
      <c r="A9380" s="3" t="n">
        <v>2024</v>
      </c>
      <c r="B9380" s="4" t="n">
        <v>7804</v>
      </c>
      <c r="C9380" s="4" t="n">
        <v>737</v>
      </c>
      <c r="D9380" s="4" t="n">
        <v>222.9425</v>
      </c>
      <c r="E9380" s="5" t="n">
        <v>35</v>
      </c>
      <c r="F9380" s="3" t="inlineStr">
        <is>
          <t>강내면</t>
        </is>
      </c>
      <c r="G9380" s="3" t="inlineStr">
        <is>
          <t>사인리</t>
        </is>
      </c>
      <c r="H9380" s="3" t="inlineStr">
        <is>
          <t>생산녹지지역</t>
        </is>
      </c>
      <c r="I9380" s="3" t="inlineStr">
        <is>
          <t>답</t>
        </is>
      </c>
      <c r="J9380" s="3" t="inlineStr">
        <is>
          <t>강내면</t>
        </is>
      </c>
    </row>
    <row r="9381">
      <c r="A9381" s="3" t="n">
        <v>2024</v>
      </c>
      <c r="B9381" s="4" t="n">
        <v>3674</v>
      </c>
      <c r="C9381" s="4" t="n">
        <v>347</v>
      </c>
      <c r="D9381" s="4" t="n">
        <v>104.9675</v>
      </c>
      <c r="E9381" s="5" t="n">
        <v>35</v>
      </c>
      <c r="F9381" s="3" t="inlineStr">
        <is>
          <t>강내면</t>
        </is>
      </c>
      <c r="G9381" s="3" t="inlineStr">
        <is>
          <t>사인리</t>
        </is>
      </c>
      <c r="H9381" s="3" t="inlineStr">
        <is>
          <t>생산녹지지역</t>
        </is>
      </c>
      <c r="I9381" s="3" t="inlineStr">
        <is>
          <t>답</t>
        </is>
      </c>
      <c r="J9381" s="3" t="inlineStr">
        <is>
          <t>강내면</t>
        </is>
      </c>
    </row>
    <row r="9382">
      <c r="A9382" s="3" t="n">
        <v>2024</v>
      </c>
      <c r="B9382" s="4" t="n">
        <v>18762</v>
      </c>
      <c r="C9382" s="4" t="n">
        <v>1772</v>
      </c>
      <c r="D9382" s="4" t="n">
        <v>536.03</v>
      </c>
      <c r="E9382" s="5" t="n">
        <v>35</v>
      </c>
      <c r="F9382" s="3" t="inlineStr">
        <is>
          <t>강내면</t>
        </is>
      </c>
      <c r="G9382" s="3" t="inlineStr">
        <is>
          <t>석화리</t>
        </is>
      </c>
      <c r="H9382" s="3" t="inlineStr">
        <is>
          <t>생산녹지지역</t>
        </is>
      </c>
      <c r="I9382" s="3" t="inlineStr">
        <is>
          <t>답</t>
        </is>
      </c>
      <c r="J9382" s="3" t="inlineStr">
        <is>
          <t>강내면</t>
        </is>
      </c>
    </row>
    <row r="9383">
      <c r="A9383" s="3" t="n">
        <v>2024</v>
      </c>
      <c r="B9383" s="4" t="n">
        <v>2000</v>
      </c>
      <c r="C9383" s="4" t="n">
        <v>133</v>
      </c>
      <c r="D9383" s="4" t="n">
        <v>40.2325</v>
      </c>
      <c r="E9383" s="5" t="n">
        <v>49.7</v>
      </c>
      <c r="F9383" s="3" t="inlineStr">
        <is>
          <t>강내면</t>
        </is>
      </c>
      <c r="G9383" s="3" t="inlineStr">
        <is>
          <t>다락리</t>
        </is>
      </c>
      <c r="H9383" s="3" t="inlineStr">
        <is>
          <t>농림지역</t>
        </is>
      </c>
      <c r="I9383" s="3" t="inlineStr">
        <is>
          <t>답</t>
        </is>
      </c>
      <c r="J9383" s="3" t="inlineStr">
        <is>
          <t>강내면</t>
        </is>
      </c>
    </row>
    <row r="9384">
      <c r="A9384" s="3" t="n">
        <v>2023</v>
      </c>
      <c r="B9384" s="4" t="n">
        <v>33600</v>
      </c>
      <c r="C9384" s="4" t="n">
        <v>529.9</v>
      </c>
      <c r="D9384" s="4" t="n">
        <v>160.29475</v>
      </c>
      <c r="E9384" s="5" t="n">
        <v>209.6</v>
      </c>
      <c r="F9384" s="3" t="inlineStr">
        <is>
          <t>강내면</t>
        </is>
      </c>
      <c r="G9384" s="3" t="inlineStr">
        <is>
          <t>사곡리</t>
        </is>
      </c>
      <c r="H9384" s="3" t="inlineStr">
        <is>
          <t>보전관리지역</t>
        </is>
      </c>
      <c r="I9384" s="3" t="inlineStr">
        <is>
          <t>대</t>
        </is>
      </c>
      <c r="J9384" s="3" t="inlineStr">
        <is>
          <t>강내면</t>
        </is>
      </c>
    </row>
    <row r="9385">
      <c r="A9385" s="3" t="n">
        <v>2023</v>
      </c>
      <c r="B9385" s="4" t="n">
        <v>216000</v>
      </c>
      <c r="C9385" s="4" t="n">
        <v>550.1</v>
      </c>
      <c r="D9385" s="4" t="n">
        <v>166.40525</v>
      </c>
      <c r="E9385" s="5" t="n">
        <v>1298</v>
      </c>
      <c r="F9385" s="3" t="inlineStr">
        <is>
          <t>오송읍</t>
        </is>
      </c>
      <c r="G9385" s="3" t="inlineStr">
        <is>
          <t>정중리</t>
        </is>
      </c>
      <c r="H9385" s="3" t="inlineStr">
        <is>
          <t>준공업지역</t>
        </is>
      </c>
      <c r="I9385" s="3" t="inlineStr">
        <is>
          <t>대</t>
        </is>
      </c>
      <c r="J9385" s="3" t="inlineStr">
        <is>
          <t>오송읍</t>
        </is>
      </c>
    </row>
    <row r="9386">
      <c r="A9386" s="3" t="n">
        <v>2023</v>
      </c>
      <c r="B9386" s="4" t="n">
        <v>200000</v>
      </c>
      <c r="C9386" s="4" t="n">
        <v>584.2</v>
      </c>
      <c r="D9386" s="4" t="n">
        <v>176.7205</v>
      </c>
      <c r="E9386" s="5" t="n">
        <v>1131.7</v>
      </c>
      <c r="F9386" s="3" t="inlineStr">
        <is>
          <t>오송읍</t>
        </is>
      </c>
      <c r="G9386" s="3" t="inlineStr">
        <is>
          <t>정중리</t>
        </is>
      </c>
      <c r="H9386" s="3" t="inlineStr">
        <is>
          <t>준공업지역</t>
        </is>
      </c>
      <c r="I9386" s="3" t="inlineStr">
        <is>
          <t>대</t>
        </is>
      </c>
      <c r="J9386" s="3" t="inlineStr">
        <is>
          <t>오송읍</t>
        </is>
      </c>
    </row>
    <row r="9387">
      <c r="A9387" s="3" t="n">
        <v>2023</v>
      </c>
      <c r="B9387" s="4" t="n">
        <v>250000</v>
      </c>
      <c r="C9387" s="4" t="n">
        <v>558.8</v>
      </c>
      <c r="D9387" s="4" t="n">
        <v>169.037</v>
      </c>
      <c r="E9387" s="5" t="n">
        <v>1479</v>
      </c>
      <c r="F9387" s="3" t="inlineStr">
        <is>
          <t>오송읍</t>
        </is>
      </c>
      <c r="G9387" s="3" t="inlineStr">
        <is>
          <t>정중리</t>
        </is>
      </c>
      <c r="H9387" s="3" t="inlineStr">
        <is>
          <t>준공업지역</t>
        </is>
      </c>
      <c r="I9387" s="3" t="inlineStr">
        <is>
          <t>대</t>
        </is>
      </c>
      <c r="J9387" s="3" t="inlineStr">
        <is>
          <t>오송읍</t>
        </is>
      </c>
    </row>
    <row r="9388">
      <c r="A9388" s="3" t="n">
        <v>2023</v>
      </c>
      <c r="B9388" s="4" t="n">
        <v>30000</v>
      </c>
      <c r="C9388" s="4" t="n">
        <v>1672</v>
      </c>
      <c r="D9388" s="4" t="n">
        <v>505.78</v>
      </c>
      <c r="E9388" s="5" t="n">
        <v>59.3</v>
      </c>
      <c r="F9388" s="3" t="inlineStr">
        <is>
          <t>오송읍</t>
        </is>
      </c>
      <c r="G9388" s="3" t="inlineStr">
        <is>
          <t>정중리</t>
        </is>
      </c>
      <c r="H9388" s="3" t="inlineStr">
        <is>
          <t>생산관리지역</t>
        </is>
      </c>
      <c r="I9388" s="3" t="inlineStr">
        <is>
          <t>전</t>
        </is>
      </c>
      <c r="J9388" s="3" t="inlineStr">
        <is>
          <t>오송읍</t>
        </is>
      </c>
    </row>
    <row r="9389">
      <c r="A9389" s="3" t="n">
        <v>2023</v>
      </c>
      <c r="B9389" s="4" t="n">
        <v>34300</v>
      </c>
      <c r="C9389" s="4" t="n">
        <v>240.3</v>
      </c>
      <c r="D9389" s="4" t="n">
        <v>72.69074999999999</v>
      </c>
      <c r="E9389" s="5" t="n">
        <v>471.9</v>
      </c>
      <c r="F9389" s="3" t="inlineStr">
        <is>
          <t>오송읍</t>
        </is>
      </c>
      <c r="G9389" s="3" t="inlineStr">
        <is>
          <t>봉산리</t>
        </is>
      </c>
      <c r="H9389" s="3" t="inlineStr">
        <is>
          <t>제1종일반주거지역</t>
        </is>
      </c>
      <c r="I9389" s="3" t="inlineStr">
        <is>
          <t>대</t>
        </is>
      </c>
      <c r="J9389" s="3" t="inlineStr">
        <is>
          <t>오송읍</t>
        </is>
      </c>
    </row>
    <row r="9390">
      <c r="A9390" s="3" t="n">
        <v>2023</v>
      </c>
      <c r="B9390" s="4" t="n">
        <v>153763</v>
      </c>
      <c r="C9390" s="4" t="n">
        <v>6705</v>
      </c>
      <c r="D9390" s="4" t="n">
        <v>2028.2625</v>
      </c>
      <c r="E9390" s="5" t="n">
        <v>75.8</v>
      </c>
      <c r="F9390" s="3" t="inlineStr">
        <is>
          <t>강내면</t>
        </is>
      </c>
      <c r="G9390" s="3" t="inlineStr">
        <is>
          <t>궁현리</t>
        </is>
      </c>
      <c r="H9390" s="3" t="inlineStr">
        <is>
          <t>농림지역</t>
        </is>
      </c>
      <c r="I9390" s="3" t="inlineStr">
        <is>
          <t>답</t>
        </is>
      </c>
      <c r="J9390" s="3" t="inlineStr">
        <is>
          <t>강내면</t>
        </is>
      </c>
    </row>
    <row r="9391">
      <c r="A9391" s="3" t="n">
        <v>2023</v>
      </c>
      <c r="B9391" s="4" t="n">
        <v>7160</v>
      </c>
      <c r="C9391" s="4" t="n">
        <v>146</v>
      </c>
      <c r="D9391" s="4" t="n">
        <v>44.165</v>
      </c>
      <c r="E9391" s="5" t="n">
        <v>162.1</v>
      </c>
      <c r="F9391" s="3" t="inlineStr">
        <is>
          <t>오송읍</t>
        </is>
      </c>
      <c r="G9391" s="3" t="inlineStr">
        <is>
          <t>연제리</t>
        </is>
      </c>
      <c r="H9391" s="3" t="inlineStr">
        <is>
          <t>계획관리지역</t>
        </is>
      </c>
      <c r="I9391" s="3" t="inlineStr">
        <is>
          <t>답</t>
        </is>
      </c>
      <c r="J9391" s="3" t="inlineStr">
        <is>
          <t>오송읍</t>
        </is>
      </c>
    </row>
    <row r="9392">
      <c r="A9392" s="3" t="n">
        <v>2023</v>
      </c>
      <c r="B9392" s="4" t="n">
        <v>111000</v>
      </c>
      <c r="C9392" s="4" t="n">
        <v>1468</v>
      </c>
      <c r="D9392" s="4" t="n">
        <v>444.07</v>
      </c>
      <c r="E9392" s="5" t="n">
        <v>250</v>
      </c>
      <c r="F9392" s="3" t="inlineStr">
        <is>
          <t>강내면</t>
        </is>
      </c>
      <c r="G9392" s="3" t="inlineStr">
        <is>
          <t>월탄리</t>
        </is>
      </c>
      <c r="H9392" s="3" t="inlineStr">
        <is>
          <t>계획관리지역</t>
        </is>
      </c>
      <c r="I9392" s="3" t="inlineStr">
        <is>
          <t>잡종지</t>
        </is>
      </c>
      <c r="J9392" s="3" t="inlineStr">
        <is>
          <t>강내면</t>
        </is>
      </c>
    </row>
    <row r="9393">
      <c r="A9393" s="3" t="n">
        <v>2023</v>
      </c>
      <c r="B9393" s="4" t="n">
        <v>40000</v>
      </c>
      <c r="C9393" s="4" t="n">
        <v>265.8</v>
      </c>
      <c r="D9393" s="4" t="n">
        <v>80.4045</v>
      </c>
      <c r="E9393" s="5" t="n">
        <v>497.5</v>
      </c>
      <c r="F9393" s="3" t="inlineStr">
        <is>
          <t>오송읍</t>
        </is>
      </c>
      <c r="G9393" s="3" t="inlineStr">
        <is>
          <t>봉산리</t>
        </is>
      </c>
      <c r="H9393" s="3" t="inlineStr">
        <is>
          <t>제1종일반주거지역</t>
        </is>
      </c>
      <c r="I9393" s="3" t="inlineStr">
        <is>
          <t>대</t>
        </is>
      </c>
      <c r="J9393" s="3" t="inlineStr">
        <is>
          <t>오송읍</t>
        </is>
      </c>
    </row>
    <row r="9394">
      <c r="A9394" s="3" t="n">
        <v>2023</v>
      </c>
      <c r="B9394" s="4" t="n">
        <v>16000</v>
      </c>
      <c r="C9394" s="4" t="n">
        <v>1121</v>
      </c>
      <c r="D9394" s="4" t="n">
        <v>339.1025</v>
      </c>
      <c r="E9394" s="5" t="n">
        <v>47.2</v>
      </c>
      <c r="F9394" s="3" t="inlineStr">
        <is>
          <t>강내면</t>
        </is>
      </c>
      <c r="G9394" s="3" t="inlineStr">
        <is>
          <t>탑연리</t>
        </is>
      </c>
      <c r="H9394" s="3" t="inlineStr">
        <is>
          <t>자연녹지지역</t>
        </is>
      </c>
      <c r="I9394" s="3" t="inlineStr">
        <is>
          <t>전</t>
        </is>
      </c>
      <c r="J9394" s="3" t="inlineStr">
        <is>
          <t>강내면</t>
        </is>
      </c>
    </row>
    <row r="9395">
      <c r="A9395" s="3" t="n">
        <v>2023</v>
      </c>
      <c r="B9395" s="4" t="n">
        <v>2000</v>
      </c>
      <c r="C9395" s="4" t="n">
        <v>595</v>
      </c>
      <c r="D9395" s="4" t="n">
        <v>179.9875</v>
      </c>
      <c r="E9395" s="5" t="n">
        <v>11.1</v>
      </c>
      <c r="F9395" s="3" t="inlineStr">
        <is>
          <t>강내면</t>
        </is>
      </c>
      <c r="G9395" s="3" t="inlineStr">
        <is>
          <t>탑연리</t>
        </is>
      </c>
      <c r="H9395" s="3" t="inlineStr">
        <is>
          <t>자연녹지지역</t>
        </is>
      </c>
      <c r="I9395" s="3" t="inlineStr">
        <is>
          <t>구거</t>
        </is>
      </c>
      <c r="J9395" s="3" t="inlineStr">
        <is>
          <t>강내면</t>
        </is>
      </c>
    </row>
    <row r="9396">
      <c r="A9396" s="3" t="n">
        <v>2023</v>
      </c>
      <c r="B9396" s="4" t="n">
        <v>20000</v>
      </c>
      <c r="C9396" s="4" t="n">
        <v>1643</v>
      </c>
      <c r="D9396" s="4" t="n">
        <v>497.0075</v>
      </c>
      <c r="E9396" s="5" t="n">
        <v>40.2</v>
      </c>
      <c r="F9396" s="3" t="inlineStr">
        <is>
          <t>오송읍</t>
        </is>
      </c>
      <c r="G9396" s="3" t="inlineStr">
        <is>
          <t>호계리</t>
        </is>
      </c>
      <c r="H9396" s="3" t="inlineStr">
        <is>
          <t>농림지역</t>
        </is>
      </c>
      <c r="I9396" s="3" t="inlineStr">
        <is>
          <t>답</t>
        </is>
      </c>
      <c r="J9396" s="3" t="inlineStr">
        <is>
          <t>오송읍</t>
        </is>
      </c>
    </row>
    <row r="9397">
      <c r="A9397" s="3" t="n">
        <v>2023</v>
      </c>
      <c r="B9397" s="4" t="n">
        <v>2300</v>
      </c>
      <c r="C9397" s="4" t="n">
        <v>76</v>
      </c>
      <c r="D9397" s="4" t="n">
        <v>22.99</v>
      </c>
      <c r="E9397" s="5" t="n">
        <v>100</v>
      </c>
      <c r="F9397" s="3" t="inlineStr">
        <is>
          <t>강내면</t>
        </is>
      </c>
      <c r="G9397" s="3" t="inlineStr">
        <is>
          <t>사인리</t>
        </is>
      </c>
      <c r="H9397" s="3" t="inlineStr">
        <is>
          <t>자연녹지지역</t>
        </is>
      </c>
      <c r="I9397" s="3" t="inlineStr">
        <is>
          <t>전</t>
        </is>
      </c>
      <c r="J9397" s="3" t="inlineStr">
        <is>
          <t>강내면</t>
        </is>
      </c>
    </row>
    <row r="9398">
      <c r="A9398" s="3" t="n">
        <v>2023</v>
      </c>
      <c r="B9398" s="4" t="n">
        <v>24500</v>
      </c>
      <c r="C9398" s="4" t="n">
        <v>231</v>
      </c>
      <c r="D9398" s="4" t="n">
        <v>69.8775</v>
      </c>
      <c r="E9398" s="5" t="n">
        <v>350.6</v>
      </c>
      <c r="F9398" s="3" t="inlineStr">
        <is>
          <t>강내면</t>
        </is>
      </c>
      <c r="G9398" s="3" t="inlineStr">
        <is>
          <t>월곡리</t>
        </is>
      </c>
      <c r="H9398" s="3" t="inlineStr">
        <is>
          <t>제2종일반주거지역</t>
        </is>
      </c>
      <c r="I9398" s="3" t="inlineStr">
        <is>
          <t>전</t>
        </is>
      </c>
      <c r="J9398" s="3" t="inlineStr">
        <is>
          <t>강내면</t>
        </is>
      </c>
    </row>
    <row r="9399">
      <c r="A9399" s="3" t="n">
        <v>2025</v>
      </c>
      <c r="B9399" s="4" t="n">
        <v>25600</v>
      </c>
      <c r="C9399" s="4" t="n">
        <v>2658</v>
      </c>
      <c r="D9399" s="4" t="n">
        <v>804.045</v>
      </c>
      <c r="E9399" s="5" t="n">
        <v>31.8</v>
      </c>
      <c r="F9399" s="3" t="inlineStr">
        <is>
          <t>강내면</t>
        </is>
      </c>
      <c r="G9399" s="3" t="inlineStr">
        <is>
          <t>저산리</t>
        </is>
      </c>
      <c r="H9399" s="3" t="inlineStr">
        <is>
          <t>농림지역</t>
        </is>
      </c>
      <c r="I9399" s="3" t="inlineStr">
        <is>
          <t>전</t>
        </is>
      </c>
      <c r="J9399" s="3" t="inlineStr">
        <is>
          <t>강내면</t>
        </is>
      </c>
    </row>
    <row r="9400">
      <c r="A9400" s="3" t="n">
        <v>2025</v>
      </c>
      <c r="B9400" s="4" t="n">
        <v>5200</v>
      </c>
      <c r="C9400" s="4" t="n">
        <v>536</v>
      </c>
      <c r="D9400" s="4" t="n">
        <v>162.14</v>
      </c>
      <c r="E9400" s="5" t="n">
        <v>32.1</v>
      </c>
      <c r="F9400" s="3" t="inlineStr">
        <is>
          <t>강내면</t>
        </is>
      </c>
      <c r="G9400" s="3" t="inlineStr">
        <is>
          <t>저산리</t>
        </is>
      </c>
      <c r="H9400" s="3" t="inlineStr">
        <is>
          <t>농림지역</t>
        </is>
      </c>
      <c r="I9400" s="3" t="inlineStr">
        <is>
          <t>전</t>
        </is>
      </c>
      <c r="J9400" s="3" t="inlineStr">
        <is>
          <t>강내면</t>
        </is>
      </c>
    </row>
    <row r="9401">
      <c r="A9401" s="3" t="n">
        <v>2023</v>
      </c>
      <c r="B9401" s="4" t="n">
        <v>1900</v>
      </c>
      <c r="C9401" s="4" t="n">
        <v>17</v>
      </c>
      <c r="D9401" s="4" t="n">
        <v>5.1425</v>
      </c>
      <c r="E9401" s="5" t="n">
        <v>369.5</v>
      </c>
      <c r="F9401" s="3" t="inlineStr">
        <is>
          <t>오송읍</t>
        </is>
      </c>
      <c r="G9401" s="3" t="inlineStr">
        <is>
          <t>궁평리</t>
        </is>
      </c>
      <c r="H9401" s="3" t="inlineStr">
        <is>
          <t>준주거지역</t>
        </is>
      </c>
      <c r="I9401" s="3" t="inlineStr">
        <is>
          <t>답</t>
        </is>
      </c>
      <c r="J9401" s="3" t="inlineStr">
        <is>
          <t>오송읍</t>
        </is>
      </c>
    </row>
    <row r="9402">
      <c r="A9402" s="3" t="n">
        <v>2023</v>
      </c>
      <c r="B9402" s="4" t="n">
        <v>38000</v>
      </c>
      <c r="C9402" s="4" t="n">
        <v>660</v>
      </c>
      <c r="D9402" s="4" t="n">
        <v>199.65</v>
      </c>
      <c r="E9402" s="5" t="n">
        <v>190.3</v>
      </c>
      <c r="F9402" s="3" t="inlineStr">
        <is>
          <t>오송읍</t>
        </is>
      </c>
      <c r="G9402" s="3" t="inlineStr">
        <is>
          <t>궁평리</t>
        </is>
      </c>
      <c r="H9402" s="3" t="inlineStr">
        <is>
          <t>농림지역</t>
        </is>
      </c>
      <c r="I9402" s="3" t="inlineStr">
        <is>
          <t>창고용지</t>
        </is>
      </c>
      <c r="J9402" s="3" t="inlineStr">
        <is>
          <t>오송읍</t>
        </is>
      </c>
    </row>
    <row r="9403">
      <c r="A9403" s="3" t="n">
        <v>2023</v>
      </c>
      <c r="B9403" s="4" t="n">
        <v>36000</v>
      </c>
      <c r="C9403" s="4" t="n">
        <v>1206</v>
      </c>
      <c r="D9403" s="4" t="n">
        <v>364.815</v>
      </c>
      <c r="E9403" s="5" t="n">
        <v>98.7</v>
      </c>
      <c r="F9403" s="3" t="inlineStr">
        <is>
          <t>강내면</t>
        </is>
      </c>
      <c r="G9403" s="3" t="inlineStr">
        <is>
          <t>사곡리</t>
        </is>
      </c>
      <c r="H9403" s="3" t="inlineStr">
        <is>
          <t>계획관리지역</t>
        </is>
      </c>
      <c r="I9403" s="3" t="inlineStr">
        <is>
          <t>전</t>
        </is>
      </c>
      <c r="J9403" s="3" t="inlineStr">
        <is>
          <t>강내면</t>
        </is>
      </c>
    </row>
    <row r="9404">
      <c r="A9404" s="3" t="n">
        <v>2023</v>
      </c>
      <c r="B9404" s="4" t="n">
        <v>6970</v>
      </c>
      <c r="C9404" s="4" t="n">
        <v>142</v>
      </c>
      <c r="D9404" s="4" t="n">
        <v>42.955</v>
      </c>
      <c r="E9404" s="5" t="n">
        <v>162.3</v>
      </c>
      <c r="F9404" s="3" t="inlineStr">
        <is>
          <t>오송읍</t>
        </is>
      </c>
      <c r="G9404" s="3" t="inlineStr">
        <is>
          <t>연제리</t>
        </is>
      </c>
      <c r="H9404" s="3" t="inlineStr">
        <is>
          <t>계획관리지역</t>
        </is>
      </c>
      <c r="I9404" s="3" t="inlineStr">
        <is>
          <t>답</t>
        </is>
      </c>
      <c r="J9404" s="3" t="inlineStr">
        <is>
          <t>오송읍</t>
        </is>
      </c>
    </row>
    <row r="9405">
      <c r="A9405" s="3" t="n">
        <v>2023</v>
      </c>
      <c r="B9405" s="4" t="n">
        <v>38000</v>
      </c>
      <c r="C9405" s="4" t="n">
        <v>660</v>
      </c>
      <c r="D9405" s="4" t="n">
        <v>199.65</v>
      </c>
      <c r="E9405" s="5" t="n">
        <v>190.3</v>
      </c>
      <c r="F9405" s="3" t="inlineStr">
        <is>
          <t>오송읍</t>
        </is>
      </c>
      <c r="G9405" s="3" t="inlineStr">
        <is>
          <t>궁평리</t>
        </is>
      </c>
      <c r="H9405" s="3" t="inlineStr">
        <is>
          <t>농림지역</t>
        </is>
      </c>
      <c r="I9405" s="3" t="inlineStr">
        <is>
          <t>창고용지</t>
        </is>
      </c>
      <c r="J9405" s="3" t="inlineStr">
        <is>
          <t>오송읍</t>
        </is>
      </c>
    </row>
    <row r="9406">
      <c r="A9406" s="3" t="n">
        <v>2023</v>
      </c>
      <c r="B9406" s="4" t="n">
        <v>38000</v>
      </c>
      <c r="C9406" s="4" t="n">
        <v>660</v>
      </c>
      <c r="D9406" s="4" t="n">
        <v>199.65</v>
      </c>
      <c r="E9406" s="5" t="n">
        <v>190.3</v>
      </c>
      <c r="F9406" s="3" t="inlineStr">
        <is>
          <t>오송읍</t>
        </is>
      </c>
      <c r="G9406" s="3" t="inlineStr">
        <is>
          <t>궁평리</t>
        </is>
      </c>
      <c r="H9406" s="3" t="inlineStr">
        <is>
          <t>농림지역</t>
        </is>
      </c>
      <c r="I9406" s="3" t="inlineStr">
        <is>
          <t>창고용지</t>
        </is>
      </c>
      <c r="J9406" s="3" t="inlineStr">
        <is>
          <t>오송읍</t>
        </is>
      </c>
    </row>
    <row r="9407">
      <c r="A9407" s="3" t="n">
        <v>2023</v>
      </c>
      <c r="B9407" s="4" t="n">
        <v>38000</v>
      </c>
      <c r="C9407" s="4" t="n">
        <v>660</v>
      </c>
      <c r="D9407" s="4" t="n">
        <v>199.65</v>
      </c>
      <c r="E9407" s="5" t="n">
        <v>190.3</v>
      </c>
      <c r="F9407" s="3" t="inlineStr">
        <is>
          <t>오송읍</t>
        </is>
      </c>
      <c r="G9407" s="3" t="inlineStr">
        <is>
          <t>궁평리</t>
        </is>
      </c>
      <c r="H9407" s="3" t="inlineStr">
        <is>
          <t>농림지역</t>
        </is>
      </c>
      <c r="I9407" s="3" t="inlineStr">
        <is>
          <t>창고용지</t>
        </is>
      </c>
      <c r="J9407" s="3" t="inlineStr">
        <is>
          <t>오송읍</t>
        </is>
      </c>
    </row>
    <row r="9408">
      <c r="A9408" s="3" t="n">
        <v>2023</v>
      </c>
      <c r="B9408" s="4" t="n">
        <v>1500</v>
      </c>
      <c r="C9408" s="4" t="n">
        <v>33</v>
      </c>
      <c r="D9408" s="4" t="n">
        <v>9.9825</v>
      </c>
      <c r="E9408" s="5" t="n">
        <v>150.3</v>
      </c>
      <c r="F9408" s="3" t="inlineStr">
        <is>
          <t>오송읍</t>
        </is>
      </c>
      <c r="G9408" s="3" t="inlineStr">
        <is>
          <t>동평리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오송읍</t>
        </is>
      </c>
    </row>
    <row r="9409">
      <c r="A9409" s="3" t="n">
        <v>2023</v>
      </c>
      <c r="B9409" s="4" t="n">
        <v>7020</v>
      </c>
      <c r="C9409" s="4" t="n">
        <v>143</v>
      </c>
      <c r="D9409" s="4" t="n">
        <v>43.2575</v>
      </c>
      <c r="E9409" s="5" t="n">
        <v>162.3</v>
      </c>
      <c r="F9409" s="3" t="inlineStr">
        <is>
          <t>오송읍</t>
        </is>
      </c>
      <c r="G9409" s="3" t="inlineStr">
        <is>
          <t>연제리</t>
        </is>
      </c>
      <c r="H9409" s="3" t="inlineStr">
        <is>
          <t>계획관리지역</t>
        </is>
      </c>
      <c r="I9409" s="3" t="inlineStr">
        <is>
          <t>답</t>
        </is>
      </c>
      <c r="J9409" s="3" t="inlineStr">
        <is>
          <t>오송읍</t>
        </is>
      </c>
    </row>
    <row r="9410">
      <c r="A9410" s="3" t="n">
        <v>2023</v>
      </c>
      <c r="B9410" s="4" t="n">
        <v>1500</v>
      </c>
      <c r="C9410" s="4" t="n">
        <v>26</v>
      </c>
      <c r="D9410" s="4" t="n">
        <v>7.865</v>
      </c>
      <c r="E9410" s="5" t="n">
        <v>190.7</v>
      </c>
      <c r="F9410" s="3" t="inlineStr">
        <is>
          <t>강내면</t>
        </is>
      </c>
      <c r="G9410" s="3" t="inlineStr">
        <is>
          <t>월곡리</t>
        </is>
      </c>
      <c r="H9410" s="3" t="inlineStr">
        <is>
          <t>제2종일반주거지역</t>
        </is>
      </c>
      <c r="I9410" s="3" t="inlineStr">
        <is>
          <t>대</t>
        </is>
      </c>
      <c r="J9410" s="3" t="inlineStr">
        <is>
          <t>강내면</t>
        </is>
      </c>
    </row>
    <row r="9411">
      <c r="A9411" s="3" t="n">
        <v>2023</v>
      </c>
      <c r="B9411" s="4" t="n">
        <v>42000</v>
      </c>
      <c r="C9411" s="4" t="n">
        <v>348</v>
      </c>
      <c r="D9411" s="4" t="n">
        <v>105.27</v>
      </c>
      <c r="E9411" s="5" t="n">
        <v>399</v>
      </c>
      <c r="F9411" s="3" t="inlineStr">
        <is>
          <t>강내면</t>
        </is>
      </c>
      <c r="G9411" s="3" t="inlineStr">
        <is>
          <t>월곡리</t>
        </is>
      </c>
      <c r="H9411" s="3" t="inlineStr">
        <is>
          <t>제1종일반주거지역</t>
        </is>
      </c>
      <c r="I9411" s="3" t="inlineStr">
        <is>
          <t>답</t>
        </is>
      </c>
      <c r="J9411" s="3" t="inlineStr">
        <is>
          <t>강내면</t>
        </is>
      </c>
    </row>
    <row r="9412">
      <c r="A9412" s="3" t="n">
        <v>2023</v>
      </c>
      <c r="B9412" s="4" t="n">
        <v>18000</v>
      </c>
      <c r="C9412" s="4" t="n">
        <v>393</v>
      </c>
      <c r="D9412" s="4" t="n">
        <v>118.8825</v>
      </c>
      <c r="E9412" s="5" t="n">
        <v>151.4</v>
      </c>
      <c r="F9412" s="3" t="inlineStr">
        <is>
          <t>오송읍</t>
        </is>
      </c>
      <c r="G9412" s="3" t="inlineStr">
        <is>
          <t>공북리</t>
        </is>
      </c>
      <c r="H9412" s="3" t="inlineStr">
        <is>
          <t>계획관리지역</t>
        </is>
      </c>
      <c r="I9412" s="3" t="inlineStr">
        <is>
          <t>답</t>
        </is>
      </c>
      <c r="J9412" s="3" t="inlineStr">
        <is>
          <t>오송읍</t>
        </is>
      </c>
    </row>
    <row r="9413">
      <c r="A9413" s="3" t="n">
        <v>2024</v>
      </c>
      <c r="B9413" s="4" t="n">
        <v>36200</v>
      </c>
      <c r="C9413" s="4" t="n">
        <v>517</v>
      </c>
      <c r="D9413" s="4" t="n">
        <v>156.3925</v>
      </c>
      <c r="E9413" s="5" t="n">
        <v>231.5</v>
      </c>
      <c r="F9413" s="3" t="inlineStr">
        <is>
          <t>오송읍</t>
        </is>
      </c>
      <c r="G9413" s="3" t="inlineStr">
        <is>
          <t>궁평리</t>
        </is>
      </c>
      <c r="H9413" s="3" t="inlineStr">
        <is>
          <t>일반상업지역</t>
        </is>
      </c>
      <c r="I9413" s="3" t="inlineStr">
        <is>
          <t>대</t>
        </is>
      </c>
      <c r="J9413" s="3" t="inlineStr">
        <is>
          <t>오송읍</t>
        </is>
      </c>
    </row>
    <row r="9414">
      <c r="A9414" s="3" t="n">
        <v>2024</v>
      </c>
      <c r="B9414" s="4" t="n">
        <v>50000</v>
      </c>
      <c r="C9414" s="4" t="n">
        <v>3509</v>
      </c>
      <c r="D9414" s="4" t="n">
        <v>1061.4725</v>
      </c>
      <c r="E9414" s="5" t="n">
        <v>47.1</v>
      </c>
      <c r="F9414" s="3" t="inlineStr">
        <is>
          <t>오송읍</t>
        </is>
      </c>
      <c r="G9414" s="3" t="inlineStr">
        <is>
          <t>상정리</t>
        </is>
      </c>
      <c r="H9414" s="3" t="inlineStr">
        <is>
          <t>농림지역</t>
        </is>
      </c>
      <c r="I9414" s="3" t="inlineStr">
        <is>
          <t>답</t>
        </is>
      </c>
      <c r="J9414" s="3" t="inlineStr">
        <is>
          <t>오송읍</t>
        </is>
      </c>
    </row>
    <row r="9415">
      <c r="A9415" s="3" t="n">
        <v>2024</v>
      </c>
      <c r="B9415" s="4" t="n">
        <v>25000</v>
      </c>
      <c r="C9415" s="4" t="n">
        <v>1447</v>
      </c>
      <c r="D9415" s="4" t="n">
        <v>437.7175</v>
      </c>
      <c r="E9415" s="5" t="n">
        <v>57.1</v>
      </c>
      <c r="F9415" s="3" t="inlineStr">
        <is>
          <t>강내면</t>
        </is>
      </c>
      <c r="G9415" s="3" t="inlineStr">
        <is>
          <t>사곡리</t>
        </is>
      </c>
      <c r="H9415" s="3" t="inlineStr">
        <is>
          <t>계획관리지역</t>
        </is>
      </c>
      <c r="I9415" s="3" t="inlineStr">
        <is>
          <t>답</t>
        </is>
      </c>
      <c r="J9415" s="3" t="inlineStr">
        <is>
          <t>강내면</t>
        </is>
      </c>
    </row>
    <row r="9416">
      <c r="A9416" s="3" t="n">
        <v>2024</v>
      </c>
      <c r="B9416" s="4" t="n">
        <v>36200</v>
      </c>
      <c r="C9416" s="4" t="n">
        <v>1555</v>
      </c>
      <c r="D9416" s="4" t="n">
        <v>470.3875</v>
      </c>
      <c r="E9416" s="5" t="n">
        <v>77</v>
      </c>
      <c r="F9416" s="3" t="inlineStr">
        <is>
          <t>강내면</t>
        </is>
      </c>
      <c r="G9416" s="3" t="inlineStr">
        <is>
          <t>당곡리</t>
        </is>
      </c>
      <c r="H9416" s="3" t="inlineStr">
        <is>
          <t>계획관리지역</t>
        </is>
      </c>
      <c r="I9416" s="3" t="inlineStr">
        <is>
          <t>전</t>
        </is>
      </c>
      <c r="J9416" s="3" t="inlineStr">
        <is>
          <t>강내면</t>
        </is>
      </c>
    </row>
    <row r="9417">
      <c r="A9417" s="3" t="n">
        <v>2024</v>
      </c>
      <c r="B9417" s="4" t="n">
        <v>95000</v>
      </c>
      <c r="C9417" s="4" t="n">
        <v>2668</v>
      </c>
      <c r="D9417" s="4" t="n">
        <v>807.0699999999999</v>
      </c>
      <c r="E9417" s="5" t="n">
        <v>117.7</v>
      </c>
      <c r="F9417" s="3" t="inlineStr">
        <is>
          <t>오송읍</t>
        </is>
      </c>
      <c r="G9417" s="3" t="inlineStr">
        <is>
          <t>오송리</t>
        </is>
      </c>
      <c r="H9417" s="3" t="inlineStr">
        <is>
          <t>제1종일반주거지역</t>
        </is>
      </c>
      <c r="I9417" s="3" t="inlineStr">
        <is>
          <t>과수원</t>
        </is>
      </c>
      <c r="J9417" s="3" t="inlineStr">
        <is>
          <t>오송읍</t>
        </is>
      </c>
    </row>
    <row r="9418">
      <c r="A9418" s="3" t="n">
        <v>2024</v>
      </c>
      <c r="B9418" s="4" t="n">
        <v>10565</v>
      </c>
      <c r="C9418" s="4" t="n">
        <v>635</v>
      </c>
      <c r="D9418" s="4" t="n">
        <v>192.0875</v>
      </c>
      <c r="E9418" s="5" t="n">
        <v>55</v>
      </c>
      <c r="F9418" s="3" t="inlineStr">
        <is>
          <t>강내면</t>
        </is>
      </c>
      <c r="G9418" s="3" t="inlineStr">
        <is>
          <t>사곡리</t>
        </is>
      </c>
      <c r="H9418" s="3" t="inlineStr">
        <is>
          <t>농림지역</t>
        </is>
      </c>
      <c r="I9418" s="3" t="inlineStr">
        <is>
          <t>전</t>
        </is>
      </c>
      <c r="J9418" s="3" t="inlineStr">
        <is>
          <t>강내면</t>
        </is>
      </c>
    </row>
    <row r="9419">
      <c r="A9419" s="3" t="n">
        <v>2024</v>
      </c>
      <c r="B9419" s="4" t="n">
        <v>18585</v>
      </c>
      <c r="C9419" s="4" t="n">
        <v>1117</v>
      </c>
      <c r="D9419" s="4" t="n">
        <v>337.8925</v>
      </c>
      <c r="E9419" s="5" t="n">
        <v>55</v>
      </c>
      <c r="F9419" s="3" t="inlineStr">
        <is>
          <t>강내면</t>
        </is>
      </c>
      <c r="G9419" s="3" t="inlineStr">
        <is>
          <t>사곡리</t>
        </is>
      </c>
      <c r="H9419" s="3" t="inlineStr">
        <is>
          <t>농림지역</t>
        </is>
      </c>
      <c r="I9419" s="3" t="inlineStr">
        <is>
          <t>답</t>
        </is>
      </c>
      <c r="J9419" s="3" t="inlineStr">
        <is>
          <t>강내면</t>
        </is>
      </c>
    </row>
    <row r="9420">
      <c r="A9420" s="3" t="n">
        <v>2023</v>
      </c>
      <c r="B9420" s="4" t="n">
        <v>7220</v>
      </c>
      <c r="C9420" s="4" t="n">
        <v>147</v>
      </c>
      <c r="D9420" s="4" t="n">
        <v>44.4675</v>
      </c>
      <c r="E9420" s="5" t="n">
        <v>162.4</v>
      </c>
      <c r="F9420" s="3" t="inlineStr">
        <is>
          <t>오송읍</t>
        </is>
      </c>
      <c r="G9420" s="3" t="inlineStr">
        <is>
          <t>연제리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오송읍</t>
        </is>
      </c>
    </row>
    <row r="9421">
      <c r="A9421" s="3" t="n">
        <v>2023</v>
      </c>
      <c r="B9421" s="4" t="n">
        <v>19100</v>
      </c>
      <c r="C9421" s="4" t="n">
        <v>521</v>
      </c>
      <c r="D9421" s="4" t="n">
        <v>157.6025</v>
      </c>
      <c r="E9421" s="5" t="n">
        <v>121.2</v>
      </c>
      <c r="F9421" s="3" t="inlineStr">
        <is>
          <t>오송읍</t>
        </is>
      </c>
      <c r="G9421" s="3" t="inlineStr">
        <is>
          <t>상봉리</t>
        </is>
      </c>
      <c r="H9421" s="3" t="inlineStr">
        <is>
          <t>생산관리지역</t>
        </is>
      </c>
      <c r="I9421" s="3" t="inlineStr">
        <is>
          <t>전</t>
        </is>
      </c>
      <c r="J9421" s="3" t="inlineStr">
        <is>
          <t>오송읍</t>
        </is>
      </c>
    </row>
    <row r="9422">
      <c r="A9422" s="3" t="n">
        <v>2023</v>
      </c>
      <c r="B9422" s="4" t="n">
        <v>1900</v>
      </c>
      <c r="C9422" s="4" t="n">
        <v>126</v>
      </c>
      <c r="D9422" s="4" t="n">
        <v>38.115</v>
      </c>
      <c r="E9422" s="5" t="n">
        <v>49.8</v>
      </c>
      <c r="F9422" s="3" t="inlineStr">
        <is>
          <t>오송읍</t>
        </is>
      </c>
      <c r="G9422" s="3" t="inlineStr">
        <is>
          <t>상봉리</t>
        </is>
      </c>
      <c r="H9422" s="3" t="inlineStr">
        <is>
          <t>생산관리지역</t>
        </is>
      </c>
      <c r="I9422" s="3" t="inlineStr">
        <is>
          <t>도로</t>
        </is>
      </c>
      <c r="J9422" s="3" t="inlineStr">
        <is>
          <t>오송읍</t>
        </is>
      </c>
    </row>
    <row r="9423">
      <c r="A9423" s="3" t="n">
        <v>2023</v>
      </c>
      <c r="B9423" s="4" t="n">
        <v>53207</v>
      </c>
      <c r="C9423" s="4" t="n">
        <v>2388.1</v>
      </c>
      <c r="D9423" s="4" t="n">
        <v>722.4002499999999</v>
      </c>
      <c r="E9423" s="5" t="n">
        <v>73.7</v>
      </c>
      <c r="F9423" s="3" t="inlineStr">
        <is>
          <t>오송읍</t>
        </is>
      </c>
      <c r="G9423" s="3" t="inlineStr">
        <is>
          <t>연제리</t>
        </is>
      </c>
      <c r="H9423" s="3" t="inlineStr">
        <is>
          <t>준공업지역</t>
        </is>
      </c>
      <c r="I9423" s="3" t="inlineStr">
        <is>
          <t>대</t>
        </is>
      </c>
      <c r="J9423" s="3" t="inlineStr">
        <is>
          <t>오송읍</t>
        </is>
      </c>
    </row>
    <row r="9424">
      <c r="A9424" s="3" t="n">
        <v>2023</v>
      </c>
      <c r="B9424" s="4" t="n">
        <v>2000</v>
      </c>
      <c r="C9424" s="4" t="n">
        <v>203.2</v>
      </c>
      <c r="D9424" s="4" t="n">
        <v>61.468</v>
      </c>
      <c r="E9424" s="5" t="n">
        <v>32.5</v>
      </c>
      <c r="F9424" s="3" t="inlineStr">
        <is>
          <t>강내면</t>
        </is>
      </c>
      <c r="G9424" s="3" t="inlineStr">
        <is>
          <t>사곡리</t>
        </is>
      </c>
      <c r="H9424" s="3" t="inlineStr">
        <is>
          <t>보전관리지역</t>
        </is>
      </c>
      <c r="I9424" s="3" t="inlineStr">
        <is>
          <t>도로</t>
        </is>
      </c>
      <c r="J9424" s="3" t="inlineStr">
        <is>
          <t>강내면</t>
        </is>
      </c>
    </row>
    <row r="9425">
      <c r="A9425" s="3" t="n">
        <v>2023</v>
      </c>
      <c r="B9425" s="4" t="n">
        <v>500</v>
      </c>
      <c r="C9425" s="4" t="n">
        <v>165</v>
      </c>
      <c r="D9425" s="4" t="n">
        <v>49.9125</v>
      </c>
      <c r="E9425" s="5" t="n">
        <v>10</v>
      </c>
      <c r="F9425" s="3" t="inlineStr">
        <is>
          <t>강내면</t>
        </is>
      </c>
      <c r="G9425" s="3" t="inlineStr">
        <is>
          <t>사곡리</t>
        </is>
      </c>
      <c r="H9425" s="3" t="inlineStr">
        <is>
          <t>보전관리지역</t>
        </is>
      </c>
      <c r="I9425" s="3" t="inlineStr">
        <is>
          <t>도로</t>
        </is>
      </c>
      <c r="J9425" s="3" t="inlineStr">
        <is>
          <t>강내면</t>
        </is>
      </c>
    </row>
    <row r="9426">
      <c r="A9426" s="3" t="n">
        <v>2024</v>
      </c>
      <c r="B9426" s="4" t="n">
        <v>15125</v>
      </c>
      <c r="C9426" s="4" t="n">
        <v>1000</v>
      </c>
      <c r="D9426" s="4" t="n">
        <v>302.5</v>
      </c>
      <c r="E9426" s="5" t="n">
        <v>50</v>
      </c>
      <c r="F9426" s="3" t="inlineStr">
        <is>
          <t>강내면</t>
        </is>
      </c>
      <c r="G9426" s="3" t="inlineStr">
        <is>
          <t>탑연리</t>
        </is>
      </c>
      <c r="H9426" s="3" t="inlineStr">
        <is>
          <t>자연녹지지역</t>
        </is>
      </c>
      <c r="I9426" s="3" t="inlineStr">
        <is>
          <t>전</t>
        </is>
      </c>
      <c r="J9426" s="3" t="inlineStr">
        <is>
          <t>강내면</t>
        </is>
      </c>
    </row>
    <row r="9427">
      <c r="A9427" s="3" t="n">
        <v>2024</v>
      </c>
      <c r="B9427" s="4" t="n">
        <v>492</v>
      </c>
      <c r="C9427" s="4" t="n">
        <v>19</v>
      </c>
      <c r="D9427" s="4" t="n">
        <v>5.7475</v>
      </c>
      <c r="E9427" s="5" t="n">
        <v>85.59999999999999</v>
      </c>
      <c r="F9427" s="3" t="inlineStr">
        <is>
          <t>강내면</t>
        </is>
      </c>
      <c r="G9427" s="3" t="inlineStr">
        <is>
          <t>석화리</t>
        </is>
      </c>
      <c r="H9427" s="3" t="inlineStr">
        <is>
          <t>자연녹지지역</t>
        </is>
      </c>
      <c r="I9427" s="3" t="inlineStr">
        <is>
          <t>도로</t>
        </is>
      </c>
      <c r="J9427" s="3" t="inlineStr">
        <is>
          <t>강내면</t>
        </is>
      </c>
    </row>
    <row r="9428">
      <c r="A9428" s="3" t="n">
        <v>2024</v>
      </c>
      <c r="B9428" s="4" t="n">
        <v>31000</v>
      </c>
      <c r="C9428" s="4" t="n">
        <v>436.2</v>
      </c>
      <c r="D9428" s="4" t="n">
        <v>131.9505</v>
      </c>
      <c r="E9428" s="5" t="n">
        <v>234.9</v>
      </c>
      <c r="F9428" s="3" t="inlineStr">
        <is>
          <t>오송읍</t>
        </is>
      </c>
      <c r="G9428" s="3" t="inlineStr">
        <is>
          <t>봉산리</t>
        </is>
      </c>
      <c r="H9428" s="3" t="inlineStr">
        <is>
          <t>제1종일반주거지역</t>
        </is>
      </c>
      <c r="I9428" s="3" t="inlineStr">
        <is>
          <t>대</t>
        </is>
      </c>
      <c r="J9428" s="3" t="inlineStr">
        <is>
          <t>오송읍</t>
        </is>
      </c>
    </row>
    <row r="9429">
      <c r="A9429" s="3" t="n">
        <v>2024</v>
      </c>
      <c r="B9429" s="4" t="n">
        <v>12015</v>
      </c>
      <c r="C9429" s="4" t="n">
        <v>239</v>
      </c>
      <c r="D9429" s="4" t="n">
        <v>72.2975</v>
      </c>
      <c r="E9429" s="5" t="n">
        <v>166.2</v>
      </c>
      <c r="F9429" s="3" t="inlineStr">
        <is>
          <t>강내면</t>
        </is>
      </c>
      <c r="G9429" s="3" t="inlineStr">
        <is>
          <t>탑연리</t>
        </is>
      </c>
      <c r="H9429" s="3" t="inlineStr">
        <is>
          <t>자연녹지지역</t>
        </is>
      </c>
      <c r="I9429" s="3" t="inlineStr">
        <is>
          <t>답</t>
        </is>
      </c>
      <c r="J9429" s="3" t="inlineStr">
        <is>
          <t>강내면</t>
        </is>
      </c>
    </row>
    <row r="9430">
      <c r="A9430" s="3" t="n">
        <v>2023</v>
      </c>
      <c r="B9430" s="4" t="n">
        <v>85988</v>
      </c>
      <c r="C9430" s="4" t="n">
        <v>1097</v>
      </c>
      <c r="D9430" s="4" t="n">
        <v>331.8425</v>
      </c>
      <c r="E9430" s="5" t="n">
        <v>259.1</v>
      </c>
      <c r="F9430" s="3" t="inlineStr">
        <is>
          <t>강내면</t>
        </is>
      </c>
      <c r="G9430" s="3" t="inlineStr">
        <is>
          <t>월곡리</t>
        </is>
      </c>
      <c r="H9430" s="3" t="inlineStr">
        <is>
          <t>제2종일반주거지역</t>
        </is>
      </c>
      <c r="I9430" s="3" t="inlineStr">
        <is>
          <t>답</t>
        </is>
      </c>
      <c r="J9430" s="3" t="inlineStr">
        <is>
          <t>강내면</t>
        </is>
      </c>
    </row>
    <row r="9431">
      <c r="A9431" s="3" t="n">
        <v>2023</v>
      </c>
      <c r="B9431" s="4" t="n">
        <v>2579</v>
      </c>
      <c r="C9431" s="4" t="n">
        <v>33</v>
      </c>
      <c r="D9431" s="4" t="n">
        <v>9.9825</v>
      </c>
      <c r="E9431" s="5" t="n">
        <v>258.4</v>
      </c>
      <c r="F9431" s="3" t="inlineStr">
        <is>
          <t>강내면</t>
        </is>
      </c>
      <c r="G9431" s="3" t="inlineStr">
        <is>
          <t>월곡리</t>
        </is>
      </c>
      <c r="H9431" s="3" t="inlineStr">
        <is>
          <t>제2종일반주거지역</t>
        </is>
      </c>
      <c r="I9431" s="3" t="inlineStr">
        <is>
          <t>답</t>
        </is>
      </c>
      <c r="J9431" s="3" t="inlineStr">
        <is>
          <t>강내면</t>
        </is>
      </c>
    </row>
    <row r="9432">
      <c r="A9432" s="3" t="n">
        <v>2023</v>
      </c>
      <c r="B9432" s="4" t="n">
        <v>21756</v>
      </c>
      <c r="C9432" s="4" t="n">
        <v>279</v>
      </c>
      <c r="D9432" s="4" t="n">
        <v>84.39749999999999</v>
      </c>
      <c r="E9432" s="5" t="n">
        <v>257.8</v>
      </c>
      <c r="F9432" s="3" t="inlineStr">
        <is>
          <t>강내면</t>
        </is>
      </c>
      <c r="G9432" s="3" t="inlineStr">
        <is>
          <t>월곡리</t>
        </is>
      </c>
      <c r="H9432" s="3" t="inlineStr">
        <is>
          <t>제2종일반주거지역</t>
        </is>
      </c>
      <c r="I9432" s="3" t="inlineStr">
        <is>
          <t>답</t>
        </is>
      </c>
      <c r="J9432" s="3" t="inlineStr">
        <is>
          <t>강내면</t>
        </is>
      </c>
    </row>
    <row r="9433">
      <c r="A9433" s="3" t="n">
        <v>2023</v>
      </c>
      <c r="B9433" s="4" t="n">
        <v>26677</v>
      </c>
      <c r="C9433" s="4" t="n">
        <v>340</v>
      </c>
      <c r="D9433" s="4" t="n">
        <v>102.85</v>
      </c>
      <c r="E9433" s="5" t="n">
        <v>259.4</v>
      </c>
      <c r="F9433" s="3" t="inlineStr">
        <is>
          <t>강내면</t>
        </is>
      </c>
      <c r="G9433" s="3" t="inlineStr">
        <is>
          <t>월곡리</t>
        </is>
      </c>
      <c r="H9433" s="3" t="inlineStr">
        <is>
          <t>제2종일반주거지역</t>
        </is>
      </c>
      <c r="I9433" s="3" t="inlineStr">
        <is>
          <t>답</t>
        </is>
      </c>
      <c r="J9433" s="3" t="inlineStr">
        <is>
          <t>강내면</t>
        </is>
      </c>
    </row>
    <row r="9434">
      <c r="A9434" s="3" t="n">
        <v>2023</v>
      </c>
      <c r="B9434" s="4" t="n">
        <v>12000</v>
      </c>
      <c r="C9434" s="4" t="n">
        <v>152</v>
      </c>
      <c r="D9434" s="4" t="n">
        <v>45.98</v>
      </c>
      <c r="E9434" s="5" t="n">
        <v>261</v>
      </c>
      <c r="F9434" s="3" t="inlineStr">
        <is>
          <t>오송읍</t>
        </is>
      </c>
      <c r="G9434" s="3" t="inlineStr">
        <is>
          <t>정중리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오송읍</t>
        </is>
      </c>
    </row>
    <row r="9435">
      <c r="A9435" s="3" t="n">
        <v>2023</v>
      </c>
      <c r="B9435" s="4" t="n">
        <v>48000</v>
      </c>
      <c r="C9435" s="4" t="n">
        <v>1879</v>
      </c>
      <c r="D9435" s="4" t="n">
        <v>568.3975</v>
      </c>
      <c r="E9435" s="5" t="n">
        <v>84.40000000000001</v>
      </c>
      <c r="F9435" s="3" t="inlineStr">
        <is>
          <t>강내면</t>
        </is>
      </c>
      <c r="G9435" s="3" t="inlineStr">
        <is>
          <t>다락리</t>
        </is>
      </c>
      <c r="H9435" s="3" t="inlineStr">
        <is>
          <t>계획관리지역</t>
        </is>
      </c>
      <c r="I9435" s="3" t="inlineStr">
        <is>
          <t>임야</t>
        </is>
      </c>
      <c r="J9435" s="3" t="inlineStr">
        <is>
          <t>강내면</t>
        </is>
      </c>
    </row>
    <row r="9436">
      <c r="A9436" s="3" t="n">
        <v>2023</v>
      </c>
      <c r="B9436" s="4" t="n">
        <v>13200</v>
      </c>
      <c r="C9436" s="4" t="n">
        <v>145</v>
      </c>
      <c r="D9436" s="4" t="n">
        <v>43.8625</v>
      </c>
      <c r="E9436" s="5" t="n">
        <v>300.9</v>
      </c>
      <c r="F9436" s="3" t="inlineStr">
        <is>
          <t>오송읍</t>
        </is>
      </c>
      <c r="G9436" s="3" t="inlineStr">
        <is>
          <t>정중리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오송읍</t>
        </is>
      </c>
    </row>
    <row r="9437">
      <c r="A9437" s="3" t="n">
        <v>2023</v>
      </c>
      <c r="B9437" s="4" t="n">
        <v>10000</v>
      </c>
      <c r="C9437" s="4" t="n">
        <v>152</v>
      </c>
      <c r="D9437" s="4" t="n">
        <v>45.98</v>
      </c>
      <c r="E9437" s="5" t="n">
        <v>217.5</v>
      </c>
      <c r="F9437" s="3" t="inlineStr">
        <is>
          <t>오송읍</t>
        </is>
      </c>
      <c r="G9437" s="3" t="inlineStr">
        <is>
          <t>정중리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오송읍</t>
        </is>
      </c>
    </row>
    <row r="9438">
      <c r="A9438" s="3" t="n">
        <v>2023</v>
      </c>
      <c r="B9438" s="4" t="n">
        <v>19400</v>
      </c>
      <c r="C9438" s="4" t="n">
        <v>300</v>
      </c>
      <c r="D9438" s="4" t="n">
        <v>90.75</v>
      </c>
      <c r="E9438" s="5" t="n">
        <v>213.8</v>
      </c>
      <c r="F9438" s="3" t="inlineStr">
        <is>
          <t>오송읍</t>
        </is>
      </c>
      <c r="G9438" s="3" t="inlineStr">
        <is>
          <t>궁평리</t>
        </is>
      </c>
      <c r="H9438" s="3" t="inlineStr">
        <is>
          <t>제1종일반주거지역</t>
        </is>
      </c>
      <c r="I9438" s="3" t="inlineStr">
        <is>
          <t>창고용지</t>
        </is>
      </c>
      <c r="J9438" s="3" t="inlineStr">
        <is>
          <t>오송읍</t>
        </is>
      </c>
    </row>
    <row r="9439">
      <c r="A9439" s="3" t="n">
        <v>2023</v>
      </c>
      <c r="B9439" s="4" t="n">
        <v>88500</v>
      </c>
      <c r="C9439" s="4" t="n">
        <v>2135</v>
      </c>
      <c r="D9439" s="4" t="n">
        <v>645.8375</v>
      </c>
      <c r="E9439" s="5" t="n">
        <v>137</v>
      </c>
      <c r="F9439" s="3" t="inlineStr">
        <is>
          <t>강내면</t>
        </is>
      </c>
      <c r="G9439" s="3" t="inlineStr">
        <is>
          <t>다락리</t>
        </is>
      </c>
      <c r="H9439" s="3" t="inlineStr">
        <is>
          <t>계획관리지역</t>
        </is>
      </c>
      <c r="I9439" s="3" t="inlineStr">
        <is>
          <t>답</t>
        </is>
      </c>
      <c r="J9439" s="3" t="inlineStr">
        <is>
          <t>강내면</t>
        </is>
      </c>
    </row>
    <row r="9440">
      <c r="A9440" s="3" t="n">
        <v>2022</v>
      </c>
      <c r="B9440" s="4" t="n">
        <v>56850</v>
      </c>
      <c r="C9440" s="4" t="n">
        <v>4959</v>
      </c>
      <c r="D9440" s="4" t="n">
        <v>1500.0975</v>
      </c>
      <c r="E9440" s="5" t="n">
        <v>37.9</v>
      </c>
      <c r="F9440" s="3" t="inlineStr">
        <is>
          <t>소정면</t>
        </is>
      </c>
      <c r="G9440" s="3" t="inlineStr">
        <is>
          <t>대곡리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소정면</t>
        </is>
      </c>
    </row>
    <row r="9441">
      <c r="A9441" s="3" t="n">
        <v>2022</v>
      </c>
      <c r="B9441" s="4" t="n">
        <v>6000</v>
      </c>
      <c r="C9441" s="4" t="n">
        <v>962</v>
      </c>
      <c r="D9441" s="4" t="n">
        <v>291.005</v>
      </c>
      <c r="E9441" s="5" t="n">
        <v>20.6</v>
      </c>
      <c r="F9441" s="3" t="inlineStr">
        <is>
          <t>전동면</t>
        </is>
      </c>
      <c r="G9441" s="3" t="inlineStr">
        <is>
          <t>봉대리</t>
        </is>
      </c>
      <c r="H9441" s="3" t="inlineStr">
        <is>
          <t>생산관리지역</t>
        </is>
      </c>
      <c r="I9441" s="3" t="inlineStr">
        <is>
          <t>전</t>
        </is>
      </c>
      <c r="J9441" s="3" t="inlineStr">
        <is>
          <t>전동면</t>
        </is>
      </c>
    </row>
    <row r="9442">
      <c r="A9442" s="3" t="n">
        <v>2022</v>
      </c>
      <c r="B9442" s="4" t="n">
        <v>4600</v>
      </c>
      <c r="C9442" s="4" t="n">
        <v>352</v>
      </c>
      <c r="D9442" s="4" t="n">
        <v>106.48</v>
      </c>
      <c r="E9442" s="5" t="n">
        <v>43.2</v>
      </c>
      <c r="F9442" s="3" t="inlineStr">
        <is>
          <t>소정면</t>
        </is>
      </c>
      <c r="G9442" s="3" t="inlineStr">
        <is>
          <t>소정리</t>
        </is>
      </c>
      <c r="H9442" s="3" t="inlineStr">
        <is>
          <t>계획관리지역</t>
        </is>
      </c>
      <c r="I9442" s="3" t="inlineStr">
        <is>
          <t>대</t>
        </is>
      </c>
      <c r="J9442" s="3" t="inlineStr">
        <is>
          <t>소정면</t>
        </is>
      </c>
    </row>
    <row r="9443">
      <c r="A9443" s="3" t="n">
        <v>2022</v>
      </c>
      <c r="B9443" s="4" t="n">
        <v>44850</v>
      </c>
      <c r="C9443" s="4" t="n">
        <v>80520</v>
      </c>
      <c r="D9443" s="4" t="n">
        <v>24357.3</v>
      </c>
      <c r="E9443" s="5" t="n">
        <v>1.8</v>
      </c>
      <c r="F9443" s="3" t="inlineStr">
        <is>
          <t>전동면</t>
        </is>
      </c>
      <c r="G9443" s="3" t="inlineStr">
        <is>
          <t>보덕리</t>
        </is>
      </c>
      <c r="H9443" s="3" t="inlineStr">
        <is>
          <t>농림지역</t>
        </is>
      </c>
      <c r="I9443" s="3" t="inlineStr">
        <is>
          <t>임야</t>
        </is>
      </c>
      <c r="J9443" s="3" t="inlineStr">
        <is>
          <t>전동면</t>
        </is>
      </c>
    </row>
    <row r="9444">
      <c r="A9444" s="3" t="n">
        <v>2022</v>
      </c>
      <c r="B9444" s="4" t="n">
        <v>34365</v>
      </c>
      <c r="C9444" s="4" t="n">
        <v>7573</v>
      </c>
      <c r="D9444" s="4" t="n">
        <v>2290.8325</v>
      </c>
      <c r="E9444" s="5" t="n">
        <v>15</v>
      </c>
      <c r="F9444" s="3" t="inlineStr">
        <is>
          <t>전동면</t>
        </is>
      </c>
      <c r="G9444" s="3" t="inlineStr">
        <is>
          <t>보덕리</t>
        </is>
      </c>
      <c r="H9444" s="3" t="inlineStr">
        <is>
          <t>농림지역</t>
        </is>
      </c>
      <c r="I9444" s="3" t="inlineStr">
        <is>
          <t>임야</t>
        </is>
      </c>
      <c r="J9444" s="3" t="inlineStr">
        <is>
          <t>전동면</t>
        </is>
      </c>
    </row>
    <row r="9445">
      <c r="A9445" s="3" t="n">
        <v>2022</v>
      </c>
      <c r="B9445" s="4" t="n">
        <v>47220</v>
      </c>
      <c r="C9445" s="4" t="n">
        <v>10407</v>
      </c>
      <c r="D9445" s="4" t="n">
        <v>3148.1175</v>
      </c>
      <c r="E9445" s="5" t="n">
        <v>15</v>
      </c>
      <c r="F9445" s="3" t="inlineStr">
        <is>
          <t>전동면</t>
        </is>
      </c>
      <c r="G9445" s="3" t="inlineStr">
        <is>
          <t>보덕리</t>
        </is>
      </c>
      <c r="H9445" s="3" t="inlineStr">
        <is>
          <t>농림지역</t>
        </is>
      </c>
      <c r="I9445" s="3" t="inlineStr">
        <is>
          <t>임야</t>
        </is>
      </c>
      <c r="J9445" s="3" t="inlineStr">
        <is>
          <t>전동면</t>
        </is>
      </c>
    </row>
    <row r="9446">
      <c r="A9446" s="3" t="n">
        <v>2022</v>
      </c>
      <c r="B9446" s="4" t="n">
        <v>11595</v>
      </c>
      <c r="C9446" s="4" t="n">
        <v>2555</v>
      </c>
      <c r="D9446" s="4" t="n">
        <v>772.8874999999999</v>
      </c>
      <c r="E9446" s="5" t="n">
        <v>15</v>
      </c>
      <c r="F9446" s="3" t="inlineStr">
        <is>
          <t>전동면</t>
        </is>
      </c>
      <c r="G9446" s="3" t="inlineStr">
        <is>
          <t>보덕리</t>
        </is>
      </c>
      <c r="H9446" s="3" t="inlineStr">
        <is>
          <t>농림지역</t>
        </is>
      </c>
      <c r="I9446" s="3" t="inlineStr">
        <is>
          <t>임야</t>
        </is>
      </c>
      <c r="J9446" s="3" t="inlineStr">
        <is>
          <t>전동면</t>
        </is>
      </c>
    </row>
    <row r="9447">
      <c r="A9447" s="3" t="n">
        <v>2022</v>
      </c>
      <c r="B9447" s="4" t="n">
        <v>7710</v>
      </c>
      <c r="C9447" s="4" t="n">
        <v>25488</v>
      </c>
      <c r="D9447" s="4" t="n">
        <v>7710.12</v>
      </c>
      <c r="E9447" s="5" t="n">
        <v>1</v>
      </c>
      <c r="F9447" s="3" t="inlineStr">
        <is>
          <t>전동면</t>
        </is>
      </c>
      <c r="G9447" s="3" t="inlineStr">
        <is>
          <t>보덕리</t>
        </is>
      </c>
      <c r="H9447" s="3" t="inlineStr">
        <is>
          <t>농림지역</t>
        </is>
      </c>
      <c r="I9447" s="3" t="inlineStr">
        <is>
          <t>임야</t>
        </is>
      </c>
      <c r="J9447" s="3" t="inlineStr">
        <is>
          <t>전동면</t>
        </is>
      </c>
    </row>
    <row r="9448">
      <c r="A9448" s="3" t="n">
        <v>2022</v>
      </c>
      <c r="B9448" s="4" t="n">
        <v>4760</v>
      </c>
      <c r="C9448" s="4" t="n">
        <v>786</v>
      </c>
      <c r="D9448" s="4" t="n">
        <v>237.765</v>
      </c>
      <c r="E9448" s="5" t="n">
        <v>20</v>
      </c>
      <c r="F9448" s="3" t="inlineStr">
        <is>
          <t>전동면</t>
        </is>
      </c>
      <c r="G9448" s="3" t="inlineStr">
        <is>
          <t>보덕리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전동면</t>
        </is>
      </c>
    </row>
    <row r="9449">
      <c r="A9449" s="3" t="n">
        <v>2022</v>
      </c>
      <c r="B9449" s="4" t="n">
        <v>9640</v>
      </c>
      <c r="C9449" s="4" t="n">
        <v>1595</v>
      </c>
      <c r="D9449" s="4" t="n">
        <v>482.4875</v>
      </c>
      <c r="E9449" s="5" t="n">
        <v>20</v>
      </c>
      <c r="F9449" s="3" t="inlineStr">
        <is>
          <t>전동면</t>
        </is>
      </c>
      <c r="G9449" s="3" t="inlineStr">
        <is>
          <t>보덕리</t>
        </is>
      </c>
      <c r="H9449" s="3" t="inlineStr">
        <is>
          <t>보전관리지역</t>
        </is>
      </c>
      <c r="I9449" s="3" t="inlineStr">
        <is>
          <t>전</t>
        </is>
      </c>
      <c r="J9449" s="3" t="inlineStr">
        <is>
          <t>전동면</t>
        </is>
      </c>
    </row>
    <row r="9450">
      <c r="A9450" s="3" t="n">
        <v>2022</v>
      </c>
      <c r="B9450" s="4" t="n">
        <v>1160</v>
      </c>
      <c r="C9450" s="4" t="n">
        <v>194</v>
      </c>
      <c r="D9450" s="4" t="n">
        <v>58.685</v>
      </c>
      <c r="E9450" s="5" t="n">
        <v>19.8</v>
      </c>
      <c r="F9450" s="3" t="inlineStr">
        <is>
          <t>전동면</t>
        </is>
      </c>
      <c r="G9450" s="3" t="inlineStr">
        <is>
          <t>보덕리</t>
        </is>
      </c>
      <c r="H9450" s="3" t="inlineStr">
        <is>
          <t>보전관리지역</t>
        </is>
      </c>
      <c r="I9450" s="3" t="inlineStr">
        <is>
          <t>묘지</t>
        </is>
      </c>
      <c r="J9450" s="3" t="inlineStr">
        <is>
          <t>전동면</t>
        </is>
      </c>
    </row>
    <row r="9451">
      <c r="A9451" s="3" t="n">
        <v>2022</v>
      </c>
      <c r="B9451" s="4" t="n">
        <v>20880</v>
      </c>
      <c r="C9451" s="4" t="n">
        <v>3450</v>
      </c>
      <c r="D9451" s="4" t="n">
        <v>1043.625</v>
      </c>
      <c r="E9451" s="5" t="n">
        <v>20</v>
      </c>
      <c r="F9451" s="3" t="inlineStr">
        <is>
          <t>전동면</t>
        </is>
      </c>
      <c r="G9451" s="3" t="inlineStr">
        <is>
          <t>보덕리</t>
        </is>
      </c>
      <c r="H9451" s="3" t="inlineStr">
        <is>
          <t>보전관리지역</t>
        </is>
      </c>
      <c r="I9451" s="3" t="inlineStr">
        <is>
          <t>전</t>
        </is>
      </c>
      <c r="J9451" s="3" t="inlineStr">
        <is>
          <t>전동면</t>
        </is>
      </c>
    </row>
    <row r="9452">
      <c r="A9452" s="3" t="n">
        <v>2022</v>
      </c>
      <c r="B9452" s="4" t="n">
        <v>1400</v>
      </c>
      <c r="C9452" s="4" t="n">
        <v>231</v>
      </c>
      <c r="D9452" s="4" t="n">
        <v>69.8775</v>
      </c>
      <c r="E9452" s="5" t="n">
        <v>20</v>
      </c>
      <c r="F9452" s="3" t="inlineStr">
        <is>
          <t>전동면</t>
        </is>
      </c>
      <c r="G9452" s="3" t="inlineStr">
        <is>
          <t>보덕리</t>
        </is>
      </c>
      <c r="H9452" s="3" t="inlineStr">
        <is>
          <t>생산관리지역</t>
        </is>
      </c>
      <c r="I9452" s="3" t="inlineStr">
        <is>
          <t>답</t>
        </is>
      </c>
      <c r="J9452" s="3" t="inlineStr">
        <is>
          <t>전동면</t>
        </is>
      </c>
    </row>
    <row r="9453">
      <c r="A9453" s="3" t="n">
        <v>2022</v>
      </c>
      <c r="B9453" s="4" t="n">
        <v>6100</v>
      </c>
      <c r="C9453" s="4" t="n">
        <v>1007</v>
      </c>
      <c r="D9453" s="4" t="n">
        <v>304.6175</v>
      </c>
      <c r="E9453" s="5" t="n">
        <v>20</v>
      </c>
      <c r="F9453" s="3" t="inlineStr">
        <is>
          <t>전동면</t>
        </is>
      </c>
      <c r="G9453" s="3" t="inlineStr">
        <is>
          <t>보덕리</t>
        </is>
      </c>
      <c r="H9453" s="3" t="inlineStr">
        <is>
          <t>생산관리지역</t>
        </is>
      </c>
      <c r="I9453" s="3" t="inlineStr">
        <is>
          <t>답</t>
        </is>
      </c>
      <c r="J9453" s="3" t="inlineStr">
        <is>
          <t>전동면</t>
        </is>
      </c>
    </row>
    <row r="9454">
      <c r="A9454" s="3" t="n">
        <v>2024</v>
      </c>
      <c r="B9454" s="4" t="n">
        <v>3000</v>
      </c>
      <c r="C9454" s="4" t="n">
        <v>1514</v>
      </c>
      <c r="D9454" s="4" t="n">
        <v>457.985</v>
      </c>
      <c r="E9454" s="5" t="n">
        <v>6.6</v>
      </c>
      <c r="F9454" s="3" t="inlineStr">
        <is>
          <t>전동면</t>
        </is>
      </c>
      <c r="G9454" s="3" t="inlineStr">
        <is>
          <t>송정리</t>
        </is>
      </c>
      <c r="H9454" s="3" t="inlineStr">
        <is>
          <t>농림지역</t>
        </is>
      </c>
      <c r="I9454" s="3" t="inlineStr">
        <is>
          <t>임야</t>
        </is>
      </c>
      <c r="J9454" s="3" t="inlineStr">
        <is>
          <t>전동면</t>
        </is>
      </c>
    </row>
    <row r="9455">
      <c r="A9455" s="3" t="n">
        <v>2024</v>
      </c>
      <c r="B9455" s="4" t="n">
        <v>28080</v>
      </c>
      <c r="C9455" s="4" t="n">
        <v>365</v>
      </c>
      <c r="D9455" s="4" t="n">
        <v>110.4125</v>
      </c>
      <c r="E9455" s="5" t="n">
        <v>254.3</v>
      </c>
      <c r="F9455" s="3" t="inlineStr">
        <is>
          <t>장군면</t>
        </is>
      </c>
      <c r="G9455" s="3" t="inlineStr">
        <is>
          <t>은용리</t>
        </is>
      </c>
      <c r="H9455" s="3" t="inlineStr">
        <is>
          <t>계획관리지역</t>
        </is>
      </c>
      <c r="I9455" s="3" t="inlineStr">
        <is>
          <t>답</t>
        </is>
      </c>
      <c r="J9455" s="3" t="inlineStr">
        <is>
          <t>장군면</t>
        </is>
      </c>
    </row>
    <row r="9456">
      <c r="A9456" s="3" t="n">
        <v>2024</v>
      </c>
      <c r="B9456" s="4" t="n">
        <v>14080</v>
      </c>
      <c r="C9456" s="4" t="n">
        <v>183</v>
      </c>
      <c r="D9456" s="4" t="n">
        <v>55.3575</v>
      </c>
      <c r="E9456" s="5" t="n">
        <v>254.3</v>
      </c>
      <c r="F9456" s="3" t="inlineStr">
        <is>
          <t>장군면</t>
        </is>
      </c>
      <c r="G9456" s="3" t="inlineStr">
        <is>
          <t>은용리</t>
        </is>
      </c>
      <c r="H9456" s="3" t="inlineStr">
        <is>
          <t>계획관리지역</t>
        </is>
      </c>
      <c r="I9456" s="3" t="inlineStr">
        <is>
          <t>답</t>
        </is>
      </c>
      <c r="J9456" s="3" t="inlineStr">
        <is>
          <t>장군면</t>
        </is>
      </c>
    </row>
    <row r="9457">
      <c r="A9457" s="3" t="n">
        <v>2024</v>
      </c>
      <c r="B9457" s="4" t="n">
        <v>33264</v>
      </c>
      <c r="C9457" s="4" t="n">
        <v>460</v>
      </c>
      <c r="D9457" s="4" t="n">
        <v>139.15</v>
      </c>
      <c r="E9457" s="5" t="n">
        <v>239.1</v>
      </c>
      <c r="F9457" s="3" t="inlineStr">
        <is>
          <t>장군면</t>
        </is>
      </c>
      <c r="G9457" s="3" t="inlineStr">
        <is>
          <t>금암리</t>
        </is>
      </c>
      <c r="H9457" s="3" t="inlineStr">
        <is>
          <t>보전관리지역</t>
        </is>
      </c>
      <c r="I9457" s="3" t="inlineStr">
        <is>
          <t>대</t>
        </is>
      </c>
      <c r="J9457" s="3" t="inlineStr">
        <is>
          <t>장군면</t>
        </is>
      </c>
    </row>
    <row r="9458">
      <c r="A9458" s="3" t="n">
        <v>2025</v>
      </c>
      <c r="B9458" s="4" t="n">
        <v>1962</v>
      </c>
      <c r="C9458" s="4" t="n">
        <v>13.3</v>
      </c>
      <c r="D9458" s="4" t="n">
        <v>4.02325</v>
      </c>
      <c r="E9458" s="5" t="n">
        <v>487.7</v>
      </c>
      <c r="F9458" s="3" t="inlineStr">
        <is>
          <t>고운동</t>
        </is>
      </c>
      <c r="G9458" s="3" t="inlineStr"/>
      <c r="H9458" s="3" t="inlineStr">
        <is>
          <t>제1종전용주거지역</t>
        </is>
      </c>
      <c r="I9458" s="3" t="inlineStr">
        <is>
          <t>주차장</t>
        </is>
      </c>
      <c r="J9458" s="3" t="inlineStr">
        <is>
          <t>고운동</t>
        </is>
      </c>
    </row>
    <row r="9459">
      <c r="A9459" s="3" t="n">
        <v>2025</v>
      </c>
      <c r="B9459" s="4" t="n">
        <v>2725</v>
      </c>
      <c r="C9459" s="4" t="n">
        <v>109</v>
      </c>
      <c r="D9459" s="4" t="n">
        <v>32.9725</v>
      </c>
      <c r="E9459" s="5" t="n">
        <v>82.59999999999999</v>
      </c>
      <c r="F9459" s="3" t="inlineStr">
        <is>
          <t>전동면</t>
        </is>
      </c>
      <c r="G9459" s="3" t="inlineStr">
        <is>
          <t>노장리</t>
        </is>
      </c>
      <c r="H9459" s="3" t="inlineStr">
        <is>
          <t>계획관리지역</t>
        </is>
      </c>
      <c r="I9459" s="3" t="inlineStr">
        <is>
          <t>전</t>
        </is>
      </c>
      <c r="J9459" s="3" t="inlineStr">
        <is>
          <t>전동면</t>
        </is>
      </c>
    </row>
    <row r="9460">
      <c r="A9460" s="3" t="n">
        <v>2025</v>
      </c>
      <c r="B9460" s="4" t="n">
        <v>1139</v>
      </c>
      <c r="C9460" s="4" t="n">
        <v>67</v>
      </c>
      <c r="D9460" s="4" t="n">
        <v>20.2675</v>
      </c>
      <c r="E9460" s="5" t="n">
        <v>56.2</v>
      </c>
      <c r="F9460" s="3" t="inlineStr">
        <is>
          <t>전동면</t>
        </is>
      </c>
      <c r="G9460" s="3" t="inlineStr">
        <is>
          <t>노장리</t>
        </is>
      </c>
      <c r="H9460" s="3" t="inlineStr">
        <is>
          <t>계획관리지역</t>
        </is>
      </c>
      <c r="I9460" s="3" t="inlineStr">
        <is>
          <t>전</t>
        </is>
      </c>
      <c r="J9460" s="3" t="inlineStr">
        <is>
          <t>전동면</t>
        </is>
      </c>
    </row>
    <row r="9461">
      <c r="A9461" s="3" t="n">
        <v>2025</v>
      </c>
      <c r="B9461" s="4" t="n">
        <v>5022</v>
      </c>
      <c r="C9461" s="4" t="n">
        <v>279</v>
      </c>
      <c r="D9461" s="4" t="n">
        <v>84.39749999999999</v>
      </c>
      <c r="E9461" s="5" t="n">
        <v>59.5</v>
      </c>
      <c r="F9461" s="3" t="inlineStr">
        <is>
          <t>전동면</t>
        </is>
      </c>
      <c r="G9461" s="3" t="inlineStr">
        <is>
          <t>노장리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전동면</t>
        </is>
      </c>
    </row>
    <row r="9462">
      <c r="A9462" s="3" t="n">
        <v>2025</v>
      </c>
      <c r="B9462" s="4" t="n">
        <v>1703</v>
      </c>
      <c r="C9462" s="4" t="n">
        <v>86</v>
      </c>
      <c r="D9462" s="4" t="n">
        <v>26.015</v>
      </c>
      <c r="E9462" s="5" t="n">
        <v>65.5</v>
      </c>
      <c r="F9462" s="3" t="inlineStr">
        <is>
          <t>전동면</t>
        </is>
      </c>
      <c r="G9462" s="3" t="inlineStr">
        <is>
          <t>노장리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전동면</t>
        </is>
      </c>
    </row>
    <row r="9463">
      <c r="A9463" s="3" t="n">
        <v>2025</v>
      </c>
      <c r="B9463" s="4" t="n">
        <v>9000</v>
      </c>
      <c r="C9463" s="4" t="n">
        <v>500</v>
      </c>
      <c r="D9463" s="4" t="n">
        <v>151.25</v>
      </c>
      <c r="E9463" s="5" t="n">
        <v>59.5</v>
      </c>
      <c r="F9463" s="3" t="inlineStr">
        <is>
          <t>전동면</t>
        </is>
      </c>
      <c r="G9463" s="3" t="inlineStr">
        <is>
          <t>노장리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전동면</t>
        </is>
      </c>
    </row>
    <row r="9464">
      <c r="A9464" s="3" t="n">
        <v>2025</v>
      </c>
      <c r="B9464" s="4" t="n">
        <v>220000</v>
      </c>
      <c r="C9464" s="4" t="n">
        <v>1767</v>
      </c>
      <c r="D9464" s="4" t="n">
        <v>534.5175</v>
      </c>
      <c r="E9464" s="5" t="n">
        <v>411.6</v>
      </c>
      <c r="F9464" s="3" t="inlineStr">
        <is>
          <t>금남면</t>
        </is>
      </c>
      <c r="G9464" s="3" t="inlineStr">
        <is>
          <t>황용리</t>
        </is>
      </c>
      <c r="H9464" s="3" t="inlineStr">
        <is>
          <t>생산관리지역</t>
        </is>
      </c>
      <c r="I9464" s="3" t="inlineStr">
        <is>
          <t>잡종지</t>
        </is>
      </c>
      <c r="J9464" s="3" t="inlineStr">
        <is>
          <t>금남면</t>
        </is>
      </c>
    </row>
    <row r="9465">
      <c r="A9465" s="3" t="n">
        <v>2025</v>
      </c>
      <c r="B9465" s="4" t="n">
        <v>30000</v>
      </c>
      <c r="C9465" s="4" t="n">
        <v>1410</v>
      </c>
      <c r="D9465" s="4" t="n">
        <v>426.525</v>
      </c>
      <c r="E9465" s="5" t="n">
        <v>70.3</v>
      </c>
      <c r="F9465" s="3" t="inlineStr">
        <is>
          <t>전의면</t>
        </is>
      </c>
      <c r="G9465" s="3" t="inlineStr">
        <is>
          <t>다방리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전의면</t>
        </is>
      </c>
    </row>
    <row r="9466">
      <c r="A9466" s="3" t="n">
        <v>2025</v>
      </c>
      <c r="B9466" s="4" t="n">
        <v>30000</v>
      </c>
      <c r="C9466" s="4" t="n">
        <v>1339</v>
      </c>
      <c r="D9466" s="4" t="n">
        <v>405.0475</v>
      </c>
      <c r="E9466" s="5" t="n">
        <v>74.09999999999999</v>
      </c>
      <c r="F9466" s="3" t="inlineStr">
        <is>
          <t>전의면</t>
        </is>
      </c>
      <c r="G9466" s="3" t="inlineStr">
        <is>
          <t>다방리</t>
        </is>
      </c>
      <c r="H9466" s="3" t="inlineStr">
        <is>
          <t>생산관리지역</t>
        </is>
      </c>
      <c r="I9466" s="3" t="inlineStr">
        <is>
          <t>전</t>
        </is>
      </c>
      <c r="J9466" s="3" t="inlineStr">
        <is>
          <t>전의면</t>
        </is>
      </c>
    </row>
    <row r="9467">
      <c r="A9467" s="3" t="n">
        <v>2025</v>
      </c>
      <c r="B9467" s="4" t="n">
        <v>50000</v>
      </c>
      <c r="C9467" s="4" t="n">
        <v>376.6</v>
      </c>
      <c r="D9467" s="4" t="n">
        <v>113.9215</v>
      </c>
      <c r="E9467" s="5" t="n">
        <v>438.9</v>
      </c>
      <c r="F9467" s="3" t="inlineStr">
        <is>
          <t>고운동</t>
        </is>
      </c>
      <c r="G9467" s="3" t="inlineStr"/>
      <c r="H9467" s="3" t="inlineStr">
        <is>
          <t>제1종전용주거지역</t>
        </is>
      </c>
      <c r="I9467" s="3" t="inlineStr">
        <is>
          <t>대</t>
        </is>
      </c>
      <c r="J9467" s="3" t="inlineStr">
        <is>
          <t>고운동</t>
        </is>
      </c>
    </row>
    <row r="9468">
      <c r="A9468" s="3" t="n">
        <v>2025</v>
      </c>
      <c r="B9468" s="4" t="n">
        <v>25000</v>
      </c>
      <c r="C9468" s="4" t="n">
        <v>213</v>
      </c>
      <c r="D9468" s="4" t="n">
        <v>64.4325</v>
      </c>
      <c r="E9468" s="5" t="n">
        <v>388</v>
      </c>
      <c r="F9468" s="3" t="inlineStr">
        <is>
          <t>연기면</t>
        </is>
      </c>
      <c r="G9468" s="3" t="inlineStr">
        <is>
          <t>연기리</t>
        </is>
      </c>
      <c r="H9468" s="3" t="inlineStr">
        <is>
          <t>계획관리지역</t>
        </is>
      </c>
      <c r="I9468" s="3" t="inlineStr">
        <is>
          <t>전</t>
        </is>
      </c>
      <c r="J9468" s="3" t="inlineStr">
        <is>
          <t>연기면</t>
        </is>
      </c>
    </row>
    <row r="9469">
      <c r="A9469" s="3" t="n">
        <v>2025</v>
      </c>
      <c r="B9469" s="4" t="n">
        <v>4280</v>
      </c>
      <c r="C9469" s="4" t="n">
        <v>202</v>
      </c>
      <c r="D9469" s="4" t="n">
        <v>61.105</v>
      </c>
      <c r="E9469" s="5" t="n">
        <v>70</v>
      </c>
      <c r="F9469" s="3" t="inlineStr">
        <is>
          <t>금남면</t>
        </is>
      </c>
      <c r="G9469" s="3" t="inlineStr">
        <is>
          <t>성강리</t>
        </is>
      </c>
      <c r="H9469" s="3" t="inlineStr">
        <is>
          <t>계획관리지역</t>
        </is>
      </c>
      <c r="I9469" s="3" t="inlineStr">
        <is>
          <t>전</t>
        </is>
      </c>
      <c r="J9469" s="3" t="inlineStr">
        <is>
          <t>금남면</t>
        </is>
      </c>
    </row>
    <row r="9470">
      <c r="A9470" s="3" t="n">
        <v>2025</v>
      </c>
      <c r="B9470" s="4" t="n">
        <v>58000</v>
      </c>
      <c r="C9470" s="4" t="n">
        <v>350</v>
      </c>
      <c r="D9470" s="4" t="n">
        <v>105.875</v>
      </c>
      <c r="E9470" s="5" t="n">
        <v>547.8</v>
      </c>
      <c r="F9470" s="3" t="inlineStr">
        <is>
          <t>도담동</t>
        </is>
      </c>
      <c r="G9470" s="3" t="inlineStr"/>
      <c r="H9470" s="3" t="inlineStr">
        <is>
          <t>제1종전용주거지역</t>
        </is>
      </c>
      <c r="I9470" s="3" t="inlineStr">
        <is>
          <t>대</t>
        </is>
      </c>
      <c r="J9470" s="3" t="inlineStr">
        <is>
          <t>도담동</t>
        </is>
      </c>
    </row>
    <row r="9471">
      <c r="A9471" s="3" t="n">
        <v>2025</v>
      </c>
      <c r="B9471" s="4" t="n">
        <v>15382</v>
      </c>
      <c r="C9471" s="4" t="n">
        <v>881</v>
      </c>
      <c r="D9471" s="4" t="n">
        <v>266.5025</v>
      </c>
      <c r="E9471" s="5" t="n">
        <v>57.7</v>
      </c>
      <c r="F9471" s="3" t="inlineStr">
        <is>
          <t>전동면</t>
        </is>
      </c>
      <c r="G9471" s="3" t="inlineStr">
        <is>
          <t>노장리</t>
        </is>
      </c>
      <c r="H9471" s="3" t="inlineStr">
        <is>
          <t>계획관리지역</t>
        </is>
      </c>
      <c r="I9471" s="3" t="inlineStr">
        <is>
          <t>대</t>
        </is>
      </c>
      <c r="J9471" s="3" t="inlineStr">
        <is>
          <t>전동면</t>
        </is>
      </c>
    </row>
    <row r="9472">
      <c r="A9472" s="3" t="n">
        <v>2025</v>
      </c>
      <c r="B9472" s="4" t="n">
        <v>12532</v>
      </c>
      <c r="C9472" s="4" t="n">
        <v>967</v>
      </c>
      <c r="D9472" s="4" t="n">
        <v>292.5175</v>
      </c>
      <c r="E9472" s="5" t="n">
        <v>42.8</v>
      </c>
      <c r="F9472" s="3" t="inlineStr">
        <is>
          <t>전동면</t>
        </is>
      </c>
      <c r="G9472" s="3" t="inlineStr">
        <is>
          <t>노장리</t>
        </is>
      </c>
      <c r="H9472" s="3" t="inlineStr">
        <is>
          <t>계획관리지역</t>
        </is>
      </c>
      <c r="I9472" s="3" t="inlineStr">
        <is>
          <t>임야</t>
        </is>
      </c>
      <c r="J9472" s="3" t="inlineStr">
        <is>
          <t>전동면</t>
        </is>
      </c>
    </row>
    <row r="9473">
      <c r="A9473" s="3" t="n">
        <v>2025</v>
      </c>
      <c r="B9473" s="4" t="n">
        <v>34298</v>
      </c>
      <c r="C9473" s="4" t="n">
        <v>2305</v>
      </c>
      <c r="D9473" s="4" t="n">
        <v>697.2624999999999</v>
      </c>
      <c r="E9473" s="5" t="n">
        <v>49.2</v>
      </c>
      <c r="F9473" s="3" t="inlineStr">
        <is>
          <t>전동면</t>
        </is>
      </c>
      <c r="G9473" s="3" t="inlineStr">
        <is>
          <t>노장리</t>
        </is>
      </c>
      <c r="H9473" s="3" t="inlineStr">
        <is>
          <t>계획관리지역</t>
        </is>
      </c>
      <c r="I9473" s="3" t="inlineStr">
        <is>
          <t>임야</t>
        </is>
      </c>
      <c r="J9473" s="3" t="inlineStr">
        <is>
          <t>전동면</t>
        </is>
      </c>
    </row>
    <row r="9474">
      <c r="A9474" s="3" t="n">
        <v>2025</v>
      </c>
      <c r="B9474" s="4" t="n">
        <v>5279</v>
      </c>
      <c r="C9474" s="4" t="n">
        <v>345</v>
      </c>
      <c r="D9474" s="4" t="n">
        <v>104.3625</v>
      </c>
      <c r="E9474" s="5" t="n">
        <v>50.6</v>
      </c>
      <c r="F9474" s="3" t="inlineStr">
        <is>
          <t>전동면</t>
        </is>
      </c>
      <c r="G9474" s="3" t="inlineStr">
        <is>
          <t>노장리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전동면</t>
        </is>
      </c>
    </row>
    <row r="9475">
      <c r="A9475" s="3" t="n">
        <v>2025</v>
      </c>
      <c r="B9475" s="4" t="n">
        <v>9174</v>
      </c>
      <c r="C9475" s="4" t="n">
        <v>610</v>
      </c>
      <c r="D9475" s="4" t="n">
        <v>184.525</v>
      </c>
      <c r="E9475" s="5" t="n">
        <v>49.7</v>
      </c>
      <c r="F9475" s="3" t="inlineStr">
        <is>
          <t>전동면</t>
        </is>
      </c>
      <c r="G9475" s="3" t="inlineStr">
        <is>
          <t>노장리</t>
        </is>
      </c>
      <c r="H9475" s="3" t="inlineStr">
        <is>
          <t>계획관리지역</t>
        </is>
      </c>
      <c r="I9475" s="3" t="inlineStr">
        <is>
          <t>임야</t>
        </is>
      </c>
      <c r="J9475" s="3" t="inlineStr">
        <is>
          <t>전동면</t>
        </is>
      </c>
    </row>
    <row r="9476">
      <c r="A9476" s="3" t="n">
        <v>2025</v>
      </c>
      <c r="B9476" s="4" t="n">
        <v>3274</v>
      </c>
      <c r="C9476" s="4" t="n">
        <v>220</v>
      </c>
      <c r="D9476" s="4" t="n">
        <v>66.55</v>
      </c>
      <c r="E9476" s="5" t="n">
        <v>49.2</v>
      </c>
      <c r="F9476" s="3" t="inlineStr">
        <is>
          <t>전동면</t>
        </is>
      </c>
      <c r="G9476" s="3" t="inlineStr">
        <is>
          <t>노장리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전동면</t>
        </is>
      </c>
    </row>
    <row r="9477">
      <c r="A9477" s="3" t="n">
        <v>2025</v>
      </c>
      <c r="B9477" s="4" t="n">
        <v>9361</v>
      </c>
      <c r="C9477" s="4" t="n">
        <v>726</v>
      </c>
      <c r="D9477" s="4" t="n">
        <v>219.615</v>
      </c>
      <c r="E9477" s="5" t="n">
        <v>42.6</v>
      </c>
      <c r="F9477" s="3" t="inlineStr">
        <is>
          <t>전동면</t>
        </is>
      </c>
      <c r="G9477" s="3" t="inlineStr">
        <is>
          <t>노장리</t>
        </is>
      </c>
      <c r="H9477" s="3" t="inlineStr">
        <is>
          <t>계획관리지역</t>
        </is>
      </c>
      <c r="I9477" s="3" t="inlineStr">
        <is>
          <t>임야</t>
        </is>
      </c>
      <c r="J9477" s="3" t="inlineStr">
        <is>
          <t>전동면</t>
        </is>
      </c>
    </row>
    <row r="9478">
      <c r="A9478" s="3" t="n">
        <v>2025</v>
      </c>
      <c r="B9478" s="4" t="n">
        <v>111500</v>
      </c>
      <c r="C9478" s="4" t="n">
        <v>2063</v>
      </c>
      <c r="D9478" s="4" t="n">
        <v>624.0575</v>
      </c>
      <c r="E9478" s="5" t="n">
        <v>178.7</v>
      </c>
      <c r="F9478" s="3" t="inlineStr">
        <is>
          <t>장군면</t>
        </is>
      </c>
      <c r="G9478" s="3" t="inlineStr">
        <is>
          <t>봉안리</t>
        </is>
      </c>
      <c r="H9478" s="3" t="inlineStr">
        <is>
          <t>농림지역</t>
        </is>
      </c>
      <c r="I9478" s="3" t="inlineStr">
        <is>
          <t>답</t>
        </is>
      </c>
      <c r="J9478" s="3" t="inlineStr">
        <is>
          <t>장군면</t>
        </is>
      </c>
    </row>
    <row r="9479">
      <c r="A9479" s="3" t="n">
        <v>2025</v>
      </c>
      <c r="B9479" s="4" t="n">
        <v>9700</v>
      </c>
      <c r="C9479" s="4" t="n">
        <v>510</v>
      </c>
      <c r="D9479" s="4" t="n">
        <v>154.275</v>
      </c>
      <c r="E9479" s="5" t="n">
        <v>62.9</v>
      </c>
      <c r="F9479" s="3" t="inlineStr">
        <is>
          <t>부강면</t>
        </is>
      </c>
      <c r="G9479" s="3" t="inlineStr">
        <is>
          <t>부강리</t>
        </is>
      </c>
      <c r="H9479" s="3" t="inlineStr">
        <is>
          <t>자연녹지지역</t>
        </is>
      </c>
      <c r="I9479" s="3" t="inlineStr">
        <is>
          <t>전</t>
        </is>
      </c>
      <c r="J9479" s="3" t="inlineStr">
        <is>
          <t>부강면</t>
        </is>
      </c>
    </row>
    <row r="9480">
      <c r="A9480" s="3" t="n">
        <v>2025</v>
      </c>
      <c r="B9480" s="4" t="n">
        <v>97875</v>
      </c>
      <c r="C9480" s="4" t="n">
        <v>1600</v>
      </c>
      <c r="D9480" s="4" t="n">
        <v>484</v>
      </c>
      <c r="E9480" s="5" t="n">
        <v>202.2</v>
      </c>
      <c r="F9480" s="3" t="inlineStr">
        <is>
          <t>전의면</t>
        </is>
      </c>
      <c r="G9480" s="3" t="inlineStr">
        <is>
          <t>원성리</t>
        </is>
      </c>
      <c r="H9480" s="3" t="inlineStr">
        <is>
          <t>계획관리지역</t>
        </is>
      </c>
      <c r="I9480" s="3" t="inlineStr">
        <is>
          <t>잡종지</t>
        </is>
      </c>
      <c r="J9480" s="3" t="inlineStr">
        <is>
          <t>전의면</t>
        </is>
      </c>
    </row>
    <row r="9481">
      <c r="A9481" s="3" t="n">
        <v>2025</v>
      </c>
      <c r="B9481" s="4" t="n">
        <v>20125</v>
      </c>
      <c r="C9481" s="4" t="n">
        <v>329</v>
      </c>
      <c r="D9481" s="4" t="n">
        <v>99.52249999999999</v>
      </c>
      <c r="E9481" s="5" t="n">
        <v>202.2</v>
      </c>
      <c r="F9481" s="3" t="inlineStr">
        <is>
          <t>전의면</t>
        </is>
      </c>
      <c r="G9481" s="3" t="inlineStr">
        <is>
          <t>원성리</t>
        </is>
      </c>
      <c r="H9481" s="3" t="inlineStr">
        <is>
          <t>계획관리지역</t>
        </is>
      </c>
      <c r="I9481" s="3" t="inlineStr">
        <is>
          <t>잡종지</t>
        </is>
      </c>
      <c r="J9481" s="3" t="inlineStr">
        <is>
          <t>전의면</t>
        </is>
      </c>
    </row>
    <row r="9482">
      <c r="A9482" s="3" t="n">
        <v>2025</v>
      </c>
      <c r="B9482" s="4" t="n">
        <v>5080</v>
      </c>
      <c r="C9482" s="4" t="n">
        <v>24</v>
      </c>
      <c r="D9482" s="4" t="n">
        <v>7.26</v>
      </c>
      <c r="E9482" s="5" t="n">
        <v>699.7</v>
      </c>
      <c r="F9482" s="3" t="inlineStr">
        <is>
          <t>부강면</t>
        </is>
      </c>
      <c r="G9482" s="3" t="inlineStr">
        <is>
          <t>부강리</t>
        </is>
      </c>
      <c r="H9482" s="3" t="inlineStr">
        <is>
          <t>제2종일반주거지역</t>
        </is>
      </c>
      <c r="I9482" s="3" t="inlineStr">
        <is>
          <t>대</t>
        </is>
      </c>
      <c r="J9482" s="3" t="inlineStr">
        <is>
          <t>부강면</t>
        </is>
      </c>
    </row>
    <row r="9483">
      <c r="A9483" s="3" t="n">
        <v>2025</v>
      </c>
      <c r="B9483" s="4" t="n">
        <v>4020</v>
      </c>
      <c r="C9483" s="4" t="n">
        <v>19</v>
      </c>
      <c r="D9483" s="4" t="n">
        <v>5.7475</v>
      </c>
      <c r="E9483" s="5" t="n">
        <v>699.4</v>
      </c>
      <c r="F9483" s="3" t="inlineStr">
        <is>
          <t>부강면</t>
        </is>
      </c>
      <c r="G9483" s="3" t="inlineStr">
        <is>
          <t>부강리</t>
        </is>
      </c>
      <c r="H9483" s="3" t="inlineStr">
        <is>
          <t>제2종일반주거지역</t>
        </is>
      </c>
      <c r="I9483" s="3" t="inlineStr">
        <is>
          <t>대</t>
        </is>
      </c>
      <c r="J9483" s="3" t="inlineStr">
        <is>
          <t>부강면</t>
        </is>
      </c>
    </row>
    <row r="9484">
      <c r="A9484" s="3" t="n">
        <v>2025</v>
      </c>
      <c r="B9484" s="4" t="n">
        <v>45000</v>
      </c>
      <c r="C9484" s="4" t="n">
        <v>2892</v>
      </c>
      <c r="D9484" s="4" t="n">
        <v>874.8299999999999</v>
      </c>
      <c r="E9484" s="5" t="n">
        <v>51.4</v>
      </c>
      <c r="F9484" s="3" t="inlineStr">
        <is>
          <t>전의면</t>
        </is>
      </c>
      <c r="G9484" s="3" t="inlineStr">
        <is>
          <t>신방리</t>
        </is>
      </c>
      <c r="H9484" s="3" t="inlineStr">
        <is>
          <t>계획관리지역</t>
        </is>
      </c>
      <c r="I9484" s="3" t="inlineStr">
        <is>
          <t>답</t>
        </is>
      </c>
      <c r="J9484" s="3" t="inlineStr">
        <is>
          <t>전의면</t>
        </is>
      </c>
    </row>
    <row r="9485">
      <c r="A9485" s="3" t="n">
        <v>2026</v>
      </c>
      <c r="B9485" s="4" t="n">
        <v>1680</v>
      </c>
      <c r="C9485" s="4" t="n">
        <v>71</v>
      </c>
      <c r="D9485" s="4" t="n">
        <v>21.4775</v>
      </c>
      <c r="E9485" s="5" t="n">
        <v>78.2</v>
      </c>
      <c r="F9485" s="3" t="inlineStr">
        <is>
          <t>연서면</t>
        </is>
      </c>
      <c r="G9485" s="3" t="inlineStr">
        <is>
          <t>국촌리</t>
        </is>
      </c>
      <c r="H9485" s="3" t="inlineStr">
        <is>
          <t>계획관리지역</t>
        </is>
      </c>
      <c r="I9485" s="3" t="inlineStr">
        <is>
          <t>전</t>
        </is>
      </c>
      <c r="J9485" s="3" t="inlineStr">
        <is>
          <t>연서면</t>
        </is>
      </c>
    </row>
    <row r="9486">
      <c r="A9486" s="3" t="n">
        <v>2026</v>
      </c>
      <c r="B9486" s="4" t="n">
        <v>57000</v>
      </c>
      <c r="C9486" s="4" t="n">
        <v>5136</v>
      </c>
      <c r="D9486" s="4" t="n">
        <v>1553.64</v>
      </c>
      <c r="E9486" s="5" t="n">
        <v>36.7</v>
      </c>
      <c r="F9486" s="3" t="inlineStr">
        <is>
          <t>연동면</t>
        </is>
      </c>
      <c r="G9486" s="3" t="inlineStr">
        <is>
          <t>송용리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연동면</t>
        </is>
      </c>
    </row>
    <row r="9487">
      <c r="A9487" s="3" t="n">
        <v>2026</v>
      </c>
      <c r="B9487" s="4" t="n">
        <v>577</v>
      </c>
      <c r="C9487" s="4" t="n">
        <v>280</v>
      </c>
      <c r="D9487" s="4" t="n">
        <v>84.7</v>
      </c>
      <c r="E9487" s="5" t="n">
        <v>6.8</v>
      </c>
      <c r="F9487" s="3" t="inlineStr">
        <is>
          <t>전의면</t>
        </is>
      </c>
      <c r="G9487" s="3" t="inlineStr">
        <is>
          <t>신방리</t>
        </is>
      </c>
      <c r="H9487" s="3" t="inlineStr">
        <is>
          <t>계획관리지역</t>
        </is>
      </c>
      <c r="I9487" s="3" t="inlineStr">
        <is>
          <t>임야</t>
        </is>
      </c>
      <c r="J9487" s="3" t="inlineStr">
        <is>
          <t>전의면</t>
        </is>
      </c>
    </row>
    <row r="9488">
      <c r="A9488" s="3" t="n">
        <v>2026</v>
      </c>
      <c r="B9488" s="4" t="n">
        <v>28781</v>
      </c>
      <c r="C9488" s="4" t="n">
        <v>451</v>
      </c>
      <c r="D9488" s="4" t="n">
        <v>136.4275</v>
      </c>
      <c r="E9488" s="5" t="n">
        <v>211</v>
      </c>
      <c r="F9488" s="3" t="inlineStr">
        <is>
          <t>전의면</t>
        </is>
      </c>
      <c r="G9488" s="3" t="inlineStr">
        <is>
          <t>신방리</t>
        </is>
      </c>
      <c r="H9488" s="3" t="inlineStr">
        <is>
          <t>계획관리지역</t>
        </is>
      </c>
      <c r="I9488" s="3" t="inlineStr">
        <is>
          <t>임야</t>
        </is>
      </c>
      <c r="J9488" s="3" t="inlineStr">
        <is>
          <t>전의면</t>
        </is>
      </c>
    </row>
    <row r="9489">
      <c r="A9489" s="3" t="n">
        <v>2026</v>
      </c>
      <c r="B9489" s="4" t="n">
        <v>26124</v>
      </c>
      <c r="C9489" s="4" t="n">
        <v>443</v>
      </c>
      <c r="D9489" s="4" t="n">
        <v>134.0075</v>
      </c>
      <c r="E9489" s="5" t="n">
        <v>194.9</v>
      </c>
      <c r="F9489" s="3" t="inlineStr">
        <is>
          <t>전의면</t>
        </is>
      </c>
      <c r="G9489" s="3" t="inlineStr">
        <is>
          <t>신방리</t>
        </is>
      </c>
      <c r="H9489" s="3" t="inlineStr">
        <is>
          <t>계획관리지역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2026</v>
      </c>
      <c r="B9490" s="4" t="n">
        <v>14500</v>
      </c>
      <c r="C9490" s="4" t="n">
        <v>1688</v>
      </c>
      <c r="D9490" s="4" t="n">
        <v>510.62</v>
      </c>
      <c r="E9490" s="5" t="n">
        <v>28.4</v>
      </c>
      <c r="F9490" s="3" t="inlineStr">
        <is>
          <t>전동면</t>
        </is>
      </c>
      <c r="G9490" s="3" t="inlineStr">
        <is>
          <t>봉대리</t>
        </is>
      </c>
      <c r="H9490" s="3" t="inlineStr">
        <is>
          <t>생산관리지역</t>
        </is>
      </c>
      <c r="I9490" s="3" t="inlineStr">
        <is>
          <t>전</t>
        </is>
      </c>
      <c r="J9490" s="3" t="inlineStr">
        <is>
          <t>전동면</t>
        </is>
      </c>
    </row>
    <row r="9491">
      <c r="A9491" s="3" t="n">
        <v>2026</v>
      </c>
      <c r="B9491" s="4" t="n">
        <v>12500</v>
      </c>
      <c r="C9491" s="4" t="n">
        <v>286</v>
      </c>
      <c r="D9491" s="4" t="n">
        <v>86.515</v>
      </c>
      <c r="E9491" s="5" t="n">
        <v>144.5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답</t>
        </is>
      </c>
      <c r="J9491" s="3" t="inlineStr">
        <is>
          <t>연서면</t>
        </is>
      </c>
    </row>
    <row r="9492">
      <c r="A9492" s="3" t="n">
        <v>2026</v>
      </c>
      <c r="B9492" s="4" t="n">
        <v>63200</v>
      </c>
      <c r="C9492" s="4" t="n">
        <v>1440</v>
      </c>
      <c r="D9492" s="4" t="n">
        <v>435.6</v>
      </c>
      <c r="E9492" s="5" t="n">
        <v>145.1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답</t>
        </is>
      </c>
      <c r="J9492" s="3" t="inlineStr">
        <is>
          <t>연서면</t>
        </is>
      </c>
    </row>
    <row r="9493">
      <c r="A9493" s="3" t="n">
        <v>2026</v>
      </c>
      <c r="B9493" s="4" t="n">
        <v>9300</v>
      </c>
      <c r="C9493" s="4" t="n">
        <v>213</v>
      </c>
      <c r="D9493" s="4" t="n">
        <v>64.4325</v>
      </c>
      <c r="E9493" s="5" t="n">
        <v>144.3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제1종일반주거지역</t>
        </is>
      </c>
      <c r="I9493" s="3" t="inlineStr">
        <is>
          <t>답</t>
        </is>
      </c>
      <c r="J9493" s="3" t="inlineStr">
        <is>
          <t>연서면</t>
        </is>
      </c>
    </row>
    <row r="9494">
      <c r="A9494" s="3" t="n">
        <v>2026</v>
      </c>
      <c r="B9494" s="4" t="n">
        <v>55000</v>
      </c>
      <c r="C9494" s="4" t="n">
        <v>1206</v>
      </c>
      <c r="D9494" s="4" t="n">
        <v>364.815</v>
      </c>
      <c r="E9494" s="5" t="n">
        <v>150.8</v>
      </c>
      <c r="F9494" s="3" t="inlineStr">
        <is>
          <t>연서면</t>
        </is>
      </c>
      <c r="G9494" s="3" t="inlineStr">
        <is>
          <t>성제리</t>
        </is>
      </c>
      <c r="H9494" s="3" t="inlineStr">
        <is>
          <t>제1종일반주거지역</t>
        </is>
      </c>
      <c r="I9494" s="3" t="inlineStr">
        <is>
          <t>답</t>
        </is>
      </c>
      <c r="J9494" s="3" t="inlineStr">
        <is>
          <t>연서면</t>
        </is>
      </c>
    </row>
    <row r="9495">
      <c r="A9495" s="3" t="n">
        <v>2026</v>
      </c>
      <c r="B9495" s="4" t="n">
        <v>3000</v>
      </c>
      <c r="C9495" s="4" t="n">
        <v>474</v>
      </c>
      <c r="D9495" s="4" t="n">
        <v>143.385</v>
      </c>
      <c r="E9495" s="5" t="n">
        <v>20.9</v>
      </c>
      <c r="F9495" s="3" t="inlineStr">
        <is>
          <t>부강면</t>
        </is>
      </c>
      <c r="G9495" s="3" t="inlineStr">
        <is>
          <t>노호리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부강면</t>
        </is>
      </c>
    </row>
    <row r="9496">
      <c r="A9496" s="3" t="n">
        <v>2026</v>
      </c>
      <c r="B9496" s="4" t="n">
        <v>60000</v>
      </c>
      <c r="C9496" s="4" t="n">
        <v>348</v>
      </c>
      <c r="D9496" s="4" t="n">
        <v>105.27</v>
      </c>
      <c r="E9496" s="5" t="n">
        <v>570</v>
      </c>
      <c r="F9496" s="3" t="inlineStr">
        <is>
          <t>아름동</t>
        </is>
      </c>
      <c r="G9496" s="3" t="inlineStr"/>
      <c r="H9496" s="3" t="inlineStr">
        <is>
          <t>제1종전용주거지역</t>
        </is>
      </c>
      <c r="I9496" s="3" t="inlineStr">
        <is>
          <t>대</t>
        </is>
      </c>
      <c r="J9496" s="3" t="inlineStr">
        <is>
          <t>아름동</t>
        </is>
      </c>
    </row>
    <row r="9497">
      <c r="A9497" s="3" t="n">
        <v>2026</v>
      </c>
      <c r="B9497" s="4" t="n">
        <v>8700</v>
      </c>
      <c r="C9497" s="4" t="n">
        <v>496</v>
      </c>
      <c r="D9497" s="4" t="n">
        <v>150.04</v>
      </c>
      <c r="E9497" s="5" t="n">
        <v>58</v>
      </c>
      <c r="F9497" s="3" t="inlineStr">
        <is>
          <t>연동면</t>
        </is>
      </c>
      <c r="G9497" s="3" t="inlineStr">
        <is>
          <t>명학리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연동면</t>
        </is>
      </c>
    </row>
    <row r="9498">
      <c r="A9498" s="3" t="n">
        <v>2022</v>
      </c>
      <c r="B9498" s="4" t="n">
        <v>8000</v>
      </c>
      <c r="C9498" s="4" t="n">
        <v>1785</v>
      </c>
      <c r="D9498" s="4" t="n">
        <v>539.9625</v>
      </c>
      <c r="E9498" s="5" t="n">
        <v>14.8</v>
      </c>
      <c r="F9498" s="3" t="inlineStr">
        <is>
          <t>소정면</t>
        </is>
      </c>
      <c r="G9498" s="3" t="inlineStr">
        <is>
          <t>대곡리</t>
        </is>
      </c>
      <c r="H9498" s="3" t="inlineStr">
        <is>
          <t>계획관리지역</t>
        </is>
      </c>
      <c r="I9498" s="3" t="inlineStr">
        <is>
          <t>전</t>
        </is>
      </c>
      <c r="J9498" s="3" t="inlineStr">
        <is>
          <t>소정면</t>
        </is>
      </c>
    </row>
    <row r="9499">
      <c r="A9499" s="3" t="n">
        <v>2022</v>
      </c>
      <c r="B9499" s="4" t="n">
        <v>67000</v>
      </c>
      <c r="C9499" s="4" t="n">
        <v>1244</v>
      </c>
      <c r="D9499" s="4" t="n">
        <v>376.31</v>
      </c>
      <c r="E9499" s="5" t="n">
        <v>178</v>
      </c>
      <c r="F9499" s="3" t="inlineStr">
        <is>
          <t>전의면</t>
        </is>
      </c>
      <c r="G9499" s="3" t="inlineStr">
        <is>
          <t>신흥리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전의면</t>
        </is>
      </c>
    </row>
    <row r="9500">
      <c r="A9500" s="3" t="n">
        <v>2022</v>
      </c>
      <c r="B9500" s="4" t="n">
        <v>14800</v>
      </c>
      <c r="C9500" s="4" t="n">
        <v>134</v>
      </c>
      <c r="D9500" s="4" t="n">
        <v>40.535</v>
      </c>
      <c r="E9500" s="5" t="n">
        <v>365.1</v>
      </c>
      <c r="F9500" s="3" t="inlineStr">
        <is>
          <t>금남면</t>
        </is>
      </c>
      <c r="G9500" s="3" t="inlineStr">
        <is>
          <t>용포리</t>
        </is>
      </c>
      <c r="H9500" s="3" t="inlineStr">
        <is>
          <t>제1종일반주거지역</t>
        </is>
      </c>
      <c r="I9500" s="3" t="inlineStr">
        <is>
          <t>대</t>
        </is>
      </c>
      <c r="J9500" s="3" t="inlineStr">
        <is>
          <t>금남면</t>
        </is>
      </c>
    </row>
    <row r="9501">
      <c r="A9501" s="3" t="n">
        <v>2022</v>
      </c>
      <c r="B9501" s="4" t="n">
        <v>30000</v>
      </c>
      <c r="C9501" s="4" t="n">
        <v>1144</v>
      </c>
      <c r="D9501" s="4" t="n">
        <v>346.06</v>
      </c>
      <c r="E9501" s="5" t="n">
        <v>86.7</v>
      </c>
      <c r="F9501" s="3" t="inlineStr">
        <is>
          <t>부강면</t>
        </is>
      </c>
      <c r="G9501" s="3" t="inlineStr">
        <is>
          <t>등곡리</t>
        </is>
      </c>
      <c r="H9501" s="3" t="inlineStr">
        <is>
          <t>계획관리지역</t>
        </is>
      </c>
      <c r="I9501" s="3" t="inlineStr">
        <is>
          <t>전</t>
        </is>
      </c>
      <c r="J9501" s="3" t="inlineStr">
        <is>
          <t>부강면</t>
        </is>
      </c>
    </row>
    <row r="9502">
      <c r="A9502" s="3" t="n">
        <v>2022</v>
      </c>
      <c r="B9502" s="4" t="n">
        <v>12000</v>
      </c>
      <c r="C9502" s="4" t="n">
        <v>992</v>
      </c>
      <c r="D9502" s="4" t="n">
        <v>300.08</v>
      </c>
      <c r="E9502" s="5" t="n">
        <v>40</v>
      </c>
      <c r="F9502" s="3" t="inlineStr">
        <is>
          <t>연동면</t>
        </is>
      </c>
      <c r="G9502" s="3" t="inlineStr">
        <is>
          <t>명학리</t>
        </is>
      </c>
      <c r="H9502" s="3" t="inlineStr">
        <is>
          <t>계획관리지역</t>
        </is>
      </c>
      <c r="I9502" s="3" t="inlineStr">
        <is>
          <t>임야</t>
        </is>
      </c>
      <c r="J9502" s="3" t="inlineStr">
        <is>
          <t>연동면</t>
        </is>
      </c>
    </row>
    <row r="9503">
      <c r="A9503" s="3" t="n">
        <v>2022</v>
      </c>
      <c r="B9503" s="4" t="n">
        <v>14694</v>
      </c>
      <c r="C9503" s="4" t="n">
        <v>1299</v>
      </c>
      <c r="D9503" s="4" t="n">
        <v>392.9475</v>
      </c>
      <c r="E9503" s="5" t="n">
        <v>37.4</v>
      </c>
      <c r="F9503" s="3" t="inlineStr">
        <is>
          <t>금남면</t>
        </is>
      </c>
      <c r="G9503" s="3" t="inlineStr">
        <is>
          <t>영대리</t>
        </is>
      </c>
      <c r="H9503" s="3" t="inlineStr">
        <is>
          <t>개발제한구역</t>
        </is>
      </c>
      <c r="I9503" s="3" t="inlineStr">
        <is>
          <t>전</t>
        </is>
      </c>
      <c r="J9503" s="3" t="inlineStr">
        <is>
          <t>금남면</t>
        </is>
      </c>
    </row>
    <row r="9504">
      <c r="A9504" s="3" t="n">
        <v>2022</v>
      </c>
      <c r="B9504" s="4" t="n">
        <v>40656</v>
      </c>
      <c r="C9504" s="4" t="n">
        <v>3594</v>
      </c>
      <c r="D9504" s="4" t="n">
        <v>1087.185</v>
      </c>
      <c r="E9504" s="5" t="n">
        <v>37.4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2022</v>
      </c>
      <c r="B9505" s="4" t="n">
        <v>650</v>
      </c>
      <c r="C9505" s="4" t="n">
        <v>114</v>
      </c>
      <c r="D9505" s="4" t="n">
        <v>34.485</v>
      </c>
      <c r="E9505" s="5" t="n">
        <v>18.8</v>
      </c>
      <c r="F9505" s="3" t="inlineStr">
        <is>
          <t>금남면</t>
        </is>
      </c>
      <c r="G9505" s="3" t="inlineStr">
        <is>
          <t>영대리</t>
        </is>
      </c>
      <c r="H9505" s="3" t="inlineStr">
        <is>
          <t>개발제한구역</t>
        </is>
      </c>
      <c r="I9505" s="3" t="inlineStr">
        <is>
          <t>답</t>
        </is>
      </c>
      <c r="J9505" s="3" t="inlineStr">
        <is>
          <t>금남면</t>
        </is>
      </c>
    </row>
    <row r="9506">
      <c r="A9506" s="3" t="n">
        <v>2022</v>
      </c>
      <c r="B9506" s="4" t="n">
        <v>20320</v>
      </c>
      <c r="C9506" s="4" t="n">
        <v>498</v>
      </c>
      <c r="D9506" s="4" t="n">
        <v>150.645</v>
      </c>
      <c r="E9506" s="5" t="n">
        <v>134.9</v>
      </c>
      <c r="F9506" s="3" t="inlineStr">
        <is>
          <t>연서면</t>
        </is>
      </c>
      <c r="G9506" s="3" t="inlineStr">
        <is>
          <t>쌍류리</t>
        </is>
      </c>
      <c r="H9506" s="3" t="inlineStr">
        <is>
          <t>생산관리지역</t>
        </is>
      </c>
      <c r="I9506" s="3" t="inlineStr">
        <is>
          <t>과수원</t>
        </is>
      </c>
      <c r="J9506" s="3" t="inlineStr">
        <is>
          <t>연서면</t>
        </is>
      </c>
    </row>
    <row r="9507">
      <c r="A9507" s="3" t="n">
        <v>2022</v>
      </c>
      <c r="B9507" s="4" t="n">
        <v>4240</v>
      </c>
      <c r="C9507" s="4" t="n">
        <v>104</v>
      </c>
      <c r="D9507" s="4" t="n">
        <v>31.46</v>
      </c>
      <c r="E9507" s="5" t="n">
        <v>134.8</v>
      </c>
      <c r="F9507" s="3" t="inlineStr">
        <is>
          <t>연서면</t>
        </is>
      </c>
      <c r="G9507" s="3" t="inlineStr">
        <is>
          <t>쌍류리</t>
        </is>
      </c>
      <c r="H9507" s="3" t="inlineStr">
        <is>
          <t>생산관리지역</t>
        </is>
      </c>
      <c r="I9507" s="3" t="inlineStr">
        <is>
          <t>답</t>
        </is>
      </c>
      <c r="J9507" s="3" t="inlineStr">
        <is>
          <t>연서면</t>
        </is>
      </c>
    </row>
    <row r="9508">
      <c r="A9508" s="3" t="n">
        <v>2022</v>
      </c>
      <c r="B9508" s="4" t="n">
        <v>13000</v>
      </c>
      <c r="C9508" s="4" t="n">
        <v>861</v>
      </c>
      <c r="D9508" s="4" t="n">
        <v>260.4525</v>
      </c>
      <c r="E9508" s="5" t="n">
        <v>49.9</v>
      </c>
      <c r="F9508" s="3" t="inlineStr">
        <is>
          <t>조치원읍</t>
        </is>
      </c>
      <c r="G9508" s="3" t="inlineStr">
        <is>
          <t>봉산리</t>
        </is>
      </c>
      <c r="H9508" s="3" t="inlineStr">
        <is>
          <t>계획관리지역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6100</v>
      </c>
      <c r="C9509" s="4" t="n">
        <v>4969</v>
      </c>
      <c r="D9509" s="4" t="n">
        <v>1503.1225</v>
      </c>
      <c r="E9509" s="5" t="n">
        <v>4.1</v>
      </c>
      <c r="F9509" s="3" t="inlineStr">
        <is>
          <t>전동면</t>
        </is>
      </c>
      <c r="G9509" s="3" t="inlineStr">
        <is>
          <t>청람리</t>
        </is>
      </c>
      <c r="H9509" s="3" t="inlineStr">
        <is>
          <t>농림지역</t>
        </is>
      </c>
      <c r="I9509" s="3" t="inlineStr">
        <is>
          <t>임야</t>
        </is>
      </c>
      <c r="J9509" s="3" t="inlineStr">
        <is>
          <t>전동면</t>
        </is>
      </c>
    </row>
    <row r="9510">
      <c r="A9510" s="3" t="n">
        <v>2022</v>
      </c>
      <c r="B9510" s="4" t="n">
        <v>9000</v>
      </c>
      <c r="C9510" s="4" t="n">
        <v>307</v>
      </c>
      <c r="D9510" s="4" t="n">
        <v>92.86749999999999</v>
      </c>
      <c r="E9510" s="5" t="n">
        <v>96.90000000000001</v>
      </c>
      <c r="F9510" s="3" t="inlineStr">
        <is>
          <t>금남면</t>
        </is>
      </c>
      <c r="G9510" s="3" t="inlineStr">
        <is>
          <t>봉암리</t>
        </is>
      </c>
      <c r="H9510" s="3" t="inlineStr">
        <is>
          <t>생산관리지역</t>
        </is>
      </c>
      <c r="I9510" s="3" t="inlineStr">
        <is>
          <t>전</t>
        </is>
      </c>
      <c r="J9510" s="3" t="inlineStr">
        <is>
          <t>금남면</t>
        </is>
      </c>
    </row>
    <row r="9511">
      <c r="A9511" s="3" t="n">
        <v>2022</v>
      </c>
      <c r="B9511" s="4" t="n">
        <v>4000</v>
      </c>
      <c r="C9511" s="4" t="n">
        <v>327</v>
      </c>
      <c r="D9511" s="4" t="n">
        <v>98.9175</v>
      </c>
      <c r="E9511" s="5" t="n">
        <v>40.4</v>
      </c>
      <c r="F9511" s="3" t="inlineStr">
        <is>
          <t>연서면</t>
        </is>
      </c>
      <c r="G9511" s="3" t="inlineStr">
        <is>
          <t>청라리</t>
        </is>
      </c>
      <c r="H9511" s="3" t="inlineStr">
        <is>
          <t>생산관리지역</t>
        </is>
      </c>
      <c r="I9511" s="3" t="inlineStr">
        <is>
          <t>전</t>
        </is>
      </c>
      <c r="J9511" s="3" t="inlineStr">
        <is>
          <t>연서면</t>
        </is>
      </c>
    </row>
    <row r="9512">
      <c r="A9512" s="3" t="n">
        <v>2022</v>
      </c>
      <c r="B9512" s="4" t="n">
        <v>11655</v>
      </c>
      <c r="C9512" s="4" t="n">
        <v>274</v>
      </c>
      <c r="D9512" s="4" t="n">
        <v>82.88499999999999</v>
      </c>
      <c r="E9512" s="5" t="n">
        <v>140.6</v>
      </c>
      <c r="F9512" s="3" t="inlineStr">
        <is>
          <t>전의면</t>
        </is>
      </c>
      <c r="G9512" s="3" t="inlineStr">
        <is>
          <t>읍내리</t>
        </is>
      </c>
      <c r="H9512" s="3" t="inlineStr">
        <is>
          <t>자연녹지지역</t>
        </is>
      </c>
      <c r="I9512" s="3" t="inlineStr">
        <is>
          <t>전</t>
        </is>
      </c>
      <c r="J9512" s="3" t="inlineStr">
        <is>
          <t>전의면</t>
        </is>
      </c>
    </row>
    <row r="9513">
      <c r="A9513" s="3" t="n">
        <v>2022</v>
      </c>
      <c r="B9513" s="4" t="n">
        <v>48960</v>
      </c>
      <c r="C9513" s="4" t="n">
        <v>1351</v>
      </c>
      <c r="D9513" s="4" t="n">
        <v>408.6775</v>
      </c>
      <c r="E9513" s="5" t="n">
        <v>119.8</v>
      </c>
      <c r="F9513" s="3" t="inlineStr">
        <is>
          <t>장군면</t>
        </is>
      </c>
      <c r="G9513" s="3" t="inlineStr">
        <is>
          <t>하봉리</t>
        </is>
      </c>
      <c r="H9513" s="3" t="inlineStr">
        <is>
          <t>농림지역</t>
        </is>
      </c>
      <c r="I9513" s="3" t="inlineStr">
        <is>
          <t>전</t>
        </is>
      </c>
      <c r="J9513" s="3" t="inlineStr">
        <is>
          <t>장군면</t>
        </is>
      </c>
    </row>
    <row r="9514">
      <c r="A9514" s="3" t="n">
        <v>2022</v>
      </c>
      <c r="B9514" s="4" t="n">
        <v>40500</v>
      </c>
      <c r="C9514" s="4" t="n">
        <v>330</v>
      </c>
      <c r="D9514" s="4" t="n">
        <v>99.825</v>
      </c>
      <c r="E9514" s="5" t="n">
        <v>405.7</v>
      </c>
      <c r="F9514" s="3" t="inlineStr">
        <is>
          <t>장군면</t>
        </is>
      </c>
      <c r="G9514" s="3" t="inlineStr">
        <is>
          <t>도계리</t>
        </is>
      </c>
      <c r="H9514" s="3" t="inlineStr">
        <is>
          <t>계획관리지역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2022</v>
      </c>
      <c r="B9515" s="4" t="n">
        <v>10280</v>
      </c>
      <c r="C9515" s="4" t="n">
        <v>851</v>
      </c>
      <c r="D9515" s="4" t="n">
        <v>257.4275</v>
      </c>
      <c r="E9515" s="5" t="n">
        <v>39.9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임야</t>
        </is>
      </c>
      <c r="J9515" s="3" t="inlineStr">
        <is>
          <t>소정면</t>
        </is>
      </c>
    </row>
    <row r="9516">
      <c r="A9516" s="3" t="n">
        <v>2022</v>
      </c>
      <c r="B9516" s="4" t="n">
        <v>50000</v>
      </c>
      <c r="C9516" s="4" t="n">
        <v>585</v>
      </c>
      <c r="D9516" s="4" t="n">
        <v>176.9625</v>
      </c>
      <c r="E9516" s="5" t="n">
        <v>282.5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대</t>
        </is>
      </c>
      <c r="J9516" s="3" t="inlineStr">
        <is>
          <t>연동면</t>
        </is>
      </c>
    </row>
    <row r="9517">
      <c r="A9517" s="3" t="n">
        <v>2022</v>
      </c>
      <c r="B9517" s="4" t="n">
        <v>15000</v>
      </c>
      <c r="C9517" s="4" t="n">
        <v>782</v>
      </c>
      <c r="D9517" s="4" t="n">
        <v>236.555</v>
      </c>
      <c r="E9517" s="5" t="n">
        <v>63.4</v>
      </c>
      <c r="F9517" s="3" t="inlineStr">
        <is>
          <t>전의면</t>
        </is>
      </c>
      <c r="G9517" s="3" t="inlineStr">
        <is>
          <t>달전리</t>
        </is>
      </c>
      <c r="H9517" s="3" t="inlineStr">
        <is>
          <t>농림지역</t>
        </is>
      </c>
      <c r="I9517" s="3" t="inlineStr">
        <is>
          <t>답</t>
        </is>
      </c>
      <c r="J9517" s="3" t="inlineStr">
        <is>
          <t>전의면</t>
        </is>
      </c>
    </row>
    <row r="9518">
      <c r="A9518" s="3" t="n">
        <v>2025</v>
      </c>
      <c r="B9518" s="4" t="n">
        <v>3820</v>
      </c>
      <c r="C9518" s="4" t="n">
        <v>97</v>
      </c>
      <c r="D9518" s="4" t="n">
        <v>29.3425</v>
      </c>
      <c r="E9518" s="5" t="n">
        <v>130.2</v>
      </c>
      <c r="F9518" s="3" t="inlineStr">
        <is>
          <t>연서면</t>
        </is>
      </c>
      <c r="G9518" s="3" t="inlineStr">
        <is>
          <t>국촌리</t>
        </is>
      </c>
      <c r="H9518" s="3" t="inlineStr">
        <is>
          <t>계획관리지역</t>
        </is>
      </c>
      <c r="I9518" s="3" t="inlineStr">
        <is>
          <t>창고용지</t>
        </is>
      </c>
      <c r="J9518" s="3" t="inlineStr">
        <is>
          <t>연서면</t>
        </is>
      </c>
    </row>
    <row r="9519">
      <c r="A9519" s="3" t="n">
        <v>2025</v>
      </c>
      <c r="B9519" s="4" t="n">
        <v>8180</v>
      </c>
      <c r="C9519" s="4" t="n">
        <v>208</v>
      </c>
      <c r="D9519" s="4" t="n">
        <v>62.92</v>
      </c>
      <c r="E9519" s="5" t="n">
        <v>130</v>
      </c>
      <c r="F9519" s="3" t="inlineStr">
        <is>
          <t>연서면</t>
        </is>
      </c>
      <c r="G9519" s="3" t="inlineStr">
        <is>
          <t>국촌리</t>
        </is>
      </c>
      <c r="H9519" s="3" t="inlineStr">
        <is>
          <t>계획관리지역</t>
        </is>
      </c>
      <c r="I9519" s="3" t="inlineStr">
        <is>
          <t>창고용지</t>
        </is>
      </c>
      <c r="J9519" s="3" t="inlineStr">
        <is>
          <t>연서면</t>
        </is>
      </c>
    </row>
    <row r="9520">
      <c r="A9520" s="3" t="n">
        <v>2025</v>
      </c>
      <c r="B9520" s="4" t="n">
        <v>400000</v>
      </c>
      <c r="C9520" s="4" t="n">
        <v>3472</v>
      </c>
      <c r="D9520" s="4" t="n">
        <v>1050.28</v>
      </c>
      <c r="E9520" s="5" t="n">
        <v>380.9</v>
      </c>
      <c r="F9520" s="3" t="inlineStr">
        <is>
          <t>조치원읍</t>
        </is>
      </c>
      <c r="G9520" s="3" t="inlineStr">
        <is>
          <t>침산리</t>
        </is>
      </c>
      <c r="H9520" s="3" t="inlineStr">
        <is>
          <t>제1종일반주거지역</t>
        </is>
      </c>
      <c r="I9520" s="3" t="inlineStr">
        <is>
          <t>전</t>
        </is>
      </c>
      <c r="J9520" s="3" t="inlineStr">
        <is>
          <t>조치원읍</t>
        </is>
      </c>
    </row>
    <row r="9521">
      <c r="A9521" s="3" t="n">
        <v>2025</v>
      </c>
      <c r="B9521" s="4" t="n">
        <v>149000</v>
      </c>
      <c r="C9521" s="4" t="n">
        <v>3303.5</v>
      </c>
      <c r="D9521" s="4" t="n">
        <v>999.3087499999999</v>
      </c>
      <c r="E9521" s="5" t="n">
        <v>149.1</v>
      </c>
      <c r="F9521" s="3" t="inlineStr">
        <is>
          <t>소정면</t>
        </is>
      </c>
      <c r="G9521" s="3" t="inlineStr">
        <is>
          <t>고등리</t>
        </is>
      </c>
      <c r="H9521" s="3" t="inlineStr">
        <is>
          <t>일반공업지역</t>
        </is>
      </c>
      <c r="I9521" s="3" t="inlineStr">
        <is>
          <t>공장용지</t>
        </is>
      </c>
      <c r="J9521" s="3" t="inlineStr">
        <is>
          <t>소정면</t>
        </is>
      </c>
    </row>
    <row r="9522">
      <c r="A9522" s="3" t="n">
        <v>2025</v>
      </c>
      <c r="B9522" s="4" t="n">
        <v>850</v>
      </c>
      <c r="C9522" s="4" t="n">
        <v>248</v>
      </c>
      <c r="D9522" s="4" t="n">
        <v>75.02</v>
      </c>
      <c r="E9522" s="5" t="n">
        <v>11.3</v>
      </c>
      <c r="F9522" s="3" t="inlineStr">
        <is>
          <t>연서면</t>
        </is>
      </c>
      <c r="G9522" s="3" t="inlineStr">
        <is>
          <t>기룡리</t>
        </is>
      </c>
      <c r="H9522" s="3" t="inlineStr">
        <is>
          <t>보전관리지역</t>
        </is>
      </c>
      <c r="I9522" s="3" t="inlineStr">
        <is>
          <t>과수원</t>
        </is>
      </c>
      <c r="J9522" s="3" t="inlineStr">
        <is>
          <t>연서면</t>
        </is>
      </c>
    </row>
    <row r="9523">
      <c r="A9523" s="3" t="n">
        <v>2024</v>
      </c>
      <c r="B9523" s="4" t="n">
        <v>210000</v>
      </c>
      <c r="C9523" s="4" t="n">
        <v>7466</v>
      </c>
      <c r="D9523" s="4" t="n">
        <v>2258.465</v>
      </c>
      <c r="E9523" s="5" t="n">
        <v>93</v>
      </c>
      <c r="F9523" s="3" t="inlineStr">
        <is>
          <t>장군면</t>
        </is>
      </c>
      <c r="G9523" s="3" t="inlineStr">
        <is>
          <t>도계리</t>
        </is>
      </c>
      <c r="H9523" s="3" t="inlineStr">
        <is>
          <t>보전관리지역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2024</v>
      </c>
      <c r="B9524" s="4" t="n">
        <v>2783</v>
      </c>
      <c r="C9524" s="4" t="n">
        <v>46</v>
      </c>
      <c r="D9524" s="4" t="n">
        <v>13.915</v>
      </c>
      <c r="E9524" s="5" t="n">
        <v>200</v>
      </c>
      <c r="F9524" s="3" t="inlineStr">
        <is>
          <t>연동면</t>
        </is>
      </c>
      <c r="G9524" s="3" t="inlineStr">
        <is>
          <t>송용리</t>
        </is>
      </c>
      <c r="H9524" s="3" t="inlineStr">
        <is>
          <t>보전관리지역</t>
        </is>
      </c>
      <c r="I9524" s="3" t="inlineStr">
        <is>
          <t>대</t>
        </is>
      </c>
      <c r="J9524" s="3" t="inlineStr">
        <is>
          <t>연동면</t>
        </is>
      </c>
    </row>
    <row r="9525">
      <c r="A9525" s="3" t="n">
        <v>2024</v>
      </c>
      <c r="B9525" s="4" t="n">
        <v>6600</v>
      </c>
      <c r="C9525" s="4" t="n">
        <v>559</v>
      </c>
      <c r="D9525" s="4" t="n">
        <v>169.0975</v>
      </c>
      <c r="E9525" s="5" t="n">
        <v>39</v>
      </c>
      <c r="F9525" s="3" t="inlineStr">
        <is>
          <t>부강면</t>
        </is>
      </c>
      <c r="G9525" s="3" t="inlineStr">
        <is>
          <t>금호리</t>
        </is>
      </c>
      <c r="H9525" s="3" t="inlineStr">
        <is>
          <t>생산관리지역</t>
        </is>
      </c>
      <c r="I9525" s="3" t="inlineStr">
        <is>
          <t>전</t>
        </is>
      </c>
      <c r="J9525" s="3" t="inlineStr">
        <is>
          <t>부강면</t>
        </is>
      </c>
    </row>
    <row r="9526">
      <c r="A9526" s="3" t="n">
        <v>2024</v>
      </c>
      <c r="B9526" s="4" t="n">
        <v>26085</v>
      </c>
      <c r="C9526" s="4" t="n">
        <v>5750</v>
      </c>
      <c r="D9526" s="4" t="n">
        <v>1739.375</v>
      </c>
      <c r="E9526" s="5" t="n">
        <v>15</v>
      </c>
      <c r="F9526" s="3" t="inlineStr">
        <is>
          <t>소정면</t>
        </is>
      </c>
      <c r="G9526" s="3" t="inlineStr">
        <is>
          <t>소정리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2024</v>
      </c>
      <c r="B9527" s="4" t="n">
        <v>10050</v>
      </c>
      <c r="C9527" s="4" t="n">
        <v>70</v>
      </c>
      <c r="D9527" s="4" t="n">
        <v>21.175</v>
      </c>
      <c r="E9527" s="5" t="n">
        <v>474.6</v>
      </c>
      <c r="F9527" s="3" t="inlineStr">
        <is>
          <t>금남면</t>
        </is>
      </c>
      <c r="G9527" s="3" t="inlineStr">
        <is>
          <t>황용리</t>
        </is>
      </c>
      <c r="H9527" s="3" t="inlineStr">
        <is>
          <t>계획관리지역</t>
        </is>
      </c>
      <c r="I9527" s="3" t="inlineStr">
        <is>
          <t>대</t>
        </is>
      </c>
      <c r="J9527" s="3" t="inlineStr">
        <is>
          <t>금남면</t>
        </is>
      </c>
    </row>
    <row r="9528">
      <c r="A9528" s="3" t="n">
        <v>2024</v>
      </c>
      <c r="B9528" s="4" t="n">
        <v>4750</v>
      </c>
      <c r="C9528" s="4" t="n">
        <v>33</v>
      </c>
      <c r="D9528" s="4" t="n">
        <v>9.9825</v>
      </c>
      <c r="E9528" s="5" t="n">
        <v>475.8</v>
      </c>
      <c r="F9528" s="3" t="inlineStr">
        <is>
          <t>금남면</t>
        </is>
      </c>
      <c r="G9528" s="3" t="inlineStr">
        <is>
          <t>황용리</t>
        </is>
      </c>
      <c r="H9528" s="3" t="inlineStr">
        <is>
          <t>계획관리지역</t>
        </is>
      </c>
      <c r="I9528" s="3" t="inlineStr">
        <is>
          <t>도로</t>
        </is>
      </c>
      <c r="J9528" s="3" t="inlineStr">
        <is>
          <t>금남면</t>
        </is>
      </c>
    </row>
    <row r="9529">
      <c r="A9529" s="3" t="n">
        <v>2024</v>
      </c>
      <c r="B9529" s="4" t="n">
        <v>400000</v>
      </c>
      <c r="C9529" s="4" t="n">
        <v>943</v>
      </c>
      <c r="D9529" s="4" t="n">
        <v>285.2575</v>
      </c>
      <c r="E9529" s="5" t="n">
        <v>1402.2</v>
      </c>
      <c r="F9529" s="3" t="inlineStr">
        <is>
          <t>부강면</t>
        </is>
      </c>
      <c r="G9529" s="3" t="inlineStr">
        <is>
          <t>부강리</t>
        </is>
      </c>
      <c r="H9529" s="3" t="inlineStr">
        <is>
          <t>일반상업지역</t>
        </is>
      </c>
      <c r="I9529" s="3" t="inlineStr">
        <is>
          <t>대</t>
        </is>
      </c>
      <c r="J9529" s="3" t="inlineStr">
        <is>
          <t>부강면</t>
        </is>
      </c>
    </row>
    <row r="9530">
      <c r="A9530" s="3" t="n">
        <v>2024</v>
      </c>
      <c r="B9530" s="4" t="n">
        <v>2000</v>
      </c>
      <c r="C9530" s="4" t="n">
        <v>990</v>
      </c>
      <c r="D9530" s="4" t="n">
        <v>299.475</v>
      </c>
      <c r="E9530" s="5" t="n">
        <v>6.7</v>
      </c>
      <c r="F9530" s="3" t="inlineStr">
        <is>
          <t>전의면</t>
        </is>
      </c>
      <c r="G9530" s="3" t="inlineStr">
        <is>
          <t>관정리</t>
        </is>
      </c>
      <c r="H9530" s="3" t="inlineStr">
        <is>
          <t>계획관리지역</t>
        </is>
      </c>
      <c r="I9530" s="3" t="inlineStr">
        <is>
          <t>답</t>
        </is>
      </c>
      <c r="J9530" s="3" t="inlineStr">
        <is>
          <t>전의면</t>
        </is>
      </c>
    </row>
    <row r="9531">
      <c r="A9531" s="3" t="n">
        <v>2024</v>
      </c>
      <c r="B9531" s="4" t="n">
        <v>1000</v>
      </c>
      <c r="C9531" s="4" t="n">
        <v>200</v>
      </c>
      <c r="D9531" s="4" t="n">
        <v>60.5</v>
      </c>
      <c r="E9531" s="5" t="n">
        <v>16.5</v>
      </c>
      <c r="F9531" s="3" t="inlineStr">
        <is>
          <t>부강면</t>
        </is>
      </c>
      <c r="G9531" s="3" t="inlineStr">
        <is>
          <t>문곡리</t>
        </is>
      </c>
      <c r="H9531" s="3" t="inlineStr">
        <is>
          <t>보전관리지역</t>
        </is>
      </c>
      <c r="I9531" s="3" t="inlineStr">
        <is>
          <t>임야</t>
        </is>
      </c>
      <c r="J9531" s="3" t="inlineStr">
        <is>
          <t>부강면</t>
        </is>
      </c>
    </row>
    <row r="9532">
      <c r="A9532" s="3" t="n">
        <v>2024</v>
      </c>
      <c r="B9532" s="4" t="n">
        <v>700</v>
      </c>
      <c r="C9532" s="4" t="n">
        <v>148</v>
      </c>
      <c r="D9532" s="4" t="n">
        <v>44.77</v>
      </c>
      <c r="E9532" s="5" t="n">
        <v>15.6</v>
      </c>
      <c r="F9532" s="3" t="inlineStr">
        <is>
          <t>전의면</t>
        </is>
      </c>
      <c r="G9532" s="3" t="inlineStr">
        <is>
          <t>유천리</t>
        </is>
      </c>
      <c r="H9532" s="3" t="inlineStr">
        <is>
          <t>생산관리지역</t>
        </is>
      </c>
      <c r="I9532" s="3" t="inlineStr">
        <is>
          <t>답</t>
        </is>
      </c>
      <c r="J9532" s="3" t="inlineStr">
        <is>
          <t>전의면</t>
        </is>
      </c>
    </row>
    <row r="9533">
      <c r="A9533" s="3" t="n">
        <v>2024</v>
      </c>
      <c r="B9533" s="4" t="n">
        <v>1530</v>
      </c>
      <c r="C9533" s="4" t="n">
        <v>12.8</v>
      </c>
      <c r="D9533" s="4" t="n">
        <v>3.872</v>
      </c>
      <c r="E9533" s="5" t="n">
        <v>395.1</v>
      </c>
      <c r="F9533" s="3" t="inlineStr">
        <is>
          <t>고운동</t>
        </is>
      </c>
      <c r="G9533" s="3" t="inlineStr"/>
      <c r="H9533" s="3" t="inlineStr">
        <is>
          <t>제1종전용주거지역</t>
        </is>
      </c>
      <c r="I9533" s="3" t="inlineStr">
        <is>
          <t>주차장</t>
        </is>
      </c>
      <c r="J9533" s="3" t="inlineStr">
        <is>
          <t>고운동</t>
        </is>
      </c>
    </row>
    <row r="9534">
      <c r="A9534" s="3" t="n">
        <v>2024</v>
      </c>
      <c r="B9534" s="4" t="n">
        <v>40940</v>
      </c>
      <c r="C9534" s="4" t="n">
        <v>504</v>
      </c>
      <c r="D9534" s="4" t="n">
        <v>152.46</v>
      </c>
      <c r="E9534" s="5" t="n">
        <v>268.5</v>
      </c>
      <c r="F9534" s="3" t="inlineStr">
        <is>
          <t>금남면</t>
        </is>
      </c>
      <c r="G9534" s="3" t="inlineStr">
        <is>
          <t>대박리</t>
        </is>
      </c>
      <c r="H9534" s="3" t="inlineStr">
        <is>
          <t>보전관리지역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2024</v>
      </c>
      <c r="B9535" s="4" t="n">
        <v>1530</v>
      </c>
      <c r="C9535" s="4" t="n">
        <v>12.8</v>
      </c>
      <c r="D9535" s="4" t="n">
        <v>3.872</v>
      </c>
      <c r="E9535" s="5" t="n">
        <v>395.1</v>
      </c>
      <c r="F9535" s="3" t="inlineStr">
        <is>
          <t>고운동</t>
        </is>
      </c>
      <c r="G9535" s="3" t="inlineStr"/>
      <c r="H9535" s="3" t="inlineStr">
        <is>
          <t>제1종전용주거지역</t>
        </is>
      </c>
      <c r="I9535" s="3" t="inlineStr">
        <is>
          <t>주차장</t>
        </is>
      </c>
      <c r="J9535" s="3" t="inlineStr">
        <is>
          <t>고운동</t>
        </is>
      </c>
    </row>
    <row r="9536">
      <c r="A9536" s="3" t="n">
        <v>2024</v>
      </c>
      <c r="B9536" s="4" t="n">
        <v>19408</v>
      </c>
      <c r="C9536" s="4" t="n">
        <v>401</v>
      </c>
      <c r="D9536" s="4" t="n">
        <v>121.3025</v>
      </c>
      <c r="E9536" s="5" t="n">
        <v>160</v>
      </c>
      <c r="F9536" s="3" t="inlineStr">
        <is>
          <t>연기면</t>
        </is>
      </c>
      <c r="G9536" s="3" t="inlineStr">
        <is>
          <t>수산리</t>
        </is>
      </c>
      <c r="H9536" s="3" t="inlineStr">
        <is>
          <t>보전관리지역</t>
        </is>
      </c>
      <c r="I9536" s="3" t="inlineStr">
        <is>
          <t>임야</t>
        </is>
      </c>
      <c r="J9536" s="3" t="inlineStr">
        <is>
          <t>연기면</t>
        </is>
      </c>
    </row>
    <row r="9537">
      <c r="A9537" s="3" t="n">
        <v>2024</v>
      </c>
      <c r="B9537" s="4" t="n">
        <v>32506</v>
      </c>
      <c r="C9537" s="4" t="n">
        <v>450</v>
      </c>
      <c r="D9537" s="4" t="n">
        <v>136.125</v>
      </c>
      <c r="E9537" s="5" t="n">
        <v>238.8</v>
      </c>
      <c r="F9537" s="3" t="inlineStr">
        <is>
          <t>장군면</t>
        </is>
      </c>
      <c r="G9537" s="3" t="inlineStr">
        <is>
          <t>금암리</t>
        </is>
      </c>
      <c r="H9537" s="3" t="inlineStr">
        <is>
          <t>보전관리지역</t>
        </is>
      </c>
      <c r="I9537" s="3" t="inlineStr">
        <is>
          <t>대</t>
        </is>
      </c>
      <c r="J9537" s="3" t="inlineStr">
        <is>
          <t>장군면</t>
        </is>
      </c>
    </row>
    <row r="9538">
      <c r="A9538" s="3" t="n">
        <v>2022</v>
      </c>
      <c r="B9538" s="4" t="n">
        <v>3500</v>
      </c>
      <c r="C9538" s="4" t="n">
        <v>49</v>
      </c>
      <c r="D9538" s="4" t="n">
        <v>14.8225</v>
      </c>
      <c r="E9538" s="5" t="n">
        <v>236.1</v>
      </c>
      <c r="F9538" s="3" t="inlineStr">
        <is>
          <t>장군면</t>
        </is>
      </c>
      <c r="G9538" s="3" t="inlineStr">
        <is>
          <t>금암리</t>
        </is>
      </c>
      <c r="H9538" s="3" t="inlineStr">
        <is>
          <t>생산관리지역</t>
        </is>
      </c>
      <c r="I9538" s="3" t="inlineStr">
        <is>
          <t>전</t>
        </is>
      </c>
      <c r="J9538" s="3" t="inlineStr">
        <is>
          <t>장군면</t>
        </is>
      </c>
    </row>
    <row r="9539">
      <c r="A9539" s="3" t="n">
        <v>2022</v>
      </c>
      <c r="B9539" s="4" t="n">
        <v>62000</v>
      </c>
      <c r="C9539" s="4" t="n">
        <v>4257</v>
      </c>
      <c r="D9539" s="4" t="n">
        <v>1287.7425</v>
      </c>
      <c r="E9539" s="5" t="n">
        <v>48.1</v>
      </c>
      <c r="F9539" s="3" t="inlineStr">
        <is>
          <t>금남면</t>
        </is>
      </c>
      <c r="G9539" s="3" t="inlineStr">
        <is>
          <t>남곡리</t>
        </is>
      </c>
      <c r="H9539" s="3" t="inlineStr">
        <is>
          <t>개발제한구역</t>
        </is>
      </c>
      <c r="I9539" s="3" t="inlineStr">
        <is>
          <t>답</t>
        </is>
      </c>
      <c r="J9539" s="3" t="inlineStr">
        <is>
          <t>금남면</t>
        </is>
      </c>
    </row>
    <row r="9540">
      <c r="A9540" s="3" t="n">
        <v>2022</v>
      </c>
      <c r="B9540" s="4" t="n">
        <v>10000</v>
      </c>
      <c r="C9540" s="4" t="n">
        <v>8095</v>
      </c>
      <c r="D9540" s="4" t="n">
        <v>2448.7375</v>
      </c>
      <c r="E9540" s="5" t="n">
        <v>4.1</v>
      </c>
      <c r="F9540" s="3" t="inlineStr">
        <is>
          <t>전동면</t>
        </is>
      </c>
      <c r="G9540" s="3" t="inlineStr">
        <is>
          <t>청람리</t>
        </is>
      </c>
      <c r="H9540" s="3" t="inlineStr">
        <is>
          <t>농림지역</t>
        </is>
      </c>
      <c r="I9540" s="3" t="inlineStr">
        <is>
          <t>임야</t>
        </is>
      </c>
      <c r="J9540" s="3" t="inlineStr">
        <is>
          <t>전동면</t>
        </is>
      </c>
    </row>
    <row r="9541">
      <c r="A9541" s="3" t="n">
        <v>2022</v>
      </c>
      <c r="B9541" s="4" t="n">
        <v>15700</v>
      </c>
      <c r="C9541" s="4" t="n">
        <v>519</v>
      </c>
      <c r="D9541" s="4" t="n">
        <v>156.9975</v>
      </c>
      <c r="E9541" s="5" t="n">
        <v>100</v>
      </c>
      <c r="F9541" s="3" t="inlineStr">
        <is>
          <t>장군면</t>
        </is>
      </c>
      <c r="G9541" s="3" t="inlineStr">
        <is>
          <t>대교리</t>
        </is>
      </c>
      <c r="H9541" s="3" t="inlineStr">
        <is>
          <t>보전관리지역</t>
        </is>
      </c>
      <c r="I9541" s="3" t="inlineStr">
        <is>
          <t>전</t>
        </is>
      </c>
      <c r="J9541" s="3" t="inlineStr">
        <is>
          <t>장군면</t>
        </is>
      </c>
    </row>
    <row r="9542">
      <c r="A9542" s="3" t="n">
        <v>2022</v>
      </c>
      <c r="B9542" s="4" t="n">
        <v>17088</v>
      </c>
      <c r="C9542" s="4" t="n">
        <v>471</v>
      </c>
      <c r="D9542" s="4" t="n">
        <v>142.4775</v>
      </c>
      <c r="E9542" s="5" t="n">
        <v>119.9</v>
      </c>
      <c r="F9542" s="3" t="inlineStr">
        <is>
          <t>장군면</t>
        </is>
      </c>
      <c r="G9542" s="3" t="inlineStr">
        <is>
          <t>대교리</t>
        </is>
      </c>
      <c r="H9542" s="3" t="inlineStr">
        <is>
          <t>보전관리지역</t>
        </is>
      </c>
      <c r="I9542" s="3" t="inlineStr">
        <is>
          <t>전</t>
        </is>
      </c>
      <c r="J9542" s="3" t="inlineStr">
        <is>
          <t>장군면</t>
        </is>
      </c>
    </row>
    <row r="9543">
      <c r="A9543" s="3" t="n">
        <v>2022</v>
      </c>
      <c r="B9543" s="4" t="n">
        <v>14760</v>
      </c>
      <c r="C9543" s="4" t="n">
        <v>488</v>
      </c>
      <c r="D9543" s="4" t="n">
        <v>147.62</v>
      </c>
      <c r="E9543" s="5" t="n">
        <v>100</v>
      </c>
      <c r="F9543" s="3" t="inlineStr">
        <is>
          <t>장군면</t>
        </is>
      </c>
      <c r="G9543" s="3" t="inlineStr">
        <is>
          <t>대교리</t>
        </is>
      </c>
      <c r="H9543" s="3" t="inlineStr">
        <is>
          <t>보전관리지역</t>
        </is>
      </c>
      <c r="I9543" s="3" t="inlineStr">
        <is>
          <t>전</t>
        </is>
      </c>
      <c r="J9543" s="3" t="inlineStr">
        <is>
          <t>장군면</t>
        </is>
      </c>
    </row>
    <row r="9544">
      <c r="A9544" s="3" t="n">
        <v>2022</v>
      </c>
      <c r="B9544" s="4" t="n">
        <v>45730</v>
      </c>
      <c r="C9544" s="4" t="n">
        <v>1512</v>
      </c>
      <c r="D9544" s="4" t="n">
        <v>457.38</v>
      </c>
      <c r="E9544" s="5" t="n">
        <v>100</v>
      </c>
      <c r="F9544" s="3" t="inlineStr">
        <is>
          <t>장군면</t>
        </is>
      </c>
      <c r="G9544" s="3" t="inlineStr">
        <is>
          <t>대교리</t>
        </is>
      </c>
      <c r="H9544" s="3" t="inlineStr">
        <is>
          <t>보전관리지역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13000</v>
      </c>
      <c r="C9545" s="4" t="n">
        <v>1401</v>
      </c>
      <c r="D9545" s="4" t="n">
        <v>423.8025</v>
      </c>
      <c r="E9545" s="5" t="n">
        <v>30.7</v>
      </c>
      <c r="F9545" s="3" t="inlineStr">
        <is>
          <t>소정면</t>
        </is>
      </c>
      <c r="G9545" s="3" t="inlineStr">
        <is>
          <t>고등리</t>
        </is>
      </c>
      <c r="H9545" s="3" t="inlineStr">
        <is>
          <t>계획관리지역</t>
        </is>
      </c>
      <c r="I9545" s="3" t="inlineStr">
        <is>
          <t>임야</t>
        </is>
      </c>
      <c r="J9545" s="3" t="inlineStr">
        <is>
          <t>소정면</t>
        </is>
      </c>
    </row>
    <row r="9546">
      <c r="A9546" s="3" t="n">
        <v>2022</v>
      </c>
      <c r="B9546" s="4" t="n">
        <v>5127</v>
      </c>
      <c r="C9546" s="4" t="n">
        <v>113</v>
      </c>
      <c r="D9546" s="4" t="n">
        <v>34.1825</v>
      </c>
      <c r="E9546" s="5" t="n">
        <v>150</v>
      </c>
      <c r="F9546" s="3" t="inlineStr">
        <is>
          <t>연서면</t>
        </is>
      </c>
      <c r="G9546" s="3" t="inlineStr">
        <is>
          <t>쌍류리</t>
        </is>
      </c>
      <c r="H9546" s="3" t="inlineStr">
        <is>
          <t>생산관리지역</t>
        </is>
      </c>
      <c r="I9546" s="3" t="inlineStr">
        <is>
          <t>전</t>
        </is>
      </c>
      <c r="J9546" s="3" t="inlineStr">
        <is>
          <t>연서면</t>
        </is>
      </c>
    </row>
    <row r="9547">
      <c r="A9547" s="3" t="n">
        <v>2022</v>
      </c>
      <c r="B9547" s="4" t="n">
        <v>8896</v>
      </c>
      <c r="C9547" s="4" t="n">
        <v>578</v>
      </c>
      <c r="D9547" s="4" t="n">
        <v>174.845</v>
      </c>
      <c r="E9547" s="5" t="n">
        <v>50.9</v>
      </c>
      <c r="F9547" s="3" t="inlineStr">
        <is>
          <t>금남면</t>
        </is>
      </c>
      <c r="G9547" s="3" t="inlineStr">
        <is>
          <t>원봉리</t>
        </is>
      </c>
      <c r="H9547" s="3" t="inlineStr">
        <is>
          <t>보전관리지역</t>
        </is>
      </c>
      <c r="I9547" s="3" t="inlineStr">
        <is>
          <t>임야</t>
        </is>
      </c>
      <c r="J9547" s="3" t="inlineStr">
        <is>
          <t>금남면</t>
        </is>
      </c>
    </row>
    <row r="9548">
      <c r="A9548" s="3" t="n">
        <v>2022</v>
      </c>
      <c r="B9548" s="4" t="n">
        <v>1600</v>
      </c>
      <c r="C9548" s="4" t="n">
        <v>53</v>
      </c>
      <c r="D9548" s="4" t="n">
        <v>16.0325</v>
      </c>
      <c r="E9548" s="5" t="n">
        <v>99.8</v>
      </c>
      <c r="F9548" s="3" t="inlineStr">
        <is>
          <t>부강면</t>
        </is>
      </c>
      <c r="G9548" s="3" t="inlineStr">
        <is>
          <t>행산리</t>
        </is>
      </c>
      <c r="H9548" s="3" t="inlineStr">
        <is>
          <t>농림지역</t>
        </is>
      </c>
      <c r="I9548" s="3" t="inlineStr">
        <is>
          <t>전</t>
        </is>
      </c>
      <c r="J9548" s="3" t="inlineStr">
        <is>
          <t>부강면</t>
        </is>
      </c>
    </row>
    <row r="9549">
      <c r="A9549" s="3" t="n">
        <v>2022</v>
      </c>
      <c r="B9549" s="4" t="n">
        <v>260</v>
      </c>
      <c r="C9549" s="4" t="n">
        <v>12</v>
      </c>
      <c r="D9549" s="4" t="n">
        <v>3.63</v>
      </c>
      <c r="E9549" s="5" t="n">
        <v>71.59999999999999</v>
      </c>
      <c r="F9549" s="3" t="inlineStr">
        <is>
          <t>금남면</t>
        </is>
      </c>
      <c r="G9549" s="3" t="inlineStr">
        <is>
          <t>원봉리</t>
        </is>
      </c>
      <c r="H9549" s="3" t="inlineStr">
        <is>
          <t>계획관리지역</t>
        </is>
      </c>
      <c r="I9549" s="3" t="inlineStr">
        <is>
          <t>전</t>
        </is>
      </c>
      <c r="J9549" s="3" t="inlineStr">
        <is>
          <t>금남면</t>
        </is>
      </c>
    </row>
    <row r="9550">
      <c r="A9550" s="3" t="n">
        <v>2022</v>
      </c>
      <c r="B9550" s="4" t="n">
        <v>31750</v>
      </c>
      <c r="C9550" s="4" t="n">
        <v>1438</v>
      </c>
      <c r="D9550" s="4" t="n">
        <v>434.995</v>
      </c>
      <c r="E9550" s="5" t="n">
        <v>73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전</t>
        </is>
      </c>
      <c r="J9550" s="3" t="inlineStr">
        <is>
          <t>금남면</t>
        </is>
      </c>
    </row>
    <row r="9551">
      <c r="A9551" s="3" t="n">
        <v>2022</v>
      </c>
      <c r="B9551" s="4" t="n">
        <v>26000</v>
      </c>
      <c r="C9551" s="4" t="n">
        <v>1122</v>
      </c>
      <c r="D9551" s="4" t="n">
        <v>339.405</v>
      </c>
      <c r="E9551" s="5" t="n">
        <v>76.59999999999999</v>
      </c>
      <c r="F9551" s="3" t="inlineStr">
        <is>
          <t>금남면</t>
        </is>
      </c>
      <c r="G9551" s="3" t="inlineStr">
        <is>
          <t>용담리</t>
        </is>
      </c>
      <c r="H9551" s="3" t="inlineStr">
        <is>
          <t>개발제한구역</t>
        </is>
      </c>
      <c r="I9551" s="3" t="inlineStr">
        <is>
          <t>답</t>
        </is>
      </c>
      <c r="J9551" s="3" t="inlineStr">
        <is>
          <t>금남면</t>
        </is>
      </c>
    </row>
    <row r="9552">
      <c r="A9552" s="3" t="n">
        <v>2022</v>
      </c>
      <c r="B9552" s="4" t="n">
        <v>21060</v>
      </c>
      <c r="C9552" s="4" t="n">
        <v>774</v>
      </c>
      <c r="D9552" s="4" t="n">
        <v>234.135</v>
      </c>
      <c r="E9552" s="5" t="n">
        <v>89.90000000000001</v>
      </c>
      <c r="F9552" s="3" t="inlineStr">
        <is>
          <t>금남면</t>
        </is>
      </c>
      <c r="G9552" s="3" t="inlineStr">
        <is>
          <t>두만리</t>
        </is>
      </c>
      <c r="H9552" s="3" t="inlineStr">
        <is>
          <t>자연녹지지역</t>
        </is>
      </c>
      <c r="I9552" s="3" t="inlineStr">
        <is>
          <t>답</t>
        </is>
      </c>
      <c r="J9552" s="3" t="inlineStr">
        <is>
          <t>금남면</t>
        </is>
      </c>
    </row>
    <row r="9553">
      <c r="A9553" s="3" t="n">
        <v>2022</v>
      </c>
      <c r="B9553" s="4" t="n">
        <v>1241</v>
      </c>
      <c r="C9553" s="4" t="n">
        <v>25</v>
      </c>
      <c r="D9553" s="4" t="n">
        <v>7.5625</v>
      </c>
      <c r="E9553" s="5" t="n">
        <v>164.1</v>
      </c>
      <c r="F9553" s="3" t="inlineStr">
        <is>
          <t>금남면</t>
        </is>
      </c>
      <c r="G9553" s="3" t="inlineStr">
        <is>
          <t>원봉리</t>
        </is>
      </c>
      <c r="H9553" s="3" t="inlineStr">
        <is>
          <t>계획관리지역</t>
        </is>
      </c>
      <c r="I9553" s="3" t="inlineStr">
        <is>
          <t>답</t>
        </is>
      </c>
      <c r="J9553" s="3" t="inlineStr">
        <is>
          <t>금남면</t>
        </is>
      </c>
    </row>
    <row r="9554">
      <c r="A9554" s="3" t="n">
        <v>2022</v>
      </c>
      <c r="B9554" s="4" t="n">
        <v>3079</v>
      </c>
      <c r="C9554" s="4" t="n">
        <v>62</v>
      </c>
      <c r="D9554" s="4" t="n">
        <v>18.755</v>
      </c>
      <c r="E9554" s="5" t="n">
        <v>164.2</v>
      </c>
      <c r="F9554" s="3" t="inlineStr">
        <is>
          <t>금남면</t>
        </is>
      </c>
      <c r="G9554" s="3" t="inlineStr">
        <is>
          <t>원봉리</t>
        </is>
      </c>
      <c r="H9554" s="3" t="inlineStr">
        <is>
          <t>계획관리지역</t>
        </is>
      </c>
      <c r="I9554" s="3" t="inlineStr">
        <is>
          <t>답</t>
        </is>
      </c>
      <c r="J9554" s="3" t="inlineStr">
        <is>
          <t>금남면</t>
        </is>
      </c>
    </row>
    <row r="9555">
      <c r="A9555" s="3" t="n">
        <v>2022</v>
      </c>
      <c r="B9555" s="4" t="n">
        <v>520</v>
      </c>
      <c r="C9555" s="4" t="n">
        <v>55</v>
      </c>
      <c r="D9555" s="4" t="n">
        <v>16.6375</v>
      </c>
      <c r="E9555" s="5" t="n">
        <v>31.3</v>
      </c>
      <c r="F9555" s="3" t="inlineStr">
        <is>
          <t>부강면</t>
        </is>
      </c>
      <c r="G9555" s="3" t="inlineStr">
        <is>
          <t>부강리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부강면</t>
        </is>
      </c>
    </row>
    <row r="9556">
      <c r="A9556" s="3" t="n">
        <v>2026</v>
      </c>
      <c r="B9556" s="4" t="n">
        <v>7880</v>
      </c>
      <c r="C9556" s="4" t="n">
        <v>651</v>
      </c>
      <c r="D9556" s="4" t="n">
        <v>196.9275</v>
      </c>
      <c r="E9556" s="5" t="n">
        <v>40</v>
      </c>
      <c r="F9556" s="3" t="inlineStr">
        <is>
          <t>연서면</t>
        </is>
      </c>
      <c r="G9556" s="3" t="inlineStr">
        <is>
          <t>부동리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연서면</t>
        </is>
      </c>
    </row>
    <row r="9557">
      <c r="A9557" s="3" t="n">
        <v>2022</v>
      </c>
      <c r="B9557" s="4" t="n">
        <v>33880</v>
      </c>
      <c r="C9557" s="4" t="n">
        <v>1600</v>
      </c>
      <c r="D9557" s="4" t="n">
        <v>484</v>
      </c>
      <c r="E9557" s="5" t="n">
        <v>70</v>
      </c>
      <c r="F9557" s="3" t="inlineStr">
        <is>
          <t>연서면</t>
        </is>
      </c>
      <c r="G9557" s="3" t="inlineStr">
        <is>
          <t>기룡리</t>
        </is>
      </c>
      <c r="H9557" s="3" t="inlineStr">
        <is>
          <t>생산관리지역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1120</v>
      </c>
      <c r="C9558" s="4" t="n">
        <v>53</v>
      </c>
      <c r="D9558" s="4" t="n">
        <v>16.0325</v>
      </c>
      <c r="E9558" s="5" t="n">
        <v>69.90000000000001</v>
      </c>
      <c r="F9558" s="3" t="inlineStr">
        <is>
          <t>연서면</t>
        </is>
      </c>
      <c r="G9558" s="3" t="inlineStr">
        <is>
          <t>기룡리</t>
        </is>
      </c>
      <c r="H9558" s="3" t="inlineStr">
        <is>
          <t>생산관리지역</t>
        </is>
      </c>
      <c r="I9558" s="3" t="inlineStr">
        <is>
          <t>도로</t>
        </is>
      </c>
      <c r="J9558" s="3" t="inlineStr">
        <is>
          <t>연서면</t>
        </is>
      </c>
    </row>
    <row r="9559">
      <c r="A9559" s="3" t="n">
        <v>2022</v>
      </c>
      <c r="B9559" s="4" t="n">
        <v>5000</v>
      </c>
      <c r="C9559" s="4" t="n">
        <v>4026</v>
      </c>
      <c r="D9559" s="4" t="n">
        <v>1217.865</v>
      </c>
      <c r="E9559" s="5" t="n">
        <v>4.1</v>
      </c>
      <c r="F9559" s="3" t="inlineStr">
        <is>
          <t>연기면</t>
        </is>
      </c>
      <c r="G9559" s="3" t="inlineStr">
        <is>
          <t>수산리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연기면</t>
        </is>
      </c>
    </row>
    <row r="9560">
      <c r="A9560" s="3" t="n">
        <v>2022</v>
      </c>
      <c r="B9560" s="4" t="n">
        <v>3368</v>
      </c>
      <c r="C9560" s="4" t="n">
        <v>93.3</v>
      </c>
      <c r="D9560" s="4" t="n">
        <v>28.22325</v>
      </c>
      <c r="E9560" s="5" t="n">
        <v>119.3</v>
      </c>
      <c r="F9560" s="3" t="inlineStr">
        <is>
          <t>장군면</t>
        </is>
      </c>
      <c r="G9560" s="3" t="inlineStr">
        <is>
          <t>용암리</t>
        </is>
      </c>
      <c r="H9560" s="3" t="inlineStr">
        <is>
          <t>생산관리지역</t>
        </is>
      </c>
      <c r="I9560" s="3" t="inlineStr">
        <is>
          <t>답</t>
        </is>
      </c>
      <c r="J9560" s="3" t="inlineStr">
        <is>
          <t>장군면</t>
        </is>
      </c>
    </row>
    <row r="9561">
      <c r="A9561" s="3" t="n">
        <v>2022</v>
      </c>
      <c r="B9561" s="4" t="n">
        <v>30500</v>
      </c>
      <c r="C9561" s="4" t="n">
        <v>1994</v>
      </c>
      <c r="D9561" s="4" t="n">
        <v>603.1849999999999</v>
      </c>
      <c r="E9561" s="5" t="n">
        <v>50.6</v>
      </c>
      <c r="F9561" s="3" t="inlineStr">
        <is>
          <t>부강면</t>
        </is>
      </c>
      <c r="G9561" s="3" t="inlineStr">
        <is>
          <t>노호리</t>
        </is>
      </c>
      <c r="H9561" s="3" t="inlineStr">
        <is>
          <t>생산관리지역</t>
        </is>
      </c>
      <c r="I9561" s="3" t="inlineStr">
        <is>
          <t>과수원</t>
        </is>
      </c>
      <c r="J9561" s="3" t="inlineStr">
        <is>
          <t>부강면</t>
        </is>
      </c>
    </row>
    <row r="9562">
      <c r="A9562" s="3" t="n">
        <v>2022</v>
      </c>
      <c r="B9562" s="4" t="n">
        <v>23300</v>
      </c>
      <c r="C9562" s="4" t="n">
        <v>152.1</v>
      </c>
      <c r="D9562" s="4" t="n">
        <v>46.01025</v>
      </c>
      <c r="E9562" s="5" t="n">
        <v>506.4</v>
      </c>
      <c r="F9562" s="3" t="inlineStr">
        <is>
          <t>조치원읍</t>
        </is>
      </c>
      <c r="G9562" s="3" t="inlineStr">
        <is>
          <t>교리</t>
        </is>
      </c>
      <c r="H9562" s="3" t="inlineStr">
        <is>
          <t>제2종일반주거지역</t>
        </is>
      </c>
      <c r="I9562" s="3" t="inlineStr">
        <is>
          <t>대</t>
        </is>
      </c>
      <c r="J9562" s="3" t="inlineStr">
        <is>
          <t>조치원읍</t>
        </is>
      </c>
    </row>
    <row r="9563">
      <c r="A9563" s="3" t="n">
        <v>2022</v>
      </c>
      <c r="B9563" s="4" t="n">
        <v>50000</v>
      </c>
      <c r="C9563" s="4" t="n">
        <v>827</v>
      </c>
      <c r="D9563" s="4" t="n">
        <v>250.1675</v>
      </c>
      <c r="E9563" s="5" t="n">
        <v>199.9</v>
      </c>
      <c r="F9563" s="3" t="inlineStr">
        <is>
          <t>금남면</t>
        </is>
      </c>
      <c r="G9563" s="3" t="inlineStr">
        <is>
          <t>영곡리</t>
        </is>
      </c>
      <c r="H9563" s="3" t="inlineStr">
        <is>
          <t>계획관리지역</t>
        </is>
      </c>
      <c r="I9563" s="3" t="inlineStr">
        <is>
          <t>과수원</t>
        </is>
      </c>
      <c r="J9563" s="3" t="inlineStr">
        <is>
          <t>금남면</t>
        </is>
      </c>
    </row>
    <row r="9564">
      <c r="A9564" s="3" t="n">
        <v>2022</v>
      </c>
      <c r="B9564" s="4" t="n">
        <v>29038</v>
      </c>
      <c r="C9564" s="4" t="n">
        <v>592</v>
      </c>
      <c r="D9564" s="4" t="n">
        <v>179.08</v>
      </c>
      <c r="E9564" s="5" t="n">
        <v>162.2</v>
      </c>
      <c r="F9564" s="3" t="inlineStr">
        <is>
          <t>장군면</t>
        </is>
      </c>
      <c r="G9564" s="3" t="inlineStr">
        <is>
          <t>봉안리</t>
        </is>
      </c>
      <c r="H9564" s="3" t="inlineStr">
        <is>
          <t>보전관리지역</t>
        </is>
      </c>
      <c r="I9564" s="3" t="inlineStr">
        <is>
          <t>답</t>
        </is>
      </c>
      <c r="J9564" s="3" t="inlineStr">
        <is>
          <t>장군면</t>
        </is>
      </c>
    </row>
    <row r="9565">
      <c r="A9565" s="3" t="n">
        <v>2022</v>
      </c>
      <c r="B9565" s="4" t="n">
        <v>40000</v>
      </c>
      <c r="C9565" s="4" t="n">
        <v>3597</v>
      </c>
      <c r="D9565" s="4" t="n">
        <v>1088.0925</v>
      </c>
      <c r="E9565" s="5" t="n">
        <v>36.8</v>
      </c>
      <c r="F9565" s="3" t="inlineStr">
        <is>
          <t>연서면</t>
        </is>
      </c>
      <c r="G9565" s="3" t="inlineStr">
        <is>
          <t>청라리</t>
        </is>
      </c>
      <c r="H9565" s="3" t="inlineStr">
        <is>
          <t>생산관리지역</t>
        </is>
      </c>
      <c r="I9565" s="3" t="inlineStr">
        <is>
          <t>답</t>
        </is>
      </c>
      <c r="J9565" s="3" t="inlineStr">
        <is>
          <t>연서면</t>
        </is>
      </c>
    </row>
    <row r="9566">
      <c r="A9566" s="3" t="n">
        <v>2022</v>
      </c>
      <c r="B9566" s="4" t="n">
        <v>49324</v>
      </c>
      <c r="C9566" s="4" t="n">
        <v>1419</v>
      </c>
      <c r="D9566" s="4" t="n">
        <v>429.2475</v>
      </c>
      <c r="E9566" s="5" t="n">
        <v>114.9</v>
      </c>
      <c r="F9566" s="3" t="inlineStr">
        <is>
          <t>전동면</t>
        </is>
      </c>
      <c r="G9566" s="3" t="inlineStr">
        <is>
          <t>송곡리</t>
        </is>
      </c>
      <c r="H9566" s="3" t="inlineStr">
        <is>
          <t>계획관리지역</t>
        </is>
      </c>
      <c r="I9566" s="3" t="inlineStr">
        <is>
          <t>답</t>
        </is>
      </c>
      <c r="J9566" s="3" t="inlineStr">
        <is>
          <t>전동면</t>
        </is>
      </c>
    </row>
    <row r="9567">
      <c r="A9567" s="3" t="n">
        <v>2022</v>
      </c>
      <c r="B9567" s="4" t="n">
        <v>11340</v>
      </c>
      <c r="C9567" s="4" t="n">
        <v>1071</v>
      </c>
      <c r="D9567" s="4" t="n">
        <v>323.9775</v>
      </c>
      <c r="E9567" s="5" t="n">
        <v>35</v>
      </c>
      <c r="F9567" s="3" t="inlineStr">
        <is>
          <t>장군면</t>
        </is>
      </c>
      <c r="G9567" s="3" t="inlineStr">
        <is>
          <t>금암리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장군면</t>
        </is>
      </c>
    </row>
    <row r="9568">
      <c r="A9568" s="3" t="n">
        <v>2022</v>
      </c>
      <c r="B9568" s="4" t="n">
        <v>4000</v>
      </c>
      <c r="C9568" s="4" t="n">
        <v>1653</v>
      </c>
      <c r="D9568" s="4" t="n">
        <v>500.0325</v>
      </c>
      <c r="E9568" s="5" t="n">
        <v>8</v>
      </c>
      <c r="F9568" s="3" t="inlineStr">
        <is>
          <t>소정면</t>
        </is>
      </c>
      <c r="G9568" s="3" t="inlineStr">
        <is>
          <t>소정리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소정면</t>
        </is>
      </c>
    </row>
    <row r="9569">
      <c r="A9569" s="3" t="n">
        <v>2022</v>
      </c>
      <c r="B9569" s="4" t="n">
        <v>6000</v>
      </c>
      <c r="C9569" s="4" t="n">
        <v>2587</v>
      </c>
      <c r="D9569" s="4" t="n">
        <v>782.5675</v>
      </c>
      <c r="E9569" s="5" t="n">
        <v>7.7</v>
      </c>
      <c r="F9569" s="3" t="inlineStr">
        <is>
          <t>소정면</t>
        </is>
      </c>
      <c r="G9569" s="3" t="inlineStr">
        <is>
          <t>소정리</t>
        </is>
      </c>
      <c r="H9569" s="3" t="inlineStr">
        <is>
          <t>농림지역</t>
        </is>
      </c>
      <c r="I9569" s="3" t="inlineStr">
        <is>
          <t>임야</t>
        </is>
      </c>
      <c r="J9569" s="3" t="inlineStr">
        <is>
          <t>소정면</t>
        </is>
      </c>
    </row>
    <row r="9570">
      <c r="A9570" s="3" t="n">
        <v>2022</v>
      </c>
      <c r="B9570" s="4" t="n">
        <v>14000</v>
      </c>
      <c r="C9570" s="4" t="n">
        <v>575</v>
      </c>
      <c r="D9570" s="4" t="n">
        <v>173.9375</v>
      </c>
      <c r="E9570" s="5" t="n">
        <v>80.5</v>
      </c>
      <c r="F9570" s="3" t="inlineStr">
        <is>
          <t>장군면</t>
        </is>
      </c>
      <c r="G9570" s="3" t="inlineStr">
        <is>
          <t>도계리</t>
        </is>
      </c>
      <c r="H9570" s="3" t="inlineStr">
        <is>
          <t>계획관리지역</t>
        </is>
      </c>
      <c r="I9570" s="3" t="inlineStr">
        <is>
          <t>전</t>
        </is>
      </c>
      <c r="J9570" s="3" t="inlineStr">
        <is>
          <t>장군면</t>
        </is>
      </c>
    </row>
    <row r="9571">
      <c r="A9571" s="3" t="n">
        <v>2022</v>
      </c>
      <c r="B9571" s="4" t="n">
        <v>49324</v>
      </c>
      <c r="C9571" s="4" t="n">
        <v>1419</v>
      </c>
      <c r="D9571" s="4" t="n">
        <v>429.2475</v>
      </c>
      <c r="E9571" s="5" t="n">
        <v>114.9</v>
      </c>
      <c r="F9571" s="3" t="inlineStr">
        <is>
          <t>전동면</t>
        </is>
      </c>
      <c r="G9571" s="3" t="inlineStr">
        <is>
          <t>송곡리</t>
        </is>
      </c>
      <c r="H9571" s="3" t="inlineStr">
        <is>
          <t>계획관리지역</t>
        </is>
      </c>
      <c r="I9571" s="3" t="inlineStr">
        <is>
          <t>답</t>
        </is>
      </c>
      <c r="J9571" s="3" t="inlineStr">
        <is>
          <t>전동면</t>
        </is>
      </c>
    </row>
    <row r="9572">
      <c r="A9572" s="3" t="n">
        <v>2022</v>
      </c>
      <c r="B9572" s="4" t="n">
        <v>13572</v>
      </c>
      <c r="C9572" s="4" t="n">
        <v>466</v>
      </c>
      <c r="D9572" s="4" t="n">
        <v>140.965</v>
      </c>
      <c r="E9572" s="5" t="n">
        <v>96.3</v>
      </c>
      <c r="F9572" s="3" t="inlineStr">
        <is>
          <t>부강면</t>
        </is>
      </c>
      <c r="G9572" s="3" t="inlineStr">
        <is>
          <t>갈산리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2022</v>
      </c>
      <c r="B9573" s="4" t="n">
        <v>84231</v>
      </c>
      <c r="C9573" s="4" t="n">
        <v>1894</v>
      </c>
      <c r="D9573" s="4" t="n">
        <v>572.9349999999999</v>
      </c>
      <c r="E9573" s="5" t="n">
        <v>147</v>
      </c>
      <c r="F9573" s="3" t="inlineStr">
        <is>
          <t>부강면</t>
        </is>
      </c>
      <c r="G9573" s="3" t="inlineStr">
        <is>
          <t>갈산리</t>
        </is>
      </c>
      <c r="H9573" s="3" t="inlineStr">
        <is>
          <t>계획관리지역</t>
        </is>
      </c>
      <c r="I9573" s="3" t="inlineStr">
        <is>
          <t>전</t>
        </is>
      </c>
      <c r="J9573" s="3" t="inlineStr">
        <is>
          <t>부강면</t>
        </is>
      </c>
    </row>
    <row r="9574">
      <c r="A9574" s="3" t="n">
        <v>2022</v>
      </c>
      <c r="B9574" s="4" t="n">
        <v>24835</v>
      </c>
      <c r="C9574" s="4" t="n">
        <v>470</v>
      </c>
      <c r="D9574" s="4" t="n">
        <v>142.175</v>
      </c>
      <c r="E9574" s="5" t="n">
        <v>174.7</v>
      </c>
      <c r="F9574" s="3" t="inlineStr">
        <is>
          <t>금남면</t>
        </is>
      </c>
      <c r="G9574" s="3" t="inlineStr">
        <is>
          <t>성덕리</t>
        </is>
      </c>
      <c r="H9574" s="3" t="inlineStr">
        <is>
          <t>보전관리지역</t>
        </is>
      </c>
      <c r="I9574" s="3" t="inlineStr">
        <is>
          <t>임야</t>
        </is>
      </c>
      <c r="J9574" s="3" t="inlineStr">
        <is>
          <t>금남면</t>
        </is>
      </c>
    </row>
    <row r="9575">
      <c r="A9575" s="3" t="n">
        <v>2022</v>
      </c>
      <c r="B9575" s="4" t="n">
        <v>7890</v>
      </c>
      <c r="C9575" s="4" t="n">
        <v>149</v>
      </c>
      <c r="D9575" s="4" t="n">
        <v>45.0725</v>
      </c>
      <c r="E9575" s="5" t="n">
        <v>175.1</v>
      </c>
      <c r="F9575" s="3" t="inlineStr">
        <is>
          <t>금남면</t>
        </is>
      </c>
      <c r="G9575" s="3" t="inlineStr">
        <is>
          <t>성덕리</t>
        </is>
      </c>
      <c r="H9575" s="3" t="inlineStr">
        <is>
          <t>생산관리지역</t>
        </is>
      </c>
      <c r="I9575" s="3" t="inlineStr">
        <is>
          <t>전</t>
        </is>
      </c>
      <c r="J9575" s="3" t="inlineStr">
        <is>
          <t>금남면</t>
        </is>
      </c>
    </row>
    <row r="9576">
      <c r="A9576" s="3" t="n">
        <v>2022</v>
      </c>
      <c r="B9576" s="4" t="n">
        <v>15000</v>
      </c>
      <c r="C9576" s="4" t="n">
        <v>1738.3</v>
      </c>
      <c r="D9576" s="4" t="n">
        <v>525.83575</v>
      </c>
      <c r="E9576" s="5" t="n">
        <v>28.5</v>
      </c>
      <c r="F9576" s="3" t="inlineStr">
        <is>
          <t>부강면</t>
        </is>
      </c>
      <c r="G9576" s="3" t="inlineStr">
        <is>
          <t>행산리</t>
        </is>
      </c>
      <c r="H9576" s="3" t="inlineStr">
        <is>
          <t>농림지역</t>
        </is>
      </c>
      <c r="I9576" s="3" t="inlineStr">
        <is>
          <t>답</t>
        </is>
      </c>
      <c r="J9576" s="3" t="inlineStr">
        <is>
          <t>부강면</t>
        </is>
      </c>
    </row>
    <row r="9577">
      <c r="A9577" s="3" t="n">
        <v>2022</v>
      </c>
      <c r="B9577" s="4" t="n">
        <v>78000</v>
      </c>
      <c r="C9577" s="4" t="n">
        <v>353.4</v>
      </c>
      <c r="D9577" s="4" t="n">
        <v>106.9035</v>
      </c>
      <c r="E9577" s="5" t="n">
        <v>729.6</v>
      </c>
      <c r="F9577" s="3" t="inlineStr">
        <is>
          <t>한솔동</t>
        </is>
      </c>
      <c r="G9577" s="3" t="inlineStr"/>
      <c r="H9577" s="3" t="inlineStr">
        <is>
          <t>제1종전용주거지역</t>
        </is>
      </c>
      <c r="I9577" s="3" t="inlineStr">
        <is>
          <t>대</t>
        </is>
      </c>
      <c r="J9577" s="3" t="inlineStr">
        <is>
          <t>한솔동</t>
        </is>
      </c>
    </row>
    <row r="9578">
      <c r="A9578" s="3" t="n">
        <v>2022</v>
      </c>
      <c r="B9578" s="4" t="n">
        <v>19700</v>
      </c>
      <c r="C9578" s="4" t="n">
        <v>813</v>
      </c>
      <c r="D9578" s="4" t="n">
        <v>245.9325</v>
      </c>
      <c r="E9578" s="5" t="n">
        <v>80.09999999999999</v>
      </c>
      <c r="F9578" s="3" t="inlineStr">
        <is>
          <t>전동면</t>
        </is>
      </c>
      <c r="G9578" s="3" t="inlineStr">
        <is>
          <t>보덕리</t>
        </is>
      </c>
      <c r="H9578" s="3" t="inlineStr">
        <is>
          <t>계획관리지역</t>
        </is>
      </c>
      <c r="I9578" s="3" t="inlineStr">
        <is>
          <t>답</t>
        </is>
      </c>
      <c r="J9578" s="3" t="inlineStr">
        <is>
          <t>전동면</t>
        </is>
      </c>
    </row>
    <row r="9579">
      <c r="A9579" s="3" t="n">
        <v>2022</v>
      </c>
      <c r="B9579" s="4" t="n">
        <v>1365</v>
      </c>
      <c r="C9579" s="4" t="n">
        <v>302</v>
      </c>
      <c r="D9579" s="4" t="n">
        <v>91.355</v>
      </c>
      <c r="E9579" s="5" t="n">
        <v>14.9</v>
      </c>
      <c r="F9579" s="3" t="inlineStr">
        <is>
          <t>전동면</t>
        </is>
      </c>
      <c r="G9579" s="3" t="inlineStr">
        <is>
          <t>청람리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전동면</t>
        </is>
      </c>
    </row>
    <row r="9580">
      <c r="A9580" s="3" t="n">
        <v>2022</v>
      </c>
      <c r="B9580" s="4" t="n">
        <v>18810</v>
      </c>
      <c r="C9580" s="4" t="n">
        <v>4147</v>
      </c>
      <c r="D9580" s="4" t="n">
        <v>1254.4675</v>
      </c>
      <c r="E9580" s="5" t="n">
        <v>15</v>
      </c>
      <c r="F9580" s="3" t="inlineStr">
        <is>
          <t>전동면</t>
        </is>
      </c>
      <c r="G9580" s="3" t="inlineStr">
        <is>
          <t>청람리</t>
        </is>
      </c>
      <c r="H9580" s="3" t="inlineStr">
        <is>
          <t>보전관리지역</t>
        </is>
      </c>
      <c r="I9580" s="3" t="inlineStr">
        <is>
          <t>임야</t>
        </is>
      </c>
      <c r="J9580" s="3" t="inlineStr">
        <is>
          <t>전동면</t>
        </is>
      </c>
    </row>
    <row r="9581">
      <c r="A9581" s="3" t="n">
        <v>2024</v>
      </c>
      <c r="B9581" s="4" t="n">
        <v>52729</v>
      </c>
      <c r="C9581" s="4" t="n">
        <v>398.2</v>
      </c>
      <c r="D9581" s="4" t="n">
        <v>120.4555</v>
      </c>
      <c r="E9581" s="5" t="n">
        <v>437.7</v>
      </c>
      <c r="F9581" s="3" t="inlineStr">
        <is>
          <t>고운동</t>
        </is>
      </c>
      <c r="G9581" s="3" t="inlineStr"/>
      <c r="H9581" s="3" t="inlineStr">
        <is>
          <t>제1종전용주거지역</t>
        </is>
      </c>
      <c r="I9581" s="3" t="inlineStr">
        <is>
          <t>대</t>
        </is>
      </c>
      <c r="J9581" s="3" t="inlineStr">
        <is>
          <t>고운동</t>
        </is>
      </c>
    </row>
    <row r="9582">
      <c r="A9582" s="3" t="n">
        <v>2024</v>
      </c>
      <c r="B9582" s="4" t="n">
        <v>19500</v>
      </c>
      <c r="C9582" s="4" t="n">
        <v>1531</v>
      </c>
      <c r="D9582" s="4" t="n">
        <v>463.1275</v>
      </c>
      <c r="E9582" s="5" t="n">
        <v>42.1</v>
      </c>
      <c r="F9582" s="3" t="inlineStr">
        <is>
          <t>부강면</t>
        </is>
      </c>
      <c r="G9582" s="3" t="inlineStr">
        <is>
          <t>문곡리</t>
        </is>
      </c>
      <c r="H9582" s="3" t="inlineStr">
        <is>
          <t>계획관리지역</t>
        </is>
      </c>
      <c r="I9582" s="3" t="inlineStr">
        <is>
          <t>답</t>
        </is>
      </c>
      <c r="J9582" s="3" t="inlineStr">
        <is>
          <t>부강면</t>
        </is>
      </c>
    </row>
    <row r="9583">
      <c r="A9583" s="3" t="n">
        <v>2024</v>
      </c>
      <c r="B9583" s="4" t="n">
        <v>28345</v>
      </c>
      <c r="C9583" s="4" t="n">
        <v>452</v>
      </c>
      <c r="D9583" s="4" t="n">
        <v>136.73</v>
      </c>
      <c r="E9583" s="5" t="n">
        <v>207.3</v>
      </c>
      <c r="F9583" s="3" t="inlineStr">
        <is>
          <t>장군면</t>
        </is>
      </c>
      <c r="G9583" s="3" t="inlineStr">
        <is>
          <t>금암리</t>
        </is>
      </c>
      <c r="H9583" s="3" t="inlineStr">
        <is>
          <t>보전관리지역</t>
        </is>
      </c>
      <c r="I9583" s="3" t="inlineStr">
        <is>
          <t>대</t>
        </is>
      </c>
      <c r="J9583" s="3" t="inlineStr">
        <is>
          <t>장군면</t>
        </is>
      </c>
    </row>
    <row r="9584">
      <c r="A9584" s="3" t="n">
        <v>2022</v>
      </c>
      <c r="B9584" s="4" t="n">
        <v>56000</v>
      </c>
      <c r="C9584" s="4" t="n">
        <v>1289</v>
      </c>
      <c r="D9584" s="4" t="n">
        <v>389.9225</v>
      </c>
      <c r="E9584" s="5" t="n">
        <v>143.6</v>
      </c>
      <c r="F9584" s="3" t="inlineStr">
        <is>
          <t>연서면</t>
        </is>
      </c>
      <c r="G9584" s="3" t="inlineStr">
        <is>
          <t>쌍전리</t>
        </is>
      </c>
      <c r="H9584" s="3" t="inlineStr">
        <is>
          <t>자연녹지지역</t>
        </is>
      </c>
      <c r="I9584" s="3" t="inlineStr">
        <is>
          <t>과수원</t>
        </is>
      </c>
      <c r="J9584" s="3" t="inlineStr">
        <is>
          <t>연서면</t>
        </is>
      </c>
    </row>
    <row r="9585">
      <c r="A9585" s="3" t="n">
        <v>2022</v>
      </c>
      <c r="B9585" s="4" t="n">
        <v>56200</v>
      </c>
      <c r="C9585" s="4" t="n">
        <v>947</v>
      </c>
      <c r="D9585" s="4" t="n">
        <v>286.4675</v>
      </c>
      <c r="E9585" s="5" t="n">
        <v>196.2</v>
      </c>
      <c r="F9585" s="3" t="inlineStr">
        <is>
          <t>전의면</t>
        </is>
      </c>
      <c r="G9585" s="3" t="inlineStr">
        <is>
          <t>신흥리</t>
        </is>
      </c>
      <c r="H9585" s="3" t="inlineStr">
        <is>
          <t>계획관리지역</t>
        </is>
      </c>
      <c r="I9585" s="3" t="inlineStr">
        <is>
          <t>답</t>
        </is>
      </c>
      <c r="J9585" s="3" t="inlineStr">
        <is>
          <t>전의면</t>
        </is>
      </c>
    </row>
    <row r="9586">
      <c r="A9586" s="3" t="n">
        <v>2022</v>
      </c>
      <c r="B9586" s="4" t="n">
        <v>200000</v>
      </c>
      <c r="C9586" s="4" t="n">
        <v>3101</v>
      </c>
      <c r="D9586" s="4" t="n">
        <v>938.0525</v>
      </c>
      <c r="E9586" s="5" t="n">
        <v>213.2</v>
      </c>
      <c r="F9586" s="3" t="inlineStr">
        <is>
          <t>장군면</t>
        </is>
      </c>
      <c r="G9586" s="3" t="inlineStr">
        <is>
          <t>봉안리</t>
        </is>
      </c>
      <c r="H9586" s="3" t="inlineStr">
        <is>
          <t>계획관리지역</t>
        </is>
      </c>
      <c r="I9586" s="3" t="inlineStr">
        <is>
          <t>답</t>
        </is>
      </c>
      <c r="J9586" s="3" t="inlineStr">
        <is>
          <t>장군면</t>
        </is>
      </c>
    </row>
    <row r="9587">
      <c r="A9587" s="3" t="n">
        <v>2022</v>
      </c>
      <c r="B9587" s="4" t="n">
        <v>24240</v>
      </c>
      <c r="C9587" s="4" t="n">
        <v>1334</v>
      </c>
      <c r="D9587" s="4" t="n">
        <v>403.535</v>
      </c>
      <c r="E9587" s="5" t="n">
        <v>60.1</v>
      </c>
      <c r="F9587" s="3" t="inlineStr">
        <is>
          <t>금남면</t>
        </is>
      </c>
      <c r="G9587" s="3" t="inlineStr">
        <is>
          <t>도남리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2022</v>
      </c>
      <c r="B9588" s="4" t="n">
        <v>30588</v>
      </c>
      <c r="C9588" s="4" t="n">
        <v>366</v>
      </c>
      <c r="D9588" s="4" t="n">
        <v>110.715</v>
      </c>
      <c r="E9588" s="5" t="n">
        <v>276.3</v>
      </c>
      <c r="F9588" s="3" t="inlineStr">
        <is>
          <t>금남면</t>
        </is>
      </c>
      <c r="G9588" s="3" t="inlineStr">
        <is>
          <t>신촌리</t>
        </is>
      </c>
      <c r="H9588" s="3" t="inlineStr">
        <is>
          <t>제1종일반주거지역</t>
        </is>
      </c>
      <c r="I9588" s="3" t="inlineStr">
        <is>
          <t>전</t>
        </is>
      </c>
      <c r="J9588" s="3" t="inlineStr">
        <is>
          <t>금남면</t>
        </is>
      </c>
    </row>
    <row r="9589">
      <c r="A9589" s="3" t="n">
        <v>2022</v>
      </c>
      <c r="B9589" s="4" t="n">
        <v>99500</v>
      </c>
      <c r="C9589" s="4" t="n">
        <v>687</v>
      </c>
      <c r="D9589" s="4" t="n">
        <v>207.8175</v>
      </c>
      <c r="E9589" s="5" t="n">
        <v>478.8</v>
      </c>
      <c r="F9589" s="3" t="inlineStr">
        <is>
          <t>연동면</t>
        </is>
      </c>
      <c r="G9589" s="3" t="inlineStr">
        <is>
          <t>내판리</t>
        </is>
      </c>
      <c r="H9589" s="3" t="inlineStr">
        <is>
          <t>계획관리지역</t>
        </is>
      </c>
      <c r="I9589" s="3" t="inlineStr">
        <is>
          <t>과수원</t>
        </is>
      </c>
      <c r="J9589" s="3" t="inlineStr">
        <is>
          <t>연동면</t>
        </is>
      </c>
    </row>
    <row r="9590">
      <c r="A9590" s="3" t="n">
        <v>2022</v>
      </c>
      <c r="B9590" s="4" t="n">
        <v>500</v>
      </c>
      <c r="C9590" s="4" t="n">
        <v>8</v>
      </c>
      <c r="D9590" s="4" t="n">
        <v>2.42</v>
      </c>
      <c r="E9590" s="5" t="n">
        <v>206.6</v>
      </c>
      <c r="F9590" s="3" t="inlineStr">
        <is>
          <t>연동면</t>
        </is>
      </c>
      <c r="G9590" s="3" t="inlineStr">
        <is>
          <t>내판리</t>
        </is>
      </c>
      <c r="H9590" s="3" t="inlineStr">
        <is>
          <t>계획관리지역</t>
        </is>
      </c>
      <c r="I9590" s="3" t="inlineStr">
        <is>
          <t>도로</t>
        </is>
      </c>
      <c r="J9590" s="3" t="inlineStr">
        <is>
          <t>연동면</t>
        </is>
      </c>
    </row>
    <row r="9591">
      <c r="A9591" s="3" t="n">
        <v>2022</v>
      </c>
      <c r="B9591" s="4" t="n">
        <v>49600</v>
      </c>
      <c r="C9591" s="4" t="n">
        <v>2129</v>
      </c>
      <c r="D9591" s="4" t="n">
        <v>644.0225</v>
      </c>
      <c r="E9591" s="5" t="n">
        <v>77</v>
      </c>
      <c r="F9591" s="3" t="inlineStr">
        <is>
          <t>전의면</t>
        </is>
      </c>
      <c r="G9591" s="3" t="inlineStr">
        <is>
          <t>유천리</t>
        </is>
      </c>
      <c r="H9591" s="3" t="inlineStr">
        <is>
          <t>계획관리지역</t>
        </is>
      </c>
      <c r="I9591" s="3" t="inlineStr">
        <is>
          <t>주차장</t>
        </is>
      </c>
      <c r="J9591" s="3" t="inlineStr">
        <is>
          <t>전의면</t>
        </is>
      </c>
    </row>
    <row r="9592">
      <c r="A9592" s="3" t="n">
        <v>2022</v>
      </c>
      <c r="B9592" s="4" t="n">
        <v>47000</v>
      </c>
      <c r="C9592" s="4" t="n">
        <v>8164</v>
      </c>
      <c r="D9592" s="4" t="n">
        <v>2469.61</v>
      </c>
      <c r="E9592" s="5" t="n">
        <v>19</v>
      </c>
      <c r="F9592" s="3" t="inlineStr">
        <is>
          <t>장군면</t>
        </is>
      </c>
      <c r="G9592" s="3" t="inlineStr">
        <is>
          <t>송정리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장군면</t>
        </is>
      </c>
    </row>
    <row r="9593">
      <c r="A9593" s="3" t="n">
        <v>2022</v>
      </c>
      <c r="B9593" s="4" t="n">
        <v>61250</v>
      </c>
      <c r="C9593" s="4" t="n">
        <v>813</v>
      </c>
      <c r="D9593" s="4" t="n">
        <v>245.9325</v>
      </c>
      <c r="E9593" s="5" t="n">
        <v>249.1</v>
      </c>
      <c r="F9593" s="3" t="inlineStr">
        <is>
          <t>연서면</t>
        </is>
      </c>
      <c r="G9593" s="3" t="inlineStr">
        <is>
          <t>쌍전리</t>
        </is>
      </c>
      <c r="H9593" s="3" t="inlineStr">
        <is>
          <t>자연녹지지역</t>
        </is>
      </c>
      <c r="I9593" s="3" t="inlineStr">
        <is>
          <t>대</t>
        </is>
      </c>
      <c r="J9593" s="3" t="inlineStr">
        <is>
          <t>연서면</t>
        </is>
      </c>
    </row>
    <row r="9594">
      <c r="A9594" s="3" t="n">
        <v>2022</v>
      </c>
      <c r="B9594" s="4" t="n">
        <v>11076</v>
      </c>
      <c r="C9594" s="4" t="n">
        <v>813</v>
      </c>
      <c r="D9594" s="4" t="n">
        <v>245.9325</v>
      </c>
      <c r="E9594" s="5" t="n">
        <v>45</v>
      </c>
      <c r="F9594" s="3" t="inlineStr">
        <is>
          <t>연서면</t>
        </is>
      </c>
      <c r="G9594" s="3" t="inlineStr">
        <is>
          <t>쌍전리</t>
        </is>
      </c>
      <c r="H9594" s="3" t="inlineStr">
        <is>
          <t>자연녹지지역</t>
        </is>
      </c>
      <c r="I9594" s="3" t="inlineStr">
        <is>
          <t>대</t>
        </is>
      </c>
      <c r="J9594" s="3" t="inlineStr">
        <is>
          <t>연서면</t>
        </is>
      </c>
    </row>
    <row r="9595">
      <c r="A9595" s="3" t="n">
        <v>2022</v>
      </c>
      <c r="B9595" s="4" t="n">
        <v>6132</v>
      </c>
      <c r="C9595" s="4" t="n">
        <v>211</v>
      </c>
      <c r="D9595" s="4" t="n">
        <v>63.8275</v>
      </c>
      <c r="E9595" s="5" t="n">
        <v>96.09999999999999</v>
      </c>
      <c r="F9595" s="3" t="inlineStr">
        <is>
          <t>연동면</t>
        </is>
      </c>
      <c r="G9595" s="3" t="inlineStr">
        <is>
          <t>내판리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연동면</t>
        </is>
      </c>
    </row>
    <row r="9596">
      <c r="A9596" s="3" t="n">
        <v>2022</v>
      </c>
      <c r="B9596" s="4" t="n">
        <v>16264</v>
      </c>
      <c r="C9596" s="4" t="n">
        <v>922</v>
      </c>
      <c r="D9596" s="4" t="n">
        <v>278.905</v>
      </c>
      <c r="E9596" s="5" t="n">
        <v>58.3</v>
      </c>
      <c r="F9596" s="3" t="inlineStr">
        <is>
          <t>연동면</t>
        </is>
      </c>
      <c r="G9596" s="3" t="inlineStr">
        <is>
          <t>내판리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연동면</t>
        </is>
      </c>
    </row>
    <row r="9597">
      <c r="A9597" s="3" t="n">
        <v>2026</v>
      </c>
      <c r="B9597" s="4" t="n">
        <v>49075</v>
      </c>
      <c r="C9597" s="4" t="n">
        <v>540</v>
      </c>
      <c r="D9597" s="4" t="n">
        <v>163.35</v>
      </c>
      <c r="E9597" s="5" t="n">
        <v>300.4</v>
      </c>
      <c r="F9597" s="3" t="inlineStr">
        <is>
          <t>금남면</t>
        </is>
      </c>
      <c r="G9597" s="3" t="inlineStr">
        <is>
          <t>성덕리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금남면</t>
        </is>
      </c>
    </row>
    <row r="9598">
      <c r="A9598" s="3" t="n">
        <v>2026</v>
      </c>
      <c r="B9598" s="4" t="n">
        <v>34500</v>
      </c>
      <c r="C9598" s="4" t="n">
        <v>1309</v>
      </c>
      <c r="D9598" s="4" t="n">
        <v>395.9725</v>
      </c>
      <c r="E9598" s="5" t="n">
        <v>87.09999999999999</v>
      </c>
      <c r="F9598" s="3" t="inlineStr">
        <is>
          <t>금남면</t>
        </is>
      </c>
      <c r="G9598" s="3" t="inlineStr">
        <is>
          <t>용담리</t>
        </is>
      </c>
      <c r="H9598" s="3" t="inlineStr">
        <is>
          <t>개발제한구역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2026</v>
      </c>
      <c r="B9599" s="4" t="n">
        <v>37500</v>
      </c>
      <c r="C9599" s="4" t="n">
        <v>3967</v>
      </c>
      <c r="D9599" s="4" t="n">
        <v>1200.0175</v>
      </c>
      <c r="E9599" s="5" t="n">
        <v>31.2</v>
      </c>
      <c r="F9599" s="3" t="inlineStr">
        <is>
          <t>전동면</t>
        </is>
      </c>
      <c r="G9599" s="3" t="inlineStr">
        <is>
          <t>노장리</t>
        </is>
      </c>
      <c r="H9599" s="3" t="inlineStr">
        <is>
          <t>생산관리지역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2026</v>
      </c>
      <c r="B9600" s="4" t="n">
        <v>67500</v>
      </c>
      <c r="C9600" s="4" t="n">
        <v>6965</v>
      </c>
      <c r="D9600" s="4" t="n">
        <v>2106.9125</v>
      </c>
      <c r="E9600" s="5" t="n">
        <v>32</v>
      </c>
      <c r="F9600" s="3" t="inlineStr">
        <is>
          <t>전동면</t>
        </is>
      </c>
      <c r="G9600" s="3" t="inlineStr">
        <is>
          <t>노장리</t>
        </is>
      </c>
      <c r="H9600" s="3" t="inlineStr">
        <is>
          <t>생산관리지역</t>
        </is>
      </c>
      <c r="I9600" s="3" t="inlineStr">
        <is>
          <t>답</t>
        </is>
      </c>
      <c r="J9600" s="3" t="inlineStr">
        <is>
          <t>전동면</t>
        </is>
      </c>
    </row>
    <row r="9601">
      <c r="A9601" s="3" t="n">
        <v>2026</v>
      </c>
      <c r="B9601" s="4" t="n">
        <v>1700</v>
      </c>
      <c r="C9601" s="4" t="n">
        <v>313</v>
      </c>
      <c r="D9601" s="4" t="n">
        <v>94.68249999999999</v>
      </c>
      <c r="E9601" s="5" t="n">
        <v>18</v>
      </c>
      <c r="F9601" s="3" t="inlineStr">
        <is>
          <t>전동면</t>
        </is>
      </c>
      <c r="G9601" s="3" t="inlineStr">
        <is>
          <t>봉대리</t>
        </is>
      </c>
      <c r="H9601" s="3" t="inlineStr">
        <is>
          <t>생산관리지역</t>
        </is>
      </c>
      <c r="I9601" s="3" t="inlineStr">
        <is>
          <t>잡종지</t>
        </is>
      </c>
      <c r="J9601" s="3" t="inlineStr">
        <is>
          <t>전동면</t>
        </is>
      </c>
    </row>
    <row r="9602">
      <c r="A9602" s="3" t="n">
        <v>2026</v>
      </c>
      <c r="B9602" s="4" t="n">
        <v>500</v>
      </c>
      <c r="C9602" s="4" t="n">
        <v>31</v>
      </c>
      <c r="D9602" s="4" t="n">
        <v>9.3775</v>
      </c>
      <c r="E9602" s="5" t="n">
        <v>53.3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계획관리지역</t>
        </is>
      </c>
      <c r="I9602" s="3" t="inlineStr">
        <is>
          <t>도로</t>
        </is>
      </c>
      <c r="J9602" s="3" t="inlineStr">
        <is>
          <t>금남면</t>
        </is>
      </c>
    </row>
    <row r="9603">
      <c r="A9603" s="3" t="n">
        <v>2026</v>
      </c>
      <c r="B9603" s="4" t="n">
        <v>40000</v>
      </c>
      <c r="C9603" s="4" t="n">
        <v>330</v>
      </c>
      <c r="D9603" s="4" t="n">
        <v>99.825</v>
      </c>
      <c r="E9603" s="5" t="n">
        <v>400.7</v>
      </c>
      <c r="F9603" s="3" t="inlineStr">
        <is>
          <t>고운동</t>
        </is>
      </c>
      <c r="G9603" s="3" t="inlineStr"/>
      <c r="H9603" s="3" t="inlineStr">
        <is>
          <t>제1종전용주거지역</t>
        </is>
      </c>
      <c r="I9603" s="3" t="inlineStr">
        <is>
          <t>대</t>
        </is>
      </c>
      <c r="J9603" s="3" t="inlineStr">
        <is>
          <t>고운동</t>
        </is>
      </c>
    </row>
    <row r="9604">
      <c r="A9604" s="3" t="n">
        <v>2025</v>
      </c>
      <c r="B9604" s="4" t="n">
        <v>37590</v>
      </c>
      <c r="C9604" s="4" t="n">
        <v>1775</v>
      </c>
      <c r="D9604" s="4" t="n">
        <v>536.9375</v>
      </c>
      <c r="E9604" s="5" t="n">
        <v>70</v>
      </c>
      <c r="F9604" s="3" t="inlineStr">
        <is>
          <t>부강면</t>
        </is>
      </c>
      <c r="G9604" s="3" t="inlineStr">
        <is>
          <t>문곡리</t>
        </is>
      </c>
      <c r="H9604" s="3" t="inlineStr">
        <is>
          <t>계획관리지역</t>
        </is>
      </c>
      <c r="I9604" s="3" t="inlineStr">
        <is>
          <t>전</t>
        </is>
      </c>
      <c r="J9604" s="3" t="inlineStr">
        <is>
          <t>부강면</t>
        </is>
      </c>
    </row>
    <row r="9605">
      <c r="A9605" s="3" t="n">
        <v>2025</v>
      </c>
      <c r="B9605" s="4" t="n">
        <v>40000</v>
      </c>
      <c r="C9605" s="4" t="n">
        <v>2808</v>
      </c>
      <c r="D9605" s="4" t="n">
        <v>849.42</v>
      </c>
      <c r="E9605" s="5" t="n">
        <v>47.1</v>
      </c>
      <c r="F9605" s="3" t="inlineStr">
        <is>
          <t>금남면</t>
        </is>
      </c>
      <c r="G9605" s="3" t="inlineStr">
        <is>
          <t>황용리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금남면</t>
        </is>
      </c>
    </row>
    <row r="9606">
      <c r="A9606" s="3" t="n">
        <v>2025</v>
      </c>
      <c r="B9606" s="4" t="n">
        <v>9754</v>
      </c>
      <c r="C9606" s="4" t="n">
        <v>277</v>
      </c>
      <c r="D9606" s="4" t="n">
        <v>83.7925</v>
      </c>
      <c r="E9606" s="5" t="n">
        <v>116.4</v>
      </c>
      <c r="F9606" s="3" t="inlineStr">
        <is>
          <t>금남면</t>
        </is>
      </c>
      <c r="G9606" s="3" t="inlineStr">
        <is>
          <t>황용리</t>
        </is>
      </c>
      <c r="H9606" s="3" t="inlineStr">
        <is>
          <t>농림지역</t>
        </is>
      </c>
      <c r="I9606" s="3" t="inlineStr">
        <is>
          <t>임야</t>
        </is>
      </c>
      <c r="J9606" s="3" t="inlineStr">
        <is>
          <t>금남면</t>
        </is>
      </c>
    </row>
    <row r="9607">
      <c r="A9607" s="3" t="n">
        <v>2025</v>
      </c>
      <c r="B9607" s="4" t="n">
        <v>43900</v>
      </c>
      <c r="C9607" s="4" t="n">
        <v>700</v>
      </c>
      <c r="D9607" s="4" t="n">
        <v>211.75</v>
      </c>
      <c r="E9607" s="5" t="n">
        <v>207.3</v>
      </c>
      <c r="F9607" s="3" t="inlineStr">
        <is>
          <t>전동면</t>
        </is>
      </c>
      <c r="G9607" s="3" t="inlineStr">
        <is>
          <t>송곡리</t>
        </is>
      </c>
      <c r="H9607" s="3" t="inlineStr">
        <is>
          <t>계획관리지역</t>
        </is>
      </c>
      <c r="I9607" s="3" t="inlineStr">
        <is>
          <t>전</t>
        </is>
      </c>
      <c r="J9607" s="3" t="inlineStr">
        <is>
          <t>전동면</t>
        </is>
      </c>
    </row>
    <row r="9608">
      <c r="A9608" s="3" t="n">
        <v>2024</v>
      </c>
      <c r="B9608" s="4" t="n">
        <v>46000</v>
      </c>
      <c r="C9608" s="4" t="n">
        <v>653</v>
      </c>
      <c r="D9608" s="4" t="n">
        <v>197.5325</v>
      </c>
      <c r="E9608" s="5" t="n">
        <v>232.9</v>
      </c>
      <c r="F9608" s="3" t="inlineStr">
        <is>
          <t>장군면</t>
        </is>
      </c>
      <c r="G9608" s="3" t="inlineStr">
        <is>
          <t>대교리</t>
        </is>
      </c>
      <c r="H9608" s="3" t="inlineStr">
        <is>
          <t>보전관리지역</t>
        </is>
      </c>
      <c r="I9608" s="3" t="inlineStr">
        <is>
          <t>대</t>
        </is>
      </c>
      <c r="J9608" s="3" t="inlineStr">
        <is>
          <t>장군면</t>
        </is>
      </c>
    </row>
    <row r="9609">
      <c r="A9609" s="3" t="n">
        <v>2024</v>
      </c>
      <c r="B9609" s="4" t="n">
        <v>25762</v>
      </c>
      <c r="C9609" s="4" t="n">
        <v>442</v>
      </c>
      <c r="D9609" s="4" t="n">
        <v>133.705</v>
      </c>
      <c r="E9609" s="5" t="n">
        <v>192.7</v>
      </c>
      <c r="F9609" s="3" t="inlineStr">
        <is>
          <t>장군면</t>
        </is>
      </c>
      <c r="G9609" s="3" t="inlineStr">
        <is>
          <t>금암리</t>
        </is>
      </c>
      <c r="H9609" s="3" t="inlineStr">
        <is>
          <t>보전관리지역</t>
        </is>
      </c>
      <c r="I9609" s="3" t="inlineStr">
        <is>
          <t>대</t>
        </is>
      </c>
      <c r="J9609" s="3" t="inlineStr">
        <is>
          <t>장군면</t>
        </is>
      </c>
    </row>
    <row r="9610">
      <c r="A9610" s="3" t="n">
        <v>2024</v>
      </c>
      <c r="B9610" s="4" t="n">
        <v>2261</v>
      </c>
      <c r="C9610" s="4" t="n">
        <v>133</v>
      </c>
      <c r="D9610" s="4" t="n">
        <v>40.2325</v>
      </c>
      <c r="E9610" s="5" t="n">
        <v>56.2</v>
      </c>
      <c r="F9610" s="3" t="inlineStr">
        <is>
          <t>금남면</t>
        </is>
      </c>
      <c r="G9610" s="3" t="inlineStr">
        <is>
          <t>원봉리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금남면</t>
        </is>
      </c>
    </row>
    <row r="9611">
      <c r="A9611" s="3" t="n">
        <v>2024</v>
      </c>
      <c r="B9611" s="4" t="n">
        <v>8000</v>
      </c>
      <c r="C9611" s="4" t="n">
        <v>3305</v>
      </c>
      <c r="D9611" s="4" t="n">
        <v>999.7624999999999</v>
      </c>
      <c r="E9611" s="5" t="n">
        <v>8</v>
      </c>
      <c r="F9611" s="3" t="inlineStr">
        <is>
          <t>전동면</t>
        </is>
      </c>
      <c r="G9611" s="3" t="inlineStr">
        <is>
          <t>송정리</t>
        </is>
      </c>
      <c r="H9611" s="3" t="inlineStr">
        <is>
          <t>보전관리지역</t>
        </is>
      </c>
      <c r="I9611" s="3" t="inlineStr">
        <is>
          <t>임야</t>
        </is>
      </c>
      <c r="J9611" s="3" t="inlineStr">
        <is>
          <t>전동면</t>
        </is>
      </c>
    </row>
    <row r="9612">
      <c r="A9612" s="3" t="n">
        <v>2024</v>
      </c>
      <c r="B9612" s="4" t="n">
        <v>10000</v>
      </c>
      <c r="C9612" s="4" t="n">
        <v>542</v>
      </c>
      <c r="D9612" s="4" t="n">
        <v>163.955</v>
      </c>
      <c r="E9612" s="5" t="n">
        <v>61</v>
      </c>
      <c r="F9612" s="3" t="inlineStr">
        <is>
          <t>장군면</t>
        </is>
      </c>
      <c r="G9612" s="3" t="inlineStr">
        <is>
          <t>송문리</t>
        </is>
      </c>
      <c r="H9612" s="3" t="inlineStr">
        <is>
          <t>계획관리지역</t>
        </is>
      </c>
      <c r="I9612" s="3" t="inlineStr">
        <is>
          <t>임야</t>
        </is>
      </c>
      <c r="J9612" s="3" t="inlineStr">
        <is>
          <t>장군면</t>
        </is>
      </c>
    </row>
    <row r="9613">
      <c r="A9613" s="3" t="n">
        <v>2024</v>
      </c>
      <c r="B9613" s="4" t="n">
        <v>12922</v>
      </c>
      <c r="C9613" s="4" t="n">
        <v>521.6</v>
      </c>
      <c r="D9613" s="4" t="n">
        <v>157.784</v>
      </c>
      <c r="E9613" s="5" t="n">
        <v>81.90000000000001</v>
      </c>
      <c r="F9613" s="3" t="inlineStr">
        <is>
          <t>연동면</t>
        </is>
      </c>
      <c r="G9613" s="3" t="inlineStr">
        <is>
          <t>예양리</t>
        </is>
      </c>
      <c r="H9613" s="3" t="inlineStr">
        <is>
          <t>농림지역</t>
        </is>
      </c>
      <c r="I9613" s="3" t="inlineStr">
        <is>
          <t>전</t>
        </is>
      </c>
      <c r="J9613" s="3" t="inlineStr">
        <is>
          <t>연동면</t>
        </is>
      </c>
    </row>
    <row r="9614">
      <c r="A9614" s="3" t="n">
        <v>2024</v>
      </c>
      <c r="B9614" s="4" t="n">
        <v>20498</v>
      </c>
      <c r="C9614" s="4" t="n">
        <v>1111</v>
      </c>
      <c r="D9614" s="4" t="n">
        <v>336.0775</v>
      </c>
      <c r="E9614" s="5" t="n">
        <v>61</v>
      </c>
      <c r="F9614" s="3" t="inlineStr">
        <is>
          <t>장군면</t>
        </is>
      </c>
      <c r="G9614" s="3" t="inlineStr">
        <is>
          <t>봉안리</t>
        </is>
      </c>
      <c r="H9614" s="3" t="inlineStr">
        <is>
          <t>제1종일반주거지역</t>
        </is>
      </c>
      <c r="I9614" s="3" t="inlineStr">
        <is>
          <t>전</t>
        </is>
      </c>
      <c r="J9614" s="3" t="inlineStr">
        <is>
          <t>장군면</t>
        </is>
      </c>
    </row>
    <row r="9615">
      <c r="A9615" s="3" t="n">
        <v>2024</v>
      </c>
      <c r="B9615" s="4" t="n">
        <v>2702</v>
      </c>
      <c r="C9615" s="4" t="n">
        <v>61</v>
      </c>
      <c r="D9615" s="4" t="n">
        <v>18.4525</v>
      </c>
      <c r="E9615" s="5" t="n">
        <v>146.4</v>
      </c>
      <c r="F9615" s="3" t="inlineStr">
        <is>
          <t>조치원읍</t>
        </is>
      </c>
      <c r="G9615" s="3" t="inlineStr">
        <is>
          <t>남리</t>
        </is>
      </c>
      <c r="H9615" s="3" t="inlineStr">
        <is>
          <t>자연녹지지역</t>
        </is>
      </c>
      <c r="I9615" s="3" t="inlineStr">
        <is>
          <t>전</t>
        </is>
      </c>
      <c r="J9615" s="3" t="inlineStr">
        <is>
          <t>조치원읍</t>
        </is>
      </c>
    </row>
    <row r="9616">
      <c r="A9616" s="3" t="n">
        <v>2022</v>
      </c>
      <c r="B9616" s="4" t="n">
        <v>15129</v>
      </c>
      <c r="C9616" s="4" t="n">
        <v>7380</v>
      </c>
      <c r="D9616" s="4" t="n">
        <v>2232.45</v>
      </c>
      <c r="E9616" s="5" t="n">
        <v>6.8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개발제한구역</t>
        </is>
      </c>
      <c r="I9616" s="3" t="inlineStr">
        <is>
          <t>임야</t>
        </is>
      </c>
      <c r="J9616" s="3" t="inlineStr">
        <is>
          <t>금남면</t>
        </is>
      </c>
    </row>
    <row r="9617">
      <c r="A9617" s="3" t="n">
        <v>2022</v>
      </c>
      <c r="B9617" s="4" t="n">
        <v>15129</v>
      </c>
      <c r="C9617" s="4" t="n">
        <v>7380</v>
      </c>
      <c r="D9617" s="4" t="n">
        <v>2232.45</v>
      </c>
      <c r="E9617" s="5" t="n">
        <v>6.8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개발제한구역</t>
        </is>
      </c>
      <c r="I9617" s="3" t="inlineStr">
        <is>
          <t>임야</t>
        </is>
      </c>
      <c r="J9617" s="3" t="inlineStr">
        <is>
          <t>금남면</t>
        </is>
      </c>
    </row>
    <row r="9618">
      <c r="A9618" s="3" t="n">
        <v>2022</v>
      </c>
      <c r="B9618" s="4" t="n">
        <v>15129</v>
      </c>
      <c r="C9618" s="4" t="n">
        <v>7380</v>
      </c>
      <c r="D9618" s="4" t="n">
        <v>2232.45</v>
      </c>
      <c r="E9618" s="5" t="n">
        <v>6.8</v>
      </c>
      <c r="F9618" s="3" t="inlineStr">
        <is>
          <t>금남면</t>
        </is>
      </c>
      <c r="G9618" s="3" t="inlineStr">
        <is>
          <t>축산리</t>
        </is>
      </c>
      <c r="H9618" s="3" t="inlineStr">
        <is>
          <t>개발제한구역</t>
        </is>
      </c>
      <c r="I9618" s="3" t="inlineStr">
        <is>
          <t>임야</t>
        </is>
      </c>
      <c r="J9618" s="3" t="inlineStr">
        <is>
          <t>금남면</t>
        </is>
      </c>
    </row>
    <row r="9619">
      <c r="A9619" s="3" t="n">
        <v>2022</v>
      </c>
      <c r="B9619" s="4" t="n">
        <v>2393</v>
      </c>
      <c r="C9619" s="4" t="n">
        <v>116</v>
      </c>
      <c r="D9619" s="4" t="n">
        <v>35.09</v>
      </c>
      <c r="E9619" s="5" t="n">
        <v>68.2</v>
      </c>
      <c r="F9619" s="3" t="inlineStr">
        <is>
          <t>금남면</t>
        </is>
      </c>
      <c r="G9619" s="3" t="inlineStr">
        <is>
          <t>도남리</t>
        </is>
      </c>
      <c r="H9619" s="3" t="inlineStr">
        <is>
          <t>보전관리지역</t>
        </is>
      </c>
      <c r="I9619" s="3" t="inlineStr">
        <is>
          <t>임야</t>
        </is>
      </c>
      <c r="J9619" s="3" t="inlineStr">
        <is>
          <t>금남면</t>
        </is>
      </c>
    </row>
    <row r="9620">
      <c r="A9620" s="3" t="n">
        <v>2022</v>
      </c>
      <c r="B9620" s="4" t="n">
        <v>10360</v>
      </c>
      <c r="C9620" s="4" t="n">
        <v>442</v>
      </c>
      <c r="D9620" s="4" t="n">
        <v>133.705</v>
      </c>
      <c r="E9620" s="5" t="n">
        <v>77.5</v>
      </c>
      <c r="F9620" s="3" t="inlineStr">
        <is>
          <t>금남면</t>
        </is>
      </c>
      <c r="G9620" s="3" t="inlineStr">
        <is>
          <t>도남리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금남면</t>
        </is>
      </c>
    </row>
    <row r="9621">
      <c r="A9621" s="3" t="n">
        <v>2022</v>
      </c>
      <c r="B9621" s="4" t="n">
        <v>100000</v>
      </c>
      <c r="C9621" s="4" t="n">
        <v>4591</v>
      </c>
      <c r="D9621" s="4" t="n">
        <v>1388.7775</v>
      </c>
      <c r="E9621" s="5" t="n">
        <v>72</v>
      </c>
      <c r="F9621" s="3" t="inlineStr">
        <is>
          <t>전의면</t>
        </is>
      </c>
      <c r="G9621" s="3" t="inlineStr">
        <is>
          <t>신방리</t>
        </is>
      </c>
      <c r="H9621" s="3" t="inlineStr">
        <is>
          <t>생산관리지역</t>
        </is>
      </c>
      <c r="I9621" s="3" t="inlineStr">
        <is>
          <t>답</t>
        </is>
      </c>
      <c r="J9621" s="3" t="inlineStr">
        <is>
          <t>전의면</t>
        </is>
      </c>
    </row>
    <row r="9622">
      <c r="A9622" s="3" t="n">
        <v>2022</v>
      </c>
      <c r="B9622" s="4" t="n">
        <v>3000</v>
      </c>
      <c r="C9622" s="4" t="n">
        <v>217</v>
      </c>
      <c r="D9622" s="4" t="n">
        <v>65.6425</v>
      </c>
      <c r="E9622" s="5" t="n">
        <v>45.7</v>
      </c>
      <c r="F9622" s="3" t="inlineStr">
        <is>
          <t>전의면</t>
        </is>
      </c>
      <c r="G9622" s="3" t="inlineStr">
        <is>
          <t>신방리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전의면</t>
        </is>
      </c>
    </row>
    <row r="9623">
      <c r="A9623" s="3" t="n">
        <v>2022</v>
      </c>
      <c r="B9623" s="4" t="n">
        <v>29055</v>
      </c>
      <c r="C9623" s="4" t="n">
        <v>565</v>
      </c>
      <c r="D9623" s="4" t="n">
        <v>170.9125</v>
      </c>
      <c r="E9623" s="5" t="n">
        <v>170</v>
      </c>
      <c r="F9623" s="3" t="inlineStr">
        <is>
          <t>장군면</t>
        </is>
      </c>
      <c r="G9623" s="3" t="inlineStr">
        <is>
          <t>대교리</t>
        </is>
      </c>
      <c r="H9623" s="3" t="inlineStr">
        <is>
          <t>보전관리지역</t>
        </is>
      </c>
      <c r="I9623" s="3" t="inlineStr">
        <is>
          <t>임야</t>
        </is>
      </c>
      <c r="J9623" s="3" t="inlineStr">
        <is>
          <t>장군면</t>
        </is>
      </c>
    </row>
    <row r="9624">
      <c r="A9624" s="3" t="n">
        <v>2022</v>
      </c>
      <c r="B9624" s="4" t="n">
        <v>3080</v>
      </c>
      <c r="C9624" s="4" t="n">
        <v>186</v>
      </c>
      <c r="D9624" s="4" t="n">
        <v>56.265</v>
      </c>
      <c r="E9624" s="5" t="n">
        <v>54.7</v>
      </c>
      <c r="F9624" s="3" t="inlineStr">
        <is>
          <t>부강면</t>
        </is>
      </c>
      <c r="G9624" s="3" t="inlineStr">
        <is>
          <t>노호리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5490</v>
      </c>
      <c r="C9625" s="4" t="n">
        <v>202</v>
      </c>
      <c r="D9625" s="4" t="n">
        <v>61.105</v>
      </c>
      <c r="E9625" s="5" t="n">
        <v>89.8</v>
      </c>
      <c r="F9625" s="3" t="inlineStr">
        <is>
          <t>부강면</t>
        </is>
      </c>
      <c r="G9625" s="3" t="inlineStr">
        <is>
          <t>노호리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부강면</t>
        </is>
      </c>
    </row>
    <row r="9626">
      <c r="A9626" s="3" t="n">
        <v>2022</v>
      </c>
      <c r="B9626" s="4" t="n">
        <v>67500</v>
      </c>
      <c r="C9626" s="4" t="n">
        <v>2984</v>
      </c>
      <c r="D9626" s="4" t="n">
        <v>902.66</v>
      </c>
      <c r="E9626" s="5" t="n">
        <v>74.8</v>
      </c>
      <c r="F9626" s="3" t="inlineStr">
        <is>
          <t>금남면</t>
        </is>
      </c>
      <c r="G9626" s="3" t="inlineStr">
        <is>
          <t>영대리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2022</v>
      </c>
      <c r="B9627" s="4" t="n">
        <v>40027</v>
      </c>
      <c r="C9627" s="4" t="n">
        <v>827</v>
      </c>
      <c r="D9627" s="4" t="n">
        <v>250.1675</v>
      </c>
      <c r="E9627" s="5" t="n">
        <v>160</v>
      </c>
      <c r="F9627" s="3" t="inlineStr">
        <is>
          <t>장군면</t>
        </is>
      </c>
      <c r="G9627" s="3" t="inlineStr">
        <is>
          <t>대교리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30220</v>
      </c>
      <c r="C9628" s="4" t="n">
        <v>555</v>
      </c>
      <c r="D9628" s="4" t="n">
        <v>167.8875</v>
      </c>
      <c r="E9628" s="5" t="n">
        <v>180</v>
      </c>
      <c r="F9628" s="3" t="inlineStr">
        <is>
          <t>장군면</t>
        </is>
      </c>
      <c r="G9628" s="3" t="inlineStr">
        <is>
          <t>대교리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2022</v>
      </c>
      <c r="B9629" s="4" t="n">
        <v>44558</v>
      </c>
      <c r="C9629" s="4" t="n">
        <v>491</v>
      </c>
      <c r="D9629" s="4" t="n">
        <v>148.5275</v>
      </c>
      <c r="E9629" s="5" t="n">
        <v>300</v>
      </c>
      <c r="F9629" s="3" t="inlineStr">
        <is>
          <t>장군면</t>
        </is>
      </c>
      <c r="G9629" s="3" t="inlineStr">
        <is>
          <t>대교리</t>
        </is>
      </c>
      <c r="H9629" s="3" t="inlineStr">
        <is>
          <t>보전관리지역</t>
        </is>
      </c>
      <c r="I9629" s="3" t="inlineStr">
        <is>
          <t>임야</t>
        </is>
      </c>
      <c r="J9629" s="3" t="inlineStr">
        <is>
          <t>장군면</t>
        </is>
      </c>
    </row>
    <row r="9630">
      <c r="A9630" s="3" t="n">
        <v>2022</v>
      </c>
      <c r="B9630" s="4" t="n">
        <v>29004</v>
      </c>
      <c r="C9630" s="4" t="n">
        <v>564</v>
      </c>
      <c r="D9630" s="4" t="n">
        <v>170.61</v>
      </c>
      <c r="E9630" s="5" t="n">
        <v>170</v>
      </c>
      <c r="F9630" s="3" t="inlineStr">
        <is>
          <t>장군면</t>
        </is>
      </c>
      <c r="G9630" s="3" t="inlineStr">
        <is>
          <t>대교리</t>
        </is>
      </c>
      <c r="H9630" s="3" t="inlineStr">
        <is>
          <t>보전관리지역</t>
        </is>
      </c>
      <c r="I9630" s="3" t="inlineStr">
        <is>
          <t>임야</t>
        </is>
      </c>
      <c r="J9630" s="3" t="inlineStr">
        <is>
          <t>장군면</t>
        </is>
      </c>
    </row>
    <row r="9631">
      <c r="A9631" s="3" t="n">
        <v>2022</v>
      </c>
      <c r="B9631" s="4" t="n">
        <v>10000</v>
      </c>
      <c r="C9631" s="4" t="n">
        <v>661</v>
      </c>
      <c r="D9631" s="4" t="n">
        <v>199.9525</v>
      </c>
      <c r="E9631" s="5" t="n">
        <v>50</v>
      </c>
      <c r="F9631" s="3" t="inlineStr">
        <is>
          <t>장군면</t>
        </is>
      </c>
      <c r="G9631" s="3" t="inlineStr">
        <is>
          <t>평기리</t>
        </is>
      </c>
      <c r="H9631" s="3" t="inlineStr">
        <is>
          <t>보전관리지역</t>
        </is>
      </c>
      <c r="I9631" s="3" t="inlineStr">
        <is>
          <t>임야</t>
        </is>
      </c>
      <c r="J9631" s="3" t="inlineStr">
        <is>
          <t>장군면</t>
        </is>
      </c>
    </row>
    <row r="9632">
      <c r="A9632" s="3" t="n">
        <v>2022</v>
      </c>
      <c r="B9632" s="4" t="n">
        <v>10000</v>
      </c>
      <c r="C9632" s="4" t="n">
        <v>661</v>
      </c>
      <c r="D9632" s="4" t="n">
        <v>199.9525</v>
      </c>
      <c r="E9632" s="5" t="n">
        <v>50</v>
      </c>
      <c r="F9632" s="3" t="inlineStr">
        <is>
          <t>장군면</t>
        </is>
      </c>
      <c r="G9632" s="3" t="inlineStr">
        <is>
          <t>평기리</t>
        </is>
      </c>
      <c r="H9632" s="3" t="inlineStr">
        <is>
          <t>보전관리지역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2022</v>
      </c>
      <c r="B9633" s="4" t="n">
        <v>26800</v>
      </c>
      <c r="C9633" s="4" t="n">
        <v>1762</v>
      </c>
      <c r="D9633" s="4" t="n">
        <v>533.005</v>
      </c>
      <c r="E9633" s="5" t="n">
        <v>50.3</v>
      </c>
      <c r="F9633" s="3" t="inlineStr">
        <is>
          <t>전동면</t>
        </is>
      </c>
      <c r="G9633" s="3" t="inlineStr">
        <is>
          <t>미곡리</t>
        </is>
      </c>
      <c r="H9633" s="3" t="inlineStr">
        <is>
          <t>생산관리지역</t>
        </is>
      </c>
      <c r="I9633" s="3" t="inlineStr">
        <is>
          <t>전</t>
        </is>
      </c>
      <c r="J9633" s="3" t="inlineStr">
        <is>
          <t>전동면</t>
        </is>
      </c>
    </row>
    <row r="9634">
      <c r="A9634" s="3" t="n">
        <v>2022</v>
      </c>
      <c r="B9634" s="4" t="n">
        <v>27289</v>
      </c>
      <c r="C9634" s="4" t="n">
        <v>3111</v>
      </c>
      <c r="D9634" s="4" t="n">
        <v>941.0775</v>
      </c>
      <c r="E9634" s="5" t="n">
        <v>29</v>
      </c>
      <c r="F9634" s="3" t="inlineStr">
        <is>
          <t>연서면</t>
        </is>
      </c>
      <c r="G9634" s="3" t="inlineStr">
        <is>
          <t>쌍류리</t>
        </is>
      </c>
      <c r="H9634" s="3" t="inlineStr">
        <is>
          <t>생산관리지역</t>
        </is>
      </c>
      <c r="I9634" s="3" t="inlineStr">
        <is>
          <t>전</t>
        </is>
      </c>
      <c r="J9634" s="3" t="inlineStr">
        <is>
          <t>연서면</t>
        </is>
      </c>
    </row>
    <row r="9635">
      <c r="A9635" s="3" t="n">
        <v>2022</v>
      </c>
      <c r="B9635" s="4" t="n">
        <v>48600</v>
      </c>
      <c r="C9635" s="4" t="n">
        <v>2200</v>
      </c>
      <c r="D9635" s="4" t="n">
        <v>665.5</v>
      </c>
      <c r="E9635" s="5" t="n">
        <v>73</v>
      </c>
      <c r="F9635" s="3" t="inlineStr">
        <is>
          <t>금남면</t>
        </is>
      </c>
      <c r="G9635" s="3" t="inlineStr">
        <is>
          <t>영대리</t>
        </is>
      </c>
      <c r="H9635" s="3" t="inlineStr">
        <is>
          <t>개발제한구역</t>
        </is>
      </c>
      <c r="I9635" s="3" t="inlineStr">
        <is>
          <t>답</t>
        </is>
      </c>
      <c r="J9635" s="3" t="inlineStr">
        <is>
          <t>금남면</t>
        </is>
      </c>
    </row>
    <row r="9636">
      <c r="A9636" s="3" t="n">
        <v>2022</v>
      </c>
      <c r="B9636" s="4" t="n">
        <v>90000</v>
      </c>
      <c r="C9636" s="4" t="n">
        <v>2122</v>
      </c>
      <c r="D9636" s="4" t="n">
        <v>641.905</v>
      </c>
      <c r="E9636" s="5" t="n">
        <v>140.2</v>
      </c>
      <c r="F9636" s="3" t="inlineStr">
        <is>
          <t>금남면</t>
        </is>
      </c>
      <c r="G9636" s="3" t="inlineStr">
        <is>
          <t>성덕리</t>
        </is>
      </c>
      <c r="H9636" s="3" t="inlineStr">
        <is>
          <t>생산관리지역</t>
        </is>
      </c>
      <c r="I9636" s="3" t="inlineStr">
        <is>
          <t>전</t>
        </is>
      </c>
      <c r="J9636" s="3" t="inlineStr">
        <is>
          <t>금남면</t>
        </is>
      </c>
    </row>
    <row r="9637">
      <c r="A9637" s="3" t="n">
        <v>2022</v>
      </c>
      <c r="B9637" s="4" t="n">
        <v>1500</v>
      </c>
      <c r="C9637" s="4" t="n">
        <v>290</v>
      </c>
      <c r="D9637" s="4" t="n">
        <v>87.72499999999999</v>
      </c>
      <c r="E9637" s="5" t="n">
        <v>17.1</v>
      </c>
      <c r="F9637" s="3" t="inlineStr">
        <is>
          <t>연서면</t>
        </is>
      </c>
      <c r="G9637" s="3" t="inlineStr">
        <is>
          <t>용암리</t>
        </is>
      </c>
      <c r="H9637" s="3" t="inlineStr">
        <is>
          <t>자연환경보전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1586</v>
      </c>
      <c r="C9638" s="4" t="n">
        <v>154</v>
      </c>
      <c r="D9638" s="4" t="n">
        <v>46.585</v>
      </c>
      <c r="E9638" s="5" t="n">
        <v>34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농림지역</t>
        </is>
      </c>
      <c r="I9638" s="3" t="inlineStr">
        <is>
          <t>목장용지</t>
        </is>
      </c>
      <c r="J9638" s="3" t="inlineStr">
        <is>
          <t>전동면</t>
        </is>
      </c>
    </row>
    <row r="9639">
      <c r="A9639" s="3" t="n">
        <v>2022</v>
      </c>
      <c r="B9639" s="4" t="n">
        <v>10600</v>
      </c>
      <c r="C9639" s="4" t="n">
        <v>175</v>
      </c>
      <c r="D9639" s="4" t="n">
        <v>52.9375</v>
      </c>
      <c r="E9639" s="5" t="n">
        <v>200.2</v>
      </c>
      <c r="F9639" s="3" t="inlineStr">
        <is>
          <t>전의면</t>
        </is>
      </c>
      <c r="G9639" s="3" t="inlineStr">
        <is>
          <t>금사리</t>
        </is>
      </c>
      <c r="H9639" s="3" t="inlineStr">
        <is>
          <t>계획관리지역</t>
        </is>
      </c>
      <c r="I9639" s="3" t="inlineStr">
        <is>
          <t>답</t>
        </is>
      </c>
      <c r="J9639" s="3" t="inlineStr">
        <is>
          <t>전의면</t>
        </is>
      </c>
    </row>
    <row r="9640">
      <c r="A9640" s="3" t="n">
        <v>2022</v>
      </c>
      <c r="B9640" s="4" t="n">
        <v>24240</v>
      </c>
      <c r="C9640" s="4" t="n">
        <v>1334</v>
      </c>
      <c r="D9640" s="4" t="n">
        <v>403.535</v>
      </c>
      <c r="E9640" s="5" t="n">
        <v>60.1</v>
      </c>
      <c r="F9640" s="3" t="inlineStr">
        <is>
          <t>금남면</t>
        </is>
      </c>
      <c r="G9640" s="3" t="inlineStr">
        <is>
          <t>도남리</t>
        </is>
      </c>
      <c r="H9640" s="3" t="inlineStr">
        <is>
          <t>보전관리지역</t>
        </is>
      </c>
      <c r="I9640" s="3" t="inlineStr">
        <is>
          <t>임야</t>
        </is>
      </c>
      <c r="J9640" s="3" t="inlineStr">
        <is>
          <t>금남면</t>
        </is>
      </c>
    </row>
    <row r="9641">
      <c r="A9641" s="3" t="n">
        <v>2022</v>
      </c>
      <c r="B9641" s="4" t="n">
        <v>9000</v>
      </c>
      <c r="C9641" s="4" t="n">
        <v>303</v>
      </c>
      <c r="D9641" s="4" t="n">
        <v>91.6575</v>
      </c>
      <c r="E9641" s="5" t="n">
        <v>98.2</v>
      </c>
      <c r="F9641" s="3" t="inlineStr">
        <is>
          <t>장군면</t>
        </is>
      </c>
      <c r="G9641" s="3" t="inlineStr">
        <is>
          <t>하봉리</t>
        </is>
      </c>
      <c r="H9641" s="3" t="inlineStr">
        <is>
          <t>계획관리지역</t>
        </is>
      </c>
      <c r="I9641" s="3" t="inlineStr">
        <is>
          <t>임야</t>
        </is>
      </c>
      <c r="J9641" s="3" t="inlineStr">
        <is>
          <t>장군면</t>
        </is>
      </c>
    </row>
    <row r="9642">
      <c r="A9642" s="3" t="n">
        <v>2022</v>
      </c>
      <c r="B9642" s="4" t="n">
        <v>2500</v>
      </c>
      <c r="C9642" s="4" t="n">
        <v>116</v>
      </c>
      <c r="D9642" s="4" t="n">
        <v>35.09</v>
      </c>
      <c r="E9642" s="5" t="n">
        <v>71.2</v>
      </c>
      <c r="F9642" s="3" t="inlineStr">
        <is>
          <t>장군면</t>
        </is>
      </c>
      <c r="G9642" s="3" t="inlineStr">
        <is>
          <t>하봉리</t>
        </is>
      </c>
      <c r="H9642" s="3" t="inlineStr">
        <is>
          <t>계획관리지역</t>
        </is>
      </c>
      <c r="I9642" s="3" t="inlineStr">
        <is>
          <t>임야</t>
        </is>
      </c>
      <c r="J9642" s="3" t="inlineStr">
        <is>
          <t>장군면</t>
        </is>
      </c>
    </row>
    <row r="9643">
      <c r="A9643" s="3" t="n">
        <v>2024</v>
      </c>
      <c r="B9643" s="4" t="n">
        <v>466</v>
      </c>
      <c r="C9643" s="4" t="n">
        <v>8</v>
      </c>
      <c r="D9643" s="4" t="n">
        <v>2.42</v>
      </c>
      <c r="E9643" s="5" t="n">
        <v>192.6</v>
      </c>
      <c r="F9643" s="3" t="inlineStr">
        <is>
          <t>장군면</t>
        </is>
      </c>
      <c r="G9643" s="3" t="inlineStr">
        <is>
          <t>금암리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2024</v>
      </c>
      <c r="B9644" s="4" t="n">
        <v>54000</v>
      </c>
      <c r="C9644" s="4" t="n">
        <v>1157</v>
      </c>
      <c r="D9644" s="4" t="n">
        <v>349.9925</v>
      </c>
      <c r="E9644" s="5" t="n">
        <v>154.3</v>
      </c>
      <c r="F9644" s="3" t="inlineStr">
        <is>
          <t>장군면</t>
        </is>
      </c>
      <c r="G9644" s="3" t="inlineStr">
        <is>
          <t>도계리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장군면</t>
        </is>
      </c>
    </row>
    <row r="9645">
      <c r="A9645" s="3" t="n">
        <v>2024</v>
      </c>
      <c r="B9645" s="4" t="n">
        <v>17414</v>
      </c>
      <c r="C9645" s="4" t="n">
        <v>705</v>
      </c>
      <c r="D9645" s="4" t="n">
        <v>213.2625</v>
      </c>
      <c r="E9645" s="5" t="n">
        <v>81.7</v>
      </c>
      <c r="F9645" s="3" t="inlineStr">
        <is>
          <t>장군면</t>
        </is>
      </c>
      <c r="G9645" s="3" t="inlineStr">
        <is>
          <t>송문리</t>
        </is>
      </c>
      <c r="H9645" s="3" t="inlineStr">
        <is>
          <t>농림지역</t>
        </is>
      </c>
      <c r="I9645" s="3" t="inlineStr">
        <is>
          <t>목장용지</t>
        </is>
      </c>
      <c r="J9645" s="3" t="inlineStr">
        <is>
          <t>장군면</t>
        </is>
      </c>
    </row>
    <row r="9646">
      <c r="A9646" s="3" t="n">
        <v>2024</v>
      </c>
      <c r="B9646" s="4" t="n">
        <v>25068</v>
      </c>
      <c r="C9646" s="4" t="n">
        <v>454</v>
      </c>
      <c r="D9646" s="4" t="n">
        <v>137.335</v>
      </c>
      <c r="E9646" s="5" t="n">
        <v>182.5</v>
      </c>
      <c r="F9646" s="3" t="inlineStr">
        <is>
          <t>장군면</t>
        </is>
      </c>
      <c r="G9646" s="3" t="inlineStr">
        <is>
          <t>금암리</t>
        </is>
      </c>
      <c r="H9646" s="3" t="inlineStr">
        <is>
          <t>보전관리지역</t>
        </is>
      </c>
      <c r="I9646" s="3" t="inlineStr">
        <is>
          <t>대</t>
        </is>
      </c>
      <c r="J9646" s="3" t="inlineStr">
        <is>
          <t>장군면</t>
        </is>
      </c>
    </row>
    <row r="9647">
      <c r="A9647" s="3" t="n">
        <v>2024</v>
      </c>
      <c r="B9647" s="4" t="n">
        <v>33000</v>
      </c>
      <c r="C9647" s="4" t="n">
        <v>1091</v>
      </c>
      <c r="D9647" s="4" t="n">
        <v>330.0275</v>
      </c>
      <c r="E9647" s="5" t="n">
        <v>100</v>
      </c>
      <c r="F9647" s="3" t="inlineStr">
        <is>
          <t>장군면</t>
        </is>
      </c>
      <c r="G9647" s="3" t="inlineStr">
        <is>
          <t>금암리</t>
        </is>
      </c>
      <c r="H9647" s="3" t="inlineStr">
        <is>
          <t>제1종일반주거지역</t>
        </is>
      </c>
      <c r="I9647" s="3" t="inlineStr">
        <is>
          <t>임야</t>
        </is>
      </c>
      <c r="J9647" s="3" t="inlineStr">
        <is>
          <t>장군면</t>
        </is>
      </c>
    </row>
    <row r="9648">
      <c r="A9648" s="3" t="n">
        <v>2024</v>
      </c>
      <c r="B9648" s="4" t="n">
        <v>33807</v>
      </c>
      <c r="C9648" s="4" t="n">
        <v>535</v>
      </c>
      <c r="D9648" s="4" t="n">
        <v>161.8375</v>
      </c>
      <c r="E9648" s="5" t="n">
        <v>208.9</v>
      </c>
      <c r="F9648" s="3" t="inlineStr">
        <is>
          <t>장군면</t>
        </is>
      </c>
      <c r="G9648" s="3" t="inlineStr">
        <is>
          <t>금암리</t>
        </is>
      </c>
      <c r="H9648" s="3" t="inlineStr">
        <is>
          <t>보전관리지역</t>
        </is>
      </c>
      <c r="I9648" s="3" t="inlineStr">
        <is>
          <t>대</t>
        </is>
      </c>
      <c r="J9648" s="3" t="inlineStr">
        <is>
          <t>장군면</t>
        </is>
      </c>
    </row>
    <row r="9649">
      <c r="A9649" s="3" t="n">
        <v>2024</v>
      </c>
      <c r="B9649" s="4" t="n">
        <v>16000</v>
      </c>
      <c r="C9649" s="4" t="n">
        <v>943</v>
      </c>
      <c r="D9649" s="4" t="n">
        <v>285.2575</v>
      </c>
      <c r="E9649" s="5" t="n">
        <v>56.1</v>
      </c>
      <c r="F9649" s="3" t="inlineStr">
        <is>
          <t>전동면</t>
        </is>
      </c>
      <c r="G9649" s="3" t="inlineStr">
        <is>
          <t>미곡리</t>
        </is>
      </c>
      <c r="H9649" s="3" t="inlineStr">
        <is>
          <t>농림지역</t>
        </is>
      </c>
      <c r="I9649" s="3" t="inlineStr">
        <is>
          <t>답</t>
        </is>
      </c>
      <c r="J9649" s="3" t="inlineStr">
        <is>
          <t>전동면</t>
        </is>
      </c>
    </row>
    <row r="9650">
      <c r="A9650" s="3" t="n">
        <v>2024</v>
      </c>
      <c r="B9650" s="4" t="n">
        <v>39204</v>
      </c>
      <c r="C9650" s="4" t="n">
        <v>540</v>
      </c>
      <c r="D9650" s="4" t="n">
        <v>163.35</v>
      </c>
      <c r="E9650" s="5" t="n">
        <v>240</v>
      </c>
      <c r="F9650" s="3" t="inlineStr">
        <is>
          <t>연서면</t>
        </is>
      </c>
      <c r="G9650" s="3" t="inlineStr">
        <is>
          <t>신대리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연서면</t>
        </is>
      </c>
    </row>
    <row r="9651">
      <c r="A9651" s="3" t="n">
        <v>2024</v>
      </c>
      <c r="B9651" s="4" t="n">
        <v>35638</v>
      </c>
      <c r="C9651" s="4" t="n">
        <v>561</v>
      </c>
      <c r="D9651" s="4" t="n">
        <v>169.7025</v>
      </c>
      <c r="E9651" s="5" t="n">
        <v>210</v>
      </c>
      <c r="F9651" s="3" t="inlineStr">
        <is>
          <t>연서면</t>
        </is>
      </c>
      <c r="G9651" s="3" t="inlineStr">
        <is>
          <t>신대리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연서면</t>
        </is>
      </c>
    </row>
    <row r="9652">
      <c r="A9652" s="3" t="n">
        <v>2022</v>
      </c>
      <c r="B9652" s="4" t="n">
        <v>144383</v>
      </c>
      <c r="C9652" s="4" t="n">
        <v>740</v>
      </c>
      <c r="D9652" s="4" t="n">
        <v>223.85</v>
      </c>
      <c r="E9652" s="5" t="n">
        <v>645</v>
      </c>
      <c r="F9652" s="3" t="inlineStr">
        <is>
          <t>연서면</t>
        </is>
      </c>
      <c r="G9652" s="3" t="inlineStr">
        <is>
          <t>봉암리</t>
        </is>
      </c>
      <c r="H9652" s="3" t="inlineStr">
        <is>
          <t>계획관리지역</t>
        </is>
      </c>
      <c r="I9652" s="3" t="inlineStr">
        <is>
          <t>답</t>
        </is>
      </c>
      <c r="J9652" s="3" t="inlineStr">
        <is>
          <t>연서면</t>
        </is>
      </c>
    </row>
    <row r="9653">
      <c r="A9653" s="3" t="n">
        <v>2022</v>
      </c>
      <c r="B9653" s="4" t="n">
        <v>44486</v>
      </c>
      <c r="C9653" s="4" t="n">
        <v>228</v>
      </c>
      <c r="D9653" s="4" t="n">
        <v>68.97</v>
      </c>
      <c r="E9653" s="5" t="n">
        <v>645</v>
      </c>
      <c r="F9653" s="3" t="inlineStr">
        <is>
          <t>연서면</t>
        </is>
      </c>
      <c r="G9653" s="3" t="inlineStr">
        <is>
          <t>봉암리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연서면</t>
        </is>
      </c>
    </row>
    <row r="9654">
      <c r="A9654" s="3" t="n">
        <v>2022</v>
      </c>
      <c r="B9654" s="4" t="n">
        <v>78000</v>
      </c>
      <c r="C9654" s="4" t="n">
        <v>353.4</v>
      </c>
      <c r="D9654" s="4" t="n">
        <v>106.9035</v>
      </c>
      <c r="E9654" s="5" t="n">
        <v>729.6</v>
      </c>
      <c r="F9654" s="3" t="inlineStr">
        <is>
          <t>한솔동</t>
        </is>
      </c>
      <c r="G9654" s="3" t="inlineStr"/>
      <c r="H9654" s="3" t="inlineStr">
        <is>
          <t>제1종전용주거지역</t>
        </is>
      </c>
      <c r="I9654" s="3" t="inlineStr">
        <is>
          <t>대</t>
        </is>
      </c>
      <c r="J9654" s="3" t="inlineStr">
        <is>
          <t>한솔동</t>
        </is>
      </c>
    </row>
    <row r="9655">
      <c r="A9655" s="3" t="n">
        <v>2022</v>
      </c>
      <c r="B9655" s="4" t="n">
        <v>16000</v>
      </c>
      <c r="C9655" s="4" t="n">
        <v>153</v>
      </c>
      <c r="D9655" s="4" t="n">
        <v>46.2825</v>
      </c>
      <c r="E9655" s="5" t="n">
        <v>345.7</v>
      </c>
      <c r="F9655" s="3" t="inlineStr">
        <is>
          <t>반곡동</t>
        </is>
      </c>
      <c r="G9655" s="3" t="inlineStr"/>
      <c r="H9655" s="3" t="inlineStr">
        <is>
          <t>제1종전용주거지역</t>
        </is>
      </c>
      <c r="I9655" s="3" t="inlineStr">
        <is>
          <t>대</t>
        </is>
      </c>
      <c r="J9655" s="3" t="inlineStr">
        <is>
          <t>반곡동</t>
        </is>
      </c>
    </row>
    <row r="9656">
      <c r="A9656" s="3" t="n">
        <v>2022</v>
      </c>
      <c r="B9656" s="4" t="n">
        <v>67000</v>
      </c>
      <c r="C9656" s="4" t="n">
        <v>850</v>
      </c>
      <c r="D9656" s="4" t="n">
        <v>257.125</v>
      </c>
      <c r="E9656" s="5" t="n">
        <v>260.6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2022</v>
      </c>
      <c r="B9657" s="4" t="n">
        <v>9320</v>
      </c>
      <c r="C9657" s="4" t="n">
        <v>458</v>
      </c>
      <c r="D9657" s="4" t="n">
        <v>138.545</v>
      </c>
      <c r="E9657" s="5" t="n">
        <v>67.3</v>
      </c>
      <c r="F9657" s="3" t="inlineStr">
        <is>
          <t>전의면</t>
        </is>
      </c>
      <c r="G9657" s="3" t="inlineStr">
        <is>
          <t>신방리</t>
        </is>
      </c>
      <c r="H9657" s="3" t="inlineStr">
        <is>
          <t>계획관리지역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2022</v>
      </c>
      <c r="B9658" s="4" t="n">
        <v>9178</v>
      </c>
      <c r="C9658" s="4" t="n">
        <v>451</v>
      </c>
      <c r="D9658" s="4" t="n">
        <v>136.4275</v>
      </c>
      <c r="E9658" s="5" t="n">
        <v>67.3</v>
      </c>
      <c r="F9658" s="3" t="inlineStr">
        <is>
          <t>전의면</t>
        </is>
      </c>
      <c r="G9658" s="3" t="inlineStr">
        <is>
          <t>신방리</t>
        </is>
      </c>
      <c r="H9658" s="3" t="inlineStr">
        <is>
          <t>계획관리지역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2022</v>
      </c>
      <c r="B9659" s="4" t="n">
        <v>10460</v>
      </c>
      <c r="C9659" s="4" t="n">
        <v>514</v>
      </c>
      <c r="D9659" s="4" t="n">
        <v>155.485</v>
      </c>
      <c r="E9659" s="5" t="n">
        <v>67.3</v>
      </c>
      <c r="F9659" s="3" t="inlineStr">
        <is>
          <t>전의면</t>
        </is>
      </c>
      <c r="G9659" s="3" t="inlineStr">
        <is>
          <t>신방리</t>
        </is>
      </c>
      <c r="H9659" s="3" t="inlineStr">
        <is>
          <t>계획관리지역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2022</v>
      </c>
      <c r="B9660" s="4" t="n">
        <v>10521</v>
      </c>
      <c r="C9660" s="4" t="n">
        <v>517</v>
      </c>
      <c r="D9660" s="4" t="n">
        <v>156.3925</v>
      </c>
      <c r="E9660" s="5" t="n">
        <v>67.3</v>
      </c>
      <c r="F9660" s="3" t="inlineStr">
        <is>
          <t>전의면</t>
        </is>
      </c>
      <c r="G9660" s="3" t="inlineStr">
        <is>
          <t>신방리</t>
        </is>
      </c>
      <c r="H9660" s="3" t="inlineStr">
        <is>
          <t>계획관리지역</t>
        </is>
      </c>
      <c r="I9660" s="3" t="inlineStr">
        <is>
          <t>임야</t>
        </is>
      </c>
      <c r="J9660" s="3" t="inlineStr">
        <is>
          <t>전의면</t>
        </is>
      </c>
    </row>
    <row r="9661">
      <c r="A9661" s="3" t="n">
        <v>2022</v>
      </c>
      <c r="B9661" s="4" t="n">
        <v>10521</v>
      </c>
      <c r="C9661" s="4" t="n">
        <v>517</v>
      </c>
      <c r="D9661" s="4" t="n">
        <v>156.3925</v>
      </c>
      <c r="E9661" s="5" t="n">
        <v>67.3</v>
      </c>
      <c r="F9661" s="3" t="inlineStr">
        <is>
          <t>전의면</t>
        </is>
      </c>
      <c r="G9661" s="3" t="inlineStr">
        <is>
          <t>신방리</t>
        </is>
      </c>
      <c r="H9661" s="3" t="inlineStr">
        <is>
          <t>계획관리지역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2026</v>
      </c>
      <c r="B9662" s="4" t="n">
        <v>34000</v>
      </c>
      <c r="C9662" s="4" t="n">
        <v>652</v>
      </c>
      <c r="D9662" s="4" t="n">
        <v>197.23</v>
      </c>
      <c r="E9662" s="5" t="n">
        <v>172.4</v>
      </c>
      <c r="F9662" s="3" t="inlineStr">
        <is>
          <t>연동면</t>
        </is>
      </c>
      <c r="G9662" s="3" t="inlineStr">
        <is>
          <t>합강리</t>
        </is>
      </c>
      <c r="H9662" s="3" t="inlineStr">
        <is>
          <t>보전관리지역</t>
        </is>
      </c>
      <c r="I9662" s="3" t="inlineStr">
        <is>
          <t>전</t>
        </is>
      </c>
      <c r="J9662" s="3" t="inlineStr">
        <is>
          <t>연동면</t>
        </is>
      </c>
    </row>
    <row r="9663">
      <c r="A9663" s="3" t="n">
        <v>2026</v>
      </c>
      <c r="B9663" s="4" t="n">
        <v>37000</v>
      </c>
      <c r="C9663" s="4" t="n">
        <v>2315</v>
      </c>
      <c r="D9663" s="4" t="n">
        <v>700.2875</v>
      </c>
      <c r="E9663" s="5" t="n">
        <v>52.8</v>
      </c>
      <c r="F9663" s="3" t="inlineStr">
        <is>
          <t>연동면</t>
        </is>
      </c>
      <c r="G9663" s="3" t="inlineStr">
        <is>
          <t>문주리</t>
        </is>
      </c>
      <c r="H9663" s="3" t="inlineStr">
        <is>
          <t>농림지역</t>
        </is>
      </c>
      <c r="I9663" s="3" t="inlineStr">
        <is>
          <t>답</t>
        </is>
      </c>
      <c r="J9663" s="3" t="inlineStr">
        <is>
          <t>연동면</t>
        </is>
      </c>
    </row>
    <row r="9664">
      <c r="A9664" s="3" t="n">
        <v>2026</v>
      </c>
      <c r="B9664" s="4" t="n">
        <v>18000</v>
      </c>
      <c r="C9664" s="4" t="n">
        <v>2901</v>
      </c>
      <c r="D9664" s="4" t="n">
        <v>877.5525</v>
      </c>
      <c r="E9664" s="5" t="n">
        <v>20.5</v>
      </c>
      <c r="F9664" s="3" t="inlineStr">
        <is>
          <t>전동면</t>
        </is>
      </c>
      <c r="G9664" s="3" t="inlineStr">
        <is>
          <t>미곡리</t>
        </is>
      </c>
      <c r="H9664" s="3" t="inlineStr">
        <is>
          <t>농림지역</t>
        </is>
      </c>
      <c r="I9664" s="3" t="inlineStr">
        <is>
          <t>답</t>
        </is>
      </c>
      <c r="J9664" s="3" t="inlineStr">
        <is>
          <t>전동면</t>
        </is>
      </c>
    </row>
    <row r="9665">
      <c r="A9665" s="3" t="n">
        <v>2026</v>
      </c>
      <c r="B9665" s="4" t="n">
        <v>4050</v>
      </c>
      <c r="C9665" s="4" t="n">
        <v>269</v>
      </c>
      <c r="D9665" s="4" t="n">
        <v>81.3725</v>
      </c>
      <c r="E9665" s="5" t="n">
        <v>49.8</v>
      </c>
      <c r="F9665" s="3" t="inlineStr">
        <is>
          <t>금남면</t>
        </is>
      </c>
      <c r="G9665" s="3" t="inlineStr">
        <is>
          <t>성강리</t>
        </is>
      </c>
      <c r="H9665" s="3" t="inlineStr">
        <is>
          <t>계획관리지역</t>
        </is>
      </c>
      <c r="I9665" s="3" t="inlineStr">
        <is>
          <t>전</t>
        </is>
      </c>
      <c r="J9665" s="3" t="inlineStr">
        <is>
          <t>금남면</t>
        </is>
      </c>
    </row>
    <row r="9666">
      <c r="A9666" s="3" t="n">
        <v>2026</v>
      </c>
      <c r="B9666" s="4" t="n">
        <v>22100</v>
      </c>
      <c r="C9666" s="4" t="n">
        <v>2522</v>
      </c>
      <c r="D9666" s="4" t="n">
        <v>762.905</v>
      </c>
      <c r="E9666" s="5" t="n">
        <v>29</v>
      </c>
      <c r="F9666" s="3" t="inlineStr">
        <is>
          <t>전의면</t>
        </is>
      </c>
      <c r="G9666" s="3" t="inlineStr">
        <is>
          <t>신정리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전의면</t>
        </is>
      </c>
    </row>
    <row r="9667">
      <c r="A9667" s="3" t="n">
        <v>2026</v>
      </c>
      <c r="B9667" s="4" t="n">
        <v>16100</v>
      </c>
      <c r="C9667" s="4" t="n">
        <v>1835</v>
      </c>
      <c r="D9667" s="4" t="n">
        <v>555.0875</v>
      </c>
      <c r="E9667" s="5" t="n">
        <v>29</v>
      </c>
      <c r="F9667" s="3" t="inlineStr">
        <is>
          <t>전의면</t>
        </is>
      </c>
      <c r="G9667" s="3" t="inlineStr">
        <is>
          <t>신정리</t>
        </is>
      </c>
      <c r="H9667" s="3" t="inlineStr">
        <is>
          <t>농림지역</t>
        </is>
      </c>
      <c r="I9667" s="3" t="inlineStr">
        <is>
          <t>답</t>
        </is>
      </c>
      <c r="J9667" s="3" t="inlineStr">
        <is>
          <t>전의면</t>
        </is>
      </c>
    </row>
    <row r="9668">
      <c r="A9668" s="3" t="n">
        <v>2026</v>
      </c>
      <c r="B9668" s="4" t="n">
        <v>7100</v>
      </c>
      <c r="C9668" s="4" t="n">
        <v>902</v>
      </c>
      <c r="D9668" s="4" t="n">
        <v>272.855</v>
      </c>
      <c r="E9668" s="5" t="n">
        <v>26</v>
      </c>
      <c r="F9668" s="3" t="inlineStr">
        <is>
          <t>전의면</t>
        </is>
      </c>
      <c r="G9668" s="3" t="inlineStr">
        <is>
          <t>신정리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2026</v>
      </c>
      <c r="B9669" s="4" t="n">
        <v>240</v>
      </c>
      <c r="C9669" s="4" t="n">
        <v>9</v>
      </c>
      <c r="D9669" s="4" t="n">
        <v>2.7225</v>
      </c>
      <c r="E9669" s="5" t="n">
        <v>88.2</v>
      </c>
      <c r="F9669" s="3" t="inlineStr">
        <is>
          <t>장군면</t>
        </is>
      </c>
      <c r="G9669" s="3" t="inlineStr">
        <is>
          <t>봉안리</t>
        </is>
      </c>
      <c r="H9669" s="3" t="inlineStr">
        <is>
          <t>계획관리지역</t>
        </is>
      </c>
      <c r="I9669" s="3" t="inlineStr">
        <is>
          <t>도로</t>
        </is>
      </c>
      <c r="J9669" s="3" t="inlineStr">
        <is>
          <t>장군면</t>
        </is>
      </c>
    </row>
    <row r="9670">
      <c r="A9670" s="3" t="n">
        <v>2026</v>
      </c>
      <c r="B9670" s="4" t="n">
        <v>17500</v>
      </c>
      <c r="C9670" s="4" t="n">
        <v>1157</v>
      </c>
      <c r="D9670" s="4" t="n">
        <v>349.9925</v>
      </c>
      <c r="E9670" s="5" t="n">
        <v>50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생산관리지역</t>
        </is>
      </c>
      <c r="I9670" s="3" t="inlineStr">
        <is>
          <t>임야</t>
        </is>
      </c>
      <c r="J9670" s="3" t="inlineStr">
        <is>
          <t>전의면</t>
        </is>
      </c>
    </row>
    <row r="9671">
      <c r="A9671" s="3" t="n">
        <v>2024</v>
      </c>
      <c r="B9671" s="4" t="n">
        <v>9990</v>
      </c>
      <c r="C9671" s="4" t="n">
        <v>1118</v>
      </c>
      <c r="D9671" s="4" t="n">
        <v>338.195</v>
      </c>
      <c r="E9671" s="5" t="n">
        <v>29.5</v>
      </c>
      <c r="F9671" s="3" t="inlineStr">
        <is>
          <t>전의면</t>
        </is>
      </c>
      <c r="G9671" s="3" t="inlineStr">
        <is>
          <t>관정리</t>
        </is>
      </c>
      <c r="H9671" s="3" t="inlineStr">
        <is>
          <t>계획관리지역</t>
        </is>
      </c>
      <c r="I9671" s="3" t="inlineStr">
        <is>
          <t>목장용지</t>
        </is>
      </c>
      <c r="J9671" s="3" t="inlineStr">
        <is>
          <t>전의면</t>
        </is>
      </c>
    </row>
    <row r="9672">
      <c r="A9672" s="3" t="n">
        <v>2024</v>
      </c>
      <c r="B9672" s="4" t="n">
        <v>1300</v>
      </c>
      <c r="C9672" s="4" t="n">
        <v>42</v>
      </c>
      <c r="D9672" s="4" t="n">
        <v>12.705</v>
      </c>
      <c r="E9672" s="5" t="n">
        <v>102.3</v>
      </c>
      <c r="F9672" s="3" t="inlineStr">
        <is>
          <t>연서면</t>
        </is>
      </c>
      <c r="G9672" s="3" t="inlineStr">
        <is>
          <t>국촌리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연서면</t>
        </is>
      </c>
    </row>
    <row r="9673">
      <c r="A9673" s="3" t="n">
        <v>2024</v>
      </c>
      <c r="B9673" s="4" t="n">
        <v>16000</v>
      </c>
      <c r="C9673" s="4" t="n">
        <v>943</v>
      </c>
      <c r="D9673" s="4" t="n">
        <v>285.2575</v>
      </c>
      <c r="E9673" s="5" t="n">
        <v>56.1</v>
      </c>
      <c r="F9673" s="3" t="inlineStr">
        <is>
          <t>전동면</t>
        </is>
      </c>
      <c r="G9673" s="3" t="inlineStr">
        <is>
          <t>미곡리</t>
        </is>
      </c>
      <c r="H9673" s="3" t="inlineStr">
        <is>
          <t>농림지역</t>
        </is>
      </c>
      <c r="I9673" s="3" t="inlineStr">
        <is>
          <t>답</t>
        </is>
      </c>
      <c r="J9673" s="3" t="inlineStr">
        <is>
          <t>전동면</t>
        </is>
      </c>
    </row>
    <row r="9674">
      <c r="A9674" s="3" t="n">
        <v>2024</v>
      </c>
      <c r="B9674" s="4" t="n">
        <v>16790</v>
      </c>
      <c r="C9674" s="4" t="n">
        <v>310</v>
      </c>
      <c r="D9674" s="4" t="n">
        <v>93.77499999999999</v>
      </c>
      <c r="E9674" s="5" t="n">
        <v>179</v>
      </c>
      <c r="F9674" s="3" t="inlineStr">
        <is>
          <t>금남면</t>
        </is>
      </c>
      <c r="G9674" s="3" t="inlineStr">
        <is>
          <t>성덕리</t>
        </is>
      </c>
      <c r="H9674" s="3" t="inlineStr">
        <is>
          <t>보전관리지역</t>
        </is>
      </c>
      <c r="I9674" s="3" t="inlineStr">
        <is>
          <t>임야</t>
        </is>
      </c>
      <c r="J9674" s="3" t="inlineStr">
        <is>
          <t>금남면</t>
        </is>
      </c>
    </row>
    <row r="9675">
      <c r="A9675" s="3" t="n">
        <v>2024</v>
      </c>
      <c r="B9675" s="4" t="n">
        <v>6000</v>
      </c>
      <c r="C9675" s="4" t="n">
        <v>132</v>
      </c>
      <c r="D9675" s="4" t="n">
        <v>39.93</v>
      </c>
      <c r="E9675" s="5" t="n">
        <v>150.3</v>
      </c>
      <c r="F9675" s="3" t="inlineStr">
        <is>
          <t>장군면</t>
        </is>
      </c>
      <c r="G9675" s="3" t="inlineStr">
        <is>
          <t>봉안리</t>
        </is>
      </c>
      <c r="H9675" s="3" t="inlineStr">
        <is>
          <t>계획관리지역</t>
        </is>
      </c>
      <c r="I9675" s="3" t="inlineStr">
        <is>
          <t>임야</t>
        </is>
      </c>
      <c r="J9675" s="3" t="inlineStr">
        <is>
          <t>장군면</t>
        </is>
      </c>
    </row>
    <row r="9676">
      <c r="A9676" s="3" t="n">
        <v>2024</v>
      </c>
      <c r="B9676" s="4" t="n">
        <v>10000</v>
      </c>
      <c r="C9676" s="4" t="n">
        <v>288</v>
      </c>
      <c r="D9676" s="4" t="n">
        <v>87.12</v>
      </c>
      <c r="E9676" s="5" t="n">
        <v>114.8</v>
      </c>
      <c r="F9676" s="3" t="inlineStr">
        <is>
          <t>전동면</t>
        </is>
      </c>
      <c r="G9676" s="3" t="inlineStr">
        <is>
          <t>청송리</t>
        </is>
      </c>
      <c r="H9676" s="3" t="inlineStr">
        <is>
          <t>계획관리지역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2024</v>
      </c>
      <c r="B9677" s="4" t="n">
        <v>44500</v>
      </c>
      <c r="C9677" s="4" t="n">
        <v>346.5</v>
      </c>
      <c r="D9677" s="4" t="n">
        <v>104.81625</v>
      </c>
      <c r="E9677" s="5" t="n">
        <v>424.6</v>
      </c>
      <c r="F9677" s="3" t="inlineStr">
        <is>
          <t>고운동</t>
        </is>
      </c>
      <c r="G9677" s="3" t="inlineStr"/>
      <c r="H9677" s="3" t="inlineStr">
        <is>
          <t>제1종전용주거지역</t>
        </is>
      </c>
      <c r="I9677" s="3" t="inlineStr">
        <is>
          <t>대</t>
        </is>
      </c>
      <c r="J9677" s="3" t="inlineStr">
        <is>
          <t>고운동</t>
        </is>
      </c>
    </row>
    <row r="9678">
      <c r="A9678" s="3" t="n">
        <v>2024</v>
      </c>
      <c r="B9678" s="4" t="n">
        <v>10800</v>
      </c>
      <c r="C9678" s="4" t="n">
        <v>1021</v>
      </c>
      <c r="D9678" s="4" t="n">
        <v>308.8525</v>
      </c>
      <c r="E9678" s="5" t="n">
        <v>35</v>
      </c>
      <c r="F9678" s="3" t="inlineStr">
        <is>
          <t>연서면</t>
        </is>
      </c>
      <c r="G9678" s="3" t="inlineStr">
        <is>
          <t>고복리</t>
        </is>
      </c>
      <c r="H9678" s="3" t="inlineStr">
        <is>
          <t>보전관리지역</t>
        </is>
      </c>
      <c r="I9678" s="3" t="inlineStr">
        <is>
          <t>전</t>
        </is>
      </c>
      <c r="J9678" s="3" t="inlineStr">
        <is>
          <t>연서면</t>
        </is>
      </c>
    </row>
    <row r="9679">
      <c r="A9679" s="3" t="n">
        <v>2025</v>
      </c>
      <c r="B9679" s="4" t="n">
        <v>48735</v>
      </c>
      <c r="C9679" s="4" t="n">
        <v>764</v>
      </c>
      <c r="D9679" s="4" t="n">
        <v>231.11</v>
      </c>
      <c r="E9679" s="5" t="n">
        <v>210.9</v>
      </c>
      <c r="F9679" s="3" t="inlineStr">
        <is>
          <t>장군면</t>
        </is>
      </c>
      <c r="G9679" s="3" t="inlineStr">
        <is>
          <t>봉안리</t>
        </is>
      </c>
      <c r="H9679" s="3" t="inlineStr">
        <is>
          <t>보전관리지역</t>
        </is>
      </c>
      <c r="I9679" s="3" t="inlineStr">
        <is>
          <t>임야</t>
        </is>
      </c>
      <c r="J9679" s="3" t="inlineStr">
        <is>
          <t>장군면</t>
        </is>
      </c>
    </row>
    <row r="9680">
      <c r="A9680" s="3" t="n">
        <v>2025</v>
      </c>
      <c r="B9680" s="4" t="n">
        <v>60000</v>
      </c>
      <c r="C9680" s="4" t="n">
        <v>350</v>
      </c>
      <c r="D9680" s="4" t="n">
        <v>105.875</v>
      </c>
      <c r="E9680" s="5" t="n">
        <v>566.7</v>
      </c>
      <c r="F9680" s="3" t="inlineStr">
        <is>
          <t>고운동</t>
        </is>
      </c>
      <c r="G9680" s="3" t="inlineStr"/>
      <c r="H9680" s="3" t="inlineStr">
        <is>
          <t>제1종전용주거지역</t>
        </is>
      </c>
      <c r="I9680" s="3" t="inlineStr">
        <is>
          <t>대</t>
        </is>
      </c>
      <c r="J9680" s="3" t="inlineStr">
        <is>
          <t>고운동</t>
        </is>
      </c>
    </row>
    <row r="9681">
      <c r="A9681" s="3" t="n">
        <v>2025</v>
      </c>
      <c r="B9681" s="4" t="n">
        <v>46500</v>
      </c>
      <c r="C9681" s="4" t="n">
        <v>358</v>
      </c>
      <c r="D9681" s="4" t="n">
        <v>108.295</v>
      </c>
      <c r="E9681" s="5" t="n">
        <v>429.4</v>
      </c>
      <c r="F9681" s="3" t="inlineStr">
        <is>
          <t>고운동</t>
        </is>
      </c>
      <c r="G9681" s="3" t="inlineStr"/>
      <c r="H9681" s="3" t="inlineStr">
        <is>
          <t>제1종전용주거지역</t>
        </is>
      </c>
      <c r="I9681" s="3" t="inlineStr">
        <is>
          <t>대</t>
        </is>
      </c>
      <c r="J9681" s="3" t="inlineStr">
        <is>
          <t>고운동</t>
        </is>
      </c>
    </row>
    <row r="9682">
      <c r="A9682" s="3" t="n">
        <v>2025</v>
      </c>
      <c r="B9682" s="4" t="n">
        <v>29667</v>
      </c>
      <c r="C9682" s="4" t="n">
        <v>1891.8</v>
      </c>
      <c r="D9682" s="4" t="n">
        <v>572.2695</v>
      </c>
      <c r="E9682" s="5" t="n">
        <v>51.8</v>
      </c>
      <c r="F9682" s="3" t="inlineStr">
        <is>
          <t>전의면</t>
        </is>
      </c>
      <c r="G9682" s="3" t="inlineStr">
        <is>
          <t>신방리</t>
        </is>
      </c>
      <c r="H9682" s="3" t="inlineStr">
        <is>
          <t>계획관리지역</t>
        </is>
      </c>
      <c r="I9682" s="3" t="inlineStr">
        <is>
          <t>답</t>
        </is>
      </c>
      <c r="J9682" s="3" t="inlineStr">
        <is>
          <t>전의면</t>
        </is>
      </c>
    </row>
    <row r="9683">
      <c r="A9683" s="3" t="n">
        <v>2025</v>
      </c>
      <c r="B9683" s="4" t="n">
        <v>171</v>
      </c>
      <c r="C9683" s="4" t="n">
        <v>57</v>
      </c>
      <c r="D9683" s="4" t="n">
        <v>17.2425</v>
      </c>
      <c r="E9683" s="5" t="n">
        <v>9.9</v>
      </c>
      <c r="F9683" s="3" t="inlineStr">
        <is>
          <t>전의면</t>
        </is>
      </c>
      <c r="G9683" s="3" t="inlineStr">
        <is>
          <t>신방리</t>
        </is>
      </c>
      <c r="H9683" s="3" t="inlineStr">
        <is>
          <t>계획관리지역</t>
        </is>
      </c>
      <c r="I9683" s="3" t="inlineStr">
        <is>
          <t>도로</t>
        </is>
      </c>
      <c r="J9683" s="3" t="inlineStr">
        <is>
          <t>전의면</t>
        </is>
      </c>
    </row>
    <row r="9684">
      <c r="A9684" s="3" t="n">
        <v>2025</v>
      </c>
      <c r="B9684" s="4" t="n">
        <v>162</v>
      </c>
      <c r="C9684" s="4" t="n">
        <v>54</v>
      </c>
      <c r="D9684" s="4" t="n">
        <v>16.335</v>
      </c>
      <c r="E9684" s="5" t="n">
        <v>9.9</v>
      </c>
      <c r="F9684" s="3" t="inlineStr">
        <is>
          <t>전의면</t>
        </is>
      </c>
      <c r="G9684" s="3" t="inlineStr">
        <is>
          <t>신방리</t>
        </is>
      </c>
      <c r="H9684" s="3" t="inlineStr">
        <is>
          <t>계획관리지역</t>
        </is>
      </c>
      <c r="I9684" s="3" t="inlineStr">
        <is>
          <t>대</t>
        </is>
      </c>
      <c r="J9684" s="3" t="inlineStr">
        <is>
          <t>전의면</t>
        </is>
      </c>
    </row>
    <row r="9685">
      <c r="A9685" s="3" t="n">
        <v>2025</v>
      </c>
      <c r="B9685" s="4" t="n">
        <v>37800</v>
      </c>
      <c r="C9685" s="4" t="n">
        <v>1190</v>
      </c>
      <c r="D9685" s="4" t="n">
        <v>359.975</v>
      </c>
      <c r="E9685" s="5" t="n">
        <v>105</v>
      </c>
      <c r="F9685" s="3" t="inlineStr">
        <is>
          <t>금남면</t>
        </is>
      </c>
      <c r="G9685" s="3" t="inlineStr">
        <is>
          <t>두만리</t>
        </is>
      </c>
      <c r="H9685" s="3" t="inlineStr">
        <is>
          <t>개발제한구역</t>
        </is>
      </c>
      <c r="I9685" s="3" t="inlineStr">
        <is>
          <t>전</t>
        </is>
      </c>
      <c r="J9685" s="3" t="inlineStr">
        <is>
          <t>금남면</t>
        </is>
      </c>
    </row>
    <row r="9686">
      <c r="A9686" s="3" t="n">
        <v>2025</v>
      </c>
      <c r="B9686" s="4" t="n">
        <v>18000</v>
      </c>
      <c r="C9686" s="4" t="n">
        <v>1633</v>
      </c>
      <c r="D9686" s="4" t="n">
        <v>493.9825</v>
      </c>
      <c r="E9686" s="5" t="n">
        <v>36.4</v>
      </c>
      <c r="F9686" s="3" t="inlineStr">
        <is>
          <t>전의면</t>
        </is>
      </c>
      <c r="G9686" s="3" t="inlineStr">
        <is>
          <t>원성리</t>
        </is>
      </c>
      <c r="H9686" s="3" t="inlineStr">
        <is>
          <t>계획관리지역</t>
        </is>
      </c>
      <c r="I9686" s="3" t="inlineStr">
        <is>
          <t>답</t>
        </is>
      </c>
      <c r="J9686" s="3" t="inlineStr">
        <is>
          <t>전의면</t>
        </is>
      </c>
    </row>
    <row r="9687">
      <c r="A9687" s="3" t="n">
        <v>2025</v>
      </c>
      <c r="B9687" s="4" t="n">
        <v>22000</v>
      </c>
      <c r="C9687" s="4" t="n">
        <v>1273</v>
      </c>
      <c r="D9687" s="4" t="n">
        <v>385.0825</v>
      </c>
      <c r="E9687" s="5" t="n">
        <v>57.1</v>
      </c>
      <c r="F9687" s="3" t="inlineStr">
        <is>
          <t>금남면</t>
        </is>
      </c>
      <c r="G9687" s="3" t="inlineStr">
        <is>
          <t>두만리</t>
        </is>
      </c>
      <c r="H9687" s="3" t="inlineStr">
        <is>
          <t>개발제한구역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2025</v>
      </c>
      <c r="B9688" s="4" t="n">
        <v>28390</v>
      </c>
      <c r="C9688" s="4" t="n">
        <v>2839</v>
      </c>
      <c r="D9688" s="4" t="n">
        <v>858.7975</v>
      </c>
      <c r="E9688" s="5" t="n">
        <v>33.1</v>
      </c>
      <c r="F9688" s="3" t="inlineStr">
        <is>
          <t>전동면</t>
        </is>
      </c>
      <c r="G9688" s="3" t="inlineStr">
        <is>
          <t>송성리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전동면</t>
        </is>
      </c>
    </row>
    <row r="9689">
      <c r="A9689" s="3" t="n">
        <v>2025</v>
      </c>
      <c r="B9689" s="4" t="n">
        <v>30140</v>
      </c>
      <c r="C9689" s="4" t="n">
        <v>3014</v>
      </c>
      <c r="D9689" s="4" t="n">
        <v>911.735</v>
      </c>
      <c r="E9689" s="5" t="n">
        <v>33.1</v>
      </c>
      <c r="F9689" s="3" t="inlineStr">
        <is>
          <t>전동면</t>
        </is>
      </c>
      <c r="G9689" s="3" t="inlineStr">
        <is>
          <t>송성리</t>
        </is>
      </c>
      <c r="H9689" s="3" t="inlineStr">
        <is>
          <t>농림지역</t>
        </is>
      </c>
      <c r="I9689" s="3" t="inlineStr">
        <is>
          <t>답</t>
        </is>
      </c>
      <c r="J9689" s="3" t="inlineStr">
        <is>
          <t>전동면</t>
        </is>
      </c>
    </row>
    <row r="9690">
      <c r="A9690" s="3" t="n">
        <v>2025</v>
      </c>
      <c r="B9690" s="4" t="n">
        <v>33400</v>
      </c>
      <c r="C9690" s="4" t="n">
        <v>419</v>
      </c>
      <c r="D9690" s="4" t="n">
        <v>126.7475</v>
      </c>
      <c r="E9690" s="5" t="n">
        <v>263.5</v>
      </c>
      <c r="F9690" s="3" t="inlineStr">
        <is>
          <t>금남면</t>
        </is>
      </c>
      <c r="G9690" s="3" t="inlineStr">
        <is>
          <t>대박리</t>
        </is>
      </c>
      <c r="H9690" s="3" t="inlineStr">
        <is>
          <t>보전관리지역</t>
        </is>
      </c>
      <c r="I9690" s="3" t="inlineStr">
        <is>
          <t>임야</t>
        </is>
      </c>
      <c r="J9690" s="3" t="inlineStr">
        <is>
          <t>금남면</t>
        </is>
      </c>
    </row>
    <row r="9691">
      <c r="A9691" s="3" t="n">
        <v>2025</v>
      </c>
      <c r="B9691" s="4" t="n">
        <v>21384</v>
      </c>
      <c r="C9691" s="4" t="n">
        <v>436.5</v>
      </c>
      <c r="D9691" s="4" t="n">
        <v>132.04125</v>
      </c>
      <c r="E9691" s="5" t="n">
        <v>161.9</v>
      </c>
      <c r="F9691" s="3" t="inlineStr">
        <is>
          <t>전의면</t>
        </is>
      </c>
      <c r="G9691" s="3" t="inlineStr">
        <is>
          <t>양곡리</t>
        </is>
      </c>
      <c r="H9691" s="3" t="inlineStr">
        <is>
          <t>준주거지역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2025</v>
      </c>
      <c r="B9692" s="4" t="n">
        <v>44487</v>
      </c>
      <c r="C9692" s="4" t="n">
        <v>520</v>
      </c>
      <c r="D9692" s="4" t="n">
        <v>157.3</v>
      </c>
      <c r="E9692" s="5" t="n">
        <v>282.8</v>
      </c>
      <c r="F9692" s="3" t="inlineStr">
        <is>
          <t>장군면</t>
        </is>
      </c>
      <c r="G9692" s="3" t="inlineStr">
        <is>
          <t>산학리</t>
        </is>
      </c>
      <c r="H9692" s="3" t="inlineStr">
        <is>
          <t>보전관리지역</t>
        </is>
      </c>
      <c r="I9692" s="3" t="inlineStr">
        <is>
          <t>대</t>
        </is>
      </c>
      <c r="J9692" s="3" t="inlineStr">
        <is>
          <t>장군면</t>
        </is>
      </c>
    </row>
    <row r="9693">
      <c r="A9693" s="3" t="n">
        <v>2024</v>
      </c>
      <c r="B9693" s="4" t="n">
        <v>28049</v>
      </c>
      <c r="C9693" s="4" t="n">
        <v>450</v>
      </c>
      <c r="D9693" s="4" t="n">
        <v>136.125</v>
      </c>
      <c r="E9693" s="5" t="n">
        <v>206.1</v>
      </c>
      <c r="F9693" s="3" t="inlineStr">
        <is>
          <t>장군면</t>
        </is>
      </c>
      <c r="G9693" s="3" t="inlineStr">
        <is>
          <t>금암리</t>
        </is>
      </c>
      <c r="H9693" s="3" t="inlineStr">
        <is>
          <t>보전관리지역</t>
        </is>
      </c>
      <c r="I9693" s="3" t="inlineStr">
        <is>
          <t>대</t>
        </is>
      </c>
      <c r="J9693" s="3" t="inlineStr">
        <is>
          <t>장군면</t>
        </is>
      </c>
    </row>
    <row r="9694">
      <c r="A9694" s="3" t="n">
        <v>2024</v>
      </c>
      <c r="B9694" s="4" t="n">
        <v>11000</v>
      </c>
      <c r="C9694" s="4" t="n">
        <v>235</v>
      </c>
      <c r="D9694" s="4" t="n">
        <v>71.08749999999999</v>
      </c>
      <c r="E9694" s="5" t="n">
        <v>154.7</v>
      </c>
      <c r="F9694" s="3" t="inlineStr">
        <is>
          <t>연서면</t>
        </is>
      </c>
      <c r="G9694" s="3" t="inlineStr">
        <is>
          <t>신대리</t>
        </is>
      </c>
      <c r="H9694" s="3" t="inlineStr">
        <is>
          <t>계획관리지역</t>
        </is>
      </c>
      <c r="I9694" s="3" t="inlineStr">
        <is>
          <t>전</t>
        </is>
      </c>
      <c r="J9694" s="3" t="inlineStr">
        <is>
          <t>연서면</t>
        </is>
      </c>
    </row>
    <row r="9695">
      <c r="A9695" s="3" t="n">
        <v>2024</v>
      </c>
      <c r="B9695" s="4" t="n">
        <v>23667</v>
      </c>
      <c r="C9695" s="4" t="n">
        <v>483</v>
      </c>
      <c r="D9695" s="4" t="n">
        <v>146.1075</v>
      </c>
      <c r="E9695" s="5" t="n">
        <v>162</v>
      </c>
      <c r="F9695" s="3" t="inlineStr">
        <is>
          <t>부강면</t>
        </is>
      </c>
      <c r="G9695" s="3" t="inlineStr">
        <is>
          <t>등곡리</t>
        </is>
      </c>
      <c r="H9695" s="3" t="inlineStr">
        <is>
          <t>제1종일반주거지역</t>
        </is>
      </c>
      <c r="I9695" s="3" t="inlineStr">
        <is>
          <t>구거</t>
        </is>
      </c>
      <c r="J9695" s="3" t="inlineStr">
        <is>
          <t>부강면</t>
        </is>
      </c>
    </row>
    <row r="9696">
      <c r="A9696" s="3" t="n">
        <v>2024</v>
      </c>
      <c r="B9696" s="4" t="n">
        <v>53000</v>
      </c>
      <c r="C9696" s="4" t="n">
        <v>873</v>
      </c>
      <c r="D9696" s="4" t="n">
        <v>264.0825</v>
      </c>
      <c r="E9696" s="5" t="n">
        <v>200.7</v>
      </c>
      <c r="F9696" s="3" t="inlineStr">
        <is>
          <t>연동면</t>
        </is>
      </c>
      <c r="G9696" s="3" t="inlineStr">
        <is>
          <t>예양리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2024</v>
      </c>
      <c r="B9697" s="4" t="n">
        <v>10500</v>
      </c>
      <c r="C9697" s="4" t="n">
        <v>516</v>
      </c>
      <c r="D9697" s="4" t="n">
        <v>156.09</v>
      </c>
      <c r="E9697" s="5" t="n">
        <v>67.3</v>
      </c>
      <c r="F9697" s="3" t="inlineStr">
        <is>
          <t>금남면</t>
        </is>
      </c>
      <c r="G9697" s="3" t="inlineStr">
        <is>
          <t>호탄리</t>
        </is>
      </c>
      <c r="H9697" s="3" t="inlineStr">
        <is>
          <t>개발제한구역</t>
        </is>
      </c>
      <c r="I9697" s="3" t="inlineStr">
        <is>
          <t>답</t>
        </is>
      </c>
      <c r="J9697" s="3" t="inlineStr">
        <is>
          <t>금남면</t>
        </is>
      </c>
    </row>
    <row r="9698">
      <c r="A9698" s="3" t="n">
        <v>2024</v>
      </c>
      <c r="B9698" s="4" t="n">
        <v>163000</v>
      </c>
      <c r="C9698" s="4" t="n">
        <v>1478</v>
      </c>
      <c r="D9698" s="4" t="n">
        <v>447.095</v>
      </c>
      <c r="E9698" s="5" t="n">
        <v>364.6</v>
      </c>
      <c r="F9698" s="3" t="inlineStr">
        <is>
          <t>금남면</t>
        </is>
      </c>
      <c r="G9698" s="3" t="inlineStr">
        <is>
          <t>황용리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금남면</t>
        </is>
      </c>
    </row>
    <row r="9699">
      <c r="A9699" s="3" t="n">
        <v>2022</v>
      </c>
      <c r="B9699" s="4" t="n">
        <v>300</v>
      </c>
      <c r="C9699" s="4" t="n">
        <v>26</v>
      </c>
      <c r="D9699" s="4" t="n">
        <v>7.865</v>
      </c>
      <c r="E9699" s="5" t="n">
        <v>38.1</v>
      </c>
      <c r="F9699" s="3" t="inlineStr">
        <is>
          <t>부강면</t>
        </is>
      </c>
      <c r="G9699" s="3" t="inlineStr">
        <is>
          <t>등곡리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부강면</t>
        </is>
      </c>
    </row>
    <row r="9700">
      <c r="A9700" s="3" t="n">
        <v>2022</v>
      </c>
      <c r="B9700" s="4" t="n">
        <v>2700</v>
      </c>
      <c r="C9700" s="4" t="n">
        <v>157</v>
      </c>
      <c r="D9700" s="4" t="n">
        <v>47.4925</v>
      </c>
      <c r="E9700" s="5" t="n">
        <v>56.9</v>
      </c>
      <c r="F9700" s="3" t="inlineStr">
        <is>
          <t>부강면</t>
        </is>
      </c>
      <c r="G9700" s="3" t="inlineStr">
        <is>
          <t>등곡리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부강면</t>
        </is>
      </c>
    </row>
    <row r="9701">
      <c r="A9701" s="3" t="n">
        <v>2022</v>
      </c>
      <c r="B9701" s="4" t="n">
        <v>6000</v>
      </c>
      <c r="C9701" s="4" t="n">
        <v>143</v>
      </c>
      <c r="D9701" s="4" t="n">
        <v>43.2575</v>
      </c>
      <c r="E9701" s="5" t="n">
        <v>138.7</v>
      </c>
      <c r="F9701" s="3" t="inlineStr">
        <is>
          <t>금남면</t>
        </is>
      </c>
      <c r="G9701" s="3" t="inlineStr">
        <is>
          <t>원봉리</t>
        </is>
      </c>
      <c r="H9701" s="3" t="inlineStr">
        <is>
          <t>계획관리지역</t>
        </is>
      </c>
      <c r="I9701" s="3" t="inlineStr">
        <is>
          <t>임야</t>
        </is>
      </c>
      <c r="J9701" s="3" t="inlineStr">
        <is>
          <t>금남면</t>
        </is>
      </c>
    </row>
    <row r="9702">
      <c r="A9702" s="3" t="n">
        <v>2022</v>
      </c>
      <c r="B9702" s="4" t="n">
        <v>21820</v>
      </c>
      <c r="C9702" s="4" t="n">
        <v>225</v>
      </c>
      <c r="D9702" s="4" t="n">
        <v>68.0625</v>
      </c>
      <c r="E9702" s="5" t="n">
        <v>320.6</v>
      </c>
      <c r="F9702" s="3" t="inlineStr">
        <is>
          <t>금남면</t>
        </is>
      </c>
      <c r="G9702" s="3" t="inlineStr">
        <is>
          <t>원봉리</t>
        </is>
      </c>
      <c r="H9702" s="3" t="inlineStr">
        <is>
          <t>계획관리지역</t>
        </is>
      </c>
      <c r="I9702" s="3" t="inlineStr">
        <is>
          <t>학교용지</t>
        </is>
      </c>
      <c r="J9702" s="3" t="inlineStr">
        <is>
          <t>금남면</t>
        </is>
      </c>
    </row>
    <row r="9703">
      <c r="A9703" s="3" t="n">
        <v>2022</v>
      </c>
      <c r="B9703" s="4" t="n">
        <v>11480</v>
      </c>
      <c r="C9703" s="4" t="n">
        <v>956</v>
      </c>
      <c r="D9703" s="4" t="n">
        <v>289.19</v>
      </c>
      <c r="E9703" s="5" t="n">
        <v>39.7</v>
      </c>
      <c r="F9703" s="3" t="inlineStr">
        <is>
          <t>금남면</t>
        </is>
      </c>
      <c r="G9703" s="3" t="inlineStr">
        <is>
          <t>신촌리</t>
        </is>
      </c>
      <c r="H9703" s="3" t="inlineStr">
        <is>
          <t>보전녹지지역</t>
        </is>
      </c>
      <c r="I9703" s="3" t="inlineStr">
        <is>
          <t>임야</t>
        </is>
      </c>
      <c r="J9703" s="3" t="inlineStr">
        <is>
          <t>금남면</t>
        </is>
      </c>
    </row>
    <row r="9704">
      <c r="A9704" s="3" t="n">
        <v>2022</v>
      </c>
      <c r="B9704" s="4" t="n">
        <v>520</v>
      </c>
      <c r="C9704" s="4" t="n">
        <v>44</v>
      </c>
      <c r="D9704" s="4" t="n">
        <v>13.31</v>
      </c>
      <c r="E9704" s="5" t="n">
        <v>39.1</v>
      </c>
      <c r="F9704" s="3" t="inlineStr">
        <is>
          <t>금남면</t>
        </is>
      </c>
      <c r="G9704" s="3" t="inlineStr">
        <is>
          <t>신촌리</t>
        </is>
      </c>
      <c r="H9704" s="3" t="inlineStr">
        <is>
          <t>보전녹지지역</t>
        </is>
      </c>
      <c r="I9704" s="3" t="inlineStr">
        <is>
          <t>임야</t>
        </is>
      </c>
      <c r="J9704" s="3" t="inlineStr">
        <is>
          <t>금남면</t>
        </is>
      </c>
    </row>
    <row r="9705">
      <c r="A9705" s="3" t="n">
        <v>2022</v>
      </c>
      <c r="B9705" s="4" t="n">
        <v>31000</v>
      </c>
      <c r="C9705" s="4" t="n">
        <v>330</v>
      </c>
      <c r="D9705" s="4" t="n">
        <v>99.825</v>
      </c>
      <c r="E9705" s="5" t="n">
        <v>310.5</v>
      </c>
      <c r="F9705" s="3" t="inlineStr">
        <is>
          <t>반곡동</t>
        </is>
      </c>
      <c r="G9705" s="3" t="inlineStr"/>
      <c r="H9705" s="3" t="inlineStr">
        <is>
          <t>제1종전용주거지역</t>
        </is>
      </c>
      <c r="I9705" s="3" t="inlineStr">
        <is>
          <t>대</t>
        </is>
      </c>
      <c r="J9705" s="3" t="inlineStr">
        <is>
          <t>반곡동</t>
        </is>
      </c>
    </row>
    <row r="9706">
      <c r="A9706" s="3" t="n">
        <v>2022</v>
      </c>
      <c r="B9706" s="4" t="n">
        <v>2700</v>
      </c>
      <c r="C9706" s="4" t="n">
        <v>60</v>
      </c>
      <c r="D9706" s="4" t="n">
        <v>18.15</v>
      </c>
      <c r="E9706" s="5" t="n">
        <v>148.8</v>
      </c>
      <c r="F9706" s="3" t="inlineStr">
        <is>
          <t>연서면</t>
        </is>
      </c>
      <c r="G9706" s="3" t="inlineStr">
        <is>
          <t>쌍류리</t>
        </is>
      </c>
      <c r="H9706" s="3" t="inlineStr">
        <is>
          <t>계획관리지역</t>
        </is>
      </c>
      <c r="I9706" s="3" t="inlineStr">
        <is>
          <t>임야</t>
        </is>
      </c>
      <c r="J9706" s="3" t="inlineStr">
        <is>
          <t>연서면</t>
        </is>
      </c>
    </row>
    <row r="9707">
      <c r="A9707" s="3" t="n">
        <v>2022</v>
      </c>
      <c r="B9707" s="4" t="n">
        <v>43000</v>
      </c>
      <c r="C9707" s="4" t="n">
        <v>1215</v>
      </c>
      <c r="D9707" s="4" t="n">
        <v>367.5375</v>
      </c>
      <c r="E9707" s="5" t="n">
        <v>117</v>
      </c>
      <c r="F9707" s="3" t="inlineStr">
        <is>
          <t>부강면</t>
        </is>
      </c>
      <c r="G9707" s="3" t="inlineStr">
        <is>
          <t>문곡리</t>
        </is>
      </c>
      <c r="H9707" s="3" t="inlineStr">
        <is>
          <t>계획관리지역</t>
        </is>
      </c>
      <c r="I9707" s="3" t="inlineStr">
        <is>
          <t>전</t>
        </is>
      </c>
      <c r="J9707" s="3" t="inlineStr">
        <is>
          <t>부강면</t>
        </is>
      </c>
    </row>
    <row r="9708">
      <c r="A9708" s="3" t="n">
        <v>2022</v>
      </c>
      <c r="B9708" s="4" t="n">
        <v>8400</v>
      </c>
      <c r="C9708" s="4" t="n">
        <v>463</v>
      </c>
      <c r="D9708" s="4" t="n">
        <v>140.0575</v>
      </c>
      <c r="E9708" s="5" t="n">
        <v>60</v>
      </c>
      <c r="F9708" s="3" t="inlineStr">
        <is>
          <t>장군면</t>
        </is>
      </c>
      <c r="G9708" s="3" t="inlineStr">
        <is>
          <t>송문리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장군면</t>
        </is>
      </c>
    </row>
    <row r="9709">
      <c r="A9709" s="3" t="n">
        <v>2022</v>
      </c>
      <c r="B9709" s="4" t="n">
        <v>9800</v>
      </c>
      <c r="C9709" s="4" t="n">
        <v>542</v>
      </c>
      <c r="D9709" s="4" t="n">
        <v>163.955</v>
      </c>
      <c r="E9709" s="5" t="n">
        <v>59.8</v>
      </c>
      <c r="F9709" s="3" t="inlineStr">
        <is>
          <t>장군면</t>
        </is>
      </c>
      <c r="G9709" s="3" t="inlineStr">
        <is>
          <t>송문리</t>
        </is>
      </c>
      <c r="H9709" s="3" t="inlineStr">
        <is>
          <t>계획관리지역</t>
        </is>
      </c>
      <c r="I9709" s="3" t="inlineStr">
        <is>
          <t>대</t>
        </is>
      </c>
      <c r="J9709" s="3" t="inlineStr">
        <is>
          <t>장군면</t>
        </is>
      </c>
    </row>
    <row r="9710">
      <c r="A9710" s="3" t="n">
        <v>2022</v>
      </c>
      <c r="B9710" s="4" t="n">
        <v>13881</v>
      </c>
      <c r="C9710" s="4" t="n">
        <v>2414</v>
      </c>
      <c r="D9710" s="4" t="n">
        <v>730.235</v>
      </c>
      <c r="E9710" s="5" t="n">
        <v>19</v>
      </c>
      <c r="F9710" s="3" t="inlineStr">
        <is>
          <t>금남면</t>
        </is>
      </c>
      <c r="G9710" s="3" t="inlineStr">
        <is>
          <t>용포리</t>
        </is>
      </c>
      <c r="H9710" s="3" t="inlineStr">
        <is>
          <t>개발제한구역</t>
        </is>
      </c>
      <c r="I9710" s="3" t="inlineStr">
        <is>
          <t>임야</t>
        </is>
      </c>
      <c r="J9710" s="3" t="inlineStr">
        <is>
          <t>금남면</t>
        </is>
      </c>
    </row>
    <row r="9711">
      <c r="A9711" s="3" t="n">
        <v>2022</v>
      </c>
      <c r="B9711" s="4" t="n">
        <v>900</v>
      </c>
      <c r="C9711" s="4" t="n">
        <v>30</v>
      </c>
      <c r="D9711" s="4" t="n">
        <v>9.074999999999999</v>
      </c>
      <c r="E9711" s="5" t="n">
        <v>99.2</v>
      </c>
      <c r="F9711" s="3" t="inlineStr">
        <is>
          <t>연동면</t>
        </is>
      </c>
      <c r="G9711" s="3" t="inlineStr">
        <is>
          <t>노송리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연동면</t>
        </is>
      </c>
    </row>
    <row r="9712">
      <c r="A9712" s="3" t="n">
        <v>2022</v>
      </c>
      <c r="B9712" s="4" t="n">
        <v>15500</v>
      </c>
      <c r="C9712" s="4" t="n">
        <v>159</v>
      </c>
      <c r="D9712" s="4" t="n">
        <v>48.0975</v>
      </c>
      <c r="E9712" s="5" t="n">
        <v>322.3</v>
      </c>
      <c r="F9712" s="3" t="inlineStr">
        <is>
          <t>반곡동</t>
        </is>
      </c>
      <c r="G9712" s="3" t="inlineStr"/>
      <c r="H9712" s="3" t="inlineStr">
        <is>
          <t>제1종전용주거지역</t>
        </is>
      </c>
      <c r="I9712" s="3" t="inlineStr">
        <is>
          <t>대</t>
        </is>
      </c>
      <c r="J9712" s="3" t="inlineStr">
        <is>
          <t>반곡동</t>
        </is>
      </c>
    </row>
    <row r="9713">
      <c r="A9713" s="3" t="n">
        <v>2022</v>
      </c>
      <c r="B9713" s="4" t="n">
        <v>5000</v>
      </c>
      <c r="C9713" s="4" t="n">
        <v>8078</v>
      </c>
      <c r="D9713" s="4" t="n">
        <v>2443.595</v>
      </c>
      <c r="E9713" s="5" t="n">
        <v>2</v>
      </c>
      <c r="F9713" s="3" t="inlineStr">
        <is>
          <t>전의면</t>
        </is>
      </c>
      <c r="G9713" s="3" t="inlineStr">
        <is>
          <t>유천리</t>
        </is>
      </c>
      <c r="H9713" s="3" t="inlineStr">
        <is>
          <t>농림지역</t>
        </is>
      </c>
      <c r="I9713" s="3" t="inlineStr">
        <is>
          <t>임야</t>
        </is>
      </c>
      <c r="J9713" s="3" t="inlineStr">
        <is>
          <t>전의면</t>
        </is>
      </c>
    </row>
    <row r="9714">
      <c r="A9714" s="3" t="n">
        <v>2022</v>
      </c>
      <c r="B9714" s="4" t="n">
        <v>4800</v>
      </c>
      <c r="C9714" s="4" t="n">
        <v>317</v>
      </c>
      <c r="D9714" s="4" t="n">
        <v>95.8925</v>
      </c>
      <c r="E9714" s="5" t="n">
        <v>50.1</v>
      </c>
      <c r="F9714" s="3" t="inlineStr">
        <is>
          <t>장군면</t>
        </is>
      </c>
      <c r="G9714" s="3" t="inlineStr">
        <is>
          <t>송문리</t>
        </is>
      </c>
      <c r="H9714" s="3" t="inlineStr">
        <is>
          <t>계획관리지역</t>
        </is>
      </c>
      <c r="I9714" s="3" t="inlineStr">
        <is>
          <t>전</t>
        </is>
      </c>
      <c r="J9714" s="3" t="inlineStr">
        <is>
          <t>장군면</t>
        </is>
      </c>
    </row>
    <row r="9715">
      <c r="A9715" s="3" t="n">
        <v>2025</v>
      </c>
      <c r="B9715" s="4" t="n">
        <v>56000</v>
      </c>
      <c r="C9715" s="4" t="n">
        <v>279.3</v>
      </c>
      <c r="D9715" s="4" t="n">
        <v>84.48825000000001</v>
      </c>
      <c r="E9715" s="5" t="n">
        <v>662.8</v>
      </c>
      <c r="F9715" s="3" t="inlineStr">
        <is>
          <t>해밀동</t>
        </is>
      </c>
      <c r="G9715" s="3" t="inlineStr"/>
      <c r="H9715" s="3" t="inlineStr">
        <is>
          <t>제1종전용주거지역</t>
        </is>
      </c>
      <c r="I9715" s="3" t="inlineStr">
        <is>
          <t>대</t>
        </is>
      </c>
      <c r="J9715" s="3" t="inlineStr">
        <is>
          <t>해밀동</t>
        </is>
      </c>
    </row>
    <row r="9716">
      <c r="A9716" s="3" t="n">
        <v>2025</v>
      </c>
      <c r="B9716" s="4" t="n">
        <v>9300</v>
      </c>
      <c r="C9716" s="4" t="n">
        <v>2775</v>
      </c>
      <c r="D9716" s="4" t="n">
        <v>839.4375</v>
      </c>
      <c r="E9716" s="5" t="n">
        <v>11.1</v>
      </c>
      <c r="F9716" s="3" t="inlineStr">
        <is>
          <t>전동면</t>
        </is>
      </c>
      <c r="G9716" s="3" t="inlineStr">
        <is>
          <t>봉대리</t>
        </is>
      </c>
      <c r="H9716" s="3" t="inlineStr">
        <is>
          <t>농림지역</t>
        </is>
      </c>
      <c r="I9716" s="3" t="inlineStr">
        <is>
          <t>임야</t>
        </is>
      </c>
      <c r="J9716" s="3" t="inlineStr">
        <is>
          <t>전동면</t>
        </is>
      </c>
    </row>
    <row r="9717">
      <c r="A9717" s="3" t="n">
        <v>2025</v>
      </c>
      <c r="B9717" s="4" t="n">
        <v>11700</v>
      </c>
      <c r="C9717" s="4" t="n">
        <v>3504</v>
      </c>
      <c r="D9717" s="4" t="n">
        <v>1059.96</v>
      </c>
      <c r="E9717" s="5" t="n">
        <v>11</v>
      </c>
      <c r="F9717" s="3" t="inlineStr">
        <is>
          <t>전동면</t>
        </is>
      </c>
      <c r="G9717" s="3" t="inlineStr">
        <is>
          <t>봉대리</t>
        </is>
      </c>
      <c r="H9717" s="3" t="inlineStr">
        <is>
          <t>농림지역</t>
        </is>
      </c>
      <c r="I9717" s="3" t="inlineStr">
        <is>
          <t>임야</t>
        </is>
      </c>
      <c r="J9717" s="3" t="inlineStr">
        <is>
          <t>전동면</t>
        </is>
      </c>
    </row>
    <row r="9718">
      <c r="A9718" s="3" t="n">
        <v>2025</v>
      </c>
      <c r="B9718" s="4" t="n">
        <v>5730</v>
      </c>
      <c r="C9718" s="4" t="n">
        <v>4771</v>
      </c>
      <c r="D9718" s="4" t="n">
        <v>1443.2275</v>
      </c>
      <c r="E9718" s="5" t="n">
        <v>4</v>
      </c>
      <c r="F9718" s="3" t="inlineStr">
        <is>
          <t>전동면</t>
        </is>
      </c>
      <c r="G9718" s="3" t="inlineStr">
        <is>
          <t>청람리</t>
        </is>
      </c>
      <c r="H9718" s="3" t="inlineStr">
        <is>
          <t>농림지역</t>
        </is>
      </c>
      <c r="I9718" s="3" t="inlineStr">
        <is>
          <t>임야</t>
        </is>
      </c>
      <c r="J9718" s="3" t="inlineStr">
        <is>
          <t>전동면</t>
        </is>
      </c>
    </row>
    <row r="9719">
      <c r="A9719" s="3" t="n">
        <v>2025</v>
      </c>
      <c r="B9719" s="4" t="n">
        <v>5670</v>
      </c>
      <c r="C9719" s="4" t="n">
        <v>4707</v>
      </c>
      <c r="D9719" s="4" t="n">
        <v>1423.8675</v>
      </c>
      <c r="E9719" s="5" t="n">
        <v>4</v>
      </c>
      <c r="F9719" s="3" t="inlineStr">
        <is>
          <t>전동면</t>
        </is>
      </c>
      <c r="G9719" s="3" t="inlineStr">
        <is>
          <t>청람리</t>
        </is>
      </c>
      <c r="H9719" s="3" t="inlineStr">
        <is>
          <t>농림지역</t>
        </is>
      </c>
      <c r="I9719" s="3" t="inlineStr">
        <is>
          <t>임야</t>
        </is>
      </c>
      <c r="J9719" s="3" t="inlineStr">
        <is>
          <t>전동면</t>
        </is>
      </c>
    </row>
    <row r="9720">
      <c r="A9720" s="3" t="n">
        <v>2025</v>
      </c>
      <c r="B9720" s="4" t="n">
        <v>40000</v>
      </c>
      <c r="C9720" s="4" t="n">
        <v>1653</v>
      </c>
      <c r="D9720" s="4" t="n">
        <v>500.0325</v>
      </c>
      <c r="E9720" s="5" t="n">
        <v>80</v>
      </c>
      <c r="F9720" s="3" t="inlineStr">
        <is>
          <t>금남면</t>
        </is>
      </c>
      <c r="G9720" s="3" t="inlineStr">
        <is>
          <t>두만리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금남면</t>
        </is>
      </c>
    </row>
    <row r="9721">
      <c r="A9721" s="3" t="n">
        <v>2025</v>
      </c>
      <c r="B9721" s="4" t="n">
        <v>10000</v>
      </c>
      <c r="C9721" s="4" t="n">
        <v>129</v>
      </c>
      <c r="D9721" s="4" t="n">
        <v>39.0225</v>
      </c>
      <c r="E9721" s="5" t="n">
        <v>256.3</v>
      </c>
      <c r="F9721" s="3" t="inlineStr">
        <is>
          <t>조치원읍</t>
        </is>
      </c>
      <c r="G9721" s="3" t="inlineStr">
        <is>
          <t>신안리</t>
        </is>
      </c>
      <c r="H9721" s="3" t="inlineStr">
        <is>
          <t>제2종일반주거지역</t>
        </is>
      </c>
      <c r="I9721" s="3" t="inlineStr">
        <is>
          <t>전</t>
        </is>
      </c>
      <c r="J9721" s="3" t="inlineStr">
        <is>
          <t>조치원읍</t>
        </is>
      </c>
    </row>
    <row r="9722">
      <c r="A9722" s="3" t="n">
        <v>2025</v>
      </c>
      <c r="B9722" s="4" t="n">
        <v>30000</v>
      </c>
      <c r="C9722" s="4" t="n">
        <v>327</v>
      </c>
      <c r="D9722" s="4" t="n">
        <v>98.9175</v>
      </c>
      <c r="E9722" s="5" t="n">
        <v>303.3</v>
      </c>
      <c r="F9722" s="3" t="inlineStr">
        <is>
          <t>장군면</t>
        </is>
      </c>
      <c r="G9722" s="3" t="inlineStr">
        <is>
          <t>봉안리</t>
        </is>
      </c>
      <c r="H9722" s="3" t="inlineStr">
        <is>
          <t>계획관리지역</t>
        </is>
      </c>
      <c r="I9722" s="3" t="inlineStr">
        <is>
          <t>임야</t>
        </is>
      </c>
      <c r="J9722" s="3" t="inlineStr">
        <is>
          <t>장군면</t>
        </is>
      </c>
    </row>
    <row r="9723">
      <c r="A9723" s="3" t="n">
        <v>2025</v>
      </c>
      <c r="B9723" s="4" t="n">
        <v>125</v>
      </c>
      <c r="C9723" s="4" t="n">
        <v>12</v>
      </c>
      <c r="D9723" s="4" t="n">
        <v>3.63</v>
      </c>
      <c r="E9723" s="5" t="n">
        <v>34.4</v>
      </c>
      <c r="F9723" s="3" t="inlineStr">
        <is>
          <t>연서면</t>
        </is>
      </c>
      <c r="G9723" s="3" t="inlineStr">
        <is>
          <t>월하리</t>
        </is>
      </c>
      <c r="H9723" s="3" t="inlineStr">
        <is>
          <t>자연녹지지역</t>
        </is>
      </c>
      <c r="I9723" s="3" t="inlineStr">
        <is>
          <t>도로</t>
        </is>
      </c>
      <c r="J9723" s="3" t="inlineStr">
        <is>
          <t>연서면</t>
        </is>
      </c>
    </row>
    <row r="9724">
      <c r="A9724" s="3" t="n">
        <v>2025</v>
      </c>
      <c r="B9724" s="4" t="n">
        <v>46100</v>
      </c>
      <c r="C9724" s="4" t="n">
        <v>614</v>
      </c>
      <c r="D9724" s="4" t="n">
        <v>185.735</v>
      </c>
      <c r="E9724" s="5" t="n">
        <v>248.2</v>
      </c>
      <c r="F9724" s="3" t="inlineStr">
        <is>
          <t>장군면</t>
        </is>
      </c>
      <c r="G9724" s="3" t="inlineStr">
        <is>
          <t>대교리</t>
        </is>
      </c>
      <c r="H9724" s="3" t="inlineStr">
        <is>
          <t>보전관리지역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2025</v>
      </c>
      <c r="B9725" s="4" t="n">
        <v>15000</v>
      </c>
      <c r="C9725" s="4" t="n">
        <v>298</v>
      </c>
      <c r="D9725" s="4" t="n">
        <v>90.145</v>
      </c>
      <c r="E9725" s="5" t="n">
        <v>166.4</v>
      </c>
      <c r="F9725" s="3" t="inlineStr">
        <is>
          <t>조치원읍</t>
        </is>
      </c>
      <c r="G9725" s="3" t="inlineStr">
        <is>
          <t>봉산리</t>
        </is>
      </c>
      <c r="H9725" s="3" t="inlineStr">
        <is>
          <t>자연녹지지역</t>
        </is>
      </c>
      <c r="I9725" s="3" t="inlineStr">
        <is>
          <t>전</t>
        </is>
      </c>
      <c r="J9725" s="3" t="inlineStr">
        <is>
          <t>조치원읍</t>
        </is>
      </c>
    </row>
    <row r="9726">
      <c r="A9726" s="3" t="n">
        <v>2025</v>
      </c>
      <c r="B9726" s="4" t="n">
        <v>10241</v>
      </c>
      <c r="C9726" s="4" t="n">
        <v>1781</v>
      </c>
      <c r="D9726" s="4" t="n">
        <v>538.7524999999999</v>
      </c>
      <c r="E9726" s="5" t="n">
        <v>19</v>
      </c>
      <c r="F9726" s="3" t="inlineStr">
        <is>
          <t>소정면</t>
        </is>
      </c>
      <c r="G9726" s="3" t="inlineStr">
        <is>
          <t>소정리</t>
        </is>
      </c>
      <c r="H9726" s="3" t="inlineStr">
        <is>
          <t>생산관리지역</t>
        </is>
      </c>
      <c r="I9726" s="3" t="inlineStr">
        <is>
          <t>답</t>
        </is>
      </c>
      <c r="J9726" s="3" t="inlineStr">
        <is>
          <t>소정면</t>
        </is>
      </c>
    </row>
    <row r="9727">
      <c r="A9727" s="3" t="n">
        <v>2025</v>
      </c>
      <c r="B9727" s="4" t="n">
        <v>3477</v>
      </c>
      <c r="C9727" s="4" t="n">
        <v>606</v>
      </c>
      <c r="D9727" s="4" t="n">
        <v>183.315</v>
      </c>
      <c r="E9727" s="5" t="n">
        <v>19</v>
      </c>
      <c r="F9727" s="3" t="inlineStr">
        <is>
          <t>소정면</t>
        </is>
      </c>
      <c r="G9727" s="3" t="inlineStr">
        <is>
          <t>소정리</t>
        </is>
      </c>
      <c r="H9727" s="3" t="inlineStr">
        <is>
          <t>생산관리지역</t>
        </is>
      </c>
      <c r="I9727" s="3" t="inlineStr">
        <is>
          <t>답</t>
        </is>
      </c>
      <c r="J9727" s="3" t="inlineStr">
        <is>
          <t>소정면</t>
        </is>
      </c>
    </row>
    <row r="9728">
      <c r="A9728" s="3" t="n">
        <v>2025</v>
      </c>
      <c r="B9728" s="4" t="n">
        <v>5436</v>
      </c>
      <c r="C9728" s="4" t="n">
        <v>154</v>
      </c>
      <c r="D9728" s="4" t="n">
        <v>46.585</v>
      </c>
      <c r="E9728" s="5" t="n">
        <v>116.7</v>
      </c>
      <c r="F9728" s="3" t="inlineStr">
        <is>
          <t>연서면</t>
        </is>
      </c>
      <c r="G9728" s="3" t="inlineStr">
        <is>
          <t>성제리</t>
        </is>
      </c>
      <c r="H9728" s="3" t="inlineStr">
        <is>
          <t>계획관리지역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2025</v>
      </c>
      <c r="B9729" s="4" t="n">
        <v>35596</v>
      </c>
      <c r="C9729" s="4" t="n">
        <v>1569</v>
      </c>
      <c r="D9729" s="4" t="n">
        <v>474.6225</v>
      </c>
      <c r="E9729" s="5" t="n">
        <v>75</v>
      </c>
      <c r="F9729" s="3" t="inlineStr">
        <is>
          <t>연서면</t>
        </is>
      </c>
      <c r="G9729" s="3" t="inlineStr">
        <is>
          <t>신대리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연서면</t>
        </is>
      </c>
    </row>
    <row r="9730">
      <c r="A9730" s="3" t="n">
        <v>2022</v>
      </c>
      <c r="B9730" s="4" t="n">
        <v>7460</v>
      </c>
      <c r="C9730" s="4" t="n">
        <v>883</v>
      </c>
      <c r="D9730" s="4" t="n">
        <v>267.1075</v>
      </c>
      <c r="E9730" s="5" t="n">
        <v>27.9</v>
      </c>
      <c r="F9730" s="3" t="inlineStr">
        <is>
          <t>부강면</t>
        </is>
      </c>
      <c r="G9730" s="3" t="inlineStr">
        <is>
          <t>등곡리</t>
        </is>
      </c>
      <c r="H9730" s="3" t="inlineStr">
        <is>
          <t>생산관리지역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11040</v>
      </c>
      <c r="C9731" s="4" t="n">
        <v>1306</v>
      </c>
      <c r="D9731" s="4" t="n">
        <v>395.065</v>
      </c>
      <c r="E9731" s="5" t="n">
        <v>27.9</v>
      </c>
      <c r="F9731" s="3" t="inlineStr">
        <is>
          <t>부강면</t>
        </is>
      </c>
      <c r="G9731" s="3" t="inlineStr">
        <is>
          <t>등곡리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부강면</t>
        </is>
      </c>
    </row>
    <row r="9732">
      <c r="A9732" s="3" t="n">
        <v>2022</v>
      </c>
      <c r="B9732" s="4" t="n">
        <v>16642</v>
      </c>
      <c r="C9732" s="4" t="n">
        <v>157</v>
      </c>
      <c r="D9732" s="4" t="n">
        <v>47.4925</v>
      </c>
      <c r="E9732" s="5" t="n">
        <v>350.4</v>
      </c>
      <c r="F9732" s="3" t="inlineStr">
        <is>
          <t>조치원읍</t>
        </is>
      </c>
      <c r="G9732" s="3" t="inlineStr">
        <is>
          <t>신흥리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2026</v>
      </c>
      <c r="B9733" s="4" t="n">
        <v>76476</v>
      </c>
      <c r="C9733" s="4" t="n">
        <v>447</v>
      </c>
      <c r="D9733" s="4" t="n">
        <v>135.2175</v>
      </c>
      <c r="E9733" s="5" t="n">
        <v>565.6</v>
      </c>
      <c r="F9733" s="3" t="inlineStr">
        <is>
          <t>어진동</t>
        </is>
      </c>
      <c r="G9733" s="3" t="inlineStr"/>
      <c r="H9733" s="3" t="inlineStr">
        <is>
          <t>제1종전용주거지역</t>
        </is>
      </c>
      <c r="I9733" s="3" t="inlineStr">
        <is>
          <t>대</t>
        </is>
      </c>
      <c r="J9733" s="3" t="inlineStr">
        <is>
          <t>어진동</t>
        </is>
      </c>
    </row>
    <row r="9734">
      <c r="A9734" s="3" t="n">
        <v>2022</v>
      </c>
      <c r="B9734" s="4" t="n">
        <v>4220</v>
      </c>
      <c r="C9734" s="4" t="n">
        <v>93</v>
      </c>
      <c r="D9734" s="4" t="n">
        <v>28.1325</v>
      </c>
      <c r="E9734" s="5" t="n">
        <v>150</v>
      </c>
      <c r="F9734" s="3" t="inlineStr">
        <is>
          <t>연서면</t>
        </is>
      </c>
      <c r="G9734" s="3" t="inlineStr">
        <is>
          <t>쌍류리</t>
        </is>
      </c>
      <c r="H9734" s="3" t="inlineStr">
        <is>
          <t>생산관리지역</t>
        </is>
      </c>
      <c r="I9734" s="3" t="inlineStr">
        <is>
          <t>전</t>
        </is>
      </c>
      <c r="J9734" s="3" t="inlineStr">
        <is>
          <t>연서면</t>
        </is>
      </c>
    </row>
    <row r="9735">
      <c r="A9735" s="3" t="n">
        <v>2022</v>
      </c>
      <c r="B9735" s="4" t="n">
        <v>24730</v>
      </c>
      <c r="C9735" s="4" t="n">
        <v>545</v>
      </c>
      <c r="D9735" s="4" t="n">
        <v>164.8625</v>
      </c>
      <c r="E9735" s="5" t="n">
        <v>150</v>
      </c>
      <c r="F9735" s="3" t="inlineStr">
        <is>
          <t>연서면</t>
        </is>
      </c>
      <c r="G9735" s="3" t="inlineStr">
        <is>
          <t>쌍류리</t>
        </is>
      </c>
      <c r="H9735" s="3" t="inlineStr">
        <is>
          <t>생산관리지역</t>
        </is>
      </c>
      <c r="I9735" s="3" t="inlineStr">
        <is>
          <t>전</t>
        </is>
      </c>
      <c r="J9735" s="3" t="inlineStr">
        <is>
          <t>연서면</t>
        </is>
      </c>
    </row>
    <row r="9736">
      <c r="A9736" s="3" t="n">
        <v>2022</v>
      </c>
      <c r="B9736" s="4" t="n">
        <v>19647</v>
      </c>
      <c r="C9736" s="4" t="n">
        <v>433</v>
      </c>
      <c r="D9736" s="4" t="n">
        <v>130.9825</v>
      </c>
      <c r="E9736" s="5" t="n">
        <v>150</v>
      </c>
      <c r="F9736" s="3" t="inlineStr">
        <is>
          <t>연서면</t>
        </is>
      </c>
      <c r="G9736" s="3" t="inlineStr">
        <is>
          <t>쌍류리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19700</v>
      </c>
      <c r="C9737" s="4" t="n">
        <v>684</v>
      </c>
      <c r="D9737" s="4" t="n">
        <v>206.91</v>
      </c>
      <c r="E9737" s="5" t="n">
        <v>95.2</v>
      </c>
      <c r="F9737" s="3" t="inlineStr">
        <is>
          <t>금남면</t>
        </is>
      </c>
      <c r="G9737" s="3" t="inlineStr">
        <is>
          <t>영대리</t>
        </is>
      </c>
      <c r="H9737" s="3" t="inlineStr">
        <is>
          <t>개발제한구역</t>
        </is>
      </c>
      <c r="I9737" s="3" t="inlineStr">
        <is>
          <t>전</t>
        </is>
      </c>
      <c r="J9737" s="3" t="inlineStr">
        <is>
          <t>금남면</t>
        </is>
      </c>
    </row>
    <row r="9738">
      <c r="A9738" s="3" t="n">
        <v>2022</v>
      </c>
      <c r="B9738" s="4" t="n">
        <v>7700</v>
      </c>
      <c r="C9738" s="4" t="n">
        <v>565</v>
      </c>
      <c r="D9738" s="4" t="n">
        <v>170.9125</v>
      </c>
      <c r="E9738" s="5" t="n">
        <v>45.1</v>
      </c>
      <c r="F9738" s="3" t="inlineStr">
        <is>
          <t>금남면</t>
        </is>
      </c>
      <c r="G9738" s="3" t="inlineStr">
        <is>
          <t>황용리</t>
        </is>
      </c>
      <c r="H9738" s="3" t="inlineStr">
        <is>
          <t>개발제한구역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2022</v>
      </c>
      <c r="B9739" s="4" t="n">
        <v>12530</v>
      </c>
      <c r="C9739" s="4" t="n">
        <v>2796</v>
      </c>
      <c r="D9739" s="4" t="n">
        <v>845.79</v>
      </c>
      <c r="E9739" s="5" t="n">
        <v>14.8</v>
      </c>
      <c r="F9739" s="3" t="inlineStr">
        <is>
          <t>전의면</t>
        </is>
      </c>
      <c r="G9739" s="3" t="inlineStr">
        <is>
          <t>관정리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전의면</t>
        </is>
      </c>
    </row>
    <row r="9740">
      <c r="A9740" s="3" t="n">
        <v>2022</v>
      </c>
      <c r="B9740" s="4" t="n">
        <v>18000</v>
      </c>
      <c r="C9740" s="4" t="n">
        <v>2166</v>
      </c>
      <c r="D9740" s="4" t="n">
        <v>655.215</v>
      </c>
      <c r="E9740" s="5" t="n">
        <v>27.5</v>
      </c>
      <c r="F9740" s="3" t="inlineStr">
        <is>
          <t>전의면</t>
        </is>
      </c>
      <c r="G9740" s="3" t="inlineStr">
        <is>
          <t>관정리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전의면</t>
        </is>
      </c>
    </row>
    <row r="9741">
      <c r="A9741" s="3" t="n">
        <v>2022</v>
      </c>
      <c r="B9741" s="4" t="n">
        <v>8300</v>
      </c>
      <c r="C9741" s="4" t="n">
        <v>2022</v>
      </c>
      <c r="D9741" s="4" t="n">
        <v>611.655</v>
      </c>
      <c r="E9741" s="5" t="n">
        <v>13.6</v>
      </c>
      <c r="F9741" s="3" t="inlineStr">
        <is>
          <t>연서면</t>
        </is>
      </c>
      <c r="G9741" s="3" t="inlineStr">
        <is>
          <t>고복리</t>
        </is>
      </c>
      <c r="H9741" s="3" t="inlineStr">
        <is>
          <t>보전관리지역</t>
        </is>
      </c>
      <c r="I9741" s="3" t="inlineStr">
        <is>
          <t>임야</t>
        </is>
      </c>
      <c r="J9741" s="3" t="inlineStr">
        <is>
          <t>연서면</t>
        </is>
      </c>
    </row>
    <row r="9742">
      <c r="A9742" s="3" t="n">
        <v>2022</v>
      </c>
      <c r="B9742" s="4" t="n">
        <v>30000</v>
      </c>
      <c r="C9742" s="4" t="n">
        <v>779</v>
      </c>
      <c r="D9742" s="4" t="n">
        <v>235.6475</v>
      </c>
      <c r="E9742" s="5" t="n">
        <v>127.3</v>
      </c>
      <c r="F9742" s="3" t="inlineStr">
        <is>
          <t>장군면</t>
        </is>
      </c>
      <c r="G9742" s="3" t="inlineStr">
        <is>
          <t>대교리</t>
        </is>
      </c>
      <c r="H9742" s="3" t="inlineStr">
        <is>
          <t>계획관리지역</t>
        </is>
      </c>
      <c r="I9742" s="3" t="inlineStr">
        <is>
          <t>대</t>
        </is>
      </c>
      <c r="J9742" s="3" t="inlineStr">
        <is>
          <t>장군면</t>
        </is>
      </c>
    </row>
    <row r="9743">
      <c r="A9743" s="3" t="n">
        <v>2022</v>
      </c>
      <c r="B9743" s="4" t="n">
        <v>22370</v>
      </c>
      <c r="C9743" s="4" t="n">
        <v>1233</v>
      </c>
      <c r="D9743" s="4" t="n">
        <v>372.9825</v>
      </c>
      <c r="E9743" s="5" t="n">
        <v>60</v>
      </c>
      <c r="F9743" s="3" t="inlineStr">
        <is>
          <t>연동면</t>
        </is>
      </c>
      <c r="G9743" s="3" t="inlineStr">
        <is>
          <t>응암리</t>
        </is>
      </c>
      <c r="H9743" s="3" t="inlineStr">
        <is>
          <t>농림지역</t>
        </is>
      </c>
      <c r="I9743" s="3" t="inlineStr">
        <is>
          <t>답</t>
        </is>
      </c>
      <c r="J9743" s="3" t="inlineStr">
        <is>
          <t>연동면</t>
        </is>
      </c>
    </row>
    <row r="9744">
      <c r="A9744" s="3" t="n">
        <v>2022</v>
      </c>
      <c r="B9744" s="4" t="n">
        <v>9760</v>
      </c>
      <c r="C9744" s="4" t="n">
        <v>542</v>
      </c>
      <c r="D9744" s="4" t="n">
        <v>163.955</v>
      </c>
      <c r="E9744" s="5" t="n">
        <v>59.5</v>
      </c>
      <c r="F9744" s="3" t="inlineStr">
        <is>
          <t>연동면</t>
        </is>
      </c>
      <c r="G9744" s="3" t="inlineStr">
        <is>
          <t>응암리</t>
        </is>
      </c>
      <c r="H9744" s="3" t="inlineStr">
        <is>
          <t>계획관리지역</t>
        </is>
      </c>
      <c r="I9744" s="3" t="inlineStr">
        <is>
          <t>전</t>
        </is>
      </c>
      <c r="J9744" s="3" t="inlineStr">
        <is>
          <t>연동면</t>
        </is>
      </c>
    </row>
    <row r="9745">
      <c r="A9745" s="3" t="n">
        <v>2022</v>
      </c>
      <c r="B9745" s="4" t="n">
        <v>13881</v>
      </c>
      <c r="C9745" s="4" t="n">
        <v>2414</v>
      </c>
      <c r="D9745" s="4" t="n">
        <v>730.235</v>
      </c>
      <c r="E9745" s="5" t="n">
        <v>19</v>
      </c>
      <c r="F9745" s="3" t="inlineStr">
        <is>
          <t>금남면</t>
        </is>
      </c>
      <c r="G9745" s="3" t="inlineStr">
        <is>
          <t>용포리</t>
        </is>
      </c>
      <c r="H9745" s="3" t="inlineStr">
        <is>
          <t>개발제한구역</t>
        </is>
      </c>
      <c r="I9745" s="3" t="inlineStr">
        <is>
          <t>임야</t>
        </is>
      </c>
      <c r="J9745" s="3" t="inlineStr">
        <is>
          <t>금남면</t>
        </is>
      </c>
    </row>
    <row r="9746">
      <c r="A9746" s="3" t="n">
        <v>2022</v>
      </c>
      <c r="B9746" s="4" t="n">
        <v>53000</v>
      </c>
      <c r="C9746" s="4" t="n">
        <v>1964</v>
      </c>
      <c r="D9746" s="4" t="n">
        <v>594.11</v>
      </c>
      <c r="E9746" s="5" t="n">
        <v>89.2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계획관리지역</t>
        </is>
      </c>
      <c r="I9746" s="3" t="inlineStr">
        <is>
          <t>답</t>
        </is>
      </c>
      <c r="J9746" s="3" t="inlineStr">
        <is>
          <t>전동면</t>
        </is>
      </c>
    </row>
    <row r="9747">
      <c r="A9747" s="3" t="n">
        <v>2022</v>
      </c>
      <c r="B9747" s="4" t="n">
        <v>54000</v>
      </c>
      <c r="C9747" s="4" t="n">
        <v>2731</v>
      </c>
      <c r="D9747" s="4" t="n">
        <v>826.1274999999999</v>
      </c>
      <c r="E9747" s="5" t="n">
        <v>65.40000000000001</v>
      </c>
      <c r="F9747" s="3" t="inlineStr">
        <is>
          <t>전동면</t>
        </is>
      </c>
      <c r="G9747" s="3" t="inlineStr">
        <is>
          <t>보덕리</t>
        </is>
      </c>
      <c r="H9747" s="3" t="inlineStr">
        <is>
          <t>농림지역</t>
        </is>
      </c>
      <c r="I9747" s="3" t="inlineStr">
        <is>
          <t>답</t>
        </is>
      </c>
      <c r="J9747" s="3" t="inlineStr">
        <is>
          <t>전동면</t>
        </is>
      </c>
    </row>
    <row r="9748">
      <c r="A9748" s="3" t="n">
        <v>2022</v>
      </c>
      <c r="B9748" s="4" t="n">
        <v>28500</v>
      </c>
      <c r="C9748" s="4" t="n">
        <v>992</v>
      </c>
      <c r="D9748" s="4" t="n">
        <v>300.08</v>
      </c>
      <c r="E9748" s="5" t="n">
        <v>95</v>
      </c>
      <c r="F9748" s="3" t="inlineStr">
        <is>
          <t>전동면</t>
        </is>
      </c>
      <c r="G9748" s="3" t="inlineStr">
        <is>
          <t>청송리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전동면</t>
        </is>
      </c>
    </row>
    <row r="9749">
      <c r="A9749" s="3" t="n">
        <v>2022</v>
      </c>
      <c r="B9749" s="4" t="n">
        <v>450</v>
      </c>
      <c r="C9749" s="4" t="n">
        <v>538</v>
      </c>
      <c r="D9749" s="4" t="n">
        <v>162.745</v>
      </c>
      <c r="E9749" s="5" t="n">
        <v>2.8</v>
      </c>
      <c r="F9749" s="3" t="inlineStr">
        <is>
          <t>금남면</t>
        </is>
      </c>
      <c r="G9749" s="3" t="inlineStr">
        <is>
          <t>두만리</t>
        </is>
      </c>
      <c r="H9749" s="3" t="inlineStr">
        <is>
          <t>개발제한구역</t>
        </is>
      </c>
      <c r="I9749" s="3" t="inlineStr">
        <is>
          <t>임야</t>
        </is>
      </c>
      <c r="J9749" s="3" t="inlineStr">
        <is>
          <t>금남면</t>
        </is>
      </c>
    </row>
    <row r="9750">
      <c r="A9750" s="3" t="n">
        <v>2023</v>
      </c>
      <c r="B9750" s="4" t="n">
        <v>32462</v>
      </c>
      <c r="C9750" s="4" t="n">
        <v>659.8</v>
      </c>
      <c r="D9750" s="4" t="n">
        <v>199.5895</v>
      </c>
      <c r="E9750" s="5" t="n">
        <v>162.6</v>
      </c>
      <c r="F9750" s="3" t="inlineStr">
        <is>
          <t>전동면</t>
        </is>
      </c>
      <c r="G9750" s="3" t="inlineStr">
        <is>
          <t>심중리</t>
        </is>
      </c>
      <c r="H9750" s="3" t="inlineStr">
        <is>
          <t>제1종일반주거지역</t>
        </is>
      </c>
      <c r="I9750" s="3" t="inlineStr">
        <is>
          <t>대</t>
        </is>
      </c>
      <c r="J9750" s="3" t="inlineStr">
        <is>
          <t>전동면</t>
        </is>
      </c>
    </row>
    <row r="9751">
      <c r="A9751" s="3" t="n">
        <v>2023</v>
      </c>
      <c r="B9751" s="4" t="n">
        <v>31622</v>
      </c>
      <c r="C9751" s="4" t="n">
        <v>658.8</v>
      </c>
      <c r="D9751" s="4" t="n">
        <v>199.287</v>
      </c>
      <c r="E9751" s="5" t="n">
        <v>158.7</v>
      </c>
      <c r="F9751" s="3" t="inlineStr">
        <is>
          <t>전동면</t>
        </is>
      </c>
      <c r="G9751" s="3" t="inlineStr">
        <is>
          <t>심중리</t>
        </is>
      </c>
      <c r="H9751" s="3" t="inlineStr">
        <is>
          <t>제1종일반주거지역</t>
        </is>
      </c>
      <c r="I9751" s="3" t="inlineStr">
        <is>
          <t>대</t>
        </is>
      </c>
      <c r="J9751" s="3" t="inlineStr">
        <is>
          <t>전동면</t>
        </is>
      </c>
    </row>
    <row r="9752">
      <c r="A9752" s="3" t="n">
        <v>2023</v>
      </c>
      <c r="B9752" s="4" t="n">
        <v>32428</v>
      </c>
      <c r="C9752" s="4" t="n">
        <v>659.1</v>
      </c>
      <c r="D9752" s="4" t="n">
        <v>199.37775</v>
      </c>
      <c r="E9752" s="5" t="n">
        <v>162.6</v>
      </c>
      <c r="F9752" s="3" t="inlineStr">
        <is>
          <t>전동면</t>
        </is>
      </c>
      <c r="G9752" s="3" t="inlineStr">
        <is>
          <t>심중리</t>
        </is>
      </c>
      <c r="H9752" s="3" t="inlineStr">
        <is>
          <t>제1종일반주거지역</t>
        </is>
      </c>
      <c r="I9752" s="3" t="inlineStr">
        <is>
          <t>대</t>
        </is>
      </c>
      <c r="J9752" s="3" t="inlineStr">
        <is>
          <t>전동면</t>
        </is>
      </c>
    </row>
    <row r="9753">
      <c r="A9753" s="3" t="n">
        <v>2023</v>
      </c>
      <c r="B9753" s="4" t="n">
        <v>17825</v>
      </c>
      <c r="C9753" s="4" t="n">
        <v>362.3</v>
      </c>
      <c r="D9753" s="4" t="n">
        <v>109.59575</v>
      </c>
      <c r="E9753" s="5" t="n">
        <v>162.6</v>
      </c>
      <c r="F9753" s="3" t="inlineStr">
        <is>
          <t>전동면</t>
        </is>
      </c>
      <c r="G9753" s="3" t="inlineStr">
        <is>
          <t>심중리</t>
        </is>
      </c>
      <c r="H9753" s="3" t="inlineStr">
        <is>
          <t>제1종일반주거지역</t>
        </is>
      </c>
      <c r="I9753" s="3" t="inlineStr">
        <is>
          <t>대</t>
        </is>
      </c>
      <c r="J9753" s="3" t="inlineStr">
        <is>
          <t>전동면</t>
        </is>
      </c>
    </row>
    <row r="9754">
      <c r="A9754" s="3" t="n">
        <v>2023</v>
      </c>
      <c r="B9754" s="4" t="n">
        <v>14829</v>
      </c>
      <c r="C9754" s="4" t="n">
        <v>301.4</v>
      </c>
      <c r="D9754" s="4" t="n">
        <v>91.17349999999999</v>
      </c>
      <c r="E9754" s="5" t="n">
        <v>162.6</v>
      </c>
      <c r="F9754" s="3" t="inlineStr">
        <is>
          <t>전동면</t>
        </is>
      </c>
      <c r="G9754" s="3" t="inlineStr">
        <is>
          <t>심중리</t>
        </is>
      </c>
      <c r="H9754" s="3" t="inlineStr">
        <is>
          <t>제1종일반주거지역</t>
        </is>
      </c>
      <c r="I9754" s="3" t="inlineStr">
        <is>
          <t>대</t>
        </is>
      </c>
      <c r="J9754" s="3" t="inlineStr">
        <is>
          <t>전동면</t>
        </is>
      </c>
    </row>
    <row r="9755">
      <c r="A9755" s="3" t="n">
        <v>2023</v>
      </c>
      <c r="B9755" s="4" t="n">
        <v>31666</v>
      </c>
      <c r="C9755" s="4" t="n">
        <v>659.7</v>
      </c>
      <c r="D9755" s="4" t="n">
        <v>199.55925</v>
      </c>
      <c r="E9755" s="5" t="n">
        <v>158.7</v>
      </c>
      <c r="F9755" s="3" t="inlineStr">
        <is>
          <t>전동면</t>
        </is>
      </c>
      <c r="G9755" s="3" t="inlineStr">
        <is>
          <t>심중리</t>
        </is>
      </c>
      <c r="H9755" s="3" t="inlineStr">
        <is>
          <t>제1종일반주거지역</t>
        </is>
      </c>
      <c r="I9755" s="3" t="inlineStr">
        <is>
          <t>대</t>
        </is>
      </c>
      <c r="J9755" s="3" t="inlineStr">
        <is>
          <t>전동면</t>
        </is>
      </c>
    </row>
    <row r="9756">
      <c r="A9756" s="3" t="n">
        <v>2023</v>
      </c>
      <c r="B9756" s="4" t="n">
        <v>126270</v>
      </c>
      <c r="C9756" s="4" t="n">
        <v>2300</v>
      </c>
      <c r="D9756" s="4" t="n">
        <v>695.75</v>
      </c>
      <c r="E9756" s="5" t="n">
        <v>181.5</v>
      </c>
      <c r="F9756" s="3" t="inlineStr">
        <is>
          <t>금남면</t>
        </is>
      </c>
      <c r="G9756" s="3" t="inlineStr">
        <is>
          <t>감성리</t>
        </is>
      </c>
      <c r="H9756" s="3" t="inlineStr">
        <is>
          <t>개발제한구역</t>
        </is>
      </c>
      <c r="I9756" s="3" t="inlineStr">
        <is>
          <t>답</t>
        </is>
      </c>
      <c r="J9756" s="3" t="inlineStr">
        <is>
          <t>금남면</t>
        </is>
      </c>
    </row>
    <row r="9757">
      <c r="A9757" s="3" t="n">
        <v>2023</v>
      </c>
      <c r="B9757" s="4" t="n">
        <v>21899</v>
      </c>
      <c r="C9757" s="4" t="n">
        <v>324</v>
      </c>
      <c r="D9757" s="4" t="n">
        <v>98.00999999999999</v>
      </c>
      <c r="E9757" s="5" t="n">
        <v>223.4</v>
      </c>
      <c r="F9757" s="3" t="inlineStr">
        <is>
          <t>전의면</t>
        </is>
      </c>
      <c r="G9757" s="3" t="inlineStr">
        <is>
          <t>관정리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2023</v>
      </c>
      <c r="B9758" s="4" t="n">
        <v>401</v>
      </c>
      <c r="C9758" s="4" t="n">
        <v>6</v>
      </c>
      <c r="D9758" s="4" t="n">
        <v>1.815</v>
      </c>
      <c r="E9758" s="5" t="n">
        <v>220.9</v>
      </c>
      <c r="F9758" s="3" t="inlineStr">
        <is>
          <t>전의면</t>
        </is>
      </c>
      <c r="G9758" s="3" t="inlineStr">
        <is>
          <t>관정리</t>
        </is>
      </c>
      <c r="H9758" s="3" t="inlineStr">
        <is>
          <t>계획관리지역</t>
        </is>
      </c>
      <c r="I9758" s="3" t="inlineStr">
        <is>
          <t>임야</t>
        </is>
      </c>
      <c r="J9758" s="3" t="inlineStr">
        <is>
          <t>전의면</t>
        </is>
      </c>
    </row>
    <row r="9759">
      <c r="A9759" s="3" t="n">
        <v>2023</v>
      </c>
      <c r="B9759" s="4" t="n">
        <v>12600</v>
      </c>
      <c r="C9759" s="4" t="n">
        <v>833</v>
      </c>
      <c r="D9759" s="4" t="n">
        <v>251.9825</v>
      </c>
      <c r="E9759" s="5" t="n">
        <v>50</v>
      </c>
      <c r="F9759" s="3" t="inlineStr">
        <is>
          <t>전의면</t>
        </is>
      </c>
      <c r="G9759" s="3" t="inlineStr">
        <is>
          <t>다방리</t>
        </is>
      </c>
      <c r="H9759" s="3" t="inlineStr">
        <is>
          <t>생산관리지역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2023</v>
      </c>
      <c r="B9760" s="4" t="n">
        <v>239500</v>
      </c>
      <c r="C9760" s="4" t="n">
        <v>4040</v>
      </c>
      <c r="D9760" s="4" t="n">
        <v>1222.1</v>
      </c>
      <c r="E9760" s="5" t="n">
        <v>196</v>
      </c>
      <c r="F9760" s="3" t="inlineStr">
        <is>
          <t>장군면</t>
        </is>
      </c>
      <c r="G9760" s="3" t="inlineStr">
        <is>
          <t>대교리</t>
        </is>
      </c>
      <c r="H9760" s="3" t="inlineStr">
        <is>
          <t>보전관리지역</t>
        </is>
      </c>
      <c r="I9760" s="3" t="inlineStr">
        <is>
          <t>임야</t>
        </is>
      </c>
      <c r="J9760" s="3" t="inlineStr">
        <is>
          <t>장군면</t>
        </is>
      </c>
    </row>
    <row r="9761">
      <c r="A9761" s="3" t="n">
        <v>2025</v>
      </c>
      <c r="B9761" s="4" t="n">
        <v>2259</v>
      </c>
      <c r="C9761" s="4" t="n">
        <v>79</v>
      </c>
      <c r="D9761" s="4" t="n">
        <v>23.8975</v>
      </c>
      <c r="E9761" s="5" t="n">
        <v>94.5</v>
      </c>
      <c r="F9761" s="3" t="inlineStr">
        <is>
          <t>장군면</t>
        </is>
      </c>
      <c r="G9761" s="3" t="inlineStr">
        <is>
          <t>송문리</t>
        </is>
      </c>
      <c r="H9761" s="3" t="inlineStr">
        <is>
          <t>보전관리지역</t>
        </is>
      </c>
      <c r="I9761" s="3" t="inlineStr">
        <is>
          <t>목장용지</t>
        </is>
      </c>
      <c r="J9761" s="3" t="inlineStr">
        <is>
          <t>장군면</t>
        </is>
      </c>
    </row>
    <row r="9762">
      <c r="A9762" s="3" t="n">
        <v>2025</v>
      </c>
      <c r="B9762" s="4" t="n">
        <v>8500</v>
      </c>
      <c r="C9762" s="4" t="n">
        <v>238</v>
      </c>
      <c r="D9762" s="4" t="n">
        <v>71.995</v>
      </c>
      <c r="E9762" s="5" t="n">
        <v>118.1</v>
      </c>
      <c r="F9762" s="3" t="inlineStr">
        <is>
          <t>연서면</t>
        </is>
      </c>
      <c r="G9762" s="3" t="inlineStr">
        <is>
          <t>봉암리</t>
        </is>
      </c>
      <c r="H9762" s="3" t="inlineStr">
        <is>
          <t>계획관리지역</t>
        </is>
      </c>
      <c r="I9762" s="3" t="inlineStr">
        <is>
          <t>대</t>
        </is>
      </c>
      <c r="J9762" s="3" t="inlineStr">
        <is>
          <t>연서면</t>
        </is>
      </c>
    </row>
    <row r="9763">
      <c r="A9763" s="3" t="n">
        <v>2025</v>
      </c>
      <c r="B9763" s="4" t="n">
        <v>5200</v>
      </c>
      <c r="C9763" s="4" t="n">
        <v>271</v>
      </c>
      <c r="D9763" s="4" t="n">
        <v>81.97749999999999</v>
      </c>
      <c r="E9763" s="5" t="n">
        <v>63.4</v>
      </c>
      <c r="F9763" s="3" t="inlineStr">
        <is>
          <t>금남면</t>
        </is>
      </c>
      <c r="G9763" s="3" t="inlineStr">
        <is>
          <t>영곡리</t>
        </is>
      </c>
      <c r="H9763" s="3" t="inlineStr">
        <is>
          <t>보전관리지역</t>
        </is>
      </c>
      <c r="I9763" s="3" t="inlineStr">
        <is>
          <t>전</t>
        </is>
      </c>
      <c r="J9763" s="3" t="inlineStr">
        <is>
          <t>금남면</t>
        </is>
      </c>
    </row>
    <row r="9764">
      <c r="A9764" s="3" t="n">
        <v>2025</v>
      </c>
      <c r="B9764" s="4" t="n">
        <v>26901</v>
      </c>
      <c r="C9764" s="4" t="n">
        <v>1653</v>
      </c>
      <c r="D9764" s="4" t="n">
        <v>500.0325</v>
      </c>
      <c r="E9764" s="5" t="n">
        <v>53.8</v>
      </c>
      <c r="F9764" s="3" t="inlineStr">
        <is>
          <t>전동면</t>
        </is>
      </c>
      <c r="G9764" s="3" t="inlineStr">
        <is>
          <t>노장리</t>
        </is>
      </c>
      <c r="H9764" s="3" t="inlineStr">
        <is>
          <t>계획관리지역</t>
        </is>
      </c>
      <c r="I9764" s="3" t="inlineStr">
        <is>
          <t>임야</t>
        </is>
      </c>
      <c r="J9764" s="3" t="inlineStr">
        <is>
          <t>전동면</t>
        </is>
      </c>
    </row>
    <row r="9765">
      <c r="A9765" s="3" t="n">
        <v>2025</v>
      </c>
      <c r="B9765" s="4" t="n">
        <v>14258</v>
      </c>
      <c r="C9765" s="4" t="n">
        <v>423</v>
      </c>
      <c r="D9765" s="4" t="n">
        <v>127.9575</v>
      </c>
      <c r="E9765" s="5" t="n">
        <v>111.4</v>
      </c>
      <c r="F9765" s="3" t="inlineStr">
        <is>
          <t>장군면</t>
        </is>
      </c>
      <c r="G9765" s="3" t="inlineStr">
        <is>
          <t>평기리</t>
        </is>
      </c>
      <c r="H9765" s="3" t="inlineStr">
        <is>
          <t>보전관리지역</t>
        </is>
      </c>
      <c r="I9765" s="3" t="inlineStr">
        <is>
          <t>임야</t>
        </is>
      </c>
      <c r="J9765" s="3" t="inlineStr">
        <is>
          <t>장군면</t>
        </is>
      </c>
    </row>
    <row r="9766">
      <c r="A9766" s="3" t="n">
        <v>2025</v>
      </c>
      <c r="B9766" s="4" t="n">
        <v>2743</v>
      </c>
      <c r="C9766" s="4" t="n">
        <v>77</v>
      </c>
      <c r="D9766" s="4" t="n">
        <v>23.2925</v>
      </c>
      <c r="E9766" s="5" t="n">
        <v>117.8</v>
      </c>
      <c r="F9766" s="3" t="inlineStr">
        <is>
          <t>장군면</t>
        </is>
      </c>
      <c r="G9766" s="3" t="inlineStr">
        <is>
          <t>평기리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2025</v>
      </c>
      <c r="B9767" s="4" t="n">
        <v>1200</v>
      </c>
      <c r="C9767" s="4" t="n">
        <v>36</v>
      </c>
      <c r="D9767" s="4" t="n">
        <v>10.89</v>
      </c>
      <c r="E9767" s="5" t="n">
        <v>110.2</v>
      </c>
      <c r="F9767" s="3" t="inlineStr">
        <is>
          <t>장군면</t>
        </is>
      </c>
      <c r="G9767" s="3" t="inlineStr">
        <is>
          <t>평기리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2025</v>
      </c>
      <c r="B9768" s="4" t="n">
        <v>15000</v>
      </c>
      <c r="C9768" s="4" t="n">
        <v>1883</v>
      </c>
      <c r="D9768" s="4" t="n">
        <v>569.6075</v>
      </c>
      <c r="E9768" s="5" t="n">
        <v>26.3</v>
      </c>
      <c r="F9768" s="3" t="inlineStr">
        <is>
          <t>전의면</t>
        </is>
      </c>
      <c r="G9768" s="3" t="inlineStr">
        <is>
          <t>신정리</t>
        </is>
      </c>
      <c r="H9768" s="3" t="inlineStr">
        <is>
          <t>계획관리지역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2025</v>
      </c>
      <c r="B9769" s="4" t="n">
        <v>4995</v>
      </c>
      <c r="C9769" s="4" t="n">
        <v>1653</v>
      </c>
      <c r="D9769" s="4" t="n">
        <v>500.0325</v>
      </c>
      <c r="E9769" s="5" t="n">
        <v>10</v>
      </c>
      <c r="F9769" s="3" t="inlineStr">
        <is>
          <t>전동면</t>
        </is>
      </c>
      <c r="G9769" s="3" t="inlineStr">
        <is>
          <t>노장리</t>
        </is>
      </c>
      <c r="H9769" s="3" t="inlineStr">
        <is>
          <t>계획관리지역</t>
        </is>
      </c>
      <c r="I9769" s="3" t="inlineStr">
        <is>
          <t>임야</t>
        </is>
      </c>
      <c r="J9769" s="3" t="inlineStr">
        <is>
          <t>전동면</t>
        </is>
      </c>
    </row>
    <row r="9770">
      <c r="A9770" s="3" t="n">
        <v>2025</v>
      </c>
      <c r="B9770" s="4" t="n">
        <v>36300</v>
      </c>
      <c r="C9770" s="4" t="n">
        <v>355</v>
      </c>
      <c r="D9770" s="4" t="n">
        <v>107.3875</v>
      </c>
      <c r="E9770" s="5" t="n">
        <v>338</v>
      </c>
      <c r="F9770" s="3" t="inlineStr">
        <is>
          <t>조치원읍</t>
        </is>
      </c>
      <c r="G9770" s="3" t="inlineStr">
        <is>
          <t>신흥리</t>
        </is>
      </c>
      <c r="H9770" s="3" t="inlineStr">
        <is>
          <t>제2종일반주거지역</t>
        </is>
      </c>
      <c r="I9770" s="3" t="inlineStr">
        <is>
          <t>대</t>
        </is>
      </c>
      <c r="J9770" s="3" t="inlineStr">
        <is>
          <t>조치원읍</t>
        </is>
      </c>
    </row>
    <row r="9771">
      <c r="A9771" s="3" t="n">
        <v>2025</v>
      </c>
      <c r="B9771" s="4" t="n">
        <v>2700</v>
      </c>
      <c r="C9771" s="4" t="n">
        <v>30</v>
      </c>
      <c r="D9771" s="4" t="n">
        <v>9.074999999999999</v>
      </c>
      <c r="E9771" s="5" t="n">
        <v>297.5</v>
      </c>
      <c r="F9771" s="3" t="inlineStr">
        <is>
          <t>조치원읍</t>
        </is>
      </c>
      <c r="G9771" s="3" t="inlineStr">
        <is>
          <t>신흥리</t>
        </is>
      </c>
      <c r="H9771" s="3" t="inlineStr">
        <is>
          <t>제2종일반주거지역</t>
        </is>
      </c>
      <c r="I9771" s="3" t="inlineStr">
        <is>
          <t>대</t>
        </is>
      </c>
      <c r="J9771" s="3" t="inlineStr">
        <is>
          <t>조치원읍</t>
        </is>
      </c>
    </row>
    <row r="9772">
      <c r="A9772" s="3" t="n">
        <v>2025</v>
      </c>
      <c r="B9772" s="4" t="n">
        <v>5495</v>
      </c>
      <c r="C9772" s="4" t="n">
        <v>1653</v>
      </c>
      <c r="D9772" s="4" t="n">
        <v>500.0325</v>
      </c>
      <c r="E9772" s="5" t="n">
        <v>11</v>
      </c>
      <c r="F9772" s="3" t="inlineStr">
        <is>
          <t>전동면</t>
        </is>
      </c>
      <c r="G9772" s="3" t="inlineStr">
        <is>
          <t>노장리</t>
        </is>
      </c>
      <c r="H9772" s="3" t="inlineStr">
        <is>
          <t>계획관리지역</t>
        </is>
      </c>
      <c r="I9772" s="3" t="inlineStr">
        <is>
          <t>임야</t>
        </is>
      </c>
      <c r="J9772" s="3" t="inlineStr">
        <is>
          <t>전동면</t>
        </is>
      </c>
    </row>
    <row r="9773">
      <c r="A9773" s="3" t="n">
        <v>2025</v>
      </c>
      <c r="B9773" s="4" t="n">
        <v>27860</v>
      </c>
      <c r="C9773" s="4" t="n">
        <v>2633</v>
      </c>
      <c r="D9773" s="4" t="n">
        <v>796.4825</v>
      </c>
      <c r="E9773" s="5" t="n">
        <v>35</v>
      </c>
      <c r="F9773" s="3" t="inlineStr">
        <is>
          <t>전동면</t>
        </is>
      </c>
      <c r="G9773" s="3" t="inlineStr">
        <is>
          <t>보덕리</t>
        </is>
      </c>
      <c r="H9773" s="3" t="inlineStr">
        <is>
          <t>계획관리지역</t>
        </is>
      </c>
      <c r="I9773" s="3" t="inlineStr">
        <is>
          <t>임야</t>
        </is>
      </c>
      <c r="J9773" s="3" t="inlineStr">
        <is>
          <t>전동면</t>
        </is>
      </c>
    </row>
    <row r="9774">
      <c r="A9774" s="3" t="n">
        <v>2025</v>
      </c>
      <c r="B9774" s="4" t="n">
        <v>11000</v>
      </c>
      <c r="C9774" s="4" t="n">
        <v>257</v>
      </c>
      <c r="D9774" s="4" t="n">
        <v>77.74249999999999</v>
      </c>
      <c r="E9774" s="5" t="n">
        <v>141.5</v>
      </c>
      <c r="F9774" s="3" t="inlineStr">
        <is>
          <t>연동면</t>
        </is>
      </c>
      <c r="G9774" s="3" t="inlineStr">
        <is>
          <t>예양리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연동면</t>
        </is>
      </c>
    </row>
    <row r="9775">
      <c r="A9775" s="3" t="n">
        <v>2025</v>
      </c>
      <c r="B9775" s="4" t="n">
        <v>33200</v>
      </c>
      <c r="C9775" s="4" t="n">
        <v>1740</v>
      </c>
      <c r="D9775" s="4" t="n">
        <v>526.35</v>
      </c>
      <c r="E9775" s="5" t="n">
        <v>63.1</v>
      </c>
      <c r="F9775" s="3" t="inlineStr">
        <is>
          <t>금남면</t>
        </is>
      </c>
      <c r="G9775" s="3" t="inlineStr">
        <is>
          <t>영대리</t>
        </is>
      </c>
      <c r="H9775" s="3" t="inlineStr">
        <is>
          <t>개발제한구역</t>
        </is>
      </c>
      <c r="I9775" s="3" t="inlineStr">
        <is>
          <t>답</t>
        </is>
      </c>
      <c r="J9775" s="3" t="inlineStr">
        <is>
          <t>금남면</t>
        </is>
      </c>
    </row>
    <row r="9776">
      <c r="A9776" s="3" t="n">
        <v>2025</v>
      </c>
      <c r="B9776" s="4" t="n">
        <v>28100</v>
      </c>
      <c r="C9776" s="4" t="n">
        <v>150</v>
      </c>
      <c r="D9776" s="4" t="n">
        <v>45.375</v>
      </c>
      <c r="E9776" s="5" t="n">
        <v>619.3</v>
      </c>
      <c r="F9776" s="3" t="inlineStr">
        <is>
          <t>조치원읍</t>
        </is>
      </c>
      <c r="G9776" s="3" t="inlineStr">
        <is>
          <t>정리</t>
        </is>
      </c>
      <c r="H9776" s="3" t="inlineStr">
        <is>
          <t>준주거지역</t>
        </is>
      </c>
      <c r="I9776" s="3" t="inlineStr">
        <is>
          <t>대</t>
        </is>
      </c>
      <c r="J9776" s="3" t="inlineStr">
        <is>
          <t>조치원읍</t>
        </is>
      </c>
    </row>
    <row r="9777">
      <c r="A9777" s="3" t="n">
        <v>2025</v>
      </c>
      <c r="B9777" s="4" t="n">
        <v>46645</v>
      </c>
      <c r="C9777" s="4" t="n">
        <v>249</v>
      </c>
      <c r="D9777" s="4" t="n">
        <v>75.32249999999999</v>
      </c>
      <c r="E9777" s="5" t="n">
        <v>619.3</v>
      </c>
      <c r="F9777" s="3" t="inlineStr">
        <is>
          <t>조치원읍</t>
        </is>
      </c>
      <c r="G9777" s="3" t="inlineStr">
        <is>
          <t>정리</t>
        </is>
      </c>
      <c r="H9777" s="3" t="inlineStr">
        <is>
          <t>준주거지역</t>
        </is>
      </c>
      <c r="I9777" s="3" t="inlineStr">
        <is>
          <t>대</t>
        </is>
      </c>
      <c r="J9777" s="3" t="inlineStr">
        <is>
          <t>조치원읍</t>
        </is>
      </c>
    </row>
    <row r="9778">
      <c r="A9778" s="3" t="n">
        <v>2025</v>
      </c>
      <c r="B9778" s="4" t="n">
        <v>93</v>
      </c>
      <c r="C9778" s="4" t="n">
        <v>2</v>
      </c>
      <c r="D9778" s="4" t="n">
        <v>0.605</v>
      </c>
      <c r="E9778" s="5" t="n">
        <v>153.7</v>
      </c>
      <c r="F9778" s="3" t="inlineStr">
        <is>
          <t>장군면</t>
        </is>
      </c>
      <c r="G9778" s="3" t="inlineStr">
        <is>
          <t>태산리</t>
        </is>
      </c>
      <c r="H9778" s="3" t="inlineStr">
        <is>
          <t>계획관리지역</t>
        </is>
      </c>
      <c r="I9778" s="3" t="inlineStr">
        <is>
          <t>대</t>
        </is>
      </c>
      <c r="J9778" s="3" t="inlineStr">
        <is>
          <t>장군면</t>
        </is>
      </c>
    </row>
    <row r="9779">
      <c r="A9779" s="3" t="n">
        <v>2025</v>
      </c>
      <c r="B9779" s="4" t="n">
        <v>14140</v>
      </c>
      <c r="C9779" s="4" t="n">
        <v>560</v>
      </c>
      <c r="D9779" s="4" t="n">
        <v>169.4</v>
      </c>
      <c r="E9779" s="5" t="n">
        <v>83.5</v>
      </c>
      <c r="F9779" s="3" t="inlineStr">
        <is>
          <t>장군면</t>
        </is>
      </c>
      <c r="G9779" s="3" t="inlineStr">
        <is>
          <t>금암리</t>
        </is>
      </c>
      <c r="H9779" s="3" t="inlineStr">
        <is>
          <t>농림지역</t>
        </is>
      </c>
      <c r="I9779" s="3" t="inlineStr">
        <is>
          <t>임야</t>
        </is>
      </c>
      <c r="J9779" s="3" t="inlineStr">
        <is>
          <t>장군면</t>
        </is>
      </c>
    </row>
    <row r="9780">
      <c r="A9780" s="3" t="n">
        <v>2025</v>
      </c>
      <c r="B9780" s="4" t="n">
        <v>6100</v>
      </c>
      <c r="C9780" s="4" t="n">
        <v>367</v>
      </c>
      <c r="D9780" s="4" t="n">
        <v>111.0175</v>
      </c>
      <c r="E9780" s="5" t="n">
        <v>54.9</v>
      </c>
      <c r="F9780" s="3" t="inlineStr">
        <is>
          <t>연서면</t>
        </is>
      </c>
      <c r="G9780" s="3" t="inlineStr">
        <is>
          <t>고복리</t>
        </is>
      </c>
      <c r="H9780" s="3" t="inlineStr">
        <is>
          <t>생산관리지역</t>
        </is>
      </c>
      <c r="I9780" s="3" t="inlineStr">
        <is>
          <t>과수원</t>
        </is>
      </c>
      <c r="J9780" s="3" t="inlineStr">
        <is>
          <t>연서면</t>
        </is>
      </c>
    </row>
    <row r="9781">
      <c r="A9781" s="3" t="n">
        <v>2025</v>
      </c>
      <c r="B9781" s="4" t="n">
        <v>59350</v>
      </c>
      <c r="C9781" s="4" t="n">
        <v>3020</v>
      </c>
      <c r="D9781" s="4" t="n">
        <v>913.55</v>
      </c>
      <c r="E9781" s="5" t="n">
        <v>65</v>
      </c>
      <c r="F9781" s="3" t="inlineStr">
        <is>
          <t>연서면</t>
        </is>
      </c>
      <c r="G9781" s="3" t="inlineStr">
        <is>
          <t>성제리</t>
        </is>
      </c>
      <c r="H9781" s="3" t="inlineStr">
        <is>
          <t>농림지역</t>
        </is>
      </c>
      <c r="I9781" s="3" t="inlineStr">
        <is>
          <t>답</t>
        </is>
      </c>
      <c r="J9781" s="3" t="inlineStr">
        <is>
          <t>연서면</t>
        </is>
      </c>
    </row>
    <row r="9782">
      <c r="A9782" s="3" t="n">
        <v>2025</v>
      </c>
      <c r="B9782" s="4" t="n">
        <v>19793</v>
      </c>
      <c r="C9782" s="4" t="n">
        <v>1547</v>
      </c>
      <c r="D9782" s="4" t="n">
        <v>467.9675</v>
      </c>
      <c r="E9782" s="5" t="n">
        <v>42.3</v>
      </c>
      <c r="F9782" s="3" t="inlineStr">
        <is>
          <t>전의면</t>
        </is>
      </c>
      <c r="G9782" s="3" t="inlineStr">
        <is>
          <t>유천리</t>
        </is>
      </c>
      <c r="H9782" s="3" t="inlineStr">
        <is>
          <t>계획관리지역</t>
        </is>
      </c>
      <c r="I9782" s="3" t="inlineStr">
        <is>
          <t>전</t>
        </is>
      </c>
      <c r="J9782" s="3" t="inlineStr">
        <is>
          <t>전의면</t>
        </is>
      </c>
    </row>
    <row r="9783">
      <c r="A9783" s="3" t="n">
        <v>2023</v>
      </c>
      <c r="B9783" s="4" t="n">
        <v>25000</v>
      </c>
      <c r="C9783" s="4" t="n">
        <v>767</v>
      </c>
      <c r="D9783" s="4" t="n">
        <v>232.0175</v>
      </c>
      <c r="E9783" s="5" t="n">
        <v>107.8</v>
      </c>
      <c r="F9783" s="3" t="inlineStr">
        <is>
          <t>연서면</t>
        </is>
      </c>
      <c r="G9783" s="3" t="inlineStr">
        <is>
          <t>월하리</t>
        </is>
      </c>
      <c r="H9783" s="3" t="inlineStr">
        <is>
          <t>자연녹지지역</t>
        </is>
      </c>
      <c r="I9783" s="3" t="inlineStr">
        <is>
          <t>전</t>
        </is>
      </c>
      <c r="J9783" s="3" t="inlineStr">
        <is>
          <t>연서면</t>
        </is>
      </c>
    </row>
    <row r="9784">
      <c r="A9784" s="3" t="n">
        <v>2023</v>
      </c>
      <c r="B9784" s="4" t="n">
        <v>5570</v>
      </c>
      <c r="C9784" s="4" t="n">
        <v>466</v>
      </c>
      <c r="D9784" s="4" t="n">
        <v>140.965</v>
      </c>
      <c r="E9784" s="5" t="n">
        <v>39.5</v>
      </c>
      <c r="F9784" s="3" t="inlineStr">
        <is>
          <t>부강면</t>
        </is>
      </c>
      <c r="G9784" s="3" t="inlineStr">
        <is>
          <t>부강리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부강면</t>
        </is>
      </c>
    </row>
    <row r="9785">
      <c r="A9785" s="3" t="n">
        <v>2023</v>
      </c>
      <c r="B9785" s="4" t="n">
        <v>716</v>
      </c>
      <c r="C9785" s="4" t="n">
        <v>60</v>
      </c>
      <c r="D9785" s="4" t="n">
        <v>18.15</v>
      </c>
      <c r="E9785" s="5" t="n">
        <v>39.4</v>
      </c>
      <c r="F9785" s="3" t="inlineStr">
        <is>
          <t>부강면</t>
        </is>
      </c>
      <c r="G9785" s="3" t="inlineStr">
        <is>
          <t>부강리</t>
        </is>
      </c>
      <c r="H9785" s="3" t="inlineStr">
        <is>
          <t>보전관리지역</t>
        </is>
      </c>
      <c r="I9785" s="3" t="inlineStr">
        <is>
          <t>전</t>
        </is>
      </c>
      <c r="J9785" s="3" t="inlineStr">
        <is>
          <t>부강면</t>
        </is>
      </c>
    </row>
    <row r="9786">
      <c r="A9786" s="3" t="n">
        <v>2023</v>
      </c>
      <c r="B9786" s="4" t="n">
        <v>20972</v>
      </c>
      <c r="C9786" s="4" t="n">
        <v>1754</v>
      </c>
      <c r="D9786" s="4" t="n">
        <v>530.585</v>
      </c>
      <c r="E9786" s="5" t="n">
        <v>39.5</v>
      </c>
      <c r="F9786" s="3" t="inlineStr">
        <is>
          <t>부강면</t>
        </is>
      </c>
      <c r="G9786" s="3" t="inlineStr">
        <is>
          <t>부강리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부강면</t>
        </is>
      </c>
    </row>
    <row r="9787">
      <c r="A9787" s="3" t="n">
        <v>2023</v>
      </c>
      <c r="B9787" s="4" t="n">
        <v>727</v>
      </c>
      <c r="C9787" s="4" t="n">
        <v>61</v>
      </c>
      <c r="D9787" s="4" t="n">
        <v>18.4525</v>
      </c>
      <c r="E9787" s="5" t="n">
        <v>39.4</v>
      </c>
      <c r="F9787" s="3" t="inlineStr">
        <is>
          <t>부강면</t>
        </is>
      </c>
      <c r="G9787" s="3" t="inlineStr">
        <is>
          <t>부강리</t>
        </is>
      </c>
      <c r="H9787" s="3" t="inlineStr">
        <is>
          <t>보전관리지역</t>
        </is>
      </c>
      <c r="I9787" s="3" t="inlineStr">
        <is>
          <t>전</t>
        </is>
      </c>
      <c r="J9787" s="3" t="inlineStr">
        <is>
          <t>부강면</t>
        </is>
      </c>
    </row>
    <row r="9788">
      <c r="A9788" s="3" t="n">
        <v>2023</v>
      </c>
      <c r="B9788" s="4" t="n">
        <v>11631</v>
      </c>
      <c r="C9788" s="4" t="n">
        <v>973</v>
      </c>
      <c r="D9788" s="4" t="n">
        <v>294.3325</v>
      </c>
      <c r="E9788" s="5" t="n">
        <v>39.5</v>
      </c>
      <c r="F9788" s="3" t="inlineStr">
        <is>
          <t>부강면</t>
        </is>
      </c>
      <c r="G9788" s="3" t="inlineStr">
        <is>
          <t>부강리</t>
        </is>
      </c>
      <c r="H9788" s="3" t="inlineStr">
        <is>
          <t>보전관리지역</t>
        </is>
      </c>
      <c r="I9788" s="3" t="inlineStr">
        <is>
          <t>임야</t>
        </is>
      </c>
      <c r="J9788" s="3" t="inlineStr">
        <is>
          <t>부강면</t>
        </is>
      </c>
    </row>
    <row r="9789">
      <c r="A9789" s="3" t="n">
        <v>2023</v>
      </c>
      <c r="B9789" s="4" t="n">
        <v>24301</v>
      </c>
      <c r="C9789" s="4" t="n">
        <v>2033</v>
      </c>
      <c r="D9789" s="4" t="n">
        <v>614.9825</v>
      </c>
      <c r="E9789" s="5" t="n">
        <v>39.5</v>
      </c>
      <c r="F9789" s="3" t="inlineStr">
        <is>
          <t>부강면</t>
        </is>
      </c>
      <c r="G9789" s="3" t="inlineStr">
        <is>
          <t>부강리</t>
        </is>
      </c>
      <c r="H9789" s="3" t="inlineStr">
        <is>
          <t>보전관리지역</t>
        </is>
      </c>
      <c r="I9789" s="3" t="inlineStr">
        <is>
          <t>임야</t>
        </is>
      </c>
      <c r="J9789" s="3" t="inlineStr">
        <is>
          <t>부강면</t>
        </is>
      </c>
    </row>
    <row r="9790">
      <c r="A9790" s="3" t="n">
        <v>2023</v>
      </c>
      <c r="B9790" s="4" t="n">
        <v>91083</v>
      </c>
      <c r="C9790" s="4" t="n">
        <v>7619</v>
      </c>
      <c r="D9790" s="4" t="n">
        <v>2304.7475</v>
      </c>
      <c r="E9790" s="5" t="n">
        <v>39.5</v>
      </c>
      <c r="F9790" s="3" t="inlineStr">
        <is>
          <t>부강면</t>
        </is>
      </c>
      <c r="G9790" s="3" t="inlineStr">
        <is>
          <t>부강리</t>
        </is>
      </c>
      <c r="H9790" s="3" t="inlineStr">
        <is>
          <t>보전관리지역</t>
        </is>
      </c>
      <c r="I9790" s="3" t="inlineStr">
        <is>
          <t>임야</t>
        </is>
      </c>
      <c r="J9790" s="3" t="inlineStr">
        <is>
          <t>부강면</t>
        </is>
      </c>
    </row>
    <row r="9791">
      <c r="A9791" s="3" t="n">
        <v>2023</v>
      </c>
      <c r="B9791" s="4" t="n">
        <v>18000</v>
      </c>
      <c r="C9791" s="4" t="n">
        <v>377</v>
      </c>
      <c r="D9791" s="4" t="n">
        <v>114.0425</v>
      </c>
      <c r="E9791" s="5" t="n">
        <v>157.8</v>
      </c>
      <c r="F9791" s="3" t="inlineStr">
        <is>
          <t>소정면</t>
        </is>
      </c>
      <c r="G9791" s="3" t="inlineStr">
        <is>
          <t>대곡리</t>
        </is>
      </c>
      <c r="H9791" s="3" t="inlineStr">
        <is>
          <t>계획관리지역</t>
        </is>
      </c>
      <c r="I9791" s="3" t="inlineStr">
        <is>
          <t>대</t>
        </is>
      </c>
      <c r="J9791" s="3" t="inlineStr">
        <is>
          <t>소정면</t>
        </is>
      </c>
    </row>
    <row r="9792">
      <c r="A9792" s="3" t="n">
        <v>2023</v>
      </c>
      <c r="B9792" s="4" t="n">
        <v>18700</v>
      </c>
      <c r="C9792" s="4" t="n">
        <v>619</v>
      </c>
      <c r="D9792" s="4" t="n">
        <v>187.2475</v>
      </c>
      <c r="E9792" s="5" t="n">
        <v>99.90000000000001</v>
      </c>
      <c r="F9792" s="3" t="inlineStr">
        <is>
          <t>장군면</t>
        </is>
      </c>
      <c r="G9792" s="3" t="inlineStr">
        <is>
          <t>평기리</t>
        </is>
      </c>
      <c r="H9792" s="3" t="inlineStr">
        <is>
          <t>용도미지정</t>
        </is>
      </c>
      <c r="I9792" s="3" t="inlineStr">
        <is>
          <t>전</t>
        </is>
      </c>
      <c r="J9792" s="3" t="inlineStr">
        <is>
          <t>장군면</t>
        </is>
      </c>
    </row>
    <row r="9793">
      <c r="A9793" s="3" t="n">
        <v>2023</v>
      </c>
      <c r="B9793" s="4" t="n">
        <v>14000</v>
      </c>
      <c r="C9793" s="4" t="n">
        <v>557</v>
      </c>
      <c r="D9793" s="4" t="n">
        <v>168.4925</v>
      </c>
      <c r="E9793" s="5" t="n">
        <v>83.09999999999999</v>
      </c>
      <c r="F9793" s="3" t="inlineStr">
        <is>
          <t>장군면</t>
        </is>
      </c>
      <c r="G9793" s="3" t="inlineStr">
        <is>
          <t>금암리</t>
        </is>
      </c>
      <c r="H9793" s="3" t="inlineStr">
        <is>
          <t>농림지역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2023</v>
      </c>
      <c r="B9794" s="4" t="n">
        <v>933226</v>
      </c>
      <c r="C9794" s="4" t="n">
        <v>17629</v>
      </c>
      <c r="D9794" s="4" t="n">
        <v>5332.7725</v>
      </c>
      <c r="E9794" s="5" t="n">
        <v>175</v>
      </c>
      <c r="F9794" s="3" t="inlineStr">
        <is>
          <t>장군면</t>
        </is>
      </c>
      <c r="G9794" s="3" t="inlineStr">
        <is>
          <t>대교리</t>
        </is>
      </c>
      <c r="H9794" s="3" t="inlineStr">
        <is>
          <t>보전관리지역</t>
        </is>
      </c>
      <c r="I9794" s="3" t="inlineStr">
        <is>
          <t>임야</t>
        </is>
      </c>
      <c r="J9794" s="3" t="inlineStr">
        <is>
          <t>장군면</t>
        </is>
      </c>
    </row>
    <row r="9795">
      <c r="A9795" s="3" t="n">
        <v>2023</v>
      </c>
      <c r="B9795" s="4" t="n">
        <v>35574</v>
      </c>
      <c r="C9795" s="4" t="n">
        <v>672</v>
      </c>
      <c r="D9795" s="4" t="n">
        <v>203.28</v>
      </c>
      <c r="E9795" s="5" t="n">
        <v>175</v>
      </c>
      <c r="F9795" s="3" t="inlineStr">
        <is>
          <t>장군면</t>
        </is>
      </c>
      <c r="G9795" s="3" t="inlineStr">
        <is>
          <t>대교리</t>
        </is>
      </c>
      <c r="H9795" s="3" t="inlineStr">
        <is>
          <t>보전관리지역</t>
        </is>
      </c>
      <c r="I9795" s="3" t="inlineStr">
        <is>
          <t>임야</t>
        </is>
      </c>
      <c r="J9795" s="3" t="inlineStr">
        <is>
          <t>장군면</t>
        </is>
      </c>
    </row>
    <row r="9796">
      <c r="A9796" s="3" t="n">
        <v>2023</v>
      </c>
      <c r="B9796" s="4" t="n">
        <v>35070</v>
      </c>
      <c r="C9796" s="4" t="n">
        <v>840</v>
      </c>
      <c r="D9796" s="4" t="n">
        <v>254.1</v>
      </c>
      <c r="E9796" s="5" t="n">
        <v>138</v>
      </c>
      <c r="F9796" s="3" t="inlineStr">
        <is>
          <t>장군면</t>
        </is>
      </c>
      <c r="G9796" s="3" t="inlineStr">
        <is>
          <t>산학리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장군면</t>
        </is>
      </c>
    </row>
    <row r="9797">
      <c r="A9797" s="3" t="n">
        <v>2023</v>
      </c>
      <c r="B9797" s="4" t="n">
        <v>108000</v>
      </c>
      <c r="C9797" s="4" t="n">
        <v>108181</v>
      </c>
      <c r="D9797" s="4" t="n">
        <v>32724.7525</v>
      </c>
      <c r="E9797" s="5" t="n">
        <v>3.3</v>
      </c>
      <c r="F9797" s="3" t="inlineStr">
        <is>
          <t>금남면</t>
        </is>
      </c>
      <c r="G9797" s="3" t="inlineStr">
        <is>
          <t>용담리</t>
        </is>
      </c>
      <c r="H9797" s="3" t="inlineStr">
        <is>
          <t>개발제한구역</t>
        </is>
      </c>
      <c r="I9797" s="3" t="inlineStr">
        <is>
          <t>임야</t>
        </is>
      </c>
      <c r="J9797" s="3" t="inlineStr">
        <is>
          <t>금남면</t>
        </is>
      </c>
    </row>
    <row r="9798">
      <c r="A9798" s="3" t="n">
        <v>2023</v>
      </c>
      <c r="B9798" s="4" t="n">
        <v>47000</v>
      </c>
      <c r="C9798" s="4" t="n">
        <v>47142</v>
      </c>
      <c r="D9798" s="4" t="n">
        <v>14260.455</v>
      </c>
      <c r="E9798" s="5" t="n">
        <v>3.3</v>
      </c>
      <c r="F9798" s="3" t="inlineStr">
        <is>
          <t>금남면</t>
        </is>
      </c>
      <c r="G9798" s="3" t="inlineStr">
        <is>
          <t>용담리</t>
        </is>
      </c>
      <c r="H9798" s="3" t="inlineStr">
        <is>
          <t>개발제한구역</t>
        </is>
      </c>
      <c r="I9798" s="3" t="inlineStr">
        <is>
          <t>임야</t>
        </is>
      </c>
      <c r="J9798" s="3" t="inlineStr">
        <is>
          <t>금남면</t>
        </is>
      </c>
    </row>
    <row r="9799">
      <c r="A9799" s="3" t="n">
        <v>2023</v>
      </c>
      <c r="B9799" s="4" t="n">
        <v>70</v>
      </c>
      <c r="C9799" s="4" t="n">
        <v>33</v>
      </c>
      <c r="D9799" s="4" t="n">
        <v>9.9825</v>
      </c>
      <c r="E9799" s="5" t="n">
        <v>7</v>
      </c>
      <c r="F9799" s="3" t="inlineStr">
        <is>
          <t>전의면</t>
        </is>
      </c>
      <c r="G9799" s="3" t="inlineStr">
        <is>
          <t>서정리</t>
        </is>
      </c>
      <c r="H9799" s="3" t="inlineStr">
        <is>
          <t>계획관리지역</t>
        </is>
      </c>
      <c r="I9799" s="3" t="inlineStr">
        <is>
          <t>하천</t>
        </is>
      </c>
      <c r="J9799" s="3" t="inlineStr">
        <is>
          <t>전의면</t>
        </is>
      </c>
    </row>
    <row r="9800">
      <c r="A9800" s="3" t="n">
        <v>2023</v>
      </c>
      <c r="B9800" s="4" t="n">
        <v>1200</v>
      </c>
      <c r="C9800" s="4" t="n">
        <v>433</v>
      </c>
      <c r="D9800" s="4" t="n">
        <v>130.9825</v>
      </c>
      <c r="E9800" s="5" t="n">
        <v>9.199999999999999</v>
      </c>
      <c r="F9800" s="3" t="inlineStr">
        <is>
          <t>전의면</t>
        </is>
      </c>
      <c r="G9800" s="3" t="inlineStr">
        <is>
          <t>서정리</t>
        </is>
      </c>
      <c r="H9800" s="3" t="inlineStr">
        <is>
          <t>계획관리지역</t>
        </is>
      </c>
      <c r="I9800" s="3" t="inlineStr">
        <is>
          <t>하천</t>
        </is>
      </c>
      <c r="J9800" s="3" t="inlineStr">
        <is>
          <t>전의면</t>
        </is>
      </c>
    </row>
    <row r="9801">
      <c r="A9801" s="3" t="n">
        <v>2023</v>
      </c>
      <c r="B9801" s="4" t="n">
        <v>170</v>
      </c>
      <c r="C9801" s="4" t="n">
        <v>145</v>
      </c>
      <c r="D9801" s="4" t="n">
        <v>43.8625</v>
      </c>
      <c r="E9801" s="5" t="n">
        <v>3.9</v>
      </c>
      <c r="F9801" s="3" t="inlineStr">
        <is>
          <t>전의면</t>
        </is>
      </c>
      <c r="G9801" s="3" t="inlineStr">
        <is>
          <t>서정리</t>
        </is>
      </c>
      <c r="H9801" s="3" t="inlineStr">
        <is>
          <t>보전관리지역</t>
        </is>
      </c>
      <c r="I9801" s="3" t="inlineStr">
        <is>
          <t>하천</t>
        </is>
      </c>
      <c r="J9801" s="3" t="inlineStr">
        <is>
          <t>전의면</t>
        </is>
      </c>
    </row>
    <row r="9802">
      <c r="A9802" s="3" t="n">
        <v>2023</v>
      </c>
      <c r="B9802" s="4" t="n">
        <v>1560</v>
      </c>
      <c r="C9802" s="4" t="n">
        <v>945</v>
      </c>
      <c r="D9802" s="4" t="n">
        <v>285.8625</v>
      </c>
      <c r="E9802" s="5" t="n">
        <v>5.5</v>
      </c>
      <c r="F9802" s="3" t="inlineStr">
        <is>
          <t>전의면</t>
        </is>
      </c>
      <c r="G9802" s="3" t="inlineStr">
        <is>
          <t>서정리</t>
        </is>
      </c>
      <c r="H9802" s="3" t="inlineStr">
        <is>
          <t>계획관리지역</t>
        </is>
      </c>
      <c r="I9802" s="3" t="inlineStr">
        <is>
          <t>하천</t>
        </is>
      </c>
      <c r="J9802" s="3" t="inlineStr">
        <is>
          <t>전의면</t>
        </is>
      </c>
    </row>
    <row r="9803">
      <c r="A9803" s="3" t="n">
        <v>2023</v>
      </c>
      <c r="B9803" s="4" t="n">
        <v>33500</v>
      </c>
      <c r="C9803" s="4" t="n">
        <v>279</v>
      </c>
      <c r="D9803" s="4" t="n">
        <v>84.39749999999999</v>
      </c>
      <c r="E9803" s="5" t="n">
        <v>396.9</v>
      </c>
      <c r="F9803" s="3" t="inlineStr">
        <is>
          <t>조치원읍</t>
        </is>
      </c>
      <c r="G9803" s="3" t="inlineStr">
        <is>
          <t>죽림리</t>
        </is>
      </c>
      <c r="H9803" s="3" t="inlineStr">
        <is>
          <t>제2종일반주거지역</t>
        </is>
      </c>
      <c r="I9803" s="3" t="inlineStr">
        <is>
          <t>전</t>
        </is>
      </c>
      <c r="J9803" s="3" t="inlineStr">
        <is>
          <t>조치원읍</t>
        </is>
      </c>
    </row>
    <row r="9804">
      <c r="A9804" s="3" t="n">
        <v>2023</v>
      </c>
      <c r="B9804" s="4" t="n">
        <v>3266</v>
      </c>
      <c r="C9804" s="4" t="n">
        <v>45</v>
      </c>
      <c r="D9804" s="4" t="n">
        <v>13.6125</v>
      </c>
      <c r="E9804" s="5" t="n">
        <v>239.9</v>
      </c>
      <c r="F9804" s="3" t="inlineStr">
        <is>
          <t>연동면</t>
        </is>
      </c>
      <c r="G9804" s="3" t="inlineStr">
        <is>
          <t>송용리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연동면</t>
        </is>
      </c>
    </row>
    <row r="9805">
      <c r="A9805" s="3" t="n">
        <v>2023</v>
      </c>
      <c r="B9805" s="4" t="n">
        <v>2684</v>
      </c>
      <c r="C9805" s="4" t="n">
        <v>37</v>
      </c>
      <c r="D9805" s="4" t="n">
        <v>11.1925</v>
      </c>
      <c r="E9805" s="5" t="n">
        <v>239.8</v>
      </c>
      <c r="F9805" s="3" t="inlineStr">
        <is>
          <t>연동면</t>
        </is>
      </c>
      <c r="G9805" s="3" t="inlineStr">
        <is>
          <t>송용리</t>
        </is>
      </c>
      <c r="H9805" s="3" t="inlineStr">
        <is>
          <t>계획관리지역</t>
        </is>
      </c>
      <c r="I9805" s="3" t="inlineStr">
        <is>
          <t>대</t>
        </is>
      </c>
      <c r="J9805" s="3" t="inlineStr">
        <is>
          <t>연동면</t>
        </is>
      </c>
    </row>
    <row r="9806">
      <c r="A9806" s="3" t="n">
        <v>2023</v>
      </c>
      <c r="B9806" s="4" t="n">
        <v>23850</v>
      </c>
      <c r="C9806" s="4" t="n">
        <v>406</v>
      </c>
      <c r="D9806" s="4" t="n">
        <v>122.815</v>
      </c>
      <c r="E9806" s="5" t="n">
        <v>194.2</v>
      </c>
      <c r="F9806" s="3" t="inlineStr">
        <is>
          <t>연기면</t>
        </is>
      </c>
      <c r="G9806" s="3" t="inlineStr">
        <is>
          <t>수산리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연기면</t>
        </is>
      </c>
    </row>
    <row r="9807">
      <c r="A9807" s="3" t="n">
        <v>2023</v>
      </c>
      <c r="B9807" s="4" t="n">
        <v>25530</v>
      </c>
      <c r="C9807" s="4" t="n">
        <v>406</v>
      </c>
      <c r="D9807" s="4" t="n">
        <v>122.815</v>
      </c>
      <c r="E9807" s="5" t="n">
        <v>207.9</v>
      </c>
      <c r="F9807" s="3" t="inlineStr">
        <is>
          <t>연기면</t>
        </is>
      </c>
      <c r="G9807" s="3" t="inlineStr">
        <is>
          <t>수산리</t>
        </is>
      </c>
      <c r="H9807" s="3" t="inlineStr">
        <is>
          <t>보전관리지역</t>
        </is>
      </c>
      <c r="I9807" s="3" t="inlineStr">
        <is>
          <t>임야</t>
        </is>
      </c>
      <c r="J9807" s="3" t="inlineStr">
        <is>
          <t>연기면</t>
        </is>
      </c>
    </row>
    <row r="9808">
      <c r="A9808" s="3" t="n">
        <v>2023</v>
      </c>
      <c r="B9808" s="4" t="n">
        <v>23550</v>
      </c>
      <c r="C9808" s="4" t="n">
        <v>402</v>
      </c>
      <c r="D9808" s="4" t="n">
        <v>121.605</v>
      </c>
      <c r="E9808" s="5" t="n">
        <v>193.7</v>
      </c>
      <c r="F9808" s="3" t="inlineStr">
        <is>
          <t>연기면</t>
        </is>
      </c>
      <c r="G9808" s="3" t="inlineStr">
        <is>
          <t>수산리</t>
        </is>
      </c>
      <c r="H9808" s="3" t="inlineStr">
        <is>
          <t>보전관리지역</t>
        </is>
      </c>
      <c r="I9808" s="3" t="inlineStr">
        <is>
          <t>임야</t>
        </is>
      </c>
      <c r="J9808" s="3" t="inlineStr">
        <is>
          <t>연기면</t>
        </is>
      </c>
    </row>
    <row r="9809">
      <c r="A9809" s="3" t="n">
        <v>2023</v>
      </c>
      <c r="B9809" s="4" t="n">
        <v>2560</v>
      </c>
      <c r="C9809" s="4" t="n">
        <v>423</v>
      </c>
      <c r="D9809" s="4" t="n">
        <v>127.9575</v>
      </c>
      <c r="E9809" s="5" t="n">
        <v>20</v>
      </c>
      <c r="F9809" s="3" t="inlineStr">
        <is>
          <t>연기면</t>
        </is>
      </c>
      <c r="G9809" s="3" t="inlineStr">
        <is>
          <t>수산리</t>
        </is>
      </c>
      <c r="H9809" s="3" t="inlineStr">
        <is>
          <t>보전관리지역</t>
        </is>
      </c>
      <c r="I9809" s="3" t="inlineStr">
        <is>
          <t>임야</t>
        </is>
      </c>
      <c r="J9809" s="3" t="inlineStr">
        <is>
          <t>연기면</t>
        </is>
      </c>
    </row>
    <row r="9810">
      <c r="A9810" s="3" t="n">
        <v>2023</v>
      </c>
      <c r="B9810" s="4" t="n">
        <v>34000</v>
      </c>
      <c r="C9810" s="4" t="n">
        <v>982</v>
      </c>
      <c r="D9810" s="4" t="n">
        <v>297.055</v>
      </c>
      <c r="E9810" s="5" t="n">
        <v>114.5</v>
      </c>
      <c r="F9810" s="3" t="inlineStr">
        <is>
          <t>연서면</t>
        </is>
      </c>
      <c r="G9810" s="3" t="inlineStr">
        <is>
          <t>와촌리</t>
        </is>
      </c>
      <c r="H9810" s="3" t="inlineStr">
        <is>
          <t>생산관리지역</t>
        </is>
      </c>
      <c r="I9810" s="3" t="inlineStr">
        <is>
          <t>전</t>
        </is>
      </c>
      <c r="J9810" s="3" t="inlineStr">
        <is>
          <t>연서면</t>
        </is>
      </c>
    </row>
    <row r="9811">
      <c r="A9811" s="3" t="n">
        <v>2023</v>
      </c>
      <c r="B9811" s="4" t="n">
        <v>23850</v>
      </c>
      <c r="C9811" s="4" t="n">
        <v>406</v>
      </c>
      <c r="D9811" s="4" t="n">
        <v>122.815</v>
      </c>
      <c r="E9811" s="5" t="n">
        <v>194.2</v>
      </c>
      <c r="F9811" s="3" t="inlineStr">
        <is>
          <t>연기면</t>
        </is>
      </c>
      <c r="G9811" s="3" t="inlineStr">
        <is>
          <t>수산리</t>
        </is>
      </c>
      <c r="H9811" s="3" t="inlineStr">
        <is>
          <t>보전관리지역</t>
        </is>
      </c>
      <c r="I9811" s="3" t="inlineStr">
        <is>
          <t>임야</t>
        </is>
      </c>
      <c r="J9811" s="3" t="inlineStr">
        <is>
          <t>연기면</t>
        </is>
      </c>
    </row>
    <row r="9812">
      <c r="A9812" s="3" t="n">
        <v>2026</v>
      </c>
      <c r="B9812" s="4" t="n">
        <v>1000</v>
      </c>
      <c r="C9812" s="4" t="n">
        <v>340</v>
      </c>
      <c r="D9812" s="4" t="n">
        <v>102.85</v>
      </c>
      <c r="E9812" s="5" t="n">
        <v>9.699999999999999</v>
      </c>
      <c r="F9812" s="3" t="inlineStr">
        <is>
          <t>금남면</t>
        </is>
      </c>
      <c r="G9812" s="3" t="inlineStr">
        <is>
          <t>영치리</t>
        </is>
      </c>
      <c r="H9812" s="3" t="inlineStr">
        <is>
          <t>개발제한구역</t>
        </is>
      </c>
      <c r="I9812" s="3" t="inlineStr">
        <is>
          <t>답</t>
        </is>
      </c>
      <c r="J9812" s="3" t="inlineStr">
        <is>
          <t>금남면</t>
        </is>
      </c>
    </row>
    <row r="9813">
      <c r="A9813" s="3" t="n">
        <v>2026</v>
      </c>
      <c r="B9813" s="4" t="n">
        <v>17230</v>
      </c>
      <c r="C9813" s="4" t="n">
        <v>2393</v>
      </c>
      <c r="D9813" s="4" t="n">
        <v>723.8824999999999</v>
      </c>
      <c r="E9813" s="5" t="n">
        <v>23.8</v>
      </c>
      <c r="F9813" s="3" t="inlineStr">
        <is>
          <t>금남면</t>
        </is>
      </c>
      <c r="G9813" s="3" t="inlineStr">
        <is>
          <t>영치리</t>
        </is>
      </c>
      <c r="H9813" s="3" t="inlineStr">
        <is>
          <t>개발제한구역</t>
        </is>
      </c>
      <c r="I9813" s="3" t="inlineStr">
        <is>
          <t>답</t>
        </is>
      </c>
      <c r="J9813" s="3" t="inlineStr">
        <is>
          <t>금남면</t>
        </is>
      </c>
    </row>
    <row r="9814">
      <c r="A9814" s="3" t="n">
        <v>2026</v>
      </c>
      <c r="B9814" s="4" t="n">
        <v>1770</v>
      </c>
      <c r="C9814" s="4" t="n">
        <v>188</v>
      </c>
      <c r="D9814" s="4" t="n">
        <v>56.87</v>
      </c>
      <c r="E9814" s="5" t="n">
        <v>31.1</v>
      </c>
      <c r="F9814" s="3" t="inlineStr">
        <is>
          <t>금남면</t>
        </is>
      </c>
      <c r="G9814" s="3" t="inlineStr">
        <is>
          <t>영치리</t>
        </is>
      </c>
      <c r="H9814" s="3" t="inlineStr">
        <is>
          <t>개발제한구역</t>
        </is>
      </c>
      <c r="I9814" s="3" t="inlineStr">
        <is>
          <t>답</t>
        </is>
      </c>
      <c r="J9814" s="3" t="inlineStr">
        <is>
          <t>금남면</t>
        </is>
      </c>
    </row>
    <row r="9815">
      <c r="A9815" s="3" t="n">
        <v>2026</v>
      </c>
      <c r="B9815" s="4" t="n">
        <v>258106</v>
      </c>
      <c r="C9815" s="4" t="n">
        <v>3855.5</v>
      </c>
      <c r="D9815" s="4" t="n">
        <v>1166.28875</v>
      </c>
      <c r="E9815" s="5" t="n">
        <v>221.3</v>
      </c>
      <c r="F9815" s="3" t="inlineStr">
        <is>
          <t>집현동</t>
        </is>
      </c>
      <c r="G9815" s="3" t="inlineStr"/>
      <c r="H9815" s="3" t="inlineStr">
        <is>
          <t>준주거지역</t>
        </is>
      </c>
      <c r="I9815" s="3" t="inlineStr">
        <is>
          <t>대</t>
        </is>
      </c>
      <c r="J9815" s="3" t="inlineStr">
        <is>
          <t>집현동</t>
        </is>
      </c>
    </row>
    <row r="9816">
      <c r="A9816" s="3" t="n">
        <v>2026</v>
      </c>
      <c r="B9816" s="4" t="n">
        <v>8100</v>
      </c>
      <c r="C9816" s="4" t="n">
        <v>434</v>
      </c>
      <c r="D9816" s="4" t="n">
        <v>131.285</v>
      </c>
      <c r="E9816" s="5" t="n">
        <v>61.7</v>
      </c>
      <c r="F9816" s="3" t="inlineStr">
        <is>
          <t>부강면</t>
        </is>
      </c>
      <c r="G9816" s="3" t="inlineStr">
        <is>
          <t>갈산리</t>
        </is>
      </c>
      <c r="H9816" s="3" t="inlineStr">
        <is>
          <t>계획관리지역</t>
        </is>
      </c>
      <c r="I9816" s="3" t="inlineStr">
        <is>
          <t>대</t>
        </is>
      </c>
      <c r="J9816" s="3" t="inlineStr">
        <is>
          <t>부강면</t>
        </is>
      </c>
    </row>
    <row r="9817">
      <c r="A9817" s="3" t="n">
        <v>2026</v>
      </c>
      <c r="B9817" s="4" t="n">
        <v>31000</v>
      </c>
      <c r="C9817" s="4" t="n">
        <v>290</v>
      </c>
      <c r="D9817" s="4" t="n">
        <v>87.72499999999999</v>
      </c>
      <c r="E9817" s="5" t="n">
        <v>353.4</v>
      </c>
      <c r="F9817" s="3" t="inlineStr">
        <is>
          <t>고운동</t>
        </is>
      </c>
      <c r="G9817" s="3" t="inlineStr"/>
      <c r="H9817" s="3" t="inlineStr">
        <is>
          <t>제1종전용주거지역</t>
        </is>
      </c>
      <c r="I9817" s="3" t="inlineStr">
        <is>
          <t>대</t>
        </is>
      </c>
      <c r="J9817" s="3" t="inlineStr">
        <is>
          <t>고운동</t>
        </is>
      </c>
    </row>
    <row r="9818">
      <c r="A9818" s="3" t="n">
        <v>2026</v>
      </c>
      <c r="B9818" s="4" t="n">
        <v>20000</v>
      </c>
      <c r="C9818" s="4" t="n">
        <v>575</v>
      </c>
      <c r="D9818" s="4" t="n">
        <v>173.9375</v>
      </c>
      <c r="E9818" s="5" t="n">
        <v>115</v>
      </c>
      <c r="F9818" s="3" t="inlineStr">
        <is>
          <t>장군면</t>
        </is>
      </c>
      <c r="G9818" s="3" t="inlineStr">
        <is>
          <t>도계리</t>
        </is>
      </c>
      <c r="H9818" s="3" t="inlineStr">
        <is>
          <t>계획관리지역</t>
        </is>
      </c>
      <c r="I9818" s="3" t="inlineStr">
        <is>
          <t>전</t>
        </is>
      </c>
      <c r="J9818" s="3" t="inlineStr">
        <is>
          <t>장군면</t>
        </is>
      </c>
    </row>
    <row r="9819">
      <c r="A9819" s="3" t="n">
        <v>2026</v>
      </c>
      <c r="B9819" s="4" t="n">
        <v>47500</v>
      </c>
      <c r="C9819" s="4" t="n">
        <v>2453</v>
      </c>
      <c r="D9819" s="4" t="n">
        <v>742.0325</v>
      </c>
      <c r="E9819" s="5" t="n">
        <v>64</v>
      </c>
      <c r="F9819" s="3" t="inlineStr">
        <is>
          <t>금남면</t>
        </is>
      </c>
      <c r="G9819" s="3" t="inlineStr">
        <is>
          <t>영곡리</t>
        </is>
      </c>
      <c r="H9819" s="3" t="inlineStr">
        <is>
          <t>계획관리지역</t>
        </is>
      </c>
      <c r="I9819" s="3" t="inlineStr">
        <is>
          <t>전</t>
        </is>
      </c>
      <c r="J9819" s="3" t="inlineStr">
        <is>
          <t>금남면</t>
        </is>
      </c>
    </row>
    <row r="9820">
      <c r="A9820" s="3" t="n">
        <v>2026</v>
      </c>
      <c r="B9820" s="4" t="n">
        <v>86500</v>
      </c>
      <c r="C9820" s="4" t="n">
        <v>2610</v>
      </c>
      <c r="D9820" s="4" t="n">
        <v>789.525</v>
      </c>
      <c r="E9820" s="5" t="n">
        <v>109.6</v>
      </c>
      <c r="F9820" s="3" t="inlineStr">
        <is>
          <t>연서면</t>
        </is>
      </c>
      <c r="G9820" s="3" t="inlineStr">
        <is>
          <t>성제리</t>
        </is>
      </c>
      <c r="H9820" s="3" t="inlineStr">
        <is>
          <t>자연녹지지역</t>
        </is>
      </c>
      <c r="I9820" s="3" t="inlineStr">
        <is>
          <t>과수원</t>
        </is>
      </c>
      <c r="J9820" s="3" t="inlineStr">
        <is>
          <t>연서면</t>
        </is>
      </c>
    </row>
    <row r="9821">
      <c r="A9821" s="3" t="n">
        <v>2026</v>
      </c>
      <c r="B9821" s="4" t="n">
        <v>25219</v>
      </c>
      <c r="C9821" s="4" t="n">
        <v>1669</v>
      </c>
      <c r="D9821" s="4" t="n">
        <v>504.8725</v>
      </c>
      <c r="E9821" s="5" t="n">
        <v>50</v>
      </c>
      <c r="F9821" s="3" t="inlineStr">
        <is>
          <t>금남면</t>
        </is>
      </c>
      <c r="G9821" s="3" t="inlineStr">
        <is>
          <t>감성리</t>
        </is>
      </c>
      <c r="H9821" s="3" t="inlineStr">
        <is>
          <t>개발제한구역</t>
        </is>
      </c>
      <c r="I9821" s="3" t="inlineStr">
        <is>
          <t>답</t>
        </is>
      </c>
      <c r="J9821" s="3" t="inlineStr">
        <is>
          <t>금남면</t>
        </is>
      </c>
    </row>
    <row r="9822">
      <c r="A9822" s="3" t="n">
        <v>2026</v>
      </c>
      <c r="B9822" s="4" t="n">
        <v>14000</v>
      </c>
      <c r="C9822" s="4" t="n">
        <v>2651</v>
      </c>
      <c r="D9822" s="4" t="n">
        <v>801.9275</v>
      </c>
      <c r="E9822" s="5" t="n">
        <v>17.5</v>
      </c>
      <c r="F9822" s="3" t="inlineStr">
        <is>
          <t>전의면</t>
        </is>
      </c>
      <c r="G9822" s="3" t="inlineStr">
        <is>
          <t>신정리</t>
        </is>
      </c>
      <c r="H9822" s="3" t="inlineStr">
        <is>
          <t>계획관리지역</t>
        </is>
      </c>
      <c r="I9822" s="3" t="inlineStr">
        <is>
          <t>답</t>
        </is>
      </c>
      <c r="J9822" s="3" t="inlineStr">
        <is>
          <t>전의면</t>
        </is>
      </c>
    </row>
    <row r="9823">
      <c r="A9823" s="3" t="n">
        <v>2024</v>
      </c>
      <c r="B9823" s="4" t="n">
        <v>29858</v>
      </c>
      <c r="C9823" s="4" t="n">
        <v>1162</v>
      </c>
      <c r="D9823" s="4" t="n">
        <v>351.505</v>
      </c>
      <c r="E9823" s="5" t="n">
        <v>84.90000000000001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보전관리지역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2024</v>
      </c>
      <c r="B9824" s="4" t="n">
        <v>16702</v>
      </c>
      <c r="C9824" s="4" t="n">
        <v>650</v>
      </c>
      <c r="D9824" s="4" t="n">
        <v>196.625</v>
      </c>
      <c r="E9824" s="5" t="n">
        <v>84.90000000000001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보전관리지역</t>
        </is>
      </c>
      <c r="I9824" s="3" t="inlineStr">
        <is>
          <t>전</t>
        </is>
      </c>
      <c r="J9824" s="3" t="inlineStr">
        <is>
          <t>전동면</t>
        </is>
      </c>
    </row>
    <row r="9825">
      <c r="A9825" s="3" t="n">
        <v>2024</v>
      </c>
      <c r="B9825" s="4" t="n">
        <v>41600</v>
      </c>
      <c r="C9825" s="4" t="n">
        <v>690</v>
      </c>
      <c r="D9825" s="4" t="n">
        <v>208.725</v>
      </c>
      <c r="E9825" s="5" t="n">
        <v>199.3</v>
      </c>
      <c r="F9825" s="3" t="inlineStr">
        <is>
          <t>연서면</t>
        </is>
      </c>
      <c r="G9825" s="3" t="inlineStr">
        <is>
          <t>고복리</t>
        </is>
      </c>
      <c r="H9825" s="3" t="inlineStr">
        <is>
          <t>보전관리지역</t>
        </is>
      </c>
      <c r="I9825" s="3" t="inlineStr">
        <is>
          <t>답</t>
        </is>
      </c>
      <c r="J9825" s="3" t="inlineStr">
        <is>
          <t>연서면</t>
        </is>
      </c>
    </row>
    <row r="9826">
      <c r="A9826" s="3" t="n">
        <v>2024</v>
      </c>
      <c r="B9826" s="4" t="n">
        <v>12100</v>
      </c>
      <c r="C9826" s="4" t="n">
        <v>200</v>
      </c>
      <c r="D9826" s="4" t="n">
        <v>60.5</v>
      </c>
      <c r="E9826" s="5" t="n">
        <v>200</v>
      </c>
      <c r="F9826" s="3" t="inlineStr">
        <is>
          <t>연서면</t>
        </is>
      </c>
      <c r="G9826" s="3" t="inlineStr">
        <is>
          <t>고복리</t>
        </is>
      </c>
      <c r="H9826" s="3" t="inlineStr">
        <is>
          <t>보전관리지역</t>
        </is>
      </c>
      <c r="I9826" s="3" t="inlineStr">
        <is>
          <t>전</t>
        </is>
      </c>
      <c r="J9826" s="3" t="inlineStr">
        <is>
          <t>연서면</t>
        </is>
      </c>
    </row>
    <row r="9827">
      <c r="A9827" s="3" t="n">
        <v>2024</v>
      </c>
      <c r="B9827" s="4" t="n">
        <v>53865</v>
      </c>
      <c r="C9827" s="4" t="n">
        <v>1320</v>
      </c>
      <c r="D9827" s="4" t="n">
        <v>399.3</v>
      </c>
      <c r="E9827" s="5" t="n">
        <v>134.9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농림지역</t>
        </is>
      </c>
      <c r="I9827" s="3" t="inlineStr">
        <is>
          <t>답</t>
        </is>
      </c>
      <c r="J9827" s="3" t="inlineStr">
        <is>
          <t>연기면</t>
        </is>
      </c>
    </row>
    <row r="9828">
      <c r="A9828" s="3" t="n">
        <v>2024</v>
      </c>
      <c r="B9828" s="4" t="n">
        <v>45000</v>
      </c>
      <c r="C9828" s="4" t="n">
        <v>345.8</v>
      </c>
      <c r="D9828" s="4" t="n">
        <v>104.6045</v>
      </c>
      <c r="E9828" s="5" t="n">
        <v>430.2</v>
      </c>
      <c r="F9828" s="3" t="inlineStr">
        <is>
          <t>고운동</t>
        </is>
      </c>
      <c r="G9828" s="3" t="inlineStr"/>
      <c r="H9828" s="3" t="inlineStr">
        <is>
          <t>제1종전용주거지역</t>
        </is>
      </c>
      <c r="I9828" s="3" t="inlineStr">
        <is>
          <t>대</t>
        </is>
      </c>
      <c r="J9828" s="3" t="inlineStr">
        <is>
          <t>고운동</t>
        </is>
      </c>
    </row>
    <row r="9829">
      <c r="A9829" s="3" t="n">
        <v>2024</v>
      </c>
      <c r="B9829" s="4" t="n">
        <v>16704</v>
      </c>
      <c r="C9829" s="4" t="n">
        <v>1152</v>
      </c>
      <c r="D9829" s="4" t="n">
        <v>348.48</v>
      </c>
      <c r="E9829" s="5" t="n">
        <v>47.9</v>
      </c>
      <c r="F9829" s="3" t="inlineStr">
        <is>
          <t>전동면</t>
        </is>
      </c>
      <c r="G9829" s="3" t="inlineStr">
        <is>
          <t>석곡리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전동면</t>
        </is>
      </c>
    </row>
    <row r="9830">
      <c r="A9830" s="3" t="n">
        <v>2024</v>
      </c>
      <c r="B9830" s="4" t="n">
        <v>6400</v>
      </c>
      <c r="C9830" s="4" t="n">
        <v>529</v>
      </c>
      <c r="D9830" s="4" t="n">
        <v>160.0225</v>
      </c>
      <c r="E9830" s="5" t="n">
        <v>40</v>
      </c>
      <c r="F9830" s="3" t="inlineStr">
        <is>
          <t>연서면</t>
        </is>
      </c>
      <c r="G9830" s="3" t="inlineStr">
        <is>
          <t>고복리</t>
        </is>
      </c>
      <c r="H9830" s="3" t="inlineStr">
        <is>
          <t>생산관리지역</t>
        </is>
      </c>
      <c r="I9830" s="3" t="inlineStr">
        <is>
          <t>전</t>
        </is>
      </c>
      <c r="J9830" s="3" t="inlineStr">
        <is>
          <t>연서면</t>
        </is>
      </c>
    </row>
    <row r="9831">
      <c r="A9831" s="3" t="n">
        <v>2024</v>
      </c>
      <c r="B9831" s="4" t="n">
        <v>21120</v>
      </c>
      <c r="C9831" s="4" t="n">
        <v>1744</v>
      </c>
      <c r="D9831" s="4" t="n">
        <v>527.5599999999999</v>
      </c>
      <c r="E9831" s="5" t="n">
        <v>40</v>
      </c>
      <c r="F9831" s="3" t="inlineStr">
        <is>
          <t>연서면</t>
        </is>
      </c>
      <c r="G9831" s="3" t="inlineStr">
        <is>
          <t>고복리</t>
        </is>
      </c>
      <c r="H9831" s="3" t="inlineStr">
        <is>
          <t>생산관리지역</t>
        </is>
      </c>
      <c r="I9831" s="3" t="inlineStr">
        <is>
          <t>과수원</t>
        </is>
      </c>
      <c r="J9831" s="3" t="inlineStr">
        <is>
          <t>연서면</t>
        </is>
      </c>
    </row>
    <row r="9832">
      <c r="A9832" s="3" t="n">
        <v>2024</v>
      </c>
      <c r="B9832" s="4" t="n">
        <v>16170</v>
      </c>
      <c r="C9832" s="4" t="n">
        <v>495</v>
      </c>
      <c r="D9832" s="4" t="n">
        <v>149.7375</v>
      </c>
      <c r="E9832" s="5" t="n">
        <v>108</v>
      </c>
      <c r="F9832" s="3" t="inlineStr">
        <is>
          <t>전동면</t>
        </is>
      </c>
      <c r="G9832" s="3" t="inlineStr">
        <is>
          <t>송정리</t>
        </is>
      </c>
      <c r="H9832" s="3" t="inlineStr">
        <is>
          <t>자연녹지지역</t>
        </is>
      </c>
      <c r="I9832" s="3" t="inlineStr">
        <is>
          <t>임야</t>
        </is>
      </c>
      <c r="J9832" s="3" t="inlineStr">
        <is>
          <t>전동면</t>
        </is>
      </c>
    </row>
    <row r="9833">
      <c r="A9833" s="3" t="n">
        <v>2024</v>
      </c>
      <c r="B9833" s="4" t="n">
        <v>2200</v>
      </c>
      <c r="C9833" s="4" t="n">
        <v>37</v>
      </c>
      <c r="D9833" s="4" t="n">
        <v>11.1925</v>
      </c>
      <c r="E9833" s="5" t="n">
        <v>196.6</v>
      </c>
      <c r="F9833" s="3" t="inlineStr">
        <is>
          <t>전동면</t>
        </is>
      </c>
      <c r="G9833" s="3" t="inlineStr">
        <is>
          <t>노장리</t>
        </is>
      </c>
      <c r="H9833" s="3" t="inlineStr">
        <is>
          <t>보전관리지역</t>
        </is>
      </c>
      <c r="I9833" s="3" t="inlineStr">
        <is>
          <t>전</t>
        </is>
      </c>
      <c r="J9833" s="3" t="inlineStr">
        <is>
          <t>전동면</t>
        </is>
      </c>
    </row>
    <row r="9834">
      <c r="A9834" s="3" t="n">
        <v>2024</v>
      </c>
      <c r="B9834" s="4" t="n">
        <v>8000</v>
      </c>
      <c r="C9834" s="4" t="n">
        <v>178</v>
      </c>
      <c r="D9834" s="4" t="n">
        <v>53.845</v>
      </c>
      <c r="E9834" s="5" t="n">
        <v>148.6</v>
      </c>
      <c r="F9834" s="3" t="inlineStr">
        <is>
          <t>전의면</t>
        </is>
      </c>
      <c r="G9834" s="3" t="inlineStr">
        <is>
          <t>동교리</t>
        </is>
      </c>
      <c r="H9834" s="3" t="inlineStr">
        <is>
          <t>제1종일반주거지역</t>
        </is>
      </c>
      <c r="I9834" s="3" t="inlineStr">
        <is>
          <t>대</t>
        </is>
      </c>
      <c r="J9834" s="3" t="inlineStr">
        <is>
          <t>전의면</t>
        </is>
      </c>
    </row>
    <row r="9835">
      <c r="A9835" s="3" t="n">
        <v>2024</v>
      </c>
      <c r="B9835" s="4" t="n">
        <v>18000</v>
      </c>
      <c r="C9835" s="4" t="n">
        <v>595</v>
      </c>
      <c r="D9835" s="4" t="n">
        <v>179.9875</v>
      </c>
      <c r="E9835" s="5" t="n">
        <v>100</v>
      </c>
      <c r="F9835" s="3" t="inlineStr">
        <is>
          <t>전동면</t>
        </is>
      </c>
      <c r="G9835" s="3" t="inlineStr">
        <is>
          <t>석곡리</t>
        </is>
      </c>
      <c r="H9835" s="3" t="inlineStr">
        <is>
          <t>보전관리지역</t>
        </is>
      </c>
      <c r="I9835" s="3" t="inlineStr">
        <is>
          <t>임야</t>
        </is>
      </c>
      <c r="J9835" s="3" t="inlineStr">
        <is>
          <t>전동면</t>
        </is>
      </c>
    </row>
    <row r="9836">
      <c r="A9836" s="3" t="n">
        <v>2024</v>
      </c>
      <c r="B9836" s="4" t="n">
        <v>1000</v>
      </c>
      <c r="C9836" s="4" t="n">
        <v>14</v>
      </c>
      <c r="D9836" s="4" t="n">
        <v>4.234999999999999</v>
      </c>
      <c r="E9836" s="5" t="n">
        <v>236.1</v>
      </c>
      <c r="F9836" s="3" t="inlineStr">
        <is>
          <t>장군면</t>
        </is>
      </c>
      <c r="G9836" s="3" t="inlineStr">
        <is>
          <t>대교리</t>
        </is>
      </c>
      <c r="H9836" s="3" t="inlineStr">
        <is>
          <t>보전관리지역</t>
        </is>
      </c>
      <c r="I9836" s="3" t="inlineStr">
        <is>
          <t>대</t>
        </is>
      </c>
      <c r="J9836" s="3" t="inlineStr">
        <is>
          <t>장군면</t>
        </is>
      </c>
    </row>
    <row r="9837">
      <c r="A9837" s="3" t="n">
        <v>2024</v>
      </c>
      <c r="B9837" s="4" t="n">
        <v>28971</v>
      </c>
      <c r="C9837" s="4" t="n">
        <v>685</v>
      </c>
      <c r="D9837" s="4" t="n">
        <v>207.2125</v>
      </c>
      <c r="E9837" s="5" t="n">
        <v>139.8</v>
      </c>
      <c r="F9837" s="3" t="inlineStr">
        <is>
          <t>전의면</t>
        </is>
      </c>
      <c r="G9837" s="3" t="inlineStr">
        <is>
          <t>서정리</t>
        </is>
      </c>
      <c r="H9837" s="3" t="inlineStr">
        <is>
          <t>계획관리지역</t>
        </is>
      </c>
      <c r="I9837" s="3" t="inlineStr">
        <is>
          <t>대</t>
        </is>
      </c>
      <c r="J9837" s="3" t="inlineStr">
        <is>
          <t>전의면</t>
        </is>
      </c>
    </row>
    <row r="9838">
      <c r="A9838" s="3" t="n">
        <v>2024</v>
      </c>
      <c r="B9838" s="4" t="n">
        <v>7890</v>
      </c>
      <c r="C9838" s="4" t="n">
        <v>289</v>
      </c>
      <c r="D9838" s="4" t="n">
        <v>87.4225</v>
      </c>
      <c r="E9838" s="5" t="n">
        <v>90.3</v>
      </c>
      <c r="F9838" s="3" t="inlineStr">
        <is>
          <t>전의면</t>
        </is>
      </c>
      <c r="G9838" s="3" t="inlineStr">
        <is>
          <t>서정리</t>
        </is>
      </c>
      <c r="H9838" s="3" t="inlineStr">
        <is>
          <t>계획관리지역</t>
        </is>
      </c>
      <c r="I9838" s="3" t="inlineStr">
        <is>
          <t>대</t>
        </is>
      </c>
      <c r="J9838" s="3" t="inlineStr">
        <is>
          <t>전의면</t>
        </is>
      </c>
    </row>
    <row r="9839">
      <c r="A9839" s="3" t="n">
        <v>2025</v>
      </c>
      <c r="B9839" s="4" t="n">
        <v>20000</v>
      </c>
      <c r="C9839" s="4" t="n">
        <v>700</v>
      </c>
      <c r="D9839" s="4" t="n">
        <v>211.75</v>
      </c>
      <c r="E9839" s="5" t="n">
        <v>94.5</v>
      </c>
      <c r="F9839" s="3" t="inlineStr">
        <is>
          <t>연서면</t>
        </is>
      </c>
      <c r="G9839" s="3" t="inlineStr">
        <is>
          <t>기룡리</t>
        </is>
      </c>
      <c r="H9839" s="3" t="inlineStr">
        <is>
          <t>계획관리지역</t>
        </is>
      </c>
      <c r="I9839" s="3" t="inlineStr">
        <is>
          <t>대</t>
        </is>
      </c>
      <c r="J9839" s="3" t="inlineStr">
        <is>
          <t>연서면</t>
        </is>
      </c>
    </row>
    <row r="9840">
      <c r="A9840" s="3" t="n">
        <v>2026</v>
      </c>
      <c r="B9840" s="4" t="n">
        <v>52000</v>
      </c>
      <c r="C9840" s="4" t="n">
        <v>2946</v>
      </c>
      <c r="D9840" s="4" t="n">
        <v>891.165</v>
      </c>
      <c r="E9840" s="5" t="n">
        <v>58.4</v>
      </c>
      <c r="F9840" s="3" t="inlineStr">
        <is>
          <t>연서면</t>
        </is>
      </c>
      <c r="G9840" s="3" t="inlineStr">
        <is>
          <t>신대리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연서면</t>
        </is>
      </c>
    </row>
    <row r="9841">
      <c r="A9841" s="3" t="n">
        <v>2026</v>
      </c>
      <c r="B9841" s="4" t="n">
        <v>81191</v>
      </c>
      <c r="C9841" s="4" t="n">
        <v>610</v>
      </c>
      <c r="D9841" s="4" t="n">
        <v>184.525</v>
      </c>
      <c r="E9841" s="5" t="n">
        <v>440</v>
      </c>
      <c r="F9841" s="3" t="inlineStr">
        <is>
          <t>장군면</t>
        </is>
      </c>
      <c r="G9841" s="3" t="inlineStr">
        <is>
          <t>봉안리</t>
        </is>
      </c>
      <c r="H9841" s="3" t="inlineStr">
        <is>
          <t>보전관리지역</t>
        </is>
      </c>
      <c r="I9841" s="3" t="inlineStr">
        <is>
          <t>대</t>
        </is>
      </c>
      <c r="J9841" s="3" t="inlineStr">
        <is>
          <t>장군면</t>
        </is>
      </c>
    </row>
    <row r="9842">
      <c r="A9842" s="3" t="n">
        <v>2026</v>
      </c>
      <c r="B9842" s="4" t="n">
        <v>7449</v>
      </c>
      <c r="C9842" s="4" t="n">
        <v>524</v>
      </c>
      <c r="D9842" s="4" t="n">
        <v>158.51</v>
      </c>
      <c r="E9842" s="5" t="n">
        <v>47</v>
      </c>
      <c r="F9842" s="3" t="inlineStr">
        <is>
          <t>전동면</t>
        </is>
      </c>
      <c r="G9842" s="3" t="inlineStr">
        <is>
          <t>청람리</t>
        </is>
      </c>
      <c r="H9842" s="3" t="inlineStr">
        <is>
          <t>보전관리지역</t>
        </is>
      </c>
      <c r="I9842" s="3" t="inlineStr">
        <is>
          <t>전</t>
        </is>
      </c>
      <c r="J9842" s="3" t="inlineStr">
        <is>
          <t>전동면</t>
        </is>
      </c>
    </row>
    <row r="9843">
      <c r="A9843" s="3" t="n">
        <v>2026</v>
      </c>
      <c r="B9843" s="4" t="n">
        <v>6040</v>
      </c>
      <c r="C9843" s="4" t="n">
        <v>425</v>
      </c>
      <c r="D9843" s="4" t="n">
        <v>128.5625</v>
      </c>
      <c r="E9843" s="5" t="n">
        <v>47</v>
      </c>
      <c r="F9843" s="3" t="inlineStr">
        <is>
          <t>전동면</t>
        </is>
      </c>
      <c r="G9843" s="3" t="inlineStr">
        <is>
          <t>청람리</t>
        </is>
      </c>
      <c r="H9843" s="3" t="inlineStr">
        <is>
          <t>보전관리지역</t>
        </is>
      </c>
      <c r="I9843" s="3" t="inlineStr">
        <is>
          <t>전</t>
        </is>
      </c>
      <c r="J9843" s="3" t="inlineStr">
        <is>
          <t>전동면</t>
        </is>
      </c>
    </row>
    <row r="9844">
      <c r="A9844" s="3" t="n">
        <v>2026</v>
      </c>
      <c r="B9844" s="4" t="n">
        <v>85470</v>
      </c>
      <c r="C9844" s="4" t="n">
        <v>4035</v>
      </c>
      <c r="D9844" s="4" t="n">
        <v>1220.5875</v>
      </c>
      <c r="E9844" s="5" t="n">
        <v>70</v>
      </c>
      <c r="F9844" s="3" t="inlineStr">
        <is>
          <t>연서면</t>
        </is>
      </c>
      <c r="G9844" s="3" t="inlineStr">
        <is>
          <t>와촌리</t>
        </is>
      </c>
      <c r="H9844" s="3" t="inlineStr">
        <is>
          <t>농림지역</t>
        </is>
      </c>
      <c r="I9844" s="3" t="inlineStr">
        <is>
          <t>답</t>
        </is>
      </c>
      <c r="J9844" s="3" t="inlineStr">
        <is>
          <t>연서면</t>
        </is>
      </c>
    </row>
    <row r="9845">
      <c r="A9845" s="3" t="n">
        <v>2026</v>
      </c>
      <c r="B9845" s="4" t="n">
        <v>50900</v>
      </c>
      <c r="C9845" s="4" t="n">
        <v>4807</v>
      </c>
      <c r="D9845" s="4" t="n">
        <v>1454.1175</v>
      </c>
      <c r="E9845" s="5" t="n">
        <v>35</v>
      </c>
      <c r="F9845" s="3" t="inlineStr">
        <is>
          <t>전의면</t>
        </is>
      </c>
      <c r="G9845" s="3" t="inlineStr">
        <is>
          <t>달전리</t>
        </is>
      </c>
      <c r="H9845" s="3" t="inlineStr">
        <is>
          <t>생산관리지역</t>
        </is>
      </c>
      <c r="I9845" s="3" t="inlineStr">
        <is>
          <t>답</t>
        </is>
      </c>
      <c r="J9845" s="3" t="inlineStr">
        <is>
          <t>전의면</t>
        </is>
      </c>
    </row>
    <row r="9846">
      <c r="A9846" s="3" t="n">
        <v>2026</v>
      </c>
      <c r="B9846" s="4" t="n">
        <v>16500</v>
      </c>
      <c r="C9846" s="4" t="n">
        <v>403</v>
      </c>
      <c r="D9846" s="4" t="n">
        <v>121.9075</v>
      </c>
      <c r="E9846" s="5" t="n">
        <v>135.3</v>
      </c>
      <c r="F9846" s="3" t="inlineStr">
        <is>
          <t>부강면</t>
        </is>
      </c>
      <c r="G9846" s="3" t="inlineStr">
        <is>
          <t>금호리</t>
        </is>
      </c>
      <c r="H9846" s="3" t="inlineStr">
        <is>
          <t>생산관리지역</t>
        </is>
      </c>
      <c r="I9846" s="3" t="inlineStr">
        <is>
          <t>답</t>
        </is>
      </c>
      <c r="J9846" s="3" t="inlineStr">
        <is>
          <t>부강면</t>
        </is>
      </c>
    </row>
    <row r="9847">
      <c r="A9847" s="3" t="n">
        <v>2026</v>
      </c>
      <c r="B9847" s="4" t="n">
        <v>9500</v>
      </c>
      <c r="C9847" s="4" t="n">
        <v>231</v>
      </c>
      <c r="D9847" s="4" t="n">
        <v>69.8775</v>
      </c>
      <c r="E9847" s="5" t="n">
        <v>136</v>
      </c>
      <c r="F9847" s="3" t="inlineStr">
        <is>
          <t>부강면</t>
        </is>
      </c>
      <c r="G9847" s="3" t="inlineStr">
        <is>
          <t>금호리</t>
        </is>
      </c>
      <c r="H9847" s="3" t="inlineStr">
        <is>
          <t>생산관리지역</t>
        </is>
      </c>
      <c r="I9847" s="3" t="inlineStr">
        <is>
          <t>답</t>
        </is>
      </c>
      <c r="J9847" s="3" t="inlineStr">
        <is>
          <t>부강면</t>
        </is>
      </c>
    </row>
    <row r="9848">
      <c r="A9848" s="3" t="n">
        <v>2026</v>
      </c>
      <c r="B9848" s="4" t="n">
        <v>5000</v>
      </c>
      <c r="C9848" s="4" t="n">
        <v>1488</v>
      </c>
      <c r="D9848" s="4" t="n">
        <v>450.12</v>
      </c>
      <c r="E9848" s="5" t="n">
        <v>11.1</v>
      </c>
      <c r="F9848" s="3" t="inlineStr">
        <is>
          <t>금남면</t>
        </is>
      </c>
      <c r="G9848" s="3" t="inlineStr">
        <is>
          <t>봉암리</t>
        </is>
      </c>
      <c r="H9848" s="3" t="inlineStr">
        <is>
          <t>개발제한구역</t>
        </is>
      </c>
      <c r="I9848" s="3" t="inlineStr">
        <is>
          <t>임야</t>
        </is>
      </c>
      <c r="J9848" s="3" t="inlineStr">
        <is>
          <t>금남면</t>
        </is>
      </c>
    </row>
    <row r="9849">
      <c r="A9849" s="3" t="n">
        <v>2026</v>
      </c>
      <c r="B9849" s="4" t="n">
        <v>24000</v>
      </c>
      <c r="C9849" s="4" t="n">
        <v>585</v>
      </c>
      <c r="D9849" s="4" t="n">
        <v>176.9625</v>
      </c>
      <c r="E9849" s="5" t="n">
        <v>135.6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생산관리지역</t>
        </is>
      </c>
      <c r="I9849" s="3" t="inlineStr">
        <is>
          <t>답</t>
        </is>
      </c>
      <c r="J9849" s="3" t="inlineStr">
        <is>
          <t>부강면</t>
        </is>
      </c>
    </row>
    <row r="9850">
      <c r="A9850" s="3" t="n">
        <v>2026</v>
      </c>
      <c r="B9850" s="4" t="n">
        <v>21700</v>
      </c>
      <c r="C9850" s="4" t="n">
        <v>703</v>
      </c>
      <c r="D9850" s="4" t="n">
        <v>212.6575</v>
      </c>
      <c r="E9850" s="5" t="n">
        <v>102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생산관리지역</t>
        </is>
      </c>
      <c r="I9850" s="3" t="inlineStr">
        <is>
          <t>답</t>
        </is>
      </c>
      <c r="J9850" s="3" t="inlineStr">
        <is>
          <t>부강면</t>
        </is>
      </c>
    </row>
    <row r="9851">
      <c r="A9851" s="3" t="n">
        <v>2026</v>
      </c>
      <c r="B9851" s="4" t="n">
        <v>7100</v>
      </c>
      <c r="C9851" s="4" t="n">
        <v>230</v>
      </c>
      <c r="D9851" s="4" t="n">
        <v>69.575</v>
      </c>
      <c r="E9851" s="5" t="n">
        <v>102</v>
      </c>
      <c r="F9851" s="3" t="inlineStr">
        <is>
          <t>부강면</t>
        </is>
      </c>
      <c r="G9851" s="3" t="inlineStr">
        <is>
          <t>금호리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부강면</t>
        </is>
      </c>
    </row>
    <row r="9852">
      <c r="A9852" s="3" t="n">
        <v>2026</v>
      </c>
      <c r="B9852" s="4" t="n">
        <v>29000</v>
      </c>
      <c r="C9852" s="4" t="n">
        <v>933</v>
      </c>
      <c r="D9852" s="4" t="n">
        <v>282.2325</v>
      </c>
      <c r="E9852" s="5" t="n">
        <v>102.8</v>
      </c>
      <c r="F9852" s="3" t="inlineStr">
        <is>
          <t>부강면</t>
        </is>
      </c>
      <c r="G9852" s="3" t="inlineStr">
        <is>
          <t>금호리</t>
        </is>
      </c>
      <c r="H9852" s="3" t="inlineStr">
        <is>
          <t>생산관리지역</t>
        </is>
      </c>
      <c r="I9852" s="3" t="inlineStr">
        <is>
          <t>답</t>
        </is>
      </c>
      <c r="J9852" s="3" t="inlineStr">
        <is>
          <t>부강면</t>
        </is>
      </c>
    </row>
    <row r="9853">
      <c r="A9853" s="3" t="n">
        <v>2026</v>
      </c>
      <c r="B9853" s="4" t="n">
        <v>9200</v>
      </c>
      <c r="C9853" s="4" t="n">
        <v>301</v>
      </c>
      <c r="D9853" s="4" t="n">
        <v>91.05249999999999</v>
      </c>
      <c r="E9853" s="5" t="n">
        <v>101</v>
      </c>
      <c r="F9853" s="3" t="inlineStr">
        <is>
          <t>부강면</t>
        </is>
      </c>
      <c r="G9853" s="3" t="inlineStr">
        <is>
          <t>금호리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부강면</t>
        </is>
      </c>
    </row>
    <row r="9854">
      <c r="A9854" s="3" t="n">
        <v>2026</v>
      </c>
      <c r="B9854" s="4" t="n">
        <v>9000</v>
      </c>
      <c r="C9854" s="4" t="n">
        <v>304</v>
      </c>
      <c r="D9854" s="4" t="n">
        <v>91.95999999999999</v>
      </c>
      <c r="E9854" s="5" t="n">
        <v>97.90000000000001</v>
      </c>
      <c r="F9854" s="3" t="inlineStr">
        <is>
          <t>부강면</t>
        </is>
      </c>
      <c r="G9854" s="3" t="inlineStr">
        <is>
          <t>금호리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부강면</t>
        </is>
      </c>
    </row>
    <row r="9855">
      <c r="A9855" s="3" t="n">
        <v>2026</v>
      </c>
      <c r="B9855" s="4" t="n">
        <v>14000</v>
      </c>
      <c r="C9855" s="4" t="n">
        <v>473</v>
      </c>
      <c r="D9855" s="4" t="n">
        <v>143.0825</v>
      </c>
      <c r="E9855" s="5" t="n">
        <v>97.8</v>
      </c>
      <c r="F9855" s="3" t="inlineStr">
        <is>
          <t>부강면</t>
        </is>
      </c>
      <c r="G9855" s="3" t="inlineStr">
        <is>
          <t>금호리</t>
        </is>
      </c>
      <c r="H9855" s="3" t="inlineStr">
        <is>
          <t>생산관리지역</t>
        </is>
      </c>
      <c r="I9855" s="3" t="inlineStr">
        <is>
          <t>답</t>
        </is>
      </c>
      <c r="J9855" s="3" t="inlineStr">
        <is>
          <t>부강면</t>
        </is>
      </c>
    </row>
    <row r="9856">
      <c r="A9856" s="3" t="n">
        <v>2023</v>
      </c>
      <c r="B9856" s="4" t="n">
        <v>5</v>
      </c>
      <c r="C9856" s="4" t="n">
        <v>1</v>
      </c>
      <c r="D9856" s="4" t="n">
        <v>0.3025</v>
      </c>
      <c r="E9856" s="5" t="n">
        <v>16.5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농림지역</t>
        </is>
      </c>
      <c r="I9856" s="3" t="inlineStr">
        <is>
          <t>임야</t>
        </is>
      </c>
      <c r="J9856" s="3" t="inlineStr">
        <is>
          <t>전의면</t>
        </is>
      </c>
    </row>
    <row r="9857">
      <c r="A9857" s="3" t="n">
        <v>2023</v>
      </c>
      <c r="B9857" s="4" t="n">
        <v>102500</v>
      </c>
      <c r="C9857" s="4" t="n">
        <v>11299</v>
      </c>
      <c r="D9857" s="4" t="n">
        <v>3417.9475</v>
      </c>
      <c r="E9857" s="5" t="n">
        <v>30</v>
      </c>
      <c r="F9857" s="3" t="inlineStr">
        <is>
          <t>전동면</t>
        </is>
      </c>
      <c r="G9857" s="3" t="inlineStr">
        <is>
          <t>청송리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전동면</t>
        </is>
      </c>
    </row>
    <row r="9858">
      <c r="A9858" s="3" t="n">
        <v>2023</v>
      </c>
      <c r="B9858" s="4" t="n">
        <v>21854</v>
      </c>
      <c r="C9858" s="4" t="n">
        <v>324</v>
      </c>
      <c r="D9858" s="4" t="n">
        <v>98.00999999999999</v>
      </c>
      <c r="E9858" s="5" t="n">
        <v>223</v>
      </c>
      <c r="F9858" s="3" t="inlineStr">
        <is>
          <t>전의면</t>
        </is>
      </c>
      <c r="G9858" s="3" t="inlineStr">
        <is>
          <t>관정리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전의면</t>
        </is>
      </c>
    </row>
    <row r="9859">
      <c r="A9859" s="3" t="n">
        <v>2023</v>
      </c>
      <c r="B9859" s="4" t="n">
        <v>401</v>
      </c>
      <c r="C9859" s="4" t="n">
        <v>6</v>
      </c>
      <c r="D9859" s="4" t="n">
        <v>1.815</v>
      </c>
      <c r="E9859" s="5" t="n">
        <v>220.9</v>
      </c>
      <c r="F9859" s="3" t="inlineStr">
        <is>
          <t>전의면</t>
        </is>
      </c>
      <c r="G9859" s="3" t="inlineStr">
        <is>
          <t>관정리</t>
        </is>
      </c>
      <c r="H9859" s="3" t="inlineStr">
        <is>
          <t>계획관리지역</t>
        </is>
      </c>
      <c r="I9859" s="3" t="inlineStr">
        <is>
          <t>임야</t>
        </is>
      </c>
      <c r="J9859" s="3" t="inlineStr">
        <is>
          <t>전의면</t>
        </is>
      </c>
    </row>
    <row r="9860">
      <c r="A9860" s="3" t="n">
        <v>2023</v>
      </c>
      <c r="B9860" s="4" t="n">
        <v>9720</v>
      </c>
      <c r="C9860" s="4" t="n">
        <v>135</v>
      </c>
      <c r="D9860" s="4" t="n">
        <v>40.8375</v>
      </c>
      <c r="E9860" s="5" t="n">
        <v>238</v>
      </c>
      <c r="F9860" s="3" t="inlineStr">
        <is>
          <t>전의면</t>
        </is>
      </c>
      <c r="G9860" s="3" t="inlineStr">
        <is>
          <t>관정리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2023</v>
      </c>
      <c r="B9861" s="4" t="n">
        <v>9234</v>
      </c>
      <c r="C9861" s="4" t="n">
        <v>127</v>
      </c>
      <c r="D9861" s="4" t="n">
        <v>38.4175</v>
      </c>
      <c r="E9861" s="5" t="n">
        <v>240.4</v>
      </c>
      <c r="F9861" s="3" t="inlineStr">
        <is>
          <t>전의면</t>
        </is>
      </c>
      <c r="G9861" s="3" t="inlineStr">
        <is>
          <t>관정리</t>
        </is>
      </c>
      <c r="H9861" s="3" t="inlineStr">
        <is>
          <t>계획관리지역</t>
        </is>
      </c>
      <c r="I9861" s="3" t="inlineStr">
        <is>
          <t>전</t>
        </is>
      </c>
      <c r="J9861" s="3" t="inlineStr">
        <is>
          <t>전의면</t>
        </is>
      </c>
    </row>
    <row r="9862">
      <c r="A9862" s="3" t="n">
        <v>2023</v>
      </c>
      <c r="B9862" s="4" t="n">
        <v>5103</v>
      </c>
      <c r="C9862" s="4" t="n">
        <v>68</v>
      </c>
      <c r="D9862" s="4" t="n">
        <v>20.57</v>
      </c>
      <c r="E9862" s="5" t="n">
        <v>248.1</v>
      </c>
      <c r="F9862" s="3" t="inlineStr">
        <is>
          <t>전의면</t>
        </is>
      </c>
      <c r="G9862" s="3" t="inlineStr">
        <is>
          <t>관정리</t>
        </is>
      </c>
      <c r="H9862" s="3" t="inlineStr">
        <is>
          <t>계획관리지역</t>
        </is>
      </c>
      <c r="I9862" s="3" t="inlineStr">
        <is>
          <t>임야</t>
        </is>
      </c>
      <c r="J9862" s="3" t="inlineStr">
        <is>
          <t>전의면</t>
        </is>
      </c>
    </row>
    <row r="9863">
      <c r="A9863" s="3" t="n">
        <v>2023</v>
      </c>
      <c r="B9863" s="4" t="n">
        <v>49600</v>
      </c>
      <c r="C9863" s="4" t="n">
        <v>583</v>
      </c>
      <c r="D9863" s="4" t="n">
        <v>176.3575</v>
      </c>
      <c r="E9863" s="5" t="n">
        <v>281.2</v>
      </c>
      <c r="F9863" s="3" t="inlineStr">
        <is>
          <t>전동면</t>
        </is>
      </c>
      <c r="G9863" s="3" t="inlineStr">
        <is>
          <t>심중리</t>
        </is>
      </c>
      <c r="H9863" s="3" t="inlineStr">
        <is>
          <t>준공업지역</t>
        </is>
      </c>
      <c r="I9863" s="3" t="inlineStr">
        <is>
          <t>전</t>
        </is>
      </c>
      <c r="J9863" s="3" t="inlineStr">
        <is>
          <t>전동면</t>
        </is>
      </c>
    </row>
    <row r="9864">
      <c r="A9864" s="3" t="n">
        <v>2023</v>
      </c>
      <c r="B9864" s="4" t="n">
        <v>63000</v>
      </c>
      <c r="C9864" s="4" t="n">
        <v>1323</v>
      </c>
      <c r="D9864" s="4" t="n">
        <v>400.2075</v>
      </c>
      <c r="E9864" s="5" t="n">
        <v>157.4</v>
      </c>
      <c r="F9864" s="3" t="inlineStr">
        <is>
          <t>부강면</t>
        </is>
      </c>
      <c r="G9864" s="3" t="inlineStr">
        <is>
          <t>금호리</t>
        </is>
      </c>
      <c r="H9864" s="3" t="inlineStr">
        <is>
          <t>계획관리지역</t>
        </is>
      </c>
      <c r="I9864" s="3" t="inlineStr">
        <is>
          <t>전</t>
        </is>
      </c>
      <c r="J9864" s="3" t="inlineStr">
        <is>
          <t>부강면</t>
        </is>
      </c>
    </row>
    <row r="9865">
      <c r="A9865" s="3" t="n">
        <v>2023</v>
      </c>
      <c r="B9865" s="4" t="n">
        <v>7000</v>
      </c>
      <c r="C9865" s="4" t="n">
        <v>620</v>
      </c>
      <c r="D9865" s="4" t="n">
        <v>187.55</v>
      </c>
      <c r="E9865" s="5" t="n">
        <v>37.3</v>
      </c>
      <c r="F9865" s="3" t="inlineStr">
        <is>
          <t>전동면</t>
        </is>
      </c>
      <c r="G9865" s="3" t="inlineStr">
        <is>
          <t>송곡리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2023</v>
      </c>
      <c r="B9866" s="4" t="n">
        <v>13000</v>
      </c>
      <c r="C9866" s="4" t="n">
        <v>1031</v>
      </c>
      <c r="D9866" s="4" t="n">
        <v>311.8775</v>
      </c>
      <c r="E9866" s="5" t="n">
        <v>41.7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계획관리지역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2023</v>
      </c>
      <c r="B9867" s="4" t="n">
        <v>29360</v>
      </c>
      <c r="C9867" s="4" t="n">
        <v>1213</v>
      </c>
      <c r="D9867" s="4" t="n">
        <v>366.9325</v>
      </c>
      <c r="E9867" s="5" t="n">
        <v>80</v>
      </c>
      <c r="F9867" s="3" t="inlineStr">
        <is>
          <t>금남면</t>
        </is>
      </c>
      <c r="G9867" s="3" t="inlineStr">
        <is>
          <t>영곡리</t>
        </is>
      </c>
      <c r="H9867" s="3" t="inlineStr">
        <is>
          <t>생산관리지역</t>
        </is>
      </c>
      <c r="I9867" s="3" t="inlineStr">
        <is>
          <t>전</t>
        </is>
      </c>
      <c r="J9867" s="3" t="inlineStr">
        <is>
          <t>금남면</t>
        </is>
      </c>
    </row>
    <row r="9868">
      <c r="A9868" s="3" t="n">
        <v>2023</v>
      </c>
      <c r="B9868" s="4" t="n">
        <v>18000</v>
      </c>
      <c r="C9868" s="4" t="n">
        <v>208</v>
      </c>
      <c r="D9868" s="4" t="n">
        <v>62.92</v>
      </c>
      <c r="E9868" s="5" t="n">
        <v>286.1</v>
      </c>
      <c r="F9868" s="3" t="inlineStr">
        <is>
          <t>장군면</t>
        </is>
      </c>
      <c r="G9868" s="3" t="inlineStr">
        <is>
          <t>산학리</t>
        </is>
      </c>
      <c r="H9868" s="3" t="inlineStr">
        <is>
          <t>계획관리지역</t>
        </is>
      </c>
      <c r="I9868" s="3" t="inlineStr">
        <is>
          <t>대</t>
        </is>
      </c>
      <c r="J9868" s="3" t="inlineStr">
        <is>
          <t>장군면</t>
        </is>
      </c>
    </row>
    <row r="9869">
      <c r="A9869" s="3" t="n">
        <v>2023</v>
      </c>
      <c r="B9869" s="4" t="n">
        <v>26800</v>
      </c>
      <c r="C9869" s="4" t="n">
        <v>935.7</v>
      </c>
      <c r="D9869" s="4" t="n">
        <v>283.04925</v>
      </c>
      <c r="E9869" s="5" t="n">
        <v>94.7</v>
      </c>
      <c r="F9869" s="3" t="inlineStr">
        <is>
          <t>장군면</t>
        </is>
      </c>
      <c r="G9869" s="3" t="inlineStr">
        <is>
          <t>송정리</t>
        </is>
      </c>
      <c r="H9869" s="3" t="inlineStr">
        <is>
          <t>생산관리지역</t>
        </is>
      </c>
      <c r="I9869" s="3" t="inlineStr">
        <is>
          <t>답</t>
        </is>
      </c>
      <c r="J9869" s="3" t="inlineStr">
        <is>
          <t>장군면</t>
        </is>
      </c>
    </row>
    <row r="9870">
      <c r="A9870" s="3" t="n">
        <v>2023</v>
      </c>
      <c r="B9870" s="4" t="n">
        <v>56200</v>
      </c>
      <c r="C9870" s="4" t="n">
        <v>1230</v>
      </c>
      <c r="D9870" s="4" t="n">
        <v>372.075</v>
      </c>
      <c r="E9870" s="5" t="n">
        <v>151</v>
      </c>
      <c r="F9870" s="3" t="inlineStr">
        <is>
          <t>장군면</t>
        </is>
      </c>
      <c r="G9870" s="3" t="inlineStr">
        <is>
          <t>하봉리</t>
        </is>
      </c>
      <c r="H9870" s="3" t="inlineStr">
        <is>
          <t>계획관리지역</t>
        </is>
      </c>
      <c r="I9870" s="3" t="inlineStr">
        <is>
          <t>전</t>
        </is>
      </c>
      <c r="J9870" s="3" t="inlineStr">
        <is>
          <t>장군면</t>
        </is>
      </c>
    </row>
    <row r="9871">
      <c r="A9871" s="3" t="n">
        <v>2023</v>
      </c>
      <c r="B9871" s="4" t="n">
        <v>12600</v>
      </c>
      <c r="C9871" s="4" t="n">
        <v>833</v>
      </c>
      <c r="D9871" s="4" t="n">
        <v>251.9825</v>
      </c>
      <c r="E9871" s="5" t="n">
        <v>50</v>
      </c>
      <c r="F9871" s="3" t="inlineStr">
        <is>
          <t>전의면</t>
        </is>
      </c>
      <c r="G9871" s="3" t="inlineStr">
        <is>
          <t>다방리</t>
        </is>
      </c>
      <c r="H9871" s="3" t="inlineStr">
        <is>
          <t>생산관리지역</t>
        </is>
      </c>
      <c r="I9871" s="3" t="inlineStr">
        <is>
          <t>전</t>
        </is>
      </c>
      <c r="J9871" s="3" t="inlineStr">
        <is>
          <t>전의면</t>
        </is>
      </c>
    </row>
    <row r="9872">
      <c r="A9872" s="3" t="n">
        <v>2023</v>
      </c>
      <c r="B9872" s="4" t="n">
        <v>63500</v>
      </c>
      <c r="C9872" s="4" t="n">
        <v>972</v>
      </c>
      <c r="D9872" s="4" t="n">
        <v>294.03</v>
      </c>
      <c r="E9872" s="5" t="n">
        <v>216</v>
      </c>
      <c r="F9872" s="3" t="inlineStr">
        <is>
          <t>연서면</t>
        </is>
      </c>
      <c r="G9872" s="3" t="inlineStr">
        <is>
          <t>월하리</t>
        </is>
      </c>
      <c r="H9872" s="3" t="inlineStr">
        <is>
          <t>자연녹지지역</t>
        </is>
      </c>
      <c r="I9872" s="3" t="inlineStr">
        <is>
          <t>답</t>
        </is>
      </c>
      <c r="J9872" s="3" t="inlineStr">
        <is>
          <t>연서면</t>
        </is>
      </c>
    </row>
    <row r="9873">
      <c r="A9873" s="3" t="n">
        <v>2023</v>
      </c>
      <c r="B9873" s="4" t="n">
        <v>2100</v>
      </c>
      <c r="C9873" s="4" t="n">
        <v>32</v>
      </c>
      <c r="D9873" s="4" t="n">
        <v>9.68</v>
      </c>
      <c r="E9873" s="5" t="n">
        <v>216.9</v>
      </c>
      <c r="F9873" s="3" t="inlineStr">
        <is>
          <t>연서면</t>
        </is>
      </c>
      <c r="G9873" s="3" t="inlineStr">
        <is>
          <t>월하리</t>
        </is>
      </c>
      <c r="H9873" s="3" t="inlineStr">
        <is>
          <t>자연녹지지역</t>
        </is>
      </c>
      <c r="I9873" s="3" t="inlineStr">
        <is>
          <t>답</t>
        </is>
      </c>
      <c r="J9873" s="3" t="inlineStr">
        <is>
          <t>연서면</t>
        </is>
      </c>
    </row>
    <row r="9874">
      <c r="A9874" s="3" t="n">
        <v>2023</v>
      </c>
      <c r="B9874" s="4" t="n">
        <v>4900</v>
      </c>
      <c r="C9874" s="4" t="n">
        <v>164</v>
      </c>
      <c r="D9874" s="4" t="n">
        <v>49.61</v>
      </c>
      <c r="E9874" s="5" t="n">
        <v>98.8</v>
      </c>
      <c r="F9874" s="3" t="inlineStr">
        <is>
          <t>연서면</t>
        </is>
      </c>
      <c r="G9874" s="3" t="inlineStr">
        <is>
          <t>월하리</t>
        </is>
      </c>
      <c r="H9874" s="3" t="inlineStr">
        <is>
          <t>자연녹지지역</t>
        </is>
      </c>
      <c r="I9874" s="3" t="inlineStr">
        <is>
          <t>전</t>
        </is>
      </c>
      <c r="J9874" s="3" t="inlineStr">
        <is>
          <t>연서면</t>
        </is>
      </c>
    </row>
    <row r="9875">
      <c r="A9875" s="3" t="n">
        <v>2024</v>
      </c>
      <c r="B9875" s="4" t="n">
        <v>2100</v>
      </c>
      <c r="C9875" s="4" t="n">
        <v>77</v>
      </c>
      <c r="D9875" s="4" t="n">
        <v>23.2925</v>
      </c>
      <c r="E9875" s="5" t="n">
        <v>90.2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계획관리지역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2025</v>
      </c>
      <c r="B9876" s="4" t="n">
        <v>6370</v>
      </c>
      <c r="C9876" s="4" t="n">
        <v>40</v>
      </c>
      <c r="D9876" s="4" t="n">
        <v>12.1</v>
      </c>
      <c r="E9876" s="5" t="n">
        <v>526.4</v>
      </c>
      <c r="F9876" s="3" t="inlineStr">
        <is>
          <t>조치원읍</t>
        </is>
      </c>
      <c r="G9876" s="3" t="inlineStr">
        <is>
          <t>정리</t>
        </is>
      </c>
      <c r="H9876" s="3" t="inlineStr">
        <is>
          <t>준주거지역</t>
        </is>
      </c>
      <c r="I9876" s="3" t="inlineStr">
        <is>
          <t>대</t>
        </is>
      </c>
      <c r="J9876" s="3" t="inlineStr">
        <is>
          <t>조치원읍</t>
        </is>
      </c>
    </row>
    <row r="9877">
      <c r="A9877" s="3" t="n">
        <v>2025</v>
      </c>
      <c r="B9877" s="4" t="n">
        <v>19207</v>
      </c>
      <c r="C9877" s="4" t="n">
        <v>1874</v>
      </c>
      <c r="D9877" s="4" t="n">
        <v>566.885</v>
      </c>
      <c r="E9877" s="5" t="n">
        <v>33.9</v>
      </c>
      <c r="F9877" s="3" t="inlineStr">
        <is>
          <t>전의면</t>
        </is>
      </c>
      <c r="G9877" s="3" t="inlineStr">
        <is>
          <t>유천리</t>
        </is>
      </c>
      <c r="H9877" s="3" t="inlineStr">
        <is>
          <t>계획관리지역</t>
        </is>
      </c>
      <c r="I9877" s="3" t="inlineStr">
        <is>
          <t>전</t>
        </is>
      </c>
      <c r="J9877" s="3" t="inlineStr">
        <is>
          <t>전의면</t>
        </is>
      </c>
    </row>
    <row r="9878">
      <c r="A9878" s="3" t="n">
        <v>2023</v>
      </c>
      <c r="B9878" s="4" t="n">
        <v>4604</v>
      </c>
      <c r="C9878" s="4" t="n">
        <v>165</v>
      </c>
      <c r="D9878" s="4" t="n">
        <v>49.9125</v>
      </c>
      <c r="E9878" s="5" t="n">
        <v>92.2</v>
      </c>
      <c r="F9878" s="3" t="inlineStr">
        <is>
          <t>연기면</t>
        </is>
      </c>
      <c r="G9878" s="3" t="inlineStr">
        <is>
          <t>수산리</t>
        </is>
      </c>
      <c r="H9878" s="3" t="inlineStr">
        <is>
          <t>계획관리지역</t>
        </is>
      </c>
      <c r="I9878" s="3" t="inlineStr">
        <is>
          <t>구거</t>
        </is>
      </c>
      <c r="J9878" s="3" t="inlineStr">
        <is>
          <t>연기면</t>
        </is>
      </c>
    </row>
    <row r="9879">
      <c r="A9879" s="3" t="n">
        <v>2023</v>
      </c>
      <c r="B9879" s="4" t="n">
        <v>16000</v>
      </c>
      <c r="C9879" s="4" t="n">
        <v>1448</v>
      </c>
      <c r="D9879" s="4" t="n">
        <v>438.02</v>
      </c>
      <c r="E9879" s="5" t="n">
        <v>36.5</v>
      </c>
      <c r="F9879" s="3" t="inlineStr">
        <is>
          <t>전의면</t>
        </is>
      </c>
      <c r="G9879" s="3" t="inlineStr">
        <is>
          <t>유천리</t>
        </is>
      </c>
      <c r="H9879" s="3" t="inlineStr">
        <is>
          <t>계획관리지역</t>
        </is>
      </c>
      <c r="I9879" s="3" t="inlineStr">
        <is>
          <t>답</t>
        </is>
      </c>
      <c r="J9879" s="3" t="inlineStr">
        <is>
          <t>전의면</t>
        </is>
      </c>
    </row>
    <row r="9880">
      <c r="A9880" s="3" t="n">
        <v>2023</v>
      </c>
      <c r="B9880" s="4" t="n">
        <v>126270</v>
      </c>
      <c r="C9880" s="4" t="n">
        <v>2300</v>
      </c>
      <c r="D9880" s="4" t="n">
        <v>695.75</v>
      </c>
      <c r="E9880" s="5" t="n">
        <v>181.5</v>
      </c>
      <c r="F9880" s="3" t="inlineStr">
        <is>
          <t>금남면</t>
        </is>
      </c>
      <c r="G9880" s="3" t="inlineStr">
        <is>
          <t>감성리</t>
        </is>
      </c>
      <c r="H9880" s="3" t="inlineStr">
        <is>
          <t>개발제한구역</t>
        </is>
      </c>
      <c r="I9880" s="3" t="inlineStr">
        <is>
          <t>답</t>
        </is>
      </c>
      <c r="J9880" s="3" t="inlineStr">
        <is>
          <t>금남면</t>
        </is>
      </c>
    </row>
    <row r="9881">
      <c r="A9881" s="3" t="n">
        <v>2023</v>
      </c>
      <c r="B9881" s="4" t="n">
        <v>78000</v>
      </c>
      <c r="C9881" s="4" t="n">
        <v>1964</v>
      </c>
      <c r="D9881" s="4" t="n">
        <v>594.11</v>
      </c>
      <c r="E9881" s="5" t="n">
        <v>131.3</v>
      </c>
      <c r="F9881" s="3" t="inlineStr">
        <is>
          <t>연서면</t>
        </is>
      </c>
      <c r="G9881" s="3" t="inlineStr">
        <is>
          <t>봉암리</t>
        </is>
      </c>
      <c r="H9881" s="3" t="inlineStr">
        <is>
          <t>농림지역</t>
        </is>
      </c>
      <c r="I9881" s="3" t="inlineStr">
        <is>
          <t>답</t>
        </is>
      </c>
      <c r="J9881" s="3" t="inlineStr">
        <is>
          <t>연서면</t>
        </is>
      </c>
    </row>
    <row r="9882">
      <c r="A9882" s="3" t="n">
        <v>2023</v>
      </c>
      <c r="B9882" s="4" t="n">
        <v>60600</v>
      </c>
      <c r="C9882" s="4" t="n">
        <v>445</v>
      </c>
      <c r="D9882" s="4" t="n">
        <v>134.6125</v>
      </c>
      <c r="E9882" s="5" t="n">
        <v>450.2</v>
      </c>
      <c r="F9882" s="3" t="inlineStr">
        <is>
          <t>반곡동</t>
        </is>
      </c>
      <c r="G9882" s="3" t="inlineStr"/>
      <c r="H9882" s="3" t="inlineStr">
        <is>
          <t>제1종전용주거지역</t>
        </is>
      </c>
      <c r="I9882" s="3" t="inlineStr">
        <is>
          <t>대</t>
        </is>
      </c>
      <c r="J9882" s="3" t="inlineStr">
        <is>
          <t>반곡동</t>
        </is>
      </c>
    </row>
    <row r="9883">
      <c r="A9883" s="3" t="n">
        <v>2023</v>
      </c>
      <c r="B9883" s="4" t="n">
        <v>4690</v>
      </c>
      <c r="C9883" s="4" t="n">
        <v>100</v>
      </c>
      <c r="D9883" s="4" t="n">
        <v>30.25</v>
      </c>
      <c r="E9883" s="5" t="n">
        <v>155</v>
      </c>
      <c r="F9883" s="3" t="inlineStr">
        <is>
          <t>연서면</t>
        </is>
      </c>
      <c r="G9883" s="3" t="inlineStr">
        <is>
          <t>쌍전리</t>
        </is>
      </c>
      <c r="H9883" s="3" t="inlineStr">
        <is>
          <t>자연녹지지역</t>
        </is>
      </c>
      <c r="I9883" s="3" t="inlineStr">
        <is>
          <t>전</t>
        </is>
      </c>
      <c r="J9883" s="3" t="inlineStr">
        <is>
          <t>연서면</t>
        </is>
      </c>
    </row>
    <row r="9884">
      <c r="A9884" s="3" t="n">
        <v>2023</v>
      </c>
      <c r="B9884" s="4" t="n">
        <v>4920</v>
      </c>
      <c r="C9884" s="4" t="n">
        <v>100</v>
      </c>
      <c r="D9884" s="4" t="n">
        <v>30.25</v>
      </c>
      <c r="E9884" s="5" t="n">
        <v>162.6</v>
      </c>
      <c r="F9884" s="3" t="inlineStr">
        <is>
          <t>금남면</t>
        </is>
      </c>
      <c r="G9884" s="3" t="inlineStr">
        <is>
          <t>원봉리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금남면</t>
        </is>
      </c>
    </row>
    <row r="9885">
      <c r="A9885" s="3" t="n">
        <v>2023</v>
      </c>
      <c r="B9885" s="4" t="n">
        <v>50000</v>
      </c>
      <c r="C9885" s="4" t="n">
        <v>4038</v>
      </c>
      <c r="D9885" s="4" t="n">
        <v>1221.495</v>
      </c>
      <c r="E9885" s="5" t="n">
        <v>40.9</v>
      </c>
      <c r="F9885" s="3" t="inlineStr">
        <is>
          <t>전동면</t>
        </is>
      </c>
      <c r="G9885" s="3" t="inlineStr">
        <is>
          <t>미곡리</t>
        </is>
      </c>
      <c r="H9885" s="3" t="inlineStr">
        <is>
          <t>농림지역</t>
        </is>
      </c>
      <c r="I9885" s="3" t="inlineStr">
        <is>
          <t>답</t>
        </is>
      </c>
      <c r="J9885" s="3" t="inlineStr">
        <is>
          <t>전동면</t>
        </is>
      </c>
    </row>
    <row r="9886">
      <c r="A9886" s="3" t="n">
        <v>2023</v>
      </c>
      <c r="B9886" s="4" t="n">
        <v>12000</v>
      </c>
      <c r="C9886" s="4" t="n">
        <v>843</v>
      </c>
      <c r="D9886" s="4" t="n">
        <v>255.0075</v>
      </c>
      <c r="E9886" s="5" t="n">
        <v>47.1</v>
      </c>
      <c r="F9886" s="3" t="inlineStr">
        <is>
          <t>장군면</t>
        </is>
      </c>
      <c r="G9886" s="3" t="inlineStr">
        <is>
          <t>용암리</t>
        </is>
      </c>
      <c r="H9886" s="3" t="inlineStr">
        <is>
          <t>생산관리지역</t>
        </is>
      </c>
      <c r="I9886" s="3" t="inlineStr">
        <is>
          <t>전</t>
        </is>
      </c>
      <c r="J9886" s="3" t="inlineStr">
        <is>
          <t>장군면</t>
        </is>
      </c>
    </row>
    <row r="9887">
      <c r="A9887" s="3" t="n">
        <v>2023</v>
      </c>
      <c r="B9887" s="4" t="n">
        <v>169700</v>
      </c>
      <c r="C9887" s="4" t="n">
        <v>663</v>
      </c>
      <c r="D9887" s="4" t="n">
        <v>200.5575</v>
      </c>
      <c r="E9887" s="5" t="n">
        <v>846.1</v>
      </c>
      <c r="F9887" s="3" t="inlineStr">
        <is>
          <t>연기면</t>
        </is>
      </c>
      <c r="G9887" s="3" t="inlineStr">
        <is>
          <t>연기리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연기면</t>
        </is>
      </c>
    </row>
    <row r="9888">
      <c r="A9888" s="3" t="n">
        <v>2023</v>
      </c>
      <c r="B9888" s="4" t="n">
        <v>3300</v>
      </c>
      <c r="C9888" s="4" t="n">
        <v>13</v>
      </c>
      <c r="D9888" s="4" t="n">
        <v>3.9325</v>
      </c>
      <c r="E9888" s="5" t="n">
        <v>839.2</v>
      </c>
      <c r="F9888" s="3" t="inlineStr">
        <is>
          <t>연기면</t>
        </is>
      </c>
      <c r="G9888" s="3" t="inlineStr">
        <is>
          <t>연기리</t>
        </is>
      </c>
      <c r="H9888" s="3" t="inlineStr">
        <is>
          <t>계획관리지역</t>
        </is>
      </c>
      <c r="I9888" s="3" t="inlineStr">
        <is>
          <t>전</t>
        </is>
      </c>
      <c r="J9888" s="3" t="inlineStr">
        <is>
          <t>연기면</t>
        </is>
      </c>
    </row>
    <row r="9889">
      <c r="A9889" s="3" t="n">
        <v>2023</v>
      </c>
      <c r="B9889" s="4" t="n">
        <v>44950</v>
      </c>
      <c r="C9889" s="4" t="n">
        <v>215</v>
      </c>
      <c r="D9889" s="4" t="n">
        <v>65.03749999999999</v>
      </c>
      <c r="E9889" s="5" t="n">
        <v>691.1</v>
      </c>
      <c r="F9889" s="3" t="inlineStr">
        <is>
          <t>연기면</t>
        </is>
      </c>
      <c r="G9889" s="3" t="inlineStr">
        <is>
          <t>연기리</t>
        </is>
      </c>
      <c r="H9889" s="3" t="inlineStr">
        <is>
          <t>계획관리지역</t>
        </is>
      </c>
      <c r="I9889" s="3" t="inlineStr">
        <is>
          <t>전</t>
        </is>
      </c>
      <c r="J9889" s="3" t="inlineStr">
        <is>
          <t>연기면</t>
        </is>
      </c>
    </row>
    <row r="9890">
      <c r="A9890" s="3" t="n">
        <v>2023</v>
      </c>
      <c r="B9890" s="4" t="n">
        <v>145120</v>
      </c>
      <c r="C9890" s="4" t="n">
        <v>694</v>
      </c>
      <c r="D9890" s="4" t="n">
        <v>209.935</v>
      </c>
      <c r="E9890" s="5" t="n">
        <v>691.3</v>
      </c>
      <c r="F9890" s="3" t="inlineStr">
        <is>
          <t>연기면</t>
        </is>
      </c>
      <c r="G9890" s="3" t="inlineStr">
        <is>
          <t>연기리</t>
        </is>
      </c>
      <c r="H9890" s="3" t="inlineStr">
        <is>
          <t>계획관리지역</t>
        </is>
      </c>
      <c r="I9890" s="3" t="inlineStr">
        <is>
          <t>전</t>
        </is>
      </c>
      <c r="J9890" s="3" t="inlineStr">
        <is>
          <t>연기면</t>
        </is>
      </c>
    </row>
    <row r="9891">
      <c r="A9891" s="3" t="n">
        <v>2023</v>
      </c>
      <c r="B9891" s="4" t="n">
        <v>16930</v>
      </c>
      <c r="C9891" s="4" t="n">
        <v>81</v>
      </c>
      <c r="D9891" s="4" t="n">
        <v>24.5025</v>
      </c>
      <c r="E9891" s="5" t="n">
        <v>690.9</v>
      </c>
      <c r="F9891" s="3" t="inlineStr">
        <is>
          <t>연기면</t>
        </is>
      </c>
      <c r="G9891" s="3" t="inlineStr">
        <is>
          <t>연기리</t>
        </is>
      </c>
      <c r="H9891" s="3" t="inlineStr">
        <is>
          <t>계획관리지역</t>
        </is>
      </c>
      <c r="I9891" s="3" t="inlineStr">
        <is>
          <t>전</t>
        </is>
      </c>
      <c r="J9891" s="3" t="inlineStr">
        <is>
          <t>연기면</t>
        </is>
      </c>
    </row>
    <row r="9892">
      <c r="A9892" s="3" t="n">
        <v>2023</v>
      </c>
      <c r="B9892" s="4" t="n">
        <v>18420</v>
      </c>
      <c r="C9892" s="4" t="n">
        <v>2596</v>
      </c>
      <c r="D9892" s="4" t="n">
        <v>785.29</v>
      </c>
      <c r="E9892" s="5" t="n">
        <v>23.5</v>
      </c>
      <c r="F9892" s="3" t="inlineStr">
        <is>
          <t>소정면</t>
        </is>
      </c>
      <c r="G9892" s="3" t="inlineStr">
        <is>
          <t>소정리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소정면</t>
        </is>
      </c>
    </row>
    <row r="9893">
      <c r="A9893" s="3" t="n">
        <v>2023</v>
      </c>
      <c r="B9893" s="4" t="n">
        <v>13580</v>
      </c>
      <c r="C9893" s="4" t="n">
        <v>1914</v>
      </c>
      <c r="D9893" s="4" t="n">
        <v>578.985</v>
      </c>
      <c r="E9893" s="5" t="n">
        <v>23.5</v>
      </c>
      <c r="F9893" s="3" t="inlineStr">
        <is>
          <t>소정면</t>
        </is>
      </c>
      <c r="G9893" s="3" t="inlineStr">
        <is>
          <t>소정리</t>
        </is>
      </c>
      <c r="H9893" s="3" t="inlineStr">
        <is>
          <t>농림지역</t>
        </is>
      </c>
      <c r="I9893" s="3" t="inlineStr">
        <is>
          <t>답</t>
        </is>
      </c>
      <c r="J9893" s="3" t="inlineStr">
        <is>
          <t>소정면</t>
        </is>
      </c>
    </row>
    <row r="9894">
      <c r="A9894" s="3" t="n">
        <v>2026</v>
      </c>
      <c r="B9894" s="4" t="n">
        <v>26500</v>
      </c>
      <c r="C9894" s="4" t="n">
        <v>1246</v>
      </c>
      <c r="D9894" s="4" t="n">
        <v>376.915</v>
      </c>
      <c r="E9894" s="5" t="n">
        <v>70.3</v>
      </c>
      <c r="F9894" s="3" t="inlineStr">
        <is>
          <t>연서면</t>
        </is>
      </c>
      <c r="G9894" s="3" t="inlineStr">
        <is>
          <t>신대리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연서면</t>
        </is>
      </c>
    </row>
    <row r="9895">
      <c r="A9895" s="3" t="n">
        <v>2026</v>
      </c>
      <c r="B9895" s="4" t="n">
        <v>8039</v>
      </c>
      <c r="C9895" s="4" t="n">
        <v>886</v>
      </c>
      <c r="D9895" s="4" t="n">
        <v>268.015</v>
      </c>
      <c r="E9895" s="5" t="n">
        <v>30</v>
      </c>
      <c r="F9895" s="3" t="inlineStr">
        <is>
          <t>전의면</t>
        </is>
      </c>
      <c r="G9895" s="3" t="inlineStr">
        <is>
          <t>유천리</t>
        </is>
      </c>
      <c r="H9895" s="3" t="inlineStr">
        <is>
          <t>계획관리지역</t>
        </is>
      </c>
      <c r="I9895" s="3" t="inlineStr">
        <is>
          <t>전</t>
        </is>
      </c>
      <c r="J9895" s="3" t="inlineStr">
        <is>
          <t>전의면</t>
        </is>
      </c>
    </row>
    <row r="9896">
      <c r="A9896" s="3" t="n">
        <v>2026</v>
      </c>
      <c r="B9896" s="4" t="n">
        <v>6841</v>
      </c>
      <c r="C9896" s="4" t="n">
        <v>754</v>
      </c>
      <c r="D9896" s="4" t="n">
        <v>228.085</v>
      </c>
      <c r="E9896" s="5" t="n">
        <v>30</v>
      </c>
      <c r="F9896" s="3" t="inlineStr">
        <is>
          <t>전의면</t>
        </is>
      </c>
      <c r="G9896" s="3" t="inlineStr">
        <is>
          <t>유천리</t>
        </is>
      </c>
      <c r="H9896" s="3" t="inlineStr">
        <is>
          <t>계획관리지역</t>
        </is>
      </c>
      <c r="I9896" s="3" t="inlineStr">
        <is>
          <t>전</t>
        </is>
      </c>
      <c r="J9896" s="3" t="inlineStr">
        <is>
          <t>전의면</t>
        </is>
      </c>
    </row>
    <row r="9897">
      <c r="A9897" s="3" t="n">
        <v>2023</v>
      </c>
      <c r="B9897" s="4" t="n">
        <v>200000</v>
      </c>
      <c r="C9897" s="4" t="n">
        <v>3101</v>
      </c>
      <c r="D9897" s="4" t="n">
        <v>938.0525</v>
      </c>
      <c r="E9897" s="5" t="n">
        <v>213.2</v>
      </c>
      <c r="F9897" s="3" t="inlineStr">
        <is>
          <t>장군면</t>
        </is>
      </c>
      <c r="G9897" s="3" t="inlineStr">
        <is>
          <t>봉안리</t>
        </is>
      </c>
      <c r="H9897" s="3" t="inlineStr">
        <is>
          <t>계획관리지역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43300</v>
      </c>
      <c r="C9898" s="4" t="n">
        <v>1431</v>
      </c>
      <c r="D9898" s="4" t="n">
        <v>432.8775</v>
      </c>
      <c r="E9898" s="5" t="n">
        <v>100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계획관리지역</t>
        </is>
      </c>
      <c r="I9898" s="3" t="inlineStr">
        <is>
          <t>답</t>
        </is>
      </c>
      <c r="J9898" s="3" t="inlineStr">
        <is>
          <t>부강면</t>
        </is>
      </c>
    </row>
    <row r="9899">
      <c r="A9899" s="3" t="n">
        <v>2023</v>
      </c>
      <c r="B9899" s="4" t="n">
        <v>4465</v>
      </c>
      <c r="C9899" s="4" t="n">
        <v>123</v>
      </c>
      <c r="D9899" s="4" t="n">
        <v>37.2075</v>
      </c>
      <c r="E9899" s="5" t="n">
        <v>120</v>
      </c>
      <c r="F9899" s="3" t="inlineStr">
        <is>
          <t>부강면</t>
        </is>
      </c>
      <c r="G9899" s="3" t="inlineStr">
        <is>
          <t>부강리</t>
        </is>
      </c>
      <c r="H9899" s="3" t="inlineStr">
        <is>
          <t>자연녹지지역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117630</v>
      </c>
      <c r="C9900" s="4" t="n">
        <v>1478</v>
      </c>
      <c r="D9900" s="4" t="n">
        <v>447.095</v>
      </c>
      <c r="E9900" s="5" t="n">
        <v>263.1</v>
      </c>
      <c r="F9900" s="3" t="inlineStr">
        <is>
          <t>전동면</t>
        </is>
      </c>
      <c r="G9900" s="3" t="inlineStr">
        <is>
          <t>심중리</t>
        </is>
      </c>
      <c r="H9900" s="3" t="inlineStr">
        <is>
          <t>준공업지역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2023</v>
      </c>
      <c r="B9901" s="4" t="n">
        <v>334000</v>
      </c>
      <c r="C9901" s="4" t="n">
        <v>1425</v>
      </c>
      <c r="D9901" s="4" t="n">
        <v>431.0625</v>
      </c>
      <c r="E9901" s="5" t="n">
        <v>774.8</v>
      </c>
      <c r="F9901" s="3" t="inlineStr">
        <is>
          <t>조치원읍</t>
        </is>
      </c>
      <c r="G9901" s="3" t="inlineStr">
        <is>
          <t>죽림리</t>
        </is>
      </c>
      <c r="H9901" s="3" t="inlineStr">
        <is>
          <t>일반상업지역</t>
        </is>
      </c>
      <c r="I9901" s="3" t="inlineStr">
        <is>
          <t>대</t>
        </is>
      </c>
      <c r="J9901" s="3" t="inlineStr">
        <is>
          <t>조치원읍</t>
        </is>
      </c>
    </row>
    <row r="9902">
      <c r="A9902" s="3" t="n">
        <v>2023</v>
      </c>
      <c r="B9902" s="4" t="n">
        <v>23544</v>
      </c>
      <c r="C9902" s="4" t="n">
        <v>360</v>
      </c>
      <c r="D9902" s="4" t="n">
        <v>108.9</v>
      </c>
      <c r="E9902" s="5" t="n">
        <v>216.2</v>
      </c>
      <c r="F9902" s="3" t="inlineStr">
        <is>
          <t>전의면</t>
        </is>
      </c>
      <c r="G9902" s="3" t="inlineStr">
        <is>
          <t>관정리</t>
        </is>
      </c>
      <c r="H9902" s="3" t="inlineStr">
        <is>
          <t>계획관리지역</t>
        </is>
      </c>
      <c r="I9902" s="3" t="inlineStr">
        <is>
          <t>전</t>
        </is>
      </c>
      <c r="J9902" s="3" t="inlineStr">
        <is>
          <t>전의면</t>
        </is>
      </c>
    </row>
    <row r="9903">
      <c r="A9903" s="3" t="n">
        <v>2023</v>
      </c>
      <c r="B9903" s="4" t="n">
        <v>12000</v>
      </c>
      <c r="C9903" s="4" t="n">
        <v>166</v>
      </c>
      <c r="D9903" s="4" t="n">
        <v>50.215</v>
      </c>
      <c r="E9903" s="5" t="n">
        <v>239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보전관리지역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24370</v>
      </c>
      <c r="C9904" s="4" t="n">
        <v>402</v>
      </c>
      <c r="D9904" s="4" t="n">
        <v>121.605</v>
      </c>
      <c r="E9904" s="5" t="n">
        <v>200.4</v>
      </c>
      <c r="F9904" s="3" t="inlineStr">
        <is>
          <t>장군면</t>
        </is>
      </c>
      <c r="G9904" s="3" t="inlineStr">
        <is>
          <t>대교리</t>
        </is>
      </c>
      <c r="H9904" s="3" t="inlineStr">
        <is>
          <t>계획관리지역</t>
        </is>
      </c>
      <c r="I9904" s="3" t="inlineStr">
        <is>
          <t>임야</t>
        </is>
      </c>
      <c r="J9904" s="3" t="inlineStr">
        <is>
          <t>장군면</t>
        </is>
      </c>
    </row>
    <row r="9905">
      <c r="A9905" s="3" t="n">
        <v>2023</v>
      </c>
      <c r="B9905" s="4" t="n">
        <v>15000</v>
      </c>
      <c r="C9905" s="4" t="n">
        <v>2000</v>
      </c>
      <c r="D9905" s="4" t="n">
        <v>605</v>
      </c>
      <c r="E9905" s="5" t="n">
        <v>24.8</v>
      </c>
      <c r="F9905" s="3" t="inlineStr">
        <is>
          <t>금남면</t>
        </is>
      </c>
      <c r="G9905" s="3" t="inlineStr">
        <is>
          <t>신촌리</t>
        </is>
      </c>
      <c r="H9905" s="3" t="inlineStr">
        <is>
          <t>개발제한구역</t>
        </is>
      </c>
      <c r="I9905" s="3" t="inlineStr">
        <is>
          <t>임야</t>
        </is>
      </c>
      <c r="J9905" s="3" t="inlineStr">
        <is>
          <t>금남면</t>
        </is>
      </c>
    </row>
    <row r="9906">
      <c r="A9906" s="3" t="n">
        <v>2023</v>
      </c>
      <c r="B9906" s="4" t="n">
        <v>15000</v>
      </c>
      <c r="C9906" s="4" t="n">
        <v>584</v>
      </c>
      <c r="D9906" s="4" t="n">
        <v>176.66</v>
      </c>
      <c r="E9906" s="5" t="n">
        <v>84.90000000000001</v>
      </c>
      <c r="F9906" s="3" t="inlineStr">
        <is>
          <t>금남면</t>
        </is>
      </c>
      <c r="G9906" s="3" t="inlineStr">
        <is>
          <t>달전리</t>
        </is>
      </c>
      <c r="H9906" s="3" t="inlineStr">
        <is>
          <t>제1종일반주거지역</t>
        </is>
      </c>
      <c r="I9906" s="3" t="inlineStr">
        <is>
          <t>대</t>
        </is>
      </c>
      <c r="J9906" s="3" t="inlineStr">
        <is>
          <t>금남면</t>
        </is>
      </c>
    </row>
    <row r="9907">
      <c r="A9907" s="3" t="n">
        <v>2023</v>
      </c>
      <c r="B9907" s="4" t="n">
        <v>12900</v>
      </c>
      <c r="C9907" s="4" t="n">
        <v>600</v>
      </c>
      <c r="D9907" s="4" t="n">
        <v>181.5</v>
      </c>
      <c r="E9907" s="5" t="n">
        <v>71.09999999999999</v>
      </c>
      <c r="F9907" s="3" t="inlineStr">
        <is>
          <t>전동면</t>
        </is>
      </c>
      <c r="G9907" s="3" t="inlineStr">
        <is>
          <t>송곡리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전동면</t>
        </is>
      </c>
    </row>
    <row r="9908">
      <c r="A9908" s="3" t="n">
        <v>2023</v>
      </c>
      <c r="B9908" s="4" t="n">
        <v>67000</v>
      </c>
      <c r="C9908" s="4" t="n">
        <v>1537</v>
      </c>
      <c r="D9908" s="4" t="n">
        <v>464.9425</v>
      </c>
      <c r="E9908" s="5" t="n">
        <v>144.1</v>
      </c>
      <c r="F9908" s="3" t="inlineStr">
        <is>
          <t>금남면</t>
        </is>
      </c>
      <c r="G9908" s="3" t="inlineStr">
        <is>
          <t>성덕리</t>
        </is>
      </c>
      <c r="H9908" s="3" t="inlineStr">
        <is>
          <t>생산관리지역</t>
        </is>
      </c>
      <c r="I9908" s="3" t="inlineStr">
        <is>
          <t>전</t>
        </is>
      </c>
      <c r="J9908" s="3" t="inlineStr">
        <is>
          <t>금남면</t>
        </is>
      </c>
    </row>
    <row r="9909">
      <c r="A9909" s="3" t="n">
        <v>2023</v>
      </c>
      <c r="B9909" s="4" t="n">
        <v>23000</v>
      </c>
      <c r="C9909" s="4" t="n">
        <v>522</v>
      </c>
      <c r="D9909" s="4" t="n">
        <v>157.905</v>
      </c>
      <c r="E9909" s="5" t="n">
        <v>145.7</v>
      </c>
      <c r="F9909" s="3" t="inlineStr">
        <is>
          <t>금남면</t>
        </is>
      </c>
      <c r="G9909" s="3" t="inlineStr">
        <is>
          <t>성덕리</t>
        </is>
      </c>
      <c r="H9909" s="3" t="inlineStr">
        <is>
          <t>생산관리지역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32000</v>
      </c>
      <c r="C9910" s="4" t="n">
        <v>1542</v>
      </c>
      <c r="D9910" s="4" t="n">
        <v>466.455</v>
      </c>
      <c r="E9910" s="5" t="n">
        <v>68.59999999999999</v>
      </c>
      <c r="F9910" s="3" t="inlineStr">
        <is>
          <t>전동면</t>
        </is>
      </c>
      <c r="G9910" s="3" t="inlineStr">
        <is>
          <t>송성리</t>
        </is>
      </c>
      <c r="H9910" s="3" t="inlineStr">
        <is>
          <t>계획관리지역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1222</v>
      </c>
      <c r="C9911" s="4" t="n">
        <v>48</v>
      </c>
      <c r="D9911" s="4" t="n">
        <v>14.52</v>
      </c>
      <c r="E9911" s="5" t="n">
        <v>84.2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생산관리지역</t>
        </is>
      </c>
      <c r="I9911" s="3" t="inlineStr">
        <is>
          <t>도로</t>
        </is>
      </c>
      <c r="J9911" s="3" t="inlineStr">
        <is>
          <t>연기면</t>
        </is>
      </c>
    </row>
    <row r="9912">
      <c r="A9912" s="3" t="n">
        <v>2023</v>
      </c>
      <c r="B9912" s="4" t="n">
        <v>64000</v>
      </c>
      <c r="C9912" s="4" t="n">
        <v>661</v>
      </c>
      <c r="D9912" s="4" t="n">
        <v>199.9525</v>
      </c>
      <c r="E9912" s="5" t="n">
        <v>320.1</v>
      </c>
      <c r="F9912" s="3" t="inlineStr">
        <is>
          <t>조치원읍</t>
        </is>
      </c>
      <c r="G9912" s="3" t="inlineStr">
        <is>
          <t>침산리</t>
        </is>
      </c>
      <c r="H9912" s="3" t="inlineStr">
        <is>
          <t>제1종일반주거지역</t>
        </is>
      </c>
      <c r="I9912" s="3" t="inlineStr">
        <is>
          <t>전</t>
        </is>
      </c>
      <c r="J9912" s="3" t="inlineStr">
        <is>
          <t>조치원읍</t>
        </is>
      </c>
    </row>
    <row r="9913">
      <c r="A9913" s="3" t="n">
        <v>2023</v>
      </c>
      <c r="B9913" s="4" t="n">
        <v>13500</v>
      </c>
      <c r="C9913" s="4" t="n">
        <v>132</v>
      </c>
      <c r="D9913" s="4" t="n">
        <v>39.93</v>
      </c>
      <c r="E9913" s="5" t="n">
        <v>338.1</v>
      </c>
      <c r="F9913" s="3" t="inlineStr">
        <is>
          <t>조치원읍</t>
        </is>
      </c>
      <c r="G9913" s="3" t="inlineStr">
        <is>
          <t>서창리</t>
        </is>
      </c>
      <c r="H9913" s="3" t="inlineStr">
        <is>
          <t>제1종일반주거지역</t>
        </is>
      </c>
      <c r="I9913" s="3" t="inlineStr">
        <is>
          <t>전</t>
        </is>
      </c>
      <c r="J9913" s="3" t="inlineStr">
        <is>
          <t>조치원읍</t>
        </is>
      </c>
    </row>
    <row r="9914">
      <c r="A9914" s="3" t="n">
        <v>2023</v>
      </c>
      <c r="B9914" s="4" t="n">
        <v>13500</v>
      </c>
      <c r="C9914" s="4" t="n">
        <v>132</v>
      </c>
      <c r="D9914" s="4" t="n">
        <v>39.93</v>
      </c>
      <c r="E9914" s="5" t="n">
        <v>338.1</v>
      </c>
      <c r="F9914" s="3" t="inlineStr">
        <is>
          <t>조치원읍</t>
        </is>
      </c>
      <c r="G9914" s="3" t="inlineStr">
        <is>
          <t>서창리</t>
        </is>
      </c>
      <c r="H9914" s="3" t="inlineStr">
        <is>
          <t>제1종일반주거지역</t>
        </is>
      </c>
      <c r="I9914" s="3" t="inlineStr">
        <is>
          <t>전</t>
        </is>
      </c>
      <c r="J9914" s="3" t="inlineStr">
        <is>
          <t>조치원읍</t>
        </is>
      </c>
    </row>
    <row r="9915">
      <c r="A9915" s="3" t="n">
        <v>2023</v>
      </c>
      <c r="B9915" s="4" t="n">
        <v>44850</v>
      </c>
      <c r="C9915" s="4" t="n">
        <v>2964</v>
      </c>
      <c r="D9915" s="4" t="n">
        <v>896.61</v>
      </c>
      <c r="E9915" s="5" t="n">
        <v>50</v>
      </c>
      <c r="F9915" s="3" t="inlineStr">
        <is>
          <t>부강면</t>
        </is>
      </c>
      <c r="G9915" s="3" t="inlineStr">
        <is>
          <t>금호리</t>
        </is>
      </c>
      <c r="H9915" s="3" t="inlineStr">
        <is>
          <t>농림지역</t>
        </is>
      </c>
      <c r="I9915" s="3" t="inlineStr">
        <is>
          <t>답</t>
        </is>
      </c>
      <c r="J9915" s="3" t="inlineStr">
        <is>
          <t>부강면</t>
        </is>
      </c>
    </row>
    <row r="9916">
      <c r="A9916" s="3" t="n">
        <v>2023</v>
      </c>
      <c r="B9916" s="4" t="n">
        <v>9090</v>
      </c>
      <c r="C9916" s="4" t="n">
        <v>120</v>
      </c>
      <c r="D9916" s="4" t="n">
        <v>36.3</v>
      </c>
      <c r="E9916" s="5" t="n">
        <v>250.4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대</t>
        </is>
      </c>
      <c r="J9916" s="3" t="inlineStr">
        <is>
          <t>장군면</t>
        </is>
      </c>
    </row>
    <row r="9917">
      <c r="A9917" s="3" t="n">
        <v>2024</v>
      </c>
      <c r="B9917" s="4" t="n">
        <v>33</v>
      </c>
      <c r="C9917" s="4" t="n">
        <v>1</v>
      </c>
      <c r="D9917" s="4" t="n">
        <v>0.3025</v>
      </c>
      <c r="E9917" s="5" t="n">
        <v>109.1</v>
      </c>
      <c r="F9917" s="3" t="inlineStr">
        <is>
          <t>전의면</t>
        </is>
      </c>
      <c r="G9917" s="3" t="inlineStr">
        <is>
          <t>서정리</t>
        </is>
      </c>
      <c r="H9917" s="3" t="inlineStr">
        <is>
          <t>계획관리지역</t>
        </is>
      </c>
      <c r="I9917" s="3" t="inlineStr">
        <is>
          <t>대</t>
        </is>
      </c>
      <c r="J9917" s="3" t="inlineStr">
        <is>
          <t>전의면</t>
        </is>
      </c>
    </row>
    <row r="9918">
      <c r="A9918" s="3" t="n">
        <v>2024</v>
      </c>
      <c r="B9918" s="4" t="n">
        <v>3620</v>
      </c>
      <c r="C9918" s="4" t="n">
        <v>133</v>
      </c>
      <c r="D9918" s="4" t="n">
        <v>40.2325</v>
      </c>
      <c r="E9918" s="5" t="n">
        <v>90</v>
      </c>
      <c r="F9918" s="3" t="inlineStr">
        <is>
          <t>전의면</t>
        </is>
      </c>
      <c r="G9918" s="3" t="inlineStr">
        <is>
          <t>서정리</t>
        </is>
      </c>
      <c r="H9918" s="3" t="inlineStr">
        <is>
          <t>계획관리지역</t>
        </is>
      </c>
      <c r="I9918" s="3" t="inlineStr">
        <is>
          <t>대</t>
        </is>
      </c>
      <c r="J9918" s="3" t="inlineStr">
        <is>
          <t>전의면</t>
        </is>
      </c>
    </row>
    <row r="9919">
      <c r="A9919" s="3" t="n">
        <v>2024</v>
      </c>
      <c r="B9919" s="4" t="n">
        <v>16500</v>
      </c>
      <c r="C9919" s="4" t="n">
        <v>658</v>
      </c>
      <c r="D9919" s="4" t="n">
        <v>199.045</v>
      </c>
      <c r="E9919" s="5" t="n">
        <v>82.90000000000001</v>
      </c>
      <c r="F9919" s="3" t="inlineStr">
        <is>
          <t>금남면</t>
        </is>
      </c>
      <c r="G9919" s="3" t="inlineStr">
        <is>
          <t>금천리</t>
        </is>
      </c>
      <c r="H9919" s="3" t="inlineStr">
        <is>
          <t>개발제한구역</t>
        </is>
      </c>
      <c r="I9919" s="3" t="inlineStr">
        <is>
          <t>전</t>
        </is>
      </c>
      <c r="J9919" s="3" t="inlineStr">
        <is>
          <t>금남면</t>
        </is>
      </c>
    </row>
    <row r="9920">
      <c r="A9920" s="3" t="n">
        <v>2024</v>
      </c>
      <c r="B9920" s="4" t="n">
        <v>107000</v>
      </c>
      <c r="C9920" s="4" t="n">
        <v>320.6</v>
      </c>
      <c r="D9920" s="4" t="n">
        <v>96.9815</v>
      </c>
      <c r="E9920" s="5" t="n">
        <v>1103.3</v>
      </c>
      <c r="F9920" s="3" t="inlineStr">
        <is>
          <t>도담동</t>
        </is>
      </c>
      <c r="G9920" s="3" t="inlineStr"/>
      <c r="H9920" s="3" t="inlineStr">
        <is>
          <t>제1종전용주거지역</t>
        </is>
      </c>
      <c r="I9920" s="3" t="inlineStr">
        <is>
          <t>대</t>
        </is>
      </c>
      <c r="J9920" s="3" t="inlineStr">
        <is>
          <t>도담동</t>
        </is>
      </c>
    </row>
    <row r="9921">
      <c r="A9921" s="3" t="n">
        <v>2024</v>
      </c>
      <c r="B9921" s="4" t="n">
        <v>43600</v>
      </c>
      <c r="C9921" s="4" t="n">
        <v>3582</v>
      </c>
      <c r="D9921" s="4" t="n">
        <v>1083.555</v>
      </c>
      <c r="E9921" s="5" t="n">
        <v>40.2</v>
      </c>
      <c r="F9921" s="3" t="inlineStr">
        <is>
          <t>금남면</t>
        </is>
      </c>
      <c r="G9921" s="3" t="inlineStr">
        <is>
          <t>장재리</t>
        </is>
      </c>
      <c r="H9921" s="3" t="inlineStr">
        <is>
          <t>개발제한구역</t>
        </is>
      </c>
      <c r="I9921" s="3" t="inlineStr">
        <is>
          <t>임야</t>
        </is>
      </c>
      <c r="J9921" s="3" t="inlineStr">
        <is>
          <t>금남면</t>
        </is>
      </c>
    </row>
    <row r="9922">
      <c r="A9922" s="3" t="n">
        <v>2024</v>
      </c>
      <c r="B9922" s="4" t="n">
        <v>25000</v>
      </c>
      <c r="C9922" s="4" t="n">
        <v>1661</v>
      </c>
      <c r="D9922" s="4" t="n">
        <v>502.4525</v>
      </c>
      <c r="E9922" s="5" t="n">
        <v>49.8</v>
      </c>
      <c r="F9922" s="3" t="inlineStr">
        <is>
          <t>금남면</t>
        </is>
      </c>
      <c r="G9922" s="3" t="inlineStr">
        <is>
          <t>장재리</t>
        </is>
      </c>
      <c r="H9922" s="3" t="inlineStr">
        <is>
          <t>제1종일반주거지역</t>
        </is>
      </c>
      <c r="I9922" s="3" t="inlineStr">
        <is>
          <t>전</t>
        </is>
      </c>
      <c r="J9922" s="3" t="inlineStr">
        <is>
          <t>금남면</t>
        </is>
      </c>
    </row>
    <row r="9923">
      <c r="A9923" s="3" t="n">
        <v>2024</v>
      </c>
      <c r="B9923" s="4" t="n">
        <v>31400</v>
      </c>
      <c r="C9923" s="4" t="n">
        <v>3471</v>
      </c>
      <c r="D9923" s="4" t="n">
        <v>1049.9775</v>
      </c>
      <c r="E9923" s="5" t="n">
        <v>29.9</v>
      </c>
      <c r="F9923" s="3" t="inlineStr">
        <is>
          <t>금남면</t>
        </is>
      </c>
      <c r="G9923" s="3" t="inlineStr">
        <is>
          <t>장재리</t>
        </is>
      </c>
      <c r="H9923" s="3" t="inlineStr">
        <is>
          <t>제1종일반주거지역</t>
        </is>
      </c>
      <c r="I9923" s="3" t="inlineStr">
        <is>
          <t>임야</t>
        </is>
      </c>
      <c r="J9923" s="3" t="inlineStr">
        <is>
          <t>금남면</t>
        </is>
      </c>
    </row>
    <row r="9924">
      <c r="A9924" s="3" t="n">
        <v>2023</v>
      </c>
      <c r="B9924" s="4" t="n">
        <v>383</v>
      </c>
      <c r="C9924" s="4" t="n">
        <v>13</v>
      </c>
      <c r="D9924" s="4" t="n">
        <v>3.9325</v>
      </c>
      <c r="E9924" s="5" t="n">
        <v>97.40000000000001</v>
      </c>
      <c r="F9924" s="3" t="inlineStr">
        <is>
          <t>장군면</t>
        </is>
      </c>
      <c r="G9924" s="3" t="inlineStr">
        <is>
          <t>봉안리</t>
        </is>
      </c>
      <c r="H9924" s="3" t="inlineStr">
        <is>
          <t>계획관리지역</t>
        </is>
      </c>
      <c r="I9924" s="3" t="inlineStr">
        <is>
          <t>임야</t>
        </is>
      </c>
      <c r="J9924" s="3" t="inlineStr">
        <is>
          <t>장군면</t>
        </is>
      </c>
    </row>
    <row r="9925">
      <c r="A9925" s="3" t="n">
        <v>2023</v>
      </c>
      <c r="B9925" s="4" t="n">
        <v>225000</v>
      </c>
      <c r="C9925" s="4" t="n">
        <v>1653</v>
      </c>
      <c r="D9925" s="4" t="n">
        <v>500.0325</v>
      </c>
      <c r="E9925" s="5" t="n">
        <v>450</v>
      </c>
      <c r="F9925" s="3" t="inlineStr">
        <is>
          <t>장군면</t>
        </is>
      </c>
      <c r="G9925" s="3" t="inlineStr">
        <is>
          <t>봉안리</t>
        </is>
      </c>
      <c r="H9925" s="3" t="inlineStr">
        <is>
          <t>계획관리지역</t>
        </is>
      </c>
      <c r="I9925" s="3" t="inlineStr">
        <is>
          <t>임야</t>
        </is>
      </c>
      <c r="J9925" s="3" t="inlineStr">
        <is>
          <t>장군면</t>
        </is>
      </c>
    </row>
    <row r="9926">
      <c r="A9926" s="3" t="n">
        <v>2023</v>
      </c>
      <c r="B9926" s="4" t="n">
        <v>225000</v>
      </c>
      <c r="C9926" s="4" t="n">
        <v>1653</v>
      </c>
      <c r="D9926" s="4" t="n">
        <v>500.0325</v>
      </c>
      <c r="E9926" s="5" t="n">
        <v>450</v>
      </c>
      <c r="F9926" s="3" t="inlineStr">
        <is>
          <t>장군면</t>
        </is>
      </c>
      <c r="G9926" s="3" t="inlineStr">
        <is>
          <t>봉안리</t>
        </is>
      </c>
      <c r="H9926" s="3" t="inlineStr">
        <is>
          <t>계획관리지역</t>
        </is>
      </c>
      <c r="I9926" s="3" t="inlineStr">
        <is>
          <t>임야</t>
        </is>
      </c>
      <c r="J9926" s="3" t="inlineStr">
        <is>
          <t>장군면</t>
        </is>
      </c>
    </row>
    <row r="9927">
      <c r="A9927" s="3" t="n">
        <v>2023</v>
      </c>
      <c r="B9927" s="4" t="n">
        <v>285300</v>
      </c>
      <c r="C9927" s="4" t="n">
        <v>2096</v>
      </c>
      <c r="D9927" s="4" t="n">
        <v>634.04</v>
      </c>
      <c r="E9927" s="5" t="n">
        <v>450</v>
      </c>
      <c r="F9927" s="3" t="inlineStr">
        <is>
          <t>장군면</t>
        </is>
      </c>
      <c r="G9927" s="3" t="inlineStr">
        <is>
          <t>봉안리</t>
        </is>
      </c>
      <c r="H9927" s="3" t="inlineStr">
        <is>
          <t>계획관리지역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2023</v>
      </c>
      <c r="B9928" s="4" t="n">
        <v>13100</v>
      </c>
      <c r="C9928" s="4" t="n">
        <v>274</v>
      </c>
      <c r="D9928" s="4" t="n">
        <v>82.88499999999999</v>
      </c>
      <c r="E9928" s="5" t="n">
        <v>158.1</v>
      </c>
      <c r="F9928" s="3" t="inlineStr">
        <is>
          <t>연서면</t>
        </is>
      </c>
      <c r="G9928" s="3" t="inlineStr">
        <is>
          <t>와촌리</t>
        </is>
      </c>
      <c r="H9928" s="3" t="inlineStr">
        <is>
          <t>계획관리지역</t>
        </is>
      </c>
      <c r="I9928" s="3" t="inlineStr">
        <is>
          <t>대</t>
        </is>
      </c>
      <c r="J9928" s="3" t="inlineStr">
        <is>
          <t>연서면</t>
        </is>
      </c>
    </row>
    <row r="9929">
      <c r="A9929" s="3" t="n">
        <v>2023</v>
      </c>
      <c r="B9929" s="4" t="n">
        <v>3282</v>
      </c>
      <c r="C9929" s="4" t="n">
        <v>43</v>
      </c>
      <c r="D9929" s="4" t="n">
        <v>13.0075</v>
      </c>
      <c r="E9929" s="5" t="n">
        <v>252.3</v>
      </c>
      <c r="F9929" s="3" t="inlineStr">
        <is>
          <t>장군면</t>
        </is>
      </c>
      <c r="G9929" s="3" t="inlineStr">
        <is>
          <t>금암리</t>
        </is>
      </c>
      <c r="H9929" s="3" t="inlineStr">
        <is>
          <t>계획관리지역</t>
        </is>
      </c>
      <c r="I9929" s="3" t="inlineStr">
        <is>
          <t>대</t>
        </is>
      </c>
      <c r="J9929" s="3" t="inlineStr">
        <is>
          <t>장군면</t>
        </is>
      </c>
    </row>
    <row r="9930">
      <c r="A9930" s="3" t="n">
        <v>2023</v>
      </c>
      <c r="B9930" s="4" t="n">
        <v>7900</v>
      </c>
      <c r="C9930" s="4" t="n">
        <v>176</v>
      </c>
      <c r="D9930" s="4" t="n">
        <v>53.23999999999999</v>
      </c>
      <c r="E9930" s="5" t="n">
        <v>148.4</v>
      </c>
      <c r="F9930" s="3" t="inlineStr">
        <is>
          <t>전의면</t>
        </is>
      </c>
      <c r="G9930" s="3" t="inlineStr">
        <is>
          <t>읍내리</t>
        </is>
      </c>
      <c r="H9930" s="3" t="inlineStr">
        <is>
          <t>계획관리지역</t>
        </is>
      </c>
      <c r="I9930" s="3" t="inlineStr">
        <is>
          <t>답</t>
        </is>
      </c>
      <c r="J9930" s="3" t="inlineStr">
        <is>
          <t>전의면</t>
        </is>
      </c>
    </row>
    <row r="9931">
      <c r="A9931" s="3" t="n">
        <v>2023</v>
      </c>
      <c r="B9931" s="4" t="n">
        <v>23600</v>
      </c>
      <c r="C9931" s="4" t="n">
        <v>528</v>
      </c>
      <c r="D9931" s="4" t="n">
        <v>159.72</v>
      </c>
      <c r="E9931" s="5" t="n">
        <v>147.8</v>
      </c>
      <c r="F9931" s="3" t="inlineStr">
        <is>
          <t>전의면</t>
        </is>
      </c>
      <c r="G9931" s="3" t="inlineStr">
        <is>
          <t>읍내리</t>
        </is>
      </c>
      <c r="H9931" s="3" t="inlineStr">
        <is>
          <t>계획관리지역</t>
        </is>
      </c>
      <c r="I9931" s="3" t="inlineStr">
        <is>
          <t>전</t>
        </is>
      </c>
      <c r="J9931" s="3" t="inlineStr">
        <is>
          <t>전의면</t>
        </is>
      </c>
    </row>
    <row r="9932">
      <c r="A9932" s="3" t="n">
        <v>2023</v>
      </c>
      <c r="B9932" s="4" t="n">
        <v>8399</v>
      </c>
      <c r="C9932" s="4" t="n">
        <v>4710</v>
      </c>
      <c r="D9932" s="4" t="n">
        <v>1424.775</v>
      </c>
      <c r="E9932" s="5" t="n">
        <v>5.9</v>
      </c>
      <c r="F9932" s="3" t="inlineStr">
        <is>
          <t>소정면</t>
        </is>
      </c>
      <c r="G9932" s="3" t="inlineStr">
        <is>
          <t>대곡리</t>
        </is>
      </c>
      <c r="H9932" s="3" t="inlineStr">
        <is>
          <t>농림지역</t>
        </is>
      </c>
      <c r="I9932" s="3" t="inlineStr">
        <is>
          <t>임야</t>
        </is>
      </c>
      <c r="J9932" s="3" t="inlineStr">
        <is>
          <t>소정면</t>
        </is>
      </c>
    </row>
    <row r="9933">
      <c r="A9933" s="3" t="n">
        <v>2023</v>
      </c>
      <c r="B9933" s="4" t="n">
        <v>7080</v>
      </c>
      <c r="C9933" s="4" t="n">
        <v>3970</v>
      </c>
      <c r="D9933" s="4" t="n">
        <v>1200.925</v>
      </c>
      <c r="E9933" s="5" t="n">
        <v>5.9</v>
      </c>
      <c r="F9933" s="3" t="inlineStr">
        <is>
          <t>소정면</t>
        </is>
      </c>
      <c r="G9933" s="3" t="inlineStr">
        <is>
          <t>대곡리</t>
        </is>
      </c>
      <c r="H9933" s="3" t="inlineStr">
        <is>
          <t>농림지역</t>
        </is>
      </c>
      <c r="I9933" s="3" t="inlineStr">
        <is>
          <t>임야</t>
        </is>
      </c>
      <c r="J9933" s="3" t="inlineStr">
        <is>
          <t>소정면</t>
        </is>
      </c>
    </row>
    <row r="9934">
      <c r="A9934" s="3" t="n">
        <v>2023</v>
      </c>
      <c r="B9934" s="4" t="n">
        <v>6151</v>
      </c>
      <c r="C9934" s="4" t="n">
        <v>3449</v>
      </c>
      <c r="D9934" s="4" t="n">
        <v>1043.3225</v>
      </c>
      <c r="E9934" s="5" t="n">
        <v>5.9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농림지역</t>
        </is>
      </c>
      <c r="I9934" s="3" t="inlineStr">
        <is>
          <t>임야</t>
        </is>
      </c>
      <c r="J9934" s="3" t="inlineStr">
        <is>
          <t>소정면</t>
        </is>
      </c>
    </row>
    <row r="9935">
      <c r="A9935" s="3" t="n">
        <v>2023</v>
      </c>
      <c r="B9935" s="4" t="n">
        <v>8897</v>
      </c>
      <c r="C9935" s="4" t="n">
        <v>4906</v>
      </c>
      <c r="D9935" s="4" t="n">
        <v>1484.065</v>
      </c>
      <c r="E9935" s="5" t="n">
        <v>6</v>
      </c>
      <c r="F9935" s="3" t="inlineStr">
        <is>
          <t>소정면</t>
        </is>
      </c>
      <c r="G9935" s="3" t="inlineStr">
        <is>
          <t>대곡리</t>
        </is>
      </c>
      <c r="H9935" s="3" t="inlineStr">
        <is>
          <t>농림지역</t>
        </is>
      </c>
      <c r="I9935" s="3" t="inlineStr">
        <is>
          <t>임야</t>
        </is>
      </c>
      <c r="J9935" s="3" t="inlineStr">
        <is>
          <t>소정면</t>
        </is>
      </c>
    </row>
    <row r="9936">
      <c r="A9936" s="3" t="n">
        <v>2023</v>
      </c>
      <c r="B9936" s="4" t="n">
        <v>5803</v>
      </c>
      <c r="C9936" s="4" t="n">
        <v>3200</v>
      </c>
      <c r="D9936" s="4" t="n">
        <v>968</v>
      </c>
      <c r="E9936" s="5" t="n">
        <v>6</v>
      </c>
      <c r="F9936" s="3" t="inlineStr">
        <is>
          <t>소정면</t>
        </is>
      </c>
      <c r="G9936" s="3" t="inlineStr">
        <is>
          <t>대곡리</t>
        </is>
      </c>
      <c r="H9936" s="3" t="inlineStr">
        <is>
          <t>농림지역</t>
        </is>
      </c>
      <c r="I9936" s="3" t="inlineStr">
        <is>
          <t>임야</t>
        </is>
      </c>
      <c r="J9936" s="3" t="inlineStr">
        <is>
          <t>소정면</t>
        </is>
      </c>
    </row>
    <row r="9937">
      <c r="A9937" s="3" t="n">
        <v>2023</v>
      </c>
      <c r="B9937" s="4" t="n">
        <v>6817</v>
      </c>
      <c r="C9937" s="4" t="n">
        <v>89</v>
      </c>
      <c r="D9937" s="4" t="n">
        <v>26.9225</v>
      </c>
      <c r="E9937" s="5" t="n">
        <v>253.2</v>
      </c>
      <c r="F9937" s="3" t="inlineStr">
        <is>
          <t>장군면</t>
        </is>
      </c>
      <c r="G9937" s="3" t="inlineStr">
        <is>
          <t>금암리</t>
        </is>
      </c>
      <c r="H9937" s="3" t="inlineStr">
        <is>
          <t>계획관리지역</t>
        </is>
      </c>
      <c r="I9937" s="3" t="inlineStr">
        <is>
          <t>대</t>
        </is>
      </c>
      <c r="J9937" s="3" t="inlineStr">
        <is>
          <t>장군면</t>
        </is>
      </c>
    </row>
    <row r="9938">
      <c r="A9938" s="3" t="n">
        <v>2023</v>
      </c>
      <c r="B9938" s="4" t="n">
        <v>9090</v>
      </c>
      <c r="C9938" s="4" t="n">
        <v>120</v>
      </c>
      <c r="D9938" s="4" t="n">
        <v>36.3</v>
      </c>
      <c r="E9938" s="5" t="n">
        <v>250.4</v>
      </c>
      <c r="F9938" s="3" t="inlineStr">
        <is>
          <t>장군면</t>
        </is>
      </c>
      <c r="G9938" s="3" t="inlineStr">
        <is>
          <t>금암리</t>
        </is>
      </c>
      <c r="H9938" s="3" t="inlineStr">
        <is>
          <t>계획관리지역</t>
        </is>
      </c>
      <c r="I9938" s="3" t="inlineStr">
        <is>
          <t>대</t>
        </is>
      </c>
      <c r="J9938" s="3" t="inlineStr">
        <is>
          <t>장군면</t>
        </is>
      </c>
    </row>
    <row r="9939">
      <c r="A9939" s="3" t="n">
        <v>2023</v>
      </c>
      <c r="B9939" s="4" t="n">
        <v>57900</v>
      </c>
      <c r="C9939" s="4" t="n">
        <v>667</v>
      </c>
      <c r="D9939" s="4" t="n">
        <v>201.7675</v>
      </c>
      <c r="E9939" s="5" t="n">
        <v>287</v>
      </c>
      <c r="F9939" s="3" t="inlineStr">
        <is>
          <t>전동면</t>
        </is>
      </c>
      <c r="G9939" s="3" t="inlineStr">
        <is>
          <t>심중리</t>
        </is>
      </c>
      <c r="H9939" s="3" t="inlineStr">
        <is>
          <t>준공업지역</t>
        </is>
      </c>
      <c r="I9939" s="3" t="inlineStr">
        <is>
          <t>전</t>
        </is>
      </c>
      <c r="J9939" s="3" t="inlineStr">
        <is>
          <t>전동면</t>
        </is>
      </c>
    </row>
    <row r="9940">
      <c r="A9940" s="3" t="n">
        <v>2023</v>
      </c>
      <c r="B9940" s="4" t="n">
        <v>20460</v>
      </c>
      <c r="C9940" s="4" t="n">
        <v>428</v>
      </c>
      <c r="D9940" s="4" t="n">
        <v>129.47</v>
      </c>
      <c r="E9940" s="5" t="n">
        <v>158</v>
      </c>
      <c r="F9940" s="3" t="inlineStr">
        <is>
          <t>연서면</t>
        </is>
      </c>
      <c r="G9940" s="3" t="inlineStr">
        <is>
          <t>신대리</t>
        </is>
      </c>
      <c r="H9940" s="3" t="inlineStr">
        <is>
          <t>보전관리지역</t>
        </is>
      </c>
      <c r="I9940" s="3" t="inlineStr">
        <is>
          <t>과수원</t>
        </is>
      </c>
      <c r="J9940" s="3" t="inlineStr">
        <is>
          <t>연서면</t>
        </is>
      </c>
    </row>
    <row r="9941">
      <c r="A9941" s="3" t="n">
        <v>2023</v>
      </c>
      <c r="B9941" s="4" t="n">
        <v>6490</v>
      </c>
      <c r="C9941" s="4" t="n">
        <v>200</v>
      </c>
      <c r="D9941" s="4" t="n">
        <v>60.5</v>
      </c>
      <c r="E9941" s="5" t="n">
        <v>107.3</v>
      </c>
      <c r="F9941" s="3" t="inlineStr">
        <is>
          <t>연서면</t>
        </is>
      </c>
      <c r="G9941" s="3" t="inlineStr">
        <is>
          <t>신대리</t>
        </is>
      </c>
      <c r="H9941" s="3" t="inlineStr">
        <is>
          <t>보전관리지역</t>
        </is>
      </c>
      <c r="I9941" s="3" t="inlineStr">
        <is>
          <t>과수원</t>
        </is>
      </c>
      <c r="J9941" s="3" t="inlineStr">
        <is>
          <t>연서면</t>
        </is>
      </c>
    </row>
    <row r="9942">
      <c r="A9942" s="3" t="n">
        <v>2023</v>
      </c>
      <c r="B9942" s="4" t="n">
        <v>19710</v>
      </c>
      <c r="C9942" s="4" t="n">
        <v>608</v>
      </c>
      <c r="D9942" s="4" t="n">
        <v>183.92</v>
      </c>
      <c r="E9942" s="5" t="n">
        <v>107.2</v>
      </c>
      <c r="F9942" s="3" t="inlineStr">
        <is>
          <t>연서면</t>
        </is>
      </c>
      <c r="G9942" s="3" t="inlineStr">
        <is>
          <t>신대리</t>
        </is>
      </c>
      <c r="H9942" s="3" t="inlineStr">
        <is>
          <t>보전관리지역</t>
        </is>
      </c>
      <c r="I9942" s="3" t="inlineStr">
        <is>
          <t>과수원</t>
        </is>
      </c>
      <c r="J9942" s="3" t="inlineStr">
        <is>
          <t>연서면</t>
        </is>
      </c>
    </row>
    <row r="9943">
      <c r="A9943" s="3" t="n">
        <v>2025</v>
      </c>
      <c r="B9943" s="4" t="n">
        <v>9500</v>
      </c>
      <c r="C9943" s="4" t="n">
        <v>325</v>
      </c>
      <c r="D9943" s="4" t="n">
        <v>98.3125</v>
      </c>
      <c r="E9943" s="5" t="n">
        <v>96.59999999999999</v>
      </c>
      <c r="F9943" s="3" t="inlineStr">
        <is>
          <t>연서면</t>
        </is>
      </c>
      <c r="G9943" s="3" t="inlineStr">
        <is>
          <t>월하리</t>
        </is>
      </c>
      <c r="H9943" s="3" t="inlineStr">
        <is>
          <t>자연녹지지역</t>
        </is>
      </c>
      <c r="I9943" s="3" t="inlineStr">
        <is>
          <t>전</t>
        </is>
      </c>
      <c r="J9943" s="3" t="inlineStr">
        <is>
          <t>연서면</t>
        </is>
      </c>
    </row>
    <row r="9944">
      <c r="A9944" s="3" t="n">
        <v>2025</v>
      </c>
      <c r="B9944" s="4" t="n">
        <v>360</v>
      </c>
      <c r="C9944" s="4" t="n">
        <v>12</v>
      </c>
      <c r="D9944" s="4" t="n">
        <v>3.63</v>
      </c>
      <c r="E9944" s="5" t="n">
        <v>99.2</v>
      </c>
      <c r="F9944" s="3" t="inlineStr">
        <is>
          <t>연서면</t>
        </is>
      </c>
      <c r="G9944" s="3" t="inlineStr">
        <is>
          <t>월하리</t>
        </is>
      </c>
      <c r="H9944" s="3" t="inlineStr">
        <is>
          <t>자연녹지지역</t>
        </is>
      </c>
      <c r="I9944" s="3" t="inlineStr">
        <is>
          <t>도로</t>
        </is>
      </c>
      <c r="J9944" s="3" t="inlineStr">
        <is>
          <t>연서면</t>
        </is>
      </c>
    </row>
    <row r="9945">
      <c r="A9945" s="3" t="n">
        <v>2025</v>
      </c>
      <c r="B9945" s="4" t="n">
        <v>6500</v>
      </c>
      <c r="C9945" s="4" t="n">
        <v>396</v>
      </c>
      <c r="D9945" s="4" t="n">
        <v>119.79</v>
      </c>
      <c r="E9945" s="5" t="n">
        <v>54.3</v>
      </c>
      <c r="F9945" s="3" t="inlineStr">
        <is>
          <t>연기면</t>
        </is>
      </c>
      <c r="G9945" s="3" t="inlineStr">
        <is>
          <t>수산리</t>
        </is>
      </c>
      <c r="H9945" s="3" t="inlineStr">
        <is>
          <t>보전관리지역</t>
        </is>
      </c>
      <c r="I9945" s="3" t="inlineStr">
        <is>
          <t>임야</t>
        </is>
      </c>
      <c r="J9945" s="3" t="inlineStr">
        <is>
          <t>연기면</t>
        </is>
      </c>
    </row>
    <row r="9946">
      <c r="A9946" s="3" t="n">
        <v>2025</v>
      </c>
      <c r="B9946" s="4" t="n">
        <v>85700</v>
      </c>
      <c r="C9946" s="4" t="n">
        <v>1425</v>
      </c>
      <c r="D9946" s="4" t="n">
        <v>431.0625</v>
      </c>
      <c r="E9946" s="5" t="n">
        <v>198.8</v>
      </c>
      <c r="F9946" s="3" t="inlineStr">
        <is>
          <t>연서면</t>
        </is>
      </c>
      <c r="G9946" s="3" t="inlineStr">
        <is>
          <t>월하리</t>
        </is>
      </c>
      <c r="H9946" s="3" t="inlineStr">
        <is>
          <t>자연녹지지역</t>
        </is>
      </c>
      <c r="I9946" s="3" t="inlineStr">
        <is>
          <t>전</t>
        </is>
      </c>
      <c r="J9946" s="3" t="inlineStr">
        <is>
          <t>연서면</t>
        </is>
      </c>
    </row>
    <row r="9947">
      <c r="A9947" s="3" t="n">
        <v>2025</v>
      </c>
      <c r="B9947" s="4" t="n">
        <v>58000</v>
      </c>
      <c r="C9947" s="4" t="n">
        <v>376</v>
      </c>
      <c r="D9947" s="4" t="n">
        <v>113.74</v>
      </c>
      <c r="E9947" s="5" t="n">
        <v>509.9</v>
      </c>
      <c r="F9947" s="3" t="inlineStr">
        <is>
          <t>조치원읍</t>
        </is>
      </c>
      <c r="G9947" s="3" t="inlineStr">
        <is>
          <t>신안리</t>
        </is>
      </c>
      <c r="H9947" s="3" t="inlineStr">
        <is>
          <t>제2종일반주거지역</t>
        </is>
      </c>
      <c r="I9947" s="3" t="inlineStr">
        <is>
          <t>대</t>
        </is>
      </c>
      <c r="J9947" s="3" t="inlineStr">
        <is>
          <t>조치원읍</t>
        </is>
      </c>
    </row>
    <row r="9948">
      <c r="A9948" s="3" t="n">
        <v>2025</v>
      </c>
      <c r="B9948" s="4" t="n">
        <v>40000</v>
      </c>
      <c r="C9948" s="4" t="n">
        <v>661</v>
      </c>
      <c r="D9948" s="4" t="n">
        <v>199.9525</v>
      </c>
      <c r="E9948" s="5" t="n">
        <v>200</v>
      </c>
      <c r="F9948" s="3" t="inlineStr">
        <is>
          <t>금남면</t>
        </is>
      </c>
      <c r="G9948" s="3" t="inlineStr">
        <is>
          <t>호탄리</t>
        </is>
      </c>
      <c r="H9948" s="3" t="inlineStr">
        <is>
          <t>제1종일반주거지역</t>
        </is>
      </c>
      <c r="I9948" s="3" t="inlineStr">
        <is>
          <t>답</t>
        </is>
      </c>
      <c r="J9948" s="3" t="inlineStr">
        <is>
          <t>금남면</t>
        </is>
      </c>
    </row>
    <row r="9949">
      <c r="A9949" s="3" t="n">
        <v>2025</v>
      </c>
      <c r="B9949" s="4" t="n">
        <v>14400</v>
      </c>
      <c r="C9949" s="4" t="n">
        <v>992.7</v>
      </c>
      <c r="D9949" s="4" t="n">
        <v>300.29175</v>
      </c>
      <c r="E9949" s="5" t="n">
        <v>48</v>
      </c>
      <c r="F9949" s="3" t="inlineStr">
        <is>
          <t>연동면</t>
        </is>
      </c>
      <c r="G9949" s="3" t="inlineStr">
        <is>
          <t>응암리</t>
        </is>
      </c>
      <c r="H9949" s="3" t="inlineStr">
        <is>
          <t>농림지역</t>
        </is>
      </c>
      <c r="I9949" s="3" t="inlineStr">
        <is>
          <t>답</t>
        </is>
      </c>
      <c r="J9949" s="3" t="inlineStr">
        <is>
          <t>연동면</t>
        </is>
      </c>
    </row>
    <row r="9950">
      <c r="A9950" s="3" t="n">
        <v>2025</v>
      </c>
      <c r="B9950" s="4" t="n">
        <v>35280</v>
      </c>
      <c r="C9950" s="4" t="n">
        <v>2428.8</v>
      </c>
      <c r="D9950" s="4" t="n">
        <v>734.712</v>
      </c>
      <c r="E9950" s="5" t="n">
        <v>48</v>
      </c>
      <c r="F9950" s="3" t="inlineStr">
        <is>
          <t>연동면</t>
        </is>
      </c>
      <c r="G9950" s="3" t="inlineStr">
        <is>
          <t>응암리</t>
        </is>
      </c>
      <c r="H9950" s="3" t="inlineStr">
        <is>
          <t>농림지역</t>
        </is>
      </c>
      <c r="I9950" s="3" t="inlineStr">
        <is>
          <t>답</t>
        </is>
      </c>
      <c r="J9950" s="3" t="inlineStr">
        <is>
          <t>연동면</t>
        </is>
      </c>
    </row>
    <row r="9951">
      <c r="A9951" s="3" t="n">
        <v>2025</v>
      </c>
      <c r="B9951" s="4" t="n">
        <v>135000</v>
      </c>
      <c r="C9951" s="4" t="n">
        <v>13352</v>
      </c>
      <c r="D9951" s="4" t="n">
        <v>4038.98</v>
      </c>
      <c r="E9951" s="5" t="n">
        <v>33.4</v>
      </c>
      <c r="F9951" s="3" t="inlineStr">
        <is>
          <t>조치원읍</t>
        </is>
      </c>
      <c r="G9951" s="3" t="inlineStr">
        <is>
          <t>신안리</t>
        </is>
      </c>
      <c r="H9951" s="3" t="inlineStr">
        <is>
          <t>자연녹지지역</t>
        </is>
      </c>
      <c r="I9951" s="3" t="inlineStr">
        <is>
          <t>전</t>
        </is>
      </c>
      <c r="J9951" s="3" t="inlineStr">
        <is>
          <t>조치원읍</t>
        </is>
      </c>
    </row>
    <row r="9952">
      <c r="A9952" s="3" t="n">
        <v>2025</v>
      </c>
      <c r="B9952" s="4" t="n">
        <v>20000</v>
      </c>
      <c r="C9952" s="4" t="n">
        <v>1951</v>
      </c>
      <c r="D9952" s="4" t="n">
        <v>590.1775</v>
      </c>
      <c r="E9952" s="5" t="n">
        <v>33.9</v>
      </c>
      <c r="F9952" s="3" t="inlineStr">
        <is>
          <t>조치원읍</t>
        </is>
      </c>
      <c r="G9952" s="3" t="inlineStr">
        <is>
          <t>신안리</t>
        </is>
      </c>
      <c r="H9952" s="3" t="inlineStr">
        <is>
          <t>자연녹지지역</t>
        </is>
      </c>
      <c r="I9952" s="3" t="inlineStr">
        <is>
          <t>임야</t>
        </is>
      </c>
      <c r="J9952" s="3" t="inlineStr">
        <is>
          <t>조치원읍</t>
        </is>
      </c>
    </row>
    <row r="9953">
      <c r="A9953" s="3" t="n">
        <v>2025</v>
      </c>
      <c r="B9953" s="4" t="n">
        <v>450</v>
      </c>
      <c r="C9953" s="4" t="n">
        <v>1000</v>
      </c>
      <c r="D9953" s="4" t="n">
        <v>302.5</v>
      </c>
      <c r="E9953" s="5" t="n">
        <v>1.5</v>
      </c>
      <c r="F9953" s="3" t="inlineStr">
        <is>
          <t>전동면</t>
        </is>
      </c>
      <c r="G9953" s="3" t="inlineStr">
        <is>
          <t>봉대리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2025</v>
      </c>
      <c r="B9954" s="4" t="n">
        <v>21550</v>
      </c>
      <c r="C9954" s="4" t="n">
        <v>48870</v>
      </c>
      <c r="D9954" s="4" t="n">
        <v>14783.175</v>
      </c>
      <c r="E9954" s="5" t="n">
        <v>1.5</v>
      </c>
      <c r="F9954" s="3" t="inlineStr">
        <is>
          <t>전동면</t>
        </is>
      </c>
      <c r="G9954" s="3" t="inlineStr">
        <is>
          <t>봉대리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2025</v>
      </c>
      <c r="B9955" s="4" t="n">
        <v>16000</v>
      </c>
      <c r="C9955" s="4" t="n">
        <v>2864</v>
      </c>
      <c r="D9955" s="4" t="n">
        <v>866.36</v>
      </c>
      <c r="E9955" s="5" t="n">
        <v>18.5</v>
      </c>
      <c r="F9955" s="3" t="inlineStr">
        <is>
          <t>부강면</t>
        </is>
      </c>
      <c r="G9955" s="3" t="inlineStr">
        <is>
          <t>금호리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부강면</t>
        </is>
      </c>
    </row>
    <row r="9956">
      <c r="A9956" s="3" t="n">
        <v>2025</v>
      </c>
      <c r="B9956" s="4" t="n">
        <v>34060</v>
      </c>
      <c r="C9956" s="4" t="n">
        <v>1719</v>
      </c>
      <c r="D9956" s="4" t="n">
        <v>519.9974999999999</v>
      </c>
      <c r="E9956" s="5" t="n">
        <v>65.5</v>
      </c>
      <c r="F9956" s="3" t="inlineStr">
        <is>
          <t>부강면</t>
        </is>
      </c>
      <c r="G9956" s="3" t="inlineStr">
        <is>
          <t>금호리</t>
        </is>
      </c>
      <c r="H9956" s="3" t="inlineStr">
        <is>
          <t>보전관리지역</t>
        </is>
      </c>
      <c r="I9956" s="3" t="inlineStr">
        <is>
          <t>임야</t>
        </is>
      </c>
      <c r="J9956" s="3" t="inlineStr">
        <is>
          <t>부강면</t>
        </is>
      </c>
    </row>
    <row r="9957">
      <c r="A9957" s="3" t="n">
        <v>2025</v>
      </c>
      <c r="B9957" s="4" t="n">
        <v>3300</v>
      </c>
      <c r="C9957" s="4" t="n">
        <v>1219</v>
      </c>
      <c r="D9957" s="4" t="n">
        <v>368.7475</v>
      </c>
      <c r="E9957" s="5" t="n">
        <v>8.9</v>
      </c>
      <c r="F9957" s="3" t="inlineStr">
        <is>
          <t>전동면</t>
        </is>
      </c>
      <c r="G9957" s="3" t="inlineStr">
        <is>
          <t>심중리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전동면</t>
        </is>
      </c>
    </row>
    <row r="9958">
      <c r="A9958" s="3" t="n">
        <v>2025</v>
      </c>
      <c r="B9958" s="4" t="n">
        <v>2400</v>
      </c>
      <c r="C9958" s="4" t="n">
        <v>557</v>
      </c>
      <c r="D9958" s="4" t="n">
        <v>168.4925</v>
      </c>
      <c r="E9958" s="5" t="n">
        <v>14.2</v>
      </c>
      <c r="F9958" s="3" t="inlineStr">
        <is>
          <t>전동면</t>
        </is>
      </c>
      <c r="G9958" s="3" t="inlineStr">
        <is>
          <t>심중리</t>
        </is>
      </c>
      <c r="H9958" s="3" t="inlineStr">
        <is>
          <t>계획관리지역</t>
        </is>
      </c>
      <c r="I9958" s="3" t="inlineStr">
        <is>
          <t>전</t>
        </is>
      </c>
      <c r="J9958" s="3" t="inlineStr">
        <is>
          <t>전동면</t>
        </is>
      </c>
    </row>
    <row r="9959">
      <c r="A9959" s="3" t="n">
        <v>2025</v>
      </c>
      <c r="B9959" s="4" t="n">
        <v>4300</v>
      </c>
      <c r="C9959" s="4" t="n">
        <v>1000</v>
      </c>
      <c r="D9959" s="4" t="n">
        <v>302.5</v>
      </c>
      <c r="E9959" s="5" t="n">
        <v>14.2</v>
      </c>
      <c r="F9959" s="3" t="inlineStr">
        <is>
          <t>전동면</t>
        </is>
      </c>
      <c r="G9959" s="3" t="inlineStr">
        <is>
          <t>심중리</t>
        </is>
      </c>
      <c r="H9959" s="3" t="inlineStr">
        <is>
          <t>계획관리지역</t>
        </is>
      </c>
      <c r="I9959" s="3" t="inlineStr">
        <is>
          <t>전</t>
        </is>
      </c>
      <c r="J9959" s="3" t="inlineStr">
        <is>
          <t>전동면</t>
        </is>
      </c>
    </row>
    <row r="9960">
      <c r="A9960" s="3" t="n">
        <v>2025</v>
      </c>
      <c r="B9960" s="4" t="n">
        <v>11000</v>
      </c>
      <c r="C9960" s="4" t="n">
        <v>463</v>
      </c>
      <c r="D9960" s="4" t="n">
        <v>140.0575</v>
      </c>
      <c r="E9960" s="5" t="n">
        <v>78.5</v>
      </c>
      <c r="F9960" s="3" t="inlineStr">
        <is>
          <t>소정면</t>
        </is>
      </c>
      <c r="G9960" s="3" t="inlineStr">
        <is>
          <t>대곡리</t>
        </is>
      </c>
      <c r="H9960" s="3" t="inlineStr">
        <is>
          <t>계획관리지역</t>
        </is>
      </c>
      <c r="I9960" s="3" t="inlineStr">
        <is>
          <t>대</t>
        </is>
      </c>
      <c r="J9960" s="3" t="inlineStr">
        <is>
          <t>소정면</t>
        </is>
      </c>
    </row>
    <row r="9961">
      <c r="A9961" s="3" t="n">
        <v>2025</v>
      </c>
      <c r="B9961" s="4" t="n">
        <v>13000</v>
      </c>
      <c r="C9961" s="4" t="n">
        <v>1650</v>
      </c>
      <c r="D9961" s="4" t="n">
        <v>499.125</v>
      </c>
      <c r="E9961" s="5" t="n">
        <v>26</v>
      </c>
      <c r="F9961" s="3" t="inlineStr">
        <is>
          <t>장군면</t>
        </is>
      </c>
      <c r="G9961" s="3" t="inlineStr">
        <is>
          <t>금암리</t>
        </is>
      </c>
      <c r="H9961" s="3" t="inlineStr">
        <is>
          <t>농림지역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2025</v>
      </c>
      <c r="B9962" s="4" t="n">
        <v>46100</v>
      </c>
      <c r="C9962" s="4" t="n">
        <v>614</v>
      </c>
      <c r="D9962" s="4" t="n">
        <v>185.735</v>
      </c>
      <c r="E9962" s="5" t="n">
        <v>248.2</v>
      </c>
      <c r="F9962" s="3" t="inlineStr">
        <is>
          <t>장군면</t>
        </is>
      </c>
      <c r="G9962" s="3" t="inlineStr">
        <is>
          <t>대교리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2026</v>
      </c>
      <c r="B9963" s="4" t="n">
        <v>14675</v>
      </c>
      <c r="C9963" s="4" t="n">
        <v>455</v>
      </c>
      <c r="D9963" s="4" t="n">
        <v>137.6375</v>
      </c>
      <c r="E9963" s="5" t="n">
        <v>106.6</v>
      </c>
      <c r="F9963" s="3" t="inlineStr">
        <is>
          <t>소정면</t>
        </is>
      </c>
      <c r="G9963" s="3" t="inlineStr">
        <is>
          <t>고등리</t>
        </is>
      </c>
      <c r="H9963" s="3" t="inlineStr">
        <is>
          <t>보전관리지역</t>
        </is>
      </c>
      <c r="I9963" s="3" t="inlineStr">
        <is>
          <t>대</t>
        </is>
      </c>
      <c r="J9963" s="3" t="inlineStr">
        <is>
          <t>소정면</t>
        </is>
      </c>
    </row>
    <row r="9964">
      <c r="A9964" s="3" t="n">
        <v>2026</v>
      </c>
      <c r="B9964" s="4" t="n">
        <v>14417</v>
      </c>
      <c r="C9964" s="4" t="n">
        <v>447</v>
      </c>
      <c r="D9964" s="4" t="n">
        <v>135.2175</v>
      </c>
      <c r="E9964" s="5" t="n">
        <v>106.6</v>
      </c>
      <c r="F9964" s="3" t="inlineStr">
        <is>
          <t>소정면</t>
        </is>
      </c>
      <c r="G9964" s="3" t="inlineStr">
        <is>
          <t>고등리</t>
        </is>
      </c>
      <c r="H9964" s="3" t="inlineStr">
        <is>
          <t>보전관리지역</t>
        </is>
      </c>
      <c r="I9964" s="3" t="inlineStr">
        <is>
          <t>대</t>
        </is>
      </c>
      <c r="J9964" s="3" t="inlineStr">
        <is>
          <t>소정면</t>
        </is>
      </c>
    </row>
    <row r="9965">
      <c r="A9965" s="3" t="n">
        <v>2026</v>
      </c>
      <c r="B9965" s="4" t="n">
        <v>14816</v>
      </c>
      <c r="C9965" s="4" t="n">
        <v>455</v>
      </c>
      <c r="D9965" s="4" t="n">
        <v>137.6375</v>
      </c>
      <c r="E9965" s="5" t="n">
        <v>107.6</v>
      </c>
      <c r="F9965" s="3" t="inlineStr">
        <is>
          <t>소정면</t>
        </is>
      </c>
      <c r="G9965" s="3" t="inlineStr">
        <is>
          <t>고등리</t>
        </is>
      </c>
      <c r="H9965" s="3" t="inlineStr">
        <is>
          <t>보전관리지역</t>
        </is>
      </c>
      <c r="I9965" s="3" t="inlineStr">
        <is>
          <t>대</t>
        </is>
      </c>
      <c r="J9965" s="3" t="inlineStr">
        <is>
          <t>소정면</t>
        </is>
      </c>
    </row>
    <row r="9966">
      <c r="A9966" s="3" t="n">
        <v>2026</v>
      </c>
      <c r="B9966" s="4" t="n">
        <v>14555</v>
      </c>
      <c r="C9966" s="4" t="n">
        <v>447</v>
      </c>
      <c r="D9966" s="4" t="n">
        <v>135.2175</v>
      </c>
      <c r="E9966" s="5" t="n">
        <v>107.6</v>
      </c>
      <c r="F9966" s="3" t="inlineStr">
        <is>
          <t>소정면</t>
        </is>
      </c>
      <c r="G9966" s="3" t="inlineStr">
        <is>
          <t>고등리</t>
        </is>
      </c>
      <c r="H9966" s="3" t="inlineStr">
        <is>
          <t>보전관리지역</t>
        </is>
      </c>
      <c r="I9966" s="3" t="inlineStr">
        <is>
          <t>대</t>
        </is>
      </c>
      <c r="J9966" s="3" t="inlineStr">
        <is>
          <t>소정면</t>
        </is>
      </c>
    </row>
    <row r="9967">
      <c r="A9967" s="3" t="n">
        <v>2026</v>
      </c>
      <c r="B9967" s="4" t="n">
        <v>11351</v>
      </c>
      <c r="C9967" s="4" t="n">
        <v>520</v>
      </c>
      <c r="D9967" s="4" t="n">
        <v>157.3</v>
      </c>
      <c r="E9967" s="5" t="n">
        <v>72.2</v>
      </c>
      <c r="F9967" s="3" t="inlineStr">
        <is>
          <t>소정면</t>
        </is>
      </c>
      <c r="G9967" s="3" t="inlineStr">
        <is>
          <t>고등리</t>
        </is>
      </c>
      <c r="H9967" s="3" t="inlineStr">
        <is>
          <t>보전관리지역</t>
        </is>
      </c>
      <c r="I9967" s="3" t="inlineStr">
        <is>
          <t>대</t>
        </is>
      </c>
      <c r="J9967" s="3" t="inlineStr">
        <is>
          <t>소정면</t>
        </is>
      </c>
    </row>
    <row r="9968">
      <c r="A9968" s="3" t="n">
        <v>2026</v>
      </c>
      <c r="B9968" s="4" t="n">
        <v>11351</v>
      </c>
      <c r="C9968" s="4" t="n">
        <v>520</v>
      </c>
      <c r="D9968" s="4" t="n">
        <v>157.3</v>
      </c>
      <c r="E9968" s="5" t="n">
        <v>72.2</v>
      </c>
      <c r="F9968" s="3" t="inlineStr">
        <is>
          <t>소정면</t>
        </is>
      </c>
      <c r="G9968" s="3" t="inlineStr">
        <is>
          <t>고등리</t>
        </is>
      </c>
      <c r="H9968" s="3" t="inlineStr">
        <is>
          <t>보전관리지역</t>
        </is>
      </c>
      <c r="I9968" s="3" t="inlineStr">
        <is>
          <t>대</t>
        </is>
      </c>
      <c r="J9968" s="3" t="inlineStr">
        <is>
          <t>소정면</t>
        </is>
      </c>
    </row>
    <row r="9969">
      <c r="A9969" s="3" t="n">
        <v>2026</v>
      </c>
      <c r="B9969" s="4" t="n">
        <v>154000</v>
      </c>
      <c r="C9969" s="4" t="n">
        <v>7270</v>
      </c>
      <c r="D9969" s="4" t="n">
        <v>2199.175</v>
      </c>
      <c r="E9969" s="5" t="n">
        <v>70</v>
      </c>
      <c r="F9969" s="3" t="inlineStr">
        <is>
          <t>소정면</t>
        </is>
      </c>
      <c r="G9969" s="3" t="inlineStr">
        <is>
          <t>운당리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소정면</t>
        </is>
      </c>
    </row>
    <row r="9970">
      <c r="A9970" s="3" t="n">
        <v>2026</v>
      </c>
      <c r="B9970" s="4" t="n">
        <v>68000</v>
      </c>
      <c r="C9970" s="4" t="n">
        <v>512</v>
      </c>
      <c r="D9970" s="4" t="n">
        <v>154.88</v>
      </c>
      <c r="E9970" s="5" t="n">
        <v>439</v>
      </c>
      <c r="F9970" s="3" t="inlineStr">
        <is>
          <t>고운동</t>
        </is>
      </c>
      <c r="G9970" s="3" t="inlineStr"/>
      <c r="H9970" s="3" t="inlineStr">
        <is>
          <t>제1종전용주거지역</t>
        </is>
      </c>
      <c r="I9970" s="3" t="inlineStr">
        <is>
          <t>대</t>
        </is>
      </c>
      <c r="J9970" s="3" t="inlineStr">
        <is>
          <t>고운동</t>
        </is>
      </c>
    </row>
    <row r="9971">
      <c r="A9971" s="3" t="n">
        <v>2026</v>
      </c>
      <c r="B9971" s="4" t="n">
        <v>15300</v>
      </c>
      <c r="C9971" s="4" t="n">
        <v>345</v>
      </c>
      <c r="D9971" s="4" t="n">
        <v>104.3625</v>
      </c>
      <c r="E9971" s="5" t="n">
        <v>146.6</v>
      </c>
      <c r="F9971" s="3" t="inlineStr">
        <is>
          <t>금남면</t>
        </is>
      </c>
      <c r="G9971" s="3" t="inlineStr">
        <is>
          <t>대박리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금남면</t>
        </is>
      </c>
    </row>
    <row r="9972">
      <c r="A9972" s="3" t="n">
        <v>2026</v>
      </c>
      <c r="B9972" s="4" t="n">
        <v>2300</v>
      </c>
      <c r="C9972" s="4" t="n">
        <v>149</v>
      </c>
      <c r="D9972" s="4" t="n">
        <v>45.0725</v>
      </c>
      <c r="E9972" s="5" t="n">
        <v>51</v>
      </c>
      <c r="F9972" s="3" t="inlineStr">
        <is>
          <t>전의면</t>
        </is>
      </c>
      <c r="G9972" s="3" t="inlineStr">
        <is>
          <t>달전리</t>
        </is>
      </c>
      <c r="H9972" s="3" t="inlineStr">
        <is>
          <t>생산관리지역</t>
        </is>
      </c>
      <c r="I9972" s="3" t="inlineStr">
        <is>
          <t>전</t>
        </is>
      </c>
      <c r="J9972" s="3" t="inlineStr">
        <is>
          <t>전의면</t>
        </is>
      </c>
    </row>
    <row r="9973">
      <c r="A9973" s="3" t="n">
        <v>2026</v>
      </c>
      <c r="B9973" s="4" t="n">
        <v>10000</v>
      </c>
      <c r="C9973" s="4" t="n">
        <v>1007</v>
      </c>
      <c r="D9973" s="4" t="n">
        <v>304.6175</v>
      </c>
      <c r="E9973" s="5" t="n">
        <v>32.8</v>
      </c>
      <c r="F9973" s="3" t="inlineStr">
        <is>
          <t>금남면</t>
        </is>
      </c>
      <c r="G9973" s="3" t="inlineStr">
        <is>
          <t>두만리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44850</v>
      </c>
      <c r="C9974" s="4" t="n">
        <v>2964</v>
      </c>
      <c r="D9974" s="4" t="n">
        <v>896.61</v>
      </c>
      <c r="E9974" s="5" t="n">
        <v>50</v>
      </c>
      <c r="F9974" s="3" t="inlineStr">
        <is>
          <t>부강면</t>
        </is>
      </c>
      <c r="G9974" s="3" t="inlineStr">
        <is>
          <t>금호리</t>
        </is>
      </c>
      <c r="H9974" s="3" t="inlineStr">
        <is>
          <t>농림지역</t>
        </is>
      </c>
      <c r="I9974" s="3" t="inlineStr">
        <is>
          <t>답</t>
        </is>
      </c>
      <c r="J9974" s="3" t="inlineStr">
        <is>
          <t>부강면</t>
        </is>
      </c>
    </row>
    <row r="9975">
      <c r="A9975" s="3" t="n">
        <v>2023</v>
      </c>
      <c r="B9975" s="4" t="n">
        <v>11500</v>
      </c>
      <c r="C9975" s="4" t="n">
        <v>945</v>
      </c>
      <c r="D9975" s="4" t="n">
        <v>285.8625</v>
      </c>
      <c r="E9975" s="5" t="n">
        <v>40.2</v>
      </c>
      <c r="F9975" s="3" t="inlineStr">
        <is>
          <t>장군면</t>
        </is>
      </c>
      <c r="G9975" s="3" t="inlineStr">
        <is>
          <t>하봉리</t>
        </is>
      </c>
      <c r="H9975" s="3" t="inlineStr">
        <is>
          <t>보전관리지역</t>
        </is>
      </c>
      <c r="I9975" s="3" t="inlineStr">
        <is>
          <t>전</t>
        </is>
      </c>
      <c r="J9975" s="3" t="inlineStr">
        <is>
          <t>장군면</t>
        </is>
      </c>
    </row>
    <row r="9976">
      <c r="A9976" s="3" t="n">
        <v>2023</v>
      </c>
      <c r="B9976" s="4" t="n">
        <v>17843</v>
      </c>
      <c r="C9976" s="4" t="n">
        <v>407</v>
      </c>
      <c r="D9976" s="4" t="n">
        <v>123.1175</v>
      </c>
      <c r="E9976" s="5" t="n">
        <v>144.9</v>
      </c>
      <c r="F9976" s="3" t="inlineStr">
        <is>
          <t>연서면</t>
        </is>
      </c>
      <c r="G9976" s="3" t="inlineStr">
        <is>
          <t>고복리</t>
        </is>
      </c>
      <c r="H9976" s="3" t="inlineStr">
        <is>
          <t>생산관리지역</t>
        </is>
      </c>
      <c r="I9976" s="3" t="inlineStr">
        <is>
          <t>과수원</t>
        </is>
      </c>
      <c r="J9976" s="3" t="inlineStr">
        <is>
          <t>연서면</t>
        </is>
      </c>
    </row>
    <row r="9977">
      <c r="A9977" s="3" t="n">
        <v>2023</v>
      </c>
      <c r="B9977" s="4" t="n">
        <v>30732</v>
      </c>
      <c r="C9977" s="4" t="n">
        <v>701</v>
      </c>
      <c r="D9977" s="4" t="n">
        <v>212.0525</v>
      </c>
      <c r="E9977" s="5" t="n">
        <v>144.9</v>
      </c>
      <c r="F9977" s="3" t="inlineStr">
        <is>
          <t>연서면</t>
        </is>
      </c>
      <c r="G9977" s="3" t="inlineStr">
        <is>
          <t>고복리</t>
        </is>
      </c>
      <c r="H9977" s="3" t="inlineStr">
        <is>
          <t>생산관리지역</t>
        </is>
      </c>
      <c r="I9977" s="3" t="inlineStr">
        <is>
          <t>임야</t>
        </is>
      </c>
      <c r="J9977" s="3" t="inlineStr">
        <is>
          <t>연서면</t>
        </is>
      </c>
    </row>
    <row r="9978">
      <c r="A9978" s="3" t="n">
        <v>2023</v>
      </c>
      <c r="B9978" s="4" t="n">
        <v>21560</v>
      </c>
      <c r="C9978" s="4" t="n">
        <v>509</v>
      </c>
      <c r="D9978" s="4" t="n">
        <v>153.9725</v>
      </c>
      <c r="E9978" s="5" t="n">
        <v>140</v>
      </c>
      <c r="F9978" s="3" t="inlineStr">
        <is>
          <t>연서면</t>
        </is>
      </c>
      <c r="G9978" s="3" t="inlineStr">
        <is>
          <t>고복리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연서면</t>
        </is>
      </c>
    </row>
    <row r="9979">
      <c r="A9979" s="3" t="n">
        <v>2023</v>
      </c>
      <c r="B9979" s="4" t="n">
        <v>13102</v>
      </c>
      <c r="C9979" s="4" t="n">
        <v>480</v>
      </c>
      <c r="D9979" s="4" t="n">
        <v>145.2</v>
      </c>
      <c r="E9979" s="5" t="n">
        <v>90.2</v>
      </c>
      <c r="F9979" s="3" t="inlineStr">
        <is>
          <t>전의면</t>
        </is>
      </c>
      <c r="G9979" s="3" t="inlineStr">
        <is>
          <t>서정리</t>
        </is>
      </c>
      <c r="H9979" s="3" t="inlineStr">
        <is>
          <t>계획관리지역</t>
        </is>
      </c>
      <c r="I9979" s="3" t="inlineStr">
        <is>
          <t>대</t>
        </is>
      </c>
      <c r="J9979" s="3" t="inlineStr">
        <is>
          <t>전의면</t>
        </is>
      </c>
    </row>
    <row r="9980">
      <c r="A9980" s="3" t="n">
        <v>2023</v>
      </c>
      <c r="B9980" s="4" t="n">
        <v>538</v>
      </c>
      <c r="C9980" s="4" t="n">
        <v>20</v>
      </c>
      <c r="D9980" s="4" t="n">
        <v>6.05</v>
      </c>
      <c r="E9980" s="5" t="n">
        <v>88.90000000000001</v>
      </c>
      <c r="F9980" s="3" t="inlineStr">
        <is>
          <t>전의면</t>
        </is>
      </c>
      <c r="G9980" s="3" t="inlineStr">
        <is>
          <t>서정리</t>
        </is>
      </c>
      <c r="H9980" s="3" t="inlineStr">
        <is>
          <t>계획관리지역</t>
        </is>
      </c>
      <c r="I9980" s="3" t="inlineStr">
        <is>
          <t>대</t>
        </is>
      </c>
      <c r="J9980" s="3" t="inlineStr">
        <is>
          <t>전의면</t>
        </is>
      </c>
    </row>
    <row r="9981">
      <c r="A9981" s="3" t="n">
        <v>2023</v>
      </c>
      <c r="B9981" s="4" t="n">
        <v>4200</v>
      </c>
      <c r="C9981" s="4" t="n">
        <v>165</v>
      </c>
      <c r="D9981" s="4" t="n">
        <v>49.9125</v>
      </c>
      <c r="E9981" s="5" t="n">
        <v>84.09999999999999</v>
      </c>
      <c r="F9981" s="3" t="inlineStr">
        <is>
          <t>금남면</t>
        </is>
      </c>
      <c r="G9981" s="3" t="inlineStr">
        <is>
          <t>국곡리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금남면</t>
        </is>
      </c>
    </row>
    <row r="9982">
      <c r="A9982" s="3" t="n">
        <v>2023</v>
      </c>
      <c r="B9982" s="4" t="n">
        <v>83000</v>
      </c>
      <c r="C9982" s="4" t="n">
        <v>2578</v>
      </c>
      <c r="D9982" s="4" t="n">
        <v>779.845</v>
      </c>
      <c r="E9982" s="5" t="n">
        <v>106.4</v>
      </c>
      <c r="F9982" s="3" t="inlineStr">
        <is>
          <t>금남면</t>
        </is>
      </c>
      <c r="G9982" s="3" t="inlineStr">
        <is>
          <t>남곡리</t>
        </is>
      </c>
      <c r="H9982" s="3" t="inlineStr">
        <is>
          <t>개발제한구역</t>
        </is>
      </c>
      <c r="I9982" s="3" t="inlineStr">
        <is>
          <t>답</t>
        </is>
      </c>
      <c r="J9982" s="3" t="inlineStr">
        <is>
          <t>금남면</t>
        </is>
      </c>
    </row>
    <row r="9983">
      <c r="A9983" s="3" t="n">
        <v>2023</v>
      </c>
      <c r="B9983" s="4" t="n">
        <v>38000</v>
      </c>
      <c r="C9983" s="4" t="n">
        <v>1174</v>
      </c>
      <c r="D9983" s="4" t="n">
        <v>355.135</v>
      </c>
      <c r="E9983" s="5" t="n">
        <v>107</v>
      </c>
      <c r="F9983" s="3" t="inlineStr">
        <is>
          <t>금남면</t>
        </is>
      </c>
      <c r="G9983" s="3" t="inlineStr">
        <is>
          <t>남곡리</t>
        </is>
      </c>
      <c r="H9983" s="3" t="inlineStr">
        <is>
          <t>개발제한구역</t>
        </is>
      </c>
      <c r="I9983" s="3" t="inlineStr">
        <is>
          <t>답</t>
        </is>
      </c>
      <c r="J9983" s="3" t="inlineStr">
        <is>
          <t>금남면</t>
        </is>
      </c>
    </row>
    <row r="9984">
      <c r="A9984" s="3" t="n">
        <v>2023</v>
      </c>
      <c r="B9984" s="4" t="n">
        <v>61500</v>
      </c>
      <c r="C9984" s="4" t="n">
        <v>1997</v>
      </c>
      <c r="D9984" s="4" t="n">
        <v>604.0925</v>
      </c>
      <c r="E9984" s="5" t="n">
        <v>101.8</v>
      </c>
      <c r="F9984" s="3" t="inlineStr">
        <is>
          <t>금남면</t>
        </is>
      </c>
      <c r="G9984" s="3" t="inlineStr">
        <is>
          <t>남곡리</t>
        </is>
      </c>
      <c r="H9984" s="3" t="inlineStr">
        <is>
          <t>개발제한구역</t>
        </is>
      </c>
      <c r="I9984" s="3" t="inlineStr">
        <is>
          <t>답</t>
        </is>
      </c>
      <c r="J9984" s="3" t="inlineStr">
        <is>
          <t>금남면</t>
        </is>
      </c>
    </row>
    <row r="9985">
      <c r="A9985" s="3" t="n">
        <v>2023</v>
      </c>
      <c r="B9985" s="4" t="n">
        <v>14100</v>
      </c>
      <c r="C9985" s="4" t="n">
        <v>1041</v>
      </c>
      <c r="D9985" s="4" t="n">
        <v>314.9025</v>
      </c>
      <c r="E9985" s="5" t="n">
        <v>44.8</v>
      </c>
      <c r="F9985" s="3" t="inlineStr">
        <is>
          <t>전동면</t>
        </is>
      </c>
      <c r="G9985" s="3" t="inlineStr">
        <is>
          <t>청람리</t>
        </is>
      </c>
      <c r="H9985" s="3" t="inlineStr">
        <is>
          <t>농림지역</t>
        </is>
      </c>
      <c r="I9985" s="3" t="inlineStr">
        <is>
          <t>답</t>
        </is>
      </c>
      <c r="J9985" s="3" t="inlineStr">
        <is>
          <t>전동면</t>
        </is>
      </c>
    </row>
    <row r="9986">
      <c r="A9986" s="3" t="n">
        <v>2023</v>
      </c>
      <c r="B9986" s="4" t="n">
        <v>6800</v>
      </c>
      <c r="C9986" s="4" t="n">
        <v>684</v>
      </c>
      <c r="D9986" s="4" t="n">
        <v>206.91</v>
      </c>
      <c r="E9986" s="5" t="n">
        <v>32.9</v>
      </c>
      <c r="F9986" s="3" t="inlineStr">
        <is>
          <t>전동면</t>
        </is>
      </c>
      <c r="G9986" s="3" t="inlineStr">
        <is>
          <t>청람리</t>
        </is>
      </c>
      <c r="H9986" s="3" t="inlineStr">
        <is>
          <t>보전관리지역</t>
        </is>
      </c>
      <c r="I9986" s="3" t="inlineStr">
        <is>
          <t>답</t>
        </is>
      </c>
      <c r="J9986" s="3" t="inlineStr">
        <is>
          <t>전동면</t>
        </is>
      </c>
    </row>
    <row r="9987">
      <c r="A9987" s="3" t="n">
        <v>2023</v>
      </c>
      <c r="B9987" s="4" t="n">
        <v>4200</v>
      </c>
      <c r="C9987" s="4" t="n">
        <v>658</v>
      </c>
      <c r="D9987" s="4" t="n">
        <v>199.045</v>
      </c>
      <c r="E9987" s="5" t="n">
        <v>21.1</v>
      </c>
      <c r="F9987" s="3" t="inlineStr">
        <is>
          <t>전동면</t>
        </is>
      </c>
      <c r="G9987" s="3" t="inlineStr">
        <is>
          <t>청람리</t>
        </is>
      </c>
      <c r="H9987" s="3" t="inlineStr">
        <is>
          <t>보전관리지역</t>
        </is>
      </c>
      <c r="I9987" s="3" t="inlineStr">
        <is>
          <t>전</t>
        </is>
      </c>
      <c r="J9987" s="3" t="inlineStr">
        <is>
          <t>전동면</t>
        </is>
      </c>
    </row>
    <row r="9988">
      <c r="A9988" s="3" t="n">
        <v>2023</v>
      </c>
      <c r="B9988" s="4" t="n">
        <v>8800</v>
      </c>
      <c r="C9988" s="4" t="n">
        <v>1183</v>
      </c>
      <c r="D9988" s="4" t="n">
        <v>357.8575</v>
      </c>
      <c r="E9988" s="5" t="n">
        <v>24.6</v>
      </c>
      <c r="F9988" s="3" t="inlineStr">
        <is>
          <t>전동면</t>
        </is>
      </c>
      <c r="G9988" s="3" t="inlineStr">
        <is>
          <t>청람리</t>
        </is>
      </c>
      <c r="H9988" s="3" t="inlineStr">
        <is>
          <t>보전관리지역</t>
        </is>
      </c>
      <c r="I9988" s="3" t="inlineStr">
        <is>
          <t>전</t>
        </is>
      </c>
      <c r="J9988" s="3" t="inlineStr">
        <is>
          <t>전동면</t>
        </is>
      </c>
    </row>
    <row r="9989">
      <c r="A9989" s="3" t="n">
        <v>2023</v>
      </c>
      <c r="B9989" s="4" t="n">
        <v>12200</v>
      </c>
      <c r="C9989" s="4" t="n">
        <v>1640</v>
      </c>
      <c r="D9989" s="4" t="n">
        <v>496.1</v>
      </c>
      <c r="E9989" s="5" t="n">
        <v>24.6</v>
      </c>
      <c r="F9989" s="3" t="inlineStr">
        <is>
          <t>전동면</t>
        </is>
      </c>
      <c r="G9989" s="3" t="inlineStr">
        <is>
          <t>청람리</t>
        </is>
      </c>
      <c r="H9989" s="3" t="inlineStr">
        <is>
          <t>보전관리지역</t>
        </is>
      </c>
      <c r="I9989" s="3" t="inlineStr">
        <is>
          <t>답</t>
        </is>
      </c>
      <c r="J9989" s="3" t="inlineStr">
        <is>
          <t>전동면</t>
        </is>
      </c>
    </row>
    <row r="9990">
      <c r="A9990" s="3" t="n">
        <v>2023</v>
      </c>
      <c r="B9990" s="4" t="n">
        <v>13000</v>
      </c>
      <c r="C9990" s="4" t="n">
        <v>664</v>
      </c>
      <c r="D9990" s="4" t="n">
        <v>200.86</v>
      </c>
      <c r="E9990" s="5" t="n">
        <v>64.7</v>
      </c>
      <c r="F9990" s="3" t="inlineStr">
        <is>
          <t>연서면</t>
        </is>
      </c>
      <c r="G9990" s="3" t="inlineStr">
        <is>
          <t>쌍전리</t>
        </is>
      </c>
      <c r="H9990" s="3" t="inlineStr">
        <is>
          <t>자연녹지지역</t>
        </is>
      </c>
      <c r="I9990" s="3" t="inlineStr">
        <is>
          <t>전</t>
        </is>
      </c>
      <c r="J9990" s="3" t="inlineStr">
        <is>
          <t>연서면</t>
        </is>
      </c>
    </row>
    <row r="9991">
      <c r="A9991" s="3" t="n">
        <v>2023</v>
      </c>
      <c r="B9991" s="4" t="n">
        <v>21000</v>
      </c>
      <c r="C9991" s="4" t="n">
        <v>1015</v>
      </c>
      <c r="D9991" s="4" t="n">
        <v>307.0375</v>
      </c>
      <c r="E9991" s="5" t="n">
        <v>68.40000000000001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생산관리지역</t>
        </is>
      </c>
      <c r="I9991" s="3" t="inlineStr">
        <is>
          <t>전</t>
        </is>
      </c>
      <c r="J9991" s="3" t="inlineStr">
        <is>
          <t>연기면</t>
        </is>
      </c>
    </row>
    <row r="9992">
      <c r="A9992" s="3" t="n">
        <v>2023</v>
      </c>
      <c r="B9992" s="4" t="n">
        <v>82800</v>
      </c>
      <c r="C9992" s="4" t="n">
        <v>348</v>
      </c>
      <c r="D9992" s="4" t="n">
        <v>105.27</v>
      </c>
      <c r="E9992" s="5" t="n">
        <v>786.5</v>
      </c>
      <c r="F9992" s="3" t="inlineStr">
        <is>
          <t>도담동</t>
        </is>
      </c>
      <c r="G9992" s="3" t="inlineStr"/>
      <c r="H9992" s="3" t="inlineStr">
        <is>
          <t>제1종전용주거지역</t>
        </is>
      </c>
      <c r="I9992" s="3" t="inlineStr">
        <is>
          <t>대</t>
        </is>
      </c>
      <c r="J9992" s="3" t="inlineStr">
        <is>
          <t>도담동</t>
        </is>
      </c>
    </row>
    <row r="9993">
      <c r="A9993" s="3" t="n">
        <v>2023</v>
      </c>
      <c r="B9993" s="4" t="n">
        <v>3603</v>
      </c>
      <c r="C9993" s="4" t="n">
        <v>979</v>
      </c>
      <c r="D9993" s="4" t="n">
        <v>296.1475</v>
      </c>
      <c r="E9993" s="5" t="n">
        <v>12.2</v>
      </c>
      <c r="F9993" s="3" t="inlineStr">
        <is>
          <t>소정면</t>
        </is>
      </c>
      <c r="G9993" s="3" t="inlineStr">
        <is>
          <t>소정리</t>
        </is>
      </c>
      <c r="H9993" s="3" t="inlineStr">
        <is>
          <t>농림지역</t>
        </is>
      </c>
      <c r="I9993" s="3" t="inlineStr">
        <is>
          <t>답</t>
        </is>
      </c>
      <c r="J9993" s="3" t="inlineStr">
        <is>
          <t>소정면</t>
        </is>
      </c>
    </row>
    <row r="9994">
      <c r="A9994" s="3" t="n">
        <v>2023</v>
      </c>
      <c r="B9994" s="4" t="n">
        <v>25527</v>
      </c>
      <c r="C9994" s="4" t="n">
        <v>686</v>
      </c>
      <c r="D9994" s="4" t="n">
        <v>207.515</v>
      </c>
      <c r="E9994" s="5" t="n">
        <v>123</v>
      </c>
      <c r="F9994" s="3" t="inlineStr">
        <is>
          <t>장군면</t>
        </is>
      </c>
      <c r="G9994" s="3" t="inlineStr">
        <is>
          <t>송문리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장군면</t>
        </is>
      </c>
    </row>
    <row r="9995">
      <c r="A9995" s="3" t="n">
        <v>2023</v>
      </c>
      <c r="B9995" s="4" t="n">
        <v>30000</v>
      </c>
      <c r="C9995" s="4" t="n">
        <v>2185</v>
      </c>
      <c r="D9995" s="4" t="n">
        <v>660.9625</v>
      </c>
      <c r="E9995" s="5" t="n">
        <v>45.4</v>
      </c>
      <c r="F9995" s="3" t="inlineStr">
        <is>
          <t>부강면</t>
        </is>
      </c>
      <c r="G9995" s="3" t="inlineStr">
        <is>
          <t>노호리</t>
        </is>
      </c>
      <c r="H9995" s="3" t="inlineStr">
        <is>
          <t>계획관리지역</t>
        </is>
      </c>
      <c r="I9995" s="3" t="inlineStr">
        <is>
          <t>전</t>
        </is>
      </c>
      <c r="J9995" s="3" t="inlineStr">
        <is>
          <t>부강면</t>
        </is>
      </c>
    </row>
    <row r="9996">
      <c r="A9996" s="3" t="n">
        <v>2023</v>
      </c>
      <c r="B9996" s="4" t="n">
        <v>1950</v>
      </c>
      <c r="C9996" s="4" t="n">
        <v>297</v>
      </c>
      <c r="D9996" s="4" t="n">
        <v>89.8425</v>
      </c>
      <c r="E9996" s="5" t="n">
        <v>21.7</v>
      </c>
      <c r="F9996" s="3" t="inlineStr">
        <is>
          <t>전의면</t>
        </is>
      </c>
      <c r="G9996" s="3" t="inlineStr">
        <is>
          <t>양곡리</t>
        </is>
      </c>
      <c r="H9996" s="3" t="inlineStr">
        <is>
          <t>계획관리지역</t>
        </is>
      </c>
      <c r="I9996" s="3" t="inlineStr">
        <is>
          <t>도로</t>
        </is>
      </c>
      <c r="J9996" s="3" t="inlineStr">
        <is>
          <t>전의면</t>
        </is>
      </c>
    </row>
    <row r="9997">
      <c r="A9997" s="3" t="n">
        <v>2023</v>
      </c>
      <c r="B9997" s="4" t="n">
        <v>2600</v>
      </c>
      <c r="C9997" s="4" t="n">
        <v>131</v>
      </c>
      <c r="D9997" s="4" t="n">
        <v>39.6275</v>
      </c>
      <c r="E9997" s="5" t="n">
        <v>65.59999999999999</v>
      </c>
      <c r="F9997" s="3" t="inlineStr">
        <is>
          <t>전의면</t>
        </is>
      </c>
      <c r="G9997" s="3" t="inlineStr">
        <is>
          <t>양곡리</t>
        </is>
      </c>
      <c r="H9997" s="3" t="inlineStr">
        <is>
          <t>계획관리지역</t>
        </is>
      </c>
      <c r="I9997" s="3" t="inlineStr">
        <is>
          <t>전</t>
        </is>
      </c>
      <c r="J9997" s="3" t="inlineStr">
        <is>
          <t>전의면</t>
        </is>
      </c>
    </row>
    <row r="9998">
      <c r="A9998" s="3" t="n">
        <v>2023</v>
      </c>
      <c r="B9998" s="4" t="n">
        <v>60450</v>
      </c>
      <c r="C9998" s="4" t="n">
        <v>1792</v>
      </c>
      <c r="D9998" s="4" t="n">
        <v>542.0799999999999</v>
      </c>
      <c r="E9998" s="5" t="n">
        <v>111.5</v>
      </c>
      <c r="F9998" s="3" t="inlineStr">
        <is>
          <t>전의면</t>
        </is>
      </c>
      <c r="G9998" s="3" t="inlineStr">
        <is>
          <t>양곡리</t>
        </is>
      </c>
      <c r="H9998" s="3" t="inlineStr">
        <is>
          <t>계획관리지역</t>
        </is>
      </c>
      <c r="I9998" s="3" t="inlineStr">
        <is>
          <t>전</t>
        </is>
      </c>
      <c r="J9998" s="3" t="inlineStr">
        <is>
          <t>전의면</t>
        </is>
      </c>
    </row>
    <row r="9999">
      <c r="A9999" s="3" t="n">
        <v>2023</v>
      </c>
      <c r="B9999" s="4" t="n">
        <v>6000</v>
      </c>
      <c r="C9999" s="4" t="n">
        <v>400</v>
      </c>
      <c r="D9999" s="4" t="n">
        <v>121</v>
      </c>
      <c r="E9999" s="5" t="n">
        <v>49.6</v>
      </c>
      <c r="F9999" s="3" t="inlineStr">
        <is>
          <t>연서면</t>
        </is>
      </c>
      <c r="G9999" s="3" t="inlineStr">
        <is>
          <t>쌍전리</t>
        </is>
      </c>
      <c r="H9999" s="3" t="inlineStr">
        <is>
          <t>자연녹지지역</t>
        </is>
      </c>
      <c r="I9999" s="3" t="inlineStr">
        <is>
          <t>전</t>
        </is>
      </c>
      <c r="J9999" s="3" t="inlineStr">
        <is>
          <t>연서면</t>
        </is>
      </c>
    </row>
    <row r="10000">
      <c r="A10000" s="3" t="n">
        <v>2023</v>
      </c>
      <c r="B10000" s="4" t="n">
        <v>13500</v>
      </c>
      <c r="C10000" s="4" t="n">
        <v>420</v>
      </c>
      <c r="D10000" s="4" t="n">
        <v>127.05</v>
      </c>
      <c r="E10000" s="5" t="n">
        <v>106.3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금남면</t>
        </is>
      </c>
    </row>
    <row r="10001">
      <c r="A10001" s="3" t="n">
        <v>2023</v>
      </c>
      <c r="B10001" s="4" t="n">
        <v>2000</v>
      </c>
      <c r="C10001" s="4" t="n">
        <v>200</v>
      </c>
      <c r="D10001" s="4" t="n">
        <v>60.5</v>
      </c>
      <c r="E10001" s="5" t="n">
        <v>33.1</v>
      </c>
      <c r="F10001" s="3" t="inlineStr">
        <is>
          <t>금남면</t>
        </is>
      </c>
      <c r="G10001" s="3" t="inlineStr">
        <is>
          <t>도남리</t>
        </is>
      </c>
      <c r="H10001" s="3" t="inlineStr">
        <is>
          <t>계획관리지역</t>
        </is>
      </c>
      <c r="I10001" s="3" t="inlineStr">
        <is>
          <t>도로</t>
        </is>
      </c>
      <c r="J10001" s="3" t="inlineStr">
        <is>
          <t>금남면</t>
        </is>
      </c>
    </row>
    <row r="10002">
      <c r="A10002" s="3" t="n">
        <v>2023</v>
      </c>
      <c r="B10002" s="4" t="n">
        <v>10000</v>
      </c>
      <c r="C10002" s="4" t="n">
        <v>1015</v>
      </c>
      <c r="D10002" s="4" t="n">
        <v>307.0375</v>
      </c>
      <c r="E10002" s="5" t="n">
        <v>32.6</v>
      </c>
      <c r="F10002" s="3" t="inlineStr">
        <is>
          <t>전의면</t>
        </is>
      </c>
      <c r="G10002" s="3" t="inlineStr">
        <is>
          <t>유천리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전의면</t>
        </is>
      </c>
    </row>
    <row r="10003">
      <c r="A10003" s="3" t="n">
        <v>2023</v>
      </c>
      <c r="B10003" s="4" t="n">
        <v>17960</v>
      </c>
      <c r="C10003" s="4" t="n">
        <v>1700</v>
      </c>
      <c r="D10003" s="4" t="n">
        <v>514.25</v>
      </c>
      <c r="E10003" s="5" t="n">
        <v>34.9</v>
      </c>
      <c r="F10003" s="3" t="inlineStr">
        <is>
          <t>금남면</t>
        </is>
      </c>
      <c r="G10003" s="3" t="inlineStr">
        <is>
          <t>신촌리</t>
        </is>
      </c>
      <c r="H10003" s="3" t="inlineStr">
        <is>
          <t>자연녹지지역</t>
        </is>
      </c>
      <c r="I10003" s="3" t="inlineStr">
        <is>
          <t>임야</t>
        </is>
      </c>
      <c r="J10003" s="3" t="inlineStr">
        <is>
          <t>금남면</t>
        </is>
      </c>
    </row>
    <row r="10004">
      <c r="A10004" s="3" t="n">
        <v>2023</v>
      </c>
      <c r="B10004" s="4" t="n">
        <v>89</v>
      </c>
      <c r="C10004" s="4" t="n">
        <v>7</v>
      </c>
      <c r="D10004" s="4" t="n">
        <v>2.1175</v>
      </c>
      <c r="E10004" s="5" t="n">
        <v>42</v>
      </c>
      <c r="F10004" s="3" t="inlineStr">
        <is>
          <t>전의면</t>
        </is>
      </c>
      <c r="G10004" s="3" t="inlineStr">
        <is>
          <t>유천리</t>
        </is>
      </c>
      <c r="H10004" s="3" t="inlineStr">
        <is>
          <t>생산관리지역</t>
        </is>
      </c>
      <c r="I10004" s="3" t="inlineStr">
        <is>
          <t>답</t>
        </is>
      </c>
      <c r="J10004" s="3" t="inlineStr">
        <is>
          <t>전의면</t>
        </is>
      </c>
    </row>
    <row r="10005">
      <c r="A10005" s="3" t="n">
        <v>2025</v>
      </c>
      <c r="B10005" s="4" t="n">
        <v>8400</v>
      </c>
      <c r="C10005" s="4" t="n">
        <v>181</v>
      </c>
      <c r="D10005" s="4" t="n">
        <v>54.7525</v>
      </c>
      <c r="E10005" s="5" t="n">
        <v>153.4</v>
      </c>
      <c r="F10005" s="3" t="inlineStr">
        <is>
          <t>금남면</t>
        </is>
      </c>
      <c r="G10005" s="3" t="inlineStr">
        <is>
          <t>원봉리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금남면</t>
        </is>
      </c>
    </row>
    <row r="10006">
      <c r="A10006" s="3" t="n">
        <v>2026</v>
      </c>
      <c r="B10006" s="4" t="n">
        <v>22723</v>
      </c>
      <c r="C10006" s="4" t="n">
        <v>2423</v>
      </c>
      <c r="D10006" s="4" t="n">
        <v>732.9575</v>
      </c>
      <c r="E10006" s="5" t="n">
        <v>31</v>
      </c>
      <c r="F10006" s="3" t="inlineStr">
        <is>
          <t>전의면</t>
        </is>
      </c>
      <c r="G10006" s="3" t="inlineStr">
        <is>
          <t>유천리</t>
        </is>
      </c>
      <c r="H10006" s="3" t="inlineStr">
        <is>
          <t>계획관리지역</t>
        </is>
      </c>
      <c r="I10006" s="3" t="inlineStr">
        <is>
          <t>답</t>
        </is>
      </c>
      <c r="J10006" s="3" t="inlineStr">
        <is>
          <t>전의면</t>
        </is>
      </c>
    </row>
    <row r="10007">
      <c r="A10007" s="3" t="n">
        <v>2026</v>
      </c>
      <c r="B10007" s="4" t="n">
        <v>2980</v>
      </c>
      <c r="C10007" s="4" t="n">
        <v>988</v>
      </c>
      <c r="D10007" s="4" t="n">
        <v>298.87</v>
      </c>
      <c r="E10007" s="5" t="n">
        <v>10</v>
      </c>
      <c r="F10007" s="3" t="inlineStr">
        <is>
          <t>부강면</t>
        </is>
      </c>
      <c r="G10007" s="3" t="inlineStr">
        <is>
          <t>문곡리</t>
        </is>
      </c>
      <c r="H10007" s="3" t="inlineStr">
        <is>
          <t>계획관리지역</t>
        </is>
      </c>
      <c r="I10007" s="3" t="inlineStr">
        <is>
          <t>전</t>
        </is>
      </c>
      <c r="J10007" s="3" t="inlineStr">
        <is>
          <t>부강면</t>
        </is>
      </c>
    </row>
    <row r="10008">
      <c r="A10008" s="3" t="n">
        <v>2023</v>
      </c>
      <c r="B10008" s="4" t="n">
        <v>21444</v>
      </c>
      <c r="C10008" s="4" t="n">
        <v>1564</v>
      </c>
      <c r="D10008" s="4" t="n">
        <v>473.11</v>
      </c>
      <c r="E10008" s="5" t="n">
        <v>45.3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전의면</t>
        </is>
      </c>
    </row>
    <row r="10009">
      <c r="A10009" s="3" t="n">
        <v>2023</v>
      </c>
      <c r="B10009" s="4" t="n">
        <v>10612</v>
      </c>
      <c r="C10009" s="4" t="n">
        <v>774</v>
      </c>
      <c r="D10009" s="4" t="n">
        <v>234.135</v>
      </c>
      <c r="E10009" s="5" t="n">
        <v>45.3</v>
      </c>
      <c r="F10009" s="3" t="inlineStr">
        <is>
          <t>전의면</t>
        </is>
      </c>
      <c r="G10009" s="3" t="inlineStr">
        <is>
          <t>유천리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전의면</t>
        </is>
      </c>
    </row>
    <row r="10010">
      <c r="A10010" s="3" t="n">
        <v>2023</v>
      </c>
      <c r="B10010" s="4" t="n">
        <v>765</v>
      </c>
      <c r="C10010" s="4" t="n">
        <v>60</v>
      </c>
      <c r="D10010" s="4" t="n">
        <v>18.15</v>
      </c>
      <c r="E10010" s="5" t="n">
        <v>42.1</v>
      </c>
      <c r="F10010" s="3" t="inlineStr">
        <is>
          <t>전의면</t>
        </is>
      </c>
      <c r="G10010" s="3" t="inlineStr">
        <is>
          <t>유천리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전의면</t>
        </is>
      </c>
    </row>
    <row r="10011">
      <c r="A10011" s="3" t="n">
        <v>2023</v>
      </c>
      <c r="B10011" s="4" t="n">
        <v>10920</v>
      </c>
      <c r="C10011" s="4" t="n">
        <v>813</v>
      </c>
      <c r="D10011" s="4" t="n">
        <v>245.9325</v>
      </c>
      <c r="E10011" s="5" t="n">
        <v>44.4</v>
      </c>
      <c r="F10011" s="3" t="inlineStr">
        <is>
          <t>전의면</t>
        </is>
      </c>
      <c r="G10011" s="3" t="inlineStr">
        <is>
          <t>유천리</t>
        </is>
      </c>
      <c r="H10011" s="3" t="inlineStr">
        <is>
          <t>생산관리지역</t>
        </is>
      </c>
      <c r="I10011" s="3" t="inlineStr">
        <is>
          <t>답</t>
        </is>
      </c>
      <c r="J10011" s="3" t="inlineStr">
        <is>
          <t>전의면</t>
        </is>
      </c>
    </row>
    <row r="10012">
      <c r="A10012" s="3" t="n">
        <v>2023</v>
      </c>
      <c r="B10012" s="4" t="n">
        <v>35140</v>
      </c>
      <c r="C10012" s="4" t="n">
        <v>1452</v>
      </c>
      <c r="D10012" s="4" t="n">
        <v>439.23</v>
      </c>
      <c r="E10012" s="5" t="n">
        <v>80</v>
      </c>
      <c r="F10012" s="3" t="inlineStr">
        <is>
          <t>장군면</t>
        </is>
      </c>
      <c r="G10012" s="3" t="inlineStr">
        <is>
          <t>금암리</t>
        </is>
      </c>
      <c r="H10012" s="3" t="inlineStr">
        <is>
          <t>농림지역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2023</v>
      </c>
      <c r="B10013" s="4" t="n">
        <v>32000</v>
      </c>
      <c r="C10013" s="4" t="n">
        <v>540</v>
      </c>
      <c r="D10013" s="4" t="n">
        <v>163.35</v>
      </c>
      <c r="E10013" s="5" t="n">
        <v>195.9</v>
      </c>
      <c r="F10013" s="3" t="inlineStr">
        <is>
          <t>금남면</t>
        </is>
      </c>
      <c r="G10013" s="3" t="inlineStr">
        <is>
          <t>원봉리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금남면</t>
        </is>
      </c>
    </row>
    <row r="10014">
      <c r="A10014" s="3" t="n">
        <v>2023</v>
      </c>
      <c r="B10014" s="4" t="n">
        <v>33000</v>
      </c>
      <c r="C10014" s="4" t="n">
        <v>570</v>
      </c>
      <c r="D10014" s="4" t="n">
        <v>172.425</v>
      </c>
      <c r="E10014" s="5" t="n">
        <v>191.4</v>
      </c>
      <c r="F10014" s="3" t="inlineStr">
        <is>
          <t>금남면</t>
        </is>
      </c>
      <c r="G10014" s="3" t="inlineStr">
        <is>
          <t>원봉리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2023</v>
      </c>
      <c r="B10015" s="4" t="n">
        <v>26100</v>
      </c>
      <c r="C10015" s="4" t="n">
        <v>450</v>
      </c>
      <c r="D10015" s="4" t="n">
        <v>136.125</v>
      </c>
      <c r="E10015" s="5" t="n">
        <v>191.7</v>
      </c>
      <c r="F10015" s="3" t="inlineStr">
        <is>
          <t>금남면</t>
        </is>
      </c>
      <c r="G10015" s="3" t="inlineStr">
        <is>
          <t>원봉리</t>
        </is>
      </c>
      <c r="H10015" s="3" t="inlineStr">
        <is>
          <t>보전관리지역</t>
        </is>
      </c>
      <c r="I10015" s="3" t="inlineStr">
        <is>
          <t>임야</t>
        </is>
      </c>
      <c r="J10015" s="3" t="inlineStr">
        <is>
          <t>금남면</t>
        </is>
      </c>
    </row>
    <row r="10016">
      <c r="A10016" s="3" t="n">
        <v>2023</v>
      </c>
      <c r="B10016" s="4" t="n">
        <v>31000</v>
      </c>
      <c r="C10016" s="4" t="n">
        <v>405</v>
      </c>
      <c r="D10016" s="4" t="n">
        <v>122.5125</v>
      </c>
      <c r="E10016" s="5" t="n">
        <v>253</v>
      </c>
      <c r="F10016" s="3" t="inlineStr">
        <is>
          <t>연서면</t>
        </is>
      </c>
      <c r="G10016" s="3" t="inlineStr">
        <is>
          <t>와촌리</t>
        </is>
      </c>
      <c r="H10016" s="3" t="inlineStr">
        <is>
          <t>계획관리지역</t>
        </is>
      </c>
      <c r="I10016" s="3" t="inlineStr">
        <is>
          <t>전</t>
        </is>
      </c>
      <c r="J10016" s="3" t="inlineStr">
        <is>
          <t>연서면</t>
        </is>
      </c>
    </row>
    <row r="10017">
      <c r="A10017" s="3" t="n">
        <v>2023</v>
      </c>
      <c r="B10017" s="4" t="n">
        <v>2440</v>
      </c>
      <c r="C10017" s="4" t="n">
        <v>405</v>
      </c>
      <c r="D10017" s="4" t="n">
        <v>122.5125</v>
      </c>
      <c r="E10017" s="5" t="n">
        <v>19.9</v>
      </c>
      <c r="F10017" s="3" t="inlineStr">
        <is>
          <t>전동면</t>
        </is>
      </c>
      <c r="G10017" s="3" t="inlineStr">
        <is>
          <t>보덕리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전동면</t>
        </is>
      </c>
    </row>
    <row r="10018">
      <c r="A10018" s="3" t="n">
        <v>2023</v>
      </c>
      <c r="B10018" s="4" t="n">
        <v>48000</v>
      </c>
      <c r="C10018" s="4" t="n">
        <v>984</v>
      </c>
      <c r="D10018" s="4" t="n">
        <v>297.66</v>
      </c>
      <c r="E10018" s="5" t="n">
        <v>161.3</v>
      </c>
      <c r="F10018" s="3" t="inlineStr">
        <is>
          <t>전의면</t>
        </is>
      </c>
      <c r="G10018" s="3" t="inlineStr">
        <is>
          <t>동교리</t>
        </is>
      </c>
      <c r="H10018" s="3" t="inlineStr">
        <is>
          <t>자연녹지지역</t>
        </is>
      </c>
      <c r="I10018" s="3" t="inlineStr">
        <is>
          <t>답</t>
        </is>
      </c>
      <c r="J10018" s="3" t="inlineStr">
        <is>
          <t>전의면</t>
        </is>
      </c>
    </row>
    <row r="10019">
      <c r="A10019" s="3" t="n">
        <v>2023</v>
      </c>
      <c r="B10019" s="4" t="n">
        <v>30000</v>
      </c>
      <c r="C10019" s="4" t="n">
        <v>1241</v>
      </c>
      <c r="D10019" s="4" t="n">
        <v>375.4025</v>
      </c>
      <c r="E10019" s="5" t="n">
        <v>79.90000000000001</v>
      </c>
      <c r="F10019" s="3" t="inlineStr">
        <is>
          <t>장군면</t>
        </is>
      </c>
      <c r="G10019" s="3" t="inlineStr">
        <is>
          <t>하봉리</t>
        </is>
      </c>
      <c r="H10019" s="3" t="inlineStr">
        <is>
          <t>계획관리지역</t>
        </is>
      </c>
      <c r="I10019" s="3" t="inlineStr">
        <is>
          <t>답</t>
        </is>
      </c>
      <c r="J10019" s="3" t="inlineStr">
        <is>
          <t>장군면</t>
        </is>
      </c>
    </row>
    <row r="10020">
      <c r="A10020" s="3" t="n">
        <v>2023</v>
      </c>
      <c r="B10020" s="4" t="n">
        <v>12675</v>
      </c>
      <c r="C10020" s="4" t="n">
        <v>280</v>
      </c>
      <c r="D10020" s="4" t="n">
        <v>84.7</v>
      </c>
      <c r="E10020" s="5" t="n">
        <v>149.6</v>
      </c>
      <c r="F10020" s="3" t="inlineStr">
        <is>
          <t>전의면</t>
        </is>
      </c>
      <c r="G10020" s="3" t="inlineStr">
        <is>
          <t>서정리</t>
        </is>
      </c>
      <c r="H10020" s="3" t="inlineStr">
        <is>
          <t>계획관리지역</t>
        </is>
      </c>
      <c r="I10020" s="3" t="inlineStr">
        <is>
          <t>대</t>
        </is>
      </c>
      <c r="J10020" s="3" t="inlineStr">
        <is>
          <t>전의면</t>
        </is>
      </c>
    </row>
    <row r="10021">
      <c r="A10021" s="3" t="n">
        <v>2023</v>
      </c>
      <c r="B10021" s="4" t="n">
        <v>10865</v>
      </c>
      <c r="C10021" s="4" t="n">
        <v>240</v>
      </c>
      <c r="D10021" s="4" t="n">
        <v>72.59999999999999</v>
      </c>
      <c r="E10021" s="5" t="n">
        <v>149.7</v>
      </c>
      <c r="F10021" s="3" t="inlineStr">
        <is>
          <t>전의면</t>
        </is>
      </c>
      <c r="G10021" s="3" t="inlineStr">
        <is>
          <t>서정리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전의면</t>
        </is>
      </c>
    </row>
    <row r="10022">
      <c r="A10022" s="3" t="n">
        <v>2023</v>
      </c>
      <c r="B10022" s="4" t="n">
        <v>56900</v>
      </c>
      <c r="C10022" s="4" t="n">
        <v>2889</v>
      </c>
      <c r="D10022" s="4" t="n">
        <v>873.9225</v>
      </c>
      <c r="E10022" s="5" t="n">
        <v>65.09999999999999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생산관리지역</t>
        </is>
      </c>
      <c r="I10022" s="3" t="inlineStr">
        <is>
          <t>답</t>
        </is>
      </c>
      <c r="J10022" s="3" t="inlineStr">
        <is>
          <t>연서면</t>
        </is>
      </c>
    </row>
    <row r="10023">
      <c r="A10023" s="3" t="n">
        <v>2023</v>
      </c>
      <c r="B10023" s="4" t="n">
        <v>46000</v>
      </c>
      <c r="C10023" s="4" t="n">
        <v>295.1</v>
      </c>
      <c r="D10023" s="4" t="n">
        <v>89.26775000000001</v>
      </c>
      <c r="E10023" s="5" t="n">
        <v>515.3</v>
      </c>
      <c r="F10023" s="3" t="inlineStr">
        <is>
          <t>고운동</t>
        </is>
      </c>
      <c r="G10023" s="3" t="inlineStr"/>
      <c r="H10023" s="3" t="inlineStr">
        <is>
          <t>제1종전용주거지역</t>
        </is>
      </c>
      <c r="I10023" s="3" t="inlineStr">
        <is>
          <t>대</t>
        </is>
      </c>
      <c r="J10023" s="3" t="inlineStr">
        <is>
          <t>고운동</t>
        </is>
      </c>
    </row>
    <row r="10024">
      <c r="A10024" s="3" t="n">
        <v>2023</v>
      </c>
      <c r="B10024" s="4" t="n">
        <v>61650</v>
      </c>
      <c r="C10024" s="4" t="n">
        <v>2265</v>
      </c>
      <c r="D10024" s="4" t="n">
        <v>685.1625</v>
      </c>
      <c r="E10024" s="5" t="n">
        <v>90</v>
      </c>
      <c r="F10024" s="3" t="inlineStr">
        <is>
          <t>연서면</t>
        </is>
      </c>
      <c r="G10024" s="3" t="inlineStr">
        <is>
          <t>국촌리</t>
        </is>
      </c>
      <c r="H10024" s="3" t="inlineStr">
        <is>
          <t>농림지역</t>
        </is>
      </c>
      <c r="I10024" s="3" t="inlineStr">
        <is>
          <t>과수원</t>
        </is>
      </c>
      <c r="J10024" s="3" t="inlineStr">
        <is>
          <t>연서면</t>
        </is>
      </c>
    </row>
    <row r="10025">
      <c r="A10025" s="3" t="n">
        <v>2023</v>
      </c>
      <c r="B10025" s="4" t="n">
        <v>36000</v>
      </c>
      <c r="C10025" s="4" t="n">
        <v>1041</v>
      </c>
      <c r="D10025" s="4" t="n">
        <v>314.9025</v>
      </c>
      <c r="E10025" s="5" t="n">
        <v>114.3</v>
      </c>
      <c r="F10025" s="3" t="inlineStr">
        <is>
          <t>연서면</t>
        </is>
      </c>
      <c r="G10025" s="3" t="inlineStr">
        <is>
          <t>봉암리</t>
        </is>
      </c>
      <c r="H10025" s="3" t="inlineStr">
        <is>
          <t>농림지역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2023</v>
      </c>
      <c r="B10026" s="4" t="n">
        <v>35000</v>
      </c>
      <c r="C10026" s="4" t="n">
        <v>489</v>
      </c>
      <c r="D10026" s="4" t="n">
        <v>147.9225</v>
      </c>
      <c r="E10026" s="5" t="n">
        <v>236.6</v>
      </c>
      <c r="F10026" s="3" t="inlineStr">
        <is>
          <t>금남면</t>
        </is>
      </c>
      <c r="G10026" s="3" t="inlineStr">
        <is>
          <t>도남리</t>
        </is>
      </c>
      <c r="H10026" s="3" t="inlineStr">
        <is>
          <t>계획관리지역</t>
        </is>
      </c>
      <c r="I10026" s="3" t="inlineStr">
        <is>
          <t>대</t>
        </is>
      </c>
      <c r="J10026" s="3" t="inlineStr">
        <is>
          <t>금남면</t>
        </is>
      </c>
    </row>
    <row r="10027">
      <c r="A10027" s="3" t="n">
        <v>2023</v>
      </c>
      <c r="B10027" s="4" t="n">
        <v>14668</v>
      </c>
      <c r="C10027" s="4" t="n">
        <v>549</v>
      </c>
      <c r="D10027" s="4" t="n">
        <v>166.0725</v>
      </c>
      <c r="E10027" s="5" t="n">
        <v>88.3</v>
      </c>
      <c r="F10027" s="3" t="inlineStr">
        <is>
          <t>전의면</t>
        </is>
      </c>
      <c r="G10027" s="3" t="inlineStr">
        <is>
          <t>서정리</t>
        </is>
      </c>
      <c r="H10027" s="3" t="inlineStr">
        <is>
          <t>계획관리지역</t>
        </is>
      </c>
      <c r="I10027" s="3" t="inlineStr">
        <is>
          <t>대</t>
        </is>
      </c>
      <c r="J10027" s="3" t="inlineStr">
        <is>
          <t>전의면</t>
        </is>
      </c>
    </row>
    <row r="10028">
      <c r="A10028" s="3" t="n">
        <v>2023</v>
      </c>
      <c r="B10028" s="4" t="n">
        <v>32</v>
      </c>
      <c r="C10028" s="4" t="n">
        <v>1</v>
      </c>
      <c r="D10028" s="4" t="n">
        <v>0.3025</v>
      </c>
      <c r="E10028" s="5" t="n">
        <v>105.8</v>
      </c>
      <c r="F10028" s="3" t="inlineStr">
        <is>
          <t>전의면</t>
        </is>
      </c>
      <c r="G10028" s="3" t="inlineStr">
        <is>
          <t>서정리</t>
        </is>
      </c>
      <c r="H10028" s="3" t="inlineStr">
        <is>
          <t>계획관리지역</t>
        </is>
      </c>
      <c r="I10028" s="3" t="inlineStr">
        <is>
          <t>대</t>
        </is>
      </c>
      <c r="J10028" s="3" t="inlineStr">
        <is>
          <t>전의면</t>
        </is>
      </c>
    </row>
    <row r="10029">
      <c r="A10029" s="3" t="n">
        <v>2023</v>
      </c>
      <c r="B10029" s="4" t="n">
        <v>22650</v>
      </c>
      <c r="C10029" s="4" t="n">
        <v>500</v>
      </c>
      <c r="D10029" s="4" t="n">
        <v>151.25</v>
      </c>
      <c r="E10029" s="5" t="n">
        <v>149.8</v>
      </c>
      <c r="F10029" s="3" t="inlineStr">
        <is>
          <t>전의면</t>
        </is>
      </c>
      <c r="G10029" s="3" t="inlineStr">
        <is>
          <t>서정리</t>
        </is>
      </c>
      <c r="H10029" s="3" t="inlineStr">
        <is>
          <t>계획관리지역</t>
        </is>
      </c>
      <c r="I10029" s="3" t="inlineStr">
        <is>
          <t>대</t>
        </is>
      </c>
      <c r="J10029" s="3" t="inlineStr">
        <is>
          <t>전의면</t>
        </is>
      </c>
    </row>
    <row r="10030">
      <c r="A10030" s="3" t="n">
        <v>2023</v>
      </c>
      <c r="B10030" s="4" t="n">
        <v>13640</v>
      </c>
      <c r="C10030" s="4" t="n">
        <v>500</v>
      </c>
      <c r="D10030" s="4" t="n">
        <v>151.25</v>
      </c>
      <c r="E10030" s="5" t="n">
        <v>90.2</v>
      </c>
      <c r="F10030" s="3" t="inlineStr">
        <is>
          <t>전의면</t>
        </is>
      </c>
      <c r="G10030" s="3" t="inlineStr">
        <is>
          <t>서정리</t>
        </is>
      </c>
      <c r="H10030" s="3" t="inlineStr">
        <is>
          <t>농림지역</t>
        </is>
      </c>
      <c r="I10030" s="3" t="inlineStr">
        <is>
          <t>대</t>
        </is>
      </c>
      <c r="J10030" s="3" t="inlineStr">
        <is>
          <t>전의면</t>
        </is>
      </c>
    </row>
    <row r="10031">
      <c r="A10031" s="3" t="n">
        <v>2023</v>
      </c>
      <c r="B10031" s="4" t="n">
        <v>16410</v>
      </c>
      <c r="C10031" s="4" t="n">
        <v>162</v>
      </c>
      <c r="D10031" s="4" t="n">
        <v>49.005</v>
      </c>
      <c r="E10031" s="5" t="n">
        <v>334.9</v>
      </c>
      <c r="F10031" s="3" t="inlineStr">
        <is>
          <t>반곡동</t>
        </is>
      </c>
      <c r="G10031" s="3" t="inlineStr"/>
      <c r="H10031" s="3" t="inlineStr">
        <is>
          <t>제1종전용주거지역</t>
        </is>
      </c>
      <c r="I10031" s="3" t="inlineStr">
        <is>
          <t>대</t>
        </is>
      </c>
      <c r="J10031" s="3" t="inlineStr">
        <is>
          <t>반곡동</t>
        </is>
      </c>
    </row>
    <row r="10032">
      <c r="A10032" s="3" t="n">
        <v>2023</v>
      </c>
      <c r="B10032" s="4" t="n">
        <v>3400</v>
      </c>
      <c r="C10032" s="4" t="n">
        <v>577</v>
      </c>
      <c r="D10032" s="4" t="n">
        <v>174.5425</v>
      </c>
      <c r="E10032" s="5" t="n">
        <v>19.5</v>
      </c>
      <c r="F10032" s="3" t="inlineStr">
        <is>
          <t>전동면</t>
        </is>
      </c>
      <c r="G10032" s="3" t="inlineStr">
        <is>
          <t>봉대리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전동면</t>
        </is>
      </c>
    </row>
    <row r="10033">
      <c r="A10033" s="3" t="n">
        <v>2023</v>
      </c>
      <c r="B10033" s="4" t="n">
        <v>10590</v>
      </c>
      <c r="C10033" s="4" t="n">
        <v>1735</v>
      </c>
      <c r="D10033" s="4" t="n">
        <v>524.8375</v>
      </c>
      <c r="E10033" s="5" t="n">
        <v>20.2</v>
      </c>
      <c r="F10033" s="3" t="inlineStr">
        <is>
          <t>금남면</t>
        </is>
      </c>
      <c r="G10033" s="3" t="inlineStr">
        <is>
          <t>도암리</t>
        </is>
      </c>
      <c r="H10033" s="3" t="inlineStr">
        <is>
          <t>생산관리지역</t>
        </is>
      </c>
      <c r="I10033" s="3" t="inlineStr">
        <is>
          <t>임야</t>
        </is>
      </c>
      <c r="J10033" s="3" t="inlineStr">
        <is>
          <t>금남면</t>
        </is>
      </c>
    </row>
    <row r="10034">
      <c r="A10034" s="3" t="n">
        <v>2023</v>
      </c>
      <c r="B10034" s="4" t="n">
        <v>1410</v>
      </c>
      <c r="C10034" s="4" t="n">
        <v>254</v>
      </c>
      <c r="D10034" s="4" t="n">
        <v>76.83499999999999</v>
      </c>
      <c r="E10034" s="5" t="n">
        <v>18.4</v>
      </c>
      <c r="F10034" s="3" t="inlineStr">
        <is>
          <t>금남면</t>
        </is>
      </c>
      <c r="G10034" s="3" t="inlineStr">
        <is>
          <t>도암리</t>
        </is>
      </c>
      <c r="H10034" s="3" t="inlineStr">
        <is>
          <t>생산관리지역</t>
        </is>
      </c>
      <c r="I10034" s="3" t="inlineStr">
        <is>
          <t>임야</t>
        </is>
      </c>
      <c r="J10034" s="3" t="inlineStr">
        <is>
          <t>금남면</t>
        </is>
      </c>
    </row>
    <row r="10035">
      <c r="A10035" s="3" t="n">
        <v>2024</v>
      </c>
      <c r="B10035" s="4" t="n">
        <v>8000</v>
      </c>
      <c r="C10035" s="4" t="n">
        <v>1220</v>
      </c>
      <c r="D10035" s="4" t="n">
        <v>369.05</v>
      </c>
      <c r="E10035" s="5" t="n">
        <v>21.7</v>
      </c>
      <c r="F10035" s="3" t="inlineStr">
        <is>
          <t>전동면</t>
        </is>
      </c>
      <c r="G10035" s="3" t="inlineStr">
        <is>
          <t>청람리</t>
        </is>
      </c>
      <c r="H10035" s="3" t="inlineStr">
        <is>
          <t>생산관리지역</t>
        </is>
      </c>
      <c r="I10035" s="3" t="inlineStr">
        <is>
          <t>전</t>
        </is>
      </c>
      <c r="J10035" s="3" t="inlineStr">
        <is>
          <t>전동면</t>
        </is>
      </c>
    </row>
    <row r="10036">
      <c r="A10036" s="3" t="n">
        <v>2024</v>
      </c>
      <c r="B10036" s="4" t="n">
        <v>8746</v>
      </c>
      <c r="C10036" s="4" t="n">
        <v>1653</v>
      </c>
      <c r="D10036" s="4" t="n">
        <v>500.0325</v>
      </c>
      <c r="E10036" s="5" t="n">
        <v>17.5</v>
      </c>
      <c r="F10036" s="3" t="inlineStr">
        <is>
          <t>전의면</t>
        </is>
      </c>
      <c r="G10036" s="3" t="inlineStr">
        <is>
          <t>신정리</t>
        </is>
      </c>
      <c r="H10036" s="3" t="inlineStr">
        <is>
          <t>계획관리지역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2024</v>
      </c>
      <c r="B10037" s="4" t="n">
        <v>39900</v>
      </c>
      <c r="C10037" s="4" t="n">
        <v>1653</v>
      </c>
      <c r="D10037" s="4" t="n">
        <v>500.0325</v>
      </c>
      <c r="E10037" s="5" t="n">
        <v>79.8</v>
      </c>
      <c r="F10037" s="3" t="inlineStr">
        <is>
          <t>전의면</t>
        </is>
      </c>
      <c r="G10037" s="3" t="inlineStr">
        <is>
          <t>신정리</t>
        </is>
      </c>
      <c r="H10037" s="3" t="inlineStr">
        <is>
          <t>계획관리지역</t>
        </is>
      </c>
      <c r="I10037" s="3" t="inlineStr">
        <is>
          <t>임야</t>
        </is>
      </c>
      <c r="J10037" s="3" t="inlineStr">
        <is>
          <t>전의면</t>
        </is>
      </c>
    </row>
    <row r="10038">
      <c r="A10038" s="3" t="n">
        <v>2024</v>
      </c>
      <c r="B10038" s="4" t="n">
        <v>48053</v>
      </c>
      <c r="C10038" s="4" t="n">
        <v>311.3</v>
      </c>
      <c r="D10038" s="4" t="n">
        <v>94.16825</v>
      </c>
      <c r="E10038" s="5" t="n">
        <v>510.3</v>
      </c>
      <c r="F10038" s="3" t="inlineStr">
        <is>
          <t>고운동</t>
        </is>
      </c>
      <c r="G10038" s="3" t="inlineStr"/>
      <c r="H10038" s="3" t="inlineStr">
        <is>
          <t>제1종전용주거지역</t>
        </is>
      </c>
      <c r="I10038" s="3" t="inlineStr">
        <is>
          <t>대</t>
        </is>
      </c>
      <c r="J10038" s="3" t="inlineStr">
        <is>
          <t>고운동</t>
        </is>
      </c>
    </row>
    <row r="10039">
      <c r="A10039" s="3" t="n">
        <v>2024</v>
      </c>
      <c r="B10039" s="4" t="n">
        <v>250</v>
      </c>
      <c r="C10039" s="4" t="n">
        <v>34</v>
      </c>
      <c r="D10039" s="4" t="n">
        <v>10.285</v>
      </c>
      <c r="E10039" s="5" t="n">
        <v>24.3</v>
      </c>
      <c r="F10039" s="3" t="inlineStr">
        <is>
          <t>소정면</t>
        </is>
      </c>
      <c r="G10039" s="3" t="inlineStr">
        <is>
          <t>소정리</t>
        </is>
      </c>
      <c r="H10039" s="3" t="inlineStr">
        <is>
          <t>계획관리지역</t>
        </is>
      </c>
      <c r="I10039" s="3" t="inlineStr">
        <is>
          <t>도로</t>
        </is>
      </c>
      <c r="J10039" s="3" t="inlineStr">
        <is>
          <t>소정면</t>
        </is>
      </c>
    </row>
    <row r="10040">
      <c r="A10040" s="3" t="n">
        <v>2024</v>
      </c>
      <c r="B10040" s="4" t="n">
        <v>10000</v>
      </c>
      <c r="C10040" s="4" t="n">
        <v>763</v>
      </c>
      <c r="D10040" s="4" t="n">
        <v>230.8075</v>
      </c>
      <c r="E10040" s="5" t="n">
        <v>43.3</v>
      </c>
      <c r="F10040" s="3" t="inlineStr">
        <is>
          <t>전의면</t>
        </is>
      </c>
      <c r="G10040" s="3" t="inlineStr">
        <is>
          <t>유천리</t>
        </is>
      </c>
      <c r="H10040" s="3" t="inlineStr">
        <is>
          <t>농림지역</t>
        </is>
      </c>
      <c r="I10040" s="3" t="inlineStr">
        <is>
          <t>전</t>
        </is>
      </c>
      <c r="J10040" s="3" t="inlineStr">
        <is>
          <t>전의면</t>
        </is>
      </c>
    </row>
    <row r="10041">
      <c r="A10041" s="3" t="n">
        <v>2024</v>
      </c>
      <c r="B10041" s="4" t="n">
        <v>10840</v>
      </c>
      <c r="C10041" s="4" t="n">
        <v>232</v>
      </c>
      <c r="D10041" s="4" t="n">
        <v>70.17999999999999</v>
      </c>
      <c r="E10041" s="5" t="n">
        <v>154.5</v>
      </c>
      <c r="F10041" s="3" t="inlineStr">
        <is>
          <t>조치원읍</t>
        </is>
      </c>
      <c r="G10041" s="3" t="inlineStr">
        <is>
          <t>남리</t>
        </is>
      </c>
      <c r="H10041" s="3" t="inlineStr">
        <is>
          <t>자연녹지지역</t>
        </is>
      </c>
      <c r="I10041" s="3" t="inlineStr">
        <is>
          <t>전</t>
        </is>
      </c>
      <c r="J10041" s="3" t="inlineStr">
        <is>
          <t>조치원읍</t>
        </is>
      </c>
    </row>
    <row r="10042">
      <c r="A10042" s="3" t="n">
        <v>2024</v>
      </c>
      <c r="B10042" s="4" t="n">
        <v>3000</v>
      </c>
      <c r="C10042" s="4" t="n">
        <v>119</v>
      </c>
      <c r="D10042" s="4" t="n">
        <v>35.9975</v>
      </c>
      <c r="E10042" s="5" t="n">
        <v>83.3</v>
      </c>
      <c r="F10042" s="3" t="inlineStr">
        <is>
          <t>장군면</t>
        </is>
      </c>
      <c r="G10042" s="3" t="inlineStr">
        <is>
          <t>용암리</t>
        </is>
      </c>
      <c r="H10042" s="3" t="inlineStr">
        <is>
          <t>계획관리지역</t>
        </is>
      </c>
      <c r="I10042" s="3" t="inlineStr">
        <is>
          <t>대</t>
        </is>
      </c>
      <c r="J10042" s="3" t="inlineStr">
        <is>
          <t>장군면</t>
        </is>
      </c>
    </row>
    <row r="10043">
      <c r="A10043" s="3" t="n">
        <v>2024</v>
      </c>
      <c r="B10043" s="4" t="n">
        <v>350</v>
      </c>
      <c r="C10043" s="4" t="n">
        <v>77</v>
      </c>
      <c r="D10043" s="4" t="n">
        <v>23.2925</v>
      </c>
      <c r="E10043" s="5" t="n">
        <v>15</v>
      </c>
      <c r="F10043" s="3" t="inlineStr">
        <is>
          <t>전동면</t>
        </is>
      </c>
      <c r="G10043" s="3" t="inlineStr">
        <is>
          <t>심중리</t>
        </is>
      </c>
      <c r="H10043" s="3" t="inlineStr">
        <is>
          <t>일반공업지역</t>
        </is>
      </c>
      <c r="I10043" s="3" t="inlineStr">
        <is>
          <t>하천</t>
        </is>
      </c>
      <c r="J10043" s="3" t="inlineStr">
        <is>
          <t>전동면</t>
        </is>
      </c>
    </row>
    <row r="10044">
      <c r="A10044" s="3" t="n">
        <v>2024</v>
      </c>
      <c r="B10044" s="4" t="n">
        <v>11000</v>
      </c>
      <c r="C10044" s="4" t="n">
        <v>106</v>
      </c>
      <c r="D10044" s="4" t="n">
        <v>32.065</v>
      </c>
      <c r="E10044" s="5" t="n">
        <v>343.1</v>
      </c>
      <c r="F10044" s="3" t="inlineStr">
        <is>
          <t>조치원읍</t>
        </is>
      </c>
      <c r="G10044" s="3" t="inlineStr">
        <is>
          <t>서창리</t>
        </is>
      </c>
      <c r="H10044" s="3" t="inlineStr">
        <is>
          <t>제2종일반주거지역</t>
        </is>
      </c>
      <c r="I10044" s="3" t="inlineStr">
        <is>
          <t>대</t>
        </is>
      </c>
      <c r="J10044" s="3" t="inlineStr">
        <is>
          <t>조치원읍</t>
        </is>
      </c>
    </row>
    <row r="10045">
      <c r="A10045" s="3" t="n">
        <v>2026</v>
      </c>
      <c r="B10045" s="4" t="n">
        <v>9600</v>
      </c>
      <c r="C10045" s="4" t="n">
        <v>211</v>
      </c>
      <c r="D10045" s="4" t="n">
        <v>63.8275</v>
      </c>
      <c r="E10045" s="5" t="n">
        <v>150.4</v>
      </c>
      <c r="F10045" s="3" t="inlineStr">
        <is>
          <t>연기면</t>
        </is>
      </c>
      <c r="G10045" s="3" t="inlineStr">
        <is>
          <t>수산리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연기면</t>
        </is>
      </c>
    </row>
    <row r="10046">
      <c r="A10046" s="3" t="n">
        <v>2026</v>
      </c>
      <c r="B10046" s="4" t="n">
        <v>26000</v>
      </c>
      <c r="C10046" s="4" t="n">
        <v>661</v>
      </c>
      <c r="D10046" s="4" t="n">
        <v>199.9525</v>
      </c>
      <c r="E10046" s="5" t="n">
        <v>130</v>
      </c>
      <c r="F10046" s="3" t="inlineStr">
        <is>
          <t>장군면</t>
        </is>
      </c>
      <c r="G10046" s="3" t="inlineStr">
        <is>
          <t>송학리</t>
        </is>
      </c>
      <c r="H10046" s="3" t="inlineStr">
        <is>
          <t>생산관리지역</t>
        </is>
      </c>
      <c r="I10046" s="3" t="inlineStr">
        <is>
          <t>답</t>
        </is>
      </c>
      <c r="J10046" s="3" t="inlineStr">
        <is>
          <t>장군면</t>
        </is>
      </c>
    </row>
    <row r="10047">
      <c r="A10047" s="3" t="n">
        <v>2026</v>
      </c>
      <c r="B10047" s="4" t="n">
        <v>87500</v>
      </c>
      <c r="C10047" s="4" t="n">
        <v>1000</v>
      </c>
      <c r="D10047" s="4" t="n">
        <v>302.5</v>
      </c>
      <c r="E10047" s="5" t="n">
        <v>289.3</v>
      </c>
      <c r="F10047" s="3" t="inlineStr">
        <is>
          <t>연서면</t>
        </is>
      </c>
      <c r="G10047" s="3" t="inlineStr">
        <is>
          <t>월하리</t>
        </is>
      </c>
      <c r="H10047" s="3" t="inlineStr">
        <is>
          <t>계획관리지역</t>
        </is>
      </c>
      <c r="I10047" s="3" t="inlineStr">
        <is>
          <t>답</t>
        </is>
      </c>
      <c r="J10047" s="3" t="inlineStr">
        <is>
          <t>연서면</t>
        </is>
      </c>
    </row>
    <row r="10048">
      <c r="A10048" s="3" t="n">
        <v>2026</v>
      </c>
      <c r="B10048" s="4" t="n">
        <v>1770</v>
      </c>
      <c r="C10048" s="4" t="n">
        <v>16.26</v>
      </c>
      <c r="D10048" s="4" t="n">
        <v>4.91865</v>
      </c>
      <c r="E10048" s="5" t="n">
        <v>359.9</v>
      </c>
      <c r="F10048" s="3" t="inlineStr">
        <is>
          <t>장군면</t>
        </is>
      </c>
      <c r="G10048" s="3" t="inlineStr">
        <is>
          <t>봉안리</t>
        </is>
      </c>
      <c r="H10048" s="3" t="inlineStr">
        <is>
          <t>계획관리지역</t>
        </is>
      </c>
      <c r="I10048" s="3" t="inlineStr">
        <is>
          <t>임야</t>
        </is>
      </c>
      <c r="J10048" s="3" t="inlineStr">
        <is>
          <t>장군면</t>
        </is>
      </c>
    </row>
    <row r="10049">
      <c r="A10049" s="3" t="n">
        <v>2026</v>
      </c>
      <c r="B10049" s="4" t="n">
        <v>1187</v>
      </c>
      <c r="C10049" s="4" t="n">
        <v>10.9</v>
      </c>
      <c r="D10049" s="4" t="n">
        <v>3.29725</v>
      </c>
      <c r="E10049" s="5" t="n">
        <v>360</v>
      </c>
      <c r="F10049" s="3" t="inlineStr">
        <is>
          <t>장군면</t>
        </is>
      </c>
      <c r="G10049" s="3" t="inlineStr">
        <is>
          <t>봉안리</t>
        </is>
      </c>
      <c r="H10049" s="3" t="inlineStr">
        <is>
          <t>계획관리지역</t>
        </is>
      </c>
      <c r="I10049" s="3" t="inlineStr">
        <is>
          <t>임야</t>
        </is>
      </c>
      <c r="J10049" s="3" t="inlineStr">
        <is>
          <t>장군면</t>
        </is>
      </c>
    </row>
    <row r="10050">
      <c r="A10050" s="3" t="n">
        <v>2026</v>
      </c>
      <c r="B10050" s="4" t="n">
        <v>5312</v>
      </c>
      <c r="C10050" s="4" t="n">
        <v>48.82</v>
      </c>
      <c r="D10050" s="4" t="n">
        <v>14.76805</v>
      </c>
      <c r="E10050" s="5" t="n">
        <v>359.7</v>
      </c>
      <c r="F10050" s="3" t="inlineStr">
        <is>
          <t>장군면</t>
        </is>
      </c>
      <c r="G10050" s="3" t="inlineStr">
        <is>
          <t>봉안리</t>
        </is>
      </c>
      <c r="H10050" s="3" t="inlineStr">
        <is>
          <t>계획관리지역</t>
        </is>
      </c>
      <c r="I10050" s="3" t="inlineStr">
        <is>
          <t>임야</t>
        </is>
      </c>
      <c r="J10050" s="3" t="inlineStr">
        <is>
          <t>장군면</t>
        </is>
      </c>
    </row>
    <row r="10051">
      <c r="A10051" s="3" t="n">
        <v>2026</v>
      </c>
      <c r="B10051" s="4" t="n">
        <v>513</v>
      </c>
      <c r="C10051" s="4" t="n">
        <v>4.71</v>
      </c>
      <c r="D10051" s="4" t="n">
        <v>1.424775</v>
      </c>
      <c r="E10051" s="5" t="n">
        <v>360.1</v>
      </c>
      <c r="F10051" s="3" t="inlineStr">
        <is>
          <t>장군면</t>
        </is>
      </c>
      <c r="G10051" s="3" t="inlineStr">
        <is>
          <t>봉안리</t>
        </is>
      </c>
      <c r="H10051" s="3" t="inlineStr">
        <is>
          <t>계획관리지역</t>
        </is>
      </c>
      <c r="I10051" s="3" t="inlineStr">
        <is>
          <t>임야</t>
        </is>
      </c>
      <c r="J10051" s="3" t="inlineStr">
        <is>
          <t>장군면</t>
        </is>
      </c>
    </row>
    <row r="10052">
      <c r="A10052" s="3" t="n">
        <v>2026</v>
      </c>
      <c r="B10052" s="4" t="n">
        <v>805</v>
      </c>
      <c r="C10052" s="4" t="n">
        <v>7.39</v>
      </c>
      <c r="D10052" s="4" t="n">
        <v>2.235475</v>
      </c>
      <c r="E10052" s="5" t="n">
        <v>360.1</v>
      </c>
      <c r="F10052" s="3" t="inlineStr">
        <is>
          <t>장군면</t>
        </is>
      </c>
      <c r="G10052" s="3" t="inlineStr">
        <is>
          <t>봉안리</t>
        </is>
      </c>
      <c r="H10052" s="3" t="inlineStr">
        <is>
          <t>계획관리지역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2026</v>
      </c>
      <c r="B10053" s="4" t="n">
        <v>3678</v>
      </c>
      <c r="C10053" s="4" t="n">
        <v>33.78</v>
      </c>
      <c r="D10053" s="4" t="n">
        <v>10.21845</v>
      </c>
      <c r="E10053" s="5" t="n">
        <v>359.9</v>
      </c>
      <c r="F10053" s="3" t="inlineStr">
        <is>
          <t>장군면</t>
        </is>
      </c>
      <c r="G10053" s="3" t="inlineStr">
        <is>
          <t>봉안리</t>
        </is>
      </c>
      <c r="H10053" s="3" t="inlineStr">
        <is>
          <t>계획관리지역</t>
        </is>
      </c>
      <c r="I10053" s="3" t="inlineStr">
        <is>
          <t>임야</t>
        </is>
      </c>
      <c r="J10053" s="3" t="inlineStr">
        <is>
          <t>장군면</t>
        </is>
      </c>
    </row>
    <row r="10054">
      <c r="A10054" s="3" t="n">
        <v>2026</v>
      </c>
      <c r="B10054" s="4" t="n">
        <v>10500</v>
      </c>
      <c r="C10054" s="4" t="n">
        <v>1157</v>
      </c>
      <c r="D10054" s="4" t="n">
        <v>349.9925</v>
      </c>
      <c r="E10054" s="5" t="n">
        <v>30</v>
      </c>
      <c r="F10054" s="3" t="inlineStr">
        <is>
          <t>전동면</t>
        </is>
      </c>
      <c r="G10054" s="3" t="inlineStr">
        <is>
          <t>봉대리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전동면</t>
        </is>
      </c>
    </row>
    <row r="10055">
      <c r="A10055" s="3" t="n">
        <v>2026</v>
      </c>
      <c r="B10055" s="4" t="n">
        <v>9400</v>
      </c>
      <c r="C10055" s="4" t="n">
        <v>259</v>
      </c>
      <c r="D10055" s="4" t="n">
        <v>78.3475</v>
      </c>
      <c r="E10055" s="5" t="n">
        <v>120</v>
      </c>
      <c r="F10055" s="3" t="inlineStr">
        <is>
          <t>연서면</t>
        </is>
      </c>
      <c r="G10055" s="3" t="inlineStr">
        <is>
          <t>쌍류리</t>
        </is>
      </c>
      <c r="H10055" s="3" t="inlineStr">
        <is>
          <t>생산관리지역</t>
        </is>
      </c>
      <c r="I10055" s="3" t="inlineStr">
        <is>
          <t>답</t>
        </is>
      </c>
      <c r="J10055" s="3" t="inlineStr">
        <is>
          <t>연서면</t>
        </is>
      </c>
    </row>
    <row r="10056">
      <c r="A10056" s="3" t="n">
        <v>2026</v>
      </c>
      <c r="B10056" s="4" t="n">
        <v>10758</v>
      </c>
      <c r="C10056" s="4" t="n">
        <v>220</v>
      </c>
      <c r="D10056" s="4" t="n">
        <v>66.55</v>
      </c>
      <c r="E10056" s="5" t="n">
        <v>161.7</v>
      </c>
      <c r="F10056" s="3" t="inlineStr">
        <is>
          <t>장군면</t>
        </is>
      </c>
      <c r="G10056" s="3" t="inlineStr">
        <is>
          <t>산학리</t>
        </is>
      </c>
      <c r="H10056" s="3" t="inlineStr">
        <is>
          <t>계획관리지역</t>
        </is>
      </c>
      <c r="I10056" s="3" t="inlineStr">
        <is>
          <t>종교용지</t>
        </is>
      </c>
      <c r="J10056" s="3" t="inlineStr">
        <is>
          <t>장군면</t>
        </is>
      </c>
    </row>
    <row r="10057">
      <c r="A10057" s="3" t="n">
        <v>2026</v>
      </c>
      <c r="B10057" s="4" t="n">
        <v>22500</v>
      </c>
      <c r="C10057" s="4" t="n">
        <v>797</v>
      </c>
      <c r="D10057" s="4" t="n">
        <v>241.0925</v>
      </c>
      <c r="E10057" s="5" t="n">
        <v>93.3</v>
      </c>
      <c r="F10057" s="3" t="inlineStr">
        <is>
          <t>연서면</t>
        </is>
      </c>
      <c r="G10057" s="3" t="inlineStr">
        <is>
          <t>쌍류리</t>
        </is>
      </c>
      <c r="H10057" s="3" t="inlineStr">
        <is>
          <t>생산관리지역</t>
        </is>
      </c>
      <c r="I10057" s="3" t="inlineStr">
        <is>
          <t>답</t>
        </is>
      </c>
      <c r="J10057" s="3" t="inlineStr">
        <is>
          <t>연서면</t>
        </is>
      </c>
    </row>
    <row r="10058">
      <c r="A10058" s="3" t="n">
        <v>2026</v>
      </c>
      <c r="B10058" s="4" t="n">
        <v>31127</v>
      </c>
      <c r="C10058" s="4" t="n">
        <v>735</v>
      </c>
      <c r="D10058" s="4" t="n">
        <v>222.3375</v>
      </c>
      <c r="E10058" s="5" t="n">
        <v>140</v>
      </c>
      <c r="F10058" s="3" t="inlineStr">
        <is>
          <t>장군면</t>
        </is>
      </c>
      <c r="G10058" s="3" t="inlineStr">
        <is>
          <t>산학리</t>
        </is>
      </c>
      <c r="H10058" s="3" t="inlineStr">
        <is>
          <t>농림지역</t>
        </is>
      </c>
      <c r="I10058" s="3" t="inlineStr">
        <is>
          <t>임야</t>
        </is>
      </c>
      <c r="J10058" s="3" t="inlineStr">
        <is>
          <t>장군면</t>
        </is>
      </c>
    </row>
    <row r="10059">
      <c r="A10059" s="3" t="n">
        <v>2026</v>
      </c>
      <c r="B10059" s="4" t="n">
        <v>18150</v>
      </c>
      <c r="C10059" s="4" t="n">
        <v>2000</v>
      </c>
      <c r="D10059" s="4" t="n">
        <v>605</v>
      </c>
      <c r="E10059" s="5" t="n">
        <v>30</v>
      </c>
      <c r="F10059" s="3" t="inlineStr">
        <is>
          <t>전동면</t>
        </is>
      </c>
      <c r="G10059" s="3" t="inlineStr">
        <is>
          <t>봉대리</t>
        </is>
      </c>
      <c r="H10059" s="3" t="inlineStr">
        <is>
          <t>생산관리지역</t>
        </is>
      </c>
      <c r="I10059" s="3" t="inlineStr">
        <is>
          <t>답</t>
        </is>
      </c>
      <c r="J10059" s="3" t="inlineStr">
        <is>
          <t>전동면</t>
        </is>
      </c>
    </row>
    <row r="10060">
      <c r="A10060" s="3" t="n">
        <v>2026</v>
      </c>
      <c r="B10060" s="4" t="n">
        <v>18000</v>
      </c>
      <c r="C10060" s="4" t="n">
        <v>5379</v>
      </c>
      <c r="D10060" s="4" t="n">
        <v>1627.1475</v>
      </c>
      <c r="E10060" s="5" t="n">
        <v>11.1</v>
      </c>
      <c r="F10060" s="3" t="inlineStr">
        <is>
          <t>금남면</t>
        </is>
      </c>
      <c r="G10060" s="3" t="inlineStr">
        <is>
          <t>영치리</t>
        </is>
      </c>
      <c r="H10060" s="3" t="inlineStr">
        <is>
          <t>개발제한구역</t>
        </is>
      </c>
      <c r="I10060" s="3" t="inlineStr">
        <is>
          <t>임야</t>
        </is>
      </c>
      <c r="J10060" s="3" t="inlineStr">
        <is>
          <t>금남면</t>
        </is>
      </c>
    </row>
    <row r="10061">
      <c r="A10061" s="3" t="n">
        <v>2026</v>
      </c>
      <c r="B10061" s="4" t="n">
        <v>14200</v>
      </c>
      <c r="C10061" s="4" t="n">
        <v>17752</v>
      </c>
      <c r="D10061" s="4" t="n">
        <v>5369.98</v>
      </c>
      <c r="E10061" s="5" t="n">
        <v>2.6</v>
      </c>
      <c r="F10061" s="3" t="inlineStr">
        <is>
          <t>금남면</t>
        </is>
      </c>
      <c r="G10061" s="3" t="inlineStr">
        <is>
          <t>영치리</t>
        </is>
      </c>
      <c r="H10061" s="3" t="inlineStr">
        <is>
          <t>개발제한구역</t>
        </is>
      </c>
      <c r="I10061" s="3" t="inlineStr">
        <is>
          <t>임야</t>
        </is>
      </c>
      <c r="J10061" s="3" t="inlineStr">
        <is>
          <t>금남면</t>
        </is>
      </c>
    </row>
    <row r="10062">
      <c r="A10062" s="3" t="n">
        <v>2026</v>
      </c>
      <c r="B10062" s="4" t="n">
        <v>15800</v>
      </c>
      <c r="C10062" s="4" t="n">
        <v>19636</v>
      </c>
      <c r="D10062" s="4" t="n">
        <v>5939.889999999999</v>
      </c>
      <c r="E10062" s="5" t="n">
        <v>2.7</v>
      </c>
      <c r="F10062" s="3" t="inlineStr">
        <is>
          <t>금남면</t>
        </is>
      </c>
      <c r="G10062" s="3" t="inlineStr">
        <is>
          <t>영치리</t>
        </is>
      </c>
      <c r="H10062" s="3" t="inlineStr">
        <is>
          <t>개발제한구역</t>
        </is>
      </c>
      <c r="I10062" s="3" t="inlineStr">
        <is>
          <t>임야</t>
        </is>
      </c>
      <c r="J10062" s="3" t="inlineStr">
        <is>
          <t>금남면</t>
        </is>
      </c>
    </row>
    <row r="10063">
      <c r="A10063" s="3" t="n">
        <v>2026</v>
      </c>
      <c r="B10063" s="4" t="n">
        <v>6000</v>
      </c>
      <c r="C10063" s="4" t="n">
        <v>1094</v>
      </c>
      <c r="D10063" s="4" t="n">
        <v>330.935</v>
      </c>
      <c r="E10063" s="5" t="n">
        <v>18.1</v>
      </c>
      <c r="F10063" s="3" t="inlineStr">
        <is>
          <t>부강면</t>
        </is>
      </c>
      <c r="G10063" s="3" t="inlineStr">
        <is>
          <t>문곡리</t>
        </is>
      </c>
      <c r="H10063" s="3" t="inlineStr">
        <is>
          <t>계획관리지역</t>
        </is>
      </c>
      <c r="I10063" s="3" t="inlineStr">
        <is>
          <t>답</t>
        </is>
      </c>
      <c r="J10063" s="3" t="inlineStr">
        <is>
          <t>부강면</t>
        </is>
      </c>
    </row>
    <row r="10064">
      <c r="A10064" s="3" t="n">
        <v>2026</v>
      </c>
      <c r="B10064" s="4" t="n">
        <v>10758</v>
      </c>
      <c r="C10064" s="4" t="n">
        <v>220</v>
      </c>
      <c r="D10064" s="4" t="n">
        <v>66.55</v>
      </c>
      <c r="E10064" s="5" t="n">
        <v>161.7</v>
      </c>
      <c r="F10064" s="3" t="inlineStr">
        <is>
          <t>장군면</t>
        </is>
      </c>
      <c r="G10064" s="3" t="inlineStr">
        <is>
          <t>산학리</t>
        </is>
      </c>
      <c r="H10064" s="3" t="inlineStr">
        <is>
          <t>계획관리지역</t>
        </is>
      </c>
      <c r="I10064" s="3" t="inlineStr">
        <is>
          <t>종교용지</t>
        </is>
      </c>
      <c r="J10064" s="3" t="inlineStr">
        <is>
          <t>장군면</t>
        </is>
      </c>
    </row>
    <row r="10065">
      <c r="A10065" s="3" t="n">
        <v>2026</v>
      </c>
      <c r="B10065" s="4" t="n">
        <v>150000</v>
      </c>
      <c r="C10065" s="4" t="n">
        <v>426.8</v>
      </c>
      <c r="D10065" s="4" t="n">
        <v>129.107</v>
      </c>
      <c r="E10065" s="5" t="n">
        <v>1161.8</v>
      </c>
      <c r="F10065" s="3" t="inlineStr">
        <is>
          <t>해밀동</t>
        </is>
      </c>
      <c r="G10065" s="3" t="inlineStr"/>
      <c r="H10065" s="3" t="inlineStr">
        <is>
          <t>제2종일반주거지역</t>
        </is>
      </c>
      <c r="I10065" s="3" t="inlineStr">
        <is>
          <t>대</t>
        </is>
      </c>
      <c r="J10065" s="3" t="inlineStr">
        <is>
          <t>해밀동</t>
        </is>
      </c>
    </row>
    <row r="10066">
      <c r="A10066" s="3" t="n">
        <v>2026</v>
      </c>
      <c r="B10066" s="4" t="n">
        <v>906000</v>
      </c>
      <c r="C10066" s="4" t="n">
        <v>15881</v>
      </c>
      <c r="D10066" s="4" t="n">
        <v>4804.0025</v>
      </c>
      <c r="E10066" s="5" t="n">
        <v>188.6</v>
      </c>
      <c r="F10066" s="3" t="inlineStr">
        <is>
          <t>전동면</t>
        </is>
      </c>
      <c r="G10066" s="3" t="inlineStr">
        <is>
          <t>심중리</t>
        </is>
      </c>
      <c r="H10066" s="3" t="inlineStr">
        <is>
          <t>일반공업지역</t>
        </is>
      </c>
      <c r="I10066" s="3" t="inlineStr">
        <is>
          <t>공장용지</t>
        </is>
      </c>
      <c r="J10066" s="3" t="inlineStr">
        <is>
          <t>전동면</t>
        </is>
      </c>
    </row>
    <row r="10067">
      <c r="A10067" s="3" t="n">
        <v>2023</v>
      </c>
      <c r="B10067" s="4" t="n">
        <v>12000</v>
      </c>
      <c r="C10067" s="4" t="n">
        <v>9918</v>
      </c>
      <c r="D10067" s="4" t="n">
        <v>3000.195</v>
      </c>
      <c r="E10067" s="5" t="n">
        <v>4</v>
      </c>
      <c r="F10067" s="3" t="inlineStr">
        <is>
          <t>전의면</t>
        </is>
      </c>
      <c r="G10067" s="3" t="inlineStr">
        <is>
          <t>양곡리</t>
        </is>
      </c>
      <c r="H10067" s="3" t="inlineStr">
        <is>
          <t>농림지역</t>
        </is>
      </c>
      <c r="I10067" s="3" t="inlineStr">
        <is>
          <t>임야</t>
        </is>
      </c>
      <c r="J10067" s="3" t="inlineStr">
        <is>
          <t>전의면</t>
        </is>
      </c>
    </row>
    <row r="10068">
      <c r="A10068" s="3" t="n">
        <v>2023</v>
      </c>
      <c r="B10068" s="4" t="n">
        <v>12000</v>
      </c>
      <c r="C10068" s="4" t="n">
        <v>9918</v>
      </c>
      <c r="D10068" s="4" t="n">
        <v>3000.195</v>
      </c>
      <c r="E10068" s="5" t="n">
        <v>4</v>
      </c>
      <c r="F10068" s="3" t="inlineStr">
        <is>
          <t>전의면</t>
        </is>
      </c>
      <c r="G10068" s="3" t="inlineStr">
        <is>
          <t>양곡리</t>
        </is>
      </c>
      <c r="H10068" s="3" t="inlineStr">
        <is>
          <t>농림지역</t>
        </is>
      </c>
      <c r="I10068" s="3" t="inlineStr">
        <is>
          <t>임야</t>
        </is>
      </c>
      <c r="J10068" s="3" t="inlineStr">
        <is>
          <t>전의면</t>
        </is>
      </c>
    </row>
    <row r="10069">
      <c r="A10069" s="3" t="n">
        <v>2023</v>
      </c>
      <c r="B10069" s="4" t="n">
        <v>6000</v>
      </c>
      <c r="C10069" s="4" t="n">
        <v>4959</v>
      </c>
      <c r="D10069" s="4" t="n">
        <v>1500.0975</v>
      </c>
      <c r="E10069" s="5" t="n">
        <v>4</v>
      </c>
      <c r="F10069" s="3" t="inlineStr">
        <is>
          <t>전의면</t>
        </is>
      </c>
      <c r="G10069" s="3" t="inlineStr">
        <is>
          <t>양곡리</t>
        </is>
      </c>
      <c r="H10069" s="3" t="inlineStr">
        <is>
          <t>농림지역</t>
        </is>
      </c>
      <c r="I10069" s="3" t="inlineStr">
        <is>
          <t>임야</t>
        </is>
      </c>
      <c r="J10069" s="3" t="inlineStr">
        <is>
          <t>전의면</t>
        </is>
      </c>
    </row>
    <row r="10070">
      <c r="A10070" s="3" t="n">
        <v>2023</v>
      </c>
      <c r="B10070" s="4" t="n">
        <v>6000</v>
      </c>
      <c r="C10070" s="4" t="n">
        <v>4959</v>
      </c>
      <c r="D10070" s="4" t="n">
        <v>1500.0975</v>
      </c>
      <c r="E10070" s="5" t="n">
        <v>4</v>
      </c>
      <c r="F10070" s="3" t="inlineStr">
        <is>
          <t>전의면</t>
        </is>
      </c>
      <c r="G10070" s="3" t="inlineStr">
        <is>
          <t>양곡리</t>
        </is>
      </c>
      <c r="H10070" s="3" t="inlineStr">
        <is>
          <t>농림지역</t>
        </is>
      </c>
      <c r="I10070" s="3" t="inlineStr">
        <is>
          <t>임야</t>
        </is>
      </c>
      <c r="J10070" s="3" t="inlineStr">
        <is>
          <t>전의면</t>
        </is>
      </c>
    </row>
    <row r="10071">
      <c r="A10071" s="3" t="n">
        <v>2023</v>
      </c>
      <c r="B10071" s="4" t="n">
        <v>6500</v>
      </c>
      <c r="C10071" s="4" t="n">
        <v>699</v>
      </c>
      <c r="D10071" s="4" t="n">
        <v>211.4475</v>
      </c>
      <c r="E10071" s="5" t="n">
        <v>30.7</v>
      </c>
      <c r="F10071" s="3" t="inlineStr">
        <is>
          <t>금남면</t>
        </is>
      </c>
      <c r="G10071" s="3" t="inlineStr">
        <is>
          <t>성강리</t>
        </is>
      </c>
      <c r="H10071" s="3" t="inlineStr">
        <is>
          <t>농림지역</t>
        </is>
      </c>
      <c r="I10071" s="3" t="inlineStr">
        <is>
          <t>답</t>
        </is>
      </c>
      <c r="J10071" s="3" t="inlineStr">
        <is>
          <t>금남면</t>
        </is>
      </c>
    </row>
    <row r="10072">
      <c r="A10072" s="3" t="n">
        <v>2023</v>
      </c>
      <c r="B10072" s="4" t="n">
        <v>1620</v>
      </c>
      <c r="C10072" s="4" t="n">
        <v>61</v>
      </c>
      <c r="D10072" s="4" t="n">
        <v>18.4525</v>
      </c>
      <c r="E10072" s="5" t="n">
        <v>87.8</v>
      </c>
      <c r="F10072" s="3" t="inlineStr">
        <is>
          <t>장군면</t>
        </is>
      </c>
      <c r="G10072" s="3" t="inlineStr">
        <is>
          <t>하봉리</t>
        </is>
      </c>
      <c r="H10072" s="3" t="inlineStr">
        <is>
          <t>농림지역</t>
        </is>
      </c>
      <c r="I10072" s="3" t="inlineStr">
        <is>
          <t>전</t>
        </is>
      </c>
      <c r="J10072" s="3" t="inlineStr">
        <is>
          <t>장군면</t>
        </is>
      </c>
    </row>
    <row r="10073">
      <c r="A10073" s="3" t="n">
        <v>2023</v>
      </c>
      <c r="B10073" s="4" t="n">
        <v>13500</v>
      </c>
      <c r="C10073" s="4" t="n">
        <v>132</v>
      </c>
      <c r="D10073" s="4" t="n">
        <v>39.93</v>
      </c>
      <c r="E10073" s="5" t="n">
        <v>338.1</v>
      </c>
      <c r="F10073" s="3" t="inlineStr">
        <is>
          <t>조치원읍</t>
        </is>
      </c>
      <c r="G10073" s="3" t="inlineStr">
        <is>
          <t>서창리</t>
        </is>
      </c>
      <c r="H10073" s="3" t="inlineStr">
        <is>
          <t>제1종일반주거지역</t>
        </is>
      </c>
      <c r="I10073" s="3" t="inlineStr">
        <is>
          <t>전</t>
        </is>
      </c>
      <c r="J10073" s="3" t="inlineStr">
        <is>
          <t>조치원읍</t>
        </is>
      </c>
    </row>
    <row r="10074">
      <c r="A10074" s="3" t="n">
        <v>2023</v>
      </c>
      <c r="B10074" s="4" t="n">
        <v>105000</v>
      </c>
      <c r="C10074" s="4" t="n">
        <v>61157</v>
      </c>
      <c r="D10074" s="4" t="n">
        <v>18499.9925</v>
      </c>
      <c r="E10074" s="5" t="n">
        <v>5.7</v>
      </c>
      <c r="F10074" s="3" t="inlineStr">
        <is>
          <t>금남면</t>
        </is>
      </c>
      <c r="G10074" s="3" t="inlineStr">
        <is>
          <t>두만리</t>
        </is>
      </c>
      <c r="H10074" s="3" t="inlineStr">
        <is>
          <t>개발제한구역</t>
        </is>
      </c>
      <c r="I10074" s="3" t="inlineStr">
        <is>
          <t>임야</t>
        </is>
      </c>
      <c r="J10074" s="3" t="inlineStr">
        <is>
          <t>금남면</t>
        </is>
      </c>
    </row>
    <row r="10075">
      <c r="A10075" s="3" t="n">
        <v>2023</v>
      </c>
      <c r="B10075" s="4" t="n">
        <v>10000</v>
      </c>
      <c r="C10075" s="4" t="n">
        <v>1345</v>
      </c>
      <c r="D10075" s="4" t="n">
        <v>406.8625</v>
      </c>
      <c r="E10075" s="5" t="n">
        <v>24.6</v>
      </c>
      <c r="F10075" s="3" t="inlineStr">
        <is>
          <t>전동면</t>
        </is>
      </c>
      <c r="G10075" s="3" t="inlineStr">
        <is>
          <t>송정리</t>
        </is>
      </c>
      <c r="H10075" s="3" t="inlineStr">
        <is>
          <t>농림지역</t>
        </is>
      </c>
      <c r="I10075" s="3" t="inlineStr">
        <is>
          <t>전</t>
        </is>
      </c>
      <c r="J10075" s="3" t="inlineStr">
        <is>
          <t>전동면</t>
        </is>
      </c>
    </row>
    <row r="10076">
      <c r="A10076" s="3" t="n">
        <v>2023</v>
      </c>
      <c r="B10076" s="4" t="n">
        <v>15330</v>
      </c>
      <c r="C10076" s="4" t="n">
        <v>1691</v>
      </c>
      <c r="D10076" s="4" t="n">
        <v>511.5275</v>
      </c>
      <c r="E10076" s="5" t="n">
        <v>30</v>
      </c>
      <c r="F10076" s="3" t="inlineStr">
        <is>
          <t>전의면</t>
        </is>
      </c>
      <c r="G10076" s="3" t="inlineStr">
        <is>
          <t>관정리</t>
        </is>
      </c>
      <c r="H10076" s="3" t="inlineStr">
        <is>
          <t>계획관리지역</t>
        </is>
      </c>
      <c r="I10076" s="3" t="inlineStr">
        <is>
          <t>전</t>
        </is>
      </c>
      <c r="J10076" s="3" t="inlineStr">
        <is>
          <t>전의면</t>
        </is>
      </c>
    </row>
    <row r="10077">
      <c r="A10077" s="3" t="n">
        <v>2023</v>
      </c>
      <c r="B10077" s="4" t="n">
        <v>30160</v>
      </c>
      <c r="C10077" s="4" t="n">
        <v>767</v>
      </c>
      <c r="D10077" s="4" t="n">
        <v>232.0175</v>
      </c>
      <c r="E10077" s="5" t="n">
        <v>130</v>
      </c>
      <c r="F10077" s="3" t="inlineStr">
        <is>
          <t>연동면</t>
        </is>
      </c>
      <c r="G10077" s="3" t="inlineStr">
        <is>
          <t>노송리</t>
        </is>
      </c>
      <c r="H10077" s="3" t="inlineStr">
        <is>
          <t>계획관리지역</t>
        </is>
      </c>
      <c r="I10077" s="3" t="inlineStr">
        <is>
          <t>전</t>
        </is>
      </c>
      <c r="J10077" s="3" t="inlineStr">
        <is>
          <t>연동면</t>
        </is>
      </c>
    </row>
    <row r="10078">
      <c r="A10078" s="3" t="n">
        <v>2023</v>
      </c>
      <c r="B10078" s="4" t="n">
        <v>17200</v>
      </c>
      <c r="C10078" s="4" t="n">
        <v>264</v>
      </c>
      <c r="D10078" s="4" t="n">
        <v>79.86</v>
      </c>
      <c r="E10078" s="5" t="n">
        <v>215.4</v>
      </c>
      <c r="F10078" s="3" t="inlineStr">
        <is>
          <t>부강면</t>
        </is>
      </c>
      <c r="G10078" s="3" t="inlineStr">
        <is>
          <t>부강리</t>
        </is>
      </c>
      <c r="H10078" s="3" t="inlineStr">
        <is>
          <t>제2종일반주거지역</t>
        </is>
      </c>
      <c r="I10078" s="3" t="inlineStr">
        <is>
          <t>답</t>
        </is>
      </c>
      <c r="J10078" s="3" t="inlineStr">
        <is>
          <t>부강면</t>
        </is>
      </c>
    </row>
    <row r="10079">
      <c r="A10079" s="3" t="n">
        <v>2023</v>
      </c>
      <c r="B10079" s="4" t="n">
        <v>300</v>
      </c>
      <c r="C10079" s="4" t="n">
        <v>10</v>
      </c>
      <c r="D10079" s="4" t="n">
        <v>3.025</v>
      </c>
      <c r="E10079" s="5" t="n">
        <v>99.2</v>
      </c>
      <c r="F10079" s="3" t="inlineStr">
        <is>
          <t>부강면</t>
        </is>
      </c>
      <c r="G10079" s="3" t="inlineStr">
        <is>
          <t>부강리</t>
        </is>
      </c>
      <c r="H10079" s="3" t="inlineStr">
        <is>
          <t>제2종일반주거지역</t>
        </is>
      </c>
      <c r="I10079" s="3" t="inlineStr">
        <is>
          <t>도로</t>
        </is>
      </c>
      <c r="J10079" s="3" t="inlineStr">
        <is>
          <t>부강면</t>
        </is>
      </c>
    </row>
    <row r="10080">
      <c r="A10080" s="3" t="n">
        <v>2023</v>
      </c>
      <c r="B10080" s="4" t="n">
        <v>4200</v>
      </c>
      <c r="C10080" s="4" t="n">
        <v>231</v>
      </c>
      <c r="D10080" s="4" t="n">
        <v>69.8775</v>
      </c>
      <c r="E10080" s="5" t="n">
        <v>60.1</v>
      </c>
      <c r="F10080" s="3" t="inlineStr">
        <is>
          <t>금남면</t>
        </is>
      </c>
      <c r="G10080" s="3" t="inlineStr">
        <is>
          <t>영곡리</t>
        </is>
      </c>
      <c r="H10080" s="3" t="inlineStr">
        <is>
          <t>보전관리지역</t>
        </is>
      </c>
      <c r="I10080" s="3" t="inlineStr">
        <is>
          <t>임야</t>
        </is>
      </c>
      <c r="J10080" s="3" t="inlineStr">
        <is>
          <t>금남면</t>
        </is>
      </c>
    </row>
    <row r="10081">
      <c r="A10081" s="3" t="n">
        <v>2023</v>
      </c>
      <c r="B10081" s="4" t="n">
        <v>20736</v>
      </c>
      <c r="C10081" s="4" t="n">
        <v>1431</v>
      </c>
      <c r="D10081" s="4" t="n">
        <v>432.8775</v>
      </c>
      <c r="E10081" s="5" t="n">
        <v>47.9</v>
      </c>
      <c r="F10081" s="3" t="inlineStr">
        <is>
          <t>장군면</t>
        </is>
      </c>
      <c r="G10081" s="3" t="inlineStr">
        <is>
          <t>송문리</t>
        </is>
      </c>
      <c r="H10081" s="3" t="inlineStr">
        <is>
          <t>계획관리지역</t>
        </is>
      </c>
      <c r="I10081" s="3" t="inlineStr">
        <is>
          <t>전</t>
        </is>
      </c>
      <c r="J10081" s="3" t="inlineStr">
        <is>
          <t>장군면</t>
        </is>
      </c>
    </row>
    <row r="10082">
      <c r="A10082" s="3" t="n">
        <v>2023</v>
      </c>
      <c r="B10082" s="4" t="n">
        <v>4207</v>
      </c>
      <c r="C10082" s="4" t="n">
        <v>3973</v>
      </c>
      <c r="D10082" s="4" t="n">
        <v>1201.8325</v>
      </c>
      <c r="E10082" s="5" t="n">
        <v>3.5</v>
      </c>
      <c r="F10082" s="3" t="inlineStr">
        <is>
          <t>전동면</t>
        </is>
      </c>
      <c r="G10082" s="3" t="inlineStr">
        <is>
          <t>보덕리</t>
        </is>
      </c>
      <c r="H10082" s="3" t="inlineStr">
        <is>
          <t>농림지역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2023</v>
      </c>
      <c r="B10083" s="4" t="n">
        <v>4183</v>
      </c>
      <c r="C10083" s="4" t="n">
        <v>3950</v>
      </c>
      <c r="D10083" s="4" t="n">
        <v>1194.875</v>
      </c>
      <c r="E10083" s="5" t="n">
        <v>3.5</v>
      </c>
      <c r="F10083" s="3" t="inlineStr">
        <is>
          <t>전동면</t>
        </is>
      </c>
      <c r="G10083" s="3" t="inlineStr">
        <is>
          <t>보덕리</t>
        </is>
      </c>
      <c r="H10083" s="3" t="inlineStr">
        <is>
          <t>농림지역</t>
        </is>
      </c>
      <c r="I10083" s="3" t="inlineStr">
        <is>
          <t>임야</t>
        </is>
      </c>
      <c r="J10083" s="3" t="inlineStr">
        <is>
          <t>전동면</t>
        </is>
      </c>
    </row>
    <row r="10084">
      <c r="A10084" s="3" t="n">
        <v>2023</v>
      </c>
      <c r="B10084" s="4" t="n">
        <v>16000</v>
      </c>
      <c r="C10084" s="4" t="n">
        <v>489</v>
      </c>
      <c r="D10084" s="4" t="n">
        <v>147.9225</v>
      </c>
      <c r="E10084" s="5" t="n">
        <v>108.2</v>
      </c>
      <c r="F10084" s="3" t="inlineStr">
        <is>
          <t>소정면</t>
        </is>
      </c>
      <c r="G10084" s="3" t="inlineStr">
        <is>
          <t>소정리</t>
        </is>
      </c>
      <c r="H10084" s="3" t="inlineStr">
        <is>
          <t>계획관리지역</t>
        </is>
      </c>
      <c r="I10084" s="3" t="inlineStr">
        <is>
          <t>답</t>
        </is>
      </c>
      <c r="J10084" s="3" t="inlineStr">
        <is>
          <t>소정면</t>
        </is>
      </c>
    </row>
    <row r="10085">
      <c r="A10085" s="3" t="n">
        <v>2023</v>
      </c>
      <c r="B10085" s="4" t="n">
        <v>21500</v>
      </c>
      <c r="C10085" s="4" t="n">
        <v>635</v>
      </c>
      <c r="D10085" s="4" t="n">
        <v>192.0875</v>
      </c>
      <c r="E10085" s="5" t="n">
        <v>111.9</v>
      </c>
      <c r="F10085" s="3" t="inlineStr">
        <is>
          <t>장군면</t>
        </is>
      </c>
      <c r="G10085" s="3" t="inlineStr">
        <is>
          <t>평기리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95000</v>
      </c>
      <c r="C10086" s="4" t="n">
        <v>438.2</v>
      </c>
      <c r="D10086" s="4" t="n">
        <v>132.5555</v>
      </c>
      <c r="E10086" s="5" t="n">
        <v>716.7</v>
      </c>
      <c r="F10086" s="3" t="inlineStr">
        <is>
          <t>반곡동</t>
        </is>
      </c>
      <c r="G10086" s="3" t="inlineStr"/>
      <c r="H10086" s="3" t="inlineStr">
        <is>
          <t>용도미지정</t>
        </is>
      </c>
      <c r="I10086" s="3" t="inlineStr">
        <is>
          <t>대</t>
        </is>
      </c>
      <c r="J10086" s="3" t="inlineStr">
        <is>
          <t>반곡동</t>
        </is>
      </c>
    </row>
    <row r="10087">
      <c r="A10087" s="3" t="n">
        <v>2025</v>
      </c>
      <c r="B10087" s="4" t="n">
        <v>8885</v>
      </c>
      <c r="C10087" s="4" t="n">
        <v>46</v>
      </c>
      <c r="D10087" s="4" t="n">
        <v>13.915</v>
      </c>
      <c r="E10087" s="5" t="n">
        <v>638.5</v>
      </c>
      <c r="F10087" s="3" t="inlineStr">
        <is>
          <t>조치원읍</t>
        </is>
      </c>
      <c r="G10087" s="3" t="inlineStr">
        <is>
          <t>정리</t>
        </is>
      </c>
      <c r="H10087" s="3" t="inlineStr">
        <is>
          <t>준주거지역</t>
        </is>
      </c>
      <c r="I10087" s="3" t="inlineStr">
        <is>
          <t>답</t>
        </is>
      </c>
      <c r="J10087" s="3" t="inlineStr">
        <is>
          <t>조치원읍</t>
        </is>
      </c>
    </row>
    <row r="10088">
      <c r="A10088" s="3" t="n">
        <v>2025</v>
      </c>
      <c r="B10088" s="4" t="n">
        <v>50000</v>
      </c>
      <c r="C10088" s="4" t="n">
        <v>325.3</v>
      </c>
      <c r="D10088" s="4" t="n">
        <v>98.40325</v>
      </c>
      <c r="E10088" s="5" t="n">
        <v>508.1</v>
      </c>
      <c r="F10088" s="3" t="inlineStr">
        <is>
          <t>집현동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집현동</t>
        </is>
      </c>
    </row>
    <row r="10089">
      <c r="A10089" s="3" t="n">
        <v>2025</v>
      </c>
      <c r="B10089" s="4" t="n">
        <v>5500</v>
      </c>
      <c r="C10089" s="4" t="n">
        <v>3677</v>
      </c>
      <c r="D10089" s="4" t="n">
        <v>1112.2925</v>
      </c>
      <c r="E10089" s="5" t="n">
        <v>4.9</v>
      </c>
      <c r="F10089" s="3" t="inlineStr">
        <is>
          <t>금남면</t>
        </is>
      </c>
      <c r="G10089" s="3" t="inlineStr">
        <is>
          <t>호탄리</t>
        </is>
      </c>
      <c r="H10089" s="3" t="inlineStr">
        <is>
          <t>개발제한구역</t>
        </is>
      </c>
      <c r="I10089" s="3" t="inlineStr">
        <is>
          <t>임야</t>
        </is>
      </c>
      <c r="J10089" s="3" t="inlineStr">
        <is>
          <t>금남면</t>
        </is>
      </c>
    </row>
    <row r="10090">
      <c r="A10090" s="3" t="n">
        <v>2025</v>
      </c>
      <c r="B10090" s="4" t="n">
        <v>43000</v>
      </c>
      <c r="C10090" s="4" t="n">
        <v>2030</v>
      </c>
      <c r="D10090" s="4" t="n">
        <v>614.0749999999999</v>
      </c>
      <c r="E10090" s="5" t="n">
        <v>70</v>
      </c>
      <c r="F10090" s="3" t="inlineStr">
        <is>
          <t>금남면</t>
        </is>
      </c>
      <c r="G10090" s="3" t="inlineStr">
        <is>
          <t>영치리</t>
        </is>
      </c>
      <c r="H10090" s="3" t="inlineStr">
        <is>
          <t>개발제한구역</t>
        </is>
      </c>
      <c r="I10090" s="3" t="inlineStr">
        <is>
          <t>답</t>
        </is>
      </c>
      <c r="J10090" s="3" t="inlineStr">
        <is>
          <t>금남면</t>
        </is>
      </c>
    </row>
    <row r="10091">
      <c r="A10091" s="3" t="n">
        <v>2025</v>
      </c>
      <c r="B10091" s="4" t="n">
        <v>970</v>
      </c>
      <c r="C10091" s="4" t="n">
        <v>15</v>
      </c>
      <c r="D10091" s="4" t="n">
        <v>4.5375</v>
      </c>
      <c r="E10091" s="5" t="n">
        <v>213.8</v>
      </c>
      <c r="F10091" s="3" t="inlineStr">
        <is>
          <t>연기면</t>
        </is>
      </c>
      <c r="G10091" s="3" t="inlineStr">
        <is>
          <t>수산리</t>
        </is>
      </c>
      <c r="H10091" s="3" t="inlineStr">
        <is>
          <t>생산관리지역</t>
        </is>
      </c>
      <c r="I10091" s="3" t="inlineStr">
        <is>
          <t>답</t>
        </is>
      </c>
      <c r="J10091" s="3" t="inlineStr">
        <is>
          <t>연기면</t>
        </is>
      </c>
    </row>
    <row r="10092">
      <c r="A10092" s="3" t="n">
        <v>2025</v>
      </c>
      <c r="B10092" s="4" t="n">
        <v>65</v>
      </c>
      <c r="C10092" s="4" t="n">
        <v>1</v>
      </c>
      <c r="D10092" s="4" t="n">
        <v>0.3025</v>
      </c>
      <c r="E10092" s="5" t="n">
        <v>214.9</v>
      </c>
      <c r="F10092" s="3" t="inlineStr">
        <is>
          <t>연기면</t>
        </is>
      </c>
      <c r="G10092" s="3" t="inlineStr">
        <is>
          <t>수산리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연기면</t>
        </is>
      </c>
    </row>
    <row r="10093">
      <c r="A10093" s="3" t="n">
        <v>2025</v>
      </c>
      <c r="B10093" s="4" t="n">
        <v>11700</v>
      </c>
      <c r="C10093" s="4" t="n">
        <v>856</v>
      </c>
      <c r="D10093" s="4" t="n">
        <v>258.94</v>
      </c>
      <c r="E10093" s="5" t="n">
        <v>45.2</v>
      </c>
      <c r="F10093" s="3" t="inlineStr">
        <is>
          <t>연기면</t>
        </is>
      </c>
      <c r="G10093" s="3" t="inlineStr">
        <is>
          <t>수산리</t>
        </is>
      </c>
      <c r="H10093" s="3" t="inlineStr">
        <is>
          <t>보전관리지역</t>
        </is>
      </c>
      <c r="I10093" s="3" t="inlineStr">
        <is>
          <t>임야</t>
        </is>
      </c>
      <c r="J10093" s="3" t="inlineStr">
        <is>
          <t>연기면</t>
        </is>
      </c>
    </row>
    <row r="10094">
      <c r="A10094" s="3" t="n">
        <v>2025</v>
      </c>
      <c r="B10094" s="4" t="n">
        <v>8000</v>
      </c>
      <c r="C10094" s="4" t="n">
        <v>1209</v>
      </c>
      <c r="D10094" s="4" t="n">
        <v>365.7225</v>
      </c>
      <c r="E10094" s="5" t="n">
        <v>21.9</v>
      </c>
      <c r="F10094" s="3" t="inlineStr">
        <is>
          <t>금남면</t>
        </is>
      </c>
      <c r="G10094" s="3" t="inlineStr">
        <is>
          <t>달전리</t>
        </is>
      </c>
      <c r="H10094" s="3" t="inlineStr">
        <is>
          <t>개발제한구역</t>
        </is>
      </c>
      <c r="I10094" s="3" t="inlineStr">
        <is>
          <t>임야</t>
        </is>
      </c>
      <c r="J10094" s="3" t="inlineStr">
        <is>
          <t>금남면</t>
        </is>
      </c>
    </row>
    <row r="10095">
      <c r="A10095" s="3" t="n">
        <v>2025</v>
      </c>
      <c r="B10095" s="4" t="n">
        <v>68000</v>
      </c>
      <c r="C10095" s="4" t="n">
        <v>331.9</v>
      </c>
      <c r="D10095" s="4" t="n">
        <v>100.39975</v>
      </c>
      <c r="E10095" s="5" t="n">
        <v>677.3</v>
      </c>
      <c r="F10095" s="3" t="inlineStr">
        <is>
          <t>고운동</t>
        </is>
      </c>
      <c r="G10095" s="3" t="inlineStr"/>
      <c r="H10095" s="3" t="inlineStr">
        <is>
          <t>제1종전용주거지역</t>
        </is>
      </c>
      <c r="I10095" s="3" t="inlineStr">
        <is>
          <t>대</t>
        </is>
      </c>
      <c r="J10095" s="3" t="inlineStr">
        <is>
          <t>고운동</t>
        </is>
      </c>
    </row>
    <row r="10096">
      <c r="A10096" s="3" t="n">
        <v>2025</v>
      </c>
      <c r="B10096" s="4" t="n">
        <v>22717</v>
      </c>
      <c r="C10096" s="4" t="n">
        <v>301</v>
      </c>
      <c r="D10096" s="4" t="n">
        <v>91.05249999999999</v>
      </c>
      <c r="E10096" s="5" t="n">
        <v>249.5</v>
      </c>
      <c r="F10096" s="3" t="inlineStr">
        <is>
          <t>장군면</t>
        </is>
      </c>
      <c r="G10096" s="3" t="inlineStr">
        <is>
          <t>대교리</t>
        </is>
      </c>
      <c r="H10096" s="3" t="inlineStr">
        <is>
          <t>계획관리지역</t>
        </is>
      </c>
      <c r="I10096" s="3" t="inlineStr">
        <is>
          <t>임야</t>
        </is>
      </c>
      <c r="J10096" s="3" t="inlineStr">
        <is>
          <t>장군면</t>
        </is>
      </c>
    </row>
    <row r="10097">
      <c r="A10097" s="3" t="n">
        <v>2025</v>
      </c>
      <c r="B10097" s="4" t="n">
        <v>2264</v>
      </c>
      <c r="C10097" s="4" t="n">
        <v>30</v>
      </c>
      <c r="D10097" s="4" t="n">
        <v>9.074999999999999</v>
      </c>
      <c r="E10097" s="5" t="n">
        <v>249.5</v>
      </c>
      <c r="F10097" s="3" t="inlineStr">
        <is>
          <t>장군면</t>
        </is>
      </c>
      <c r="G10097" s="3" t="inlineStr">
        <is>
          <t>대교리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장군면</t>
        </is>
      </c>
    </row>
    <row r="10098">
      <c r="A10098" s="3" t="n">
        <v>2025</v>
      </c>
      <c r="B10098" s="4" t="n">
        <v>78500</v>
      </c>
      <c r="C10098" s="4" t="n">
        <v>2219</v>
      </c>
      <c r="D10098" s="4" t="n">
        <v>671.2474999999999</v>
      </c>
      <c r="E10098" s="5" t="n">
        <v>116.9</v>
      </c>
      <c r="F10098" s="3" t="inlineStr">
        <is>
          <t>금남면</t>
        </is>
      </c>
      <c r="G10098" s="3" t="inlineStr">
        <is>
          <t>황용리</t>
        </is>
      </c>
      <c r="H10098" s="3" t="inlineStr">
        <is>
          <t>개발제한구역</t>
        </is>
      </c>
      <c r="I10098" s="3" t="inlineStr">
        <is>
          <t>전</t>
        </is>
      </c>
      <c r="J10098" s="3" t="inlineStr">
        <is>
          <t>금남면</t>
        </is>
      </c>
    </row>
    <row r="10099">
      <c r="A10099" s="3" t="n">
        <v>2025</v>
      </c>
      <c r="B10099" s="4" t="n">
        <v>4720</v>
      </c>
      <c r="C10099" s="4" t="n">
        <v>194.2</v>
      </c>
      <c r="D10099" s="4" t="n">
        <v>58.74549999999999</v>
      </c>
      <c r="E10099" s="5" t="n">
        <v>80.3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계획관리지역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2025</v>
      </c>
      <c r="B10100" s="4" t="n">
        <v>45872</v>
      </c>
      <c r="C10100" s="4" t="n">
        <v>2861.3</v>
      </c>
      <c r="D10100" s="4" t="n">
        <v>865.5432500000001</v>
      </c>
      <c r="E10100" s="5" t="n">
        <v>53</v>
      </c>
      <c r="F10100" s="3" t="inlineStr">
        <is>
          <t>연동면</t>
        </is>
      </c>
      <c r="G10100" s="3" t="inlineStr">
        <is>
          <t>송용리</t>
        </is>
      </c>
      <c r="H10100" s="3" t="inlineStr">
        <is>
          <t>농림지역</t>
        </is>
      </c>
      <c r="I10100" s="3" t="inlineStr">
        <is>
          <t>답</t>
        </is>
      </c>
      <c r="J10100" s="3" t="inlineStr">
        <is>
          <t>연동면</t>
        </is>
      </c>
    </row>
    <row r="10101">
      <c r="A10101" s="3" t="n">
        <v>2025</v>
      </c>
      <c r="B10101" s="4" t="n">
        <v>39500</v>
      </c>
      <c r="C10101" s="4" t="n">
        <v>277</v>
      </c>
      <c r="D10101" s="4" t="n">
        <v>83.7925</v>
      </c>
      <c r="E10101" s="5" t="n">
        <v>471.4</v>
      </c>
      <c r="F10101" s="3" t="inlineStr">
        <is>
          <t>집현동</t>
        </is>
      </c>
      <c r="G10101" s="3" t="inlineStr"/>
      <c r="H10101" s="3" t="inlineStr">
        <is>
          <t>제1종전용주거지역</t>
        </is>
      </c>
      <c r="I10101" s="3" t="inlineStr">
        <is>
          <t>대</t>
        </is>
      </c>
      <c r="J10101" s="3" t="inlineStr">
        <is>
          <t>집현동</t>
        </is>
      </c>
    </row>
    <row r="10102">
      <c r="A10102" s="3" t="n">
        <v>2025</v>
      </c>
      <c r="B10102" s="4" t="n">
        <v>13915</v>
      </c>
      <c r="C10102" s="4" t="n">
        <v>46</v>
      </c>
      <c r="D10102" s="4" t="n">
        <v>13.915</v>
      </c>
      <c r="E10102" s="5" t="n">
        <v>1000</v>
      </c>
      <c r="F10102" s="3" t="inlineStr">
        <is>
          <t>금남면</t>
        </is>
      </c>
      <c r="G10102" s="3" t="inlineStr">
        <is>
          <t>도암리</t>
        </is>
      </c>
      <c r="H10102" s="3" t="inlineStr">
        <is>
          <t>자연녹지지역</t>
        </is>
      </c>
      <c r="I10102" s="3" t="inlineStr">
        <is>
          <t>전</t>
        </is>
      </c>
      <c r="J10102" s="3" t="inlineStr">
        <is>
          <t>금남면</t>
        </is>
      </c>
    </row>
    <row r="10103">
      <c r="A10103" s="3" t="n">
        <v>2025</v>
      </c>
      <c r="B10103" s="4" t="n">
        <v>8910</v>
      </c>
      <c r="C10103" s="4" t="n">
        <v>655</v>
      </c>
      <c r="D10103" s="4" t="n">
        <v>198.1375</v>
      </c>
      <c r="E10103" s="5" t="n">
        <v>45</v>
      </c>
      <c r="F10103" s="3" t="inlineStr">
        <is>
          <t>금남면</t>
        </is>
      </c>
      <c r="G10103" s="3" t="inlineStr">
        <is>
          <t>축산리</t>
        </is>
      </c>
      <c r="H10103" s="3" t="inlineStr">
        <is>
          <t>개발제한구역</t>
        </is>
      </c>
      <c r="I10103" s="3" t="inlineStr">
        <is>
          <t>전</t>
        </is>
      </c>
      <c r="J10103" s="3" t="inlineStr">
        <is>
          <t>금남면</t>
        </is>
      </c>
    </row>
    <row r="10104">
      <c r="A10104" s="3" t="n">
        <v>2025</v>
      </c>
      <c r="B10104" s="4" t="n">
        <v>2320</v>
      </c>
      <c r="C10104" s="4" t="n">
        <v>767</v>
      </c>
      <c r="D10104" s="4" t="n">
        <v>232.0175</v>
      </c>
      <c r="E10104" s="5" t="n">
        <v>10</v>
      </c>
      <c r="F10104" s="3" t="inlineStr">
        <is>
          <t>금남면</t>
        </is>
      </c>
      <c r="G10104" s="3" t="inlineStr">
        <is>
          <t>축산리</t>
        </is>
      </c>
      <c r="H10104" s="3" t="inlineStr">
        <is>
          <t>자연녹지지역</t>
        </is>
      </c>
      <c r="I10104" s="3" t="inlineStr">
        <is>
          <t>임야</t>
        </is>
      </c>
      <c r="J10104" s="3" t="inlineStr">
        <is>
          <t>금남면</t>
        </is>
      </c>
    </row>
    <row r="10105">
      <c r="A10105" s="3" t="n">
        <v>2025</v>
      </c>
      <c r="B10105" s="4" t="n">
        <v>3900</v>
      </c>
      <c r="C10105" s="4" t="n">
        <v>129</v>
      </c>
      <c r="D10105" s="4" t="n">
        <v>39.0225</v>
      </c>
      <c r="E10105" s="5" t="n">
        <v>99.90000000000001</v>
      </c>
      <c r="F10105" s="3" t="inlineStr">
        <is>
          <t>장군면</t>
        </is>
      </c>
      <c r="G10105" s="3" t="inlineStr">
        <is>
          <t>하봉리</t>
        </is>
      </c>
      <c r="H10105" s="3" t="inlineStr">
        <is>
          <t>계획관리지역</t>
        </is>
      </c>
      <c r="I10105" s="3" t="inlineStr">
        <is>
          <t>답</t>
        </is>
      </c>
      <c r="J10105" s="3" t="inlineStr">
        <is>
          <t>장군면</t>
        </is>
      </c>
    </row>
    <row r="10106">
      <c r="A10106" s="3" t="n">
        <v>2024</v>
      </c>
      <c r="B10106" s="4" t="n">
        <v>9600</v>
      </c>
      <c r="C10106" s="4" t="n">
        <v>317</v>
      </c>
      <c r="D10106" s="4" t="n">
        <v>95.8925</v>
      </c>
      <c r="E10106" s="5" t="n">
        <v>100.1</v>
      </c>
      <c r="F10106" s="3" t="inlineStr">
        <is>
          <t>금남면</t>
        </is>
      </c>
      <c r="G10106" s="3" t="inlineStr">
        <is>
          <t>원봉리</t>
        </is>
      </c>
      <c r="H10106" s="3" t="inlineStr">
        <is>
          <t>제1종일반주거지역</t>
        </is>
      </c>
      <c r="I10106" s="3" t="inlineStr">
        <is>
          <t>임야</t>
        </is>
      </c>
      <c r="J10106" s="3" t="inlineStr">
        <is>
          <t>금남면</t>
        </is>
      </c>
    </row>
    <row r="10107">
      <c r="A10107" s="3" t="n">
        <v>2024</v>
      </c>
      <c r="B10107" s="4" t="n">
        <v>300</v>
      </c>
      <c r="C10107" s="4" t="n">
        <v>18</v>
      </c>
      <c r="D10107" s="4" t="n">
        <v>5.445</v>
      </c>
      <c r="E10107" s="5" t="n">
        <v>55.1</v>
      </c>
      <c r="F10107" s="3" t="inlineStr">
        <is>
          <t>금남면</t>
        </is>
      </c>
      <c r="G10107" s="3" t="inlineStr">
        <is>
          <t>영곡리</t>
        </is>
      </c>
      <c r="H10107" s="3" t="inlineStr">
        <is>
          <t>보전관리지역</t>
        </is>
      </c>
      <c r="I10107" s="3" t="inlineStr">
        <is>
          <t>도로</t>
        </is>
      </c>
      <c r="J10107" s="3" t="inlineStr">
        <is>
          <t>금남면</t>
        </is>
      </c>
    </row>
    <row r="10108">
      <c r="A10108" s="3" t="n">
        <v>2024</v>
      </c>
      <c r="B10108" s="4" t="n">
        <v>1200</v>
      </c>
      <c r="C10108" s="4" t="n">
        <v>38</v>
      </c>
      <c r="D10108" s="4" t="n">
        <v>11.495</v>
      </c>
      <c r="E10108" s="5" t="n">
        <v>104.4</v>
      </c>
      <c r="F10108" s="3" t="inlineStr">
        <is>
          <t>금남면</t>
        </is>
      </c>
      <c r="G10108" s="3" t="inlineStr">
        <is>
          <t>영곡리</t>
        </is>
      </c>
      <c r="H10108" s="3" t="inlineStr">
        <is>
          <t>보전관리지역</t>
        </is>
      </c>
      <c r="I10108" s="3" t="inlineStr">
        <is>
          <t>도로</t>
        </is>
      </c>
      <c r="J10108" s="3" t="inlineStr">
        <is>
          <t>금남면</t>
        </is>
      </c>
    </row>
    <row r="10109">
      <c r="A10109" s="3" t="n">
        <v>2024</v>
      </c>
      <c r="B10109" s="4" t="n">
        <v>14000</v>
      </c>
      <c r="C10109" s="4" t="n">
        <v>132</v>
      </c>
      <c r="D10109" s="4" t="n">
        <v>39.93</v>
      </c>
      <c r="E10109" s="5" t="n">
        <v>350.6</v>
      </c>
      <c r="F10109" s="3" t="inlineStr">
        <is>
          <t>연동면</t>
        </is>
      </c>
      <c r="G10109" s="3" t="inlineStr">
        <is>
          <t>노송리</t>
        </is>
      </c>
      <c r="H10109" s="3" t="inlineStr">
        <is>
          <t>제1종일반주거지역</t>
        </is>
      </c>
      <c r="I10109" s="3" t="inlineStr">
        <is>
          <t>전</t>
        </is>
      </c>
      <c r="J10109" s="3" t="inlineStr">
        <is>
          <t>연동면</t>
        </is>
      </c>
    </row>
    <row r="10110">
      <c r="A10110" s="3" t="n">
        <v>2023</v>
      </c>
      <c r="B10110" s="4" t="n">
        <v>46000</v>
      </c>
      <c r="C10110" s="4" t="n">
        <v>2336</v>
      </c>
      <c r="D10110" s="4" t="n">
        <v>706.64</v>
      </c>
      <c r="E10110" s="5" t="n">
        <v>65.09999999999999</v>
      </c>
      <c r="F10110" s="3" t="inlineStr">
        <is>
          <t>전의면</t>
        </is>
      </c>
      <c r="G10110" s="3" t="inlineStr">
        <is>
          <t>관정리</t>
        </is>
      </c>
      <c r="H10110" s="3" t="inlineStr">
        <is>
          <t>농림지역</t>
        </is>
      </c>
      <c r="I10110" s="3" t="inlineStr">
        <is>
          <t>답</t>
        </is>
      </c>
      <c r="J10110" s="3" t="inlineStr">
        <is>
          <t>전의면</t>
        </is>
      </c>
    </row>
    <row r="10111">
      <c r="A10111" s="3" t="n">
        <v>2023</v>
      </c>
      <c r="B10111" s="4" t="n">
        <v>19600</v>
      </c>
      <c r="C10111" s="4" t="n">
        <v>2637</v>
      </c>
      <c r="D10111" s="4" t="n">
        <v>797.6925</v>
      </c>
      <c r="E10111" s="5" t="n">
        <v>24.6</v>
      </c>
      <c r="F10111" s="3" t="inlineStr">
        <is>
          <t>연서면</t>
        </is>
      </c>
      <c r="G10111" s="3" t="inlineStr">
        <is>
          <t>월하리</t>
        </is>
      </c>
      <c r="H10111" s="3" t="inlineStr">
        <is>
          <t>자연녹지지역</t>
        </is>
      </c>
      <c r="I10111" s="3" t="inlineStr">
        <is>
          <t>임야</t>
        </is>
      </c>
      <c r="J10111" s="3" t="inlineStr">
        <is>
          <t>연서면</t>
        </is>
      </c>
    </row>
    <row r="10112">
      <c r="A10112" s="3" t="n">
        <v>2023</v>
      </c>
      <c r="B10112" s="4" t="n">
        <v>7700</v>
      </c>
      <c r="C10112" s="4" t="n">
        <v>522</v>
      </c>
      <c r="D10112" s="4" t="n">
        <v>157.905</v>
      </c>
      <c r="E10112" s="5" t="n">
        <v>48.8</v>
      </c>
      <c r="F10112" s="3" t="inlineStr">
        <is>
          <t>부강면</t>
        </is>
      </c>
      <c r="G10112" s="3" t="inlineStr">
        <is>
          <t>산수리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부강면</t>
        </is>
      </c>
    </row>
    <row r="10113">
      <c r="A10113" s="3" t="n">
        <v>2023</v>
      </c>
      <c r="B10113" s="4" t="n">
        <v>22000</v>
      </c>
      <c r="C10113" s="4" t="n">
        <v>899</v>
      </c>
      <c r="D10113" s="4" t="n">
        <v>271.9475</v>
      </c>
      <c r="E10113" s="5" t="n">
        <v>80.90000000000001</v>
      </c>
      <c r="F10113" s="3" t="inlineStr">
        <is>
          <t>금남면</t>
        </is>
      </c>
      <c r="G10113" s="3" t="inlineStr">
        <is>
          <t>성덕리</t>
        </is>
      </c>
      <c r="H10113" s="3" t="inlineStr">
        <is>
          <t>생산관리지역</t>
        </is>
      </c>
      <c r="I10113" s="3" t="inlineStr">
        <is>
          <t>전</t>
        </is>
      </c>
      <c r="J10113" s="3" t="inlineStr">
        <is>
          <t>금남면</t>
        </is>
      </c>
    </row>
    <row r="10114">
      <c r="A10114" s="3" t="n">
        <v>2023</v>
      </c>
      <c r="B10114" s="4" t="n">
        <v>11000</v>
      </c>
      <c r="C10114" s="4" t="n">
        <v>440</v>
      </c>
      <c r="D10114" s="4" t="n">
        <v>133.1</v>
      </c>
      <c r="E10114" s="5" t="n">
        <v>82.59999999999999</v>
      </c>
      <c r="F10114" s="3" t="inlineStr">
        <is>
          <t>금남면</t>
        </is>
      </c>
      <c r="G10114" s="3" t="inlineStr">
        <is>
          <t>성덕리</t>
        </is>
      </c>
      <c r="H10114" s="3" t="inlineStr">
        <is>
          <t>생산관리지역</t>
        </is>
      </c>
      <c r="I10114" s="3" t="inlineStr">
        <is>
          <t>답</t>
        </is>
      </c>
      <c r="J10114" s="3" t="inlineStr">
        <is>
          <t>금남면</t>
        </is>
      </c>
    </row>
    <row r="10115">
      <c r="A10115" s="3" t="n">
        <v>2023</v>
      </c>
      <c r="B10115" s="4" t="n">
        <v>40400</v>
      </c>
      <c r="C10115" s="4" t="n">
        <v>1322</v>
      </c>
      <c r="D10115" s="4" t="n">
        <v>399.905</v>
      </c>
      <c r="E10115" s="5" t="n">
        <v>101</v>
      </c>
      <c r="F10115" s="3" t="inlineStr">
        <is>
          <t>전의면</t>
        </is>
      </c>
      <c r="G10115" s="3" t="inlineStr">
        <is>
          <t>다방리</t>
        </is>
      </c>
      <c r="H10115" s="3" t="inlineStr">
        <is>
          <t>농림지역</t>
        </is>
      </c>
      <c r="I10115" s="3" t="inlineStr">
        <is>
          <t>임야</t>
        </is>
      </c>
      <c r="J10115" s="3" t="inlineStr">
        <is>
          <t>전의면</t>
        </is>
      </c>
    </row>
    <row r="10116">
      <c r="A10116" s="3" t="n">
        <v>2023</v>
      </c>
      <c r="B10116" s="4" t="n">
        <v>6400</v>
      </c>
      <c r="C10116" s="4" t="n">
        <v>210</v>
      </c>
      <c r="D10116" s="4" t="n">
        <v>63.525</v>
      </c>
      <c r="E10116" s="5" t="n">
        <v>100.7</v>
      </c>
      <c r="F10116" s="3" t="inlineStr">
        <is>
          <t>금남면</t>
        </is>
      </c>
      <c r="G10116" s="3" t="inlineStr">
        <is>
          <t>대박리</t>
        </is>
      </c>
      <c r="H10116" s="3" t="inlineStr">
        <is>
          <t>자연녹지지역</t>
        </is>
      </c>
      <c r="I10116" s="3" t="inlineStr">
        <is>
          <t>전</t>
        </is>
      </c>
      <c r="J10116" s="3" t="inlineStr">
        <is>
          <t>금남면</t>
        </is>
      </c>
    </row>
    <row r="10117">
      <c r="A10117" s="3" t="n">
        <v>2023</v>
      </c>
      <c r="B10117" s="4" t="n">
        <v>5000</v>
      </c>
      <c r="C10117" s="4" t="n">
        <v>1157</v>
      </c>
      <c r="D10117" s="4" t="n">
        <v>349.9925</v>
      </c>
      <c r="E10117" s="5" t="n">
        <v>14.3</v>
      </c>
      <c r="F10117" s="3" t="inlineStr">
        <is>
          <t>전동면</t>
        </is>
      </c>
      <c r="G10117" s="3" t="inlineStr">
        <is>
          <t>봉대리</t>
        </is>
      </c>
      <c r="H10117" s="3" t="inlineStr">
        <is>
          <t>생산관리지역</t>
        </is>
      </c>
      <c r="I10117" s="3" t="inlineStr">
        <is>
          <t>답</t>
        </is>
      </c>
      <c r="J10117" s="3" t="inlineStr">
        <is>
          <t>전동면</t>
        </is>
      </c>
    </row>
    <row r="10118">
      <c r="A10118" s="3" t="n">
        <v>2025</v>
      </c>
      <c r="B10118" s="4" t="n">
        <v>38000</v>
      </c>
      <c r="C10118" s="4" t="n">
        <v>1256</v>
      </c>
      <c r="D10118" s="4" t="n">
        <v>379.94</v>
      </c>
      <c r="E10118" s="5" t="n">
        <v>100</v>
      </c>
      <c r="F10118" s="3" t="inlineStr">
        <is>
          <t>장군면</t>
        </is>
      </c>
      <c r="G10118" s="3" t="inlineStr">
        <is>
          <t>하봉리</t>
        </is>
      </c>
      <c r="H10118" s="3" t="inlineStr">
        <is>
          <t>계획관리지역</t>
        </is>
      </c>
      <c r="I10118" s="3" t="inlineStr">
        <is>
          <t>답</t>
        </is>
      </c>
      <c r="J10118" s="3" t="inlineStr">
        <is>
          <t>장군면</t>
        </is>
      </c>
    </row>
    <row r="10119">
      <c r="A10119" s="3" t="n">
        <v>2025</v>
      </c>
      <c r="B10119" s="4" t="n">
        <v>1800</v>
      </c>
      <c r="C10119" s="4" t="n">
        <v>57.85</v>
      </c>
      <c r="D10119" s="4" t="n">
        <v>17.499625</v>
      </c>
      <c r="E10119" s="5" t="n">
        <v>102.9</v>
      </c>
      <c r="F10119" s="3" t="inlineStr">
        <is>
          <t>장군면</t>
        </is>
      </c>
      <c r="G10119" s="3" t="inlineStr">
        <is>
          <t>대교리</t>
        </is>
      </c>
      <c r="H10119" s="3" t="inlineStr">
        <is>
          <t>생산관리지역</t>
        </is>
      </c>
      <c r="I10119" s="3" t="inlineStr">
        <is>
          <t>도로</t>
        </is>
      </c>
      <c r="J10119" s="3" t="inlineStr">
        <is>
          <t>장군면</t>
        </is>
      </c>
    </row>
    <row r="10120">
      <c r="A10120" s="3" t="n">
        <v>2025</v>
      </c>
      <c r="B10120" s="4" t="n">
        <v>100</v>
      </c>
      <c r="C10120" s="4" t="n">
        <v>1.65</v>
      </c>
      <c r="D10120" s="4" t="n">
        <v>0.499125</v>
      </c>
      <c r="E10120" s="5" t="n">
        <v>200.4</v>
      </c>
      <c r="F10120" s="3" t="inlineStr">
        <is>
          <t>장군면</t>
        </is>
      </c>
      <c r="G10120" s="3" t="inlineStr">
        <is>
          <t>대교리</t>
        </is>
      </c>
      <c r="H10120" s="3" t="inlineStr">
        <is>
          <t>생산관리지역</t>
        </is>
      </c>
      <c r="I10120" s="3" t="inlineStr">
        <is>
          <t>도로</t>
        </is>
      </c>
      <c r="J10120" s="3" t="inlineStr">
        <is>
          <t>장군면</t>
        </is>
      </c>
    </row>
    <row r="10121">
      <c r="A10121" s="3" t="n">
        <v>2025</v>
      </c>
      <c r="B10121" s="4" t="n">
        <v>5980</v>
      </c>
      <c r="C10121" s="4" t="n">
        <v>152</v>
      </c>
      <c r="D10121" s="4" t="n">
        <v>45.98</v>
      </c>
      <c r="E10121" s="5" t="n">
        <v>130.1</v>
      </c>
      <c r="F10121" s="3" t="inlineStr">
        <is>
          <t>조치원읍</t>
        </is>
      </c>
      <c r="G10121" s="3" t="inlineStr">
        <is>
          <t>번암리</t>
        </is>
      </c>
      <c r="H10121" s="3" t="inlineStr">
        <is>
          <t>자연녹지지역</t>
        </is>
      </c>
      <c r="I10121" s="3" t="inlineStr">
        <is>
          <t>대</t>
        </is>
      </c>
      <c r="J10121" s="3" t="inlineStr">
        <is>
          <t>조치원읍</t>
        </is>
      </c>
    </row>
    <row r="10122">
      <c r="A10122" s="3" t="n">
        <v>2025</v>
      </c>
      <c r="B10122" s="4" t="n">
        <v>9020</v>
      </c>
      <c r="C10122" s="4" t="n">
        <v>204</v>
      </c>
      <c r="D10122" s="4" t="n">
        <v>61.71</v>
      </c>
      <c r="E10122" s="5" t="n">
        <v>146.2</v>
      </c>
      <c r="F10122" s="3" t="inlineStr">
        <is>
          <t>조치원읍</t>
        </is>
      </c>
      <c r="G10122" s="3" t="inlineStr">
        <is>
          <t>번암리</t>
        </is>
      </c>
      <c r="H10122" s="3" t="inlineStr">
        <is>
          <t>자연녹지지역</t>
        </is>
      </c>
      <c r="I10122" s="3" t="inlineStr">
        <is>
          <t>창고용지</t>
        </is>
      </c>
      <c r="J10122" s="3" t="inlineStr">
        <is>
          <t>조치원읍</t>
        </is>
      </c>
    </row>
    <row r="10123">
      <c r="A10123" s="3" t="n">
        <v>2025</v>
      </c>
      <c r="B10123" s="4" t="n">
        <v>66940</v>
      </c>
      <c r="C10123" s="4" t="n">
        <v>985</v>
      </c>
      <c r="D10123" s="4" t="n">
        <v>297.9625</v>
      </c>
      <c r="E10123" s="5" t="n">
        <v>224.7</v>
      </c>
      <c r="F10123" s="3" t="inlineStr">
        <is>
          <t>조치원읍</t>
        </is>
      </c>
      <c r="G10123" s="3" t="inlineStr">
        <is>
          <t>번암리</t>
        </is>
      </c>
      <c r="H10123" s="3" t="inlineStr">
        <is>
          <t>일반공업지역</t>
        </is>
      </c>
      <c r="I10123" s="3" t="inlineStr">
        <is>
          <t>전</t>
        </is>
      </c>
      <c r="J10123" s="3" t="inlineStr">
        <is>
          <t>조치원읍</t>
        </is>
      </c>
    </row>
    <row r="10124">
      <c r="A10124" s="3" t="n">
        <v>2025</v>
      </c>
      <c r="B10124" s="4" t="n">
        <v>13660</v>
      </c>
      <c r="C10124" s="4" t="n">
        <v>201</v>
      </c>
      <c r="D10124" s="4" t="n">
        <v>60.80249999999999</v>
      </c>
      <c r="E10124" s="5" t="n">
        <v>224.7</v>
      </c>
      <c r="F10124" s="3" t="inlineStr">
        <is>
          <t>조치원읍</t>
        </is>
      </c>
      <c r="G10124" s="3" t="inlineStr">
        <is>
          <t>번암리</t>
        </is>
      </c>
      <c r="H10124" s="3" t="inlineStr">
        <is>
          <t>일반공업지역</t>
        </is>
      </c>
      <c r="I10124" s="3" t="inlineStr">
        <is>
          <t>대</t>
        </is>
      </c>
      <c r="J10124" s="3" t="inlineStr">
        <is>
          <t>조치원읍</t>
        </is>
      </c>
    </row>
    <row r="10125">
      <c r="A10125" s="3" t="n">
        <v>2025</v>
      </c>
      <c r="B10125" s="4" t="n">
        <v>65</v>
      </c>
      <c r="C10125" s="4" t="n">
        <v>107</v>
      </c>
      <c r="D10125" s="4" t="n">
        <v>32.3675</v>
      </c>
      <c r="E10125" s="5" t="n">
        <v>2</v>
      </c>
      <c r="F10125" s="3" t="inlineStr">
        <is>
          <t>조치원읍</t>
        </is>
      </c>
      <c r="G10125" s="3" t="inlineStr">
        <is>
          <t>번암리</t>
        </is>
      </c>
      <c r="H10125" s="3" t="inlineStr">
        <is>
          <t>일반공업지역</t>
        </is>
      </c>
      <c r="I10125" s="3" t="inlineStr">
        <is>
          <t>전</t>
        </is>
      </c>
      <c r="J10125" s="3" t="inlineStr">
        <is>
          <t>조치원읍</t>
        </is>
      </c>
    </row>
    <row r="10126">
      <c r="A10126" s="3" t="n">
        <v>2025</v>
      </c>
      <c r="B10126" s="4" t="n">
        <v>152600</v>
      </c>
      <c r="C10126" s="4" t="n">
        <v>2093</v>
      </c>
      <c r="D10126" s="4" t="n">
        <v>633.1324999999999</v>
      </c>
      <c r="E10126" s="5" t="n">
        <v>241</v>
      </c>
      <c r="F10126" s="3" t="inlineStr">
        <is>
          <t>조치원읍</t>
        </is>
      </c>
      <c r="G10126" s="3" t="inlineStr">
        <is>
          <t>번암리</t>
        </is>
      </c>
      <c r="H10126" s="3" t="inlineStr">
        <is>
          <t>일반공업지역</t>
        </is>
      </c>
      <c r="I10126" s="3" t="inlineStr">
        <is>
          <t>잡종지</t>
        </is>
      </c>
      <c r="J10126" s="3" t="inlineStr">
        <is>
          <t>조치원읍</t>
        </is>
      </c>
    </row>
    <row r="10127">
      <c r="A10127" s="3" t="n">
        <v>2025</v>
      </c>
      <c r="B10127" s="4" t="n">
        <v>22455</v>
      </c>
      <c r="C10127" s="4" t="n">
        <v>322</v>
      </c>
      <c r="D10127" s="4" t="n">
        <v>97.405</v>
      </c>
      <c r="E10127" s="5" t="n">
        <v>230.5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일반공업지역</t>
        </is>
      </c>
      <c r="I10127" s="3" t="inlineStr">
        <is>
          <t>대</t>
        </is>
      </c>
      <c r="J10127" s="3" t="inlineStr">
        <is>
          <t>조치원읍</t>
        </is>
      </c>
    </row>
    <row r="10128">
      <c r="A10128" s="3" t="n">
        <v>2025</v>
      </c>
      <c r="B10128" s="4" t="n">
        <v>16945</v>
      </c>
      <c r="C10128" s="4" t="n">
        <v>199</v>
      </c>
      <c r="D10128" s="4" t="n">
        <v>60.1975</v>
      </c>
      <c r="E10128" s="5" t="n">
        <v>281.5</v>
      </c>
      <c r="F10128" s="3" t="inlineStr">
        <is>
          <t>조치원읍</t>
        </is>
      </c>
      <c r="G10128" s="3" t="inlineStr">
        <is>
          <t>번암리</t>
        </is>
      </c>
      <c r="H10128" s="3" t="inlineStr">
        <is>
          <t>일반공업지역</t>
        </is>
      </c>
      <c r="I10128" s="3" t="inlineStr">
        <is>
          <t>전</t>
        </is>
      </c>
      <c r="J10128" s="3" t="inlineStr">
        <is>
          <t>조치원읍</t>
        </is>
      </c>
    </row>
    <row r="10129">
      <c r="A10129" s="3" t="n">
        <v>2024</v>
      </c>
      <c r="B10129" s="4" t="n">
        <v>34000</v>
      </c>
      <c r="C10129" s="4" t="n">
        <v>1146.3</v>
      </c>
      <c r="D10129" s="4" t="n">
        <v>346.75575</v>
      </c>
      <c r="E10129" s="5" t="n">
        <v>98.09999999999999</v>
      </c>
      <c r="F10129" s="3" t="inlineStr">
        <is>
          <t>연서면</t>
        </is>
      </c>
      <c r="G10129" s="3" t="inlineStr">
        <is>
          <t>쌍전리</t>
        </is>
      </c>
      <c r="H10129" s="3" t="inlineStr">
        <is>
          <t>농림지역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2024</v>
      </c>
      <c r="B10130" s="4" t="n">
        <v>27000</v>
      </c>
      <c r="C10130" s="4" t="n">
        <v>992</v>
      </c>
      <c r="D10130" s="4" t="n">
        <v>300.08</v>
      </c>
      <c r="E10130" s="5" t="n">
        <v>90</v>
      </c>
      <c r="F10130" s="3" t="inlineStr">
        <is>
          <t>연서면</t>
        </is>
      </c>
      <c r="G10130" s="3" t="inlineStr">
        <is>
          <t>국촌리</t>
        </is>
      </c>
      <c r="H10130" s="3" t="inlineStr">
        <is>
          <t>농림지역</t>
        </is>
      </c>
      <c r="I10130" s="3" t="inlineStr">
        <is>
          <t>과수원</t>
        </is>
      </c>
      <c r="J10130" s="3" t="inlineStr">
        <is>
          <t>연서면</t>
        </is>
      </c>
    </row>
    <row r="10131">
      <c r="A10131" s="3" t="n">
        <v>2024</v>
      </c>
      <c r="B10131" s="4" t="n">
        <v>2950</v>
      </c>
      <c r="C10131" s="4" t="n">
        <v>1145</v>
      </c>
      <c r="D10131" s="4" t="n">
        <v>346.3625</v>
      </c>
      <c r="E10131" s="5" t="n">
        <v>8.5</v>
      </c>
      <c r="F10131" s="3" t="inlineStr">
        <is>
          <t>장군면</t>
        </is>
      </c>
      <c r="G10131" s="3" t="inlineStr">
        <is>
          <t>금암리</t>
        </is>
      </c>
      <c r="H10131" s="3" t="inlineStr">
        <is>
          <t>농림지역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2024</v>
      </c>
      <c r="B10132" s="4" t="n">
        <v>1950</v>
      </c>
      <c r="C10132" s="4" t="n">
        <v>789</v>
      </c>
      <c r="D10132" s="4" t="n">
        <v>238.6725</v>
      </c>
      <c r="E10132" s="5" t="n">
        <v>8.199999999999999</v>
      </c>
      <c r="F10132" s="3" t="inlineStr">
        <is>
          <t>장군면</t>
        </is>
      </c>
      <c r="G10132" s="3" t="inlineStr">
        <is>
          <t>금암리</t>
        </is>
      </c>
      <c r="H10132" s="3" t="inlineStr">
        <is>
          <t>농림지역</t>
        </is>
      </c>
      <c r="I10132" s="3" t="inlineStr">
        <is>
          <t>임야</t>
        </is>
      </c>
      <c r="J10132" s="3" t="inlineStr">
        <is>
          <t>장군면</t>
        </is>
      </c>
    </row>
    <row r="10133">
      <c r="A10133" s="3" t="n">
        <v>2024</v>
      </c>
      <c r="B10133" s="4" t="n">
        <v>61200</v>
      </c>
      <c r="C10133" s="4" t="n">
        <v>3265</v>
      </c>
      <c r="D10133" s="4" t="n">
        <v>987.6625</v>
      </c>
      <c r="E10133" s="5" t="n">
        <v>62</v>
      </c>
      <c r="F10133" s="3" t="inlineStr">
        <is>
          <t>금남면</t>
        </is>
      </c>
      <c r="G10133" s="3" t="inlineStr">
        <is>
          <t>영대리</t>
        </is>
      </c>
      <c r="H10133" s="3" t="inlineStr">
        <is>
          <t>개발제한구역</t>
        </is>
      </c>
      <c r="I10133" s="3" t="inlineStr">
        <is>
          <t>전</t>
        </is>
      </c>
      <c r="J10133" s="3" t="inlineStr">
        <is>
          <t>금남면</t>
        </is>
      </c>
    </row>
    <row r="10134">
      <c r="A10134" s="3" t="n">
        <v>2024</v>
      </c>
      <c r="B10134" s="4" t="n">
        <v>5700</v>
      </c>
      <c r="C10134" s="4" t="n">
        <v>397</v>
      </c>
      <c r="D10134" s="4" t="n">
        <v>120.0925</v>
      </c>
      <c r="E10134" s="5" t="n">
        <v>47.5</v>
      </c>
      <c r="F10134" s="3" t="inlineStr">
        <is>
          <t>금남면</t>
        </is>
      </c>
      <c r="G10134" s="3" t="inlineStr">
        <is>
          <t>황용리</t>
        </is>
      </c>
      <c r="H10134" s="3" t="inlineStr">
        <is>
          <t>개발제한구역</t>
        </is>
      </c>
      <c r="I10134" s="3" t="inlineStr">
        <is>
          <t>전</t>
        </is>
      </c>
      <c r="J10134" s="3" t="inlineStr">
        <is>
          <t>금남면</t>
        </is>
      </c>
    </row>
    <row r="10135">
      <c r="A10135" s="3" t="n">
        <v>2024</v>
      </c>
      <c r="B10135" s="4" t="n">
        <v>9700</v>
      </c>
      <c r="C10135" s="4" t="n">
        <v>406</v>
      </c>
      <c r="D10135" s="4" t="n">
        <v>122.815</v>
      </c>
      <c r="E10135" s="5" t="n">
        <v>79</v>
      </c>
      <c r="F10135" s="3" t="inlineStr">
        <is>
          <t>전의면</t>
        </is>
      </c>
      <c r="G10135" s="3" t="inlineStr">
        <is>
          <t>양곡리</t>
        </is>
      </c>
      <c r="H10135" s="3" t="inlineStr">
        <is>
          <t>계획관리지역</t>
        </is>
      </c>
      <c r="I10135" s="3" t="inlineStr">
        <is>
          <t>전</t>
        </is>
      </c>
      <c r="J10135" s="3" t="inlineStr">
        <is>
          <t>전의면</t>
        </is>
      </c>
    </row>
    <row r="10136">
      <c r="A10136" s="3" t="n">
        <v>2024</v>
      </c>
      <c r="B10136" s="4" t="n">
        <v>34768</v>
      </c>
      <c r="C10136" s="4" t="n">
        <v>607</v>
      </c>
      <c r="D10136" s="4" t="n">
        <v>183.6175</v>
      </c>
      <c r="E10136" s="5" t="n">
        <v>189.4</v>
      </c>
      <c r="F10136" s="3" t="inlineStr">
        <is>
          <t>장군면</t>
        </is>
      </c>
      <c r="G10136" s="3" t="inlineStr">
        <is>
          <t>대교리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장군면</t>
        </is>
      </c>
    </row>
    <row r="10137">
      <c r="A10137" s="3" t="n">
        <v>2024</v>
      </c>
      <c r="B10137" s="4" t="n">
        <v>456</v>
      </c>
      <c r="C10137" s="4" t="n">
        <v>43</v>
      </c>
      <c r="D10137" s="4" t="n">
        <v>13.0075</v>
      </c>
      <c r="E10137" s="5" t="n">
        <v>35.1</v>
      </c>
      <c r="F10137" s="3" t="inlineStr">
        <is>
          <t>금남면</t>
        </is>
      </c>
      <c r="G10137" s="3" t="inlineStr">
        <is>
          <t>영대리</t>
        </is>
      </c>
      <c r="H10137" s="3" t="inlineStr">
        <is>
          <t>개발제한구역</t>
        </is>
      </c>
      <c r="I10137" s="3" t="inlineStr">
        <is>
          <t>임야</t>
        </is>
      </c>
      <c r="J10137" s="3" t="inlineStr">
        <is>
          <t>금남면</t>
        </is>
      </c>
    </row>
    <row r="10138">
      <c r="A10138" s="3" t="n">
        <v>2024</v>
      </c>
      <c r="B10138" s="4" t="n">
        <v>57000</v>
      </c>
      <c r="C10138" s="4" t="n">
        <v>395.8</v>
      </c>
      <c r="D10138" s="4" t="n">
        <v>119.7295</v>
      </c>
      <c r="E10138" s="5" t="n">
        <v>476.1</v>
      </c>
      <c r="F10138" s="3" t="inlineStr">
        <is>
          <t>한솔동</t>
        </is>
      </c>
      <c r="G10138" s="3" t="inlineStr"/>
      <c r="H10138" s="3" t="inlineStr">
        <is>
          <t>제1종전용주거지역</t>
        </is>
      </c>
      <c r="I10138" s="3" t="inlineStr">
        <is>
          <t>대</t>
        </is>
      </c>
      <c r="J10138" s="3" t="inlineStr">
        <is>
          <t>한솔동</t>
        </is>
      </c>
    </row>
    <row r="10139">
      <c r="A10139" s="3" t="n">
        <v>2024</v>
      </c>
      <c r="B10139" s="4" t="n">
        <v>500</v>
      </c>
      <c r="C10139" s="4" t="n">
        <v>259</v>
      </c>
      <c r="D10139" s="4" t="n">
        <v>78.3475</v>
      </c>
      <c r="E10139" s="5" t="n">
        <v>6.4</v>
      </c>
      <c r="F10139" s="3" t="inlineStr">
        <is>
          <t>소정면</t>
        </is>
      </c>
      <c r="G10139" s="3" t="inlineStr">
        <is>
          <t>대곡리</t>
        </is>
      </c>
      <c r="H10139" s="3" t="inlineStr">
        <is>
          <t>계획관리지역</t>
        </is>
      </c>
      <c r="I10139" s="3" t="inlineStr">
        <is>
          <t>임야</t>
        </is>
      </c>
      <c r="J10139" s="3" t="inlineStr">
        <is>
          <t>소정면</t>
        </is>
      </c>
    </row>
    <row r="10140">
      <c r="A10140" s="3" t="n">
        <v>2024</v>
      </c>
      <c r="B10140" s="4" t="n">
        <v>13500</v>
      </c>
      <c r="C10140" s="4" t="n">
        <v>145</v>
      </c>
      <c r="D10140" s="4" t="n">
        <v>43.8625</v>
      </c>
      <c r="E10140" s="5" t="n">
        <v>307.8</v>
      </c>
      <c r="F10140" s="3" t="inlineStr">
        <is>
          <t>조치원읍</t>
        </is>
      </c>
      <c r="G10140" s="3" t="inlineStr">
        <is>
          <t>번암리</t>
        </is>
      </c>
      <c r="H10140" s="3" t="inlineStr">
        <is>
          <t>제2종일반주거지역</t>
        </is>
      </c>
      <c r="I10140" s="3" t="inlineStr">
        <is>
          <t>대</t>
        </is>
      </c>
      <c r="J10140" s="3" t="inlineStr">
        <is>
          <t>조치원읍</t>
        </is>
      </c>
    </row>
    <row r="10141">
      <c r="A10141" s="3" t="n">
        <v>2024</v>
      </c>
      <c r="B10141" s="4" t="n">
        <v>15000</v>
      </c>
      <c r="C10141" s="4" t="n">
        <v>161</v>
      </c>
      <c r="D10141" s="4" t="n">
        <v>48.7025</v>
      </c>
      <c r="E10141" s="5" t="n">
        <v>308</v>
      </c>
      <c r="F10141" s="3" t="inlineStr">
        <is>
          <t>전동면</t>
        </is>
      </c>
      <c r="G10141" s="3" t="inlineStr">
        <is>
          <t>노장리</t>
        </is>
      </c>
      <c r="H10141" s="3" t="inlineStr">
        <is>
          <t>계획관리지역</t>
        </is>
      </c>
      <c r="I10141" s="3" t="inlineStr">
        <is>
          <t>전</t>
        </is>
      </c>
      <c r="J10141" s="3" t="inlineStr">
        <is>
          <t>전동면</t>
        </is>
      </c>
    </row>
    <row r="10142">
      <c r="A10142" s="3" t="n">
        <v>2024</v>
      </c>
      <c r="B10142" s="4" t="n">
        <v>18000</v>
      </c>
      <c r="C10142" s="4" t="n">
        <v>200</v>
      </c>
      <c r="D10142" s="4" t="n">
        <v>60.5</v>
      </c>
      <c r="E10142" s="5" t="n">
        <v>297.5</v>
      </c>
      <c r="F10142" s="3" t="inlineStr">
        <is>
          <t>전동면</t>
        </is>
      </c>
      <c r="G10142" s="3" t="inlineStr">
        <is>
          <t>노장리</t>
        </is>
      </c>
      <c r="H10142" s="3" t="inlineStr">
        <is>
          <t>계획관리지역</t>
        </is>
      </c>
      <c r="I10142" s="3" t="inlineStr">
        <is>
          <t>전</t>
        </is>
      </c>
      <c r="J10142" s="3" t="inlineStr">
        <is>
          <t>전동면</t>
        </is>
      </c>
    </row>
    <row r="10143">
      <c r="A10143" s="3" t="n">
        <v>2024</v>
      </c>
      <c r="B10143" s="4" t="n">
        <v>15000</v>
      </c>
      <c r="C10143" s="4" t="n">
        <v>998</v>
      </c>
      <c r="D10143" s="4" t="n">
        <v>301.895</v>
      </c>
      <c r="E10143" s="5" t="n">
        <v>49.7</v>
      </c>
      <c r="F10143" s="3" t="inlineStr">
        <is>
          <t>전의면</t>
        </is>
      </c>
      <c r="G10143" s="3" t="inlineStr">
        <is>
          <t>관정리</t>
        </is>
      </c>
      <c r="H10143" s="3" t="inlineStr">
        <is>
          <t>계획관리지역</t>
        </is>
      </c>
      <c r="I10143" s="3" t="inlineStr">
        <is>
          <t>답</t>
        </is>
      </c>
      <c r="J10143" s="3" t="inlineStr">
        <is>
          <t>전의면</t>
        </is>
      </c>
    </row>
    <row r="10144">
      <c r="A10144" s="3" t="n">
        <v>2024</v>
      </c>
      <c r="B10144" s="4" t="n">
        <v>17000</v>
      </c>
      <c r="C10144" s="4" t="n">
        <v>2895</v>
      </c>
      <c r="D10144" s="4" t="n">
        <v>875.7375</v>
      </c>
      <c r="E10144" s="5" t="n">
        <v>19.4</v>
      </c>
      <c r="F10144" s="3" t="inlineStr">
        <is>
          <t>부강면</t>
        </is>
      </c>
      <c r="G10144" s="3" t="inlineStr">
        <is>
          <t>산수리</t>
        </is>
      </c>
      <c r="H10144" s="3" t="inlineStr">
        <is>
          <t>농림지역</t>
        </is>
      </c>
      <c r="I10144" s="3" t="inlineStr">
        <is>
          <t>답</t>
        </is>
      </c>
      <c r="J10144" s="3" t="inlineStr">
        <is>
          <t>부강면</t>
        </is>
      </c>
    </row>
    <row r="10145">
      <c r="A10145" s="3" t="n">
        <v>2024</v>
      </c>
      <c r="B10145" s="4" t="n">
        <v>5524</v>
      </c>
      <c r="C10145" s="4" t="n">
        <v>91</v>
      </c>
      <c r="D10145" s="4" t="n">
        <v>27.5275</v>
      </c>
      <c r="E10145" s="5" t="n">
        <v>200.7</v>
      </c>
      <c r="F10145" s="3" t="inlineStr">
        <is>
          <t>조치원읍</t>
        </is>
      </c>
      <c r="G10145" s="3" t="inlineStr">
        <is>
          <t>신안리</t>
        </is>
      </c>
      <c r="H10145" s="3" t="inlineStr">
        <is>
          <t>자연녹지지역</t>
        </is>
      </c>
      <c r="I10145" s="3" t="inlineStr">
        <is>
          <t>구거</t>
        </is>
      </c>
      <c r="J10145" s="3" t="inlineStr">
        <is>
          <t>조치원읍</t>
        </is>
      </c>
    </row>
    <row r="10146">
      <c r="A10146" s="3" t="n">
        <v>2024</v>
      </c>
      <c r="B10146" s="4" t="n">
        <v>13700</v>
      </c>
      <c r="C10146" s="4" t="n">
        <v>901</v>
      </c>
      <c r="D10146" s="4" t="n">
        <v>272.5525</v>
      </c>
      <c r="E10146" s="5" t="n">
        <v>50.3</v>
      </c>
      <c r="F10146" s="3" t="inlineStr">
        <is>
          <t>장군면</t>
        </is>
      </c>
      <c r="G10146" s="3" t="inlineStr">
        <is>
          <t>대교리</t>
        </is>
      </c>
      <c r="H10146" s="3" t="inlineStr">
        <is>
          <t>보전관리지역</t>
        </is>
      </c>
      <c r="I10146" s="3" t="inlineStr">
        <is>
          <t>임야</t>
        </is>
      </c>
      <c r="J10146" s="3" t="inlineStr">
        <is>
          <t>장군면</t>
        </is>
      </c>
    </row>
    <row r="10147">
      <c r="A10147" s="3" t="n">
        <v>2024</v>
      </c>
      <c r="B10147" s="4" t="n">
        <v>6000</v>
      </c>
      <c r="C10147" s="4" t="n">
        <v>364</v>
      </c>
      <c r="D10147" s="4" t="n">
        <v>110.11</v>
      </c>
      <c r="E10147" s="5" t="n">
        <v>54.5</v>
      </c>
      <c r="F10147" s="3" t="inlineStr">
        <is>
          <t>전동면</t>
        </is>
      </c>
      <c r="G10147" s="3" t="inlineStr">
        <is>
          <t>송곡리</t>
        </is>
      </c>
      <c r="H10147" s="3" t="inlineStr">
        <is>
          <t>계획관리지역</t>
        </is>
      </c>
      <c r="I10147" s="3" t="inlineStr">
        <is>
          <t>전</t>
        </is>
      </c>
      <c r="J10147" s="3" t="inlineStr">
        <is>
          <t>전동면</t>
        </is>
      </c>
    </row>
    <row r="10148">
      <c r="A10148" s="3" t="n">
        <v>2024</v>
      </c>
      <c r="B10148" s="4" t="n">
        <v>10000</v>
      </c>
      <c r="C10148" s="4" t="n">
        <v>1098</v>
      </c>
      <c r="D10148" s="4" t="n">
        <v>332.145</v>
      </c>
      <c r="E10148" s="5" t="n">
        <v>30.1</v>
      </c>
      <c r="F10148" s="3" t="inlineStr">
        <is>
          <t>전동면</t>
        </is>
      </c>
      <c r="G10148" s="3" t="inlineStr">
        <is>
          <t>송정리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전동면</t>
        </is>
      </c>
    </row>
    <row r="10149">
      <c r="A10149" s="3" t="n">
        <v>2024</v>
      </c>
      <c r="B10149" s="4" t="n">
        <v>35700</v>
      </c>
      <c r="C10149" s="4" t="n">
        <v>843</v>
      </c>
      <c r="D10149" s="4" t="n">
        <v>255.0075</v>
      </c>
      <c r="E10149" s="5" t="n">
        <v>140</v>
      </c>
      <c r="F10149" s="3" t="inlineStr">
        <is>
          <t>장군면</t>
        </is>
      </c>
      <c r="G10149" s="3" t="inlineStr">
        <is>
          <t>산학리</t>
        </is>
      </c>
      <c r="H10149" s="3" t="inlineStr">
        <is>
          <t>농림지역</t>
        </is>
      </c>
      <c r="I10149" s="3" t="inlineStr">
        <is>
          <t>임야</t>
        </is>
      </c>
      <c r="J10149" s="3" t="inlineStr">
        <is>
          <t>장군면</t>
        </is>
      </c>
    </row>
    <row r="10150">
      <c r="A10150" s="3" t="n">
        <v>2024</v>
      </c>
      <c r="B10150" s="4" t="n">
        <v>78000</v>
      </c>
      <c r="C10150" s="4" t="n">
        <v>713</v>
      </c>
      <c r="D10150" s="4" t="n">
        <v>215.6825</v>
      </c>
      <c r="E10150" s="5" t="n">
        <v>361.6</v>
      </c>
      <c r="F10150" s="3" t="inlineStr">
        <is>
          <t>부강면</t>
        </is>
      </c>
      <c r="G10150" s="3" t="inlineStr">
        <is>
          <t>부강리</t>
        </is>
      </c>
      <c r="H10150" s="3" t="inlineStr">
        <is>
          <t>생산녹지지역</t>
        </is>
      </c>
      <c r="I10150" s="3" t="inlineStr">
        <is>
          <t>답</t>
        </is>
      </c>
      <c r="J10150" s="3" t="inlineStr">
        <is>
          <t>부강면</t>
        </is>
      </c>
    </row>
    <row r="10151">
      <c r="A10151" s="3" t="n">
        <v>2024</v>
      </c>
      <c r="B10151" s="4" t="n">
        <v>5000</v>
      </c>
      <c r="C10151" s="4" t="n">
        <v>55</v>
      </c>
      <c r="D10151" s="4" t="n">
        <v>16.6375</v>
      </c>
      <c r="E10151" s="5" t="n">
        <v>300.5</v>
      </c>
      <c r="F10151" s="3" t="inlineStr">
        <is>
          <t>부강면</t>
        </is>
      </c>
      <c r="G10151" s="3" t="inlineStr">
        <is>
          <t>부강리</t>
        </is>
      </c>
      <c r="H10151" s="3" t="inlineStr">
        <is>
          <t>생산녹지지역</t>
        </is>
      </c>
      <c r="I10151" s="3" t="inlineStr">
        <is>
          <t>전</t>
        </is>
      </c>
      <c r="J10151" s="3" t="inlineStr">
        <is>
          <t>부강면</t>
        </is>
      </c>
    </row>
    <row r="10152">
      <c r="A10152" s="3" t="n">
        <v>2024</v>
      </c>
      <c r="B10152" s="4" t="n">
        <v>500</v>
      </c>
      <c r="C10152" s="4" t="n">
        <v>23</v>
      </c>
      <c r="D10152" s="4" t="n">
        <v>6.9575</v>
      </c>
      <c r="E10152" s="5" t="n">
        <v>71.90000000000001</v>
      </c>
      <c r="F10152" s="3" t="inlineStr">
        <is>
          <t>연서면</t>
        </is>
      </c>
      <c r="G10152" s="3" t="inlineStr">
        <is>
          <t>부동리</t>
        </is>
      </c>
      <c r="H10152" s="3" t="inlineStr">
        <is>
          <t>계획관리지역</t>
        </is>
      </c>
      <c r="I10152" s="3" t="inlineStr">
        <is>
          <t>대</t>
        </is>
      </c>
      <c r="J10152" s="3" t="inlineStr">
        <is>
          <t>연서면</t>
        </is>
      </c>
    </row>
    <row r="10153">
      <c r="A10153" s="3" t="n">
        <v>2024</v>
      </c>
      <c r="B10153" s="4" t="n">
        <v>38710</v>
      </c>
      <c r="C10153" s="4" t="n">
        <v>914</v>
      </c>
      <c r="D10153" s="4" t="n">
        <v>276.485</v>
      </c>
      <c r="E10153" s="5" t="n">
        <v>140</v>
      </c>
      <c r="F10153" s="3" t="inlineStr">
        <is>
          <t>장군면</t>
        </is>
      </c>
      <c r="G10153" s="3" t="inlineStr">
        <is>
          <t>산학리</t>
        </is>
      </c>
      <c r="H10153" s="3" t="inlineStr">
        <is>
          <t>농림지역</t>
        </is>
      </c>
      <c r="I10153" s="3" t="inlineStr">
        <is>
          <t>임야</t>
        </is>
      </c>
      <c r="J10153" s="3" t="inlineStr">
        <is>
          <t>장군면</t>
        </is>
      </c>
    </row>
    <row r="10154">
      <c r="A10154" s="3" t="n">
        <v>2024</v>
      </c>
      <c r="B10154" s="4" t="n">
        <v>52000</v>
      </c>
      <c r="C10154" s="4" t="n">
        <v>3162</v>
      </c>
      <c r="D10154" s="4" t="n">
        <v>956.505</v>
      </c>
      <c r="E10154" s="5" t="n">
        <v>54.4</v>
      </c>
      <c r="F10154" s="3" t="inlineStr">
        <is>
          <t>전동면</t>
        </is>
      </c>
      <c r="G10154" s="3" t="inlineStr">
        <is>
          <t>송성리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전동면</t>
        </is>
      </c>
    </row>
    <row r="10155">
      <c r="A10155" s="3" t="n">
        <v>2024</v>
      </c>
      <c r="B10155" s="4" t="n">
        <v>8500</v>
      </c>
      <c r="C10155" s="4" t="n">
        <v>329</v>
      </c>
      <c r="D10155" s="4" t="n">
        <v>99.52249999999999</v>
      </c>
      <c r="E10155" s="5" t="n">
        <v>85.40000000000001</v>
      </c>
      <c r="F10155" s="3" t="inlineStr">
        <is>
          <t>금남면</t>
        </is>
      </c>
      <c r="G10155" s="3" t="inlineStr">
        <is>
          <t>영대리</t>
        </is>
      </c>
      <c r="H10155" s="3" t="inlineStr">
        <is>
          <t>개발제한구역</t>
        </is>
      </c>
      <c r="I10155" s="3" t="inlineStr">
        <is>
          <t>전</t>
        </is>
      </c>
      <c r="J10155" s="3" t="inlineStr">
        <is>
          <t>금남면</t>
        </is>
      </c>
    </row>
    <row r="10156">
      <c r="A10156" s="3" t="n">
        <v>2024</v>
      </c>
      <c r="B10156" s="4" t="n">
        <v>26000</v>
      </c>
      <c r="C10156" s="4" t="n">
        <v>2324</v>
      </c>
      <c r="D10156" s="4" t="n">
        <v>703.01</v>
      </c>
      <c r="E10156" s="5" t="n">
        <v>37</v>
      </c>
      <c r="F10156" s="3" t="inlineStr">
        <is>
          <t>전동면</t>
        </is>
      </c>
      <c r="G10156" s="3" t="inlineStr">
        <is>
          <t>미곡리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전동면</t>
        </is>
      </c>
    </row>
    <row r="10157">
      <c r="A10157" s="3" t="n">
        <v>2024</v>
      </c>
      <c r="B10157" s="4" t="n">
        <v>11732</v>
      </c>
      <c r="C10157" s="4" t="n">
        <v>453</v>
      </c>
      <c r="D10157" s="4" t="n">
        <v>137.0325</v>
      </c>
      <c r="E10157" s="5" t="n">
        <v>85.59999999999999</v>
      </c>
      <c r="F10157" s="3" t="inlineStr">
        <is>
          <t>연서면</t>
        </is>
      </c>
      <c r="G10157" s="3" t="inlineStr">
        <is>
          <t>쌍류리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연서면</t>
        </is>
      </c>
    </row>
    <row r="10158">
      <c r="A10158" s="3" t="n">
        <v>2024</v>
      </c>
      <c r="B10158" s="4" t="n">
        <v>6268</v>
      </c>
      <c r="C10158" s="4" t="n">
        <v>242</v>
      </c>
      <c r="D10158" s="4" t="n">
        <v>73.205</v>
      </c>
      <c r="E10158" s="5" t="n">
        <v>85.59999999999999</v>
      </c>
      <c r="F10158" s="3" t="inlineStr">
        <is>
          <t>연서면</t>
        </is>
      </c>
      <c r="G10158" s="3" t="inlineStr">
        <is>
          <t>쌍류리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연서면</t>
        </is>
      </c>
    </row>
    <row r="10159">
      <c r="A10159" s="3" t="n">
        <v>2024</v>
      </c>
      <c r="B10159" s="4" t="n">
        <v>23500</v>
      </c>
      <c r="C10159" s="4" t="n">
        <v>1565</v>
      </c>
      <c r="D10159" s="4" t="n">
        <v>473.4125</v>
      </c>
      <c r="E10159" s="5" t="n">
        <v>49.6</v>
      </c>
      <c r="F10159" s="3" t="inlineStr">
        <is>
          <t>연서면</t>
        </is>
      </c>
      <c r="G10159" s="3" t="inlineStr">
        <is>
          <t>용암리</t>
        </is>
      </c>
      <c r="H10159" s="3" t="inlineStr">
        <is>
          <t>생산관리지역</t>
        </is>
      </c>
      <c r="I10159" s="3" t="inlineStr">
        <is>
          <t>전</t>
        </is>
      </c>
      <c r="J10159" s="3" t="inlineStr">
        <is>
          <t>연서면</t>
        </is>
      </c>
    </row>
    <row r="10160">
      <c r="A10160" s="3" t="n">
        <v>2024</v>
      </c>
      <c r="B10160" s="4" t="n">
        <v>5000</v>
      </c>
      <c r="C10160" s="4" t="n">
        <v>33</v>
      </c>
      <c r="D10160" s="4" t="n">
        <v>9.9825</v>
      </c>
      <c r="E10160" s="5" t="n">
        <v>500.9</v>
      </c>
      <c r="F10160" s="3" t="inlineStr">
        <is>
          <t>조치원읍</t>
        </is>
      </c>
      <c r="G10160" s="3" t="inlineStr">
        <is>
          <t>봉산리</t>
        </is>
      </c>
      <c r="H10160" s="3" t="inlineStr">
        <is>
          <t>자연녹지지역</t>
        </is>
      </c>
      <c r="I10160" s="3" t="inlineStr">
        <is>
          <t>답</t>
        </is>
      </c>
      <c r="J10160" s="3" t="inlineStr">
        <is>
          <t>조치원읍</t>
        </is>
      </c>
    </row>
    <row r="10161">
      <c r="A10161" s="3" t="n">
        <v>2024</v>
      </c>
      <c r="B10161" s="4" t="n">
        <v>9200</v>
      </c>
      <c r="C10161" s="4" t="n">
        <v>757</v>
      </c>
      <c r="D10161" s="4" t="n">
        <v>228.9925</v>
      </c>
      <c r="E10161" s="5" t="n">
        <v>40.2</v>
      </c>
      <c r="F10161" s="3" t="inlineStr">
        <is>
          <t>연기면</t>
        </is>
      </c>
      <c r="G10161" s="3" t="inlineStr">
        <is>
          <t>연기리</t>
        </is>
      </c>
      <c r="H10161" s="3" t="inlineStr">
        <is>
          <t>일반공업지역</t>
        </is>
      </c>
      <c r="I10161" s="3" t="inlineStr">
        <is>
          <t>전</t>
        </is>
      </c>
      <c r="J10161" s="3" t="inlineStr">
        <is>
          <t>연기면</t>
        </is>
      </c>
    </row>
    <row r="10162">
      <c r="A10162" s="3" t="n">
        <v>2024</v>
      </c>
      <c r="B10162" s="4" t="n">
        <v>10000</v>
      </c>
      <c r="C10162" s="4" t="n">
        <v>684</v>
      </c>
      <c r="D10162" s="4" t="n">
        <v>206.91</v>
      </c>
      <c r="E10162" s="5" t="n">
        <v>48.3</v>
      </c>
      <c r="F10162" s="3" t="inlineStr">
        <is>
          <t>연기면</t>
        </is>
      </c>
      <c r="G10162" s="3" t="inlineStr">
        <is>
          <t>눌왕리</t>
        </is>
      </c>
      <c r="H10162" s="3" t="inlineStr">
        <is>
          <t>일반공업지역</t>
        </is>
      </c>
      <c r="I10162" s="3" t="inlineStr">
        <is>
          <t>전</t>
        </is>
      </c>
      <c r="J10162" s="3" t="inlineStr">
        <is>
          <t>연기면</t>
        </is>
      </c>
    </row>
    <row r="10163">
      <c r="A10163" s="3" t="n">
        <v>2024</v>
      </c>
      <c r="B10163" s="4" t="n">
        <v>29940</v>
      </c>
      <c r="C10163" s="4" t="n">
        <v>1650</v>
      </c>
      <c r="D10163" s="4" t="n">
        <v>499.125</v>
      </c>
      <c r="E10163" s="5" t="n">
        <v>60</v>
      </c>
      <c r="F10163" s="3" t="inlineStr">
        <is>
          <t>장군면</t>
        </is>
      </c>
      <c r="G10163" s="3" t="inlineStr">
        <is>
          <t>태산리</t>
        </is>
      </c>
      <c r="H10163" s="3" t="inlineStr">
        <is>
          <t>보전관리지역</t>
        </is>
      </c>
      <c r="I10163" s="3" t="inlineStr">
        <is>
          <t>전</t>
        </is>
      </c>
      <c r="J10163" s="3" t="inlineStr">
        <is>
          <t>장군면</t>
        </is>
      </c>
    </row>
    <row r="10164">
      <c r="A10164" s="3" t="n">
        <v>2024</v>
      </c>
      <c r="B10164" s="4" t="n">
        <v>2230</v>
      </c>
      <c r="C10164" s="4" t="n">
        <v>123</v>
      </c>
      <c r="D10164" s="4" t="n">
        <v>37.2075</v>
      </c>
      <c r="E10164" s="5" t="n">
        <v>59.9</v>
      </c>
      <c r="F10164" s="3" t="inlineStr">
        <is>
          <t>장군면</t>
        </is>
      </c>
      <c r="G10164" s="3" t="inlineStr">
        <is>
          <t>태산리</t>
        </is>
      </c>
      <c r="H10164" s="3" t="inlineStr">
        <is>
          <t>생산관리지역</t>
        </is>
      </c>
      <c r="I10164" s="3" t="inlineStr">
        <is>
          <t>전</t>
        </is>
      </c>
      <c r="J10164" s="3" t="inlineStr">
        <is>
          <t>장군면</t>
        </is>
      </c>
    </row>
    <row r="10165">
      <c r="A10165" s="3" t="n">
        <v>2024</v>
      </c>
      <c r="B10165" s="4" t="n">
        <v>2830</v>
      </c>
      <c r="C10165" s="4" t="n">
        <v>156</v>
      </c>
      <c r="D10165" s="4" t="n">
        <v>47.19</v>
      </c>
      <c r="E10165" s="5" t="n">
        <v>60</v>
      </c>
      <c r="F10165" s="3" t="inlineStr">
        <is>
          <t>장군면</t>
        </is>
      </c>
      <c r="G10165" s="3" t="inlineStr">
        <is>
          <t>태산리</t>
        </is>
      </c>
      <c r="H10165" s="3" t="inlineStr">
        <is>
          <t>생산관리지역</t>
        </is>
      </c>
      <c r="I10165" s="3" t="inlineStr">
        <is>
          <t>전</t>
        </is>
      </c>
      <c r="J10165" s="3" t="inlineStr">
        <is>
          <t>장군면</t>
        </is>
      </c>
    </row>
    <row r="10166">
      <c r="A10166" s="3" t="n">
        <v>2024</v>
      </c>
      <c r="B10166" s="4" t="n">
        <v>69200</v>
      </c>
      <c r="C10166" s="4" t="n">
        <v>16351</v>
      </c>
      <c r="D10166" s="4" t="n">
        <v>4946.1775</v>
      </c>
      <c r="E10166" s="5" t="n">
        <v>14</v>
      </c>
      <c r="F10166" s="3" t="inlineStr">
        <is>
          <t>장군면</t>
        </is>
      </c>
      <c r="G10166" s="3" t="inlineStr">
        <is>
          <t>태산리</t>
        </is>
      </c>
      <c r="H10166" s="3" t="inlineStr">
        <is>
          <t>보전관리지역</t>
        </is>
      </c>
      <c r="I10166" s="3" t="inlineStr">
        <is>
          <t>임야</t>
        </is>
      </c>
      <c r="J10166" s="3" t="inlineStr">
        <is>
          <t>장군면</t>
        </is>
      </c>
    </row>
    <row r="10167">
      <c r="A10167" s="3" t="n">
        <v>2024</v>
      </c>
      <c r="B10167" s="4" t="n">
        <v>22320</v>
      </c>
      <c r="C10167" s="4" t="n">
        <v>186</v>
      </c>
      <c r="D10167" s="4" t="n">
        <v>56.265</v>
      </c>
      <c r="E10167" s="5" t="n">
        <v>396.7</v>
      </c>
      <c r="F10167" s="3" t="inlineStr">
        <is>
          <t>금남면</t>
        </is>
      </c>
      <c r="G10167" s="3" t="inlineStr">
        <is>
          <t>부용리</t>
        </is>
      </c>
      <c r="H10167" s="3" t="inlineStr">
        <is>
          <t>계획관리지역</t>
        </is>
      </c>
      <c r="I10167" s="3" t="inlineStr">
        <is>
          <t>대</t>
        </is>
      </c>
      <c r="J10167" s="3" t="inlineStr">
        <is>
          <t>금남면</t>
        </is>
      </c>
    </row>
    <row r="10168">
      <c r="A10168" s="3" t="n">
        <v>2023</v>
      </c>
      <c r="B10168" s="4" t="n">
        <v>35000</v>
      </c>
      <c r="C10168" s="4" t="n">
        <v>489</v>
      </c>
      <c r="D10168" s="4" t="n">
        <v>147.9225</v>
      </c>
      <c r="E10168" s="5" t="n">
        <v>236.6</v>
      </c>
      <c r="F10168" s="3" t="inlineStr">
        <is>
          <t>금남면</t>
        </is>
      </c>
      <c r="G10168" s="3" t="inlineStr">
        <is>
          <t>도남리</t>
        </is>
      </c>
      <c r="H10168" s="3" t="inlineStr">
        <is>
          <t>계획관리지역</t>
        </is>
      </c>
      <c r="I10168" s="3" t="inlineStr">
        <is>
          <t>대</t>
        </is>
      </c>
      <c r="J10168" s="3" t="inlineStr">
        <is>
          <t>금남면</t>
        </is>
      </c>
    </row>
    <row r="10169">
      <c r="A10169" s="3" t="n">
        <v>2023</v>
      </c>
      <c r="B10169" s="4" t="n">
        <v>36935</v>
      </c>
      <c r="C10169" s="4" t="n">
        <v>310</v>
      </c>
      <c r="D10169" s="4" t="n">
        <v>93.77499999999999</v>
      </c>
      <c r="E10169" s="5" t="n">
        <v>393.9</v>
      </c>
      <c r="F10169" s="3" t="inlineStr">
        <is>
          <t>조치원읍</t>
        </is>
      </c>
      <c r="G10169" s="3" t="inlineStr">
        <is>
          <t>신흥리</t>
        </is>
      </c>
      <c r="H10169" s="3" t="inlineStr">
        <is>
          <t>제2종일반주거지역</t>
        </is>
      </c>
      <c r="I10169" s="3" t="inlineStr">
        <is>
          <t>전</t>
        </is>
      </c>
      <c r="J10169" s="3" t="inlineStr">
        <is>
          <t>조치원읍</t>
        </is>
      </c>
    </row>
    <row r="10170">
      <c r="A10170" s="3" t="n">
        <v>2023</v>
      </c>
      <c r="B10170" s="4" t="n">
        <v>27642</v>
      </c>
      <c r="C10170" s="4" t="n">
        <v>232</v>
      </c>
      <c r="D10170" s="4" t="n">
        <v>70.17999999999999</v>
      </c>
      <c r="E10170" s="5" t="n">
        <v>393.9</v>
      </c>
      <c r="F10170" s="3" t="inlineStr">
        <is>
          <t>조치원읍</t>
        </is>
      </c>
      <c r="G10170" s="3" t="inlineStr">
        <is>
          <t>신흥리</t>
        </is>
      </c>
      <c r="H10170" s="3" t="inlineStr">
        <is>
          <t>제2종일반주거지역</t>
        </is>
      </c>
      <c r="I10170" s="3" t="inlineStr">
        <is>
          <t>전</t>
        </is>
      </c>
      <c r="J10170" s="3" t="inlineStr">
        <is>
          <t>조치원읍</t>
        </is>
      </c>
    </row>
    <row r="10171">
      <c r="A10171" s="3" t="n">
        <v>2023</v>
      </c>
      <c r="B10171" s="4" t="n">
        <v>15423</v>
      </c>
      <c r="C10171" s="4" t="n">
        <v>165</v>
      </c>
      <c r="D10171" s="4" t="n">
        <v>49.9125</v>
      </c>
      <c r="E10171" s="5" t="n">
        <v>309</v>
      </c>
      <c r="F10171" s="3" t="inlineStr">
        <is>
          <t>조치원읍</t>
        </is>
      </c>
      <c r="G10171" s="3" t="inlineStr">
        <is>
          <t>신흥리</t>
        </is>
      </c>
      <c r="H10171" s="3" t="inlineStr">
        <is>
          <t>제2종일반주거지역</t>
        </is>
      </c>
      <c r="I10171" s="3" t="inlineStr">
        <is>
          <t>전</t>
        </is>
      </c>
      <c r="J10171" s="3" t="inlineStr">
        <is>
          <t>조치원읍</t>
        </is>
      </c>
    </row>
    <row r="10172">
      <c r="A10172" s="3" t="n">
        <v>2023</v>
      </c>
      <c r="B10172" s="4" t="n">
        <v>22210</v>
      </c>
      <c r="C10172" s="4" t="n">
        <v>1049</v>
      </c>
      <c r="D10172" s="4" t="n">
        <v>317.3225</v>
      </c>
      <c r="E10172" s="5" t="n">
        <v>70</v>
      </c>
      <c r="F10172" s="3" t="inlineStr">
        <is>
          <t>금남면</t>
        </is>
      </c>
      <c r="G10172" s="3" t="inlineStr">
        <is>
          <t>영대리</t>
        </is>
      </c>
      <c r="H10172" s="3" t="inlineStr">
        <is>
          <t>자연녹지지역</t>
        </is>
      </c>
      <c r="I10172" s="3" t="inlineStr">
        <is>
          <t>전</t>
        </is>
      </c>
      <c r="J10172" s="3" t="inlineStr">
        <is>
          <t>금남면</t>
        </is>
      </c>
    </row>
    <row r="10173">
      <c r="A10173" s="3" t="n">
        <v>2023</v>
      </c>
      <c r="B10173" s="4" t="n">
        <v>30000</v>
      </c>
      <c r="C10173" s="4" t="n">
        <v>1321</v>
      </c>
      <c r="D10173" s="4" t="n">
        <v>399.6025</v>
      </c>
      <c r="E10173" s="5" t="n">
        <v>75.09999999999999</v>
      </c>
      <c r="F10173" s="3" t="inlineStr">
        <is>
          <t>부강면</t>
        </is>
      </c>
      <c r="G10173" s="3" t="inlineStr">
        <is>
          <t>금호리</t>
        </is>
      </c>
      <c r="H10173" s="3" t="inlineStr">
        <is>
          <t>생산관리지역</t>
        </is>
      </c>
      <c r="I10173" s="3" t="inlineStr">
        <is>
          <t>전</t>
        </is>
      </c>
      <c r="J10173" s="3" t="inlineStr">
        <is>
          <t>부강면</t>
        </is>
      </c>
    </row>
    <row r="10174">
      <c r="A10174" s="3" t="n">
        <v>2023</v>
      </c>
      <c r="B10174" s="4" t="n">
        <v>95000</v>
      </c>
      <c r="C10174" s="4" t="n">
        <v>2686</v>
      </c>
      <c r="D10174" s="4" t="n">
        <v>812.515</v>
      </c>
      <c r="E10174" s="5" t="n">
        <v>116.9</v>
      </c>
      <c r="F10174" s="3" t="inlineStr">
        <is>
          <t>연서면</t>
        </is>
      </c>
      <c r="G10174" s="3" t="inlineStr">
        <is>
          <t>신대리</t>
        </is>
      </c>
      <c r="H10174" s="3" t="inlineStr">
        <is>
          <t>계획관리지역</t>
        </is>
      </c>
      <c r="I10174" s="3" t="inlineStr">
        <is>
          <t>잡종지</t>
        </is>
      </c>
      <c r="J10174" s="3" t="inlineStr">
        <is>
          <t>연서면</t>
        </is>
      </c>
    </row>
    <row r="10175">
      <c r="A10175" s="3" t="n">
        <v>2023</v>
      </c>
      <c r="B10175" s="4" t="n">
        <v>11300</v>
      </c>
      <c r="C10175" s="4" t="n">
        <v>473</v>
      </c>
      <c r="D10175" s="4" t="n">
        <v>143.0825</v>
      </c>
      <c r="E10175" s="5" t="n">
        <v>79</v>
      </c>
      <c r="F10175" s="3" t="inlineStr">
        <is>
          <t>연서면</t>
        </is>
      </c>
      <c r="G10175" s="3" t="inlineStr">
        <is>
          <t>신대리</t>
        </is>
      </c>
      <c r="H10175" s="3" t="inlineStr">
        <is>
          <t>보전관리지역</t>
        </is>
      </c>
      <c r="I10175" s="3" t="inlineStr">
        <is>
          <t>답</t>
        </is>
      </c>
      <c r="J10175" s="3" t="inlineStr">
        <is>
          <t>연서면</t>
        </is>
      </c>
    </row>
    <row r="10176">
      <c r="A10176" s="3" t="n">
        <v>2023</v>
      </c>
      <c r="B10176" s="4" t="n">
        <v>58700</v>
      </c>
      <c r="C10176" s="4" t="n">
        <v>2460</v>
      </c>
      <c r="D10176" s="4" t="n">
        <v>744.15</v>
      </c>
      <c r="E10176" s="5" t="n">
        <v>78.90000000000001</v>
      </c>
      <c r="F10176" s="3" t="inlineStr">
        <is>
          <t>연서면</t>
        </is>
      </c>
      <c r="G10176" s="3" t="inlineStr">
        <is>
          <t>신대리</t>
        </is>
      </c>
      <c r="H10176" s="3" t="inlineStr">
        <is>
          <t>계획관리지역</t>
        </is>
      </c>
      <c r="I10176" s="3" t="inlineStr">
        <is>
          <t>답</t>
        </is>
      </c>
      <c r="J10176" s="3" t="inlineStr">
        <is>
          <t>연서면</t>
        </is>
      </c>
    </row>
    <row r="10177">
      <c r="A10177" s="3" t="n">
        <v>2023</v>
      </c>
      <c r="B10177" s="4" t="n">
        <v>4500</v>
      </c>
      <c r="C10177" s="4" t="n">
        <v>92</v>
      </c>
      <c r="D10177" s="4" t="n">
        <v>27.83</v>
      </c>
      <c r="E10177" s="5" t="n">
        <v>161.7</v>
      </c>
      <c r="F10177" s="3" t="inlineStr">
        <is>
          <t>전의면</t>
        </is>
      </c>
      <c r="G10177" s="3" t="inlineStr">
        <is>
          <t>동교리</t>
        </is>
      </c>
      <c r="H10177" s="3" t="inlineStr">
        <is>
          <t>제1종일반주거지역</t>
        </is>
      </c>
      <c r="I10177" s="3" t="inlineStr">
        <is>
          <t>전</t>
        </is>
      </c>
      <c r="J10177" s="3" t="inlineStr">
        <is>
          <t>전의면</t>
        </is>
      </c>
    </row>
    <row r="10178">
      <c r="A10178" s="3" t="n">
        <v>2023</v>
      </c>
      <c r="B10178" s="4" t="n">
        <v>98000</v>
      </c>
      <c r="C10178" s="4" t="n">
        <v>2686</v>
      </c>
      <c r="D10178" s="4" t="n">
        <v>812.515</v>
      </c>
      <c r="E10178" s="5" t="n">
        <v>120.6</v>
      </c>
      <c r="F10178" s="3" t="inlineStr">
        <is>
          <t>연서면</t>
        </is>
      </c>
      <c r="G10178" s="3" t="inlineStr">
        <is>
          <t>신대리</t>
        </is>
      </c>
      <c r="H10178" s="3" t="inlineStr">
        <is>
          <t>계획관리지역</t>
        </is>
      </c>
      <c r="I10178" s="3" t="inlineStr">
        <is>
          <t>잡종지</t>
        </is>
      </c>
      <c r="J10178" s="3" t="inlineStr">
        <is>
          <t>연서면</t>
        </is>
      </c>
    </row>
    <row r="10179">
      <c r="A10179" s="3" t="n">
        <v>2023</v>
      </c>
      <c r="B10179" s="4" t="n">
        <v>975</v>
      </c>
      <c r="C10179" s="4" t="n">
        <v>5693</v>
      </c>
      <c r="D10179" s="4" t="n">
        <v>1722.1325</v>
      </c>
      <c r="E10179" s="5" t="n">
        <v>0.6</v>
      </c>
      <c r="F10179" s="3" t="inlineStr">
        <is>
          <t>전의면</t>
        </is>
      </c>
      <c r="G10179" s="3" t="inlineStr">
        <is>
          <t>동교리</t>
        </is>
      </c>
      <c r="H10179" s="3" t="inlineStr">
        <is>
          <t>농림지역</t>
        </is>
      </c>
      <c r="I10179" s="3" t="inlineStr">
        <is>
          <t>임야</t>
        </is>
      </c>
      <c r="J10179" s="3" t="inlineStr">
        <is>
          <t>전의면</t>
        </is>
      </c>
    </row>
    <row r="10180">
      <c r="A10180" s="3" t="n">
        <v>2023</v>
      </c>
      <c r="B10180" s="4" t="n">
        <v>16800</v>
      </c>
      <c r="C10180" s="4" t="n">
        <v>1388</v>
      </c>
      <c r="D10180" s="4" t="n">
        <v>419.87</v>
      </c>
      <c r="E10180" s="5" t="n">
        <v>40</v>
      </c>
      <c r="F10180" s="3" t="inlineStr">
        <is>
          <t>부강면</t>
        </is>
      </c>
      <c r="G10180" s="3" t="inlineStr">
        <is>
          <t>노호리</t>
        </is>
      </c>
      <c r="H10180" s="3" t="inlineStr">
        <is>
          <t>생산관리지역</t>
        </is>
      </c>
      <c r="I10180" s="3" t="inlineStr">
        <is>
          <t>답</t>
        </is>
      </c>
      <c r="J10180" s="3" t="inlineStr">
        <is>
          <t>부강면</t>
        </is>
      </c>
    </row>
    <row r="10181">
      <c r="A10181" s="3" t="n">
        <v>2023</v>
      </c>
      <c r="B10181" s="4" t="n">
        <v>8500</v>
      </c>
      <c r="C10181" s="4" t="n">
        <v>704</v>
      </c>
      <c r="D10181" s="4" t="n">
        <v>212.96</v>
      </c>
      <c r="E10181" s="5" t="n">
        <v>39.9</v>
      </c>
      <c r="F10181" s="3" t="inlineStr">
        <is>
          <t>부강면</t>
        </is>
      </c>
      <c r="G10181" s="3" t="inlineStr">
        <is>
          <t>노호리</t>
        </is>
      </c>
      <c r="H10181" s="3" t="inlineStr">
        <is>
          <t>생산관리지역</t>
        </is>
      </c>
      <c r="I10181" s="3" t="inlineStr">
        <is>
          <t>답</t>
        </is>
      </c>
      <c r="J10181" s="3" t="inlineStr">
        <is>
          <t>부강면</t>
        </is>
      </c>
    </row>
    <row r="10182">
      <c r="A10182" s="3" t="n">
        <v>2023</v>
      </c>
      <c r="B10182" s="4" t="n">
        <v>7000</v>
      </c>
      <c r="C10182" s="4" t="n">
        <v>367</v>
      </c>
      <c r="D10182" s="4" t="n">
        <v>111.0175</v>
      </c>
      <c r="E10182" s="5" t="n">
        <v>63.1</v>
      </c>
      <c r="F10182" s="3" t="inlineStr">
        <is>
          <t>전동면</t>
        </is>
      </c>
      <c r="G10182" s="3" t="inlineStr">
        <is>
          <t>심중리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전동면</t>
        </is>
      </c>
    </row>
    <row r="10183">
      <c r="A10183" s="3" t="n">
        <v>2023</v>
      </c>
      <c r="B10183" s="4" t="n">
        <v>2600</v>
      </c>
      <c r="C10183" s="4" t="n">
        <v>110</v>
      </c>
      <c r="D10183" s="4" t="n">
        <v>33.275</v>
      </c>
      <c r="E10183" s="5" t="n">
        <v>78.09999999999999</v>
      </c>
      <c r="F10183" s="3" t="inlineStr">
        <is>
          <t>연서면</t>
        </is>
      </c>
      <c r="G10183" s="3" t="inlineStr">
        <is>
          <t>쌍류리</t>
        </is>
      </c>
      <c r="H10183" s="3" t="inlineStr">
        <is>
          <t>생산관리지역</t>
        </is>
      </c>
      <c r="I10183" s="3" t="inlineStr">
        <is>
          <t>전</t>
        </is>
      </c>
      <c r="J10183" s="3" t="inlineStr">
        <is>
          <t>연서면</t>
        </is>
      </c>
    </row>
    <row r="10184">
      <c r="A10184" s="3" t="n">
        <v>2023</v>
      </c>
      <c r="B10184" s="4" t="n">
        <v>154</v>
      </c>
      <c r="C10184" s="4" t="n">
        <v>11</v>
      </c>
      <c r="D10184" s="4" t="n">
        <v>3.3275</v>
      </c>
      <c r="E10184" s="5" t="n">
        <v>46.3</v>
      </c>
      <c r="F10184" s="3" t="inlineStr">
        <is>
          <t>연동면</t>
        </is>
      </c>
      <c r="G10184" s="3" t="inlineStr">
        <is>
          <t>내판리</t>
        </is>
      </c>
      <c r="H10184" s="3" t="inlineStr">
        <is>
          <t>계획관리지역</t>
        </is>
      </c>
      <c r="I10184" s="3" t="inlineStr">
        <is>
          <t>임야</t>
        </is>
      </c>
      <c r="J10184" s="3" t="inlineStr">
        <is>
          <t>연동면</t>
        </is>
      </c>
    </row>
    <row r="10185">
      <c r="A10185" s="3" t="n">
        <v>2023</v>
      </c>
      <c r="B10185" s="4" t="n">
        <v>8346</v>
      </c>
      <c r="C10185" s="4" t="n">
        <v>597</v>
      </c>
      <c r="D10185" s="4" t="n">
        <v>180.5925</v>
      </c>
      <c r="E10185" s="5" t="n">
        <v>46.2</v>
      </c>
      <c r="F10185" s="3" t="inlineStr">
        <is>
          <t>연동면</t>
        </is>
      </c>
      <c r="G10185" s="3" t="inlineStr">
        <is>
          <t>내판리</t>
        </is>
      </c>
      <c r="H10185" s="3" t="inlineStr">
        <is>
          <t>계획관리지역</t>
        </is>
      </c>
      <c r="I10185" s="3" t="inlineStr">
        <is>
          <t>대</t>
        </is>
      </c>
      <c r="J10185" s="3" t="inlineStr">
        <is>
          <t>연동면</t>
        </is>
      </c>
    </row>
    <row r="10186">
      <c r="A10186" s="3" t="n">
        <v>2023</v>
      </c>
      <c r="B10186" s="4" t="n">
        <v>50</v>
      </c>
      <c r="C10186" s="4" t="n">
        <v>5</v>
      </c>
      <c r="D10186" s="4" t="n">
        <v>1.5125</v>
      </c>
      <c r="E10186" s="5" t="n">
        <v>33.1</v>
      </c>
      <c r="F10186" s="3" t="inlineStr">
        <is>
          <t>연동면</t>
        </is>
      </c>
      <c r="G10186" s="3" t="inlineStr">
        <is>
          <t>내판리</t>
        </is>
      </c>
      <c r="H10186" s="3" t="inlineStr">
        <is>
          <t>계획관리지역</t>
        </is>
      </c>
      <c r="I10186" s="3" t="inlineStr">
        <is>
          <t>대</t>
        </is>
      </c>
      <c r="J10186" s="3" t="inlineStr">
        <is>
          <t>연동면</t>
        </is>
      </c>
    </row>
    <row r="10187">
      <c r="A10187" s="3" t="n">
        <v>2023</v>
      </c>
      <c r="B10187" s="4" t="n">
        <v>7500</v>
      </c>
      <c r="C10187" s="4" t="n">
        <v>167</v>
      </c>
      <c r="D10187" s="4" t="n">
        <v>50.5175</v>
      </c>
      <c r="E10187" s="5" t="n">
        <v>148.5</v>
      </c>
      <c r="F10187" s="3" t="inlineStr">
        <is>
          <t>연동면</t>
        </is>
      </c>
      <c r="G10187" s="3" t="inlineStr">
        <is>
          <t>내판리</t>
        </is>
      </c>
      <c r="H10187" s="3" t="inlineStr">
        <is>
          <t>계획관리지역</t>
        </is>
      </c>
      <c r="I10187" s="3" t="inlineStr">
        <is>
          <t>대</t>
        </is>
      </c>
      <c r="J10187" s="3" t="inlineStr">
        <is>
          <t>연동면</t>
        </is>
      </c>
    </row>
    <row r="10188">
      <c r="A10188" s="3" t="n">
        <v>2023</v>
      </c>
      <c r="B10188" s="4" t="n">
        <v>3300</v>
      </c>
      <c r="C10188" s="4" t="n">
        <v>74</v>
      </c>
      <c r="D10188" s="4" t="n">
        <v>22.385</v>
      </c>
      <c r="E10188" s="5" t="n">
        <v>147.4</v>
      </c>
      <c r="F10188" s="3" t="inlineStr">
        <is>
          <t>연동면</t>
        </is>
      </c>
      <c r="G10188" s="3" t="inlineStr">
        <is>
          <t>내판리</t>
        </is>
      </c>
      <c r="H10188" s="3" t="inlineStr">
        <is>
          <t>계획관리지역</t>
        </is>
      </c>
      <c r="I10188" s="3" t="inlineStr">
        <is>
          <t>대</t>
        </is>
      </c>
      <c r="J10188" s="3" t="inlineStr">
        <is>
          <t>연동면</t>
        </is>
      </c>
    </row>
    <row r="10189">
      <c r="A10189" s="3" t="n">
        <v>2023</v>
      </c>
      <c r="B10189" s="4" t="n">
        <v>3930</v>
      </c>
      <c r="C10189" s="4" t="n">
        <v>89</v>
      </c>
      <c r="D10189" s="4" t="n">
        <v>26.9225</v>
      </c>
      <c r="E10189" s="5" t="n">
        <v>146</v>
      </c>
      <c r="F10189" s="3" t="inlineStr">
        <is>
          <t>연동면</t>
        </is>
      </c>
      <c r="G10189" s="3" t="inlineStr">
        <is>
          <t>내판리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연동면</t>
        </is>
      </c>
    </row>
    <row r="10190">
      <c r="A10190" s="3" t="n">
        <v>2023</v>
      </c>
      <c r="B10190" s="4" t="n">
        <v>270</v>
      </c>
      <c r="C10190" s="4" t="n">
        <v>6</v>
      </c>
      <c r="D10190" s="4" t="n">
        <v>1.815</v>
      </c>
      <c r="E10190" s="5" t="n">
        <v>148.8</v>
      </c>
      <c r="F10190" s="3" t="inlineStr">
        <is>
          <t>연동면</t>
        </is>
      </c>
      <c r="G10190" s="3" t="inlineStr">
        <is>
          <t>내판리</t>
        </is>
      </c>
      <c r="H10190" s="3" t="inlineStr">
        <is>
          <t>계획관리지역</t>
        </is>
      </c>
      <c r="I10190" s="3" t="inlineStr">
        <is>
          <t>대</t>
        </is>
      </c>
      <c r="J10190" s="3" t="inlineStr">
        <is>
          <t>연동면</t>
        </is>
      </c>
    </row>
    <row r="10191">
      <c r="A10191" s="3" t="n">
        <v>2022</v>
      </c>
      <c r="B10191" s="4" t="n">
        <v>61972</v>
      </c>
      <c r="C10191" s="4" t="n">
        <v>6883</v>
      </c>
      <c r="D10191" s="4" t="n">
        <v>2082.1075</v>
      </c>
      <c r="E10191" s="5" t="n">
        <v>29.8</v>
      </c>
      <c r="F10191" s="3" t="inlineStr">
        <is>
          <t>남이면</t>
        </is>
      </c>
      <c r="G10191" s="3" t="inlineStr">
        <is>
          <t>수대리</t>
        </is>
      </c>
      <c r="H10191" s="3" t="inlineStr">
        <is>
          <t>보전녹지지역</t>
        </is>
      </c>
      <c r="I10191" s="3" t="inlineStr">
        <is>
          <t>임야</t>
        </is>
      </c>
      <c r="J10191" s="3" t="inlineStr">
        <is>
          <t>남이면</t>
        </is>
      </c>
    </row>
    <row r="10192">
      <c r="A10192" s="3" t="n">
        <v>2022</v>
      </c>
      <c r="B10192" s="4" t="n">
        <v>8084</v>
      </c>
      <c r="C10192" s="4" t="n">
        <v>678</v>
      </c>
      <c r="D10192" s="4" t="n">
        <v>205.095</v>
      </c>
      <c r="E10192" s="5" t="n">
        <v>39.4</v>
      </c>
      <c r="F10192" s="3" t="inlineStr">
        <is>
          <t>남이면</t>
        </is>
      </c>
      <c r="G10192" s="3" t="inlineStr">
        <is>
          <t>수대리</t>
        </is>
      </c>
      <c r="H10192" s="3" t="inlineStr">
        <is>
          <t>보전녹지지역</t>
        </is>
      </c>
      <c r="I10192" s="3" t="inlineStr">
        <is>
          <t>임야</t>
        </is>
      </c>
      <c r="J10192" s="3" t="inlineStr">
        <is>
          <t>남이면</t>
        </is>
      </c>
    </row>
    <row r="10193">
      <c r="A10193" s="3" t="n">
        <v>2022</v>
      </c>
      <c r="B10193" s="4" t="n">
        <v>3414</v>
      </c>
      <c r="C10193" s="4" t="n">
        <v>407</v>
      </c>
      <c r="D10193" s="4" t="n">
        <v>123.1175</v>
      </c>
      <c r="E10193" s="5" t="n">
        <v>27.7</v>
      </c>
      <c r="F10193" s="3" t="inlineStr">
        <is>
          <t>남이면</t>
        </is>
      </c>
      <c r="G10193" s="3" t="inlineStr">
        <is>
          <t>수대리</t>
        </is>
      </c>
      <c r="H10193" s="3" t="inlineStr">
        <is>
          <t>보전녹지지역</t>
        </is>
      </c>
      <c r="I10193" s="3" t="inlineStr">
        <is>
          <t>임야</t>
        </is>
      </c>
      <c r="J10193" s="3" t="inlineStr">
        <is>
          <t>남이면</t>
        </is>
      </c>
    </row>
    <row r="10194">
      <c r="A10194" s="3" t="n">
        <v>2022</v>
      </c>
      <c r="B10194" s="4" t="n">
        <v>5346</v>
      </c>
      <c r="C10194" s="4" t="n">
        <v>572</v>
      </c>
      <c r="D10194" s="4" t="n">
        <v>173.03</v>
      </c>
      <c r="E10194" s="5" t="n">
        <v>30.9</v>
      </c>
      <c r="F10194" s="3" t="inlineStr">
        <is>
          <t>남이면</t>
        </is>
      </c>
      <c r="G10194" s="3" t="inlineStr">
        <is>
          <t>수대리</t>
        </is>
      </c>
      <c r="H10194" s="3" t="inlineStr">
        <is>
          <t>보전녹지지역</t>
        </is>
      </c>
      <c r="I10194" s="3" t="inlineStr">
        <is>
          <t>임야</t>
        </is>
      </c>
      <c r="J10194" s="3" t="inlineStr">
        <is>
          <t>남이면</t>
        </is>
      </c>
    </row>
    <row r="10195">
      <c r="A10195" s="3" t="n">
        <v>2022</v>
      </c>
      <c r="B10195" s="4" t="n">
        <v>20000</v>
      </c>
      <c r="C10195" s="4" t="n">
        <v>1699</v>
      </c>
      <c r="D10195" s="4" t="n">
        <v>513.9475</v>
      </c>
      <c r="E10195" s="5" t="n">
        <v>38.9</v>
      </c>
      <c r="F10195" s="3" t="inlineStr">
        <is>
          <t>남이면</t>
        </is>
      </c>
      <c r="G10195" s="3" t="inlineStr">
        <is>
          <t>산막리</t>
        </is>
      </c>
      <c r="H10195" s="3" t="inlineStr">
        <is>
          <t>생산관리지역</t>
        </is>
      </c>
      <c r="I10195" s="3" t="inlineStr">
        <is>
          <t>전</t>
        </is>
      </c>
      <c r="J10195" s="3" t="inlineStr">
        <is>
          <t>남이면</t>
        </is>
      </c>
    </row>
    <row r="10196">
      <c r="A10196" s="3" t="n">
        <v>2022</v>
      </c>
      <c r="B10196" s="4" t="n">
        <v>10000</v>
      </c>
      <c r="C10196" s="4" t="n">
        <v>332</v>
      </c>
      <c r="D10196" s="4" t="n">
        <v>100.43</v>
      </c>
      <c r="E10196" s="5" t="n">
        <v>99.59999999999999</v>
      </c>
      <c r="F10196" s="3" t="inlineStr">
        <is>
          <t>남이면</t>
        </is>
      </c>
      <c r="G10196" s="3" t="inlineStr">
        <is>
          <t>부용외천리</t>
        </is>
      </c>
      <c r="H10196" s="3" t="inlineStr">
        <is>
          <t>계획관리지역</t>
        </is>
      </c>
      <c r="I10196" s="3" t="inlineStr">
        <is>
          <t>답</t>
        </is>
      </c>
      <c r="J10196" s="3" t="inlineStr">
        <is>
          <t>남이면</t>
        </is>
      </c>
    </row>
    <row r="10197">
      <c r="A10197" s="3" t="n">
        <v>2022</v>
      </c>
      <c r="B10197" s="4" t="n">
        <v>57600</v>
      </c>
      <c r="C10197" s="4" t="n">
        <v>2644</v>
      </c>
      <c r="D10197" s="4" t="n">
        <v>799.8099999999999</v>
      </c>
      <c r="E10197" s="5" t="n">
        <v>72</v>
      </c>
      <c r="F10197" s="3" t="inlineStr">
        <is>
          <t>남이면</t>
        </is>
      </c>
      <c r="G10197" s="3" t="inlineStr">
        <is>
          <t>팔봉리</t>
        </is>
      </c>
      <c r="H10197" s="3" t="inlineStr">
        <is>
          <t>자연녹지지역</t>
        </is>
      </c>
      <c r="I10197" s="3" t="inlineStr">
        <is>
          <t>목장용지</t>
        </is>
      </c>
      <c r="J10197" s="3" t="inlineStr">
        <is>
          <t>남이면</t>
        </is>
      </c>
    </row>
    <row r="10198">
      <c r="A10198" s="3" t="n">
        <v>2022</v>
      </c>
      <c r="B10198" s="4" t="n">
        <v>5000</v>
      </c>
      <c r="C10198" s="4" t="n">
        <v>549</v>
      </c>
      <c r="D10198" s="4" t="n">
        <v>166.0725</v>
      </c>
      <c r="E10198" s="5" t="n">
        <v>30.1</v>
      </c>
      <c r="F10198" s="3" t="inlineStr">
        <is>
          <t>남이면</t>
        </is>
      </c>
      <c r="G10198" s="3" t="inlineStr">
        <is>
          <t>사동리</t>
        </is>
      </c>
      <c r="H10198" s="3" t="inlineStr">
        <is>
          <t>생산관리지역</t>
        </is>
      </c>
      <c r="I10198" s="3" t="inlineStr">
        <is>
          <t>답</t>
        </is>
      </c>
      <c r="J10198" s="3" t="inlineStr">
        <is>
          <t>남이면</t>
        </is>
      </c>
    </row>
    <row r="10199">
      <c r="A10199" s="3" t="n">
        <v>2022</v>
      </c>
      <c r="B10199" s="4" t="n">
        <v>4000</v>
      </c>
      <c r="C10199" s="4" t="n">
        <v>374</v>
      </c>
      <c r="D10199" s="4" t="n">
        <v>113.135</v>
      </c>
      <c r="E10199" s="5" t="n">
        <v>35.4</v>
      </c>
      <c r="F10199" s="3" t="inlineStr">
        <is>
          <t>남이면</t>
        </is>
      </c>
      <c r="G10199" s="3" t="inlineStr">
        <is>
          <t>사동리</t>
        </is>
      </c>
      <c r="H10199" s="3" t="inlineStr">
        <is>
          <t>생산관리지역</t>
        </is>
      </c>
      <c r="I10199" s="3" t="inlineStr">
        <is>
          <t>답</t>
        </is>
      </c>
      <c r="J10199" s="3" t="inlineStr">
        <is>
          <t>남이면</t>
        </is>
      </c>
    </row>
    <row r="10200">
      <c r="A10200" s="3" t="n">
        <v>2022</v>
      </c>
      <c r="B10200" s="4" t="n">
        <v>30000</v>
      </c>
      <c r="C10200" s="4" t="n">
        <v>1716</v>
      </c>
      <c r="D10200" s="4" t="n">
        <v>519.09</v>
      </c>
      <c r="E10200" s="5" t="n">
        <v>57.8</v>
      </c>
      <c r="F10200" s="3" t="inlineStr">
        <is>
          <t>현도면</t>
        </is>
      </c>
      <c r="G10200" s="3" t="inlineStr">
        <is>
          <t>우록리</t>
        </is>
      </c>
      <c r="H10200" s="3" t="inlineStr">
        <is>
          <t>계획관리지역</t>
        </is>
      </c>
      <c r="I10200" s="3" t="inlineStr">
        <is>
          <t>전</t>
        </is>
      </c>
      <c r="J10200" s="3" t="inlineStr">
        <is>
          <t>현도면</t>
        </is>
      </c>
    </row>
    <row r="10201">
      <c r="A10201" s="3" t="n">
        <v>2022</v>
      </c>
      <c r="B10201" s="4" t="n">
        <v>13360</v>
      </c>
      <c r="C10201" s="4" t="n">
        <v>3393.7</v>
      </c>
      <c r="D10201" s="4" t="n">
        <v>1026.59425</v>
      </c>
      <c r="E10201" s="5" t="n">
        <v>13</v>
      </c>
      <c r="F10201" s="3" t="inlineStr">
        <is>
          <t>현도면</t>
        </is>
      </c>
      <c r="G10201" s="3" t="inlineStr">
        <is>
          <t>우록리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현도면</t>
        </is>
      </c>
    </row>
    <row r="10202">
      <c r="A10202" s="3" t="n">
        <v>2022</v>
      </c>
      <c r="B10202" s="4" t="n">
        <v>47144</v>
      </c>
      <c r="C10202" s="4" t="n">
        <v>3737.6</v>
      </c>
      <c r="D10202" s="4" t="n">
        <v>1130.624</v>
      </c>
      <c r="E10202" s="5" t="n">
        <v>41.7</v>
      </c>
      <c r="F10202" s="3" t="inlineStr">
        <is>
          <t>현도면</t>
        </is>
      </c>
      <c r="G10202" s="3" t="inlineStr">
        <is>
          <t>우록리</t>
        </is>
      </c>
      <c r="H10202" s="3" t="inlineStr">
        <is>
          <t>계획관리지역</t>
        </is>
      </c>
      <c r="I10202" s="3" t="inlineStr">
        <is>
          <t>공장용지</t>
        </is>
      </c>
      <c r="J10202" s="3" t="inlineStr">
        <is>
          <t>현도면</t>
        </is>
      </c>
    </row>
    <row r="10203">
      <c r="A10203" s="3" t="n">
        <v>2022</v>
      </c>
      <c r="B10203" s="4" t="n">
        <v>6513</v>
      </c>
      <c r="C10203" s="4" t="n">
        <v>2834.7</v>
      </c>
      <c r="D10203" s="4" t="n">
        <v>857.4967499999999</v>
      </c>
      <c r="E10203" s="5" t="n">
        <v>7.6</v>
      </c>
      <c r="F10203" s="3" t="inlineStr">
        <is>
          <t>현도면</t>
        </is>
      </c>
      <c r="G10203" s="3" t="inlineStr">
        <is>
          <t>우록리</t>
        </is>
      </c>
      <c r="H10203" s="3" t="inlineStr">
        <is>
          <t>보전관리지역</t>
        </is>
      </c>
      <c r="I10203" s="3" t="inlineStr">
        <is>
          <t>임야</t>
        </is>
      </c>
      <c r="J10203" s="3" t="inlineStr">
        <is>
          <t>현도면</t>
        </is>
      </c>
    </row>
    <row r="10204">
      <c r="A10204" s="3" t="n">
        <v>2022</v>
      </c>
      <c r="B10204" s="4" t="n">
        <v>107690</v>
      </c>
      <c r="C10204" s="4" t="n">
        <v>2872.1</v>
      </c>
      <c r="D10204" s="4" t="n">
        <v>868.81025</v>
      </c>
      <c r="E10204" s="5" t="n">
        <v>124</v>
      </c>
      <c r="F10204" s="3" t="inlineStr">
        <is>
          <t>현도면</t>
        </is>
      </c>
      <c r="G10204" s="3" t="inlineStr">
        <is>
          <t>우록리</t>
        </is>
      </c>
      <c r="H10204" s="3" t="inlineStr">
        <is>
          <t>계획관리지역</t>
        </is>
      </c>
      <c r="I10204" s="3" t="inlineStr">
        <is>
          <t>공장용지</t>
        </is>
      </c>
      <c r="J10204" s="3" t="inlineStr">
        <is>
          <t>현도면</t>
        </is>
      </c>
    </row>
    <row r="10205">
      <c r="A10205" s="3" t="n">
        <v>2022</v>
      </c>
      <c r="B10205" s="4" t="n">
        <v>57600</v>
      </c>
      <c r="C10205" s="4" t="n">
        <v>2644</v>
      </c>
      <c r="D10205" s="4" t="n">
        <v>799.8099999999999</v>
      </c>
      <c r="E10205" s="5" t="n">
        <v>72</v>
      </c>
      <c r="F10205" s="3" t="inlineStr">
        <is>
          <t>남이면</t>
        </is>
      </c>
      <c r="G10205" s="3" t="inlineStr">
        <is>
          <t>팔봉리</t>
        </is>
      </c>
      <c r="H10205" s="3" t="inlineStr">
        <is>
          <t>자연녹지지역</t>
        </is>
      </c>
      <c r="I10205" s="3" t="inlineStr">
        <is>
          <t>목장용지</t>
        </is>
      </c>
      <c r="J10205" s="3" t="inlineStr">
        <is>
          <t>남이면</t>
        </is>
      </c>
    </row>
    <row r="10206">
      <c r="A10206" s="3" t="n">
        <v>2022</v>
      </c>
      <c r="B10206" s="4" t="n">
        <v>100000</v>
      </c>
      <c r="C10206" s="4" t="n">
        <v>2369</v>
      </c>
      <c r="D10206" s="4" t="n">
        <v>716.6224999999999</v>
      </c>
      <c r="E10206" s="5" t="n">
        <v>139.5</v>
      </c>
      <c r="F10206" s="3" t="inlineStr">
        <is>
          <t>남이면</t>
        </is>
      </c>
      <c r="G10206" s="3" t="inlineStr">
        <is>
          <t>석실리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남이면</t>
        </is>
      </c>
    </row>
    <row r="10207">
      <c r="A10207" s="3" t="n">
        <v>2022</v>
      </c>
      <c r="B10207" s="4" t="n">
        <v>96130</v>
      </c>
      <c r="C10207" s="4" t="n">
        <v>4484.1</v>
      </c>
      <c r="D10207" s="4" t="n">
        <v>1356.44025</v>
      </c>
      <c r="E10207" s="5" t="n">
        <v>70.90000000000001</v>
      </c>
      <c r="F10207" s="3" t="inlineStr">
        <is>
          <t>현도면</t>
        </is>
      </c>
      <c r="G10207" s="3" t="inlineStr">
        <is>
          <t>우록리</t>
        </is>
      </c>
      <c r="H10207" s="3" t="inlineStr">
        <is>
          <t>계획관리지역</t>
        </is>
      </c>
      <c r="I10207" s="3" t="inlineStr">
        <is>
          <t>공장용지</t>
        </is>
      </c>
      <c r="J10207" s="3" t="inlineStr">
        <is>
          <t>현도면</t>
        </is>
      </c>
    </row>
    <row r="10208">
      <c r="A10208" s="3" t="n">
        <v>2022</v>
      </c>
      <c r="B10208" s="4" t="n">
        <v>2700</v>
      </c>
      <c r="C10208" s="4" t="n">
        <v>447</v>
      </c>
      <c r="D10208" s="4" t="n">
        <v>135.2175</v>
      </c>
      <c r="E10208" s="5" t="n">
        <v>20</v>
      </c>
      <c r="F10208" s="3" t="inlineStr">
        <is>
          <t>현도면</t>
        </is>
      </c>
      <c r="G10208" s="3" t="inlineStr">
        <is>
          <t>우록리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현도면</t>
        </is>
      </c>
    </row>
    <row r="10209">
      <c r="A10209" s="3" t="n">
        <v>2022</v>
      </c>
      <c r="B10209" s="4" t="n">
        <v>26500</v>
      </c>
      <c r="C10209" s="4" t="n">
        <v>1907</v>
      </c>
      <c r="D10209" s="4" t="n">
        <v>576.8674999999999</v>
      </c>
      <c r="E10209" s="5" t="n">
        <v>45.9</v>
      </c>
      <c r="F10209" s="3" t="inlineStr">
        <is>
          <t>남이면</t>
        </is>
      </c>
      <c r="G10209" s="3" t="inlineStr">
        <is>
          <t>갈원리</t>
        </is>
      </c>
      <c r="H10209" s="3" t="inlineStr">
        <is>
          <t>자연녹지지역</t>
        </is>
      </c>
      <c r="I10209" s="3" t="inlineStr">
        <is>
          <t>전</t>
        </is>
      </c>
      <c r="J10209" s="3" t="inlineStr">
        <is>
          <t>남이면</t>
        </is>
      </c>
    </row>
    <row r="10210">
      <c r="A10210" s="3" t="n">
        <v>2022</v>
      </c>
      <c r="B10210" s="4" t="n">
        <v>8063</v>
      </c>
      <c r="C10210" s="4" t="n">
        <v>424</v>
      </c>
      <c r="D10210" s="4" t="n">
        <v>128.26</v>
      </c>
      <c r="E10210" s="5" t="n">
        <v>62.9</v>
      </c>
      <c r="F10210" s="3" t="inlineStr">
        <is>
          <t>남이면</t>
        </is>
      </c>
      <c r="G10210" s="3" t="inlineStr">
        <is>
          <t>문동리</t>
        </is>
      </c>
      <c r="H10210" s="3" t="inlineStr">
        <is>
          <t>보전녹지지역</t>
        </is>
      </c>
      <c r="I10210" s="3" t="inlineStr">
        <is>
          <t>대</t>
        </is>
      </c>
      <c r="J10210" s="3" t="inlineStr">
        <is>
          <t>남이면</t>
        </is>
      </c>
    </row>
    <row r="10211">
      <c r="A10211" s="3" t="n">
        <v>2022</v>
      </c>
      <c r="B10211" s="4" t="n">
        <v>2937</v>
      </c>
      <c r="C10211" s="4" t="n">
        <v>200</v>
      </c>
      <c r="D10211" s="4" t="n">
        <v>60.5</v>
      </c>
      <c r="E10211" s="5" t="n">
        <v>48.5</v>
      </c>
      <c r="F10211" s="3" t="inlineStr">
        <is>
          <t>남이면</t>
        </is>
      </c>
      <c r="G10211" s="3" t="inlineStr">
        <is>
          <t>문동리</t>
        </is>
      </c>
      <c r="H10211" s="3" t="inlineStr">
        <is>
          <t>보전녹지지역</t>
        </is>
      </c>
      <c r="I10211" s="3" t="inlineStr">
        <is>
          <t>임야</t>
        </is>
      </c>
      <c r="J10211" s="3" t="inlineStr">
        <is>
          <t>남이면</t>
        </is>
      </c>
    </row>
    <row r="10212">
      <c r="A10212" s="3" t="n">
        <v>2023</v>
      </c>
      <c r="B10212" s="4" t="n">
        <v>550</v>
      </c>
      <c r="C10212" s="4" t="n">
        <v>12</v>
      </c>
      <c r="D10212" s="4" t="n">
        <v>3.63</v>
      </c>
      <c r="E10212" s="5" t="n">
        <v>151.5</v>
      </c>
      <c r="F10212" s="3" t="inlineStr">
        <is>
          <t>연동면</t>
        </is>
      </c>
      <c r="G10212" s="3" t="inlineStr">
        <is>
          <t>내판리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연동면</t>
        </is>
      </c>
    </row>
    <row r="10213">
      <c r="A10213" s="3" t="n">
        <v>2024</v>
      </c>
      <c r="B10213" s="4" t="n">
        <v>26040</v>
      </c>
      <c r="C10213" s="4" t="n">
        <v>214</v>
      </c>
      <c r="D10213" s="4" t="n">
        <v>64.735</v>
      </c>
      <c r="E10213" s="5" t="n">
        <v>402.3</v>
      </c>
      <c r="F10213" s="3" t="inlineStr">
        <is>
          <t>금남면</t>
        </is>
      </c>
      <c r="G10213" s="3" t="inlineStr">
        <is>
          <t>부용리</t>
        </is>
      </c>
      <c r="H10213" s="3" t="inlineStr">
        <is>
          <t>계획관리지역</t>
        </is>
      </c>
      <c r="I10213" s="3" t="inlineStr">
        <is>
          <t>대</t>
        </is>
      </c>
      <c r="J10213" s="3" t="inlineStr">
        <is>
          <t>금남면</t>
        </is>
      </c>
    </row>
    <row r="10214">
      <c r="A10214" s="3" t="n">
        <v>2024</v>
      </c>
      <c r="B10214" s="4" t="n">
        <v>7043</v>
      </c>
      <c r="C10214" s="4" t="n">
        <v>258</v>
      </c>
      <c r="D10214" s="4" t="n">
        <v>78.045</v>
      </c>
      <c r="E10214" s="5" t="n">
        <v>90.2</v>
      </c>
      <c r="F10214" s="3" t="inlineStr">
        <is>
          <t>연서면</t>
        </is>
      </c>
      <c r="G10214" s="3" t="inlineStr">
        <is>
          <t>국촌리</t>
        </is>
      </c>
      <c r="H10214" s="3" t="inlineStr">
        <is>
          <t>계획관리지역</t>
        </is>
      </c>
      <c r="I10214" s="3" t="inlineStr">
        <is>
          <t>구거</t>
        </is>
      </c>
      <c r="J10214" s="3" t="inlineStr">
        <is>
          <t>연서면</t>
        </is>
      </c>
    </row>
    <row r="10215">
      <c r="A10215" s="3" t="n">
        <v>2024</v>
      </c>
      <c r="B10215" s="4" t="n">
        <v>2370</v>
      </c>
      <c r="C10215" s="4" t="n">
        <v>149</v>
      </c>
      <c r="D10215" s="4" t="n">
        <v>45.0725</v>
      </c>
      <c r="E10215" s="5" t="n">
        <v>52.6</v>
      </c>
      <c r="F10215" s="3" t="inlineStr">
        <is>
          <t>금남면</t>
        </is>
      </c>
      <c r="G10215" s="3" t="inlineStr">
        <is>
          <t>영대리</t>
        </is>
      </c>
      <c r="H10215" s="3" t="inlineStr">
        <is>
          <t>개발제한구역</t>
        </is>
      </c>
      <c r="I10215" s="3" t="inlineStr">
        <is>
          <t>전</t>
        </is>
      </c>
      <c r="J10215" s="3" t="inlineStr">
        <is>
          <t>금남면</t>
        </is>
      </c>
    </row>
    <row r="10216">
      <c r="A10216" s="3" t="n">
        <v>2024</v>
      </c>
      <c r="B10216" s="4" t="n">
        <v>2630</v>
      </c>
      <c r="C10216" s="4" t="n">
        <v>165</v>
      </c>
      <c r="D10216" s="4" t="n">
        <v>49.9125</v>
      </c>
      <c r="E10216" s="5" t="n">
        <v>52.7</v>
      </c>
      <c r="F10216" s="3" t="inlineStr">
        <is>
          <t>금남면</t>
        </is>
      </c>
      <c r="G10216" s="3" t="inlineStr">
        <is>
          <t>영대리</t>
        </is>
      </c>
      <c r="H10216" s="3" t="inlineStr">
        <is>
          <t>자연녹지지역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2024</v>
      </c>
      <c r="B10217" s="4" t="n">
        <v>16000</v>
      </c>
      <c r="C10217" s="4" t="n">
        <v>264</v>
      </c>
      <c r="D10217" s="4" t="n">
        <v>79.86</v>
      </c>
      <c r="E10217" s="5" t="n">
        <v>200.4</v>
      </c>
      <c r="F10217" s="3" t="inlineStr">
        <is>
          <t>금남면</t>
        </is>
      </c>
      <c r="G10217" s="3" t="inlineStr">
        <is>
          <t>두만리</t>
        </is>
      </c>
      <c r="H10217" s="3" t="inlineStr">
        <is>
          <t>계획관리지역</t>
        </is>
      </c>
      <c r="I10217" s="3" t="inlineStr">
        <is>
          <t>답</t>
        </is>
      </c>
      <c r="J10217" s="3" t="inlineStr">
        <is>
          <t>금남면</t>
        </is>
      </c>
    </row>
    <row r="10218">
      <c r="A10218" s="3" t="n">
        <v>2024</v>
      </c>
      <c r="B10218" s="4" t="n">
        <v>230000</v>
      </c>
      <c r="C10218" s="4" t="n">
        <v>7600</v>
      </c>
      <c r="D10218" s="4" t="n">
        <v>2299</v>
      </c>
      <c r="E10218" s="5" t="n">
        <v>100</v>
      </c>
      <c r="F10218" s="3" t="inlineStr">
        <is>
          <t>연기면</t>
        </is>
      </c>
      <c r="G10218" s="3" t="inlineStr">
        <is>
          <t>수산리</t>
        </is>
      </c>
      <c r="H10218" s="3" t="inlineStr">
        <is>
          <t>생산관리지역</t>
        </is>
      </c>
      <c r="I10218" s="3" t="inlineStr">
        <is>
          <t>임야</t>
        </is>
      </c>
      <c r="J10218" s="3" t="inlineStr">
        <is>
          <t>연기면</t>
        </is>
      </c>
    </row>
    <row r="10219">
      <c r="A10219" s="3" t="n">
        <v>2024</v>
      </c>
      <c r="B10219" s="4" t="n">
        <v>17900</v>
      </c>
      <c r="C10219" s="4" t="n">
        <v>100</v>
      </c>
      <c r="D10219" s="4" t="n">
        <v>30.25</v>
      </c>
      <c r="E10219" s="5" t="n">
        <v>591.7</v>
      </c>
      <c r="F10219" s="3" t="inlineStr">
        <is>
          <t>조치원읍</t>
        </is>
      </c>
      <c r="G10219" s="3" t="inlineStr">
        <is>
          <t>정리</t>
        </is>
      </c>
      <c r="H10219" s="3" t="inlineStr">
        <is>
          <t>준주거지역</t>
        </is>
      </c>
      <c r="I10219" s="3" t="inlineStr">
        <is>
          <t>대</t>
        </is>
      </c>
      <c r="J10219" s="3" t="inlineStr">
        <is>
          <t>조치원읍</t>
        </is>
      </c>
    </row>
    <row r="10220">
      <c r="A10220" s="3" t="n">
        <v>2024</v>
      </c>
      <c r="B10220" s="4" t="n">
        <v>1400</v>
      </c>
      <c r="C10220" s="4" t="n">
        <v>284</v>
      </c>
      <c r="D10220" s="4" t="n">
        <v>85.91</v>
      </c>
      <c r="E10220" s="5" t="n">
        <v>16.3</v>
      </c>
      <c r="F10220" s="3" t="inlineStr">
        <is>
          <t>전동면</t>
        </is>
      </c>
      <c r="G10220" s="3" t="inlineStr">
        <is>
          <t>송성리</t>
        </is>
      </c>
      <c r="H10220" s="3" t="inlineStr">
        <is>
          <t>보전관리지역</t>
        </is>
      </c>
      <c r="I10220" s="3" t="inlineStr">
        <is>
          <t>전</t>
        </is>
      </c>
      <c r="J10220" s="3" t="inlineStr">
        <is>
          <t>전동면</t>
        </is>
      </c>
    </row>
    <row r="10221">
      <c r="A10221" s="3" t="n">
        <v>2024</v>
      </c>
      <c r="B10221" s="4" t="n">
        <v>20000</v>
      </c>
      <c r="C10221" s="4" t="n">
        <v>1035</v>
      </c>
      <c r="D10221" s="4" t="n">
        <v>313.0875</v>
      </c>
      <c r="E10221" s="5" t="n">
        <v>63.9</v>
      </c>
      <c r="F10221" s="3" t="inlineStr">
        <is>
          <t>부강면</t>
        </is>
      </c>
      <c r="G10221" s="3" t="inlineStr">
        <is>
          <t>노호리</t>
        </is>
      </c>
      <c r="H10221" s="3" t="inlineStr">
        <is>
          <t>생산관리지역</t>
        </is>
      </c>
      <c r="I10221" s="3" t="inlineStr">
        <is>
          <t>답</t>
        </is>
      </c>
      <c r="J10221" s="3" t="inlineStr">
        <is>
          <t>부강면</t>
        </is>
      </c>
    </row>
    <row r="10222">
      <c r="A10222" s="3" t="n">
        <v>2024</v>
      </c>
      <c r="B10222" s="4" t="n">
        <v>24246</v>
      </c>
      <c r="C10222" s="4" t="n">
        <v>1812</v>
      </c>
      <c r="D10222" s="4" t="n">
        <v>548.13</v>
      </c>
      <c r="E10222" s="5" t="n">
        <v>44.2</v>
      </c>
      <c r="F10222" s="3" t="inlineStr">
        <is>
          <t>금남면</t>
        </is>
      </c>
      <c r="G10222" s="3" t="inlineStr">
        <is>
          <t>도남리</t>
        </is>
      </c>
      <c r="H10222" s="3" t="inlineStr">
        <is>
          <t>보전관리지역</t>
        </is>
      </c>
      <c r="I10222" s="3" t="inlineStr">
        <is>
          <t>전</t>
        </is>
      </c>
      <c r="J10222" s="3" t="inlineStr">
        <is>
          <t>금남면</t>
        </is>
      </c>
    </row>
    <row r="10223">
      <c r="A10223" s="3" t="n">
        <v>2024</v>
      </c>
      <c r="B10223" s="4" t="n">
        <v>900</v>
      </c>
      <c r="C10223" s="4" t="n">
        <v>175</v>
      </c>
      <c r="D10223" s="4" t="n">
        <v>52.9375</v>
      </c>
      <c r="E10223" s="5" t="n">
        <v>17</v>
      </c>
      <c r="F10223" s="3" t="inlineStr">
        <is>
          <t>전동면</t>
        </is>
      </c>
      <c r="G10223" s="3" t="inlineStr">
        <is>
          <t>송성리</t>
        </is>
      </c>
      <c r="H10223" s="3" t="inlineStr">
        <is>
          <t>계획관리지역</t>
        </is>
      </c>
      <c r="I10223" s="3" t="inlineStr">
        <is>
          <t>답</t>
        </is>
      </c>
      <c r="J10223" s="3" t="inlineStr">
        <is>
          <t>전동면</t>
        </is>
      </c>
    </row>
    <row r="10224">
      <c r="A10224" s="3" t="n">
        <v>2024</v>
      </c>
      <c r="B10224" s="4" t="n">
        <v>26660</v>
      </c>
      <c r="C10224" s="4" t="n">
        <v>674</v>
      </c>
      <c r="D10224" s="4" t="n">
        <v>203.885</v>
      </c>
      <c r="E10224" s="5" t="n">
        <v>130.8</v>
      </c>
      <c r="F10224" s="3" t="inlineStr">
        <is>
          <t>장군면</t>
        </is>
      </c>
      <c r="G10224" s="3" t="inlineStr">
        <is>
          <t>금암리</t>
        </is>
      </c>
      <c r="H10224" s="3" t="inlineStr">
        <is>
          <t>농림지역</t>
        </is>
      </c>
      <c r="I10224" s="3" t="inlineStr">
        <is>
          <t>임야</t>
        </is>
      </c>
      <c r="J10224" s="3" t="inlineStr">
        <is>
          <t>장군면</t>
        </is>
      </c>
    </row>
    <row r="10225">
      <c r="A10225" s="3" t="n">
        <v>2024</v>
      </c>
      <c r="B10225" s="4" t="n">
        <v>152800</v>
      </c>
      <c r="C10225" s="4" t="n">
        <v>8782</v>
      </c>
      <c r="D10225" s="4" t="n">
        <v>2656.555</v>
      </c>
      <c r="E10225" s="5" t="n">
        <v>57.5</v>
      </c>
      <c r="F10225" s="3" t="inlineStr">
        <is>
          <t>연서면</t>
        </is>
      </c>
      <c r="G10225" s="3" t="inlineStr">
        <is>
          <t>와촌리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연서면</t>
        </is>
      </c>
    </row>
    <row r="10226">
      <c r="A10226" s="3" t="n">
        <v>2024</v>
      </c>
      <c r="B10226" s="4" t="n">
        <v>74400</v>
      </c>
      <c r="C10226" s="4" t="n">
        <v>4463</v>
      </c>
      <c r="D10226" s="4" t="n">
        <v>1350.0575</v>
      </c>
      <c r="E10226" s="5" t="n">
        <v>55.1</v>
      </c>
      <c r="F10226" s="3" t="inlineStr">
        <is>
          <t>연서면</t>
        </is>
      </c>
      <c r="G10226" s="3" t="inlineStr">
        <is>
          <t>와촌리</t>
        </is>
      </c>
      <c r="H10226" s="3" t="inlineStr">
        <is>
          <t>계획관리지역</t>
        </is>
      </c>
      <c r="I10226" s="3" t="inlineStr">
        <is>
          <t>임야</t>
        </is>
      </c>
      <c r="J10226" s="3" t="inlineStr">
        <is>
          <t>연서면</t>
        </is>
      </c>
    </row>
    <row r="10227">
      <c r="A10227" s="3" t="n">
        <v>2024</v>
      </c>
      <c r="B10227" s="4" t="n">
        <v>195400</v>
      </c>
      <c r="C10227" s="4" t="n">
        <v>11710</v>
      </c>
      <c r="D10227" s="4" t="n">
        <v>3542.275</v>
      </c>
      <c r="E10227" s="5" t="n">
        <v>55.2</v>
      </c>
      <c r="F10227" s="3" t="inlineStr">
        <is>
          <t>연서면</t>
        </is>
      </c>
      <c r="G10227" s="3" t="inlineStr">
        <is>
          <t>와촌리</t>
        </is>
      </c>
      <c r="H10227" s="3" t="inlineStr">
        <is>
          <t>계획관리지역</t>
        </is>
      </c>
      <c r="I10227" s="3" t="inlineStr">
        <is>
          <t>임야</t>
        </is>
      </c>
      <c r="J10227" s="3" t="inlineStr">
        <is>
          <t>연서면</t>
        </is>
      </c>
    </row>
    <row r="10228">
      <c r="A10228" s="3" t="n">
        <v>2024</v>
      </c>
      <c r="B10228" s="4" t="n">
        <v>25700</v>
      </c>
      <c r="C10228" s="4" t="n">
        <v>1487</v>
      </c>
      <c r="D10228" s="4" t="n">
        <v>449.8175</v>
      </c>
      <c r="E10228" s="5" t="n">
        <v>57.1</v>
      </c>
      <c r="F10228" s="3" t="inlineStr">
        <is>
          <t>연서면</t>
        </is>
      </c>
      <c r="G10228" s="3" t="inlineStr">
        <is>
          <t>와촌리</t>
        </is>
      </c>
      <c r="H10228" s="3" t="inlineStr">
        <is>
          <t>계획관리지역</t>
        </is>
      </c>
      <c r="I10228" s="3" t="inlineStr">
        <is>
          <t>임야</t>
        </is>
      </c>
      <c r="J10228" s="3" t="inlineStr">
        <is>
          <t>연서면</t>
        </is>
      </c>
    </row>
    <row r="10229">
      <c r="A10229" s="3" t="n">
        <v>2024</v>
      </c>
      <c r="B10229" s="4" t="n">
        <v>26700</v>
      </c>
      <c r="C10229" s="4" t="n">
        <v>635</v>
      </c>
      <c r="D10229" s="4" t="n">
        <v>192.0875</v>
      </c>
      <c r="E10229" s="5" t="n">
        <v>139</v>
      </c>
      <c r="F10229" s="3" t="inlineStr">
        <is>
          <t>연서면</t>
        </is>
      </c>
      <c r="G10229" s="3" t="inlineStr">
        <is>
          <t>와촌리</t>
        </is>
      </c>
      <c r="H10229" s="3" t="inlineStr">
        <is>
          <t>계획관리지역</t>
        </is>
      </c>
      <c r="I10229" s="3" t="inlineStr">
        <is>
          <t>전</t>
        </is>
      </c>
      <c r="J10229" s="3" t="inlineStr">
        <is>
          <t>연서면</t>
        </is>
      </c>
    </row>
    <row r="10230">
      <c r="A10230" s="3" t="n">
        <v>2024</v>
      </c>
      <c r="B10230" s="4" t="n">
        <v>15900</v>
      </c>
      <c r="C10230" s="4" t="n">
        <v>496</v>
      </c>
      <c r="D10230" s="4" t="n">
        <v>150.04</v>
      </c>
      <c r="E10230" s="5" t="n">
        <v>106</v>
      </c>
      <c r="F10230" s="3" t="inlineStr">
        <is>
          <t>연기면</t>
        </is>
      </c>
      <c r="G10230" s="3" t="inlineStr">
        <is>
          <t>수산리</t>
        </is>
      </c>
      <c r="H10230" s="3" t="inlineStr">
        <is>
          <t>계획관리지역</t>
        </is>
      </c>
      <c r="I10230" s="3" t="inlineStr">
        <is>
          <t>대</t>
        </is>
      </c>
      <c r="J10230" s="3" t="inlineStr">
        <is>
          <t>연기면</t>
        </is>
      </c>
    </row>
    <row r="10231">
      <c r="A10231" s="3" t="n">
        <v>2024</v>
      </c>
      <c r="B10231" s="4" t="n">
        <v>6100</v>
      </c>
      <c r="C10231" s="4" t="n">
        <v>255</v>
      </c>
      <c r="D10231" s="4" t="n">
        <v>77.1375</v>
      </c>
      <c r="E10231" s="5" t="n">
        <v>79.09999999999999</v>
      </c>
      <c r="F10231" s="3" t="inlineStr">
        <is>
          <t>연기면</t>
        </is>
      </c>
      <c r="G10231" s="3" t="inlineStr">
        <is>
          <t>수산리</t>
        </is>
      </c>
      <c r="H10231" s="3" t="inlineStr">
        <is>
          <t>계획관리지역</t>
        </is>
      </c>
      <c r="I10231" s="3" t="inlineStr">
        <is>
          <t>대</t>
        </is>
      </c>
      <c r="J10231" s="3" t="inlineStr">
        <is>
          <t>연기면</t>
        </is>
      </c>
    </row>
    <row r="10232">
      <c r="A10232" s="3" t="n">
        <v>2024</v>
      </c>
      <c r="B10232" s="4" t="n">
        <v>2727</v>
      </c>
      <c r="C10232" s="4" t="n">
        <v>61</v>
      </c>
      <c r="D10232" s="4" t="n">
        <v>18.4525</v>
      </c>
      <c r="E10232" s="5" t="n">
        <v>147.8</v>
      </c>
      <c r="F10232" s="3" t="inlineStr">
        <is>
          <t>조치원읍</t>
        </is>
      </c>
      <c r="G10232" s="3" t="inlineStr">
        <is>
          <t>서창리</t>
        </is>
      </c>
      <c r="H10232" s="3" t="inlineStr">
        <is>
          <t>제1종일반주거지역</t>
        </is>
      </c>
      <c r="I10232" s="3" t="inlineStr">
        <is>
          <t>대</t>
        </is>
      </c>
      <c r="J10232" s="3" t="inlineStr">
        <is>
          <t>조치원읍</t>
        </is>
      </c>
    </row>
    <row r="10233">
      <c r="A10233" s="3" t="n">
        <v>2024</v>
      </c>
      <c r="B10233" s="4" t="n">
        <v>13000</v>
      </c>
      <c r="C10233" s="4" t="n">
        <v>664</v>
      </c>
      <c r="D10233" s="4" t="n">
        <v>200.86</v>
      </c>
      <c r="E10233" s="5" t="n">
        <v>64.7</v>
      </c>
      <c r="F10233" s="3" t="inlineStr">
        <is>
          <t>부강면</t>
        </is>
      </c>
      <c r="G10233" s="3" t="inlineStr">
        <is>
          <t>문곡리</t>
        </is>
      </c>
      <c r="H10233" s="3" t="inlineStr">
        <is>
          <t>계획관리지역</t>
        </is>
      </c>
      <c r="I10233" s="3" t="inlineStr">
        <is>
          <t>임야</t>
        </is>
      </c>
      <c r="J10233" s="3" t="inlineStr">
        <is>
          <t>부강면</t>
        </is>
      </c>
    </row>
    <row r="10234">
      <c r="A10234" s="3" t="n">
        <v>2024</v>
      </c>
      <c r="B10234" s="4" t="n">
        <v>50000</v>
      </c>
      <c r="C10234" s="4" t="n">
        <v>3215</v>
      </c>
      <c r="D10234" s="4" t="n">
        <v>972.5375</v>
      </c>
      <c r="E10234" s="5" t="n">
        <v>51.4</v>
      </c>
      <c r="F10234" s="3" t="inlineStr">
        <is>
          <t>부강면</t>
        </is>
      </c>
      <c r="G10234" s="3" t="inlineStr">
        <is>
          <t>문곡리</t>
        </is>
      </c>
      <c r="H10234" s="3" t="inlineStr">
        <is>
          <t>계획관리지역</t>
        </is>
      </c>
      <c r="I10234" s="3" t="inlineStr">
        <is>
          <t>답</t>
        </is>
      </c>
      <c r="J10234" s="3" t="inlineStr">
        <is>
          <t>부강면</t>
        </is>
      </c>
    </row>
    <row r="10235">
      <c r="A10235" s="3" t="n">
        <v>2024</v>
      </c>
      <c r="B10235" s="4" t="n">
        <v>25000</v>
      </c>
      <c r="C10235" s="4" t="n">
        <v>1761</v>
      </c>
      <c r="D10235" s="4" t="n">
        <v>532.7025</v>
      </c>
      <c r="E10235" s="5" t="n">
        <v>46.9</v>
      </c>
      <c r="F10235" s="3" t="inlineStr">
        <is>
          <t>부강면</t>
        </is>
      </c>
      <c r="G10235" s="3" t="inlineStr">
        <is>
          <t>문곡리</t>
        </is>
      </c>
      <c r="H10235" s="3" t="inlineStr">
        <is>
          <t>계획관리지역</t>
        </is>
      </c>
      <c r="I10235" s="3" t="inlineStr">
        <is>
          <t>답</t>
        </is>
      </c>
      <c r="J10235" s="3" t="inlineStr">
        <is>
          <t>부강면</t>
        </is>
      </c>
    </row>
    <row r="10236">
      <c r="A10236" s="3" t="n">
        <v>2024</v>
      </c>
      <c r="B10236" s="4" t="n">
        <v>22500</v>
      </c>
      <c r="C10236" s="4" t="n">
        <v>1498</v>
      </c>
      <c r="D10236" s="4" t="n">
        <v>453.145</v>
      </c>
      <c r="E10236" s="5" t="n">
        <v>49.7</v>
      </c>
      <c r="F10236" s="3" t="inlineStr">
        <is>
          <t>금남면</t>
        </is>
      </c>
      <c r="G10236" s="3" t="inlineStr">
        <is>
          <t>대박리</t>
        </is>
      </c>
      <c r="H10236" s="3" t="inlineStr">
        <is>
          <t>개발제한구역</t>
        </is>
      </c>
      <c r="I10236" s="3" t="inlineStr">
        <is>
          <t>전</t>
        </is>
      </c>
      <c r="J10236" s="3" t="inlineStr">
        <is>
          <t>금남면</t>
        </is>
      </c>
    </row>
    <row r="10237">
      <c r="A10237" s="3" t="n">
        <v>2024</v>
      </c>
      <c r="B10237" s="4" t="n">
        <v>7500</v>
      </c>
      <c r="C10237" s="4" t="n">
        <v>486</v>
      </c>
      <c r="D10237" s="4" t="n">
        <v>147.015</v>
      </c>
      <c r="E10237" s="5" t="n">
        <v>51</v>
      </c>
      <c r="F10237" s="3" t="inlineStr">
        <is>
          <t>금남면</t>
        </is>
      </c>
      <c r="G10237" s="3" t="inlineStr">
        <is>
          <t>대박리</t>
        </is>
      </c>
      <c r="H10237" s="3" t="inlineStr">
        <is>
          <t>개발제한구역</t>
        </is>
      </c>
      <c r="I10237" s="3" t="inlineStr">
        <is>
          <t>전</t>
        </is>
      </c>
      <c r="J10237" s="3" t="inlineStr">
        <is>
          <t>금남면</t>
        </is>
      </c>
    </row>
    <row r="10238">
      <c r="A10238" s="3" t="n">
        <v>2024</v>
      </c>
      <c r="B10238" s="4" t="n">
        <v>37200</v>
      </c>
      <c r="C10238" s="4" t="n">
        <v>616</v>
      </c>
      <c r="D10238" s="4" t="n">
        <v>186.34</v>
      </c>
      <c r="E10238" s="5" t="n">
        <v>199.6</v>
      </c>
      <c r="F10238" s="3" t="inlineStr">
        <is>
          <t>장군면</t>
        </is>
      </c>
      <c r="G10238" s="3" t="inlineStr">
        <is>
          <t>금암리</t>
        </is>
      </c>
      <c r="H10238" s="3" t="inlineStr">
        <is>
          <t>생산관리지역</t>
        </is>
      </c>
      <c r="I10238" s="3" t="inlineStr">
        <is>
          <t>답</t>
        </is>
      </c>
      <c r="J10238" s="3" t="inlineStr">
        <is>
          <t>장군면</t>
        </is>
      </c>
    </row>
    <row r="10239">
      <c r="A10239" s="3" t="n">
        <v>2024</v>
      </c>
      <c r="B10239" s="4" t="n">
        <v>110000</v>
      </c>
      <c r="C10239" s="4" t="n">
        <v>1273</v>
      </c>
      <c r="D10239" s="4" t="n">
        <v>385.0825</v>
      </c>
      <c r="E10239" s="5" t="n">
        <v>285.7</v>
      </c>
      <c r="F10239" s="3" t="inlineStr">
        <is>
          <t>장군면</t>
        </is>
      </c>
      <c r="G10239" s="3" t="inlineStr">
        <is>
          <t>하봉리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장군면</t>
        </is>
      </c>
    </row>
    <row r="10240">
      <c r="A10240" s="3" t="n">
        <v>2024</v>
      </c>
      <c r="B10240" s="4" t="n">
        <v>57000</v>
      </c>
      <c r="C10240" s="4" t="n">
        <v>1171</v>
      </c>
      <c r="D10240" s="4" t="n">
        <v>354.2275</v>
      </c>
      <c r="E10240" s="5" t="n">
        <v>160.9</v>
      </c>
      <c r="F10240" s="3" t="inlineStr">
        <is>
          <t>금남면</t>
        </is>
      </c>
      <c r="G10240" s="3" t="inlineStr">
        <is>
          <t>국곡리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금남면</t>
        </is>
      </c>
    </row>
    <row r="10241">
      <c r="A10241" s="3" t="n">
        <v>2025</v>
      </c>
      <c r="B10241" s="4" t="n">
        <v>48000</v>
      </c>
      <c r="C10241" s="4" t="n">
        <v>7078</v>
      </c>
      <c r="D10241" s="4" t="n">
        <v>2141.095</v>
      </c>
      <c r="E10241" s="5" t="n">
        <v>22.4</v>
      </c>
      <c r="F10241" s="3" t="inlineStr">
        <is>
          <t>전동면</t>
        </is>
      </c>
      <c r="G10241" s="3" t="inlineStr">
        <is>
          <t>청송리</t>
        </is>
      </c>
      <c r="H10241" s="3" t="inlineStr">
        <is>
          <t>보전관리지역</t>
        </is>
      </c>
      <c r="I10241" s="3" t="inlineStr">
        <is>
          <t>전</t>
        </is>
      </c>
      <c r="J10241" s="3" t="inlineStr">
        <is>
          <t>전동면</t>
        </is>
      </c>
    </row>
    <row r="10242">
      <c r="A10242" s="3" t="n">
        <v>2025</v>
      </c>
      <c r="B10242" s="4" t="n">
        <v>20400</v>
      </c>
      <c r="C10242" s="4" t="n">
        <v>12906</v>
      </c>
      <c r="D10242" s="4" t="n">
        <v>3904.065</v>
      </c>
      <c r="E10242" s="5" t="n">
        <v>5.2</v>
      </c>
      <c r="F10242" s="3" t="inlineStr">
        <is>
          <t>금남면</t>
        </is>
      </c>
      <c r="G10242" s="3" t="inlineStr">
        <is>
          <t>영대리</t>
        </is>
      </c>
      <c r="H10242" s="3" t="inlineStr">
        <is>
          <t>개발제한구역</t>
        </is>
      </c>
      <c r="I10242" s="3" t="inlineStr">
        <is>
          <t>임야</t>
        </is>
      </c>
      <c r="J10242" s="3" t="inlineStr">
        <is>
          <t>금남면</t>
        </is>
      </c>
    </row>
    <row r="10243">
      <c r="A10243" s="3" t="n">
        <v>2025</v>
      </c>
      <c r="B10243" s="4" t="n">
        <v>16500</v>
      </c>
      <c r="C10243" s="4" t="n">
        <v>314</v>
      </c>
      <c r="D10243" s="4" t="n">
        <v>94.985</v>
      </c>
      <c r="E10243" s="5" t="n">
        <v>173.7</v>
      </c>
      <c r="F10243" s="3" t="inlineStr">
        <is>
          <t>조치원읍</t>
        </is>
      </c>
      <c r="G10243" s="3" t="inlineStr">
        <is>
          <t>신안리</t>
        </is>
      </c>
      <c r="H10243" s="3" t="inlineStr">
        <is>
          <t>제2종일반주거지역</t>
        </is>
      </c>
      <c r="I10243" s="3" t="inlineStr">
        <is>
          <t>과수원</t>
        </is>
      </c>
      <c r="J10243" s="3" t="inlineStr">
        <is>
          <t>조치원읍</t>
        </is>
      </c>
    </row>
    <row r="10244">
      <c r="A10244" s="3" t="n">
        <v>2025</v>
      </c>
      <c r="B10244" s="4" t="n">
        <v>16500</v>
      </c>
      <c r="C10244" s="4" t="n">
        <v>314</v>
      </c>
      <c r="D10244" s="4" t="n">
        <v>94.985</v>
      </c>
      <c r="E10244" s="5" t="n">
        <v>173.7</v>
      </c>
      <c r="F10244" s="3" t="inlineStr">
        <is>
          <t>조치원읍</t>
        </is>
      </c>
      <c r="G10244" s="3" t="inlineStr">
        <is>
          <t>신안리</t>
        </is>
      </c>
      <c r="H10244" s="3" t="inlineStr">
        <is>
          <t>제2종일반주거지역</t>
        </is>
      </c>
      <c r="I10244" s="3" t="inlineStr">
        <is>
          <t>과수원</t>
        </is>
      </c>
      <c r="J10244" s="3" t="inlineStr">
        <is>
          <t>조치원읍</t>
        </is>
      </c>
    </row>
    <row r="10245">
      <c r="A10245" s="3" t="n">
        <v>2025</v>
      </c>
      <c r="B10245" s="4" t="n">
        <v>12203</v>
      </c>
      <c r="C10245" s="4" t="n">
        <v>2650</v>
      </c>
      <c r="D10245" s="4" t="n">
        <v>801.625</v>
      </c>
      <c r="E10245" s="5" t="n">
        <v>15.2</v>
      </c>
      <c r="F10245" s="3" t="inlineStr">
        <is>
          <t>전의면</t>
        </is>
      </c>
      <c r="G10245" s="3" t="inlineStr">
        <is>
          <t>원성리</t>
        </is>
      </c>
      <c r="H10245" s="3" t="inlineStr">
        <is>
          <t>계획관리지역</t>
        </is>
      </c>
      <c r="I10245" s="3" t="inlineStr">
        <is>
          <t>임야</t>
        </is>
      </c>
      <c r="J10245" s="3" t="inlineStr">
        <is>
          <t>전의면</t>
        </is>
      </c>
    </row>
    <row r="10246">
      <c r="A10246" s="3" t="n">
        <v>2025</v>
      </c>
      <c r="B10246" s="4" t="n">
        <v>13130</v>
      </c>
      <c r="C10246" s="4" t="n">
        <v>306</v>
      </c>
      <c r="D10246" s="4" t="n">
        <v>92.565</v>
      </c>
      <c r="E10246" s="5" t="n">
        <v>141.8</v>
      </c>
      <c r="F10246" s="3" t="inlineStr">
        <is>
          <t>연기면</t>
        </is>
      </c>
      <c r="G10246" s="3" t="inlineStr">
        <is>
          <t>보통리</t>
        </is>
      </c>
      <c r="H10246" s="3" t="inlineStr">
        <is>
          <t>계획관리지역</t>
        </is>
      </c>
      <c r="I10246" s="3" t="inlineStr">
        <is>
          <t>전</t>
        </is>
      </c>
      <c r="J10246" s="3" t="inlineStr">
        <is>
          <t>연기면</t>
        </is>
      </c>
    </row>
    <row r="10247">
      <c r="A10247" s="3" t="n">
        <v>2025</v>
      </c>
      <c r="B10247" s="4" t="n">
        <v>43</v>
      </c>
      <c r="C10247" s="4" t="n">
        <v>1</v>
      </c>
      <c r="D10247" s="4" t="n">
        <v>0.3025</v>
      </c>
      <c r="E10247" s="5" t="n">
        <v>142.1</v>
      </c>
      <c r="F10247" s="3" t="inlineStr">
        <is>
          <t>연기면</t>
        </is>
      </c>
      <c r="G10247" s="3" t="inlineStr">
        <is>
          <t>보통리</t>
        </is>
      </c>
      <c r="H10247" s="3" t="inlineStr">
        <is>
          <t>계획관리지역</t>
        </is>
      </c>
      <c r="I10247" s="3" t="inlineStr">
        <is>
          <t>대</t>
        </is>
      </c>
      <c r="J10247" s="3" t="inlineStr">
        <is>
          <t>연기면</t>
        </is>
      </c>
    </row>
    <row r="10248">
      <c r="A10248" s="3" t="n">
        <v>2025</v>
      </c>
      <c r="B10248" s="4" t="n">
        <v>300</v>
      </c>
      <c r="C10248" s="4" t="n">
        <v>7</v>
      </c>
      <c r="D10248" s="4" t="n">
        <v>2.1175</v>
      </c>
      <c r="E10248" s="5" t="n">
        <v>141.7</v>
      </c>
      <c r="F10248" s="3" t="inlineStr">
        <is>
          <t>연기면</t>
        </is>
      </c>
      <c r="G10248" s="3" t="inlineStr">
        <is>
          <t>보통리</t>
        </is>
      </c>
      <c r="H10248" s="3" t="inlineStr">
        <is>
          <t>계획관리지역</t>
        </is>
      </c>
      <c r="I10248" s="3" t="inlineStr">
        <is>
          <t>대</t>
        </is>
      </c>
      <c r="J10248" s="3" t="inlineStr">
        <is>
          <t>연기면</t>
        </is>
      </c>
    </row>
    <row r="10249">
      <c r="A10249" s="3" t="n">
        <v>2025</v>
      </c>
      <c r="B10249" s="4" t="n">
        <v>9311</v>
      </c>
      <c r="C10249" s="4" t="n">
        <v>217</v>
      </c>
      <c r="D10249" s="4" t="n">
        <v>65.6425</v>
      </c>
      <c r="E10249" s="5" t="n">
        <v>141.8</v>
      </c>
      <c r="F10249" s="3" t="inlineStr">
        <is>
          <t>연기면</t>
        </is>
      </c>
      <c r="G10249" s="3" t="inlineStr">
        <is>
          <t>보통리</t>
        </is>
      </c>
      <c r="H10249" s="3" t="inlineStr">
        <is>
          <t>계획관리지역</t>
        </is>
      </c>
      <c r="I10249" s="3" t="inlineStr">
        <is>
          <t>전</t>
        </is>
      </c>
      <c r="J10249" s="3" t="inlineStr">
        <is>
          <t>연기면</t>
        </is>
      </c>
    </row>
    <row r="10250">
      <c r="A10250" s="3" t="n">
        <v>2025</v>
      </c>
      <c r="B10250" s="4" t="n">
        <v>43</v>
      </c>
      <c r="C10250" s="4" t="n">
        <v>1</v>
      </c>
      <c r="D10250" s="4" t="n">
        <v>0.3025</v>
      </c>
      <c r="E10250" s="5" t="n">
        <v>142.1</v>
      </c>
      <c r="F10250" s="3" t="inlineStr">
        <is>
          <t>연기면</t>
        </is>
      </c>
      <c r="G10250" s="3" t="inlineStr">
        <is>
          <t>보통리</t>
        </is>
      </c>
      <c r="H10250" s="3" t="inlineStr">
        <is>
          <t>계획관리지역</t>
        </is>
      </c>
      <c r="I10250" s="3" t="inlineStr">
        <is>
          <t>전</t>
        </is>
      </c>
      <c r="J10250" s="3" t="inlineStr">
        <is>
          <t>연기면</t>
        </is>
      </c>
    </row>
    <row r="10251">
      <c r="A10251" s="3" t="n">
        <v>2025</v>
      </c>
      <c r="B10251" s="4" t="n">
        <v>22317</v>
      </c>
      <c r="C10251" s="4" t="n">
        <v>520.1</v>
      </c>
      <c r="D10251" s="4" t="n">
        <v>157.33025</v>
      </c>
      <c r="E10251" s="5" t="n">
        <v>141.8</v>
      </c>
      <c r="F10251" s="3" t="inlineStr">
        <is>
          <t>연기면</t>
        </is>
      </c>
      <c r="G10251" s="3" t="inlineStr">
        <is>
          <t>보통리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연기면</t>
        </is>
      </c>
    </row>
    <row r="10252">
      <c r="A10252" s="3" t="n">
        <v>2025</v>
      </c>
      <c r="B10252" s="4" t="n">
        <v>4856</v>
      </c>
      <c r="C10252" s="4" t="n">
        <v>113.16</v>
      </c>
      <c r="D10252" s="4" t="n">
        <v>34.2309</v>
      </c>
      <c r="E10252" s="5" t="n">
        <v>141.9</v>
      </c>
      <c r="F10252" s="3" t="inlineStr">
        <is>
          <t>연기면</t>
        </is>
      </c>
      <c r="G10252" s="3" t="inlineStr">
        <is>
          <t>보통리</t>
        </is>
      </c>
      <c r="H10252" s="3" t="inlineStr">
        <is>
          <t>계획관리지역</t>
        </is>
      </c>
      <c r="I10252" s="3" t="inlineStr">
        <is>
          <t>도로</t>
        </is>
      </c>
      <c r="J10252" s="3" t="inlineStr">
        <is>
          <t>연기면</t>
        </is>
      </c>
    </row>
    <row r="10253">
      <c r="A10253" s="3" t="n">
        <v>2025</v>
      </c>
      <c r="B10253" s="4" t="n">
        <v>197</v>
      </c>
      <c r="C10253" s="4" t="n">
        <v>5</v>
      </c>
      <c r="D10253" s="4" t="n">
        <v>1.5125</v>
      </c>
      <c r="E10253" s="5" t="n">
        <v>130.2</v>
      </c>
      <c r="F10253" s="3" t="inlineStr">
        <is>
          <t>연서면</t>
        </is>
      </c>
      <c r="G10253" s="3" t="inlineStr">
        <is>
          <t>신대리</t>
        </is>
      </c>
      <c r="H10253" s="3" t="inlineStr">
        <is>
          <t>계획관리지역</t>
        </is>
      </c>
      <c r="I10253" s="3" t="inlineStr">
        <is>
          <t>대</t>
        </is>
      </c>
      <c r="J10253" s="3" t="inlineStr">
        <is>
          <t>연서면</t>
        </is>
      </c>
    </row>
    <row r="10254">
      <c r="A10254" s="3" t="n">
        <v>2025</v>
      </c>
      <c r="B10254" s="4" t="n">
        <v>16949</v>
      </c>
      <c r="C10254" s="4" t="n">
        <v>431</v>
      </c>
      <c r="D10254" s="4" t="n">
        <v>130.3775</v>
      </c>
      <c r="E10254" s="5" t="n">
        <v>130</v>
      </c>
      <c r="F10254" s="3" t="inlineStr">
        <is>
          <t>연서면</t>
        </is>
      </c>
      <c r="G10254" s="3" t="inlineStr">
        <is>
          <t>신대리</t>
        </is>
      </c>
      <c r="H10254" s="3" t="inlineStr">
        <is>
          <t>계획관리지역</t>
        </is>
      </c>
      <c r="I10254" s="3" t="inlineStr">
        <is>
          <t>대</t>
        </is>
      </c>
      <c r="J10254" s="3" t="inlineStr">
        <is>
          <t>연서면</t>
        </is>
      </c>
    </row>
    <row r="10255">
      <c r="A10255" s="3" t="n">
        <v>2025</v>
      </c>
      <c r="B10255" s="4" t="n">
        <v>5073</v>
      </c>
      <c r="C10255" s="4" t="n">
        <v>129</v>
      </c>
      <c r="D10255" s="4" t="n">
        <v>39.0225</v>
      </c>
      <c r="E10255" s="5" t="n">
        <v>130</v>
      </c>
      <c r="F10255" s="3" t="inlineStr">
        <is>
          <t>연서면</t>
        </is>
      </c>
      <c r="G10255" s="3" t="inlineStr">
        <is>
          <t>신대리</t>
        </is>
      </c>
      <c r="H10255" s="3" t="inlineStr">
        <is>
          <t>보전관리지역</t>
        </is>
      </c>
      <c r="I10255" s="3" t="inlineStr">
        <is>
          <t>대</t>
        </is>
      </c>
      <c r="J10255" s="3" t="inlineStr">
        <is>
          <t>연서면</t>
        </is>
      </c>
    </row>
    <row r="10256">
      <c r="A10256" s="3" t="n">
        <v>2025</v>
      </c>
      <c r="B10256" s="4" t="n">
        <v>983</v>
      </c>
      <c r="C10256" s="4" t="n">
        <v>25</v>
      </c>
      <c r="D10256" s="4" t="n">
        <v>7.5625</v>
      </c>
      <c r="E10256" s="5" t="n">
        <v>130</v>
      </c>
      <c r="F10256" s="3" t="inlineStr">
        <is>
          <t>연서면</t>
        </is>
      </c>
      <c r="G10256" s="3" t="inlineStr">
        <is>
          <t>신대리</t>
        </is>
      </c>
      <c r="H10256" s="3" t="inlineStr">
        <is>
          <t>보전관리지역</t>
        </is>
      </c>
      <c r="I10256" s="3" t="inlineStr">
        <is>
          <t>대</t>
        </is>
      </c>
      <c r="J10256" s="3" t="inlineStr">
        <is>
          <t>연서면</t>
        </is>
      </c>
    </row>
    <row r="10257">
      <c r="A10257" s="3" t="n">
        <v>2025</v>
      </c>
      <c r="B10257" s="4" t="n">
        <v>22730</v>
      </c>
      <c r="C10257" s="4" t="n">
        <v>578</v>
      </c>
      <c r="D10257" s="4" t="n">
        <v>174.845</v>
      </c>
      <c r="E10257" s="5" t="n">
        <v>130</v>
      </c>
      <c r="F10257" s="3" t="inlineStr">
        <is>
          <t>연서면</t>
        </is>
      </c>
      <c r="G10257" s="3" t="inlineStr">
        <is>
          <t>신대리</t>
        </is>
      </c>
      <c r="H10257" s="3" t="inlineStr">
        <is>
          <t>계획관리지역</t>
        </is>
      </c>
      <c r="I10257" s="3" t="inlineStr">
        <is>
          <t>대</t>
        </is>
      </c>
      <c r="J10257" s="3" t="inlineStr">
        <is>
          <t>연서면</t>
        </is>
      </c>
    </row>
    <row r="10258">
      <c r="A10258" s="3" t="n">
        <v>2025</v>
      </c>
      <c r="B10258" s="4" t="n">
        <v>16689</v>
      </c>
      <c r="C10258" s="4" t="n">
        <v>238</v>
      </c>
      <c r="D10258" s="4" t="n">
        <v>71.995</v>
      </c>
      <c r="E10258" s="5" t="n">
        <v>231.8</v>
      </c>
      <c r="F10258" s="3" t="inlineStr">
        <is>
          <t>금남면</t>
        </is>
      </c>
      <c r="G10258" s="3" t="inlineStr">
        <is>
          <t>원봉리</t>
        </is>
      </c>
      <c r="H10258" s="3" t="inlineStr">
        <is>
          <t>계획관리지역</t>
        </is>
      </c>
      <c r="I10258" s="3" t="inlineStr">
        <is>
          <t>답</t>
        </is>
      </c>
      <c r="J10258" s="3" t="inlineStr">
        <is>
          <t>금남면</t>
        </is>
      </c>
    </row>
    <row r="10259">
      <c r="A10259" s="3" t="n">
        <v>2025</v>
      </c>
      <c r="B10259" s="4" t="n">
        <v>27311</v>
      </c>
      <c r="C10259" s="4" t="n">
        <v>377</v>
      </c>
      <c r="D10259" s="4" t="n">
        <v>114.0425</v>
      </c>
      <c r="E10259" s="5" t="n">
        <v>239.5</v>
      </c>
      <c r="F10259" s="3" t="inlineStr">
        <is>
          <t>금남면</t>
        </is>
      </c>
      <c r="G10259" s="3" t="inlineStr">
        <is>
          <t>원봉리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금남면</t>
        </is>
      </c>
    </row>
    <row r="10260">
      <c r="A10260" s="3" t="n">
        <v>2025</v>
      </c>
      <c r="B10260" s="4" t="n">
        <v>20000</v>
      </c>
      <c r="C10260" s="4" t="n">
        <v>660</v>
      </c>
      <c r="D10260" s="4" t="n">
        <v>199.65</v>
      </c>
      <c r="E10260" s="5" t="n">
        <v>100.2</v>
      </c>
      <c r="F10260" s="3" t="inlineStr">
        <is>
          <t>금남면</t>
        </is>
      </c>
      <c r="G10260" s="3" t="inlineStr">
        <is>
          <t>남곡리</t>
        </is>
      </c>
      <c r="H10260" s="3" t="inlineStr">
        <is>
          <t>개발제한구역</t>
        </is>
      </c>
      <c r="I10260" s="3" t="inlineStr">
        <is>
          <t>답</t>
        </is>
      </c>
      <c r="J10260" s="3" t="inlineStr">
        <is>
          <t>금남면</t>
        </is>
      </c>
    </row>
    <row r="10261">
      <c r="A10261" s="3" t="n">
        <v>2025</v>
      </c>
      <c r="B10261" s="4" t="n">
        <v>33500</v>
      </c>
      <c r="C10261" s="4" t="n">
        <v>1653</v>
      </c>
      <c r="D10261" s="4" t="n">
        <v>500.0325</v>
      </c>
      <c r="E10261" s="5" t="n">
        <v>67</v>
      </c>
      <c r="F10261" s="3" t="inlineStr">
        <is>
          <t>장군면</t>
        </is>
      </c>
      <c r="G10261" s="3" t="inlineStr">
        <is>
          <t>하봉리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장군면</t>
        </is>
      </c>
    </row>
    <row r="10262">
      <c r="A10262" s="3" t="n">
        <v>2024</v>
      </c>
      <c r="B10262" s="4" t="n">
        <v>25000</v>
      </c>
      <c r="C10262" s="4" t="n">
        <v>660</v>
      </c>
      <c r="D10262" s="4" t="n">
        <v>199.65</v>
      </c>
      <c r="E10262" s="5" t="n">
        <v>125.2</v>
      </c>
      <c r="F10262" s="3" t="inlineStr">
        <is>
          <t>연기면</t>
        </is>
      </c>
      <c r="G10262" s="3" t="inlineStr">
        <is>
          <t>수산리</t>
        </is>
      </c>
      <c r="H10262" s="3" t="inlineStr">
        <is>
          <t>계획관리지역</t>
        </is>
      </c>
      <c r="I10262" s="3" t="inlineStr">
        <is>
          <t>답</t>
        </is>
      </c>
      <c r="J10262" s="3" t="inlineStr">
        <is>
          <t>연기면</t>
        </is>
      </c>
    </row>
    <row r="10263">
      <c r="A10263" s="3" t="n">
        <v>2024</v>
      </c>
      <c r="B10263" s="4" t="n">
        <v>2100</v>
      </c>
      <c r="C10263" s="4" t="n">
        <v>198</v>
      </c>
      <c r="D10263" s="4" t="n">
        <v>59.895</v>
      </c>
      <c r="E10263" s="5" t="n">
        <v>35.1</v>
      </c>
      <c r="F10263" s="3" t="inlineStr">
        <is>
          <t>전의면</t>
        </is>
      </c>
      <c r="G10263" s="3" t="inlineStr">
        <is>
          <t>동교리</t>
        </is>
      </c>
      <c r="H10263" s="3" t="inlineStr">
        <is>
          <t>제2종일반주거지역</t>
        </is>
      </c>
      <c r="I10263" s="3" t="inlineStr">
        <is>
          <t>임야</t>
        </is>
      </c>
      <c r="J10263" s="3" t="inlineStr">
        <is>
          <t>전의면</t>
        </is>
      </c>
    </row>
    <row r="10264">
      <c r="A10264" s="3" t="n">
        <v>2024</v>
      </c>
      <c r="B10264" s="4" t="n">
        <v>50000</v>
      </c>
      <c r="C10264" s="4" t="n">
        <v>348</v>
      </c>
      <c r="D10264" s="4" t="n">
        <v>105.27</v>
      </c>
      <c r="E10264" s="5" t="n">
        <v>475</v>
      </c>
      <c r="F10264" s="3" t="inlineStr">
        <is>
          <t>아름동</t>
        </is>
      </c>
      <c r="G10264" s="3" t="inlineStr"/>
      <c r="H10264" s="3" t="inlineStr">
        <is>
          <t>제1종전용주거지역</t>
        </is>
      </c>
      <c r="I10264" s="3" t="inlineStr">
        <is>
          <t>대</t>
        </is>
      </c>
      <c r="J10264" s="3" t="inlineStr">
        <is>
          <t>아름동</t>
        </is>
      </c>
    </row>
    <row r="10265">
      <c r="A10265" s="3" t="n">
        <v>2024</v>
      </c>
      <c r="B10265" s="4" t="n">
        <v>45000</v>
      </c>
      <c r="C10265" s="4" t="n">
        <v>516</v>
      </c>
      <c r="D10265" s="4" t="n">
        <v>156.09</v>
      </c>
      <c r="E10265" s="5" t="n">
        <v>288.3</v>
      </c>
      <c r="F10265" s="3" t="inlineStr">
        <is>
          <t>장군면</t>
        </is>
      </c>
      <c r="G10265" s="3" t="inlineStr">
        <is>
          <t>봉안리</t>
        </is>
      </c>
      <c r="H10265" s="3" t="inlineStr">
        <is>
          <t>계획관리지역</t>
        </is>
      </c>
      <c r="I10265" s="3" t="inlineStr">
        <is>
          <t>전</t>
        </is>
      </c>
      <c r="J10265" s="3" t="inlineStr">
        <is>
          <t>장군면</t>
        </is>
      </c>
    </row>
    <row r="10266">
      <c r="A10266" s="3" t="n">
        <v>2024</v>
      </c>
      <c r="B10266" s="4" t="n">
        <v>46199</v>
      </c>
      <c r="C10266" s="4" t="n">
        <v>731</v>
      </c>
      <c r="D10266" s="4" t="n">
        <v>221.1275</v>
      </c>
      <c r="E10266" s="5" t="n">
        <v>208.9</v>
      </c>
      <c r="F10266" s="3" t="inlineStr">
        <is>
          <t>금남면</t>
        </is>
      </c>
      <c r="G10266" s="3" t="inlineStr">
        <is>
          <t>국곡리</t>
        </is>
      </c>
      <c r="H10266" s="3" t="inlineStr">
        <is>
          <t>계획관리지역</t>
        </is>
      </c>
      <c r="I10266" s="3" t="inlineStr">
        <is>
          <t>임야</t>
        </is>
      </c>
      <c r="J10266" s="3" t="inlineStr">
        <is>
          <t>금남면</t>
        </is>
      </c>
    </row>
    <row r="10267">
      <c r="A10267" s="3" t="n">
        <v>2024</v>
      </c>
      <c r="B10267" s="4" t="n">
        <v>5796</v>
      </c>
      <c r="C10267" s="4" t="n">
        <v>161</v>
      </c>
      <c r="D10267" s="4" t="n">
        <v>48.7025</v>
      </c>
      <c r="E10267" s="5" t="n">
        <v>119</v>
      </c>
      <c r="F10267" s="3" t="inlineStr">
        <is>
          <t>장군면</t>
        </is>
      </c>
      <c r="G10267" s="3" t="inlineStr">
        <is>
          <t>대교리</t>
        </is>
      </c>
      <c r="H10267" s="3" t="inlineStr">
        <is>
          <t>보전관리지역</t>
        </is>
      </c>
      <c r="I10267" s="3" t="inlineStr">
        <is>
          <t>전</t>
        </is>
      </c>
      <c r="J10267" s="3" t="inlineStr">
        <is>
          <t>장군면</t>
        </is>
      </c>
    </row>
    <row r="10268">
      <c r="A10268" s="3" t="n">
        <v>2024</v>
      </c>
      <c r="B10268" s="4" t="n">
        <v>10000</v>
      </c>
      <c r="C10268" s="4" t="n">
        <v>1815</v>
      </c>
      <c r="D10268" s="4" t="n">
        <v>549.0375</v>
      </c>
      <c r="E10268" s="5" t="n">
        <v>18.2</v>
      </c>
      <c r="F10268" s="3" t="inlineStr">
        <is>
          <t>연서면</t>
        </is>
      </c>
      <c r="G10268" s="3" t="inlineStr">
        <is>
          <t>기룡리</t>
        </is>
      </c>
      <c r="H10268" s="3" t="inlineStr">
        <is>
          <t>생산관리지역</t>
        </is>
      </c>
      <c r="I10268" s="3" t="inlineStr">
        <is>
          <t>답</t>
        </is>
      </c>
      <c r="J10268" s="3" t="inlineStr">
        <is>
          <t>연서면</t>
        </is>
      </c>
    </row>
    <row r="10269">
      <c r="A10269" s="3" t="n">
        <v>2024</v>
      </c>
      <c r="B10269" s="4" t="n">
        <v>26625</v>
      </c>
      <c r="C10269" s="4" t="n">
        <v>2965</v>
      </c>
      <c r="D10269" s="4" t="n">
        <v>896.9125</v>
      </c>
      <c r="E10269" s="5" t="n">
        <v>29.7</v>
      </c>
      <c r="F10269" s="3" t="inlineStr">
        <is>
          <t>전동면</t>
        </is>
      </c>
      <c r="G10269" s="3" t="inlineStr">
        <is>
          <t>노장리</t>
        </is>
      </c>
      <c r="H10269" s="3" t="inlineStr">
        <is>
          <t>농림지역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2024</v>
      </c>
      <c r="B10270" s="4" t="n">
        <v>21375</v>
      </c>
      <c r="C10270" s="4" t="n">
        <v>2380</v>
      </c>
      <c r="D10270" s="4" t="n">
        <v>719.9499999999999</v>
      </c>
      <c r="E10270" s="5" t="n">
        <v>29.7</v>
      </c>
      <c r="F10270" s="3" t="inlineStr">
        <is>
          <t>전동면</t>
        </is>
      </c>
      <c r="G10270" s="3" t="inlineStr">
        <is>
          <t>노장리</t>
        </is>
      </c>
      <c r="H10270" s="3" t="inlineStr">
        <is>
          <t>농림지역</t>
        </is>
      </c>
      <c r="I10270" s="3" t="inlineStr">
        <is>
          <t>전</t>
        </is>
      </c>
      <c r="J10270" s="3" t="inlineStr">
        <is>
          <t>전동면</t>
        </is>
      </c>
    </row>
    <row r="10271">
      <c r="A10271" s="3" t="n">
        <v>2024</v>
      </c>
      <c r="B10271" s="4" t="n">
        <v>580</v>
      </c>
      <c r="C10271" s="4" t="n">
        <v>85</v>
      </c>
      <c r="D10271" s="4" t="n">
        <v>25.7125</v>
      </c>
      <c r="E10271" s="5" t="n">
        <v>22.6</v>
      </c>
      <c r="F10271" s="3" t="inlineStr">
        <is>
          <t>장군면</t>
        </is>
      </c>
      <c r="G10271" s="3" t="inlineStr">
        <is>
          <t>대교리</t>
        </is>
      </c>
      <c r="H10271" s="3" t="inlineStr">
        <is>
          <t>농림지역</t>
        </is>
      </c>
      <c r="I10271" s="3" t="inlineStr">
        <is>
          <t>답</t>
        </is>
      </c>
      <c r="J10271" s="3" t="inlineStr">
        <is>
          <t>장군면</t>
        </is>
      </c>
    </row>
    <row r="10272">
      <c r="A10272" s="3" t="n">
        <v>2024</v>
      </c>
      <c r="B10272" s="4" t="n">
        <v>1600</v>
      </c>
      <c r="C10272" s="4" t="n">
        <v>53</v>
      </c>
      <c r="D10272" s="4" t="n">
        <v>16.0325</v>
      </c>
      <c r="E10272" s="5" t="n">
        <v>99.8</v>
      </c>
      <c r="F10272" s="3" t="inlineStr">
        <is>
          <t>장군면</t>
        </is>
      </c>
      <c r="G10272" s="3" t="inlineStr">
        <is>
          <t>송정리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2024</v>
      </c>
      <c r="B10273" s="4" t="n">
        <v>7000</v>
      </c>
      <c r="C10273" s="4" t="n">
        <v>814</v>
      </c>
      <c r="D10273" s="4" t="n">
        <v>246.235</v>
      </c>
      <c r="E10273" s="5" t="n">
        <v>28.4</v>
      </c>
      <c r="F10273" s="3" t="inlineStr">
        <is>
          <t>소정면</t>
        </is>
      </c>
      <c r="G10273" s="3" t="inlineStr">
        <is>
          <t>고등리</t>
        </is>
      </c>
      <c r="H10273" s="3" t="inlineStr">
        <is>
          <t>계획관리지역</t>
        </is>
      </c>
      <c r="I10273" s="3" t="inlineStr">
        <is>
          <t>임야</t>
        </is>
      </c>
      <c r="J10273" s="3" t="inlineStr">
        <is>
          <t>소정면</t>
        </is>
      </c>
    </row>
    <row r="10274">
      <c r="A10274" s="3" t="n">
        <v>2024</v>
      </c>
      <c r="B10274" s="4" t="n">
        <v>29010</v>
      </c>
      <c r="C10274" s="4" t="n">
        <v>305</v>
      </c>
      <c r="D10274" s="4" t="n">
        <v>92.2625</v>
      </c>
      <c r="E10274" s="5" t="n">
        <v>314.4</v>
      </c>
      <c r="F10274" s="3" t="inlineStr">
        <is>
          <t>집현동</t>
        </is>
      </c>
      <c r="G10274" s="3" t="inlineStr"/>
      <c r="H10274" s="3" t="inlineStr">
        <is>
          <t>기타</t>
        </is>
      </c>
      <c r="I10274" s="3" t="inlineStr">
        <is>
          <t>대</t>
        </is>
      </c>
      <c r="J10274" s="3" t="inlineStr">
        <is>
          <t>집현동</t>
        </is>
      </c>
    </row>
    <row r="10275">
      <c r="A10275" s="3" t="n">
        <v>2024</v>
      </c>
      <c r="B10275" s="4" t="n">
        <v>31600</v>
      </c>
      <c r="C10275" s="4" t="n">
        <v>1742</v>
      </c>
      <c r="D10275" s="4" t="n">
        <v>526.955</v>
      </c>
      <c r="E10275" s="5" t="n">
        <v>60</v>
      </c>
      <c r="F10275" s="3" t="inlineStr">
        <is>
          <t>연기면</t>
        </is>
      </c>
      <c r="G10275" s="3" t="inlineStr">
        <is>
          <t>눌왕리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연기면</t>
        </is>
      </c>
    </row>
    <row r="10276">
      <c r="A10276" s="3" t="n">
        <v>2024</v>
      </c>
      <c r="B10276" s="4" t="n">
        <v>23153</v>
      </c>
      <c r="C10276" s="4" t="n">
        <v>627</v>
      </c>
      <c r="D10276" s="4" t="n">
        <v>189.6675</v>
      </c>
      <c r="E10276" s="5" t="n">
        <v>122.1</v>
      </c>
      <c r="F10276" s="3" t="inlineStr">
        <is>
          <t>전동면</t>
        </is>
      </c>
      <c r="G10276" s="3" t="inlineStr">
        <is>
          <t>보덕리</t>
        </is>
      </c>
      <c r="H10276" s="3" t="inlineStr">
        <is>
          <t>기타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2022</v>
      </c>
      <c r="B10277" s="4" t="n">
        <v>351577</v>
      </c>
      <c r="C10277" s="4" t="n">
        <v>6613.1</v>
      </c>
      <c r="D10277" s="4" t="n">
        <v>2000.46275</v>
      </c>
      <c r="E10277" s="5" t="n">
        <v>175.7</v>
      </c>
      <c r="F10277" s="3" t="inlineStr">
        <is>
          <t>전동면</t>
        </is>
      </c>
      <c r="G10277" s="3" t="inlineStr">
        <is>
          <t>심중리</t>
        </is>
      </c>
      <c r="H10277" s="3" t="inlineStr">
        <is>
          <t>일반공업지역</t>
        </is>
      </c>
      <c r="I10277" s="3" t="inlineStr">
        <is>
          <t>공장용지</t>
        </is>
      </c>
      <c r="J10277" s="3" t="inlineStr">
        <is>
          <t>전동면</t>
        </is>
      </c>
    </row>
    <row r="10278">
      <c r="A10278" s="3" t="n">
        <v>2022</v>
      </c>
      <c r="B10278" s="4" t="n">
        <v>614928</v>
      </c>
      <c r="C10278" s="4" t="n">
        <v>13221.6</v>
      </c>
      <c r="D10278" s="4" t="n">
        <v>3999.534</v>
      </c>
      <c r="E10278" s="5" t="n">
        <v>153.7</v>
      </c>
      <c r="F10278" s="3" t="inlineStr">
        <is>
          <t>전동면</t>
        </is>
      </c>
      <c r="G10278" s="3" t="inlineStr">
        <is>
          <t>심중리</t>
        </is>
      </c>
      <c r="H10278" s="3" t="inlineStr">
        <is>
          <t>일반공업지역</t>
        </is>
      </c>
      <c r="I10278" s="3" t="inlineStr">
        <is>
          <t>공장용지</t>
        </is>
      </c>
      <c r="J10278" s="3" t="inlineStr">
        <is>
          <t>전동면</t>
        </is>
      </c>
    </row>
    <row r="10279">
      <c r="A10279" s="3" t="n">
        <v>2022</v>
      </c>
      <c r="B10279" s="4" t="n">
        <v>52930</v>
      </c>
      <c r="C10279" s="4" t="n">
        <v>33650</v>
      </c>
      <c r="D10279" s="4" t="n">
        <v>10179.125</v>
      </c>
      <c r="E10279" s="5" t="n">
        <v>5.2</v>
      </c>
      <c r="F10279" s="3" t="inlineStr">
        <is>
          <t>부강면</t>
        </is>
      </c>
      <c r="G10279" s="3" t="inlineStr">
        <is>
          <t>등곡리</t>
        </is>
      </c>
      <c r="H10279" s="3" t="inlineStr">
        <is>
          <t>농림지역</t>
        </is>
      </c>
      <c r="I10279" s="3" t="inlineStr">
        <is>
          <t>임야</t>
        </is>
      </c>
      <c r="J10279" s="3" t="inlineStr">
        <is>
          <t>부강면</t>
        </is>
      </c>
    </row>
    <row r="10280">
      <c r="A10280" s="3" t="n">
        <v>2022</v>
      </c>
      <c r="B10280" s="4" t="n">
        <v>57600</v>
      </c>
      <c r="C10280" s="4" t="n">
        <v>2646</v>
      </c>
      <c r="D10280" s="4" t="n">
        <v>800.415</v>
      </c>
      <c r="E10280" s="5" t="n">
        <v>72</v>
      </c>
      <c r="F10280" s="3" t="inlineStr">
        <is>
          <t>연동면</t>
        </is>
      </c>
      <c r="G10280" s="3" t="inlineStr">
        <is>
          <t>송용리</t>
        </is>
      </c>
      <c r="H10280" s="3" t="inlineStr">
        <is>
          <t>제2종일반주거지역</t>
        </is>
      </c>
      <c r="I10280" s="3" t="inlineStr">
        <is>
          <t>답</t>
        </is>
      </c>
      <c r="J10280" s="3" t="inlineStr">
        <is>
          <t>연동면</t>
        </is>
      </c>
    </row>
    <row r="10281">
      <c r="A10281" s="3" t="n">
        <v>2022</v>
      </c>
      <c r="B10281" s="4" t="n">
        <v>21630</v>
      </c>
      <c r="C10281" s="4" t="n">
        <v>311</v>
      </c>
      <c r="D10281" s="4" t="n">
        <v>94.0775</v>
      </c>
      <c r="E10281" s="5" t="n">
        <v>229.9</v>
      </c>
      <c r="F10281" s="3" t="inlineStr">
        <is>
          <t>금남면</t>
        </is>
      </c>
      <c r="G10281" s="3" t="inlineStr">
        <is>
          <t>달전리</t>
        </is>
      </c>
      <c r="H10281" s="3" t="inlineStr">
        <is>
          <t>제1종일반주거지역</t>
        </is>
      </c>
      <c r="I10281" s="3" t="inlineStr">
        <is>
          <t>답</t>
        </is>
      </c>
      <c r="J10281" s="3" t="inlineStr">
        <is>
          <t>금남면</t>
        </is>
      </c>
    </row>
    <row r="10282">
      <c r="A10282" s="3" t="n">
        <v>2022</v>
      </c>
      <c r="B10282" s="4" t="n">
        <v>30950</v>
      </c>
      <c r="C10282" s="4" t="n">
        <v>445</v>
      </c>
      <c r="D10282" s="4" t="n">
        <v>134.6125</v>
      </c>
      <c r="E10282" s="5" t="n">
        <v>229.9</v>
      </c>
      <c r="F10282" s="3" t="inlineStr">
        <is>
          <t>금남면</t>
        </is>
      </c>
      <c r="G10282" s="3" t="inlineStr">
        <is>
          <t>달전리</t>
        </is>
      </c>
      <c r="H10282" s="3" t="inlineStr">
        <is>
          <t>제1종일반주거지역</t>
        </is>
      </c>
      <c r="I10282" s="3" t="inlineStr">
        <is>
          <t>답</t>
        </is>
      </c>
      <c r="J10282" s="3" t="inlineStr">
        <is>
          <t>금남면</t>
        </is>
      </c>
    </row>
    <row r="10283">
      <c r="A10283" s="3" t="n">
        <v>2022</v>
      </c>
      <c r="B10283" s="4" t="n">
        <v>7720</v>
      </c>
      <c r="C10283" s="4" t="n">
        <v>111</v>
      </c>
      <c r="D10283" s="4" t="n">
        <v>33.5775</v>
      </c>
      <c r="E10283" s="5" t="n">
        <v>229.9</v>
      </c>
      <c r="F10283" s="3" t="inlineStr">
        <is>
          <t>금남면</t>
        </is>
      </c>
      <c r="G10283" s="3" t="inlineStr">
        <is>
          <t>달전리</t>
        </is>
      </c>
      <c r="H10283" s="3" t="inlineStr">
        <is>
          <t>제1종일반주거지역</t>
        </is>
      </c>
      <c r="I10283" s="3" t="inlineStr">
        <is>
          <t>답</t>
        </is>
      </c>
      <c r="J10283" s="3" t="inlineStr">
        <is>
          <t>금남면</t>
        </is>
      </c>
    </row>
    <row r="10284">
      <c r="A10284" s="3" t="n">
        <v>2022</v>
      </c>
      <c r="B10284" s="4" t="n">
        <v>41760</v>
      </c>
      <c r="C10284" s="4" t="n">
        <v>6901</v>
      </c>
      <c r="D10284" s="4" t="n">
        <v>2087.5525</v>
      </c>
      <c r="E10284" s="5" t="n">
        <v>20</v>
      </c>
      <c r="F10284" s="3" t="inlineStr">
        <is>
          <t>연서면</t>
        </is>
      </c>
      <c r="G10284" s="3" t="inlineStr">
        <is>
          <t>쌍류리</t>
        </is>
      </c>
      <c r="H10284" s="3" t="inlineStr">
        <is>
          <t>보전관리지역</t>
        </is>
      </c>
      <c r="I10284" s="3" t="inlineStr">
        <is>
          <t>임야</t>
        </is>
      </c>
      <c r="J10284" s="3" t="inlineStr">
        <is>
          <t>연서면</t>
        </is>
      </c>
    </row>
    <row r="10285">
      <c r="A10285" s="3" t="n">
        <v>2022</v>
      </c>
      <c r="B10285" s="4" t="n">
        <v>3350</v>
      </c>
      <c r="C10285" s="4" t="n">
        <v>223</v>
      </c>
      <c r="D10285" s="4" t="n">
        <v>67.4575</v>
      </c>
      <c r="E10285" s="5" t="n">
        <v>49.7</v>
      </c>
      <c r="F10285" s="3" t="inlineStr">
        <is>
          <t>연서면</t>
        </is>
      </c>
      <c r="G10285" s="3" t="inlineStr">
        <is>
          <t>쌍류리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연서면</t>
        </is>
      </c>
    </row>
    <row r="10286">
      <c r="A10286" s="3" t="n">
        <v>2022</v>
      </c>
      <c r="B10286" s="4" t="n">
        <v>43200</v>
      </c>
      <c r="C10286" s="4" t="n">
        <v>1785</v>
      </c>
      <c r="D10286" s="4" t="n">
        <v>539.9625</v>
      </c>
      <c r="E10286" s="5" t="n">
        <v>80</v>
      </c>
      <c r="F10286" s="3" t="inlineStr">
        <is>
          <t>연서면</t>
        </is>
      </c>
      <c r="G10286" s="3" t="inlineStr">
        <is>
          <t>쌍류리</t>
        </is>
      </c>
      <c r="H10286" s="3" t="inlineStr">
        <is>
          <t>계획관리지역</t>
        </is>
      </c>
      <c r="I10286" s="3" t="inlineStr">
        <is>
          <t>대</t>
        </is>
      </c>
      <c r="J10286" s="3" t="inlineStr">
        <is>
          <t>연서면</t>
        </is>
      </c>
    </row>
    <row r="10287">
      <c r="A10287" s="3" t="n">
        <v>2022</v>
      </c>
      <c r="B10287" s="4" t="n">
        <v>24720</v>
      </c>
      <c r="C10287" s="4" t="n">
        <v>1021</v>
      </c>
      <c r="D10287" s="4" t="n">
        <v>308.8525</v>
      </c>
      <c r="E10287" s="5" t="n">
        <v>80</v>
      </c>
      <c r="F10287" s="3" t="inlineStr">
        <is>
          <t>연서면</t>
        </is>
      </c>
      <c r="G10287" s="3" t="inlineStr">
        <is>
          <t>쌍류리</t>
        </is>
      </c>
      <c r="H10287" s="3" t="inlineStr">
        <is>
          <t>계획관리지역</t>
        </is>
      </c>
      <c r="I10287" s="3" t="inlineStr">
        <is>
          <t>대</t>
        </is>
      </c>
      <c r="J10287" s="3" t="inlineStr">
        <is>
          <t>연서면</t>
        </is>
      </c>
    </row>
    <row r="10288">
      <c r="A10288" s="3" t="n">
        <v>2022</v>
      </c>
      <c r="B10288" s="4" t="n">
        <v>8640</v>
      </c>
      <c r="C10288" s="4" t="n">
        <v>357</v>
      </c>
      <c r="D10288" s="4" t="n">
        <v>107.9925</v>
      </c>
      <c r="E10288" s="5" t="n">
        <v>80</v>
      </c>
      <c r="F10288" s="3" t="inlineStr">
        <is>
          <t>연서면</t>
        </is>
      </c>
      <c r="G10288" s="3" t="inlineStr">
        <is>
          <t>쌍류리</t>
        </is>
      </c>
      <c r="H10288" s="3" t="inlineStr">
        <is>
          <t>계획관리지역</t>
        </is>
      </c>
      <c r="I10288" s="3" t="inlineStr">
        <is>
          <t>대</t>
        </is>
      </c>
      <c r="J10288" s="3" t="inlineStr">
        <is>
          <t>연서면</t>
        </is>
      </c>
    </row>
    <row r="10289">
      <c r="A10289" s="3" t="n">
        <v>2022</v>
      </c>
      <c r="B10289" s="4" t="n">
        <v>9558</v>
      </c>
      <c r="C10289" s="4" t="n">
        <v>665</v>
      </c>
      <c r="D10289" s="4" t="n">
        <v>201.1625</v>
      </c>
      <c r="E10289" s="5" t="n">
        <v>47.5</v>
      </c>
      <c r="F10289" s="3" t="inlineStr">
        <is>
          <t>연서면</t>
        </is>
      </c>
      <c r="G10289" s="3" t="inlineStr">
        <is>
          <t>신대리</t>
        </is>
      </c>
      <c r="H10289" s="3" t="inlineStr">
        <is>
          <t>계획관리지역</t>
        </is>
      </c>
      <c r="I10289" s="3" t="inlineStr">
        <is>
          <t>답</t>
        </is>
      </c>
      <c r="J10289" s="3" t="inlineStr">
        <is>
          <t>연서면</t>
        </is>
      </c>
    </row>
    <row r="10290">
      <c r="A10290" s="3" t="n">
        <v>2022</v>
      </c>
      <c r="B10290" s="4" t="n">
        <v>7215</v>
      </c>
      <c r="C10290" s="4" t="n">
        <v>477</v>
      </c>
      <c r="D10290" s="4" t="n">
        <v>144.2925</v>
      </c>
      <c r="E10290" s="5" t="n">
        <v>50</v>
      </c>
      <c r="F10290" s="3" t="inlineStr">
        <is>
          <t>연서면</t>
        </is>
      </c>
      <c r="G10290" s="3" t="inlineStr">
        <is>
          <t>신대리</t>
        </is>
      </c>
      <c r="H10290" s="3" t="inlineStr">
        <is>
          <t>계획관리지역</t>
        </is>
      </c>
      <c r="I10290" s="3" t="inlineStr">
        <is>
          <t>답</t>
        </is>
      </c>
      <c r="J10290" s="3" t="inlineStr">
        <is>
          <t>연서면</t>
        </is>
      </c>
    </row>
    <row r="10291">
      <c r="A10291" s="3" t="n">
        <v>2022</v>
      </c>
      <c r="B10291" s="4" t="n">
        <v>8000</v>
      </c>
      <c r="C10291" s="4" t="n">
        <v>1203</v>
      </c>
      <c r="D10291" s="4" t="n">
        <v>363.9075</v>
      </c>
      <c r="E10291" s="5" t="n">
        <v>22</v>
      </c>
      <c r="F10291" s="3" t="inlineStr">
        <is>
          <t>전동면</t>
        </is>
      </c>
      <c r="G10291" s="3" t="inlineStr">
        <is>
          <t>미곡리</t>
        </is>
      </c>
      <c r="H10291" s="3" t="inlineStr">
        <is>
          <t>생산관리지역</t>
        </is>
      </c>
      <c r="I10291" s="3" t="inlineStr">
        <is>
          <t>전</t>
        </is>
      </c>
      <c r="J10291" s="3" t="inlineStr">
        <is>
          <t>전동면</t>
        </is>
      </c>
    </row>
    <row r="10292">
      <c r="A10292" s="3" t="n">
        <v>2022</v>
      </c>
      <c r="B10292" s="4" t="n">
        <v>37700</v>
      </c>
      <c r="C10292" s="4" t="n">
        <v>3117</v>
      </c>
      <c r="D10292" s="4" t="n">
        <v>942.8924999999999</v>
      </c>
      <c r="E10292" s="5" t="n">
        <v>40</v>
      </c>
      <c r="F10292" s="3" t="inlineStr">
        <is>
          <t>전동면</t>
        </is>
      </c>
      <c r="G10292" s="3" t="inlineStr">
        <is>
          <t>미곡리</t>
        </is>
      </c>
      <c r="H10292" s="3" t="inlineStr">
        <is>
          <t>농림지역</t>
        </is>
      </c>
      <c r="I10292" s="3" t="inlineStr">
        <is>
          <t>답</t>
        </is>
      </c>
      <c r="J10292" s="3" t="inlineStr">
        <is>
          <t>전동면</t>
        </is>
      </c>
    </row>
    <row r="10293">
      <c r="A10293" s="3" t="n">
        <v>2022</v>
      </c>
      <c r="B10293" s="4" t="n">
        <v>26750</v>
      </c>
      <c r="C10293" s="4" t="n">
        <v>354</v>
      </c>
      <c r="D10293" s="4" t="n">
        <v>107.085</v>
      </c>
      <c r="E10293" s="5" t="n">
        <v>249.8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41000</v>
      </c>
      <c r="C10294" s="4" t="n">
        <v>341</v>
      </c>
      <c r="D10294" s="4" t="n">
        <v>103.1525</v>
      </c>
      <c r="E10294" s="5" t="n">
        <v>397.5</v>
      </c>
      <c r="F10294" s="3" t="inlineStr">
        <is>
          <t>연서면</t>
        </is>
      </c>
      <c r="G10294" s="3" t="inlineStr">
        <is>
          <t>고복리</t>
        </is>
      </c>
      <c r="H10294" s="3" t="inlineStr">
        <is>
          <t>보전관리지역</t>
        </is>
      </c>
      <c r="I10294" s="3" t="inlineStr">
        <is>
          <t>대</t>
        </is>
      </c>
      <c r="J10294" s="3" t="inlineStr">
        <is>
          <t>연서면</t>
        </is>
      </c>
    </row>
    <row r="10295">
      <c r="A10295" s="3" t="n">
        <v>2022</v>
      </c>
      <c r="B10295" s="4" t="n">
        <v>132049</v>
      </c>
      <c r="C10295" s="4" t="n">
        <v>116528</v>
      </c>
      <c r="D10295" s="4" t="n">
        <v>35249.72</v>
      </c>
      <c r="E10295" s="5" t="n">
        <v>3.7</v>
      </c>
      <c r="F10295" s="3" t="inlineStr">
        <is>
          <t>연서면</t>
        </is>
      </c>
      <c r="G10295" s="3" t="inlineStr">
        <is>
          <t>쌍류리</t>
        </is>
      </c>
      <c r="H10295" s="3" t="inlineStr">
        <is>
          <t>농림지역</t>
        </is>
      </c>
      <c r="I10295" s="3" t="inlineStr">
        <is>
          <t>임야</t>
        </is>
      </c>
      <c r="J10295" s="3" t="inlineStr">
        <is>
          <t>연서면</t>
        </is>
      </c>
    </row>
    <row r="10296">
      <c r="A10296" s="3" t="n">
        <v>2022</v>
      </c>
      <c r="B10296" s="4" t="n">
        <v>41760</v>
      </c>
      <c r="C10296" s="4" t="n">
        <v>6901</v>
      </c>
      <c r="D10296" s="4" t="n">
        <v>2087.5525</v>
      </c>
      <c r="E10296" s="5" t="n">
        <v>20</v>
      </c>
      <c r="F10296" s="3" t="inlineStr">
        <is>
          <t>연서면</t>
        </is>
      </c>
      <c r="G10296" s="3" t="inlineStr">
        <is>
          <t>쌍류리</t>
        </is>
      </c>
      <c r="H10296" s="3" t="inlineStr">
        <is>
          <t>보전관리지역</t>
        </is>
      </c>
      <c r="I10296" s="3" t="inlineStr">
        <is>
          <t>임야</t>
        </is>
      </c>
      <c r="J10296" s="3" t="inlineStr">
        <is>
          <t>연서면</t>
        </is>
      </c>
    </row>
    <row r="10297">
      <c r="A10297" s="3" t="n">
        <v>2023</v>
      </c>
      <c r="B10297" s="4" t="n">
        <v>14700</v>
      </c>
      <c r="C10297" s="4" t="n">
        <v>1099</v>
      </c>
      <c r="D10297" s="4" t="n">
        <v>332.4475</v>
      </c>
      <c r="E10297" s="5" t="n">
        <v>44.2</v>
      </c>
      <c r="F10297" s="3" t="inlineStr">
        <is>
          <t>금남면</t>
        </is>
      </c>
      <c r="G10297" s="3" t="inlineStr">
        <is>
          <t>신촌리</t>
        </is>
      </c>
      <c r="H10297" s="3" t="inlineStr">
        <is>
          <t>개발제한구역</t>
        </is>
      </c>
      <c r="I10297" s="3" t="inlineStr">
        <is>
          <t>임야</t>
        </is>
      </c>
      <c r="J10297" s="3" t="inlineStr">
        <is>
          <t>금남면</t>
        </is>
      </c>
    </row>
    <row r="10298">
      <c r="A10298" s="3" t="n">
        <v>2023</v>
      </c>
      <c r="B10298" s="4" t="n">
        <v>12000</v>
      </c>
      <c r="C10298" s="4" t="n">
        <v>165</v>
      </c>
      <c r="D10298" s="4" t="n">
        <v>49.9125</v>
      </c>
      <c r="E10298" s="5" t="n">
        <v>240.4</v>
      </c>
      <c r="F10298" s="3" t="inlineStr">
        <is>
          <t>금남면</t>
        </is>
      </c>
      <c r="G10298" s="3" t="inlineStr">
        <is>
          <t>발산리</t>
        </is>
      </c>
      <c r="H10298" s="3" t="inlineStr">
        <is>
          <t>제1종일반주거지역</t>
        </is>
      </c>
      <c r="I10298" s="3" t="inlineStr">
        <is>
          <t>전</t>
        </is>
      </c>
      <c r="J10298" s="3" t="inlineStr">
        <is>
          <t>금남면</t>
        </is>
      </c>
    </row>
    <row r="10299">
      <c r="A10299" s="3" t="n">
        <v>2023</v>
      </c>
      <c r="B10299" s="4" t="n">
        <v>54100</v>
      </c>
      <c r="C10299" s="4" t="n">
        <v>1676</v>
      </c>
      <c r="D10299" s="4" t="n">
        <v>506.99</v>
      </c>
      <c r="E10299" s="5" t="n">
        <v>106.7</v>
      </c>
      <c r="F10299" s="3" t="inlineStr">
        <is>
          <t>전동면</t>
        </is>
      </c>
      <c r="G10299" s="3" t="inlineStr">
        <is>
          <t>노장리</t>
        </is>
      </c>
      <c r="H10299" s="3" t="inlineStr">
        <is>
          <t>계획관리지역</t>
        </is>
      </c>
      <c r="I10299" s="3" t="inlineStr">
        <is>
          <t>답</t>
        </is>
      </c>
      <c r="J10299" s="3" t="inlineStr">
        <is>
          <t>전동면</t>
        </is>
      </c>
    </row>
    <row r="10300">
      <c r="A10300" s="3" t="n">
        <v>2023</v>
      </c>
      <c r="B10300" s="4" t="n">
        <v>23400</v>
      </c>
      <c r="C10300" s="4" t="n">
        <v>724</v>
      </c>
      <c r="D10300" s="4" t="n">
        <v>219.01</v>
      </c>
      <c r="E10300" s="5" t="n">
        <v>106.8</v>
      </c>
      <c r="F10300" s="3" t="inlineStr">
        <is>
          <t>전동면</t>
        </is>
      </c>
      <c r="G10300" s="3" t="inlineStr">
        <is>
          <t>노장리</t>
        </is>
      </c>
      <c r="H10300" s="3" t="inlineStr">
        <is>
          <t>계획관리지역</t>
        </is>
      </c>
      <c r="I10300" s="3" t="inlineStr">
        <is>
          <t>답</t>
        </is>
      </c>
      <c r="J10300" s="3" t="inlineStr">
        <is>
          <t>전동면</t>
        </is>
      </c>
    </row>
    <row r="10301">
      <c r="A10301" s="3" t="n">
        <v>2023</v>
      </c>
      <c r="B10301" s="4" t="n">
        <v>22500</v>
      </c>
      <c r="C10301" s="4" t="n">
        <v>631</v>
      </c>
      <c r="D10301" s="4" t="n">
        <v>190.8775</v>
      </c>
      <c r="E10301" s="5" t="n">
        <v>117.9</v>
      </c>
      <c r="F10301" s="3" t="inlineStr">
        <is>
          <t>전동면</t>
        </is>
      </c>
      <c r="G10301" s="3" t="inlineStr">
        <is>
          <t>노장리</t>
        </is>
      </c>
      <c r="H10301" s="3" t="inlineStr">
        <is>
          <t>계획관리지역</t>
        </is>
      </c>
      <c r="I10301" s="3" t="inlineStr">
        <is>
          <t>답</t>
        </is>
      </c>
      <c r="J10301" s="3" t="inlineStr">
        <is>
          <t>전동면</t>
        </is>
      </c>
    </row>
    <row r="10302">
      <c r="A10302" s="3" t="n">
        <v>2023</v>
      </c>
      <c r="B10302" s="4" t="n">
        <v>19500</v>
      </c>
      <c r="C10302" s="4" t="n">
        <v>163</v>
      </c>
      <c r="D10302" s="4" t="n">
        <v>49.3075</v>
      </c>
      <c r="E10302" s="5" t="n">
        <v>395.5</v>
      </c>
      <c r="F10302" s="3" t="inlineStr">
        <is>
          <t>반곡동</t>
        </is>
      </c>
      <c r="G10302" s="3" t="inlineStr"/>
      <c r="H10302" s="3" t="inlineStr">
        <is>
          <t>제1종전용주거지역</t>
        </is>
      </c>
      <c r="I10302" s="3" t="inlineStr">
        <is>
          <t>대</t>
        </is>
      </c>
      <c r="J10302" s="3" t="inlineStr">
        <is>
          <t>반곡동</t>
        </is>
      </c>
    </row>
    <row r="10303">
      <c r="A10303" s="3" t="n">
        <v>2023</v>
      </c>
      <c r="B10303" s="4" t="n">
        <v>239564</v>
      </c>
      <c r="C10303" s="4" t="n">
        <v>19800</v>
      </c>
      <c r="D10303" s="4" t="n">
        <v>5989.5</v>
      </c>
      <c r="E10303" s="5" t="n">
        <v>40</v>
      </c>
      <c r="F10303" s="3" t="inlineStr">
        <is>
          <t>부강면</t>
        </is>
      </c>
      <c r="G10303" s="3" t="inlineStr">
        <is>
          <t>갈산리</t>
        </is>
      </c>
      <c r="H10303" s="3" t="inlineStr">
        <is>
          <t>계획관리지역</t>
        </is>
      </c>
      <c r="I10303" s="3" t="inlineStr">
        <is>
          <t>임야</t>
        </is>
      </c>
      <c r="J10303" s="3" t="inlineStr">
        <is>
          <t>부강면</t>
        </is>
      </c>
    </row>
    <row r="10304">
      <c r="A10304" s="3" t="n">
        <v>2023</v>
      </c>
      <c r="B10304" s="4" t="n">
        <v>168156</v>
      </c>
      <c r="C10304" s="4" t="n">
        <v>13898</v>
      </c>
      <c r="D10304" s="4" t="n">
        <v>4204.145</v>
      </c>
      <c r="E10304" s="5" t="n">
        <v>40</v>
      </c>
      <c r="F10304" s="3" t="inlineStr">
        <is>
          <t>부강면</t>
        </is>
      </c>
      <c r="G10304" s="3" t="inlineStr">
        <is>
          <t>갈산리</t>
        </is>
      </c>
      <c r="H10304" s="3" t="inlineStr">
        <is>
          <t>계획관리지역</t>
        </is>
      </c>
      <c r="I10304" s="3" t="inlineStr">
        <is>
          <t>임야</t>
        </is>
      </c>
      <c r="J10304" s="3" t="inlineStr">
        <is>
          <t>부강면</t>
        </is>
      </c>
    </row>
    <row r="10305">
      <c r="A10305" s="3" t="n">
        <v>2023</v>
      </c>
      <c r="B10305" s="4" t="n">
        <v>62000</v>
      </c>
      <c r="C10305" s="4" t="n">
        <v>821</v>
      </c>
      <c r="D10305" s="4" t="n">
        <v>248.3525</v>
      </c>
      <c r="E10305" s="5" t="n">
        <v>249.6</v>
      </c>
      <c r="F10305" s="3" t="inlineStr">
        <is>
          <t>연동면</t>
        </is>
      </c>
      <c r="G10305" s="3" t="inlineStr">
        <is>
          <t>명학리</t>
        </is>
      </c>
      <c r="H10305" s="3" t="inlineStr">
        <is>
          <t>보전관리지역</t>
        </is>
      </c>
      <c r="I10305" s="3" t="inlineStr">
        <is>
          <t>임야</t>
        </is>
      </c>
      <c r="J10305" s="3" t="inlineStr">
        <is>
          <t>연동면</t>
        </is>
      </c>
    </row>
    <row r="10306">
      <c r="A10306" s="3" t="n">
        <v>2023</v>
      </c>
      <c r="B10306" s="4" t="n">
        <v>111000</v>
      </c>
      <c r="C10306" s="4" t="n">
        <v>1119</v>
      </c>
      <c r="D10306" s="4" t="n">
        <v>338.4975</v>
      </c>
      <c r="E10306" s="5" t="n">
        <v>327.9</v>
      </c>
      <c r="F10306" s="3" t="inlineStr">
        <is>
          <t>전동면</t>
        </is>
      </c>
      <c r="G10306" s="3" t="inlineStr">
        <is>
          <t>노장리</t>
        </is>
      </c>
      <c r="H10306" s="3" t="inlineStr">
        <is>
          <t>계획관리지역</t>
        </is>
      </c>
      <c r="I10306" s="3" t="inlineStr">
        <is>
          <t>답</t>
        </is>
      </c>
      <c r="J10306" s="3" t="inlineStr">
        <is>
          <t>전동면</t>
        </is>
      </c>
    </row>
    <row r="10307">
      <c r="A10307" s="3" t="n">
        <v>2023</v>
      </c>
      <c r="B10307" s="4" t="n">
        <v>11000</v>
      </c>
      <c r="C10307" s="4" t="n">
        <v>117</v>
      </c>
      <c r="D10307" s="4" t="n">
        <v>35.3925</v>
      </c>
      <c r="E10307" s="5" t="n">
        <v>310.8</v>
      </c>
      <c r="F10307" s="3" t="inlineStr">
        <is>
          <t>전동면</t>
        </is>
      </c>
      <c r="G10307" s="3" t="inlineStr">
        <is>
          <t>노장리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전동면</t>
        </is>
      </c>
    </row>
    <row r="10308">
      <c r="A10308" s="3" t="n">
        <v>2023</v>
      </c>
      <c r="B10308" s="4" t="n">
        <v>3800</v>
      </c>
      <c r="C10308" s="4" t="n">
        <v>213</v>
      </c>
      <c r="D10308" s="4" t="n">
        <v>64.4325</v>
      </c>
      <c r="E10308" s="5" t="n">
        <v>59</v>
      </c>
      <c r="F10308" s="3" t="inlineStr">
        <is>
          <t>연기면</t>
        </is>
      </c>
      <c r="G10308" s="3" t="inlineStr">
        <is>
          <t>수산리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연기면</t>
        </is>
      </c>
    </row>
    <row r="10309">
      <c r="A10309" s="3" t="n">
        <v>2023</v>
      </c>
      <c r="B10309" s="4" t="n">
        <v>68000</v>
      </c>
      <c r="C10309" s="4" t="n">
        <v>1322</v>
      </c>
      <c r="D10309" s="4" t="n">
        <v>399.905</v>
      </c>
      <c r="E10309" s="5" t="n">
        <v>170</v>
      </c>
      <c r="F10309" s="3" t="inlineStr">
        <is>
          <t>연기면</t>
        </is>
      </c>
      <c r="G10309" s="3" t="inlineStr">
        <is>
          <t>눌왕리</t>
        </is>
      </c>
      <c r="H10309" s="3" t="inlineStr">
        <is>
          <t>농림지역</t>
        </is>
      </c>
      <c r="I10309" s="3" t="inlineStr">
        <is>
          <t>전</t>
        </is>
      </c>
      <c r="J10309" s="3" t="inlineStr">
        <is>
          <t>연기면</t>
        </is>
      </c>
    </row>
    <row r="10310">
      <c r="A10310" s="3" t="n">
        <v>2023</v>
      </c>
      <c r="B10310" s="4" t="n">
        <v>6000</v>
      </c>
      <c r="C10310" s="4" t="n">
        <v>1084</v>
      </c>
      <c r="D10310" s="4" t="n">
        <v>327.91</v>
      </c>
      <c r="E10310" s="5" t="n">
        <v>18.3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농림지역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2023</v>
      </c>
      <c r="B10311" s="4" t="n">
        <v>67600</v>
      </c>
      <c r="C10311" s="4" t="n">
        <v>3306</v>
      </c>
      <c r="D10311" s="4" t="n">
        <v>1000.065</v>
      </c>
      <c r="E10311" s="5" t="n">
        <v>67.59999999999999</v>
      </c>
      <c r="F10311" s="3" t="inlineStr">
        <is>
          <t>연동면</t>
        </is>
      </c>
      <c r="G10311" s="3" t="inlineStr">
        <is>
          <t>문주리</t>
        </is>
      </c>
      <c r="H10311" s="3" t="inlineStr">
        <is>
          <t>농림지역</t>
        </is>
      </c>
      <c r="I10311" s="3" t="inlineStr">
        <is>
          <t>답</t>
        </is>
      </c>
      <c r="J10311" s="3" t="inlineStr">
        <is>
          <t>연동면</t>
        </is>
      </c>
    </row>
    <row r="10312">
      <c r="A10312" s="3" t="n">
        <v>2023</v>
      </c>
      <c r="B10312" s="4" t="n">
        <v>25000</v>
      </c>
      <c r="C10312" s="4" t="n">
        <v>248</v>
      </c>
      <c r="D10312" s="4" t="n">
        <v>75.02</v>
      </c>
      <c r="E10312" s="5" t="n">
        <v>333.2</v>
      </c>
      <c r="F10312" s="3" t="inlineStr">
        <is>
          <t>조치원읍</t>
        </is>
      </c>
      <c r="G10312" s="3" t="inlineStr">
        <is>
          <t>서창리</t>
        </is>
      </c>
      <c r="H10312" s="3" t="inlineStr">
        <is>
          <t>준주거지역</t>
        </is>
      </c>
      <c r="I10312" s="3" t="inlineStr">
        <is>
          <t>대</t>
        </is>
      </c>
      <c r="J10312" s="3" t="inlineStr">
        <is>
          <t>조치원읍</t>
        </is>
      </c>
    </row>
    <row r="10313">
      <c r="A10313" s="3" t="n">
        <v>2023</v>
      </c>
      <c r="B10313" s="4" t="n">
        <v>26960</v>
      </c>
      <c r="C10313" s="4" t="n">
        <v>1115</v>
      </c>
      <c r="D10313" s="4" t="n">
        <v>337.2875</v>
      </c>
      <c r="E10313" s="5" t="n">
        <v>79.90000000000001</v>
      </c>
      <c r="F10313" s="3" t="inlineStr">
        <is>
          <t>전의면</t>
        </is>
      </c>
      <c r="G10313" s="3" t="inlineStr">
        <is>
          <t>노곡리</t>
        </is>
      </c>
      <c r="H10313" s="3" t="inlineStr">
        <is>
          <t>계획관리지역</t>
        </is>
      </c>
      <c r="I10313" s="3" t="inlineStr">
        <is>
          <t>답</t>
        </is>
      </c>
      <c r="J10313" s="3" t="inlineStr">
        <is>
          <t>전의면</t>
        </is>
      </c>
    </row>
    <row r="10314">
      <c r="A10314" s="3" t="n">
        <v>2023</v>
      </c>
      <c r="B10314" s="4" t="n">
        <v>13909</v>
      </c>
      <c r="C10314" s="4" t="n">
        <v>201</v>
      </c>
      <c r="D10314" s="4" t="n">
        <v>60.80249999999999</v>
      </c>
      <c r="E10314" s="5" t="n">
        <v>228.8</v>
      </c>
      <c r="F10314" s="3" t="inlineStr">
        <is>
          <t>장군면</t>
        </is>
      </c>
      <c r="G10314" s="3" t="inlineStr">
        <is>
          <t>금암리</t>
        </is>
      </c>
      <c r="H10314" s="3" t="inlineStr">
        <is>
          <t>보전관리지역</t>
        </is>
      </c>
      <c r="I10314" s="3" t="inlineStr">
        <is>
          <t>임야</t>
        </is>
      </c>
      <c r="J10314" s="3" t="inlineStr">
        <is>
          <t>장군면</t>
        </is>
      </c>
    </row>
    <row r="10315">
      <c r="A10315" s="3" t="n">
        <v>2023</v>
      </c>
      <c r="B10315" s="4" t="n">
        <v>10103</v>
      </c>
      <c r="C10315" s="4" t="n">
        <v>146</v>
      </c>
      <c r="D10315" s="4" t="n">
        <v>44.165</v>
      </c>
      <c r="E10315" s="5" t="n">
        <v>228.8</v>
      </c>
      <c r="F10315" s="3" t="inlineStr">
        <is>
          <t>장군면</t>
        </is>
      </c>
      <c r="G10315" s="3" t="inlineStr">
        <is>
          <t>금암리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장군면</t>
        </is>
      </c>
    </row>
    <row r="10316">
      <c r="A10316" s="3" t="n">
        <v>2023</v>
      </c>
      <c r="B10316" s="4" t="n">
        <v>1730</v>
      </c>
      <c r="C10316" s="4" t="n">
        <v>25</v>
      </c>
      <c r="D10316" s="4" t="n">
        <v>7.5625</v>
      </c>
      <c r="E10316" s="5" t="n">
        <v>228.8</v>
      </c>
      <c r="F10316" s="3" t="inlineStr">
        <is>
          <t>장군면</t>
        </is>
      </c>
      <c r="G10316" s="3" t="inlineStr">
        <is>
          <t>금암리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장군면</t>
        </is>
      </c>
    </row>
    <row r="10317">
      <c r="A10317" s="3" t="n">
        <v>2023</v>
      </c>
      <c r="B10317" s="4" t="n">
        <v>25190</v>
      </c>
      <c r="C10317" s="4" t="n">
        <v>364</v>
      </c>
      <c r="D10317" s="4" t="n">
        <v>110.11</v>
      </c>
      <c r="E10317" s="5" t="n">
        <v>228.8</v>
      </c>
      <c r="F10317" s="3" t="inlineStr">
        <is>
          <t>장군면</t>
        </is>
      </c>
      <c r="G10317" s="3" t="inlineStr">
        <is>
          <t>금암리</t>
        </is>
      </c>
      <c r="H10317" s="3" t="inlineStr">
        <is>
          <t>보전관리지역</t>
        </is>
      </c>
      <c r="I10317" s="3" t="inlineStr">
        <is>
          <t>임야</t>
        </is>
      </c>
      <c r="J10317" s="3" t="inlineStr">
        <is>
          <t>장군면</t>
        </is>
      </c>
    </row>
    <row r="10318">
      <c r="A10318" s="3" t="n">
        <v>2023</v>
      </c>
      <c r="B10318" s="4" t="n">
        <v>1868</v>
      </c>
      <c r="C10318" s="4" t="n">
        <v>27</v>
      </c>
      <c r="D10318" s="4" t="n">
        <v>8.1675</v>
      </c>
      <c r="E10318" s="5" t="n">
        <v>228.7</v>
      </c>
      <c r="F10318" s="3" t="inlineStr">
        <is>
          <t>장군면</t>
        </is>
      </c>
      <c r="G10318" s="3" t="inlineStr">
        <is>
          <t>금암리</t>
        </is>
      </c>
      <c r="H10318" s="3" t="inlineStr">
        <is>
          <t>농림지역</t>
        </is>
      </c>
      <c r="I10318" s="3" t="inlineStr">
        <is>
          <t>임야</t>
        </is>
      </c>
      <c r="J10318" s="3" t="inlineStr">
        <is>
          <t>장군면</t>
        </is>
      </c>
    </row>
    <row r="10319">
      <c r="A10319" s="3" t="n">
        <v>2023</v>
      </c>
      <c r="B10319" s="4" t="n">
        <v>3300</v>
      </c>
      <c r="C10319" s="4" t="n">
        <v>33</v>
      </c>
      <c r="D10319" s="4" t="n">
        <v>9.9825</v>
      </c>
      <c r="E10319" s="5" t="n">
        <v>330.6</v>
      </c>
      <c r="F10319" s="3" t="inlineStr">
        <is>
          <t>금남면</t>
        </is>
      </c>
      <c r="G10319" s="3" t="inlineStr">
        <is>
          <t>용포리</t>
        </is>
      </c>
      <c r="H10319" s="3" t="inlineStr">
        <is>
          <t>자연녹지지역</t>
        </is>
      </c>
      <c r="I10319" s="3" t="inlineStr">
        <is>
          <t>전</t>
        </is>
      </c>
      <c r="J10319" s="3" t="inlineStr">
        <is>
          <t>금남면</t>
        </is>
      </c>
    </row>
    <row r="10320">
      <c r="A10320" s="3" t="n">
        <v>2023</v>
      </c>
      <c r="B10320" s="4" t="n">
        <v>49500</v>
      </c>
      <c r="C10320" s="4" t="n">
        <v>496</v>
      </c>
      <c r="D10320" s="4" t="n">
        <v>150.04</v>
      </c>
      <c r="E10320" s="5" t="n">
        <v>329.9</v>
      </c>
      <c r="F10320" s="3" t="inlineStr">
        <is>
          <t>금남면</t>
        </is>
      </c>
      <c r="G10320" s="3" t="inlineStr">
        <is>
          <t>용포리</t>
        </is>
      </c>
      <c r="H10320" s="3" t="inlineStr">
        <is>
          <t>자연녹지지역</t>
        </is>
      </c>
      <c r="I10320" s="3" t="inlineStr">
        <is>
          <t>전</t>
        </is>
      </c>
      <c r="J10320" s="3" t="inlineStr">
        <is>
          <t>금남면</t>
        </is>
      </c>
    </row>
    <row r="10321">
      <c r="A10321" s="3" t="n">
        <v>2026</v>
      </c>
      <c r="B10321" s="4" t="n">
        <v>1345</v>
      </c>
      <c r="C10321" s="4" t="n">
        <v>139</v>
      </c>
      <c r="D10321" s="4" t="n">
        <v>42.0475</v>
      </c>
      <c r="E10321" s="5" t="n">
        <v>32</v>
      </c>
      <c r="F10321" s="3" t="inlineStr">
        <is>
          <t>전의면</t>
        </is>
      </c>
      <c r="G10321" s="3" t="inlineStr">
        <is>
          <t>원성리</t>
        </is>
      </c>
      <c r="H10321" s="3" t="inlineStr">
        <is>
          <t>보전관리지역</t>
        </is>
      </c>
      <c r="I10321" s="3" t="inlineStr">
        <is>
          <t>답</t>
        </is>
      </c>
      <c r="J10321" s="3" t="inlineStr">
        <is>
          <t>전의면</t>
        </is>
      </c>
    </row>
    <row r="10322">
      <c r="A10322" s="3" t="n">
        <v>2026</v>
      </c>
      <c r="B10322" s="4" t="n">
        <v>18100</v>
      </c>
      <c r="C10322" s="4" t="n">
        <v>2005</v>
      </c>
      <c r="D10322" s="4" t="n">
        <v>606.5124999999999</v>
      </c>
      <c r="E10322" s="5" t="n">
        <v>29.8</v>
      </c>
      <c r="F10322" s="3" t="inlineStr">
        <is>
          <t>전동면</t>
        </is>
      </c>
      <c r="G10322" s="3" t="inlineStr">
        <is>
          <t>송곡리</t>
        </is>
      </c>
      <c r="H10322" s="3" t="inlineStr">
        <is>
          <t>농림지역</t>
        </is>
      </c>
      <c r="I10322" s="3" t="inlineStr">
        <is>
          <t>답</t>
        </is>
      </c>
      <c r="J10322" s="3" t="inlineStr">
        <is>
          <t>전동면</t>
        </is>
      </c>
    </row>
    <row r="10323">
      <c r="A10323" s="3" t="n">
        <v>2026</v>
      </c>
      <c r="B10323" s="4" t="n">
        <v>50200</v>
      </c>
      <c r="C10323" s="4" t="n">
        <v>2397.7</v>
      </c>
      <c r="D10323" s="4" t="n">
        <v>725.3042499999999</v>
      </c>
      <c r="E10323" s="5" t="n">
        <v>69.2</v>
      </c>
      <c r="F10323" s="3" t="inlineStr">
        <is>
          <t>연서면</t>
        </is>
      </c>
      <c r="G10323" s="3" t="inlineStr">
        <is>
          <t>쌍전리</t>
        </is>
      </c>
      <c r="H10323" s="3" t="inlineStr">
        <is>
          <t>농림지역</t>
        </is>
      </c>
      <c r="I10323" s="3" t="inlineStr">
        <is>
          <t>답</t>
        </is>
      </c>
      <c r="J10323" s="3" t="inlineStr">
        <is>
          <t>연서면</t>
        </is>
      </c>
    </row>
    <row r="10324">
      <c r="A10324" s="3" t="n">
        <v>2026</v>
      </c>
      <c r="B10324" s="4" t="n">
        <v>16800</v>
      </c>
      <c r="C10324" s="4" t="n">
        <v>1851</v>
      </c>
      <c r="D10324" s="4" t="n">
        <v>559.9275</v>
      </c>
      <c r="E10324" s="5" t="n">
        <v>30</v>
      </c>
      <c r="F10324" s="3" t="inlineStr">
        <is>
          <t>전동면</t>
        </is>
      </c>
      <c r="G10324" s="3" t="inlineStr">
        <is>
          <t>봉대리</t>
        </is>
      </c>
      <c r="H10324" s="3" t="inlineStr">
        <is>
          <t>생산관리지역</t>
        </is>
      </c>
      <c r="I10324" s="3" t="inlineStr">
        <is>
          <t>답</t>
        </is>
      </c>
      <c r="J10324" s="3" t="inlineStr">
        <is>
          <t>전동면</t>
        </is>
      </c>
    </row>
    <row r="10325">
      <c r="A10325" s="3" t="n">
        <v>2026</v>
      </c>
      <c r="B10325" s="4" t="n">
        <v>14720</v>
      </c>
      <c r="C10325" s="4" t="n">
        <v>1623</v>
      </c>
      <c r="D10325" s="4" t="n">
        <v>490.9575</v>
      </c>
      <c r="E10325" s="5" t="n">
        <v>30</v>
      </c>
      <c r="F10325" s="3" t="inlineStr">
        <is>
          <t>전동면</t>
        </is>
      </c>
      <c r="G10325" s="3" t="inlineStr">
        <is>
          <t>송성리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전동면</t>
        </is>
      </c>
    </row>
    <row r="10326">
      <c r="A10326" s="3" t="n">
        <v>2026</v>
      </c>
      <c r="B10326" s="4" t="n">
        <v>71000</v>
      </c>
      <c r="C10326" s="4" t="n">
        <v>501.3</v>
      </c>
      <c r="D10326" s="4" t="n">
        <v>151.64325</v>
      </c>
      <c r="E10326" s="5" t="n">
        <v>468.2</v>
      </c>
      <c r="F10326" s="3" t="inlineStr">
        <is>
          <t>고운동</t>
        </is>
      </c>
      <c r="G10326" s="3" t="inlineStr"/>
      <c r="H10326" s="3" t="inlineStr">
        <is>
          <t>제1종전용주거지역</t>
        </is>
      </c>
      <c r="I10326" s="3" t="inlineStr">
        <is>
          <t>대</t>
        </is>
      </c>
      <c r="J10326" s="3" t="inlineStr">
        <is>
          <t>고운동</t>
        </is>
      </c>
    </row>
    <row r="10327">
      <c r="A10327" s="3" t="n">
        <v>2026</v>
      </c>
      <c r="B10327" s="4" t="n">
        <v>3183</v>
      </c>
      <c r="C10327" s="4" t="n">
        <v>346</v>
      </c>
      <c r="D10327" s="4" t="n">
        <v>104.665</v>
      </c>
      <c r="E10327" s="5" t="n">
        <v>30.4</v>
      </c>
      <c r="F10327" s="3" t="inlineStr">
        <is>
          <t>연서면</t>
        </is>
      </c>
      <c r="G10327" s="3" t="inlineStr">
        <is>
          <t>쌍류리</t>
        </is>
      </c>
      <c r="H10327" s="3" t="inlineStr">
        <is>
          <t>보전관리지역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2026</v>
      </c>
      <c r="B10328" s="4" t="n">
        <v>5810</v>
      </c>
      <c r="C10328" s="4" t="n">
        <v>642</v>
      </c>
      <c r="D10328" s="4" t="n">
        <v>194.205</v>
      </c>
      <c r="E10328" s="5" t="n">
        <v>29.9</v>
      </c>
      <c r="F10328" s="3" t="inlineStr">
        <is>
          <t>전의면</t>
        </is>
      </c>
      <c r="G10328" s="3" t="inlineStr">
        <is>
          <t>신정리</t>
        </is>
      </c>
      <c r="H10328" s="3" t="inlineStr">
        <is>
          <t>생산관리지역</t>
        </is>
      </c>
      <c r="I10328" s="3" t="inlineStr">
        <is>
          <t>잡종지</t>
        </is>
      </c>
      <c r="J10328" s="3" t="inlineStr">
        <is>
          <t>전의면</t>
        </is>
      </c>
    </row>
    <row r="10329">
      <c r="A10329" s="3" t="n">
        <v>2026</v>
      </c>
      <c r="B10329" s="4" t="n">
        <v>36858</v>
      </c>
      <c r="C10329" s="4" t="n">
        <v>1021</v>
      </c>
      <c r="D10329" s="4" t="n">
        <v>308.8525</v>
      </c>
      <c r="E10329" s="5" t="n">
        <v>119.3</v>
      </c>
      <c r="F10329" s="3" t="inlineStr">
        <is>
          <t>연서면</t>
        </is>
      </c>
      <c r="G10329" s="3" t="inlineStr">
        <is>
          <t>쌍류리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연서면</t>
        </is>
      </c>
    </row>
    <row r="10330">
      <c r="A10330" s="3" t="n">
        <v>2026</v>
      </c>
      <c r="B10330" s="4" t="n">
        <v>1499</v>
      </c>
      <c r="C10330" s="4" t="n">
        <v>102</v>
      </c>
      <c r="D10330" s="4" t="n">
        <v>30.855</v>
      </c>
      <c r="E10330" s="5" t="n">
        <v>48.6</v>
      </c>
      <c r="F10330" s="3" t="inlineStr">
        <is>
          <t>연서면</t>
        </is>
      </c>
      <c r="G10330" s="3" t="inlineStr">
        <is>
          <t>쌍류리</t>
        </is>
      </c>
      <c r="H10330" s="3" t="inlineStr">
        <is>
          <t>계획관리지역</t>
        </is>
      </c>
      <c r="I10330" s="3" t="inlineStr">
        <is>
          <t>임야</t>
        </is>
      </c>
      <c r="J10330" s="3" t="inlineStr">
        <is>
          <t>연서면</t>
        </is>
      </c>
    </row>
    <row r="10331">
      <c r="A10331" s="3" t="n">
        <v>2026</v>
      </c>
      <c r="B10331" s="4" t="n">
        <v>53713</v>
      </c>
      <c r="C10331" s="4" t="n">
        <v>4710</v>
      </c>
      <c r="D10331" s="4" t="n">
        <v>1424.775</v>
      </c>
      <c r="E10331" s="5" t="n">
        <v>37.7</v>
      </c>
      <c r="F10331" s="3" t="inlineStr">
        <is>
          <t>연서면</t>
        </is>
      </c>
      <c r="G10331" s="3" t="inlineStr">
        <is>
          <t>쌍류리</t>
        </is>
      </c>
      <c r="H10331" s="3" t="inlineStr">
        <is>
          <t>계획관리지역</t>
        </is>
      </c>
      <c r="I10331" s="3" t="inlineStr">
        <is>
          <t>임야</t>
        </is>
      </c>
      <c r="J10331" s="3" t="inlineStr">
        <is>
          <t>연서면</t>
        </is>
      </c>
    </row>
    <row r="10332">
      <c r="A10332" s="3" t="n">
        <v>2026</v>
      </c>
      <c r="B10332" s="4" t="n">
        <v>70000</v>
      </c>
      <c r="C10332" s="4" t="n">
        <v>1157</v>
      </c>
      <c r="D10332" s="4" t="n">
        <v>349.9925</v>
      </c>
      <c r="E10332" s="5" t="n">
        <v>200</v>
      </c>
      <c r="F10332" s="3" t="inlineStr">
        <is>
          <t>연서면</t>
        </is>
      </c>
      <c r="G10332" s="3" t="inlineStr">
        <is>
          <t>와촌리</t>
        </is>
      </c>
      <c r="H10332" s="3" t="inlineStr">
        <is>
          <t>생산관리지역</t>
        </is>
      </c>
      <c r="I10332" s="3" t="inlineStr">
        <is>
          <t>답</t>
        </is>
      </c>
      <c r="J10332" s="3" t="inlineStr">
        <is>
          <t>연서면</t>
        </is>
      </c>
    </row>
    <row r="10333">
      <c r="A10333" s="3" t="n">
        <v>2026</v>
      </c>
      <c r="B10333" s="4" t="n">
        <v>6600</v>
      </c>
      <c r="C10333" s="4" t="n">
        <v>359</v>
      </c>
      <c r="D10333" s="4" t="n">
        <v>108.5975</v>
      </c>
      <c r="E10333" s="5" t="n">
        <v>60.8</v>
      </c>
      <c r="F10333" s="3" t="inlineStr">
        <is>
          <t>금남면</t>
        </is>
      </c>
      <c r="G10333" s="3" t="inlineStr">
        <is>
          <t>영대리</t>
        </is>
      </c>
      <c r="H10333" s="3" t="inlineStr">
        <is>
          <t>개발제한구역</t>
        </is>
      </c>
      <c r="I10333" s="3" t="inlineStr">
        <is>
          <t>전</t>
        </is>
      </c>
      <c r="J10333" s="3" t="inlineStr">
        <is>
          <t>금남면</t>
        </is>
      </c>
    </row>
    <row r="10334">
      <c r="A10334" s="3" t="n">
        <v>2026</v>
      </c>
      <c r="B10334" s="4" t="n">
        <v>6800</v>
      </c>
      <c r="C10334" s="4" t="n">
        <v>341</v>
      </c>
      <c r="D10334" s="4" t="n">
        <v>103.1525</v>
      </c>
      <c r="E10334" s="5" t="n">
        <v>65.90000000000001</v>
      </c>
      <c r="F10334" s="3" t="inlineStr">
        <is>
          <t>전동면</t>
        </is>
      </c>
      <c r="G10334" s="3" t="inlineStr">
        <is>
          <t>심중리</t>
        </is>
      </c>
      <c r="H10334" s="3" t="inlineStr">
        <is>
          <t>계획관리지역</t>
        </is>
      </c>
      <c r="I10334" s="3" t="inlineStr">
        <is>
          <t>전</t>
        </is>
      </c>
      <c r="J10334" s="3" t="inlineStr">
        <is>
          <t>전동면</t>
        </is>
      </c>
    </row>
    <row r="10335">
      <c r="A10335" s="3" t="n">
        <v>2026</v>
      </c>
      <c r="B10335" s="4" t="n">
        <v>3700</v>
      </c>
      <c r="C10335" s="4" t="n">
        <v>3162</v>
      </c>
      <c r="D10335" s="4" t="n">
        <v>956.505</v>
      </c>
      <c r="E10335" s="5" t="n">
        <v>3.9</v>
      </c>
      <c r="F10335" s="3" t="inlineStr">
        <is>
          <t>금남면</t>
        </is>
      </c>
      <c r="G10335" s="3" t="inlineStr">
        <is>
          <t>축산리</t>
        </is>
      </c>
      <c r="H10335" s="3" t="inlineStr">
        <is>
          <t>자연녹지지역</t>
        </is>
      </c>
      <c r="I10335" s="3" t="inlineStr">
        <is>
          <t>임야</t>
        </is>
      </c>
      <c r="J10335" s="3" t="inlineStr">
        <is>
          <t>금남면</t>
        </is>
      </c>
    </row>
    <row r="10336">
      <c r="A10336" s="3" t="n">
        <v>2026</v>
      </c>
      <c r="B10336" s="4" t="n">
        <v>3500</v>
      </c>
      <c r="C10336" s="4" t="n">
        <v>66</v>
      </c>
      <c r="D10336" s="4" t="n">
        <v>19.965</v>
      </c>
      <c r="E10336" s="5" t="n">
        <v>175.3</v>
      </c>
      <c r="F10336" s="3" t="inlineStr">
        <is>
          <t>조치원읍</t>
        </is>
      </c>
      <c r="G10336" s="3" t="inlineStr">
        <is>
          <t>남리</t>
        </is>
      </c>
      <c r="H10336" s="3" t="inlineStr">
        <is>
          <t>제2종일반주거지역</t>
        </is>
      </c>
      <c r="I10336" s="3" t="inlineStr">
        <is>
          <t>대</t>
        </is>
      </c>
      <c r="J10336" s="3" t="inlineStr">
        <is>
          <t>조치원읍</t>
        </is>
      </c>
    </row>
    <row r="10337">
      <c r="A10337" s="3" t="n">
        <v>2026</v>
      </c>
      <c r="B10337" s="4" t="n">
        <v>18376</v>
      </c>
      <c r="C10337" s="4" t="n">
        <v>1947</v>
      </c>
      <c r="D10337" s="4" t="n">
        <v>588.9675</v>
      </c>
      <c r="E10337" s="5" t="n">
        <v>31.2</v>
      </c>
      <c r="F10337" s="3" t="inlineStr">
        <is>
          <t>전의면</t>
        </is>
      </c>
      <c r="G10337" s="3" t="inlineStr">
        <is>
          <t>신정리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전의면</t>
        </is>
      </c>
    </row>
    <row r="10338">
      <c r="A10338" s="3" t="n">
        <v>2026</v>
      </c>
      <c r="B10338" s="4" t="n">
        <v>17000</v>
      </c>
      <c r="C10338" s="4" t="n">
        <v>1297</v>
      </c>
      <c r="D10338" s="4" t="n">
        <v>392.3425</v>
      </c>
      <c r="E10338" s="5" t="n">
        <v>43.3</v>
      </c>
      <c r="F10338" s="3" t="inlineStr">
        <is>
          <t>전의면</t>
        </is>
      </c>
      <c r="G10338" s="3" t="inlineStr">
        <is>
          <t>동교리</t>
        </is>
      </c>
      <c r="H10338" s="3" t="inlineStr">
        <is>
          <t>계획관리지역</t>
        </is>
      </c>
      <c r="I10338" s="3" t="inlineStr">
        <is>
          <t>전</t>
        </is>
      </c>
      <c r="J10338" s="3" t="inlineStr">
        <is>
          <t>전의면</t>
        </is>
      </c>
    </row>
    <row r="10339">
      <c r="A10339" s="3" t="n">
        <v>2026</v>
      </c>
      <c r="B10339" s="4" t="n">
        <v>6800</v>
      </c>
      <c r="C10339" s="4" t="n">
        <v>341</v>
      </c>
      <c r="D10339" s="4" t="n">
        <v>103.1525</v>
      </c>
      <c r="E10339" s="5" t="n">
        <v>65.90000000000001</v>
      </c>
      <c r="F10339" s="3" t="inlineStr">
        <is>
          <t>전동면</t>
        </is>
      </c>
      <c r="G10339" s="3" t="inlineStr">
        <is>
          <t>심중리</t>
        </is>
      </c>
      <c r="H10339" s="3" t="inlineStr">
        <is>
          <t>계획관리지역</t>
        </is>
      </c>
      <c r="I10339" s="3" t="inlineStr">
        <is>
          <t>전</t>
        </is>
      </c>
      <c r="J10339" s="3" t="inlineStr">
        <is>
          <t>전동면</t>
        </is>
      </c>
    </row>
    <row r="10340">
      <c r="A10340" s="3" t="n">
        <v>2026</v>
      </c>
      <c r="B10340" s="4" t="n">
        <v>55000</v>
      </c>
      <c r="C10340" s="4" t="n">
        <v>649</v>
      </c>
      <c r="D10340" s="4" t="n">
        <v>196.3225</v>
      </c>
      <c r="E10340" s="5" t="n">
        <v>280.2</v>
      </c>
      <c r="F10340" s="3" t="inlineStr">
        <is>
          <t>부강면</t>
        </is>
      </c>
      <c r="G10340" s="3" t="inlineStr">
        <is>
          <t>부강리</t>
        </is>
      </c>
      <c r="H10340" s="3" t="inlineStr">
        <is>
          <t>제2종일반주거지역</t>
        </is>
      </c>
      <c r="I10340" s="3" t="inlineStr">
        <is>
          <t>답</t>
        </is>
      </c>
      <c r="J10340" s="3" t="inlineStr">
        <is>
          <t>부강면</t>
        </is>
      </c>
    </row>
    <row r="10341">
      <c r="A10341" s="3" t="n">
        <v>2026</v>
      </c>
      <c r="B10341" s="4" t="n">
        <v>50000</v>
      </c>
      <c r="C10341" s="4" t="n">
        <v>312</v>
      </c>
      <c r="D10341" s="4" t="n">
        <v>94.38</v>
      </c>
      <c r="E10341" s="5" t="n">
        <v>529.8</v>
      </c>
      <c r="F10341" s="3" t="inlineStr">
        <is>
          <t>조치원읍</t>
        </is>
      </c>
      <c r="G10341" s="3" t="inlineStr">
        <is>
          <t>서창리</t>
        </is>
      </c>
      <c r="H10341" s="3" t="inlineStr">
        <is>
          <t>제2종일반주거지역</t>
        </is>
      </c>
      <c r="I10341" s="3" t="inlineStr">
        <is>
          <t>임야</t>
        </is>
      </c>
      <c r="J10341" s="3" t="inlineStr">
        <is>
          <t>조치원읍</t>
        </is>
      </c>
    </row>
    <row r="10342">
      <c r="A10342" s="3" t="n">
        <v>2022</v>
      </c>
      <c r="B10342" s="4" t="n">
        <v>3350</v>
      </c>
      <c r="C10342" s="4" t="n">
        <v>223</v>
      </c>
      <c r="D10342" s="4" t="n">
        <v>67.4575</v>
      </c>
      <c r="E10342" s="5" t="n">
        <v>49.7</v>
      </c>
      <c r="F10342" s="3" t="inlineStr">
        <is>
          <t>연서면</t>
        </is>
      </c>
      <c r="G10342" s="3" t="inlineStr">
        <is>
          <t>쌍류리</t>
        </is>
      </c>
      <c r="H10342" s="3" t="inlineStr">
        <is>
          <t>보전관리지역</t>
        </is>
      </c>
      <c r="I10342" s="3" t="inlineStr">
        <is>
          <t>임야</t>
        </is>
      </c>
      <c r="J10342" s="3" t="inlineStr">
        <is>
          <t>연서면</t>
        </is>
      </c>
    </row>
    <row r="10343">
      <c r="A10343" s="3" t="n">
        <v>2023</v>
      </c>
      <c r="B10343" s="4" t="n">
        <v>686</v>
      </c>
      <c r="C10343" s="4" t="n">
        <v>70</v>
      </c>
      <c r="D10343" s="4" t="n">
        <v>21.175</v>
      </c>
      <c r="E10343" s="5" t="n">
        <v>32.4</v>
      </c>
      <c r="F10343" s="3" t="inlineStr">
        <is>
          <t>연서면</t>
        </is>
      </c>
      <c r="G10343" s="3" t="inlineStr">
        <is>
          <t>월하리</t>
        </is>
      </c>
      <c r="H10343" s="3" t="inlineStr">
        <is>
          <t>제1종일반주거지역</t>
        </is>
      </c>
      <c r="I10343" s="3" t="inlineStr">
        <is>
          <t>도로</t>
        </is>
      </c>
      <c r="J10343" s="3" t="inlineStr">
        <is>
          <t>연서면</t>
        </is>
      </c>
    </row>
    <row r="10344">
      <c r="A10344" s="3" t="n">
        <v>2024</v>
      </c>
      <c r="B10344" s="4" t="n">
        <v>1000</v>
      </c>
      <c r="C10344" s="4" t="n">
        <v>140</v>
      </c>
      <c r="D10344" s="4" t="n">
        <v>42.35</v>
      </c>
      <c r="E10344" s="5" t="n">
        <v>23.6</v>
      </c>
      <c r="F10344" s="3" t="inlineStr">
        <is>
          <t>부강면</t>
        </is>
      </c>
      <c r="G10344" s="3" t="inlineStr">
        <is>
          <t>문곡리</t>
        </is>
      </c>
      <c r="H10344" s="3" t="inlineStr">
        <is>
          <t>계획관리지역</t>
        </is>
      </c>
      <c r="I10344" s="3" t="inlineStr">
        <is>
          <t>답</t>
        </is>
      </c>
      <c r="J10344" s="3" t="inlineStr">
        <is>
          <t>부강면</t>
        </is>
      </c>
    </row>
    <row r="10345">
      <c r="A10345" s="3" t="n">
        <v>2024</v>
      </c>
      <c r="B10345" s="4" t="n">
        <v>1470</v>
      </c>
      <c r="C10345" s="4" t="n">
        <v>681</v>
      </c>
      <c r="D10345" s="4" t="n">
        <v>206.0025</v>
      </c>
      <c r="E10345" s="5" t="n">
        <v>7.1</v>
      </c>
      <c r="F10345" s="3" t="inlineStr">
        <is>
          <t>전의면</t>
        </is>
      </c>
      <c r="G10345" s="3" t="inlineStr">
        <is>
          <t>양곡리</t>
        </is>
      </c>
      <c r="H10345" s="3" t="inlineStr">
        <is>
          <t>보전관리지역</t>
        </is>
      </c>
      <c r="I10345" s="3" t="inlineStr">
        <is>
          <t>답</t>
        </is>
      </c>
      <c r="J10345" s="3" t="inlineStr">
        <is>
          <t>전의면</t>
        </is>
      </c>
    </row>
    <row r="10346">
      <c r="A10346" s="3" t="n">
        <v>2024</v>
      </c>
      <c r="B10346" s="4" t="n">
        <v>4930</v>
      </c>
      <c r="C10346" s="4" t="n">
        <v>1481</v>
      </c>
      <c r="D10346" s="4" t="n">
        <v>448.0025</v>
      </c>
      <c r="E10346" s="5" t="n">
        <v>11</v>
      </c>
      <c r="F10346" s="3" t="inlineStr">
        <is>
          <t>전의면</t>
        </is>
      </c>
      <c r="G10346" s="3" t="inlineStr">
        <is>
          <t>양곡리</t>
        </is>
      </c>
      <c r="H10346" s="3" t="inlineStr">
        <is>
          <t>보전관리지역</t>
        </is>
      </c>
      <c r="I10346" s="3" t="inlineStr">
        <is>
          <t>답</t>
        </is>
      </c>
      <c r="J10346" s="3" t="inlineStr">
        <is>
          <t>전의면</t>
        </is>
      </c>
    </row>
    <row r="10347">
      <c r="A10347" s="3" t="n">
        <v>2024</v>
      </c>
      <c r="B10347" s="4" t="n">
        <v>5900</v>
      </c>
      <c r="C10347" s="4" t="n">
        <v>2870</v>
      </c>
      <c r="D10347" s="4" t="n">
        <v>868.175</v>
      </c>
      <c r="E10347" s="5" t="n">
        <v>6.8</v>
      </c>
      <c r="F10347" s="3" t="inlineStr">
        <is>
          <t>전의면</t>
        </is>
      </c>
      <c r="G10347" s="3" t="inlineStr">
        <is>
          <t>양곡리</t>
        </is>
      </c>
      <c r="H10347" s="3" t="inlineStr">
        <is>
          <t>생산관리지역</t>
        </is>
      </c>
      <c r="I10347" s="3" t="inlineStr">
        <is>
          <t>답</t>
        </is>
      </c>
      <c r="J10347" s="3" t="inlineStr">
        <is>
          <t>전의면</t>
        </is>
      </c>
    </row>
    <row r="10348">
      <c r="A10348" s="3" t="n">
        <v>2024</v>
      </c>
      <c r="B10348" s="4" t="n">
        <v>10080</v>
      </c>
      <c r="C10348" s="4" t="n">
        <v>28886</v>
      </c>
      <c r="D10348" s="4" t="n">
        <v>8738.014999999999</v>
      </c>
      <c r="E10348" s="5" t="n">
        <v>1.2</v>
      </c>
      <c r="F10348" s="3" t="inlineStr">
        <is>
          <t>전의면</t>
        </is>
      </c>
      <c r="G10348" s="3" t="inlineStr">
        <is>
          <t>양곡리</t>
        </is>
      </c>
      <c r="H10348" s="3" t="inlineStr">
        <is>
          <t>보전관리지역</t>
        </is>
      </c>
      <c r="I10348" s="3" t="inlineStr">
        <is>
          <t>임야</t>
        </is>
      </c>
      <c r="J10348" s="3" t="inlineStr">
        <is>
          <t>전의면</t>
        </is>
      </c>
    </row>
    <row r="10349">
      <c r="A10349" s="3" t="n">
        <v>2024</v>
      </c>
      <c r="B10349" s="4" t="n">
        <v>7620</v>
      </c>
      <c r="C10349" s="4" t="n">
        <v>31438</v>
      </c>
      <c r="D10349" s="4" t="n">
        <v>9509.994999999999</v>
      </c>
      <c r="E10349" s="5" t="n">
        <v>0.8</v>
      </c>
      <c r="F10349" s="3" t="inlineStr">
        <is>
          <t>전의면</t>
        </is>
      </c>
      <c r="G10349" s="3" t="inlineStr">
        <is>
          <t>양곡리</t>
        </is>
      </c>
      <c r="H10349" s="3" t="inlineStr">
        <is>
          <t>보전관리지역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2024</v>
      </c>
      <c r="B10350" s="4" t="n">
        <v>7174</v>
      </c>
      <c r="C10350" s="4" t="n">
        <v>183</v>
      </c>
      <c r="D10350" s="4" t="n">
        <v>55.3575</v>
      </c>
      <c r="E10350" s="5" t="n">
        <v>129.6</v>
      </c>
      <c r="F10350" s="3" t="inlineStr">
        <is>
          <t>금남면</t>
        </is>
      </c>
      <c r="G10350" s="3" t="inlineStr">
        <is>
          <t>용담리</t>
        </is>
      </c>
      <c r="H10350" s="3" t="inlineStr">
        <is>
          <t>개발제한구역</t>
        </is>
      </c>
      <c r="I10350" s="3" t="inlineStr">
        <is>
          <t>전</t>
        </is>
      </c>
      <c r="J10350" s="3" t="inlineStr">
        <is>
          <t>금남면</t>
        </is>
      </c>
    </row>
    <row r="10351">
      <c r="A10351" s="3" t="n">
        <v>2024</v>
      </c>
      <c r="B10351" s="4" t="n">
        <v>4200</v>
      </c>
      <c r="C10351" s="4" t="n">
        <v>302</v>
      </c>
      <c r="D10351" s="4" t="n">
        <v>91.355</v>
      </c>
      <c r="E10351" s="5" t="n">
        <v>46</v>
      </c>
      <c r="F10351" s="3" t="inlineStr">
        <is>
          <t>전동면</t>
        </is>
      </c>
      <c r="G10351" s="3" t="inlineStr">
        <is>
          <t>청람리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전동면</t>
        </is>
      </c>
    </row>
    <row r="10352">
      <c r="A10352" s="3" t="n">
        <v>2024</v>
      </c>
      <c r="B10352" s="4" t="n">
        <v>35000</v>
      </c>
      <c r="C10352" s="4" t="n">
        <v>1736</v>
      </c>
      <c r="D10352" s="4" t="n">
        <v>525.14</v>
      </c>
      <c r="E10352" s="5" t="n">
        <v>66.59999999999999</v>
      </c>
      <c r="F10352" s="3" t="inlineStr">
        <is>
          <t>부강면</t>
        </is>
      </c>
      <c r="G10352" s="3" t="inlineStr">
        <is>
          <t>행산리</t>
        </is>
      </c>
      <c r="H10352" s="3" t="inlineStr">
        <is>
          <t>계획관리지역</t>
        </is>
      </c>
      <c r="I10352" s="3" t="inlineStr">
        <is>
          <t>전</t>
        </is>
      </c>
      <c r="J10352" s="3" t="inlineStr">
        <is>
          <t>부강면</t>
        </is>
      </c>
    </row>
    <row r="10353">
      <c r="A10353" s="3" t="n">
        <v>2024</v>
      </c>
      <c r="B10353" s="4" t="n">
        <v>30000</v>
      </c>
      <c r="C10353" s="4" t="n">
        <v>398</v>
      </c>
      <c r="D10353" s="4" t="n">
        <v>120.395</v>
      </c>
      <c r="E10353" s="5" t="n">
        <v>249.2</v>
      </c>
      <c r="F10353" s="3" t="inlineStr">
        <is>
          <t>장군면</t>
        </is>
      </c>
      <c r="G10353" s="3" t="inlineStr">
        <is>
          <t>대교리</t>
        </is>
      </c>
      <c r="H10353" s="3" t="inlineStr">
        <is>
          <t>계획관리지역</t>
        </is>
      </c>
      <c r="I10353" s="3" t="inlineStr">
        <is>
          <t>임야</t>
        </is>
      </c>
      <c r="J10353" s="3" t="inlineStr">
        <is>
          <t>장군면</t>
        </is>
      </c>
    </row>
    <row r="10354">
      <c r="A10354" s="3" t="n">
        <v>2024</v>
      </c>
      <c r="B10354" s="4" t="n">
        <v>77000</v>
      </c>
      <c r="C10354" s="4" t="n">
        <v>1400</v>
      </c>
      <c r="D10354" s="4" t="n">
        <v>423.5</v>
      </c>
      <c r="E10354" s="5" t="n">
        <v>181.8</v>
      </c>
      <c r="F10354" s="3" t="inlineStr">
        <is>
          <t>금남면</t>
        </is>
      </c>
      <c r="G10354" s="3" t="inlineStr">
        <is>
          <t>영곡리</t>
        </is>
      </c>
      <c r="H10354" s="3" t="inlineStr">
        <is>
          <t>보전관리지역</t>
        </is>
      </c>
      <c r="I10354" s="3" t="inlineStr">
        <is>
          <t>임야</t>
        </is>
      </c>
      <c r="J10354" s="3" t="inlineStr">
        <is>
          <t>금남면</t>
        </is>
      </c>
    </row>
    <row r="10355">
      <c r="A10355" s="3" t="n">
        <v>2025</v>
      </c>
      <c r="B10355" s="4" t="n">
        <v>1000</v>
      </c>
      <c r="C10355" s="4" t="n">
        <v>170</v>
      </c>
      <c r="D10355" s="4" t="n">
        <v>51.425</v>
      </c>
      <c r="E10355" s="5" t="n">
        <v>19.4</v>
      </c>
      <c r="F10355" s="3" t="inlineStr">
        <is>
          <t>소정면</t>
        </is>
      </c>
      <c r="G10355" s="3" t="inlineStr">
        <is>
          <t>고등리</t>
        </is>
      </c>
      <c r="H10355" s="3" t="inlineStr">
        <is>
          <t>보전관리지역</t>
        </is>
      </c>
      <c r="I10355" s="3" t="inlineStr">
        <is>
          <t>임야</t>
        </is>
      </c>
      <c r="J10355" s="3" t="inlineStr">
        <is>
          <t>소정면</t>
        </is>
      </c>
    </row>
    <row r="10356">
      <c r="A10356" s="3" t="n">
        <v>2025</v>
      </c>
      <c r="B10356" s="4" t="n">
        <v>10329</v>
      </c>
      <c r="C10356" s="4" t="n">
        <v>700</v>
      </c>
      <c r="D10356" s="4" t="n">
        <v>211.75</v>
      </c>
      <c r="E10356" s="5" t="n">
        <v>48.8</v>
      </c>
      <c r="F10356" s="3" t="inlineStr">
        <is>
          <t>소정면</t>
        </is>
      </c>
      <c r="G10356" s="3" t="inlineStr">
        <is>
          <t>고등리</t>
        </is>
      </c>
      <c r="H10356" s="3" t="inlineStr">
        <is>
          <t>보전관리지역</t>
        </is>
      </c>
      <c r="I10356" s="3" t="inlineStr">
        <is>
          <t>대</t>
        </is>
      </c>
      <c r="J10356" s="3" t="inlineStr">
        <is>
          <t>소정면</t>
        </is>
      </c>
    </row>
    <row r="10357">
      <c r="A10357" s="3" t="n">
        <v>2025</v>
      </c>
      <c r="B10357" s="4" t="n">
        <v>13280</v>
      </c>
      <c r="C10357" s="4" t="n">
        <v>900</v>
      </c>
      <c r="D10357" s="4" t="n">
        <v>272.25</v>
      </c>
      <c r="E10357" s="5" t="n">
        <v>48.8</v>
      </c>
      <c r="F10357" s="3" t="inlineStr">
        <is>
          <t>소정면</t>
        </is>
      </c>
      <c r="G10357" s="3" t="inlineStr">
        <is>
          <t>고등리</t>
        </is>
      </c>
      <c r="H10357" s="3" t="inlineStr">
        <is>
          <t>보전관리지역</t>
        </is>
      </c>
      <c r="I10357" s="3" t="inlineStr">
        <is>
          <t>대</t>
        </is>
      </c>
      <c r="J10357" s="3" t="inlineStr">
        <is>
          <t>소정면</t>
        </is>
      </c>
    </row>
    <row r="10358">
      <c r="A10358" s="3" t="n">
        <v>2025</v>
      </c>
      <c r="B10358" s="4" t="n">
        <v>7690</v>
      </c>
      <c r="C10358" s="4" t="n">
        <v>655</v>
      </c>
      <c r="D10358" s="4" t="n">
        <v>198.1375</v>
      </c>
      <c r="E10358" s="5" t="n">
        <v>38.8</v>
      </c>
      <c r="F10358" s="3" t="inlineStr">
        <is>
          <t>전동면</t>
        </is>
      </c>
      <c r="G10358" s="3" t="inlineStr">
        <is>
          <t>송곡리</t>
        </is>
      </c>
      <c r="H10358" s="3" t="inlineStr">
        <is>
          <t>보전관리지역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10000</v>
      </c>
      <c r="C10359" s="4" t="n">
        <v>1260</v>
      </c>
      <c r="D10359" s="4" t="n">
        <v>381.15</v>
      </c>
      <c r="E10359" s="5" t="n">
        <v>26.2</v>
      </c>
      <c r="F10359" s="3" t="inlineStr">
        <is>
          <t>전동면</t>
        </is>
      </c>
      <c r="G10359" s="3" t="inlineStr">
        <is>
          <t>송곡리</t>
        </is>
      </c>
      <c r="H10359" s="3" t="inlineStr">
        <is>
          <t>보전관리지역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2025</v>
      </c>
      <c r="B10360" s="4" t="n">
        <v>9760</v>
      </c>
      <c r="C10360" s="4" t="n">
        <v>731</v>
      </c>
      <c r="D10360" s="4" t="n">
        <v>221.1275</v>
      </c>
      <c r="E10360" s="5" t="n">
        <v>44.1</v>
      </c>
      <c r="F10360" s="3" t="inlineStr">
        <is>
          <t>전동면</t>
        </is>
      </c>
      <c r="G10360" s="3" t="inlineStr">
        <is>
          <t>송곡리</t>
        </is>
      </c>
      <c r="H10360" s="3" t="inlineStr">
        <is>
          <t>보전관리지역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2025</v>
      </c>
      <c r="B10361" s="4" t="n">
        <v>100000</v>
      </c>
      <c r="C10361" s="4" t="n">
        <v>1762</v>
      </c>
      <c r="D10361" s="4" t="n">
        <v>533.005</v>
      </c>
      <c r="E10361" s="5" t="n">
        <v>187.6</v>
      </c>
      <c r="F10361" s="3" t="inlineStr">
        <is>
          <t>금남면</t>
        </is>
      </c>
      <c r="G10361" s="3" t="inlineStr">
        <is>
          <t>감성리</t>
        </is>
      </c>
      <c r="H10361" s="3" t="inlineStr">
        <is>
          <t>제1종일반주거지역</t>
        </is>
      </c>
      <c r="I10361" s="3" t="inlineStr">
        <is>
          <t>답</t>
        </is>
      </c>
      <c r="J10361" s="3" t="inlineStr">
        <is>
          <t>금남면</t>
        </is>
      </c>
    </row>
    <row r="10362">
      <c r="A10362" s="3" t="n">
        <v>2025</v>
      </c>
      <c r="B10362" s="4" t="n">
        <v>9500</v>
      </c>
      <c r="C10362" s="4" t="n">
        <v>701</v>
      </c>
      <c r="D10362" s="4" t="n">
        <v>212.0525</v>
      </c>
      <c r="E10362" s="5" t="n">
        <v>44.8</v>
      </c>
      <c r="F10362" s="3" t="inlineStr">
        <is>
          <t>전동면</t>
        </is>
      </c>
      <c r="G10362" s="3" t="inlineStr">
        <is>
          <t>송성리</t>
        </is>
      </c>
      <c r="H10362" s="3" t="inlineStr">
        <is>
          <t>계획관리지역</t>
        </is>
      </c>
      <c r="I10362" s="3" t="inlineStr">
        <is>
          <t>답</t>
        </is>
      </c>
      <c r="J10362" s="3" t="inlineStr">
        <is>
          <t>전동면</t>
        </is>
      </c>
    </row>
    <row r="10363">
      <c r="A10363" s="3" t="n">
        <v>2025</v>
      </c>
      <c r="B10363" s="4" t="n">
        <v>40000</v>
      </c>
      <c r="C10363" s="4" t="n">
        <v>317</v>
      </c>
      <c r="D10363" s="4" t="n">
        <v>95.8925</v>
      </c>
      <c r="E10363" s="5" t="n">
        <v>417.1</v>
      </c>
      <c r="F10363" s="3" t="inlineStr">
        <is>
          <t>조치원읍</t>
        </is>
      </c>
      <c r="G10363" s="3" t="inlineStr">
        <is>
          <t>신안리</t>
        </is>
      </c>
      <c r="H10363" s="3" t="inlineStr">
        <is>
          <t>제2종일반주거지역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15900</v>
      </c>
      <c r="C10364" s="4" t="n">
        <v>2103</v>
      </c>
      <c r="D10364" s="4" t="n">
        <v>636.1575</v>
      </c>
      <c r="E10364" s="5" t="n">
        <v>25</v>
      </c>
      <c r="F10364" s="3" t="inlineStr">
        <is>
          <t>소정면</t>
        </is>
      </c>
      <c r="G10364" s="3" t="inlineStr">
        <is>
          <t>대곡리</t>
        </is>
      </c>
      <c r="H10364" s="3" t="inlineStr">
        <is>
          <t>농림지역</t>
        </is>
      </c>
      <c r="I10364" s="3" t="inlineStr">
        <is>
          <t>답</t>
        </is>
      </c>
      <c r="J10364" s="3" t="inlineStr">
        <is>
          <t>소정면</t>
        </is>
      </c>
    </row>
    <row r="10365">
      <c r="A10365" s="3" t="n">
        <v>2025</v>
      </c>
      <c r="B10365" s="4" t="n">
        <v>40000</v>
      </c>
      <c r="C10365" s="4" t="n">
        <v>294</v>
      </c>
      <c r="D10365" s="4" t="n">
        <v>88.935</v>
      </c>
      <c r="E10365" s="5" t="n">
        <v>449.8</v>
      </c>
      <c r="F10365" s="3" t="inlineStr">
        <is>
          <t>조치원읍</t>
        </is>
      </c>
      <c r="G10365" s="3" t="inlineStr">
        <is>
          <t>신안리</t>
        </is>
      </c>
      <c r="H10365" s="3" t="inlineStr">
        <is>
          <t>제2종일반주거지역</t>
        </is>
      </c>
      <c r="I10365" s="3" t="inlineStr">
        <is>
          <t>대</t>
        </is>
      </c>
      <c r="J10365" s="3" t="inlineStr">
        <is>
          <t>조치원읍</t>
        </is>
      </c>
    </row>
    <row r="10366">
      <c r="A10366" s="3" t="n">
        <v>2025</v>
      </c>
      <c r="B10366" s="4" t="n">
        <v>16500</v>
      </c>
      <c r="C10366" s="4" t="n">
        <v>314</v>
      </c>
      <c r="D10366" s="4" t="n">
        <v>94.985</v>
      </c>
      <c r="E10366" s="5" t="n">
        <v>173.7</v>
      </c>
      <c r="F10366" s="3" t="inlineStr">
        <is>
          <t>조치원읍</t>
        </is>
      </c>
      <c r="G10366" s="3" t="inlineStr">
        <is>
          <t>신안리</t>
        </is>
      </c>
      <c r="H10366" s="3" t="inlineStr">
        <is>
          <t>제2종일반주거지역</t>
        </is>
      </c>
      <c r="I10366" s="3" t="inlineStr">
        <is>
          <t>과수원</t>
        </is>
      </c>
      <c r="J10366" s="3" t="inlineStr">
        <is>
          <t>조치원읍</t>
        </is>
      </c>
    </row>
    <row r="10367">
      <c r="A10367" s="3" t="n">
        <v>2025</v>
      </c>
      <c r="B10367" s="4" t="n">
        <v>118413</v>
      </c>
      <c r="C10367" s="4" t="n">
        <v>1168.5</v>
      </c>
      <c r="D10367" s="4" t="n">
        <v>353.47125</v>
      </c>
      <c r="E10367" s="5" t="n">
        <v>335</v>
      </c>
      <c r="F10367" s="3" t="inlineStr">
        <is>
          <t>소정면</t>
        </is>
      </c>
      <c r="G10367" s="3" t="inlineStr">
        <is>
          <t>고등리</t>
        </is>
      </c>
      <c r="H10367" s="3" t="inlineStr">
        <is>
          <t>준공업지역</t>
        </is>
      </c>
      <c r="I10367" s="3" t="inlineStr">
        <is>
          <t>주차장</t>
        </is>
      </c>
      <c r="J10367" s="3" t="inlineStr">
        <is>
          <t>소정면</t>
        </is>
      </c>
    </row>
    <row r="10368">
      <c r="A10368" s="3" t="n">
        <v>2022</v>
      </c>
      <c r="B10368" s="4" t="n">
        <v>43200</v>
      </c>
      <c r="C10368" s="4" t="n">
        <v>1785</v>
      </c>
      <c r="D10368" s="4" t="n">
        <v>539.9625</v>
      </c>
      <c r="E10368" s="5" t="n">
        <v>80</v>
      </c>
      <c r="F10368" s="3" t="inlineStr">
        <is>
          <t>연서면</t>
        </is>
      </c>
      <c r="G10368" s="3" t="inlineStr">
        <is>
          <t>쌍류리</t>
        </is>
      </c>
      <c r="H10368" s="3" t="inlineStr">
        <is>
          <t>계획관리지역</t>
        </is>
      </c>
      <c r="I10368" s="3" t="inlineStr">
        <is>
          <t>대</t>
        </is>
      </c>
      <c r="J10368" s="3" t="inlineStr">
        <is>
          <t>연서면</t>
        </is>
      </c>
    </row>
    <row r="10369">
      <c r="A10369" s="3" t="n">
        <v>2022</v>
      </c>
      <c r="B10369" s="4" t="n">
        <v>24720</v>
      </c>
      <c r="C10369" s="4" t="n">
        <v>1021</v>
      </c>
      <c r="D10369" s="4" t="n">
        <v>308.8525</v>
      </c>
      <c r="E10369" s="5" t="n">
        <v>80</v>
      </c>
      <c r="F10369" s="3" t="inlineStr">
        <is>
          <t>연서면</t>
        </is>
      </c>
      <c r="G10369" s="3" t="inlineStr">
        <is>
          <t>쌍류리</t>
        </is>
      </c>
      <c r="H10369" s="3" t="inlineStr">
        <is>
          <t>계획관리지역</t>
        </is>
      </c>
      <c r="I10369" s="3" t="inlineStr">
        <is>
          <t>대</t>
        </is>
      </c>
      <c r="J10369" s="3" t="inlineStr">
        <is>
          <t>연서면</t>
        </is>
      </c>
    </row>
    <row r="10370">
      <c r="A10370" s="3" t="n">
        <v>2022</v>
      </c>
      <c r="B10370" s="4" t="n">
        <v>8640</v>
      </c>
      <c r="C10370" s="4" t="n">
        <v>357</v>
      </c>
      <c r="D10370" s="4" t="n">
        <v>107.9925</v>
      </c>
      <c r="E10370" s="5" t="n">
        <v>80</v>
      </c>
      <c r="F10370" s="3" t="inlineStr">
        <is>
          <t>연서면</t>
        </is>
      </c>
      <c r="G10370" s="3" t="inlineStr">
        <is>
          <t>쌍류리</t>
        </is>
      </c>
      <c r="H10370" s="3" t="inlineStr">
        <is>
          <t>계획관리지역</t>
        </is>
      </c>
      <c r="I10370" s="3" t="inlineStr">
        <is>
          <t>대</t>
        </is>
      </c>
      <c r="J10370" s="3" t="inlineStr">
        <is>
          <t>연서면</t>
        </is>
      </c>
    </row>
    <row r="10371">
      <c r="A10371" s="3" t="n">
        <v>2022</v>
      </c>
      <c r="B10371" s="4" t="n">
        <v>374344</v>
      </c>
      <c r="C10371" s="4" t="n">
        <v>10312.5</v>
      </c>
      <c r="D10371" s="4" t="n">
        <v>3119.53125</v>
      </c>
      <c r="E10371" s="5" t="n">
        <v>120</v>
      </c>
      <c r="F10371" s="3" t="inlineStr">
        <is>
          <t>전의면</t>
        </is>
      </c>
      <c r="G10371" s="3" t="inlineStr">
        <is>
          <t>양곡리</t>
        </is>
      </c>
      <c r="H10371" s="3" t="inlineStr">
        <is>
          <t>일반공업지역</t>
        </is>
      </c>
      <c r="I10371" s="3" t="inlineStr">
        <is>
          <t>공장용지</t>
        </is>
      </c>
      <c r="J10371" s="3" t="inlineStr">
        <is>
          <t>전의면</t>
        </is>
      </c>
    </row>
    <row r="10372">
      <c r="A10372" s="3" t="n">
        <v>2022</v>
      </c>
      <c r="B10372" s="4" t="n">
        <v>4266</v>
      </c>
      <c r="C10372" s="4" t="n">
        <v>522</v>
      </c>
      <c r="D10372" s="4" t="n">
        <v>157.905</v>
      </c>
      <c r="E10372" s="5" t="n">
        <v>27</v>
      </c>
      <c r="F10372" s="3" t="inlineStr">
        <is>
          <t>연서면</t>
        </is>
      </c>
      <c r="G10372" s="3" t="inlineStr">
        <is>
          <t>쌍류리</t>
        </is>
      </c>
      <c r="H10372" s="3" t="inlineStr">
        <is>
          <t>보전관리지역</t>
        </is>
      </c>
      <c r="I10372" s="3" t="inlineStr">
        <is>
          <t>전</t>
        </is>
      </c>
      <c r="J10372" s="3" t="inlineStr">
        <is>
          <t>연서면</t>
        </is>
      </c>
    </row>
    <row r="10373">
      <c r="A10373" s="3" t="n">
        <v>2022</v>
      </c>
      <c r="B10373" s="4" t="n">
        <v>3040</v>
      </c>
      <c r="C10373" s="4" t="n">
        <v>504</v>
      </c>
      <c r="D10373" s="4" t="n">
        <v>152.46</v>
      </c>
      <c r="E10373" s="5" t="n">
        <v>19.9</v>
      </c>
      <c r="F10373" s="3" t="inlineStr">
        <is>
          <t>연서면</t>
        </is>
      </c>
      <c r="G10373" s="3" t="inlineStr">
        <is>
          <t>쌍류리</t>
        </is>
      </c>
      <c r="H10373" s="3" t="inlineStr">
        <is>
          <t>보전관리지역</t>
        </is>
      </c>
      <c r="I10373" s="3" t="inlineStr">
        <is>
          <t>전</t>
        </is>
      </c>
      <c r="J10373" s="3" t="inlineStr">
        <is>
          <t>연서면</t>
        </is>
      </c>
    </row>
    <row r="10374">
      <c r="A10374" s="3" t="n">
        <v>2022</v>
      </c>
      <c r="B10374" s="4" t="n">
        <v>30240</v>
      </c>
      <c r="C10374" s="4" t="n">
        <v>1428</v>
      </c>
      <c r="D10374" s="4" t="n">
        <v>431.97</v>
      </c>
      <c r="E10374" s="5" t="n">
        <v>70</v>
      </c>
      <c r="F10374" s="3" t="inlineStr">
        <is>
          <t>연서면</t>
        </is>
      </c>
      <c r="G10374" s="3" t="inlineStr">
        <is>
          <t>쌍류리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연서면</t>
        </is>
      </c>
    </row>
    <row r="10375">
      <c r="A10375" s="3" t="n">
        <v>2022</v>
      </c>
      <c r="B10375" s="4" t="n">
        <v>4580</v>
      </c>
      <c r="C10375" s="4" t="n">
        <v>756</v>
      </c>
      <c r="D10375" s="4" t="n">
        <v>228.69</v>
      </c>
      <c r="E10375" s="5" t="n">
        <v>20</v>
      </c>
      <c r="F10375" s="3" t="inlineStr">
        <is>
          <t>연서면</t>
        </is>
      </c>
      <c r="G10375" s="3" t="inlineStr">
        <is>
          <t>쌍류리</t>
        </is>
      </c>
      <c r="H10375" s="3" t="inlineStr">
        <is>
          <t>보전관리지역</t>
        </is>
      </c>
      <c r="I10375" s="3" t="inlineStr">
        <is>
          <t>전</t>
        </is>
      </c>
      <c r="J10375" s="3" t="inlineStr">
        <is>
          <t>연서면</t>
        </is>
      </c>
    </row>
    <row r="10376">
      <c r="A10376" s="3" t="n">
        <v>2022</v>
      </c>
      <c r="B10376" s="4" t="n">
        <v>2835</v>
      </c>
      <c r="C10376" s="4" t="n">
        <v>346</v>
      </c>
      <c r="D10376" s="4" t="n">
        <v>104.665</v>
      </c>
      <c r="E10376" s="5" t="n">
        <v>27.1</v>
      </c>
      <c r="F10376" s="3" t="inlineStr">
        <is>
          <t>연서면</t>
        </is>
      </c>
      <c r="G10376" s="3" t="inlineStr">
        <is>
          <t>쌍류리</t>
        </is>
      </c>
      <c r="H10376" s="3" t="inlineStr">
        <is>
          <t>보전관리지역</t>
        </is>
      </c>
      <c r="I10376" s="3" t="inlineStr">
        <is>
          <t>전</t>
        </is>
      </c>
      <c r="J10376" s="3" t="inlineStr">
        <is>
          <t>연서면</t>
        </is>
      </c>
    </row>
    <row r="10377">
      <c r="A10377" s="3" t="n">
        <v>2022</v>
      </c>
      <c r="B10377" s="4" t="n">
        <v>11320</v>
      </c>
      <c r="C10377" s="4" t="n">
        <v>1872</v>
      </c>
      <c r="D10377" s="4" t="n">
        <v>566.28</v>
      </c>
      <c r="E10377" s="5" t="n">
        <v>20</v>
      </c>
      <c r="F10377" s="3" t="inlineStr">
        <is>
          <t>연서면</t>
        </is>
      </c>
      <c r="G10377" s="3" t="inlineStr">
        <is>
          <t>쌍류리</t>
        </is>
      </c>
      <c r="H10377" s="3" t="inlineStr">
        <is>
          <t>보전관리지역</t>
        </is>
      </c>
      <c r="I10377" s="3" t="inlineStr">
        <is>
          <t>전</t>
        </is>
      </c>
      <c r="J10377" s="3" t="inlineStr">
        <is>
          <t>연서면</t>
        </is>
      </c>
    </row>
    <row r="10378">
      <c r="A10378" s="3" t="n">
        <v>2022</v>
      </c>
      <c r="B10378" s="4" t="n">
        <v>42826</v>
      </c>
      <c r="C10378" s="4" t="n">
        <v>1445</v>
      </c>
      <c r="D10378" s="4" t="n">
        <v>437.1125</v>
      </c>
      <c r="E10378" s="5" t="n">
        <v>98</v>
      </c>
      <c r="F10378" s="3" t="inlineStr">
        <is>
          <t>금남면</t>
        </is>
      </c>
      <c r="G10378" s="3" t="inlineStr">
        <is>
          <t>원봉리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금남면</t>
        </is>
      </c>
    </row>
    <row r="10379">
      <c r="A10379" s="3" t="n">
        <v>2022</v>
      </c>
      <c r="B10379" s="4" t="n">
        <v>47150</v>
      </c>
      <c r="C10379" s="4" t="n">
        <v>2136</v>
      </c>
      <c r="D10379" s="4" t="n">
        <v>646.14</v>
      </c>
      <c r="E10379" s="5" t="n">
        <v>73</v>
      </c>
      <c r="F10379" s="3" t="inlineStr">
        <is>
          <t>연서면</t>
        </is>
      </c>
      <c r="G10379" s="3" t="inlineStr">
        <is>
          <t>쌍류리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연서면</t>
        </is>
      </c>
    </row>
    <row r="10380">
      <c r="A10380" s="3" t="n">
        <v>2022</v>
      </c>
      <c r="B10380" s="4" t="n">
        <v>45000</v>
      </c>
      <c r="C10380" s="4" t="n">
        <v>1405</v>
      </c>
      <c r="D10380" s="4" t="n">
        <v>425.0125</v>
      </c>
      <c r="E10380" s="5" t="n">
        <v>105.9</v>
      </c>
      <c r="F10380" s="3" t="inlineStr">
        <is>
          <t>장군면</t>
        </is>
      </c>
      <c r="G10380" s="3" t="inlineStr">
        <is>
          <t>대교리</t>
        </is>
      </c>
      <c r="H10380" s="3" t="inlineStr">
        <is>
          <t>농림지역</t>
        </is>
      </c>
      <c r="I10380" s="3" t="inlineStr">
        <is>
          <t>전</t>
        </is>
      </c>
      <c r="J10380" s="3" t="inlineStr">
        <is>
          <t>장군면</t>
        </is>
      </c>
    </row>
    <row r="10381">
      <c r="A10381" s="3" t="n">
        <v>2022</v>
      </c>
      <c r="B10381" s="4" t="n">
        <v>7215</v>
      </c>
      <c r="C10381" s="4" t="n">
        <v>477</v>
      </c>
      <c r="D10381" s="4" t="n">
        <v>144.2925</v>
      </c>
      <c r="E10381" s="5" t="n">
        <v>50</v>
      </c>
      <c r="F10381" s="3" t="inlineStr">
        <is>
          <t>연서면</t>
        </is>
      </c>
      <c r="G10381" s="3" t="inlineStr">
        <is>
          <t>신대리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연서면</t>
        </is>
      </c>
    </row>
    <row r="10382">
      <c r="A10382" s="3" t="n">
        <v>2022</v>
      </c>
      <c r="B10382" s="4" t="n">
        <v>23200</v>
      </c>
      <c r="C10382" s="4" t="n">
        <v>1924</v>
      </c>
      <c r="D10382" s="4" t="n">
        <v>582.01</v>
      </c>
      <c r="E10382" s="5" t="n">
        <v>39.9</v>
      </c>
      <c r="F10382" s="3" t="inlineStr">
        <is>
          <t>전동면</t>
        </is>
      </c>
      <c r="G10382" s="3" t="inlineStr">
        <is>
          <t>청송리</t>
        </is>
      </c>
      <c r="H10382" s="3" t="inlineStr">
        <is>
          <t>농림지역</t>
        </is>
      </c>
      <c r="I10382" s="3" t="inlineStr">
        <is>
          <t>답</t>
        </is>
      </c>
      <c r="J10382" s="3" t="inlineStr">
        <is>
          <t>전동면</t>
        </is>
      </c>
    </row>
    <row r="10383">
      <c r="A10383" s="3" t="n">
        <v>2022</v>
      </c>
      <c r="B10383" s="4" t="n">
        <v>9558</v>
      </c>
      <c r="C10383" s="4" t="n">
        <v>665</v>
      </c>
      <c r="D10383" s="4" t="n">
        <v>201.1625</v>
      </c>
      <c r="E10383" s="5" t="n">
        <v>47.5</v>
      </c>
      <c r="F10383" s="3" t="inlineStr">
        <is>
          <t>연서면</t>
        </is>
      </c>
      <c r="G10383" s="3" t="inlineStr">
        <is>
          <t>신대리</t>
        </is>
      </c>
      <c r="H10383" s="3" t="inlineStr">
        <is>
          <t>계획관리지역</t>
        </is>
      </c>
      <c r="I10383" s="3" t="inlineStr">
        <is>
          <t>답</t>
        </is>
      </c>
      <c r="J10383" s="3" t="inlineStr">
        <is>
          <t>연서면</t>
        </is>
      </c>
    </row>
    <row r="10384">
      <c r="A10384" s="3" t="n">
        <v>2022</v>
      </c>
      <c r="B10384" s="4" t="n">
        <v>19459</v>
      </c>
      <c r="C10384" s="4" t="n">
        <v>201</v>
      </c>
      <c r="D10384" s="4" t="n">
        <v>60.80249999999999</v>
      </c>
      <c r="E10384" s="5" t="n">
        <v>320</v>
      </c>
      <c r="F10384" s="3" t="inlineStr">
        <is>
          <t>연서면</t>
        </is>
      </c>
      <c r="G10384" s="3" t="inlineStr">
        <is>
          <t>봉암리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연서면</t>
        </is>
      </c>
    </row>
    <row r="10385">
      <c r="A10385" s="3" t="n">
        <v>2022</v>
      </c>
      <c r="B10385" s="4" t="n">
        <v>1277</v>
      </c>
      <c r="C10385" s="4" t="n">
        <v>18</v>
      </c>
      <c r="D10385" s="4" t="n">
        <v>5.445</v>
      </c>
      <c r="E10385" s="5" t="n">
        <v>234.5</v>
      </c>
      <c r="F10385" s="3" t="inlineStr">
        <is>
          <t>연서면</t>
        </is>
      </c>
      <c r="G10385" s="3" t="inlineStr">
        <is>
          <t>봉암리</t>
        </is>
      </c>
      <c r="H10385" s="3" t="inlineStr">
        <is>
          <t>계획관리지역</t>
        </is>
      </c>
      <c r="I10385" s="3" t="inlineStr">
        <is>
          <t>답</t>
        </is>
      </c>
      <c r="J10385" s="3" t="inlineStr">
        <is>
          <t>연서면</t>
        </is>
      </c>
    </row>
    <row r="10386">
      <c r="A10386" s="3" t="n">
        <v>2022</v>
      </c>
      <c r="B10386" s="4" t="n">
        <v>110374</v>
      </c>
      <c r="C10386" s="4" t="n">
        <v>1144</v>
      </c>
      <c r="D10386" s="4" t="n">
        <v>346.06</v>
      </c>
      <c r="E10386" s="5" t="n">
        <v>318.9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연서면</t>
        </is>
      </c>
    </row>
    <row r="10387">
      <c r="A10387" s="3" t="n">
        <v>2022</v>
      </c>
      <c r="B10387" s="4" t="n">
        <v>44900</v>
      </c>
      <c r="C10387" s="4" t="n">
        <v>743</v>
      </c>
      <c r="D10387" s="4" t="n">
        <v>224.7575</v>
      </c>
      <c r="E10387" s="5" t="n">
        <v>199.8</v>
      </c>
      <c r="F10387" s="3" t="inlineStr">
        <is>
          <t>부강면</t>
        </is>
      </c>
      <c r="G10387" s="3" t="inlineStr">
        <is>
          <t>부강리</t>
        </is>
      </c>
      <c r="H10387" s="3" t="inlineStr">
        <is>
          <t>제2종일반주거지역</t>
        </is>
      </c>
      <c r="I10387" s="3" t="inlineStr">
        <is>
          <t>대</t>
        </is>
      </c>
      <c r="J10387" s="3" t="inlineStr">
        <is>
          <t>부강면</t>
        </is>
      </c>
    </row>
    <row r="10388">
      <c r="A10388" s="3" t="n">
        <v>2022</v>
      </c>
      <c r="B10388" s="4" t="n">
        <v>27308</v>
      </c>
      <c r="C10388" s="4" t="n">
        <v>392</v>
      </c>
      <c r="D10388" s="4" t="n">
        <v>118.58</v>
      </c>
      <c r="E10388" s="5" t="n">
        <v>230.3</v>
      </c>
      <c r="F10388" s="3" t="inlineStr">
        <is>
          <t>금남면</t>
        </is>
      </c>
      <c r="G10388" s="3" t="inlineStr">
        <is>
          <t>대박리</t>
        </is>
      </c>
      <c r="H10388" s="3" t="inlineStr">
        <is>
          <t>보전관리지역</t>
        </is>
      </c>
      <c r="I10388" s="3" t="inlineStr">
        <is>
          <t>대</t>
        </is>
      </c>
      <c r="J10388" s="3" t="inlineStr">
        <is>
          <t>금남면</t>
        </is>
      </c>
    </row>
    <row r="10389">
      <c r="A10389" s="3" t="n">
        <v>2022</v>
      </c>
      <c r="B10389" s="4" t="n">
        <v>29820</v>
      </c>
      <c r="C10389" s="4" t="n">
        <v>428</v>
      </c>
      <c r="D10389" s="4" t="n">
        <v>129.47</v>
      </c>
      <c r="E10389" s="5" t="n">
        <v>230.3</v>
      </c>
      <c r="F10389" s="3" t="inlineStr">
        <is>
          <t>금남면</t>
        </is>
      </c>
      <c r="G10389" s="3" t="inlineStr">
        <is>
          <t>대박리</t>
        </is>
      </c>
      <c r="H10389" s="3" t="inlineStr">
        <is>
          <t>보전관리지역</t>
        </is>
      </c>
      <c r="I10389" s="3" t="inlineStr">
        <is>
          <t>대</t>
        </is>
      </c>
      <c r="J10389" s="3" t="inlineStr">
        <is>
          <t>금남면</t>
        </is>
      </c>
    </row>
    <row r="10390">
      <c r="A10390" s="3" t="n">
        <v>2022</v>
      </c>
      <c r="B10390" s="4" t="n">
        <v>50000</v>
      </c>
      <c r="C10390" s="4" t="n">
        <v>586</v>
      </c>
      <c r="D10390" s="4" t="n">
        <v>177.265</v>
      </c>
      <c r="E10390" s="5" t="n">
        <v>282.1</v>
      </c>
      <c r="F10390" s="3" t="inlineStr">
        <is>
          <t>장군면</t>
        </is>
      </c>
      <c r="G10390" s="3" t="inlineStr">
        <is>
          <t>태산리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60000</v>
      </c>
      <c r="C10391" s="4" t="n">
        <v>1322</v>
      </c>
      <c r="D10391" s="4" t="n">
        <v>399.905</v>
      </c>
      <c r="E10391" s="5" t="n">
        <v>150</v>
      </c>
      <c r="F10391" s="3" t="inlineStr">
        <is>
          <t>장군면</t>
        </is>
      </c>
      <c r="G10391" s="3" t="inlineStr">
        <is>
          <t>하봉리</t>
        </is>
      </c>
      <c r="H10391" s="3" t="inlineStr">
        <is>
          <t>계획관리지역</t>
        </is>
      </c>
      <c r="I10391" s="3" t="inlineStr">
        <is>
          <t>답</t>
        </is>
      </c>
      <c r="J10391" s="3" t="inlineStr">
        <is>
          <t>장군면</t>
        </is>
      </c>
    </row>
    <row r="10392">
      <c r="A10392" s="3" t="n">
        <v>2023</v>
      </c>
      <c r="B10392" s="4" t="n">
        <v>69</v>
      </c>
      <c r="C10392" s="4" t="n">
        <v>7</v>
      </c>
      <c r="D10392" s="4" t="n">
        <v>2.1175</v>
      </c>
      <c r="E10392" s="5" t="n">
        <v>32.6</v>
      </c>
      <c r="F10392" s="3" t="inlineStr">
        <is>
          <t>연서면</t>
        </is>
      </c>
      <c r="G10392" s="3" t="inlineStr">
        <is>
          <t>월하리</t>
        </is>
      </c>
      <c r="H10392" s="3" t="inlineStr">
        <is>
          <t>제1종일반주거지역</t>
        </is>
      </c>
      <c r="I10392" s="3" t="inlineStr">
        <is>
          <t>도로</t>
        </is>
      </c>
      <c r="J10392" s="3" t="inlineStr">
        <is>
          <t>연서면</t>
        </is>
      </c>
    </row>
    <row r="10393">
      <c r="A10393" s="3" t="n">
        <v>2023</v>
      </c>
      <c r="B10393" s="4" t="n">
        <v>402</v>
      </c>
      <c r="C10393" s="4" t="n">
        <v>41</v>
      </c>
      <c r="D10393" s="4" t="n">
        <v>12.4025</v>
      </c>
      <c r="E10393" s="5" t="n">
        <v>32.4</v>
      </c>
      <c r="F10393" s="3" t="inlineStr">
        <is>
          <t>연서면</t>
        </is>
      </c>
      <c r="G10393" s="3" t="inlineStr">
        <is>
          <t>월하리</t>
        </is>
      </c>
      <c r="H10393" s="3" t="inlineStr">
        <is>
          <t>제1종일반주거지역</t>
        </is>
      </c>
      <c r="I10393" s="3" t="inlineStr">
        <is>
          <t>도로</t>
        </is>
      </c>
      <c r="J10393" s="3" t="inlineStr">
        <is>
          <t>연서면</t>
        </is>
      </c>
    </row>
    <row r="10394">
      <c r="A10394" s="3" t="n">
        <v>2023</v>
      </c>
      <c r="B10394" s="4" t="n">
        <v>206</v>
      </c>
      <c r="C10394" s="4" t="n">
        <v>21</v>
      </c>
      <c r="D10394" s="4" t="n">
        <v>6.3525</v>
      </c>
      <c r="E10394" s="5" t="n">
        <v>32.4</v>
      </c>
      <c r="F10394" s="3" t="inlineStr">
        <is>
          <t>연서면</t>
        </is>
      </c>
      <c r="G10394" s="3" t="inlineStr">
        <is>
          <t>월하리</t>
        </is>
      </c>
      <c r="H10394" s="3" t="inlineStr">
        <is>
          <t>제1종일반주거지역</t>
        </is>
      </c>
      <c r="I10394" s="3" t="inlineStr">
        <is>
          <t>도로</t>
        </is>
      </c>
      <c r="J10394" s="3" t="inlineStr">
        <is>
          <t>연서면</t>
        </is>
      </c>
    </row>
    <row r="10395">
      <c r="A10395" s="3" t="n">
        <v>2023</v>
      </c>
      <c r="B10395" s="4" t="n">
        <v>12200</v>
      </c>
      <c r="C10395" s="4" t="n">
        <v>202</v>
      </c>
      <c r="D10395" s="4" t="n">
        <v>61.105</v>
      </c>
      <c r="E10395" s="5" t="n">
        <v>199.7</v>
      </c>
      <c r="F10395" s="3" t="inlineStr">
        <is>
          <t>전의면</t>
        </is>
      </c>
      <c r="G10395" s="3" t="inlineStr">
        <is>
          <t>신흥리</t>
        </is>
      </c>
      <c r="H10395" s="3" t="inlineStr">
        <is>
          <t>계획관리지역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2023</v>
      </c>
      <c r="B10396" s="4" t="n">
        <v>27000</v>
      </c>
      <c r="C10396" s="4" t="n">
        <v>934</v>
      </c>
      <c r="D10396" s="4" t="n">
        <v>282.535</v>
      </c>
      <c r="E10396" s="5" t="n">
        <v>95.59999999999999</v>
      </c>
      <c r="F10396" s="3" t="inlineStr">
        <is>
          <t>연서면</t>
        </is>
      </c>
      <c r="G10396" s="3" t="inlineStr">
        <is>
          <t>쌍류리</t>
        </is>
      </c>
      <c r="H10396" s="3" t="inlineStr">
        <is>
          <t>생산관리지역</t>
        </is>
      </c>
      <c r="I10396" s="3" t="inlineStr">
        <is>
          <t>답</t>
        </is>
      </c>
      <c r="J10396" s="3" t="inlineStr">
        <is>
          <t>연서면</t>
        </is>
      </c>
    </row>
    <row r="10397">
      <c r="A10397" s="3" t="n">
        <v>2023</v>
      </c>
      <c r="B10397" s="4" t="n">
        <v>3000</v>
      </c>
      <c r="C10397" s="4" t="n">
        <v>275</v>
      </c>
      <c r="D10397" s="4" t="n">
        <v>83.1875</v>
      </c>
      <c r="E10397" s="5" t="n">
        <v>36.1</v>
      </c>
      <c r="F10397" s="3" t="inlineStr">
        <is>
          <t>전의면</t>
        </is>
      </c>
      <c r="G10397" s="3" t="inlineStr">
        <is>
          <t>읍내리</t>
        </is>
      </c>
      <c r="H10397" s="3" t="inlineStr">
        <is>
          <t>생산녹지지역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2023</v>
      </c>
      <c r="B10398" s="4" t="n">
        <v>13147</v>
      </c>
      <c r="C10398" s="4" t="n">
        <v>198</v>
      </c>
      <c r="D10398" s="4" t="n">
        <v>59.895</v>
      </c>
      <c r="E10398" s="5" t="n">
        <v>219.5</v>
      </c>
      <c r="F10398" s="3" t="inlineStr">
        <is>
          <t>장군면</t>
        </is>
      </c>
      <c r="G10398" s="3" t="inlineStr">
        <is>
          <t>봉안리</t>
        </is>
      </c>
      <c r="H10398" s="3" t="inlineStr">
        <is>
          <t>농림지역</t>
        </is>
      </c>
      <c r="I10398" s="3" t="inlineStr">
        <is>
          <t>목장용지</t>
        </is>
      </c>
      <c r="J10398" s="3" t="inlineStr">
        <is>
          <t>장군면</t>
        </is>
      </c>
    </row>
    <row r="10399">
      <c r="A10399" s="3" t="n">
        <v>2023</v>
      </c>
      <c r="B10399" s="4" t="n">
        <v>57400</v>
      </c>
      <c r="C10399" s="4" t="n">
        <v>1947</v>
      </c>
      <c r="D10399" s="4" t="n">
        <v>588.9675</v>
      </c>
      <c r="E10399" s="5" t="n">
        <v>97.5</v>
      </c>
      <c r="F10399" s="3" t="inlineStr">
        <is>
          <t>장군면</t>
        </is>
      </c>
      <c r="G10399" s="3" t="inlineStr">
        <is>
          <t>도계리</t>
        </is>
      </c>
      <c r="H10399" s="3" t="inlineStr">
        <is>
          <t>농림지역</t>
        </is>
      </c>
      <c r="I10399" s="3" t="inlineStr">
        <is>
          <t>전</t>
        </is>
      </c>
      <c r="J10399" s="3" t="inlineStr">
        <is>
          <t>장군면</t>
        </is>
      </c>
    </row>
    <row r="10400">
      <c r="A10400" s="3" t="n">
        <v>2023</v>
      </c>
      <c r="B10400" s="4" t="n">
        <v>10000</v>
      </c>
      <c r="C10400" s="4" t="n">
        <v>998</v>
      </c>
      <c r="D10400" s="4" t="n">
        <v>301.895</v>
      </c>
      <c r="E10400" s="5" t="n">
        <v>33.1</v>
      </c>
      <c r="F10400" s="3" t="inlineStr">
        <is>
          <t>소정면</t>
        </is>
      </c>
      <c r="G10400" s="3" t="inlineStr">
        <is>
          <t>대곡리</t>
        </is>
      </c>
      <c r="H10400" s="3" t="inlineStr">
        <is>
          <t>계획관리지역</t>
        </is>
      </c>
      <c r="I10400" s="3" t="inlineStr">
        <is>
          <t>대</t>
        </is>
      </c>
      <c r="J10400" s="3" t="inlineStr">
        <is>
          <t>소정면</t>
        </is>
      </c>
    </row>
    <row r="10401">
      <c r="A10401" s="3" t="n">
        <v>2023</v>
      </c>
      <c r="B10401" s="4" t="n">
        <v>5000</v>
      </c>
      <c r="C10401" s="4" t="n">
        <v>614</v>
      </c>
      <c r="D10401" s="4" t="n">
        <v>185.735</v>
      </c>
      <c r="E10401" s="5" t="n">
        <v>26.9</v>
      </c>
      <c r="F10401" s="3" t="inlineStr">
        <is>
          <t>전의면</t>
        </is>
      </c>
      <c r="G10401" s="3" t="inlineStr">
        <is>
          <t>읍내리</t>
        </is>
      </c>
      <c r="H10401" s="3" t="inlineStr">
        <is>
          <t>생산녹지지역</t>
        </is>
      </c>
      <c r="I10401" s="3" t="inlineStr">
        <is>
          <t>답</t>
        </is>
      </c>
      <c r="J10401" s="3" t="inlineStr">
        <is>
          <t>전의면</t>
        </is>
      </c>
    </row>
    <row r="10402">
      <c r="A10402" s="3" t="n">
        <v>2023</v>
      </c>
      <c r="B10402" s="4" t="n">
        <v>3000</v>
      </c>
      <c r="C10402" s="4" t="n">
        <v>346</v>
      </c>
      <c r="D10402" s="4" t="n">
        <v>104.665</v>
      </c>
      <c r="E10402" s="5" t="n">
        <v>28.7</v>
      </c>
      <c r="F10402" s="3" t="inlineStr">
        <is>
          <t>연서면</t>
        </is>
      </c>
      <c r="G10402" s="3" t="inlineStr">
        <is>
          <t>쌍류리</t>
        </is>
      </c>
      <c r="H10402" s="3" t="inlineStr">
        <is>
          <t>보전관리지역</t>
        </is>
      </c>
      <c r="I10402" s="3" t="inlineStr">
        <is>
          <t>전</t>
        </is>
      </c>
      <c r="J10402" s="3" t="inlineStr">
        <is>
          <t>연서면</t>
        </is>
      </c>
    </row>
    <row r="10403">
      <c r="A10403" s="3" t="n">
        <v>2023</v>
      </c>
      <c r="B10403" s="4" t="n">
        <v>14859</v>
      </c>
      <c r="C10403" s="4" t="n">
        <v>307</v>
      </c>
      <c r="D10403" s="4" t="n">
        <v>92.86749999999999</v>
      </c>
      <c r="E10403" s="5" t="n">
        <v>160</v>
      </c>
      <c r="F10403" s="3" t="inlineStr">
        <is>
          <t>장군면</t>
        </is>
      </c>
      <c r="G10403" s="3" t="inlineStr">
        <is>
          <t>용암리</t>
        </is>
      </c>
      <c r="H10403" s="3" t="inlineStr">
        <is>
          <t>보전관리지역</t>
        </is>
      </c>
      <c r="I10403" s="3" t="inlineStr">
        <is>
          <t>대</t>
        </is>
      </c>
      <c r="J10403" s="3" t="inlineStr">
        <is>
          <t>장군면</t>
        </is>
      </c>
    </row>
    <row r="10404">
      <c r="A10404" s="3" t="n">
        <v>2023</v>
      </c>
      <c r="B10404" s="4" t="n">
        <v>12632</v>
      </c>
      <c r="C10404" s="4" t="n">
        <v>261</v>
      </c>
      <c r="D10404" s="4" t="n">
        <v>78.9525</v>
      </c>
      <c r="E10404" s="5" t="n">
        <v>160</v>
      </c>
      <c r="F10404" s="3" t="inlineStr">
        <is>
          <t>장군면</t>
        </is>
      </c>
      <c r="G10404" s="3" t="inlineStr">
        <is>
          <t>용암리</t>
        </is>
      </c>
      <c r="H10404" s="3" t="inlineStr">
        <is>
          <t>보전관리지역</t>
        </is>
      </c>
      <c r="I10404" s="3" t="inlineStr">
        <is>
          <t>대</t>
        </is>
      </c>
      <c r="J10404" s="3" t="inlineStr">
        <is>
          <t>장군면</t>
        </is>
      </c>
    </row>
    <row r="10405">
      <c r="A10405" s="3" t="n">
        <v>2023</v>
      </c>
      <c r="B10405" s="4" t="n">
        <v>14520</v>
      </c>
      <c r="C10405" s="4" t="n">
        <v>300</v>
      </c>
      <c r="D10405" s="4" t="n">
        <v>90.75</v>
      </c>
      <c r="E10405" s="5" t="n">
        <v>160</v>
      </c>
      <c r="F10405" s="3" t="inlineStr">
        <is>
          <t>장군면</t>
        </is>
      </c>
      <c r="G10405" s="3" t="inlineStr">
        <is>
          <t>용암리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2023</v>
      </c>
      <c r="B10406" s="4" t="n">
        <v>15488</v>
      </c>
      <c r="C10406" s="4" t="n">
        <v>320</v>
      </c>
      <c r="D10406" s="4" t="n">
        <v>96.8</v>
      </c>
      <c r="E10406" s="5" t="n">
        <v>160</v>
      </c>
      <c r="F10406" s="3" t="inlineStr">
        <is>
          <t>장군면</t>
        </is>
      </c>
      <c r="G10406" s="3" t="inlineStr">
        <is>
          <t>용암리</t>
        </is>
      </c>
      <c r="H10406" s="3" t="inlineStr">
        <is>
          <t>보전관리지역</t>
        </is>
      </c>
      <c r="I10406" s="3" t="inlineStr">
        <is>
          <t>대</t>
        </is>
      </c>
      <c r="J10406" s="3" t="inlineStr">
        <is>
          <t>장군면</t>
        </is>
      </c>
    </row>
    <row r="10407">
      <c r="A10407" s="3" t="n">
        <v>2023</v>
      </c>
      <c r="B10407" s="4" t="n">
        <v>110000</v>
      </c>
      <c r="C10407" s="4" t="n">
        <v>7498</v>
      </c>
      <c r="D10407" s="4" t="n">
        <v>2268.145</v>
      </c>
      <c r="E10407" s="5" t="n">
        <v>48.5</v>
      </c>
      <c r="F10407" s="3" t="inlineStr">
        <is>
          <t>전동면</t>
        </is>
      </c>
      <c r="G10407" s="3" t="inlineStr">
        <is>
          <t>송정리</t>
        </is>
      </c>
      <c r="H10407" s="3" t="inlineStr">
        <is>
          <t>농림지역</t>
        </is>
      </c>
      <c r="I10407" s="3" t="inlineStr">
        <is>
          <t>전</t>
        </is>
      </c>
      <c r="J10407" s="3" t="inlineStr">
        <is>
          <t>전동면</t>
        </is>
      </c>
    </row>
    <row r="10408">
      <c r="A10408" s="3" t="n">
        <v>2023</v>
      </c>
      <c r="B10408" s="4" t="n">
        <v>8665</v>
      </c>
      <c r="C10408" s="4" t="n">
        <v>15179</v>
      </c>
      <c r="D10408" s="4" t="n">
        <v>4591.6475</v>
      </c>
      <c r="E10408" s="5" t="n">
        <v>1.9</v>
      </c>
      <c r="F10408" s="3" t="inlineStr">
        <is>
          <t>전동면</t>
        </is>
      </c>
      <c r="G10408" s="3" t="inlineStr">
        <is>
          <t>송정리</t>
        </is>
      </c>
      <c r="H10408" s="3" t="inlineStr">
        <is>
          <t>농림지역</t>
        </is>
      </c>
      <c r="I10408" s="3" t="inlineStr">
        <is>
          <t>임야</t>
        </is>
      </c>
      <c r="J10408" s="3" t="inlineStr">
        <is>
          <t>전동면</t>
        </is>
      </c>
    </row>
    <row r="10409">
      <c r="A10409" s="3" t="n">
        <v>2023</v>
      </c>
      <c r="B10409" s="4" t="n">
        <v>931</v>
      </c>
      <c r="C10409" s="4" t="n">
        <v>1150</v>
      </c>
      <c r="D10409" s="4" t="n">
        <v>347.875</v>
      </c>
      <c r="E10409" s="5" t="n">
        <v>2.7</v>
      </c>
      <c r="F10409" s="3" t="inlineStr">
        <is>
          <t>전동면</t>
        </is>
      </c>
      <c r="G10409" s="3" t="inlineStr">
        <is>
          <t>송정리</t>
        </is>
      </c>
      <c r="H10409" s="3" t="inlineStr">
        <is>
          <t>농림지역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2023</v>
      </c>
      <c r="B10410" s="4" t="n">
        <v>384</v>
      </c>
      <c r="C10410" s="4" t="n">
        <v>642</v>
      </c>
      <c r="D10410" s="4" t="n">
        <v>194.205</v>
      </c>
      <c r="E10410" s="5" t="n">
        <v>2</v>
      </c>
      <c r="F10410" s="3" t="inlineStr">
        <is>
          <t>전동면</t>
        </is>
      </c>
      <c r="G10410" s="3" t="inlineStr">
        <is>
          <t>송정리</t>
        </is>
      </c>
      <c r="H10410" s="3" t="inlineStr">
        <is>
          <t>농림지역</t>
        </is>
      </c>
      <c r="I10410" s="3" t="inlineStr">
        <is>
          <t>임야</t>
        </is>
      </c>
      <c r="J10410" s="3" t="inlineStr">
        <is>
          <t>전동면</t>
        </is>
      </c>
    </row>
    <row r="10411">
      <c r="A10411" s="3" t="n">
        <v>2023</v>
      </c>
      <c r="B10411" s="4" t="n">
        <v>20</v>
      </c>
      <c r="C10411" s="4" t="n">
        <v>32</v>
      </c>
      <c r="D10411" s="4" t="n">
        <v>9.68</v>
      </c>
      <c r="E10411" s="5" t="n">
        <v>2.1</v>
      </c>
      <c r="F10411" s="3" t="inlineStr">
        <is>
          <t>전동면</t>
        </is>
      </c>
      <c r="G10411" s="3" t="inlineStr">
        <is>
          <t>송정리</t>
        </is>
      </c>
      <c r="H10411" s="3" t="inlineStr">
        <is>
          <t>농림지역</t>
        </is>
      </c>
      <c r="I10411" s="3" t="inlineStr">
        <is>
          <t>임야</t>
        </is>
      </c>
      <c r="J10411" s="3" t="inlineStr">
        <is>
          <t>전동면</t>
        </is>
      </c>
    </row>
    <row r="10412">
      <c r="A10412" s="3" t="n">
        <v>2023</v>
      </c>
      <c r="B10412" s="4" t="n">
        <v>20500</v>
      </c>
      <c r="C10412" s="4" t="n">
        <v>229</v>
      </c>
      <c r="D10412" s="4" t="n">
        <v>69.27249999999999</v>
      </c>
      <c r="E10412" s="5" t="n">
        <v>295.9</v>
      </c>
      <c r="F10412" s="3" t="inlineStr">
        <is>
          <t>장군면</t>
        </is>
      </c>
      <c r="G10412" s="3" t="inlineStr">
        <is>
          <t>도계리</t>
        </is>
      </c>
      <c r="H10412" s="3" t="inlineStr">
        <is>
          <t>계획관리지역</t>
        </is>
      </c>
      <c r="I10412" s="3" t="inlineStr">
        <is>
          <t>전</t>
        </is>
      </c>
      <c r="J10412" s="3" t="inlineStr">
        <is>
          <t>장군면</t>
        </is>
      </c>
    </row>
    <row r="10413">
      <c r="A10413" s="3" t="n">
        <v>2023</v>
      </c>
      <c r="B10413" s="4" t="n">
        <v>25830</v>
      </c>
      <c r="C10413" s="4" t="n">
        <v>1957</v>
      </c>
      <c r="D10413" s="4" t="n">
        <v>591.9924999999999</v>
      </c>
      <c r="E10413" s="5" t="n">
        <v>43.6</v>
      </c>
      <c r="F10413" s="3" t="inlineStr">
        <is>
          <t>부강면</t>
        </is>
      </c>
      <c r="G10413" s="3" t="inlineStr">
        <is>
          <t>노호리</t>
        </is>
      </c>
      <c r="H10413" s="3" t="inlineStr">
        <is>
          <t>보전관리지역</t>
        </is>
      </c>
      <c r="I10413" s="3" t="inlineStr">
        <is>
          <t>임야</t>
        </is>
      </c>
      <c r="J10413" s="3" t="inlineStr">
        <is>
          <t>부강면</t>
        </is>
      </c>
    </row>
    <row r="10414">
      <c r="A10414" s="3" t="n">
        <v>2023</v>
      </c>
      <c r="B10414" s="4" t="n">
        <v>110000</v>
      </c>
      <c r="C10414" s="4" t="n">
        <v>660</v>
      </c>
      <c r="D10414" s="4" t="n">
        <v>199.65</v>
      </c>
      <c r="E10414" s="5" t="n">
        <v>551</v>
      </c>
      <c r="F10414" s="3" t="inlineStr">
        <is>
          <t>부강면</t>
        </is>
      </c>
      <c r="G10414" s="3" t="inlineStr">
        <is>
          <t>금호리</t>
        </is>
      </c>
      <c r="H10414" s="3" t="inlineStr">
        <is>
          <t>계획관리지역</t>
        </is>
      </c>
      <c r="I10414" s="3" t="inlineStr">
        <is>
          <t>전</t>
        </is>
      </c>
      <c r="J10414" s="3" t="inlineStr">
        <is>
          <t>부강면</t>
        </is>
      </c>
    </row>
    <row r="10415">
      <c r="A10415" s="3" t="n">
        <v>2023</v>
      </c>
      <c r="B10415" s="4" t="n">
        <v>23200</v>
      </c>
      <c r="C10415" s="4" t="n">
        <v>698</v>
      </c>
      <c r="D10415" s="4" t="n">
        <v>211.145</v>
      </c>
      <c r="E10415" s="5" t="n">
        <v>109.9</v>
      </c>
      <c r="F10415" s="3" t="inlineStr">
        <is>
          <t>연동면</t>
        </is>
      </c>
      <c r="G10415" s="3" t="inlineStr">
        <is>
          <t>내판리</t>
        </is>
      </c>
      <c r="H10415" s="3" t="inlineStr">
        <is>
          <t>계획관리지역</t>
        </is>
      </c>
      <c r="I10415" s="3" t="inlineStr">
        <is>
          <t>전</t>
        </is>
      </c>
      <c r="J10415" s="3" t="inlineStr">
        <is>
          <t>연동면</t>
        </is>
      </c>
    </row>
    <row r="10416">
      <c r="A10416" s="3" t="n">
        <v>2023</v>
      </c>
      <c r="B10416" s="4" t="n">
        <v>47000</v>
      </c>
      <c r="C10416" s="4" t="n">
        <v>2076</v>
      </c>
      <c r="D10416" s="4" t="n">
        <v>627.99</v>
      </c>
      <c r="E10416" s="5" t="n">
        <v>74.8</v>
      </c>
      <c r="F10416" s="3" t="inlineStr">
        <is>
          <t>소정면</t>
        </is>
      </c>
      <c r="G10416" s="3" t="inlineStr">
        <is>
          <t>운당리</t>
        </is>
      </c>
      <c r="H10416" s="3" t="inlineStr">
        <is>
          <t>계획관리지역</t>
        </is>
      </c>
      <c r="I10416" s="3" t="inlineStr">
        <is>
          <t>전</t>
        </is>
      </c>
      <c r="J10416" s="3" t="inlineStr">
        <is>
          <t>소정면</t>
        </is>
      </c>
    </row>
    <row r="10417">
      <c r="A10417" s="3" t="n">
        <v>2023</v>
      </c>
      <c r="B10417" s="4" t="n">
        <v>1860</v>
      </c>
      <c r="C10417" s="4" t="n">
        <v>474</v>
      </c>
      <c r="D10417" s="4" t="n">
        <v>143.385</v>
      </c>
      <c r="E10417" s="5" t="n">
        <v>13</v>
      </c>
      <c r="F10417" s="3" t="inlineStr">
        <is>
          <t>연서면</t>
        </is>
      </c>
      <c r="G10417" s="3" t="inlineStr">
        <is>
          <t>고복리</t>
        </is>
      </c>
      <c r="H10417" s="3" t="inlineStr">
        <is>
          <t>자연녹지지역</t>
        </is>
      </c>
      <c r="I10417" s="3" t="inlineStr">
        <is>
          <t>도로</t>
        </is>
      </c>
      <c r="J10417" s="3" t="inlineStr">
        <is>
          <t>연서면</t>
        </is>
      </c>
    </row>
    <row r="10418">
      <c r="A10418" s="3" t="n">
        <v>2023</v>
      </c>
      <c r="B10418" s="4" t="n">
        <v>1524</v>
      </c>
      <c r="C10418" s="4" t="n">
        <v>103</v>
      </c>
      <c r="D10418" s="4" t="n">
        <v>31.1575</v>
      </c>
      <c r="E10418" s="5" t="n">
        <v>48.9</v>
      </c>
      <c r="F10418" s="3" t="inlineStr">
        <is>
          <t>부강면</t>
        </is>
      </c>
      <c r="G10418" s="3" t="inlineStr">
        <is>
          <t>산수리</t>
        </is>
      </c>
      <c r="H10418" s="3" t="inlineStr">
        <is>
          <t>계획관리지역</t>
        </is>
      </c>
      <c r="I10418" s="3" t="inlineStr">
        <is>
          <t>도로</t>
        </is>
      </c>
      <c r="J10418" s="3" t="inlineStr">
        <is>
          <t>부강면</t>
        </is>
      </c>
    </row>
    <row r="10419">
      <c r="A10419" s="3" t="n">
        <v>2023</v>
      </c>
      <c r="B10419" s="4" t="n">
        <v>531</v>
      </c>
      <c r="C10419" s="4" t="n">
        <v>18</v>
      </c>
      <c r="D10419" s="4" t="n">
        <v>5.445</v>
      </c>
      <c r="E10419" s="5" t="n">
        <v>97.5</v>
      </c>
      <c r="F10419" s="3" t="inlineStr">
        <is>
          <t>부강면</t>
        </is>
      </c>
      <c r="G10419" s="3" t="inlineStr">
        <is>
          <t>산수리</t>
        </is>
      </c>
      <c r="H10419" s="3" t="inlineStr">
        <is>
          <t>계획관리지역</t>
        </is>
      </c>
      <c r="I10419" s="3" t="inlineStr">
        <is>
          <t>도로</t>
        </is>
      </c>
      <c r="J10419" s="3" t="inlineStr">
        <is>
          <t>부강면</t>
        </is>
      </c>
    </row>
    <row r="10420">
      <c r="A10420" s="3" t="n">
        <v>2023</v>
      </c>
      <c r="B10420" s="4" t="n">
        <v>7073</v>
      </c>
      <c r="C10420" s="4" t="n">
        <v>385</v>
      </c>
      <c r="D10420" s="4" t="n">
        <v>116.4625</v>
      </c>
      <c r="E10420" s="5" t="n">
        <v>60.7</v>
      </c>
      <c r="F10420" s="3" t="inlineStr">
        <is>
          <t>장군면</t>
        </is>
      </c>
      <c r="G10420" s="3" t="inlineStr">
        <is>
          <t>송문리</t>
        </is>
      </c>
      <c r="H10420" s="3" t="inlineStr">
        <is>
          <t>계획관리지역</t>
        </is>
      </c>
      <c r="I10420" s="3" t="inlineStr">
        <is>
          <t>전</t>
        </is>
      </c>
      <c r="J10420" s="3" t="inlineStr">
        <is>
          <t>장군면</t>
        </is>
      </c>
    </row>
    <row r="10421">
      <c r="A10421" s="3" t="n">
        <v>2023</v>
      </c>
      <c r="B10421" s="4" t="n">
        <v>20500</v>
      </c>
      <c r="C10421" s="4" t="n">
        <v>727</v>
      </c>
      <c r="D10421" s="4" t="n">
        <v>219.9175</v>
      </c>
      <c r="E10421" s="5" t="n">
        <v>93.2</v>
      </c>
      <c r="F10421" s="3" t="inlineStr">
        <is>
          <t>금남면</t>
        </is>
      </c>
      <c r="G10421" s="3" t="inlineStr">
        <is>
          <t>원봉리</t>
        </is>
      </c>
      <c r="H10421" s="3" t="inlineStr">
        <is>
          <t>계획관리지역</t>
        </is>
      </c>
      <c r="I10421" s="3" t="inlineStr">
        <is>
          <t>전</t>
        </is>
      </c>
      <c r="J10421" s="3" t="inlineStr">
        <is>
          <t>금남면</t>
        </is>
      </c>
    </row>
    <row r="10422">
      <c r="A10422" s="3" t="n">
        <v>2026</v>
      </c>
      <c r="B10422" s="4" t="n">
        <v>1500</v>
      </c>
      <c r="C10422" s="4" t="n">
        <v>992</v>
      </c>
      <c r="D10422" s="4" t="n">
        <v>300.08</v>
      </c>
      <c r="E10422" s="5" t="n">
        <v>5</v>
      </c>
      <c r="F10422" s="3" t="inlineStr">
        <is>
          <t>연기면</t>
        </is>
      </c>
      <c r="G10422" s="3" t="inlineStr">
        <is>
          <t>수산리</t>
        </is>
      </c>
      <c r="H10422" s="3" t="inlineStr">
        <is>
          <t>보전관리지역</t>
        </is>
      </c>
      <c r="I10422" s="3" t="inlineStr">
        <is>
          <t>임야</t>
        </is>
      </c>
      <c r="J10422" s="3" t="inlineStr">
        <is>
          <t>연기면</t>
        </is>
      </c>
    </row>
    <row r="10423">
      <c r="A10423" s="3" t="n">
        <v>2026</v>
      </c>
      <c r="B10423" s="4" t="n">
        <v>1200</v>
      </c>
      <c r="C10423" s="4" t="n">
        <v>96</v>
      </c>
      <c r="D10423" s="4" t="n">
        <v>29.04</v>
      </c>
      <c r="E10423" s="5" t="n">
        <v>41.3</v>
      </c>
      <c r="F10423" s="3" t="inlineStr">
        <is>
          <t>금남면</t>
        </is>
      </c>
      <c r="G10423" s="3" t="inlineStr">
        <is>
          <t>성강리</t>
        </is>
      </c>
      <c r="H10423" s="3" t="inlineStr">
        <is>
          <t>생산관리지역</t>
        </is>
      </c>
      <c r="I10423" s="3" t="inlineStr">
        <is>
          <t>전</t>
        </is>
      </c>
      <c r="J10423" s="3" t="inlineStr">
        <is>
          <t>금남면</t>
        </is>
      </c>
    </row>
    <row r="10424">
      <c r="A10424" s="3" t="n">
        <v>2026</v>
      </c>
      <c r="B10424" s="4" t="n">
        <v>70500</v>
      </c>
      <c r="C10424" s="4" t="n">
        <v>512</v>
      </c>
      <c r="D10424" s="4" t="n">
        <v>154.88</v>
      </c>
      <c r="E10424" s="5" t="n">
        <v>455.2</v>
      </c>
      <c r="F10424" s="3" t="inlineStr">
        <is>
          <t>고운동</t>
        </is>
      </c>
      <c r="G10424" s="3" t="inlineStr"/>
      <c r="H10424" s="3" t="inlineStr">
        <is>
          <t>제1종전용주거지역</t>
        </is>
      </c>
      <c r="I10424" s="3" t="inlineStr">
        <is>
          <t>대</t>
        </is>
      </c>
      <c r="J10424" s="3" t="inlineStr">
        <is>
          <t>고운동</t>
        </is>
      </c>
    </row>
    <row r="10425">
      <c r="A10425" s="3" t="n">
        <v>2026</v>
      </c>
      <c r="B10425" s="4" t="n">
        <v>7500</v>
      </c>
      <c r="C10425" s="4" t="n">
        <v>9124</v>
      </c>
      <c r="D10425" s="4" t="n">
        <v>2760.01</v>
      </c>
      <c r="E10425" s="5" t="n">
        <v>2.7</v>
      </c>
      <c r="F10425" s="3" t="inlineStr">
        <is>
          <t>전동면</t>
        </is>
      </c>
      <c r="G10425" s="3" t="inlineStr">
        <is>
          <t>노장리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전동면</t>
        </is>
      </c>
    </row>
    <row r="10426">
      <c r="A10426" s="3" t="n">
        <v>2026</v>
      </c>
      <c r="B10426" s="4" t="n">
        <v>8000</v>
      </c>
      <c r="C10426" s="4" t="n">
        <v>89.90000000000001</v>
      </c>
      <c r="D10426" s="4" t="n">
        <v>27.19475</v>
      </c>
      <c r="E10426" s="5" t="n">
        <v>294.2</v>
      </c>
      <c r="F10426" s="3" t="inlineStr">
        <is>
          <t>조치원읍</t>
        </is>
      </c>
      <c r="G10426" s="3" t="inlineStr">
        <is>
          <t>서창리</t>
        </is>
      </c>
      <c r="H10426" s="3" t="inlineStr">
        <is>
          <t>제2종일반주거지역</t>
        </is>
      </c>
      <c r="I10426" s="3" t="inlineStr">
        <is>
          <t>대</t>
        </is>
      </c>
      <c r="J10426" s="3" t="inlineStr">
        <is>
          <t>조치원읍</t>
        </is>
      </c>
    </row>
    <row r="10427">
      <c r="A10427" s="3" t="n">
        <v>2026</v>
      </c>
      <c r="B10427" s="4" t="n">
        <v>28000</v>
      </c>
      <c r="C10427" s="4" t="n">
        <v>1653</v>
      </c>
      <c r="D10427" s="4" t="n">
        <v>500.0325</v>
      </c>
      <c r="E10427" s="5" t="n">
        <v>56</v>
      </c>
      <c r="F10427" s="3" t="inlineStr">
        <is>
          <t>전의면</t>
        </is>
      </c>
      <c r="G10427" s="3" t="inlineStr">
        <is>
          <t>서정리</t>
        </is>
      </c>
      <c r="H10427" s="3" t="inlineStr">
        <is>
          <t>농림지역</t>
        </is>
      </c>
      <c r="I10427" s="3" t="inlineStr">
        <is>
          <t>임야</t>
        </is>
      </c>
      <c r="J10427" s="3" t="inlineStr">
        <is>
          <t>전의면</t>
        </is>
      </c>
    </row>
    <row r="10428">
      <c r="A10428" s="3" t="n">
        <v>2022</v>
      </c>
      <c r="B10428" s="4" t="n">
        <v>1160</v>
      </c>
      <c r="C10428" s="4" t="n">
        <v>75</v>
      </c>
      <c r="D10428" s="4" t="n">
        <v>22.6875</v>
      </c>
      <c r="E10428" s="5" t="n">
        <v>51.1</v>
      </c>
      <c r="F10428" s="3" t="inlineStr">
        <is>
          <t>연기면</t>
        </is>
      </c>
      <c r="G10428" s="3" t="inlineStr">
        <is>
          <t>수산리</t>
        </is>
      </c>
      <c r="H10428" s="3" t="inlineStr">
        <is>
          <t>보전관리지역</t>
        </is>
      </c>
      <c r="I10428" s="3" t="inlineStr">
        <is>
          <t>전</t>
        </is>
      </c>
      <c r="J10428" s="3" t="inlineStr">
        <is>
          <t>연기면</t>
        </is>
      </c>
    </row>
    <row r="10429">
      <c r="A10429" s="3" t="n">
        <v>2023</v>
      </c>
      <c r="B10429" s="4" t="n">
        <v>5700</v>
      </c>
      <c r="C10429" s="4" t="n">
        <v>152</v>
      </c>
      <c r="D10429" s="4" t="n">
        <v>45.98</v>
      </c>
      <c r="E10429" s="5" t="n">
        <v>124</v>
      </c>
      <c r="F10429" s="3" t="inlineStr">
        <is>
          <t>금남면</t>
        </is>
      </c>
      <c r="G10429" s="3" t="inlineStr">
        <is>
          <t>원봉리</t>
        </is>
      </c>
      <c r="H10429" s="3" t="inlineStr">
        <is>
          <t>계획관리지역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2024</v>
      </c>
      <c r="B10430" s="4" t="n">
        <v>27300</v>
      </c>
      <c r="C10430" s="4" t="n">
        <v>1311</v>
      </c>
      <c r="D10430" s="4" t="n">
        <v>396.5775</v>
      </c>
      <c r="E10430" s="5" t="n">
        <v>68.8</v>
      </c>
      <c r="F10430" s="3" t="inlineStr">
        <is>
          <t>장군면</t>
        </is>
      </c>
      <c r="G10430" s="3" t="inlineStr">
        <is>
          <t>송학리</t>
        </is>
      </c>
      <c r="H10430" s="3" t="inlineStr">
        <is>
          <t>보전관리지역</t>
        </is>
      </c>
      <c r="I10430" s="3" t="inlineStr">
        <is>
          <t>임야</t>
        </is>
      </c>
      <c r="J10430" s="3" t="inlineStr">
        <is>
          <t>장군면</t>
        </is>
      </c>
    </row>
    <row r="10431">
      <c r="A10431" s="3" t="n">
        <v>2024</v>
      </c>
      <c r="B10431" s="4" t="n">
        <v>35900</v>
      </c>
      <c r="C10431" s="4" t="n">
        <v>1726</v>
      </c>
      <c r="D10431" s="4" t="n">
        <v>522.115</v>
      </c>
      <c r="E10431" s="5" t="n">
        <v>68.8</v>
      </c>
      <c r="F10431" s="3" t="inlineStr">
        <is>
          <t>장군면</t>
        </is>
      </c>
      <c r="G10431" s="3" t="inlineStr">
        <is>
          <t>송학리</t>
        </is>
      </c>
      <c r="H10431" s="3" t="inlineStr">
        <is>
          <t>보전관리지역</t>
        </is>
      </c>
      <c r="I10431" s="3" t="inlineStr">
        <is>
          <t>임야</t>
        </is>
      </c>
      <c r="J10431" s="3" t="inlineStr">
        <is>
          <t>장군면</t>
        </is>
      </c>
    </row>
    <row r="10432">
      <c r="A10432" s="3" t="n">
        <v>2024</v>
      </c>
      <c r="B10432" s="4" t="n">
        <v>22800</v>
      </c>
      <c r="C10432" s="4" t="n">
        <v>1098</v>
      </c>
      <c r="D10432" s="4" t="n">
        <v>332.145</v>
      </c>
      <c r="E10432" s="5" t="n">
        <v>68.59999999999999</v>
      </c>
      <c r="F10432" s="3" t="inlineStr">
        <is>
          <t>장군면</t>
        </is>
      </c>
      <c r="G10432" s="3" t="inlineStr">
        <is>
          <t>송학리</t>
        </is>
      </c>
      <c r="H10432" s="3" t="inlineStr">
        <is>
          <t>보전관리지역</t>
        </is>
      </c>
      <c r="I10432" s="3" t="inlineStr">
        <is>
          <t>임야</t>
        </is>
      </c>
      <c r="J10432" s="3" t="inlineStr">
        <is>
          <t>장군면</t>
        </is>
      </c>
    </row>
    <row r="10433">
      <c r="A10433" s="3" t="n">
        <v>2024</v>
      </c>
      <c r="B10433" s="4" t="n">
        <v>39000</v>
      </c>
      <c r="C10433" s="4" t="n">
        <v>4336</v>
      </c>
      <c r="D10433" s="4" t="n">
        <v>1311.64</v>
      </c>
      <c r="E10433" s="5" t="n">
        <v>29.7</v>
      </c>
      <c r="F10433" s="3" t="inlineStr">
        <is>
          <t>연서면</t>
        </is>
      </c>
      <c r="G10433" s="3" t="inlineStr">
        <is>
          <t>고복리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연서면</t>
        </is>
      </c>
    </row>
    <row r="10434">
      <c r="A10434" s="3" t="n">
        <v>2024</v>
      </c>
      <c r="B10434" s="4" t="n">
        <v>290</v>
      </c>
      <c r="C10434" s="4" t="n">
        <v>53</v>
      </c>
      <c r="D10434" s="4" t="n">
        <v>16.0325</v>
      </c>
      <c r="E10434" s="5" t="n">
        <v>18.1</v>
      </c>
      <c r="F10434" s="3" t="inlineStr">
        <is>
          <t>부강면</t>
        </is>
      </c>
      <c r="G10434" s="3" t="inlineStr">
        <is>
          <t>문곡리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부강면</t>
        </is>
      </c>
    </row>
    <row r="10435">
      <c r="A10435" s="3" t="n">
        <v>2024</v>
      </c>
      <c r="B10435" s="4" t="n">
        <v>4040</v>
      </c>
      <c r="C10435" s="4" t="n">
        <v>708</v>
      </c>
      <c r="D10435" s="4" t="n">
        <v>214.17</v>
      </c>
      <c r="E10435" s="5" t="n">
        <v>18.9</v>
      </c>
      <c r="F10435" s="3" t="inlineStr">
        <is>
          <t>부강면</t>
        </is>
      </c>
      <c r="G10435" s="3" t="inlineStr">
        <is>
          <t>문곡리</t>
        </is>
      </c>
      <c r="H10435" s="3" t="inlineStr">
        <is>
          <t>생산관리지역</t>
        </is>
      </c>
      <c r="I10435" s="3" t="inlineStr">
        <is>
          <t>답</t>
        </is>
      </c>
      <c r="J10435" s="3" t="inlineStr">
        <is>
          <t>부강면</t>
        </is>
      </c>
    </row>
    <row r="10436">
      <c r="A10436" s="3" t="n">
        <v>2024</v>
      </c>
      <c r="B10436" s="4" t="n">
        <v>2000</v>
      </c>
      <c r="C10436" s="4" t="n">
        <v>360</v>
      </c>
      <c r="D10436" s="4" t="n">
        <v>108.9</v>
      </c>
      <c r="E10436" s="5" t="n">
        <v>18.4</v>
      </c>
      <c r="F10436" s="3" t="inlineStr">
        <is>
          <t>부강면</t>
        </is>
      </c>
      <c r="G10436" s="3" t="inlineStr">
        <is>
          <t>문곡리</t>
        </is>
      </c>
      <c r="H10436" s="3" t="inlineStr">
        <is>
          <t>생산관리지역</t>
        </is>
      </c>
      <c r="I10436" s="3" t="inlineStr">
        <is>
          <t>전</t>
        </is>
      </c>
      <c r="J10436" s="3" t="inlineStr">
        <is>
          <t>부강면</t>
        </is>
      </c>
    </row>
    <row r="10437">
      <c r="A10437" s="3" t="n">
        <v>2024</v>
      </c>
      <c r="B10437" s="4" t="n">
        <v>19200</v>
      </c>
      <c r="C10437" s="4" t="n">
        <v>3431</v>
      </c>
      <c r="D10437" s="4" t="n">
        <v>1037.8775</v>
      </c>
      <c r="E10437" s="5" t="n">
        <v>18.5</v>
      </c>
      <c r="F10437" s="3" t="inlineStr">
        <is>
          <t>부강면</t>
        </is>
      </c>
      <c r="G10437" s="3" t="inlineStr">
        <is>
          <t>행산리</t>
        </is>
      </c>
      <c r="H10437" s="3" t="inlineStr">
        <is>
          <t>계획관리지역</t>
        </is>
      </c>
      <c r="I10437" s="3" t="inlineStr">
        <is>
          <t>답</t>
        </is>
      </c>
      <c r="J10437" s="3" t="inlineStr">
        <is>
          <t>부강면</t>
        </is>
      </c>
    </row>
    <row r="10438">
      <c r="A10438" s="3" t="n">
        <v>2024</v>
      </c>
      <c r="B10438" s="4" t="n">
        <v>890</v>
      </c>
      <c r="C10438" s="4" t="n">
        <v>10</v>
      </c>
      <c r="D10438" s="4" t="n">
        <v>3.025</v>
      </c>
      <c r="E10438" s="5" t="n">
        <v>294.2</v>
      </c>
      <c r="F10438" s="3" t="inlineStr">
        <is>
          <t>조치원읍</t>
        </is>
      </c>
      <c r="G10438" s="3" t="inlineStr">
        <is>
          <t>침산리</t>
        </is>
      </c>
      <c r="H10438" s="3" t="inlineStr">
        <is>
          <t>제2종일반주거지역</t>
        </is>
      </c>
      <c r="I10438" s="3" t="inlineStr">
        <is>
          <t>대</t>
        </is>
      </c>
      <c r="J10438" s="3" t="inlineStr">
        <is>
          <t>조치원읍</t>
        </is>
      </c>
    </row>
    <row r="10439">
      <c r="A10439" s="3" t="n">
        <v>2024</v>
      </c>
      <c r="B10439" s="4" t="n">
        <v>1518</v>
      </c>
      <c r="C10439" s="4" t="n">
        <v>128</v>
      </c>
      <c r="D10439" s="4" t="n">
        <v>38.72</v>
      </c>
      <c r="E10439" s="5" t="n">
        <v>39.2</v>
      </c>
      <c r="F10439" s="3" t="inlineStr">
        <is>
          <t>금남면</t>
        </is>
      </c>
      <c r="G10439" s="3" t="inlineStr">
        <is>
          <t>신촌리</t>
        </is>
      </c>
      <c r="H10439" s="3" t="inlineStr">
        <is>
          <t>보전녹지지역</t>
        </is>
      </c>
      <c r="I10439" s="3" t="inlineStr">
        <is>
          <t>임야</t>
        </is>
      </c>
      <c r="J10439" s="3" t="inlineStr">
        <is>
          <t>금남면</t>
        </is>
      </c>
    </row>
    <row r="10440">
      <c r="A10440" s="3" t="n">
        <v>2022</v>
      </c>
      <c r="B10440" s="4" t="n">
        <v>118000</v>
      </c>
      <c r="C10440" s="4" t="n">
        <v>1564</v>
      </c>
      <c r="D10440" s="4" t="n">
        <v>473.11</v>
      </c>
      <c r="E10440" s="5" t="n">
        <v>249.4</v>
      </c>
      <c r="F10440" s="3" t="inlineStr">
        <is>
          <t>연동면</t>
        </is>
      </c>
      <c r="G10440" s="3" t="inlineStr">
        <is>
          <t>명학리</t>
        </is>
      </c>
      <c r="H10440" s="3" t="inlineStr">
        <is>
          <t>농림지역</t>
        </is>
      </c>
      <c r="I10440" s="3" t="inlineStr">
        <is>
          <t>전</t>
        </is>
      </c>
      <c r="J10440" s="3" t="inlineStr">
        <is>
          <t>연동면</t>
        </is>
      </c>
    </row>
    <row r="10441">
      <c r="A10441" s="3" t="n">
        <v>2022</v>
      </c>
      <c r="B10441" s="4" t="n">
        <v>131588</v>
      </c>
      <c r="C10441" s="4" t="n">
        <v>1450</v>
      </c>
      <c r="D10441" s="4" t="n">
        <v>438.625</v>
      </c>
      <c r="E10441" s="5" t="n">
        <v>300</v>
      </c>
      <c r="F10441" s="3" t="inlineStr">
        <is>
          <t>부강면</t>
        </is>
      </c>
      <c r="G10441" s="3" t="inlineStr">
        <is>
          <t>부강리</t>
        </is>
      </c>
      <c r="H10441" s="3" t="inlineStr">
        <is>
          <t>계획관리지역</t>
        </is>
      </c>
      <c r="I10441" s="3" t="inlineStr">
        <is>
          <t>잡종지</t>
        </is>
      </c>
      <c r="J10441" s="3" t="inlineStr">
        <is>
          <t>부강면</t>
        </is>
      </c>
    </row>
    <row r="10442">
      <c r="A10442" s="3" t="n">
        <v>2022</v>
      </c>
      <c r="B10442" s="4" t="n">
        <v>21326</v>
      </c>
      <c r="C10442" s="4" t="n">
        <v>235</v>
      </c>
      <c r="D10442" s="4" t="n">
        <v>71.08749999999999</v>
      </c>
      <c r="E10442" s="5" t="n">
        <v>300</v>
      </c>
      <c r="F10442" s="3" t="inlineStr">
        <is>
          <t>부강면</t>
        </is>
      </c>
      <c r="G10442" s="3" t="inlineStr">
        <is>
          <t>부강리</t>
        </is>
      </c>
      <c r="H10442" s="3" t="inlineStr">
        <is>
          <t>계획관리지역</t>
        </is>
      </c>
      <c r="I10442" s="3" t="inlineStr">
        <is>
          <t>도로</t>
        </is>
      </c>
      <c r="J10442" s="3" t="inlineStr">
        <is>
          <t>부강면</t>
        </is>
      </c>
    </row>
    <row r="10443">
      <c r="A10443" s="3" t="n">
        <v>2022</v>
      </c>
      <c r="B10443" s="4" t="n">
        <v>2450</v>
      </c>
      <c r="C10443" s="4" t="n">
        <v>27</v>
      </c>
      <c r="D10443" s="4" t="n">
        <v>8.1675</v>
      </c>
      <c r="E10443" s="5" t="n">
        <v>300</v>
      </c>
      <c r="F10443" s="3" t="inlineStr">
        <is>
          <t>부강면</t>
        </is>
      </c>
      <c r="G10443" s="3" t="inlineStr">
        <is>
          <t>부강리</t>
        </is>
      </c>
      <c r="H10443" s="3" t="inlineStr">
        <is>
          <t>계획관리지역</t>
        </is>
      </c>
      <c r="I10443" s="3" t="inlineStr">
        <is>
          <t>공장용지</t>
        </is>
      </c>
      <c r="J10443" s="3" t="inlineStr">
        <is>
          <t>부강면</t>
        </is>
      </c>
    </row>
    <row r="10444">
      <c r="A10444" s="3" t="n">
        <v>2022</v>
      </c>
      <c r="B10444" s="4" t="n">
        <v>5900</v>
      </c>
      <c r="C10444" s="4" t="n">
        <v>146</v>
      </c>
      <c r="D10444" s="4" t="n">
        <v>44.165</v>
      </c>
      <c r="E10444" s="5" t="n">
        <v>133.6</v>
      </c>
      <c r="F10444" s="3" t="inlineStr">
        <is>
          <t>금남면</t>
        </is>
      </c>
      <c r="G10444" s="3" t="inlineStr">
        <is>
          <t>원봉리</t>
        </is>
      </c>
      <c r="H10444" s="3" t="inlineStr">
        <is>
          <t>보전관리지역</t>
        </is>
      </c>
      <c r="I10444" s="3" t="inlineStr">
        <is>
          <t>임야</t>
        </is>
      </c>
      <c r="J10444" s="3" t="inlineStr">
        <is>
          <t>금남면</t>
        </is>
      </c>
    </row>
    <row r="10445">
      <c r="A10445" s="3" t="n">
        <v>2022</v>
      </c>
      <c r="B10445" s="4" t="n">
        <v>18000</v>
      </c>
      <c r="C10445" s="4" t="n">
        <v>441</v>
      </c>
      <c r="D10445" s="4" t="n">
        <v>133.4025</v>
      </c>
      <c r="E10445" s="5" t="n">
        <v>134.9</v>
      </c>
      <c r="F10445" s="3" t="inlineStr">
        <is>
          <t>금남면</t>
        </is>
      </c>
      <c r="G10445" s="3" t="inlineStr">
        <is>
          <t>원봉리</t>
        </is>
      </c>
      <c r="H10445" s="3" t="inlineStr">
        <is>
          <t>계획관리지역</t>
        </is>
      </c>
      <c r="I10445" s="3" t="inlineStr">
        <is>
          <t>대</t>
        </is>
      </c>
      <c r="J10445" s="3" t="inlineStr">
        <is>
          <t>금남면</t>
        </is>
      </c>
    </row>
    <row r="10446">
      <c r="A10446" s="3" t="n">
        <v>2022</v>
      </c>
      <c r="B10446" s="4" t="n">
        <v>18500</v>
      </c>
      <c r="C10446" s="4" t="n">
        <v>384</v>
      </c>
      <c r="D10446" s="4" t="n">
        <v>116.16</v>
      </c>
      <c r="E10446" s="5" t="n">
        <v>159.3</v>
      </c>
      <c r="F10446" s="3" t="inlineStr">
        <is>
          <t>연서면</t>
        </is>
      </c>
      <c r="G10446" s="3" t="inlineStr">
        <is>
          <t>성제리</t>
        </is>
      </c>
      <c r="H10446" s="3" t="inlineStr">
        <is>
          <t>계획관리지역</t>
        </is>
      </c>
      <c r="I10446" s="3" t="inlineStr">
        <is>
          <t>전</t>
        </is>
      </c>
      <c r="J10446" s="3" t="inlineStr">
        <is>
          <t>연서면</t>
        </is>
      </c>
    </row>
    <row r="10447">
      <c r="A10447" s="3" t="n">
        <v>2022</v>
      </c>
      <c r="B10447" s="4" t="n">
        <v>31230</v>
      </c>
      <c r="C10447" s="4" t="n">
        <v>1721</v>
      </c>
      <c r="D10447" s="4" t="n">
        <v>520.6025</v>
      </c>
      <c r="E10447" s="5" t="n">
        <v>60</v>
      </c>
      <c r="F10447" s="3" t="inlineStr">
        <is>
          <t>전의면</t>
        </is>
      </c>
      <c r="G10447" s="3" t="inlineStr">
        <is>
          <t>금사리</t>
        </is>
      </c>
      <c r="H10447" s="3" t="inlineStr">
        <is>
          <t>생산관리지역</t>
        </is>
      </c>
      <c r="I10447" s="3" t="inlineStr">
        <is>
          <t>답</t>
        </is>
      </c>
      <c r="J10447" s="3" t="inlineStr">
        <is>
          <t>전의면</t>
        </is>
      </c>
    </row>
    <row r="10448">
      <c r="A10448" s="3" t="n">
        <v>2022</v>
      </c>
      <c r="B10448" s="4" t="n">
        <v>346191</v>
      </c>
      <c r="C10448" s="4" t="n">
        <v>1160</v>
      </c>
      <c r="D10448" s="4" t="n">
        <v>350.9</v>
      </c>
      <c r="E10448" s="5" t="n">
        <v>986.6</v>
      </c>
      <c r="F10448" s="3" t="inlineStr">
        <is>
          <t>금남면</t>
        </is>
      </c>
      <c r="G10448" s="3" t="inlineStr">
        <is>
          <t>용포리</t>
        </is>
      </c>
      <c r="H10448" s="3" t="inlineStr">
        <is>
          <t>제2종일반주거지역</t>
        </is>
      </c>
      <c r="I10448" s="3" t="inlineStr">
        <is>
          <t>대</t>
        </is>
      </c>
      <c r="J10448" s="3" t="inlineStr">
        <is>
          <t>금남면</t>
        </is>
      </c>
    </row>
    <row r="10449">
      <c r="A10449" s="3" t="n">
        <v>2022</v>
      </c>
      <c r="B10449" s="4" t="n">
        <v>512876</v>
      </c>
      <c r="C10449" s="4" t="n">
        <v>1718</v>
      </c>
      <c r="D10449" s="4" t="n">
        <v>519.6949999999999</v>
      </c>
      <c r="E10449" s="5" t="n">
        <v>986.9</v>
      </c>
      <c r="F10449" s="3" t="inlineStr">
        <is>
          <t>금남면</t>
        </is>
      </c>
      <c r="G10449" s="3" t="inlineStr">
        <is>
          <t>용포리</t>
        </is>
      </c>
      <c r="H10449" s="3" t="inlineStr">
        <is>
          <t>제2종일반주거지역</t>
        </is>
      </c>
      <c r="I10449" s="3" t="inlineStr">
        <is>
          <t>답</t>
        </is>
      </c>
      <c r="J10449" s="3" t="inlineStr">
        <is>
          <t>금남면</t>
        </is>
      </c>
    </row>
    <row r="10450">
      <c r="A10450" s="3" t="n">
        <v>2022</v>
      </c>
      <c r="B10450" s="4" t="n">
        <v>988</v>
      </c>
      <c r="C10450" s="4" t="n">
        <v>1</v>
      </c>
      <c r="D10450" s="4" t="n">
        <v>0.3025</v>
      </c>
      <c r="E10450" s="5" t="n">
        <v>3266.1</v>
      </c>
      <c r="F10450" s="3" t="inlineStr">
        <is>
          <t>금남면</t>
        </is>
      </c>
      <c r="G10450" s="3" t="inlineStr">
        <is>
          <t>용포리</t>
        </is>
      </c>
      <c r="H10450" s="3" t="inlineStr">
        <is>
          <t>제2종일반주거지역</t>
        </is>
      </c>
      <c r="I10450" s="3" t="inlineStr">
        <is>
          <t>답</t>
        </is>
      </c>
      <c r="J10450" s="3" t="inlineStr">
        <is>
          <t>금남면</t>
        </is>
      </c>
    </row>
    <row r="10451">
      <c r="A10451" s="3" t="n">
        <v>2022</v>
      </c>
      <c r="B10451" s="4" t="n">
        <v>17753</v>
      </c>
      <c r="C10451" s="4" t="n">
        <v>39</v>
      </c>
      <c r="D10451" s="4" t="n">
        <v>11.7975</v>
      </c>
      <c r="E10451" s="5" t="n">
        <v>1504.8</v>
      </c>
      <c r="F10451" s="3" t="inlineStr">
        <is>
          <t>금남면</t>
        </is>
      </c>
      <c r="G10451" s="3" t="inlineStr">
        <is>
          <t>용포리</t>
        </is>
      </c>
      <c r="H10451" s="3" t="inlineStr">
        <is>
          <t>제2종일반주거지역</t>
        </is>
      </c>
      <c r="I10451" s="3" t="inlineStr">
        <is>
          <t>답</t>
        </is>
      </c>
      <c r="J10451" s="3" t="inlineStr">
        <is>
          <t>금남면</t>
        </is>
      </c>
    </row>
    <row r="10452">
      <c r="A10452" s="3" t="n">
        <v>2022</v>
      </c>
      <c r="B10452" s="4" t="n">
        <v>196274</v>
      </c>
      <c r="C10452" s="4" t="n">
        <v>657</v>
      </c>
      <c r="D10452" s="4" t="n">
        <v>198.7425</v>
      </c>
      <c r="E10452" s="5" t="n">
        <v>987.6</v>
      </c>
      <c r="F10452" s="3" t="inlineStr">
        <is>
          <t>금남면</t>
        </is>
      </c>
      <c r="G10452" s="3" t="inlineStr">
        <is>
          <t>용포리</t>
        </is>
      </c>
      <c r="H10452" s="3" t="inlineStr">
        <is>
          <t>제2종일반주거지역</t>
        </is>
      </c>
      <c r="I10452" s="3" t="inlineStr">
        <is>
          <t>답</t>
        </is>
      </c>
      <c r="J10452" s="3" t="inlineStr">
        <is>
          <t>금남면</t>
        </is>
      </c>
    </row>
    <row r="10453">
      <c r="A10453" s="3" t="n">
        <v>2022</v>
      </c>
      <c r="B10453" s="4" t="n">
        <v>5918</v>
      </c>
      <c r="C10453" s="4" t="n">
        <v>19</v>
      </c>
      <c r="D10453" s="4" t="n">
        <v>5.7475</v>
      </c>
      <c r="E10453" s="5" t="n">
        <v>1029.7</v>
      </c>
      <c r="F10453" s="3" t="inlineStr">
        <is>
          <t>금남면</t>
        </is>
      </c>
      <c r="G10453" s="3" t="inlineStr">
        <is>
          <t>용포리</t>
        </is>
      </c>
      <c r="H10453" s="3" t="inlineStr">
        <is>
          <t>제2종일반주거지역</t>
        </is>
      </c>
      <c r="I10453" s="3" t="inlineStr">
        <is>
          <t>답</t>
        </is>
      </c>
      <c r="J10453" s="3" t="inlineStr">
        <is>
          <t>금남면</t>
        </is>
      </c>
    </row>
    <row r="10454">
      <c r="A10454" s="3" t="n">
        <v>2022</v>
      </c>
      <c r="B10454" s="4" t="n">
        <v>40000</v>
      </c>
      <c r="C10454" s="4" t="n">
        <v>603</v>
      </c>
      <c r="D10454" s="4" t="n">
        <v>182.4075</v>
      </c>
      <c r="E10454" s="5" t="n">
        <v>219.3</v>
      </c>
      <c r="F10454" s="3" t="inlineStr">
        <is>
          <t>조치원읍</t>
        </is>
      </c>
      <c r="G10454" s="3" t="inlineStr">
        <is>
          <t>신흥리</t>
        </is>
      </c>
      <c r="H10454" s="3" t="inlineStr">
        <is>
          <t>제2종일반주거지역</t>
        </is>
      </c>
      <c r="I10454" s="3" t="inlineStr">
        <is>
          <t>임야</t>
        </is>
      </c>
      <c r="J10454" s="3" t="inlineStr">
        <is>
          <t>조치원읍</t>
        </is>
      </c>
    </row>
    <row r="10455">
      <c r="A10455" s="3" t="n">
        <v>2022</v>
      </c>
      <c r="B10455" s="4" t="n">
        <v>21000</v>
      </c>
      <c r="C10455" s="4" t="n">
        <v>2922</v>
      </c>
      <c r="D10455" s="4" t="n">
        <v>883.905</v>
      </c>
      <c r="E10455" s="5" t="n">
        <v>23.8</v>
      </c>
      <c r="F10455" s="3" t="inlineStr">
        <is>
          <t>전동면</t>
        </is>
      </c>
      <c r="G10455" s="3" t="inlineStr">
        <is>
          <t>송성리</t>
        </is>
      </c>
      <c r="H10455" s="3" t="inlineStr">
        <is>
          <t>생산관리지역</t>
        </is>
      </c>
      <c r="I10455" s="3" t="inlineStr">
        <is>
          <t>답</t>
        </is>
      </c>
      <c r="J10455" s="3" t="inlineStr">
        <is>
          <t>전동면</t>
        </is>
      </c>
    </row>
    <row r="10456">
      <c r="A10456" s="3" t="n">
        <v>2022</v>
      </c>
      <c r="B10456" s="4" t="n">
        <v>25000</v>
      </c>
      <c r="C10456" s="4" t="n">
        <v>852</v>
      </c>
      <c r="D10456" s="4" t="n">
        <v>257.73</v>
      </c>
      <c r="E10456" s="5" t="n">
        <v>97</v>
      </c>
      <c r="F10456" s="3" t="inlineStr">
        <is>
          <t>연서면</t>
        </is>
      </c>
      <c r="G10456" s="3" t="inlineStr">
        <is>
          <t>쌍류리</t>
        </is>
      </c>
      <c r="H10456" s="3" t="inlineStr">
        <is>
          <t>보전관리지역</t>
        </is>
      </c>
      <c r="I10456" s="3" t="inlineStr">
        <is>
          <t>임야</t>
        </is>
      </c>
      <c r="J10456" s="3" t="inlineStr">
        <is>
          <t>연서면</t>
        </is>
      </c>
    </row>
    <row r="10457">
      <c r="A10457" s="3" t="n">
        <v>2022</v>
      </c>
      <c r="B10457" s="4" t="n">
        <v>73000</v>
      </c>
      <c r="C10457" s="4" t="n">
        <v>518</v>
      </c>
      <c r="D10457" s="4" t="n">
        <v>156.695</v>
      </c>
      <c r="E10457" s="5" t="n">
        <v>465.9</v>
      </c>
      <c r="F10457" s="3" t="inlineStr">
        <is>
          <t>연서면</t>
        </is>
      </c>
      <c r="G10457" s="3" t="inlineStr">
        <is>
          <t>봉암리</t>
        </is>
      </c>
      <c r="H10457" s="3" t="inlineStr">
        <is>
          <t>계획관리지역</t>
        </is>
      </c>
      <c r="I10457" s="3" t="inlineStr">
        <is>
          <t>답</t>
        </is>
      </c>
      <c r="J10457" s="3" t="inlineStr">
        <is>
          <t>연서면</t>
        </is>
      </c>
    </row>
    <row r="10458">
      <c r="A10458" s="3" t="n">
        <v>2022</v>
      </c>
      <c r="B10458" s="4" t="n">
        <v>64500</v>
      </c>
      <c r="C10458" s="4" t="n">
        <v>2899</v>
      </c>
      <c r="D10458" s="4" t="n">
        <v>876.9475</v>
      </c>
      <c r="E10458" s="5" t="n">
        <v>73.59999999999999</v>
      </c>
      <c r="F10458" s="3" t="inlineStr">
        <is>
          <t>연기면</t>
        </is>
      </c>
      <c r="G10458" s="3" t="inlineStr">
        <is>
          <t>수산리</t>
        </is>
      </c>
      <c r="H10458" s="3" t="inlineStr">
        <is>
          <t>농림지역</t>
        </is>
      </c>
      <c r="I10458" s="3" t="inlineStr">
        <is>
          <t>답</t>
        </is>
      </c>
      <c r="J10458" s="3" t="inlineStr">
        <is>
          <t>연기면</t>
        </is>
      </c>
    </row>
    <row r="10459">
      <c r="A10459" s="3" t="n">
        <v>2022</v>
      </c>
      <c r="B10459" s="4" t="n">
        <v>41000</v>
      </c>
      <c r="C10459" s="4" t="n">
        <v>592</v>
      </c>
      <c r="D10459" s="4" t="n">
        <v>179.08</v>
      </c>
      <c r="E10459" s="5" t="n">
        <v>228.9</v>
      </c>
      <c r="F10459" s="3" t="inlineStr">
        <is>
          <t>연동면</t>
        </is>
      </c>
      <c r="G10459" s="3" t="inlineStr">
        <is>
          <t>내판리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연동면</t>
        </is>
      </c>
    </row>
    <row r="10460">
      <c r="A10460" s="3" t="n">
        <v>2023</v>
      </c>
      <c r="B10460" s="4" t="n">
        <v>12900</v>
      </c>
      <c r="C10460" s="4" t="n">
        <v>1764</v>
      </c>
      <c r="D10460" s="4" t="n">
        <v>533.61</v>
      </c>
      <c r="E10460" s="5" t="n">
        <v>24.2</v>
      </c>
      <c r="F10460" s="3" t="inlineStr">
        <is>
          <t>금남면</t>
        </is>
      </c>
      <c r="G10460" s="3" t="inlineStr">
        <is>
          <t>신촌리</t>
        </is>
      </c>
      <c r="H10460" s="3" t="inlineStr">
        <is>
          <t>개발제한구역</t>
        </is>
      </c>
      <c r="I10460" s="3" t="inlineStr">
        <is>
          <t>임야</t>
        </is>
      </c>
      <c r="J10460" s="3" t="inlineStr">
        <is>
          <t>금남면</t>
        </is>
      </c>
    </row>
    <row r="10461">
      <c r="A10461" s="3" t="n">
        <v>2023</v>
      </c>
      <c r="B10461" s="4" t="n">
        <v>86000</v>
      </c>
      <c r="C10461" s="4" t="n">
        <v>3000</v>
      </c>
      <c r="D10461" s="4" t="n">
        <v>907.5</v>
      </c>
      <c r="E10461" s="5" t="n">
        <v>94.8</v>
      </c>
      <c r="F10461" s="3" t="inlineStr">
        <is>
          <t>장군면</t>
        </is>
      </c>
      <c r="G10461" s="3" t="inlineStr">
        <is>
          <t>산학리</t>
        </is>
      </c>
      <c r="H10461" s="3" t="inlineStr">
        <is>
          <t>농림지역</t>
        </is>
      </c>
      <c r="I10461" s="3" t="inlineStr">
        <is>
          <t>답</t>
        </is>
      </c>
      <c r="J10461" s="3" t="inlineStr">
        <is>
          <t>장군면</t>
        </is>
      </c>
    </row>
    <row r="10462">
      <c r="A10462" s="3" t="n">
        <v>2023</v>
      </c>
      <c r="B10462" s="4" t="n">
        <v>10000</v>
      </c>
      <c r="C10462" s="4" t="n">
        <v>512</v>
      </c>
      <c r="D10462" s="4" t="n">
        <v>154.88</v>
      </c>
      <c r="E10462" s="5" t="n">
        <v>64.59999999999999</v>
      </c>
      <c r="F10462" s="3" t="inlineStr">
        <is>
          <t>연서면</t>
        </is>
      </c>
      <c r="G10462" s="3" t="inlineStr">
        <is>
          <t>신대리</t>
        </is>
      </c>
      <c r="H10462" s="3" t="inlineStr">
        <is>
          <t>보전관리지역</t>
        </is>
      </c>
      <c r="I10462" s="3" t="inlineStr">
        <is>
          <t>과수원</t>
        </is>
      </c>
      <c r="J10462" s="3" t="inlineStr">
        <is>
          <t>연서면</t>
        </is>
      </c>
    </row>
    <row r="10463">
      <c r="A10463" s="3" t="n">
        <v>2023</v>
      </c>
      <c r="B10463" s="4" t="n">
        <v>17720</v>
      </c>
      <c r="C10463" s="4" t="n">
        <v>160</v>
      </c>
      <c r="D10463" s="4" t="n">
        <v>48.4</v>
      </c>
      <c r="E10463" s="5" t="n">
        <v>366.1</v>
      </c>
      <c r="F10463" s="3" t="inlineStr">
        <is>
          <t>반곡동</t>
        </is>
      </c>
      <c r="G10463" s="3" t="inlineStr"/>
      <c r="H10463" s="3" t="inlineStr">
        <is>
          <t>제1종전용주거지역</t>
        </is>
      </c>
      <c r="I10463" s="3" t="inlineStr">
        <is>
          <t>대</t>
        </is>
      </c>
      <c r="J10463" s="3" t="inlineStr">
        <is>
          <t>반곡동</t>
        </is>
      </c>
    </row>
    <row r="10464">
      <c r="A10464" s="3" t="n">
        <v>2023</v>
      </c>
      <c r="B10464" s="4" t="n">
        <v>28100</v>
      </c>
      <c r="C10464" s="4" t="n">
        <v>1855</v>
      </c>
      <c r="D10464" s="4" t="n">
        <v>561.1374999999999</v>
      </c>
      <c r="E10464" s="5" t="n">
        <v>50.1</v>
      </c>
      <c r="F10464" s="3" t="inlineStr">
        <is>
          <t>전의면</t>
        </is>
      </c>
      <c r="G10464" s="3" t="inlineStr">
        <is>
          <t>양곡리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전의면</t>
        </is>
      </c>
    </row>
    <row r="10465">
      <c r="A10465" s="3" t="n">
        <v>2023</v>
      </c>
      <c r="B10465" s="4" t="n">
        <v>22000</v>
      </c>
      <c r="C10465" s="4" t="n">
        <v>667</v>
      </c>
      <c r="D10465" s="4" t="n">
        <v>201.7675</v>
      </c>
      <c r="E10465" s="5" t="n">
        <v>109</v>
      </c>
      <c r="F10465" s="3" t="inlineStr">
        <is>
          <t>연동면</t>
        </is>
      </c>
      <c r="G10465" s="3" t="inlineStr">
        <is>
          <t>내판리</t>
        </is>
      </c>
      <c r="H10465" s="3" t="inlineStr">
        <is>
          <t>계획관리지역</t>
        </is>
      </c>
      <c r="I10465" s="3" t="inlineStr">
        <is>
          <t>전</t>
        </is>
      </c>
      <c r="J10465" s="3" t="inlineStr">
        <is>
          <t>연동면</t>
        </is>
      </c>
    </row>
    <row r="10466">
      <c r="A10466" s="3" t="n">
        <v>2023</v>
      </c>
      <c r="B10466" s="4" t="n">
        <v>27000</v>
      </c>
      <c r="C10466" s="4" t="n">
        <v>944</v>
      </c>
      <c r="D10466" s="4" t="n">
        <v>285.56</v>
      </c>
      <c r="E10466" s="5" t="n">
        <v>94.59999999999999</v>
      </c>
      <c r="F10466" s="3" t="inlineStr">
        <is>
          <t>연동면</t>
        </is>
      </c>
      <c r="G10466" s="3" t="inlineStr">
        <is>
          <t>노송리</t>
        </is>
      </c>
      <c r="H10466" s="3" t="inlineStr">
        <is>
          <t>계획관리지역</t>
        </is>
      </c>
      <c r="I10466" s="3" t="inlineStr">
        <is>
          <t>전</t>
        </is>
      </c>
      <c r="J10466" s="3" t="inlineStr">
        <is>
          <t>연동면</t>
        </is>
      </c>
    </row>
    <row r="10467">
      <c r="A10467" s="3" t="n">
        <v>2023</v>
      </c>
      <c r="B10467" s="4" t="n">
        <v>30000</v>
      </c>
      <c r="C10467" s="4" t="n">
        <v>1090</v>
      </c>
      <c r="D10467" s="4" t="n">
        <v>329.725</v>
      </c>
      <c r="E10467" s="5" t="n">
        <v>91</v>
      </c>
      <c r="F10467" s="3" t="inlineStr">
        <is>
          <t>연동면</t>
        </is>
      </c>
      <c r="G10467" s="3" t="inlineStr">
        <is>
          <t>노송리</t>
        </is>
      </c>
      <c r="H10467" s="3" t="inlineStr">
        <is>
          <t>계획관리지역</t>
        </is>
      </c>
      <c r="I10467" s="3" t="inlineStr">
        <is>
          <t>과수원</t>
        </is>
      </c>
      <c r="J10467" s="3" t="inlineStr">
        <is>
          <t>연동면</t>
        </is>
      </c>
    </row>
    <row r="10468">
      <c r="A10468" s="3" t="n">
        <v>2023</v>
      </c>
      <c r="B10468" s="4" t="n">
        <v>21000</v>
      </c>
      <c r="C10468" s="4" t="n">
        <v>1461</v>
      </c>
      <c r="D10468" s="4" t="n">
        <v>441.9525</v>
      </c>
      <c r="E10468" s="5" t="n">
        <v>47.5</v>
      </c>
      <c r="F10468" s="3" t="inlineStr">
        <is>
          <t>전동면</t>
        </is>
      </c>
      <c r="G10468" s="3" t="inlineStr">
        <is>
          <t>송정리</t>
        </is>
      </c>
      <c r="H10468" s="3" t="inlineStr">
        <is>
          <t>생산관리지역</t>
        </is>
      </c>
      <c r="I10468" s="3" t="inlineStr">
        <is>
          <t>답</t>
        </is>
      </c>
      <c r="J10468" s="3" t="inlineStr">
        <is>
          <t>전동면</t>
        </is>
      </c>
    </row>
    <row r="10469">
      <c r="A10469" s="3" t="n">
        <v>2023</v>
      </c>
      <c r="B10469" s="4" t="n">
        <v>62620</v>
      </c>
      <c r="C10469" s="4" t="n">
        <v>414</v>
      </c>
      <c r="D10469" s="4" t="n">
        <v>125.235</v>
      </c>
      <c r="E10469" s="5" t="n">
        <v>500</v>
      </c>
      <c r="F10469" s="3" t="inlineStr">
        <is>
          <t>연서면</t>
        </is>
      </c>
      <c r="G10469" s="3" t="inlineStr">
        <is>
          <t>와촌리</t>
        </is>
      </c>
      <c r="H10469" s="3" t="inlineStr">
        <is>
          <t>계획관리지역</t>
        </is>
      </c>
      <c r="I10469" s="3" t="inlineStr">
        <is>
          <t>과수원</t>
        </is>
      </c>
      <c r="J10469" s="3" t="inlineStr">
        <is>
          <t>연서면</t>
        </is>
      </c>
    </row>
    <row r="10470">
      <c r="A10470" s="3" t="n">
        <v>2023</v>
      </c>
      <c r="B10470" s="4" t="n">
        <v>90000</v>
      </c>
      <c r="C10470" s="4" t="n">
        <v>1892</v>
      </c>
      <c r="D10470" s="4" t="n">
        <v>572.3299999999999</v>
      </c>
      <c r="E10470" s="5" t="n">
        <v>157.3</v>
      </c>
      <c r="F10470" s="3" t="inlineStr">
        <is>
          <t>장군면</t>
        </is>
      </c>
      <c r="G10470" s="3" t="inlineStr">
        <is>
          <t>봉안리</t>
        </is>
      </c>
      <c r="H10470" s="3" t="inlineStr">
        <is>
          <t>농림지역</t>
        </is>
      </c>
      <c r="I10470" s="3" t="inlineStr">
        <is>
          <t>전</t>
        </is>
      </c>
      <c r="J10470" s="3" t="inlineStr">
        <is>
          <t>장군면</t>
        </is>
      </c>
    </row>
    <row r="10471">
      <c r="A10471" s="3" t="n">
        <v>2023</v>
      </c>
      <c r="B10471" s="4" t="n">
        <v>99750</v>
      </c>
      <c r="C10471" s="4" t="n">
        <v>1913</v>
      </c>
      <c r="D10471" s="4" t="n">
        <v>578.6825</v>
      </c>
      <c r="E10471" s="5" t="n">
        <v>172.4</v>
      </c>
      <c r="F10471" s="3" t="inlineStr">
        <is>
          <t>장군면</t>
        </is>
      </c>
      <c r="G10471" s="3" t="inlineStr">
        <is>
          <t>봉안리</t>
        </is>
      </c>
      <c r="H10471" s="3" t="inlineStr">
        <is>
          <t>농림지역</t>
        </is>
      </c>
      <c r="I10471" s="3" t="inlineStr">
        <is>
          <t>전</t>
        </is>
      </c>
      <c r="J10471" s="3" t="inlineStr">
        <is>
          <t>장군면</t>
        </is>
      </c>
    </row>
    <row r="10472">
      <c r="A10472" s="3" t="n">
        <v>2023</v>
      </c>
      <c r="B10472" s="4" t="n">
        <v>1000</v>
      </c>
      <c r="C10472" s="4" t="n">
        <v>43</v>
      </c>
      <c r="D10472" s="4" t="n">
        <v>13.0075</v>
      </c>
      <c r="E10472" s="5" t="n">
        <v>76.90000000000001</v>
      </c>
      <c r="F10472" s="3" t="inlineStr">
        <is>
          <t>전의면</t>
        </is>
      </c>
      <c r="G10472" s="3" t="inlineStr">
        <is>
          <t>신흥리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전의면</t>
        </is>
      </c>
    </row>
    <row r="10473">
      <c r="A10473" s="3" t="n">
        <v>2023</v>
      </c>
      <c r="B10473" s="4" t="n">
        <v>23298</v>
      </c>
      <c r="C10473" s="4" t="n">
        <v>995</v>
      </c>
      <c r="D10473" s="4" t="n">
        <v>300.9875</v>
      </c>
      <c r="E10473" s="5" t="n">
        <v>77.40000000000001</v>
      </c>
      <c r="F10473" s="3" t="inlineStr">
        <is>
          <t>전의면</t>
        </is>
      </c>
      <c r="G10473" s="3" t="inlineStr">
        <is>
          <t>신흥리</t>
        </is>
      </c>
      <c r="H10473" s="3" t="inlineStr">
        <is>
          <t>계획관리지역</t>
        </is>
      </c>
      <c r="I10473" s="3" t="inlineStr">
        <is>
          <t>대</t>
        </is>
      </c>
      <c r="J10473" s="3" t="inlineStr">
        <is>
          <t>전의면</t>
        </is>
      </c>
    </row>
    <row r="10474">
      <c r="A10474" s="3" t="n">
        <v>2023</v>
      </c>
      <c r="B10474" s="4" t="n">
        <v>164</v>
      </c>
      <c r="C10474" s="4" t="n">
        <v>7</v>
      </c>
      <c r="D10474" s="4" t="n">
        <v>2.1175</v>
      </c>
      <c r="E10474" s="5" t="n">
        <v>77.40000000000001</v>
      </c>
      <c r="F10474" s="3" t="inlineStr">
        <is>
          <t>전의면</t>
        </is>
      </c>
      <c r="G10474" s="3" t="inlineStr">
        <is>
          <t>신흥리</t>
        </is>
      </c>
      <c r="H10474" s="3" t="inlineStr">
        <is>
          <t>농림지역</t>
        </is>
      </c>
      <c r="I10474" s="3" t="inlineStr">
        <is>
          <t>대</t>
        </is>
      </c>
      <c r="J10474" s="3" t="inlineStr">
        <is>
          <t>전의면</t>
        </is>
      </c>
    </row>
    <row r="10475">
      <c r="A10475" s="3" t="n">
        <v>2023</v>
      </c>
      <c r="B10475" s="4" t="n">
        <v>539</v>
      </c>
      <c r="C10475" s="4" t="n">
        <v>23</v>
      </c>
      <c r="D10475" s="4" t="n">
        <v>6.9575</v>
      </c>
      <c r="E10475" s="5" t="n">
        <v>77.5</v>
      </c>
      <c r="F10475" s="3" t="inlineStr">
        <is>
          <t>전의면</t>
        </is>
      </c>
      <c r="G10475" s="3" t="inlineStr">
        <is>
          <t>신흥리</t>
        </is>
      </c>
      <c r="H10475" s="3" t="inlineStr">
        <is>
          <t>농림지역</t>
        </is>
      </c>
      <c r="I10475" s="3" t="inlineStr">
        <is>
          <t>대</t>
        </is>
      </c>
      <c r="J10475" s="3" t="inlineStr">
        <is>
          <t>전의면</t>
        </is>
      </c>
    </row>
    <row r="10476">
      <c r="A10476" s="3" t="n">
        <v>2023</v>
      </c>
      <c r="B10476" s="4" t="n">
        <v>37300</v>
      </c>
      <c r="C10476" s="4" t="n">
        <v>413</v>
      </c>
      <c r="D10476" s="4" t="n">
        <v>124.9325</v>
      </c>
      <c r="E10476" s="5" t="n">
        <v>298.6</v>
      </c>
      <c r="F10476" s="3" t="inlineStr">
        <is>
          <t>장군면</t>
        </is>
      </c>
      <c r="G10476" s="3" t="inlineStr">
        <is>
          <t>대교리</t>
        </is>
      </c>
      <c r="H10476" s="3" t="inlineStr">
        <is>
          <t>보전관리지역</t>
        </is>
      </c>
      <c r="I10476" s="3" t="inlineStr">
        <is>
          <t>대</t>
        </is>
      </c>
      <c r="J10476" s="3" t="inlineStr">
        <is>
          <t>장군면</t>
        </is>
      </c>
    </row>
    <row r="10477">
      <c r="A10477" s="3" t="n">
        <v>2023</v>
      </c>
      <c r="B10477" s="4" t="n">
        <v>7616</v>
      </c>
      <c r="C10477" s="4" t="n">
        <v>280</v>
      </c>
      <c r="D10477" s="4" t="n">
        <v>84.7</v>
      </c>
      <c r="E10477" s="5" t="n">
        <v>89.90000000000001</v>
      </c>
      <c r="F10477" s="3" t="inlineStr">
        <is>
          <t>전의면</t>
        </is>
      </c>
      <c r="G10477" s="3" t="inlineStr">
        <is>
          <t>서정리</t>
        </is>
      </c>
      <c r="H10477" s="3" t="inlineStr">
        <is>
          <t>계획관리지역</t>
        </is>
      </c>
      <c r="I10477" s="3" t="inlineStr">
        <is>
          <t>대</t>
        </is>
      </c>
      <c r="J10477" s="3" t="inlineStr">
        <is>
          <t>전의면</t>
        </is>
      </c>
    </row>
    <row r="10478">
      <c r="A10478" s="3" t="n">
        <v>2023</v>
      </c>
      <c r="B10478" s="4" t="n">
        <v>27</v>
      </c>
      <c r="C10478" s="4" t="n">
        <v>1</v>
      </c>
      <c r="D10478" s="4" t="n">
        <v>0.3025</v>
      </c>
      <c r="E10478" s="5" t="n">
        <v>89.3</v>
      </c>
      <c r="F10478" s="3" t="inlineStr">
        <is>
          <t>전의면</t>
        </is>
      </c>
      <c r="G10478" s="3" t="inlineStr">
        <is>
          <t>서정리</t>
        </is>
      </c>
      <c r="H10478" s="3" t="inlineStr">
        <is>
          <t>계획관리지역</t>
        </is>
      </c>
      <c r="I10478" s="3" t="inlineStr">
        <is>
          <t>대</t>
        </is>
      </c>
      <c r="J10478" s="3" t="inlineStr">
        <is>
          <t>전의면</t>
        </is>
      </c>
    </row>
    <row r="10479">
      <c r="A10479" s="3" t="n">
        <v>2023</v>
      </c>
      <c r="B10479" s="4" t="n">
        <v>5957</v>
      </c>
      <c r="C10479" s="4" t="n">
        <v>219</v>
      </c>
      <c r="D10479" s="4" t="n">
        <v>66.2475</v>
      </c>
      <c r="E10479" s="5" t="n">
        <v>89.90000000000001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계획관리지역</t>
        </is>
      </c>
      <c r="I10479" s="3" t="inlineStr">
        <is>
          <t>대</t>
        </is>
      </c>
      <c r="J10479" s="3" t="inlineStr">
        <is>
          <t>전의면</t>
        </is>
      </c>
    </row>
    <row r="10480">
      <c r="A10480" s="3" t="n">
        <v>2023</v>
      </c>
      <c r="B10480" s="4" t="n">
        <v>408</v>
      </c>
      <c r="C10480" s="4" t="n">
        <v>15</v>
      </c>
      <c r="D10480" s="4" t="n">
        <v>4.5375</v>
      </c>
      <c r="E10480" s="5" t="n">
        <v>89.90000000000001</v>
      </c>
      <c r="F10480" s="3" t="inlineStr">
        <is>
          <t>전의면</t>
        </is>
      </c>
      <c r="G10480" s="3" t="inlineStr">
        <is>
          <t>서정리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전의면</t>
        </is>
      </c>
    </row>
    <row r="10481">
      <c r="A10481" s="3" t="n">
        <v>2023</v>
      </c>
      <c r="B10481" s="4" t="n">
        <v>9792</v>
      </c>
      <c r="C10481" s="4" t="n">
        <v>360</v>
      </c>
      <c r="D10481" s="4" t="n">
        <v>108.9</v>
      </c>
      <c r="E10481" s="5" t="n">
        <v>89.90000000000001</v>
      </c>
      <c r="F10481" s="3" t="inlineStr">
        <is>
          <t>전의면</t>
        </is>
      </c>
      <c r="G10481" s="3" t="inlineStr">
        <is>
          <t>서정리</t>
        </is>
      </c>
      <c r="H10481" s="3" t="inlineStr">
        <is>
          <t>계획관리지역</t>
        </is>
      </c>
      <c r="I10481" s="3" t="inlineStr">
        <is>
          <t>대</t>
        </is>
      </c>
      <c r="J10481" s="3" t="inlineStr">
        <is>
          <t>전의면</t>
        </is>
      </c>
    </row>
    <row r="10482">
      <c r="A10482" s="3" t="n">
        <v>2023</v>
      </c>
      <c r="B10482" s="4" t="n">
        <v>190</v>
      </c>
      <c r="C10482" s="4" t="n">
        <v>7</v>
      </c>
      <c r="D10482" s="4" t="n">
        <v>2.1175</v>
      </c>
      <c r="E10482" s="5" t="n">
        <v>89.7</v>
      </c>
      <c r="F10482" s="3" t="inlineStr">
        <is>
          <t>전의면</t>
        </is>
      </c>
      <c r="G10482" s="3" t="inlineStr">
        <is>
          <t>서정리</t>
        </is>
      </c>
      <c r="H10482" s="3" t="inlineStr">
        <is>
          <t>계획관리지역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3210</v>
      </c>
      <c r="C10483" s="4" t="n">
        <v>118</v>
      </c>
      <c r="D10483" s="4" t="n">
        <v>35.695</v>
      </c>
      <c r="E10483" s="5" t="n">
        <v>89.90000000000001</v>
      </c>
      <c r="F10483" s="3" t="inlineStr">
        <is>
          <t>전의면</t>
        </is>
      </c>
      <c r="G10483" s="3" t="inlineStr">
        <is>
          <t>서정리</t>
        </is>
      </c>
      <c r="H10483" s="3" t="inlineStr">
        <is>
          <t>계획관리지역</t>
        </is>
      </c>
      <c r="I10483" s="3" t="inlineStr">
        <is>
          <t>대</t>
        </is>
      </c>
      <c r="J10483" s="3" t="inlineStr">
        <is>
          <t>전의면</t>
        </is>
      </c>
    </row>
    <row r="10484">
      <c r="A10484" s="3" t="n">
        <v>2023</v>
      </c>
      <c r="B10484" s="4" t="n">
        <v>14940</v>
      </c>
      <c r="C10484" s="4" t="n">
        <v>550</v>
      </c>
      <c r="D10484" s="4" t="n">
        <v>166.375</v>
      </c>
      <c r="E10484" s="5" t="n">
        <v>89.8</v>
      </c>
      <c r="F10484" s="3" t="inlineStr">
        <is>
          <t>전의면</t>
        </is>
      </c>
      <c r="G10484" s="3" t="inlineStr">
        <is>
          <t>서정리</t>
        </is>
      </c>
      <c r="H10484" s="3" t="inlineStr">
        <is>
          <t>계획관리지역</t>
        </is>
      </c>
      <c r="I10484" s="3" t="inlineStr">
        <is>
          <t>대</t>
        </is>
      </c>
      <c r="J10484" s="3" t="inlineStr">
        <is>
          <t>전의면</t>
        </is>
      </c>
    </row>
    <row r="10485">
      <c r="A10485" s="3" t="n">
        <v>2023</v>
      </c>
      <c r="B10485" s="4" t="n">
        <v>30000</v>
      </c>
      <c r="C10485" s="4" t="n">
        <v>660</v>
      </c>
      <c r="D10485" s="4" t="n">
        <v>199.65</v>
      </c>
      <c r="E10485" s="5" t="n">
        <v>150.3</v>
      </c>
      <c r="F10485" s="3" t="inlineStr">
        <is>
          <t>부강면</t>
        </is>
      </c>
      <c r="G10485" s="3" t="inlineStr">
        <is>
          <t>금호리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부강면</t>
        </is>
      </c>
    </row>
    <row r="10486">
      <c r="A10486" s="3" t="n">
        <v>2023</v>
      </c>
      <c r="B10486" s="4" t="n">
        <v>20000</v>
      </c>
      <c r="C10486" s="4" t="n">
        <v>441</v>
      </c>
      <c r="D10486" s="4" t="n">
        <v>133.4025</v>
      </c>
      <c r="E10486" s="5" t="n">
        <v>149.9</v>
      </c>
      <c r="F10486" s="3" t="inlineStr">
        <is>
          <t>부강면</t>
        </is>
      </c>
      <c r="G10486" s="3" t="inlineStr">
        <is>
          <t>금호리</t>
        </is>
      </c>
      <c r="H10486" s="3" t="inlineStr">
        <is>
          <t>계획관리지역</t>
        </is>
      </c>
      <c r="I10486" s="3" t="inlineStr">
        <is>
          <t>전</t>
        </is>
      </c>
      <c r="J10486" s="3" t="inlineStr">
        <is>
          <t>부강면</t>
        </is>
      </c>
    </row>
    <row r="10487">
      <c r="A10487" s="3" t="n">
        <v>2023</v>
      </c>
      <c r="B10487" s="4" t="n">
        <v>1000</v>
      </c>
      <c r="C10487" s="4" t="n">
        <v>19</v>
      </c>
      <c r="D10487" s="4" t="n">
        <v>5.7475</v>
      </c>
      <c r="E10487" s="5" t="n">
        <v>174</v>
      </c>
      <c r="F10487" s="3" t="inlineStr">
        <is>
          <t>장군면</t>
        </is>
      </c>
      <c r="G10487" s="3" t="inlineStr">
        <is>
          <t>송문리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장군면</t>
        </is>
      </c>
    </row>
    <row r="10488">
      <c r="A10488" s="3" t="n">
        <v>2023</v>
      </c>
      <c r="B10488" s="4" t="n">
        <v>230000</v>
      </c>
      <c r="C10488" s="4" t="n">
        <v>549</v>
      </c>
      <c r="D10488" s="4" t="n">
        <v>166.0725</v>
      </c>
      <c r="E10488" s="5" t="n">
        <v>1384.9</v>
      </c>
      <c r="F10488" s="3" t="inlineStr">
        <is>
          <t>다정동</t>
        </is>
      </c>
      <c r="G10488" s="3" t="inlineStr"/>
      <c r="H10488" s="3" t="inlineStr">
        <is>
          <t>제1종전용주거지역</t>
        </is>
      </c>
      <c r="I10488" s="3" t="inlineStr">
        <is>
          <t>대</t>
        </is>
      </c>
      <c r="J10488" s="3" t="inlineStr">
        <is>
          <t>다정동</t>
        </is>
      </c>
    </row>
    <row r="10489">
      <c r="A10489" s="3" t="n">
        <v>2026</v>
      </c>
      <c r="B10489" s="4" t="n">
        <v>51000</v>
      </c>
      <c r="C10489" s="4" t="n">
        <v>743</v>
      </c>
      <c r="D10489" s="4" t="n">
        <v>224.7575</v>
      </c>
      <c r="E10489" s="5" t="n">
        <v>226.9</v>
      </c>
      <c r="F10489" s="3" t="inlineStr">
        <is>
          <t>장군면</t>
        </is>
      </c>
      <c r="G10489" s="3" t="inlineStr">
        <is>
          <t>도계리</t>
        </is>
      </c>
      <c r="H10489" s="3" t="inlineStr">
        <is>
          <t>계획관리지역</t>
        </is>
      </c>
      <c r="I10489" s="3" t="inlineStr">
        <is>
          <t>대</t>
        </is>
      </c>
      <c r="J10489" s="3" t="inlineStr">
        <is>
          <t>장군면</t>
        </is>
      </c>
    </row>
    <row r="10490">
      <c r="A10490" s="3" t="n">
        <v>2022</v>
      </c>
      <c r="B10490" s="4" t="n">
        <v>14160</v>
      </c>
      <c r="C10490" s="4" t="n">
        <v>496</v>
      </c>
      <c r="D10490" s="4" t="n">
        <v>150.04</v>
      </c>
      <c r="E10490" s="5" t="n">
        <v>94.40000000000001</v>
      </c>
      <c r="F10490" s="3" t="inlineStr">
        <is>
          <t>장군면</t>
        </is>
      </c>
      <c r="G10490" s="3" t="inlineStr">
        <is>
          <t>봉안리</t>
        </is>
      </c>
      <c r="H10490" s="3" t="inlineStr">
        <is>
          <t>계획관리지역</t>
        </is>
      </c>
      <c r="I10490" s="3" t="inlineStr">
        <is>
          <t>목장용지</t>
        </is>
      </c>
      <c r="J10490" s="3" t="inlineStr">
        <is>
          <t>장군면</t>
        </is>
      </c>
    </row>
    <row r="10491">
      <c r="A10491" s="3" t="n">
        <v>2022</v>
      </c>
      <c r="B10491" s="4" t="n">
        <v>500</v>
      </c>
      <c r="C10491" s="4" t="n">
        <v>85</v>
      </c>
      <c r="D10491" s="4" t="n">
        <v>25.7125</v>
      </c>
      <c r="E10491" s="5" t="n">
        <v>19.4</v>
      </c>
      <c r="F10491" s="3" t="inlineStr">
        <is>
          <t>장군면</t>
        </is>
      </c>
      <c r="G10491" s="3" t="inlineStr">
        <is>
          <t>대교리</t>
        </is>
      </c>
      <c r="H10491" s="3" t="inlineStr">
        <is>
          <t>농림지역</t>
        </is>
      </c>
      <c r="I10491" s="3" t="inlineStr">
        <is>
          <t>답</t>
        </is>
      </c>
      <c r="J10491" s="3" t="inlineStr">
        <is>
          <t>장군면</t>
        </is>
      </c>
    </row>
    <row r="10492">
      <c r="A10492" s="3" t="n">
        <v>2022</v>
      </c>
      <c r="B10492" s="4" t="n">
        <v>4500</v>
      </c>
      <c r="C10492" s="4" t="n">
        <v>764</v>
      </c>
      <c r="D10492" s="4" t="n">
        <v>231.11</v>
      </c>
      <c r="E10492" s="5" t="n">
        <v>19.5</v>
      </c>
      <c r="F10492" s="3" t="inlineStr">
        <is>
          <t>장군면</t>
        </is>
      </c>
      <c r="G10492" s="3" t="inlineStr">
        <is>
          <t>대교리</t>
        </is>
      </c>
      <c r="H10492" s="3" t="inlineStr">
        <is>
          <t>농림지역</t>
        </is>
      </c>
      <c r="I10492" s="3" t="inlineStr">
        <is>
          <t>답</t>
        </is>
      </c>
      <c r="J10492" s="3" t="inlineStr">
        <is>
          <t>장군면</t>
        </is>
      </c>
    </row>
    <row r="10493">
      <c r="A10493" s="3" t="n">
        <v>2022</v>
      </c>
      <c r="B10493" s="4" t="n">
        <v>20405</v>
      </c>
      <c r="C10493" s="4" t="n">
        <v>417</v>
      </c>
      <c r="D10493" s="4" t="n">
        <v>126.1425</v>
      </c>
      <c r="E10493" s="5" t="n">
        <v>161.8</v>
      </c>
      <c r="F10493" s="3" t="inlineStr">
        <is>
          <t>금남면</t>
        </is>
      </c>
      <c r="G10493" s="3" t="inlineStr">
        <is>
          <t>축산리</t>
        </is>
      </c>
      <c r="H10493" s="3" t="inlineStr">
        <is>
          <t>자연녹지지역</t>
        </is>
      </c>
      <c r="I10493" s="3" t="inlineStr">
        <is>
          <t>대</t>
        </is>
      </c>
      <c r="J10493" s="3" t="inlineStr">
        <is>
          <t>금남면</t>
        </is>
      </c>
    </row>
    <row r="10494">
      <c r="A10494" s="3" t="n">
        <v>2022</v>
      </c>
      <c r="B10494" s="4" t="n">
        <v>19789</v>
      </c>
      <c r="C10494" s="4" t="n">
        <v>631</v>
      </c>
      <c r="D10494" s="4" t="n">
        <v>190.8775</v>
      </c>
      <c r="E10494" s="5" t="n">
        <v>103.7</v>
      </c>
      <c r="F10494" s="3" t="inlineStr">
        <is>
          <t>금남면</t>
        </is>
      </c>
      <c r="G10494" s="3" t="inlineStr">
        <is>
          <t>축산리</t>
        </is>
      </c>
      <c r="H10494" s="3" t="inlineStr">
        <is>
          <t>자연녹지지역</t>
        </is>
      </c>
      <c r="I10494" s="3" t="inlineStr">
        <is>
          <t>전</t>
        </is>
      </c>
      <c r="J10494" s="3" t="inlineStr">
        <is>
          <t>금남면</t>
        </is>
      </c>
    </row>
    <row r="10495">
      <c r="A10495" s="3" t="n">
        <v>2022</v>
      </c>
      <c r="B10495" s="4" t="n">
        <v>552000</v>
      </c>
      <c r="C10495" s="4" t="n">
        <v>13223</v>
      </c>
      <c r="D10495" s="4" t="n">
        <v>3999.9575</v>
      </c>
      <c r="E10495" s="5" t="n">
        <v>138</v>
      </c>
      <c r="F10495" s="3" t="inlineStr">
        <is>
          <t>전동면</t>
        </is>
      </c>
      <c r="G10495" s="3" t="inlineStr">
        <is>
          <t>심중리</t>
        </is>
      </c>
      <c r="H10495" s="3" t="inlineStr">
        <is>
          <t>준공업지역</t>
        </is>
      </c>
      <c r="I10495" s="3" t="inlineStr">
        <is>
          <t>전</t>
        </is>
      </c>
      <c r="J10495" s="3" t="inlineStr">
        <is>
          <t>전동면</t>
        </is>
      </c>
    </row>
    <row r="10496">
      <c r="A10496" s="3" t="n">
        <v>2022</v>
      </c>
      <c r="B10496" s="4" t="n">
        <v>68900</v>
      </c>
      <c r="C10496" s="4" t="n">
        <v>1426</v>
      </c>
      <c r="D10496" s="4" t="n">
        <v>431.365</v>
      </c>
      <c r="E10496" s="5" t="n">
        <v>159.7</v>
      </c>
      <c r="F10496" s="3" t="inlineStr">
        <is>
          <t>금남면</t>
        </is>
      </c>
      <c r="G10496" s="3" t="inlineStr">
        <is>
          <t>대박리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금남면</t>
        </is>
      </c>
    </row>
    <row r="10497">
      <c r="A10497" s="3" t="n">
        <v>2022</v>
      </c>
      <c r="B10497" s="4" t="n">
        <v>66667</v>
      </c>
      <c r="C10497" s="4" t="n">
        <v>2196</v>
      </c>
      <c r="D10497" s="4" t="n">
        <v>664.29</v>
      </c>
      <c r="E10497" s="5" t="n">
        <v>100.4</v>
      </c>
      <c r="F10497" s="3" t="inlineStr">
        <is>
          <t>장군면</t>
        </is>
      </c>
      <c r="G10497" s="3" t="inlineStr">
        <is>
          <t>봉안리</t>
        </is>
      </c>
      <c r="H10497" s="3" t="inlineStr">
        <is>
          <t>보전관리지역</t>
        </is>
      </c>
      <c r="I10497" s="3" t="inlineStr">
        <is>
          <t>임야</t>
        </is>
      </c>
      <c r="J10497" s="3" t="inlineStr">
        <is>
          <t>장군면</t>
        </is>
      </c>
    </row>
    <row r="10498">
      <c r="A10498" s="3" t="n">
        <v>2022</v>
      </c>
      <c r="B10498" s="4" t="n">
        <v>33334</v>
      </c>
      <c r="C10498" s="4" t="n">
        <v>1098</v>
      </c>
      <c r="D10498" s="4" t="n">
        <v>332.145</v>
      </c>
      <c r="E10498" s="5" t="n">
        <v>100.4</v>
      </c>
      <c r="F10498" s="3" t="inlineStr">
        <is>
          <t>장군면</t>
        </is>
      </c>
      <c r="G10498" s="3" t="inlineStr">
        <is>
          <t>봉안리</t>
        </is>
      </c>
      <c r="H10498" s="3" t="inlineStr">
        <is>
          <t>보전관리지역</t>
        </is>
      </c>
      <c r="I10498" s="3" t="inlineStr">
        <is>
          <t>임야</t>
        </is>
      </c>
      <c r="J10498" s="3" t="inlineStr">
        <is>
          <t>장군면</t>
        </is>
      </c>
    </row>
    <row r="10499">
      <c r="A10499" s="3" t="n">
        <v>2022</v>
      </c>
      <c r="B10499" s="4" t="n">
        <v>43750</v>
      </c>
      <c r="C10499" s="4" t="n">
        <v>1157</v>
      </c>
      <c r="D10499" s="4" t="n">
        <v>349.9925</v>
      </c>
      <c r="E10499" s="5" t="n">
        <v>125</v>
      </c>
      <c r="F10499" s="3" t="inlineStr">
        <is>
          <t>전의면</t>
        </is>
      </c>
      <c r="G10499" s="3" t="inlineStr">
        <is>
          <t>신정리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전의면</t>
        </is>
      </c>
    </row>
    <row r="10500">
      <c r="A10500" s="3" t="n">
        <v>2022</v>
      </c>
      <c r="B10500" s="4" t="n">
        <v>84231</v>
      </c>
      <c r="C10500" s="4" t="n">
        <v>1894</v>
      </c>
      <c r="D10500" s="4" t="n">
        <v>572.9349999999999</v>
      </c>
      <c r="E10500" s="5" t="n">
        <v>147</v>
      </c>
      <c r="F10500" s="3" t="inlineStr">
        <is>
          <t>부강면</t>
        </is>
      </c>
      <c r="G10500" s="3" t="inlineStr">
        <is>
          <t>갈산리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부강면</t>
        </is>
      </c>
    </row>
    <row r="10501">
      <c r="A10501" s="3" t="n">
        <v>2022</v>
      </c>
      <c r="B10501" s="4" t="n">
        <v>4922</v>
      </c>
      <c r="C10501" s="4" t="n">
        <v>169</v>
      </c>
      <c r="D10501" s="4" t="n">
        <v>51.1225</v>
      </c>
      <c r="E10501" s="5" t="n">
        <v>96.3</v>
      </c>
      <c r="F10501" s="3" t="inlineStr">
        <is>
          <t>부강면</t>
        </is>
      </c>
      <c r="G10501" s="3" t="inlineStr">
        <is>
          <t>갈산리</t>
        </is>
      </c>
      <c r="H10501" s="3" t="inlineStr">
        <is>
          <t>계획관리지역</t>
        </is>
      </c>
      <c r="I10501" s="3" t="inlineStr">
        <is>
          <t>임야</t>
        </is>
      </c>
      <c r="J10501" s="3" t="inlineStr">
        <is>
          <t>부강면</t>
        </is>
      </c>
    </row>
    <row r="10502">
      <c r="A10502" s="3" t="n">
        <v>2022</v>
      </c>
      <c r="B10502" s="4" t="n">
        <v>32825</v>
      </c>
      <c r="C10502" s="4" t="n">
        <v>1127</v>
      </c>
      <c r="D10502" s="4" t="n">
        <v>340.9175</v>
      </c>
      <c r="E10502" s="5" t="n">
        <v>96.3</v>
      </c>
      <c r="F10502" s="3" t="inlineStr">
        <is>
          <t>부강면</t>
        </is>
      </c>
      <c r="G10502" s="3" t="inlineStr">
        <is>
          <t>갈산리</t>
        </is>
      </c>
      <c r="H10502" s="3" t="inlineStr">
        <is>
          <t>계획관리지역</t>
        </is>
      </c>
      <c r="I10502" s="3" t="inlineStr">
        <is>
          <t>임야</t>
        </is>
      </c>
      <c r="J10502" s="3" t="inlineStr">
        <is>
          <t>부강면</t>
        </is>
      </c>
    </row>
    <row r="10503">
      <c r="A10503" s="3" t="n">
        <v>2022</v>
      </c>
      <c r="B10503" s="4" t="n">
        <v>13572</v>
      </c>
      <c r="C10503" s="4" t="n">
        <v>466</v>
      </c>
      <c r="D10503" s="4" t="n">
        <v>140.965</v>
      </c>
      <c r="E10503" s="5" t="n">
        <v>96.3</v>
      </c>
      <c r="F10503" s="3" t="inlineStr">
        <is>
          <t>부강면</t>
        </is>
      </c>
      <c r="G10503" s="3" t="inlineStr">
        <is>
          <t>갈산리</t>
        </is>
      </c>
      <c r="H10503" s="3" t="inlineStr">
        <is>
          <t>계획관리지역</t>
        </is>
      </c>
      <c r="I10503" s="3" t="inlineStr">
        <is>
          <t>답</t>
        </is>
      </c>
      <c r="J10503" s="3" t="inlineStr">
        <is>
          <t>부강면</t>
        </is>
      </c>
    </row>
    <row r="10504">
      <c r="A10504" s="3" t="n">
        <v>2022</v>
      </c>
      <c r="B10504" s="4" t="n">
        <v>62097</v>
      </c>
      <c r="C10504" s="4" t="n">
        <v>1283</v>
      </c>
      <c r="D10504" s="4" t="n">
        <v>388.1075</v>
      </c>
      <c r="E10504" s="5" t="n">
        <v>160</v>
      </c>
      <c r="F10504" s="3" t="inlineStr">
        <is>
          <t>부강면</t>
        </is>
      </c>
      <c r="G10504" s="3" t="inlineStr">
        <is>
          <t>갈산리</t>
        </is>
      </c>
      <c r="H10504" s="3" t="inlineStr">
        <is>
          <t>계획관리지역</t>
        </is>
      </c>
      <c r="I10504" s="3" t="inlineStr">
        <is>
          <t>공장용지</t>
        </is>
      </c>
      <c r="J10504" s="3" t="inlineStr">
        <is>
          <t>부강면</t>
        </is>
      </c>
    </row>
    <row r="10505">
      <c r="A10505" s="3" t="n">
        <v>2022</v>
      </c>
      <c r="B10505" s="4" t="n">
        <v>38236</v>
      </c>
      <c r="C10505" s="4" t="n">
        <v>790</v>
      </c>
      <c r="D10505" s="4" t="n">
        <v>238.975</v>
      </c>
      <c r="E10505" s="5" t="n">
        <v>160</v>
      </c>
      <c r="F10505" s="3" t="inlineStr">
        <is>
          <t>부강면</t>
        </is>
      </c>
      <c r="G10505" s="3" t="inlineStr">
        <is>
          <t>갈산리</t>
        </is>
      </c>
      <c r="H10505" s="3" t="inlineStr">
        <is>
          <t>계획관리지역</t>
        </is>
      </c>
      <c r="I10505" s="3" t="inlineStr">
        <is>
          <t>공장용지</t>
        </is>
      </c>
      <c r="J10505" s="3" t="inlineStr">
        <is>
          <t>부강면</t>
        </is>
      </c>
    </row>
    <row r="10506">
      <c r="A10506" s="3" t="n">
        <v>2022</v>
      </c>
      <c r="B10506" s="4" t="n">
        <v>371564</v>
      </c>
      <c r="C10506" s="4" t="n">
        <v>7677</v>
      </c>
      <c r="D10506" s="4" t="n">
        <v>2322.2925</v>
      </c>
      <c r="E10506" s="5" t="n">
        <v>160</v>
      </c>
      <c r="F10506" s="3" t="inlineStr">
        <is>
          <t>부강면</t>
        </is>
      </c>
      <c r="G10506" s="3" t="inlineStr">
        <is>
          <t>갈산리</t>
        </is>
      </c>
      <c r="H10506" s="3" t="inlineStr">
        <is>
          <t>계획관리지역</t>
        </is>
      </c>
      <c r="I10506" s="3" t="inlineStr">
        <is>
          <t>공장용지</t>
        </is>
      </c>
      <c r="J10506" s="3" t="inlineStr">
        <is>
          <t>부강면</t>
        </is>
      </c>
    </row>
    <row r="10507">
      <c r="A10507" s="3" t="n">
        <v>2022</v>
      </c>
      <c r="B10507" s="4" t="n">
        <v>22554</v>
      </c>
      <c r="C10507" s="4" t="n">
        <v>466</v>
      </c>
      <c r="D10507" s="4" t="n">
        <v>140.965</v>
      </c>
      <c r="E10507" s="5" t="n">
        <v>160</v>
      </c>
      <c r="F10507" s="3" t="inlineStr">
        <is>
          <t>부강면</t>
        </is>
      </c>
      <c r="G10507" s="3" t="inlineStr">
        <is>
          <t>갈산리</t>
        </is>
      </c>
      <c r="H10507" s="3" t="inlineStr">
        <is>
          <t>계획관리지역</t>
        </is>
      </c>
      <c r="I10507" s="3" t="inlineStr">
        <is>
          <t>공장용지</t>
        </is>
      </c>
      <c r="J10507" s="3" t="inlineStr">
        <is>
          <t>부강면</t>
        </is>
      </c>
    </row>
    <row r="10508">
      <c r="A10508" s="3" t="n">
        <v>2022</v>
      </c>
      <c r="B10508" s="4" t="n">
        <v>20736</v>
      </c>
      <c r="C10508" s="4" t="n">
        <v>2857.4</v>
      </c>
      <c r="D10508" s="4" t="n">
        <v>864.3635</v>
      </c>
      <c r="E10508" s="5" t="n">
        <v>24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공장용지</t>
        </is>
      </c>
      <c r="J10508" s="3" t="inlineStr">
        <is>
          <t>현도면</t>
        </is>
      </c>
    </row>
    <row r="10509">
      <c r="A10509" s="3" t="n">
        <v>2024</v>
      </c>
      <c r="B10509" s="4" t="n">
        <v>19820</v>
      </c>
      <c r="C10509" s="4" t="n">
        <v>539</v>
      </c>
      <c r="D10509" s="4" t="n">
        <v>163.0475</v>
      </c>
      <c r="E10509" s="5" t="n">
        <v>121.6</v>
      </c>
      <c r="F10509" s="3" t="inlineStr">
        <is>
          <t>남이면</t>
        </is>
      </c>
      <c r="G10509" s="3" t="inlineStr">
        <is>
          <t>양촌리</t>
        </is>
      </c>
      <c r="H10509" s="3" t="inlineStr">
        <is>
          <t>자연녹지지역</t>
        </is>
      </c>
      <c r="I10509" s="3" t="inlineStr">
        <is>
          <t>전</t>
        </is>
      </c>
      <c r="J10509" s="3" t="inlineStr">
        <is>
          <t>남이면</t>
        </is>
      </c>
    </row>
    <row r="10510">
      <c r="A10510" s="3" t="n">
        <v>2024</v>
      </c>
      <c r="B10510" s="4" t="n">
        <v>300</v>
      </c>
      <c r="C10510" s="4" t="n">
        <v>20</v>
      </c>
      <c r="D10510" s="4" t="n">
        <v>6.05</v>
      </c>
      <c r="E10510" s="5" t="n">
        <v>49.6</v>
      </c>
      <c r="F10510" s="3" t="inlineStr">
        <is>
          <t>남이면</t>
        </is>
      </c>
      <c r="G10510" s="3" t="inlineStr">
        <is>
          <t>양촌리</t>
        </is>
      </c>
      <c r="H10510" s="3" t="inlineStr">
        <is>
          <t>자연녹지지역</t>
        </is>
      </c>
      <c r="I10510" s="3" t="inlineStr">
        <is>
          <t>전</t>
        </is>
      </c>
      <c r="J10510" s="3" t="inlineStr">
        <is>
          <t>남이면</t>
        </is>
      </c>
    </row>
    <row r="10511">
      <c r="A10511" s="3" t="n">
        <v>2024</v>
      </c>
      <c r="B10511" s="4" t="n">
        <v>150</v>
      </c>
      <c r="C10511" s="4" t="n">
        <v>10</v>
      </c>
      <c r="D10511" s="4" t="n">
        <v>3.025</v>
      </c>
      <c r="E10511" s="5" t="n">
        <v>49.6</v>
      </c>
      <c r="F10511" s="3" t="inlineStr">
        <is>
          <t>남이면</t>
        </is>
      </c>
      <c r="G10511" s="3" t="inlineStr">
        <is>
          <t>양촌리</t>
        </is>
      </c>
      <c r="H10511" s="3" t="inlineStr">
        <is>
          <t>자연녹지지역</t>
        </is>
      </c>
      <c r="I10511" s="3" t="inlineStr">
        <is>
          <t>답</t>
        </is>
      </c>
      <c r="J10511" s="3" t="inlineStr">
        <is>
          <t>남이면</t>
        </is>
      </c>
    </row>
    <row r="10512">
      <c r="A10512" s="3" t="n">
        <v>2024</v>
      </c>
      <c r="B10512" s="4" t="n">
        <v>100</v>
      </c>
      <c r="C10512" s="4" t="n">
        <v>5</v>
      </c>
      <c r="D10512" s="4" t="n">
        <v>1.5125</v>
      </c>
      <c r="E10512" s="5" t="n">
        <v>66.09999999999999</v>
      </c>
      <c r="F10512" s="3" t="inlineStr">
        <is>
          <t>남이면</t>
        </is>
      </c>
      <c r="G10512" s="3" t="inlineStr">
        <is>
          <t>양촌리</t>
        </is>
      </c>
      <c r="H10512" s="3" t="inlineStr">
        <is>
          <t>자연녹지지역</t>
        </is>
      </c>
      <c r="I10512" s="3" t="inlineStr">
        <is>
          <t>답</t>
        </is>
      </c>
      <c r="J10512" s="3" t="inlineStr">
        <is>
          <t>남이면</t>
        </is>
      </c>
    </row>
    <row r="10513">
      <c r="A10513" s="3" t="n">
        <v>2024</v>
      </c>
      <c r="B10513" s="4" t="n">
        <v>450</v>
      </c>
      <c r="C10513" s="4" t="n">
        <v>30</v>
      </c>
      <c r="D10513" s="4" t="n">
        <v>9.074999999999999</v>
      </c>
      <c r="E10513" s="5" t="n">
        <v>49.6</v>
      </c>
      <c r="F10513" s="3" t="inlineStr">
        <is>
          <t>남이면</t>
        </is>
      </c>
      <c r="G10513" s="3" t="inlineStr">
        <is>
          <t>양촌리</t>
        </is>
      </c>
      <c r="H10513" s="3" t="inlineStr">
        <is>
          <t>자연녹지지역</t>
        </is>
      </c>
      <c r="I10513" s="3" t="inlineStr">
        <is>
          <t>전</t>
        </is>
      </c>
      <c r="J10513" s="3" t="inlineStr">
        <is>
          <t>남이면</t>
        </is>
      </c>
    </row>
    <row r="10514">
      <c r="A10514" s="3" t="n">
        <v>2024</v>
      </c>
      <c r="B10514" s="4" t="n">
        <v>17522</v>
      </c>
      <c r="C10514" s="4" t="n">
        <v>420</v>
      </c>
      <c r="D10514" s="4" t="n">
        <v>127.05</v>
      </c>
      <c r="E10514" s="5" t="n">
        <v>137.9</v>
      </c>
      <c r="F10514" s="3" t="inlineStr">
        <is>
          <t>남이면</t>
        </is>
      </c>
      <c r="G10514" s="3" t="inlineStr">
        <is>
          <t>양촌리</t>
        </is>
      </c>
      <c r="H10514" s="3" t="inlineStr">
        <is>
          <t>자연녹지지역</t>
        </is>
      </c>
      <c r="I10514" s="3" t="inlineStr">
        <is>
          <t>전</t>
        </is>
      </c>
      <c r="J10514" s="3" t="inlineStr">
        <is>
          <t>남이면</t>
        </is>
      </c>
    </row>
    <row r="10515">
      <c r="A10515" s="3" t="n">
        <v>2024</v>
      </c>
      <c r="B10515" s="4" t="n">
        <v>13392</v>
      </c>
      <c r="C10515" s="4" t="n">
        <v>321</v>
      </c>
      <c r="D10515" s="4" t="n">
        <v>97.10249999999999</v>
      </c>
      <c r="E10515" s="5" t="n">
        <v>137.9</v>
      </c>
      <c r="F10515" s="3" t="inlineStr">
        <is>
          <t>남이면</t>
        </is>
      </c>
      <c r="G10515" s="3" t="inlineStr">
        <is>
          <t>양촌리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남이면</t>
        </is>
      </c>
    </row>
    <row r="10516">
      <c r="A10516" s="3" t="n">
        <v>2024</v>
      </c>
      <c r="B10516" s="4" t="n">
        <v>11514</v>
      </c>
      <c r="C10516" s="4" t="n">
        <v>276</v>
      </c>
      <c r="D10516" s="4" t="n">
        <v>83.48999999999999</v>
      </c>
      <c r="E10516" s="5" t="n">
        <v>137.9</v>
      </c>
      <c r="F10516" s="3" t="inlineStr">
        <is>
          <t>남이면</t>
        </is>
      </c>
      <c r="G10516" s="3" t="inlineStr">
        <is>
          <t>양촌리</t>
        </is>
      </c>
      <c r="H10516" s="3" t="inlineStr">
        <is>
          <t>자연녹지지역</t>
        </is>
      </c>
      <c r="I10516" s="3" t="inlineStr">
        <is>
          <t>전</t>
        </is>
      </c>
      <c r="J10516" s="3" t="inlineStr">
        <is>
          <t>남이면</t>
        </is>
      </c>
    </row>
    <row r="10517">
      <c r="A10517" s="3" t="n">
        <v>2024</v>
      </c>
      <c r="B10517" s="4" t="n">
        <v>417</v>
      </c>
      <c r="C10517" s="4" t="n">
        <v>10</v>
      </c>
      <c r="D10517" s="4" t="n">
        <v>3.025</v>
      </c>
      <c r="E10517" s="5" t="n">
        <v>137.9</v>
      </c>
      <c r="F10517" s="3" t="inlineStr">
        <is>
          <t>남이면</t>
        </is>
      </c>
      <c r="G10517" s="3" t="inlineStr">
        <is>
          <t>양촌리</t>
        </is>
      </c>
      <c r="H10517" s="3" t="inlineStr">
        <is>
          <t>자연녹지지역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2024</v>
      </c>
      <c r="B10518" s="4" t="n">
        <v>50</v>
      </c>
      <c r="C10518" s="4" t="n">
        <v>1</v>
      </c>
      <c r="D10518" s="4" t="n">
        <v>0.3025</v>
      </c>
      <c r="E10518" s="5" t="n">
        <v>165.3</v>
      </c>
      <c r="F10518" s="3" t="inlineStr">
        <is>
          <t>남이면</t>
        </is>
      </c>
      <c r="G10518" s="3" t="inlineStr">
        <is>
          <t>양촌리</t>
        </is>
      </c>
      <c r="H10518" s="3" t="inlineStr">
        <is>
          <t>자연녹지지역</t>
        </is>
      </c>
      <c r="I10518" s="3" t="inlineStr">
        <is>
          <t>답</t>
        </is>
      </c>
      <c r="J10518" s="3" t="inlineStr">
        <is>
          <t>남이면</t>
        </is>
      </c>
    </row>
    <row r="10519">
      <c r="A10519" s="3" t="n">
        <v>2024</v>
      </c>
      <c r="B10519" s="4" t="n">
        <v>500</v>
      </c>
      <c r="C10519" s="4" t="n">
        <v>10</v>
      </c>
      <c r="D10519" s="4" t="n">
        <v>3.025</v>
      </c>
      <c r="E10519" s="5" t="n">
        <v>165.3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20</v>
      </c>
      <c r="C10520" s="4" t="n">
        <v>1</v>
      </c>
      <c r="D10520" s="4" t="n">
        <v>0.3025</v>
      </c>
      <c r="E10520" s="5" t="n">
        <v>66.09999999999999</v>
      </c>
      <c r="F10520" s="3" t="inlineStr">
        <is>
          <t>남이면</t>
        </is>
      </c>
      <c r="G10520" s="3" t="inlineStr">
        <is>
          <t>양촌리</t>
        </is>
      </c>
      <c r="H10520" s="3" t="inlineStr">
        <is>
          <t>자연녹지지역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80</v>
      </c>
      <c r="C10521" s="4" t="n">
        <v>5</v>
      </c>
      <c r="D10521" s="4" t="n">
        <v>1.5125</v>
      </c>
      <c r="E10521" s="5" t="n">
        <v>52.9</v>
      </c>
      <c r="F10521" s="3" t="inlineStr">
        <is>
          <t>남이면</t>
        </is>
      </c>
      <c r="G10521" s="3" t="inlineStr">
        <is>
          <t>양촌리</t>
        </is>
      </c>
      <c r="H10521" s="3" t="inlineStr">
        <is>
          <t>자연녹지지역</t>
        </is>
      </c>
      <c r="I10521" s="3" t="inlineStr">
        <is>
          <t>답</t>
        </is>
      </c>
      <c r="J10521" s="3" t="inlineStr">
        <is>
          <t>남이면</t>
        </is>
      </c>
    </row>
    <row r="10522">
      <c r="A10522" s="3" t="n">
        <v>2024</v>
      </c>
      <c r="B10522" s="4" t="n">
        <v>4400</v>
      </c>
      <c r="C10522" s="4" t="n">
        <v>638</v>
      </c>
      <c r="D10522" s="4" t="n">
        <v>192.995</v>
      </c>
      <c r="E10522" s="5" t="n">
        <v>22.8</v>
      </c>
      <c r="F10522" s="3" t="inlineStr">
        <is>
          <t>남이면</t>
        </is>
      </c>
      <c r="G10522" s="3" t="inlineStr">
        <is>
          <t>산막리</t>
        </is>
      </c>
      <c r="H10522" s="3" t="inlineStr">
        <is>
          <t>계획관리지역</t>
        </is>
      </c>
      <c r="I10522" s="3" t="inlineStr">
        <is>
          <t>묘지</t>
        </is>
      </c>
      <c r="J10522" s="3" t="inlineStr">
        <is>
          <t>남이면</t>
        </is>
      </c>
    </row>
    <row r="10523">
      <c r="A10523" s="3" t="n">
        <v>2024</v>
      </c>
      <c r="B10523" s="4" t="n">
        <v>20000</v>
      </c>
      <c r="C10523" s="4" t="n">
        <v>1383</v>
      </c>
      <c r="D10523" s="4" t="n">
        <v>418.3575</v>
      </c>
      <c r="E10523" s="5" t="n">
        <v>47.8</v>
      </c>
      <c r="F10523" s="3" t="inlineStr">
        <is>
          <t>현도면</t>
        </is>
      </c>
      <c r="G10523" s="3" t="inlineStr">
        <is>
          <t>죽전리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현도면</t>
        </is>
      </c>
    </row>
    <row r="10524">
      <c r="A10524" s="3" t="n">
        <v>2024</v>
      </c>
      <c r="B10524" s="4" t="n">
        <v>1220</v>
      </c>
      <c r="C10524" s="4" t="n">
        <v>202</v>
      </c>
      <c r="D10524" s="4" t="n">
        <v>61.105</v>
      </c>
      <c r="E10524" s="5" t="n">
        <v>20</v>
      </c>
      <c r="F10524" s="3" t="inlineStr">
        <is>
          <t>현도면</t>
        </is>
      </c>
      <c r="G10524" s="3" t="inlineStr">
        <is>
          <t>시목리</t>
        </is>
      </c>
      <c r="H10524" s="3" t="inlineStr">
        <is>
          <t>자연녹지지역</t>
        </is>
      </c>
      <c r="I10524" s="3" t="inlineStr">
        <is>
          <t>임야</t>
        </is>
      </c>
      <c r="J10524" s="3" t="inlineStr">
        <is>
          <t>현도면</t>
        </is>
      </c>
    </row>
    <row r="10525">
      <c r="A10525" s="3" t="n">
        <v>2024</v>
      </c>
      <c r="B10525" s="4" t="n">
        <v>16000</v>
      </c>
      <c r="C10525" s="4" t="n">
        <v>1522</v>
      </c>
      <c r="D10525" s="4" t="n">
        <v>460.405</v>
      </c>
      <c r="E10525" s="5" t="n">
        <v>34.8</v>
      </c>
      <c r="F10525" s="3" t="inlineStr">
        <is>
          <t>남이면</t>
        </is>
      </c>
      <c r="G10525" s="3" t="inlineStr">
        <is>
          <t>구미리</t>
        </is>
      </c>
      <c r="H10525" s="3" t="inlineStr">
        <is>
          <t>생산관리지역</t>
        </is>
      </c>
      <c r="I10525" s="3" t="inlineStr">
        <is>
          <t>답</t>
        </is>
      </c>
      <c r="J10525" s="3" t="inlineStr">
        <is>
          <t>남이면</t>
        </is>
      </c>
    </row>
    <row r="10526">
      <c r="A10526" s="3" t="n">
        <v>2024</v>
      </c>
      <c r="B10526" s="4" t="n">
        <v>2850</v>
      </c>
      <c r="C10526" s="4" t="n">
        <v>152</v>
      </c>
      <c r="D10526" s="4" t="n">
        <v>45.98</v>
      </c>
      <c r="E10526" s="5" t="n">
        <v>62</v>
      </c>
      <c r="F10526" s="3" t="inlineStr">
        <is>
          <t>현도면</t>
        </is>
      </c>
      <c r="G10526" s="3" t="inlineStr">
        <is>
          <t>매봉리</t>
        </is>
      </c>
      <c r="H10526" s="3" t="inlineStr">
        <is>
          <t>일반상업지역</t>
        </is>
      </c>
      <c r="I10526" s="3" t="inlineStr">
        <is>
          <t>대</t>
        </is>
      </c>
      <c r="J10526" s="3" t="inlineStr">
        <is>
          <t>현도면</t>
        </is>
      </c>
    </row>
    <row r="10527">
      <c r="A10527" s="3" t="n">
        <v>2024</v>
      </c>
      <c r="B10527" s="4" t="n">
        <v>150</v>
      </c>
      <c r="C10527" s="4" t="n">
        <v>11</v>
      </c>
      <c r="D10527" s="4" t="n">
        <v>3.3275</v>
      </c>
      <c r="E10527" s="5" t="n">
        <v>45.1</v>
      </c>
      <c r="F10527" s="3" t="inlineStr">
        <is>
          <t>현도면</t>
        </is>
      </c>
      <c r="G10527" s="3" t="inlineStr">
        <is>
          <t>매봉리</t>
        </is>
      </c>
      <c r="H10527" s="3" t="inlineStr">
        <is>
          <t>제2종일반주거지역</t>
        </is>
      </c>
      <c r="I10527" s="3" t="inlineStr">
        <is>
          <t>대</t>
        </is>
      </c>
      <c r="J10527" s="3" t="inlineStr">
        <is>
          <t>현도면</t>
        </is>
      </c>
    </row>
    <row r="10528">
      <c r="A10528" s="3" t="n">
        <v>2024</v>
      </c>
      <c r="B10528" s="4" t="n">
        <v>4264</v>
      </c>
      <c r="C10528" s="4" t="n">
        <v>217</v>
      </c>
      <c r="D10528" s="4" t="n">
        <v>65.6425</v>
      </c>
      <c r="E10528" s="5" t="n">
        <v>65</v>
      </c>
      <c r="F10528" s="3" t="inlineStr">
        <is>
          <t>현도면</t>
        </is>
      </c>
      <c r="G10528" s="3" t="inlineStr">
        <is>
          <t>시동리</t>
        </is>
      </c>
      <c r="H10528" s="3" t="inlineStr">
        <is>
          <t>생산관리지역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2024</v>
      </c>
      <c r="B10529" s="4" t="n">
        <v>14444</v>
      </c>
      <c r="C10529" s="4" t="n">
        <v>430</v>
      </c>
      <c r="D10529" s="4" t="n">
        <v>130.075</v>
      </c>
      <c r="E10529" s="5" t="n">
        <v>111</v>
      </c>
      <c r="F10529" s="3" t="inlineStr">
        <is>
          <t>남이면</t>
        </is>
      </c>
      <c r="G10529" s="3" t="inlineStr">
        <is>
          <t>석판리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8500</v>
      </c>
      <c r="C10530" s="4" t="n">
        <v>1802</v>
      </c>
      <c r="D10530" s="4" t="n">
        <v>545.105</v>
      </c>
      <c r="E10530" s="5" t="n">
        <v>15.6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전</t>
        </is>
      </c>
      <c r="J10530" s="3" t="inlineStr">
        <is>
          <t>현도면</t>
        </is>
      </c>
    </row>
    <row r="10531">
      <c r="A10531" s="3" t="n">
        <v>2024</v>
      </c>
      <c r="B10531" s="4" t="n">
        <v>189954</v>
      </c>
      <c r="C10531" s="4" t="n">
        <v>4915</v>
      </c>
      <c r="D10531" s="4" t="n">
        <v>1486.7875</v>
      </c>
      <c r="E10531" s="5" t="n">
        <v>127.8</v>
      </c>
      <c r="F10531" s="3" t="inlineStr">
        <is>
          <t>남이면</t>
        </is>
      </c>
      <c r="G10531" s="3" t="inlineStr">
        <is>
          <t>가마리</t>
        </is>
      </c>
      <c r="H10531" s="3" t="inlineStr">
        <is>
          <t>자연녹지지역</t>
        </is>
      </c>
      <c r="I10531" s="3" t="inlineStr">
        <is>
          <t>대</t>
        </is>
      </c>
      <c r="J10531" s="3" t="inlineStr">
        <is>
          <t>남이면</t>
        </is>
      </c>
    </row>
    <row r="10532">
      <c r="A10532" s="3" t="n">
        <v>2024</v>
      </c>
      <c r="B10532" s="4" t="n">
        <v>46</v>
      </c>
      <c r="C10532" s="4" t="n">
        <v>7</v>
      </c>
      <c r="D10532" s="4" t="n">
        <v>2.1175</v>
      </c>
      <c r="E10532" s="5" t="n">
        <v>21.7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도로</t>
        </is>
      </c>
      <c r="J10532" s="3" t="inlineStr">
        <is>
          <t>남이면</t>
        </is>
      </c>
    </row>
    <row r="10533">
      <c r="A10533" s="3" t="n">
        <v>2024</v>
      </c>
      <c r="B10533" s="4" t="n">
        <v>29700</v>
      </c>
      <c r="C10533" s="4" t="n">
        <v>500</v>
      </c>
      <c r="D10533" s="4" t="n">
        <v>151.25</v>
      </c>
      <c r="E10533" s="5" t="n">
        <v>196.4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2024</v>
      </c>
      <c r="B10534" s="4" t="n">
        <v>10500</v>
      </c>
      <c r="C10534" s="4" t="n">
        <v>5752</v>
      </c>
      <c r="D10534" s="4" t="n">
        <v>1739.98</v>
      </c>
      <c r="E10534" s="5" t="n">
        <v>6</v>
      </c>
      <c r="F10534" s="3" t="inlineStr">
        <is>
          <t>현도면</t>
        </is>
      </c>
      <c r="G10534" s="3" t="inlineStr">
        <is>
          <t>매봉리</t>
        </is>
      </c>
      <c r="H10534" s="3" t="inlineStr">
        <is>
          <t>자연녹지지역</t>
        </is>
      </c>
      <c r="I10534" s="3" t="inlineStr">
        <is>
          <t>임야</t>
        </is>
      </c>
      <c r="J10534" s="3" t="inlineStr">
        <is>
          <t>현도면</t>
        </is>
      </c>
    </row>
    <row r="10535">
      <c r="A10535" s="3" t="n">
        <v>2024</v>
      </c>
      <c r="B10535" s="4" t="n">
        <v>1426</v>
      </c>
      <c r="C10535" s="4" t="n">
        <v>438</v>
      </c>
      <c r="D10535" s="4" t="n">
        <v>132.495</v>
      </c>
      <c r="E10535" s="5" t="n">
        <v>10.8</v>
      </c>
      <c r="F10535" s="3" t="inlineStr">
        <is>
          <t>현도면</t>
        </is>
      </c>
      <c r="G10535" s="3" t="inlineStr">
        <is>
          <t>매봉리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현도면</t>
        </is>
      </c>
    </row>
    <row r="10536">
      <c r="A10536" s="3" t="n">
        <v>2024</v>
      </c>
      <c r="B10536" s="4" t="n">
        <v>2117</v>
      </c>
      <c r="C10536" s="4" t="n">
        <v>648</v>
      </c>
      <c r="D10536" s="4" t="n">
        <v>196.02</v>
      </c>
      <c r="E10536" s="5" t="n">
        <v>10.8</v>
      </c>
      <c r="F10536" s="3" t="inlineStr">
        <is>
          <t>현도면</t>
        </is>
      </c>
      <c r="G10536" s="3" t="inlineStr">
        <is>
          <t>매봉리</t>
        </is>
      </c>
      <c r="H10536" s="3" t="inlineStr">
        <is>
          <t>자연녹지지역</t>
        </is>
      </c>
      <c r="I10536" s="3" t="inlineStr">
        <is>
          <t>전</t>
        </is>
      </c>
      <c r="J10536" s="3" t="inlineStr">
        <is>
          <t>현도면</t>
        </is>
      </c>
    </row>
    <row r="10537">
      <c r="A10537" s="3" t="n">
        <v>2024</v>
      </c>
      <c r="B10537" s="4" t="n">
        <v>1512</v>
      </c>
      <c r="C10537" s="4" t="n">
        <v>466</v>
      </c>
      <c r="D10537" s="4" t="n">
        <v>140.965</v>
      </c>
      <c r="E10537" s="5" t="n">
        <v>10.7</v>
      </c>
      <c r="F10537" s="3" t="inlineStr">
        <is>
          <t>현도면</t>
        </is>
      </c>
      <c r="G10537" s="3" t="inlineStr">
        <is>
          <t>매봉리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현도면</t>
        </is>
      </c>
    </row>
    <row r="10538">
      <c r="A10538" s="3" t="n">
        <v>2024</v>
      </c>
      <c r="B10538" s="4" t="n">
        <v>702</v>
      </c>
      <c r="C10538" s="4" t="n">
        <v>215</v>
      </c>
      <c r="D10538" s="4" t="n">
        <v>65.03749999999999</v>
      </c>
      <c r="E10538" s="5" t="n">
        <v>10.8</v>
      </c>
      <c r="F10538" s="3" t="inlineStr">
        <is>
          <t>현도면</t>
        </is>
      </c>
      <c r="G10538" s="3" t="inlineStr">
        <is>
          <t>매봉리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현도면</t>
        </is>
      </c>
    </row>
    <row r="10539">
      <c r="A10539" s="3" t="n">
        <v>2024</v>
      </c>
      <c r="B10539" s="4" t="n">
        <v>2244</v>
      </c>
      <c r="C10539" s="4" t="n">
        <v>684</v>
      </c>
      <c r="D10539" s="4" t="n">
        <v>206.91</v>
      </c>
      <c r="E10539" s="5" t="n">
        <v>10.8</v>
      </c>
      <c r="F10539" s="3" t="inlineStr">
        <is>
          <t>현도면</t>
        </is>
      </c>
      <c r="G10539" s="3" t="inlineStr">
        <is>
          <t>매봉리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현도면</t>
        </is>
      </c>
    </row>
    <row r="10540">
      <c r="A10540" s="3" t="n">
        <v>2024</v>
      </c>
      <c r="B10540" s="4" t="n">
        <v>8865</v>
      </c>
      <c r="C10540" s="4" t="n">
        <v>650</v>
      </c>
      <c r="D10540" s="4" t="n">
        <v>196.625</v>
      </c>
      <c r="E10540" s="5" t="n">
        <v>45.1</v>
      </c>
      <c r="F10540" s="3" t="inlineStr">
        <is>
          <t>현도면</t>
        </is>
      </c>
      <c r="G10540" s="3" t="inlineStr">
        <is>
          <t>양지리</t>
        </is>
      </c>
      <c r="H10540" s="3" t="inlineStr">
        <is>
          <t>자연녹지지역</t>
        </is>
      </c>
      <c r="I10540" s="3" t="inlineStr">
        <is>
          <t>전</t>
        </is>
      </c>
      <c r="J10540" s="3" t="inlineStr">
        <is>
          <t>현도면</t>
        </is>
      </c>
    </row>
    <row r="10541">
      <c r="A10541" s="3" t="n">
        <v>2024</v>
      </c>
      <c r="B10541" s="4" t="n">
        <v>34238</v>
      </c>
      <c r="C10541" s="4" t="n">
        <v>2410</v>
      </c>
      <c r="D10541" s="4" t="n">
        <v>729.025</v>
      </c>
      <c r="E10541" s="5" t="n">
        <v>47</v>
      </c>
      <c r="F10541" s="3" t="inlineStr">
        <is>
          <t>남이면</t>
        </is>
      </c>
      <c r="G10541" s="3" t="inlineStr">
        <is>
          <t>구미리</t>
        </is>
      </c>
      <c r="H10541" s="3" t="inlineStr">
        <is>
          <t>농림지역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2024</v>
      </c>
      <c r="B10542" s="4" t="n">
        <v>2062</v>
      </c>
      <c r="C10542" s="4" t="n">
        <v>145</v>
      </c>
      <c r="D10542" s="4" t="n">
        <v>43.8625</v>
      </c>
      <c r="E10542" s="5" t="n">
        <v>47</v>
      </c>
      <c r="F10542" s="3" t="inlineStr">
        <is>
          <t>남이면</t>
        </is>
      </c>
      <c r="G10542" s="3" t="inlineStr">
        <is>
          <t>구미리</t>
        </is>
      </c>
      <c r="H10542" s="3" t="inlineStr">
        <is>
          <t>농림지역</t>
        </is>
      </c>
      <c r="I10542" s="3" t="inlineStr">
        <is>
          <t>구거</t>
        </is>
      </c>
      <c r="J10542" s="3" t="inlineStr">
        <is>
          <t>남이면</t>
        </is>
      </c>
    </row>
    <row r="10543">
      <c r="A10543" s="3" t="n">
        <v>2025</v>
      </c>
      <c r="B10543" s="4" t="n">
        <v>9236</v>
      </c>
      <c r="C10543" s="4" t="n">
        <v>360</v>
      </c>
      <c r="D10543" s="4" t="n">
        <v>108.9</v>
      </c>
      <c r="E10543" s="5" t="n">
        <v>84.8</v>
      </c>
      <c r="F10543" s="3" t="inlineStr">
        <is>
          <t>남이면</t>
        </is>
      </c>
      <c r="G10543" s="3" t="inlineStr">
        <is>
          <t>팔봉리</t>
        </is>
      </c>
      <c r="H10543" s="3" t="inlineStr">
        <is>
          <t>자연녹지지역</t>
        </is>
      </c>
      <c r="I10543" s="3" t="inlineStr">
        <is>
          <t>답</t>
        </is>
      </c>
      <c r="J10543" s="3" t="inlineStr">
        <is>
          <t>남이면</t>
        </is>
      </c>
    </row>
    <row r="10544">
      <c r="A10544" s="3" t="n">
        <v>2025</v>
      </c>
      <c r="B10544" s="4" t="n">
        <v>22000</v>
      </c>
      <c r="C10544" s="4" t="n">
        <v>118</v>
      </c>
      <c r="D10544" s="4" t="n">
        <v>35.695</v>
      </c>
      <c r="E10544" s="5" t="n">
        <v>616.3</v>
      </c>
      <c r="F10544" s="3" t="inlineStr">
        <is>
          <t>남이면</t>
        </is>
      </c>
      <c r="G10544" s="3" t="inlineStr">
        <is>
          <t>가마리</t>
        </is>
      </c>
      <c r="H10544" s="3" t="inlineStr">
        <is>
          <t>자연녹지지역</t>
        </is>
      </c>
      <c r="I10544" s="3" t="inlineStr">
        <is>
          <t>대</t>
        </is>
      </c>
      <c r="J10544" s="3" t="inlineStr">
        <is>
          <t>남이면</t>
        </is>
      </c>
    </row>
    <row r="10545">
      <c r="A10545" s="3" t="n">
        <v>2025</v>
      </c>
      <c r="B10545" s="4" t="n">
        <v>18200</v>
      </c>
      <c r="C10545" s="4" t="n">
        <v>551</v>
      </c>
      <c r="D10545" s="4" t="n">
        <v>166.6775</v>
      </c>
      <c r="E10545" s="5" t="n">
        <v>109.2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2025</v>
      </c>
      <c r="B10546" s="4" t="n">
        <v>3500</v>
      </c>
      <c r="C10546" s="4" t="n">
        <v>73</v>
      </c>
      <c r="D10546" s="4" t="n">
        <v>22.0825</v>
      </c>
      <c r="E10546" s="5" t="n">
        <v>158.5</v>
      </c>
      <c r="F10546" s="3" t="inlineStr">
        <is>
          <t>현도면</t>
        </is>
      </c>
      <c r="G10546" s="3" t="inlineStr">
        <is>
          <t>죽전리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현도면</t>
        </is>
      </c>
    </row>
    <row r="10547">
      <c r="A10547" s="3" t="n">
        <v>2025</v>
      </c>
      <c r="B10547" s="4" t="n">
        <v>1000</v>
      </c>
      <c r="C10547" s="4" t="n">
        <v>195</v>
      </c>
      <c r="D10547" s="4" t="n">
        <v>58.9875</v>
      </c>
      <c r="E10547" s="5" t="n">
        <v>17</v>
      </c>
      <c r="F10547" s="3" t="inlineStr">
        <is>
          <t>현도면</t>
        </is>
      </c>
      <c r="G10547" s="3" t="inlineStr">
        <is>
          <t>달계리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현도면</t>
        </is>
      </c>
    </row>
    <row r="10548">
      <c r="A10548" s="3" t="n">
        <v>2025</v>
      </c>
      <c r="B10548" s="4" t="n">
        <v>13200</v>
      </c>
      <c r="C10548" s="4" t="n">
        <v>699</v>
      </c>
      <c r="D10548" s="4" t="n">
        <v>211.4475</v>
      </c>
      <c r="E10548" s="5" t="n">
        <v>62.4</v>
      </c>
      <c r="F10548" s="3" t="inlineStr">
        <is>
          <t>남이면</t>
        </is>
      </c>
      <c r="G10548" s="3" t="inlineStr">
        <is>
          <t>문동리</t>
        </is>
      </c>
      <c r="H10548" s="3" t="inlineStr">
        <is>
          <t>보전녹지지역</t>
        </is>
      </c>
      <c r="I10548" s="3" t="inlineStr">
        <is>
          <t>임야</t>
        </is>
      </c>
      <c r="J10548" s="3" t="inlineStr">
        <is>
          <t>남이면</t>
        </is>
      </c>
    </row>
    <row r="10549">
      <c r="A10549" s="3" t="n">
        <v>2025</v>
      </c>
      <c r="B10549" s="4" t="n">
        <v>8190</v>
      </c>
      <c r="C10549" s="4" t="n">
        <v>512</v>
      </c>
      <c r="D10549" s="4" t="n">
        <v>154.88</v>
      </c>
      <c r="E10549" s="5" t="n">
        <v>52.9</v>
      </c>
      <c r="F10549" s="3" t="inlineStr">
        <is>
          <t>남이면</t>
        </is>
      </c>
      <c r="G10549" s="3" t="inlineStr">
        <is>
          <t>문동리</t>
        </is>
      </c>
      <c r="H10549" s="3" t="inlineStr">
        <is>
          <t>보전녹지지역</t>
        </is>
      </c>
      <c r="I10549" s="3" t="inlineStr">
        <is>
          <t>임야</t>
        </is>
      </c>
      <c r="J10549" s="3" t="inlineStr">
        <is>
          <t>남이면</t>
        </is>
      </c>
    </row>
    <row r="10550">
      <c r="A10550" s="3" t="n">
        <v>2025</v>
      </c>
      <c r="B10550" s="4" t="n">
        <v>10700</v>
      </c>
      <c r="C10550" s="4" t="n">
        <v>553</v>
      </c>
      <c r="D10550" s="4" t="n">
        <v>167.2825</v>
      </c>
      <c r="E10550" s="5" t="n">
        <v>64</v>
      </c>
      <c r="F10550" s="3" t="inlineStr">
        <is>
          <t>남이면</t>
        </is>
      </c>
      <c r="G10550" s="3" t="inlineStr">
        <is>
          <t>문동리</t>
        </is>
      </c>
      <c r="H10550" s="3" t="inlineStr">
        <is>
          <t>보전녹지지역</t>
        </is>
      </c>
      <c r="I10550" s="3" t="inlineStr">
        <is>
          <t>임야</t>
        </is>
      </c>
      <c r="J10550" s="3" t="inlineStr">
        <is>
          <t>남이면</t>
        </is>
      </c>
    </row>
    <row r="10551">
      <c r="A10551" s="3" t="n">
        <v>2025</v>
      </c>
      <c r="B10551" s="4" t="n">
        <v>4100</v>
      </c>
      <c r="C10551" s="4" t="n">
        <v>221</v>
      </c>
      <c r="D10551" s="4" t="n">
        <v>66.85249999999999</v>
      </c>
      <c r="E10551" s="5" t="n">
        <v>61.3</v>
      </c>
      <c r="F10551" s="3" t="inlineStr">
        <is>
          <t>현도면</t>
        </is>
      </c>
      <c r="G10551" s="3" t="inlineStr">
        <is>
          <t>죽암리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2025</v>
      </c>
      <c r="B10552" s="4" t="n">
        <v>17000</v>
      </c>
      <c r="C10552" s="4" t="n">
        <v>7075</v>
      </c>
      <c r="D10552" s="4" t="n">
        <v>2140.1875</v>
      </c>
      <c r="E10552" s="5" t="n">
        <v>7.9</v>
      </c>
      <c r="F10552" s="3" t="inlineStr">
        <is>
          <t>남이면</t>
        </is>
      </c>
      <c r="G10552" s="3" t="inlineStr">
        <is>
          <t>양촌리</t>
        </is>
      </c>
      <c r="H10552" s="3" t="inlineStr">
        <is>
          <t>보전녹지지역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2025</v>
      </c>
      <c r="B10553" s="4" t="n">
        <v>6500</v>
      </c>
      <c r="C10553" s="4" t="n">
        <v>1799</v>
      </c>
      <c r="D10553" s="4" t="n">
        <v>544.1975</v>
      </c>
      <c r="E10553" s="5" t="n">
        <v>11.9</v>
      </c>
      <c r="F10553" s="3" t="inlineStr">
        <is>
          <t>남이면</t>
        </is>
      </c>
      <c r="G10553" s="3" t="inlineStr">
        <is>
          <t>문동리</t>
        </is>
      </c>
      <c r="H10553" s="3" t="inlineStr">
        <is>
          <t>농림지역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2025</v>
      </c>
      <c r="B10554" s="4" t="n">
        <v>35200</v>
      </c>
      <c r="C10554" s="4" t="n">
        <v>1375</v>
      </c>
      <c r="D10554" s="4" t="n">
        <v>415.9375</v>
      </c>
      <c r="E10554" s="5" t="n">
        <v>84.59999999999999</v>
      </c>
      <c r="F10554" s="3" t="inlineStr">
        <is>
          <t>남이면</t>
        </is>
      </c>
      <c r="G10554" s="3" t="inlineStr">
        <is>
          <t>팔봉리</t>
        </is>
      </c>
      <c r="H10554" s="3" t="inlineStr">
        <is>
          <t>자연녹지지역</t>
        </is>
      </c>
      <c r="I10554" s="3" t="inlineStr">
        <is>
          <t>답</t>
        </is>
      </c>
      <c r="J10554" s="3" t="inlineStr">
        <is>
          <t>남이면</t>
        </is>
      </c>
    </row>
    <row r="10555">
      <c r="A10555" s="3" t="n">
        <v>2023</v>
      </c>
      <c r="B10555" s="4" t="n">
        <v>37000</v>
      </c>
      <c r="C10555" s="4" t="n">
        <v>457</v>
      </c>
      <c r="D10555" s="4" t="n">
        <v>138.2425</v>
      </c>
      <c r="E10555" s="5" t="n">
        <v>267.6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잡종지</t>
        </is>
      </c>
      <c r="J10555" s="3" t="inlineStr">
        <is>
          <t>남이면</t>
        </is>
      </c>
    </row>
    <row r="10556">
      <c r="A10556" s="3" t="n">
        <v>2023</v>
      </c>
      <c r="B10556" s="4" t="n">
        <v>6800</v>
      </c>
      <c r="C10556" s="4" t="n">
        <v>694</v>
      </c>
      <c r="D10556" s="4" t="n">
        <v>209.935</v>
      </c>
      <c r="E10556" s="5" t="n">
        <v>32.4</v>
      </c>
      <c r="F10556" s="3" t="inlineStr">
        <is>
          <t>현도면</t>
        </is>
      </c>
      <c r="G10556" s="3" t="inlineStr">
        <is>
          <t>죽암리</t>
        </is>
      </c>
      <c r="H10556" s="3" t="inlineStr">
        <is>
          <t>농림지역</t>
        </is>
      </c>
      <c r="I10556" s="3" t="inlineStr">
        <is>
          <t>답</t>
        </is>
      </c>
      <c r="J10556" s="3" t="inlineStr">
        <is>
          <t>현도면</t>
        </is>
      </c>
    </row>
    <row r="10557">
      <c r="A10557" s="3" t="n">
        <v>2023</v>
      </c>
      <c r="B10557" s="4" t="n">
        <v>2000</v>
      </c>
      <c r="C10557" s="4" t="n">
        <v>265.7</v>
      </c>
      <c r="D10557" s="4" t="n">
        <v>80.37424999999999</v>
      </c>
      <c r="E10557" s="5" t="n">
        <v>24.9</v>
      </c>
      <c r="F10557" s="3" t="inlineStr">
        <is>
          <t>남이면</t>
        </is>
      </c>
      <c r="G10557" s="3" t="inlineStr">
        <is>
          <t>대련리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54000</v>
      </c>
      <c r="C10558" s="4" t="n">
        <v>3818</v>
      </c>
      <c r="D10558" s="4" t="n">
        <v>1154.945</v>
      </c>
      <c r="E10558" s="5" t="n">
        <v>46.8</v>
      </c>
      <c r="F10558" s="3" t="inlineStr">
        <is>
          <t>남이면</t>
        </is>
      </c>
      <c r="G10558" s="3" t="inlineStr">
        <is>
          <t>석실리</t>
        </is>
      </c>
      <c r="H10558" s="3" t="inlineStr">
        <is>
          <t>자연녹지지역</t>
        </is>
      </c>
      <c r="I10558" s="3" t="inlineStr">
        <is>
          <t>전</t>
        </is>
      </c>
      <c r="J10558" s="3" t="inlineStr">
        <is>
          <t>남이면</t>
        </is>
      </c>
    </row>
    <row r="10559">
      <c r="A10559" s="3" t="n">
        <v>2023</v>
      </c>
      <c r="B10559" s="4" t="n">
        <v>3600</v>
      </c>
      <c r="C10559" s="4" t="n">
        <v>133</v>
      </c>
      <c r="D10559" s="4" t="n">
        <v>40.2325</v>
      </c>
      <c r="E10559" s="5" t="n">
        <v>89.5</v>
      </c>
      <c r="F10559" s="3" t="inlineStr">
        <is>
          <t>남이면</t>
        </is>
      </c>
      <c r="G10559" s="3" t="inlineStr">
        <is>
          <t>팔봉리</t>
        </is>
      </c>
      <c r="H10559" s="3" t="inlineStr">
        <is>
          <t>자연녹지지역</t>
        </is>
      </c>
      <c r="I10559" s="3" t="inlineStr">
        <is>
          <t>도로</t>
        </is>
      </c>
      <c r="J10559" s="3" t="inlineStr">
        <is>
          <t>남이면</t>
        </is>
      </c>
    </row>
    <row r="10560">
      <c r="A10560" s="3" t="n">
        <v>2023</v>
      </c>
      <c r="B10560" s="4" t="n">
        <v>9500</v>
      </c>
      <c r="C10560" s="4" t="n">
        <v>1098</v>
      </c>
      <c r="D10560" s="4" t="n">
        <v>332.145</v>
      </c>
      <c r="E10560" s="5" t="n">
        <v>28.6</v>
      </c>
      <c r="F10560" s="3" t="inlineStr">
        <is>
          <t>남이면</t>
        </is>
      </c>
      <c r="G10560" s="3" t="inlineStr">
        <is>
          <t>구암리</t>
        </is>
      </c>
      <c r="H10560" s="3" t="inlineStr">
        <is>
          <t>자연녹지지역</t>
        </is>
      </c>
      <c r="I10560" s="3" t="inlineStr">
        <is>
          <t>답</t>
        </is>
      </c>
      <c r="J10560" s="3" t="inlineStr">
        <is>
          <t>남이면</t>
        </is>
      </c>
    </row>
    <row r="10561">
      <c r="A10561" s="3" t="n">
        <v>2023</v>
      </c>
      <c r="B10561" s="4" t="n">
        <v>69500</v>
      </c>
      <c r="C10561" s="4" t="n">
        <v>1210</v>
      </c>
      <c r="D10561" s="4" t="n">
        <v>366.025</v>
      </c>
      <c r="E10561" s="5" t="n">
        <v>189.9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답</t>
        </is>
      </c>
      <c r="J10561" s="3" t="inlineStr">
        <is>
          <t>남이면</t>
        </is>
      </c>
    </row>
    <row r="10562">
      <c r="A10562" s="3" t="n">
        <v>2023</v>
      </c>
      <c r="B10562" s="4" t="n">
        <v>150</v>
      </c>
      <c r="C10562" s="4" t="n">
        <v>118</v>
      </c>
      <c r="D10562" s="4" t="n">
        <v>35.695</v>
      </c>
      <c r="E10562" s="5" t="n">
        <v>4.2</v>
      </c>
      <c r="F10562" s="3" t="inlineStr">
        <is>
          <t>남이면</t>
        </is>
      </c>
      <c r="G10562" s="3" t="inlineStr">
        <is>
          <t>문동리</t>
        </is>
      </c>
      <c r="H10562" s="3" t="inlineStr">
        <is>
          <t>자연녹지지역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2023</v>
      </c>
      <c r="B10563" s="4" t="n">
        <v>2269</v>
      </c>
      <c r="C10563" s="4" t="n">
        <v>75</v>
      </c>
      <c r="D10563" s="4" t="n">
        <v>22.6875</v>
      </c>
      <c r="E10563" s="5" t="n">
        <v>100</v>
      </c>
      <c r="F10563" s="3" t="inlineStr">
        <is>
          <t>현도면</t>
        </is>
      </c>
      <c r="G10563" s="3" t="inlineStr">
        <is>
          <t>상삼리</t>
        </is>
      </c>
      <c r="H10563" s="3" t="inlineStr">
        <is>
          <t>계획관리지역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2023</v>
      </c>
      <c r="B10564" s="4" t="n">
        <v>4700</v>
      </c>
      <c r="C10564" s="4" t="n">
        <v>140</v>
      </c>
      <c r="D10564" s="4" t="n">
        <v>42.35</v>
      </c>
      <c r="E10564" s="5" t="n">
        <v>111</v>
      </c>
      <c r="F10564" s="3" t="inlineStr">
        <is>
          <t>남이면</t>
        </is>
      </c>
      <c r="G10564" s="3" t="inlineStr">
        <is>
          <t>수대리</t>
        </is>
      </c>
      <c r="H10564" s="3" t="inlineStr">
        <is>
          <t>자연녹지지역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2023</v>
      </c>
      <c r="B10565" s="4" t="n">
        <v>2000</v>
      </c>
      <c r="C10565" s="4" t="n">
        <v>62</v>
      </c>
      <c r="D10565" s="4" t="n">
        <v>18.755</v>
      </c>
      <c r="E10565" s="5" t="n">
        <v>106.6</v>
      </c>
      <c r="F10565" s="3" t="inlineStr">
        <is>
          <t>남이면</t>
        </is>
      </c>
      <c r="G10565" s="3" t="inlineStr">
        <is>
          <t>수대리</t>
        </is>
      </c>
      <c r="H10565" s="3" t="inlineStr">
        <is>
          <t>자연녹지지역</t>
        </is>
      </c>
      <c r="I10565" s="3" t="inlineStr">
        <is>
          <t>답</t>
        </is>
      </c>
      <c r="J10565" s="3" t="inlineStr">
        <is>
          <t>남이면</t>
        </is>
      </c>
    </row>
    <row r="10566">
      <c r="A10566" s="3" t="n">
        <v>2023</v>
      </c>
      <c r="B10566" s="4" t="n">
        <v>73986</v>
      </c>
      <c r="C10566" s="4" t="n">
        <v>3524</v>
      </c>
      <c r="D10566" s="4" t="n">
        <v>1066.01</v>
      </c>
      <c r="E10566" s="5" t="n">
        <v>69.40000000000001</v>
      </c>
      <c r="F10566" s="3" t="inlineStr">
        <is>
          <t>남이면</t>
        </is>
      </c>
      <c r="G10566" s="3" t="inlineStr">
        <is>
          <t>석판리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2023</v>
      </c>
      <c r="B10567" s="4" t="n">
        <v>4724</v>
      </c>
      <c r="C10567" s="4" t="n">
        <v>225</v>
      </c>
      <c r="D10567" s="4" t="n">
        <v>68.0625</v>
      </c>
      <c r="E10567" s="5" t="n">
        <v>69.40000000000001</v>
      </c>
      <c r="F10567" s="3" t="inlineStr">
        <is>
          <t>남이면</t>
        </is>
      </c>
      <c r="G10567" s="3" t="inlineStr">
        <is>
          <t>석판리</t>
        </is>
      </c>
      <c r="H10567" s="3" t="inlineStr">
        <is>
          <t>자연녹지지역</t>
        </is>
      </c>
      <c r="I10567" s="3" t="inlineStr">
        <is>
          <t>전</t>
        </is>
      </c>
      <c r="J10567" s="3" t="inlineStr">
        <is>
          <t>남이면</t>
        </is>
      </c>
    </row>
    <row r="10568">
      <c r="A10568" s="3" t="n">
        <v>2022</v>
      </c>
      <c r="B10568" s="4" t="n">
        <v>7684</v>
      </c>
      <c r="C10568" s="4" t="n">
        <v>3341</v>
      </c>
      <c r="D10568" s="4" t="n">
        <v>1010.6525</v>
      </c>
      <c r="E10568" s="5" t="n">
        <v>7.6</v>
      </c>
      <c r="F10568" s="3" t="inlineStr">
        <is>
          <t>현도면</t>
        </is>
      </c>
      <c r="G10568" s="3" t="inlineStr">
        <is>
          <t>우록리</t>
        </is>
      </c>
      <c r="H10568" s="3" t="inlineStr">
        <is>
          <t>보전관리지역</t>
        </is>
      </c>
      <c r="I10568" s="3" t="inlineStr">
        <is>
          <t>임야</t>
        </is>
      </c>
      <c r="J10568" s="3" t="inlineStr">
        <is>
          <t>현도면</t>
        </is>
      </c>
    </row>
    <row r="10569">
      <c r="A10569" s="3" t="n">
        <v>2022</v>
      </c>
      <c r="B10569" s="4" t="n">
        <v>12740</v>
      </c>
      <c r="C10569" s="4" t="n">
        <v>3239.3</v>
      </c>
      <c r="D10569" s="4" t="n">
        <v>979.88825</v>
      </c>
      <c r="E10569" s="5" t="n">
        <v>13</v>
      </c>
      <c r="F10569" s="3" t="inlineStr">
        <is>
          <t>현도면</t>
        </is>
      </c>
      <c r="G10569" s="3" t="inlineStr">
        <is>
          <t>우록리</t>
        </is>
      </c>
      <c r="H10569" s="3" t="inlineStr">
        <is>
          <t>보전관리지역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2022</v>
      </c>
      <c r="B10570" s="4" t="n">
        <v>4000</v>
      </c>
      <c r="C10570" s="4" t="n">
        <v>358</v>
      </c>
      <c r="D10570" s="4" t="n">
        <v>108.295</v>
      </c>
      <c r="E10570" s="5" t="n">
        <v>36.9</v>
      </c>
      <c r="F10570" s="3" t="inlineStr">
        <is>
          <t>남이면</t>
        </is>
      </c>
      <c r="G10570" s="3" t="inlineStr">
        <is>
          <t>갈원리</t>
        </is>
      </c>
      <c r="H10570" s="3" t="inlineStr">
        <is>
          <t>보전관리지역</t>
        </is>
      </c>
      <c r="I10570" s="3" t="inlineStr">
        <is>
          <t>전</t>
        </is>
      </c>
      <c r="J10570" s="3" t="inlineStr">
        <is>
          <t>남이면</t>
        </is>
      </c>
    </row>
    <row r="10571">
      <c r="A10571" s="3" t="n">
        <v>2022</v>
      </c>
      <c r="B10571" s="4" t="n">
        <v>8000</v>
      </c>
      <c r="C10571" s="4" t="n">
        <v>636</v>
      </c>
      <c r="D10571" s="4" t="n">
        <v>192.39</v>
      </c>
      <c r="E10571" s="5" t="n">
        <v>41.6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자연녹지지역</t>
        </is>
      </c>
      <c r="I10571" s="3" t="inlineStr">
        <is>
          <t>전</t>
        </is>
      </c>
      <c r="J10571" s="3" t="inlineStr">
        <is>
          <t>남이면</t>
        </is>
      </c>
    </row>
    <row r="10572">
      <c r="A10572" s="3" t="n">
        <v>2022</v>
      </c>
      <c r="B10572" s="4" t="n">
        <v>95480</v>
      </c>
      <c r="C10572" s="4" t="n">
        <v>2869</v>
      </c>
      <c r="D10572" s="4" t="n">
        <v>867.8724999999999</v>
      </c>
      <c r="E10572" s="5" t="n">
        <v>110</v>
      </c>
      <c r="F10572" s="3" t="inlineStr">
        <is>
          <t>남이면</t>
        </is>
      </c>
      <c r="G10572" s="3" t="inlineStr">
        <is>
          <t>가좌리</t>
        </is>
      </c>
      <c r="H10572" s="3" t="inlineStr">
        <is>
          <t>자연녹지지역</t>
        </is>
      </c>
      <c r="I10572" s="3" t="inlineStr">
        <is>
          <t>임야</t>
        </is>
      </c>
      <c r="J10572" s="3" t="inlineStr">
        <is>
          <t>남이면</t>
        </is>
      </c>
    </row>
    <row r="10573">
      <c r="A10573" s="3" t="n">
        <v>2022</v>
      </c>
      <c r="B10573" s="4" t="n">
        <v>1500</v>
      </c>
      <c r="C10573" s="4" t="n">
        <v>536</v>
      </c>
      <c r="D10573" s="4" t="n">
        <v>162.14</v>
      </c>
      <c r="E10573" s="5" t="n">
        <v>9.300000000000001</v>
      </c>
      <c r="F10573" s="3" t="inlineStr">
        <is>
          <t>현도면</t>
        </is>
      </c>
      <c r="G10573" s="3" t="inlineStr">
        <is>
          <t>하석리</t>
        </is>
      </c>
      <c r="H10573" s="3" t="inlineStr">
        <is>
          <t>개발제한구역</t>
        </is>
      </c>
      <c r="I10573" s="3" t="inlineStr">
        <is>
          <t>전</t>
        </is>
      </c>
      <c r="J10573" s="3" t="inlineStr">
        <is>
          <t>현도면</t>
        </is>
      </c>
    </row>
    <row r="10574">
      <c r="A10574" s="3" t="n">
        <v>2022</v>
      </c>
      <c r="B10574" s="4" t="n">
        <v>24300</v>
      </c>
      <c r="C10574" s="4" t="n">
        <v>1464.1</v>
      </c>
      <c r="D10574" s="4" t="n">
        <v>442.89025</v>
      </c>
      <c r="E10574" s="5" t="n">
        <v>54.9</v>
      </c>
      <c r="F10574" s="3" t="inlineStr">
        <is>
          <t>남이면</t>
        </is>
      </c>
      <c r="G10574" s="3" t="inlineStr">
        <is>
          <t>외천리</t>
        </is>
      </c>
      <c r="H10574" s="3" t="inlineStr">
        <is>
          <t>농림지역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44110</v>
      </c>
      <c r="C10575" s="4" t="n">
        <v>1324.6</v>
      </c>
      <c r="D10575" s="4" t="n">
        <v>400.6915</v>
      </c>
      <c r="E10575" s="5" t="n">
        <v>110.1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2022</v>
      </c>
      <c r="B10576" s="4" t="n">
        <v>16564</v>
      </c>
      <c r="C10576" s="4" t="n">
        <v>532</v>
      </c>
      <c r="D10576" s="4" t="n">
        <v>160.93</v>
      </c>
      <c r="E10576" s="5" t="n">
        <v>102.9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보전녹지지역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2022</v>
      </c>
      <c r="B10577" s="4" t="n">
        <v>1246</v>
      </c>
      <c r="C10577" s="4" t="n">
        <v>40</v>
      </c>
      <c r="D10577" s="4" t="n">
        <v>12.1</v>
      </c>
      <c r="E10577" s="5" t="n">
        <v>103</v>
      </c>
      <c r="F10577" s="3" t="inlineStr">
        <is>
          <t>남이면</t>
        </is>
      </c>
      <c r="G10577" s="3" t="inlineStr">
        <is>
          <t>가좌리</t>
        </is>
      </c>
      <c r="H10577" s="3" t="inlineStr">
        <is>
          <t>보전녹지지역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2022</v>
      </c>
      <c r="B10578" s="4" t="n">
        <v>500</v>
      </c>
      <c r="C10578" s="4" t="n">
        <v>53</v>
      </c>
      <c r="D10578" s="4" t="n">
        <v>16.0325</v>
      </c>
      <c r="E10578" s="5" t="n">
        <v>31.2</v>
      </c>
      <c r="F10578" s="3" t="inlineStr">
        <is>
          <t>현도면</t>
        </is>
      </c>
      <c r="G10578" s="3" t="inlineStr">
        <is>
          <t>중척리</t>
        </is>
      </c>
      <c r="H10578" s="3" t="inlineStr">
        <is>
          <t>개발제한구역</t>
        </is>
      </c>
      <c r="I10578" s="3" t="inlineStr">
        <is>
          <t>묘지</t>
        </is>
      </c>
      <c r="J10578" s="3" t="inlineStr">
        <is>
          <t>현도면</t>
        </is>
      </c>
    </row>
    <row r="10579">
      <c r="A10579" s="3" t="n">
        <v>2022</v>
      </c>
      <c r="B10579" s="4" t="n">
        <v>8000</v>
      </c>
      <c r="C10579" s="4" t="n">
        <v>636</v>
      </c>
      <c r="D10579" s="4" t="n">
        <v>192.39</v>
      </c>
      <c r="E10579" s="5" t="n">
        <v>41.6</v>
      </c>
      <c r="F10579" s="3" t="inlineStr">
        <is>
          <t>남이면</t>
        </is>
      </c>
      <c r="G10579" s="3" t="inlineStr">
        <is>
          <t>구암리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2022</v>
      </c>
      <c r="B10580" s="4" t="n">
        <v>15500</v>
      </c>
      <c r="C10580" s="4" t="n">
        <v>1792</v>
      </c>
      <c r="D10580" s="4" t="n">
        <v>542.0799999999999</v>
      </c>
      <c r="E10580" s="5" t="n">
        <v>28.6</v>
      </c>
      <c r="F10580" s="3" t="inlineStr">
        <is>
          <t>현도면</t>
        </is>
      </c>
      <c r="G10580" s="3" t="inlineStr">
        <is>
          <t>달계리</t>
        </is>
      </c>
      <c r="H10580" s="3" t="inlineStr">
        <is>
          <t>개발제한구역</t>
        </is>
      </c>
      <c r="I10580" s="3" t="inlineStr">
        <is>
          <t>답</t>
        </is>
      </c>
      <c r="J10580" s="3" t="inlineStr">
        <is>
          <t>현도면</t>
        </is>
      </c>
    </row>
    <row r="10581">
      <c r="A10581" s="3" t="n">
        <v>2022</v>
      </c>
      <c r="B10581" s="4" t="n">
        <v>16888</v>
      </c>
      <c r="C10581" s="4" t="n">
        <v>1743</v>
      </c>
      <c r="D10581" s="4" t="n">
        <v>527.2574999999999</v>
      </c>
      <c r="E10581" s="5" t="n">
        <v>32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답</t>
        </is>
      </c>
      <c r="J10581" s="3" t="inlineStr">
        <is>
          <t>남이면</t>
        </is>
      </c>
    </row>
    <row r="10582">
      <c r="A10582" s="3" t="n">
        <v>2022</v>
      </c>
      <c r="B10582" s="4" t="n">
        <v>4812</v>
      </c>
      <c r="C10582" s="4" t="n">
        <v>539</v>
      </c>
      <c r="D10582" s="4" t="n">
        <v>163.0475</v>
      </c>
      <c r="E10582" s="5" t="n">
        <v>29.5</v>
      </c>
      <c r="F10582" s="3" t="inlineStr">
        <is>
          <t>남이면</t>
        </is>
      </c>
      <c r="G10582" s="3" t="inlineStr">
        <is>
          <t>가좌리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7500</v>
      </c>
      <c r="C10583" s="4" t="n">
        <v>1248</v>
      </c>
      <c r="D10583" s="4" t="n">
        <v>377.52</v>
      </c>
      <c r="E10583" s="5" t="n">
        <v>19.9</v>
      </c>
      <c r="F10583" s="3" t="inlineStr">
        <is>
          <t>남이면</t>
        </is>
      </c>
      <c r="G10583" s="3" t="inlineStr">
        <is>
          <t>팔봉리</t>
        </is>
      </c>
      <c r="H10583" s="3" t="inlineStr">
        <is>
          <t>자연녹지지역</t>
        </is>
      </c>
      <c r="I10583" s="3" t="inlineStr">
        <is>
          <t>임야</t>
        </is>
      </c>
      <c r="J10583" s="3" t="inlineStr">
        <is>
          <t>남이면</t>
        </is>
      </c>
    </row>
    <row r="10584">
      <c r="A10584" s="3" t="n">
        <v>2022</v>
      </c>
      <c r="B10584" s="4" t="n">
        <v>44431</v>
      </c>
      <c r="C10584" s="4" t="n">
        <v>3551</v>
      </c>
      <c r="D10584" s="4" t="n">
        <v>1074.1775</v>
      </c>
      <c r="E10584" s="5" t="n">
        <v>41.4</v>
      </c>
      <c r="F10584" s="3" t="inlineStr">
        <is>
          <t>남이면</t>
        </is>
      </c>
      <c r="G10584" s="3" t="inlineStr">
        <is>
          <t>가좌리</t>
        </is>
      </c>
      <c r="H10584" s="3" t="inlineStr">
        <is>
          <t>자연녹지지역</t>
        </is>
      </c>
      <c r="I10584" s="3" t="inlineStr">
        <is>
          <t>답</t>
        </is>
      </c>
      <c r="J10584" s="3" t="inlineStr">
        <is>
          <t>남이면</t>
        </is>
      </c>
    </row>
    <row r="10585">
      <c r="A10585" s="3" t="n">
        <v>2022</v>
      </c>
      <c r="B10585" s="4" t="n">
        <v>7447</v>
      </c>
      <c r="C10585" s="4" t="n">
        <v>596</v>
      </c>
      <c r="D10585" s="4" t="n">
        <v>180.29</v>
      </c>
      <c r="E10585" s="5" t="n">
        <v>41.3</v>
      </c>
      <c r="F10585" s="3" t="inlineStr">
        <is>
          <t>남이면</t>
        </is>
      </c>
      <c r="G10585" s="3" t="inlineStr">
        <is>
          <t>가좌리</t>
        </is>
      </c>
      <c r="H10585" s="3" t="inlineStr">
        <is>
          <t>자연녹지지역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2022</v>
      </c>
      <c r="B10586" s="4" t="n">
        <v>6123</v>
      </c>
      <c r="C10586" s="4" t="n">
        <v>488</v>
      </c>
      <c r="D10586" s="4" t="n">
        <v>147.62</v>
      </c>
      <c r="E10586" s="5" t="n">
        <v>41.5</v>
      </c>
      <c r="F10586" s="3" t="inlineStr">
        <is>
          <t>남이면</t>
        </is>
      </c>
      <c r="G10586" s="3" t="inlineStr">
        <is>
          <t>가좌리</t>
        </is>
      </c>
      <c r="H10586" s="3" t="inlineStr">
        <is>
          <t>자연녹지지역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2022</v>
      </c>
      <c r="B10587" s="4" t="n">
        <v>1979</v>
      </c>
      <c r="C10587" s="4" t="n">
        <v>154</v>
      </c>
      <c r="D10587" s="4" t="n">
        <v>46.585</v>
      </c>
      <c r="E10587" s="5" t="n">
        <v>42.5</v>
      </c>
      <c r="F10587" s="3" t="inlineStr">
        <is>
          <t>남이면</t>
        </is>
      </c>
      <c r="G10587" s="3" t="inlineStr">
        <is>
          <t>문동리</t>
        </is>
      </c>
      <c r="H10587" s="3" t="inlineStr">
        <is>
          <t>자연녹지지역</t>
        </is>
      </c>
      <c r="I10587" s="3" t="inlineStr">
        <is>
          <t>전</t>
        </is>
      </c>
      <c r="J10587" s="3" t="inlineStr">
        <is>
          <t>남이면</t>
        </is>
      </c>
    </row>
    <row r="10588">
      <c r="A10588" s="3" t="n">
        <v>2022</v>
      </c>
      <c r="B10588" s="4" t="n">
        <v>3598</v>
      </c>
      <c r="C10588" s="4" t="n">
        <v>280</v>
      </c>
      <c r="D10588" s="4" t="n">
        <v>84.7</v>
      </c>
      <c r="E10588" s="5" t="n">
        <v>42.5</v>
      </c>
      <c r="F10588" s="3" t="inlineStr">
        <is>
          <t>남이면</t>
        </is>
      </c>
      <c r="G10588" s="3" t="inlineStr">
        <is>
          <t>문동리</t>
        </is>
      </c>
      <c r="H10588" s="3" t="inlineStr">
        <is>
          <t>자연녹지지역</t>
        </is>
      </c>
      <c r="I10588" s="3" t="inlineStr">
        <is>
          <t>임야</t>
        </is>
      </c>
      <c r="J10588" s="3" t="inlineStr">
        <is>
          <t>남이면</t>
        </is>
      </c>
    </row>
    <row r="10589">
      <c r="A10589" s="3" t="n">
        <v>2022</v>
      </c>
      <c r="B10589" s="4" t="n">
        <v>424</v>
      </c>
      <c r="C10589" s="4" t="n">
        <v>33</v>
      </c>
      <c r="D10589" s="4" t="n">
        <v>9.9825</v>
      </c>
      <c r="E10589" s="5" t="n">
        <v>42.5</v>
      </c>
      <c r="F10589" s="3" t="inlineStr">
        <is>
          <t>남이면</t>
        </is>
      </c>
      <c r="G10589" s="3" t="inlineStr">
        <is>
          <t>문동리</t>
        </is>
      </c>
      <c r="H10589" s="3" t="inlineStr">
        <is>
          <t>자연녹지지역</t>
        </is>
      </c>
      <c r="I10589" s="3" t="inlineStr">
        <is>
          <t>임야</t>
        </is>
      </c>
      <c r="J10589" s="3" t="inlineStr">
        <is>
          <t>남이면</t>
        </is>
      </c>
    </row>
    <row r="10590">
      <c r="A10590" s="3" t="n">
        <v>2022</v>
      </c>
      <c r="B10590" s="4" t="n">
        <v>1200</v>
      </c>
      <c r="C10590" s="4" t="n">
        <v>200</v>
      </c>
      <c r="D10590" s="4" t="n">
        <v>60.5</v>
      </c>
      <c r="E10590" s="5" t="n">
        <v>19.8</v>
      </c>
      <c r="F10590" s="3" t="inlineStr">
        <is>
          <t>남이면</t>
        </is>
      </c>
      <c r="G10590" s="3" t="inlineStr">
        <is>
          <t>팔봉리</t>
        </is>
      </c>
      <c r="H10590" s="3" t="inlineStr">
        <is>
          <t>자연녹지지역</t>
        </is>
      </c>
      <c r="I10590" s="3" t="inlineStr">
        <is>
          <t>전</t>
        </is>
      </c>
      <c r="J10590" s="3" t="inlineStr">
        <is>
          <t>남이면</t>
        </is>
      </c>
    </row>
    <row r="10591">
      <c r="A10591" s="3" t="n">
        <v>2025</v>
      </c>
      <c r="B10591" s="4" t="n">
        <v>6200</v>
      </c>
      <c r="C10591" s="4" t="n">
        <v>200</v>
      </c>
      <c r="D10591" s="4" t="n">
        <v>60.5</v>
      </c>
      <c r="E10591" s="5" t="n">
        <v>102.5</v>
      </c>
      <c r="F10591" s="3" t="inlineStr">
        <is>
          <t>남이면</t>
        </is>
      </c>
      <c r="G10591" s="3" t="inlineStr">
        <is>
          <t>대련리</t>
        </is>
      </c>
      <c r="H10591" s="3" t="inlineStr">
        <is>
          <t>자연녹지지역</t>
        </is>
      </c>
      <c r="I10591" s="3" t="inlineStr">
        <is>
          <t>답</t>
        </is>
      </c>
      <c r="J10591" s="3" t="inlineStr">
        <is>
          <t>남이면</t>
        </is>
      </c>
    </row>
    <row r="10592">
      <c r="A10592" s="3" t="n">
        <v>2026</v>
      </c>
      <c r="B10592" s="4" t="n">
        <v>6000</v>
      </c>
      <c r="C10592" s="4" t="n">
        <v>248</v>
      </c>
      <c r="D10592" s="4" t="n">
        <v>75.02</v>
      </c>
      <c r="E10592" s="5" t="n">
        <v>80</v>
      </c>
      <c r="F10592" s="3" t="inlineStr">
        <is>
          <t>남이면</t>
        </is>
      </c>
      <c r="G10592" s="3" t="inlineStr">
        <is>
          <t>척산리</t>
        </is>
      </c>
      <c r="H10592" s="3" t="inlineStr">
        <is>
          <t>계획관리지역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2026</v>
      </c>
      <c r="B10593" s="4" t="n">
        <v>200</v>
      </c>
      <c r="C10593" s="4" t="n">
        <v>13</v>
      </c>
      <c r="D10593" s="4" t="n">
        <v>3.9325</v>
      </c>
      <c r="E10593" s="5" t="n">
        <v>50.9</v>
      </c>
      <c r="F10593" s="3" t="inlineStr">
        <is>
          <t>남이면</t>
        </is>
      </c>
      <c r="G10593" s="3" t="inlineStr">
        <is>
          <t>구미리</t>
        </is>
      </c>
      <c r="H10593" s="3" t="inlineStr">
        <is>
          <t>농림지역</t>
        </is>
      </c>
      <c r="I10593" s="3" t="inlineStr">
        <is>
          <t>답</t>
        </is>
      </c>
      <c r="J10593" s="3" t="inlineStr">
        <is>
          <t>남이면</t>
        </is>
      </c>
    </row>
    <row r="10594">
      <c r="A10594" s="3" t="n">
        <v>2026</v>
      </c>
      <c r="B10594" s="4" t="n">
        <v>107694</v>
      </c>
      <c r="C10594" s="4" t="n">
        <v>730</v>
      </c>
      <c r="D10594" s="4" t="n">
        <v>220.825</v>
      </c>
      <c r="E10594" s="5" t="n">
        <v>487.7</v>
      </c>
      <c r="F10594" s="3" t="inlineStr">
        <is>
          <t>남이면</t>
        </is>
      </c>
      <c r="G10594" s="3" t="inlineStr">
        <is>
          <t>양촌리</t>
        </is>
      </c>
      <c r="H10594" s="3" t="inlineStr">
        <is>
          <t>자연녹지지역</t>
        </is>
      </c>
      <c r="I10594" s="3" t="inlineStr">
        <is>
          <t>대</t>
        </is>
      </c>
      <c r="J10594" s="3" t="inlineStr">
        <is>
          <t>남이면</t>
        </is>
      </c>
    </row>
    <row r="10595">
      <c r="A10595" s="3" t="n">
        <v>2026</v>
      </c>
      <c r="B10595" s="4" t="n">
        <v>244</v>
      </c>
      <c r="C10595" s="4" t="n">
        <v>28</v>
      </c>
      <c r="D10595" s="4" t="n">
        <v>8.469999999999999</v>
      </c>
      <c r="E10595" s="5" t="n">
        <v>28.8</v>
      </c>
      <c r="F10595" s="3" t="inlineStr">
        <is>
          <t>남이면</t>
        </is>
      </c>
      <c r="G10595" s="3" t="inlineStr">
        <is>
          <t>양촌리</t>
        </is>
      </c>
      <c r="H10595" s="3" t="inlineStr">
        <is>
          <t>자연녹지지역</t>
        </is>
      </c>
      <c r="I10595" s="3" t="inlineStr">
        <is>
          <t>도로</t>
        </is>
      </c>
      <c r="J10595" s="3" t="inlineStr">
        <is>
          <t>남이면</t>
        </is>
      </c>
    </row>
    <row r="10596">
      <c r="A10596" s="3" t="n">
        <v>2026</v>
      </c>
      <c r="B10596" s="4" t="n">
        <v>61</v>
      </c>
      <c r="C10596" s="4" t="n">
        <v>7</v>
      </c>
      <c r="D10596" s="4" t="n">
        <v>2.1175</v>
      </c>
      <c r="E10596" s="5" t="n">
        <v>28.8</v>
      </c>
      <c r="F10596" s="3" t="inlineStr">
        <is>
          <t>남이면</t>
        </is>
      </c>
      <c r="G10596" s="3" t="inlineStr">
        <is>
          <t>양촌리</t>
        </is>
      </c>
      <c r="H10596" s="3" t="inlineStr">
        <is>
          <t>자연녹지지역</t>
        </is>
      </c>
      <c r="I10596" s="3" t="inlineStr">
        <is>
          <t>도로</t>
        </is>
      </c>
      <c r="J10596" s="3" t="inlineStr">
        <is>
          <t>남이면</t>
        </is>
      </c>
    </row>
    <row r="10597">
      <c r="A10597" s="3" t="n">
        <v>2026</v>
      </c>
      <c r="B10597" s="4" t="n">
        <v>20590</v>
      </c>
      <c r="C10597" s="4" t="n">
        <v>796</v>
      </c>
      <c r="D10597" s="4" t="n">
        <v>240.79</v>
      </c>
      <c r="E10597" s="5" t="n">
        <v>85.5</v>
      </c>
      <c r="F10597" s="3" t="inlineStr">
        <is>
          <t>남이면</t>
        </is>
      </c>
      <c r="G10597" s="3" t="inlineStr">
        <is>
          <t>가좌리</t>
        </is>
      </c>
      <c r="H10597" s="3" t="inlineStr">
        <is>
          <t>보전녹지지역</t>
        </is>
      </c>
      <c r="I10597" s="3" t="inlineStr">
        <is>
          <t>임야</t>
        </is>
      </c>
      <c r="J10597" s="3" t="inlineStr">
        <is>
          <t>남이면</t>
        </is>
      </c>
    </row>
    <row r="10598">
      <c r="A10598" s="3" t="n">
        <v>2026</v>
      </c>
      <c r="B10598" s="4" t="n">
        <v>3272</v>
      </c>
      <c r="C10598" s="4" t="n">
        <v>126</v>
      </c>
      <c r="D10598" s="4" t="n">
        <v>38.115</v>
      </c>
      <c r="E10598" s="5" t="n">
        <v>85.8</v>
      </c>
      <c r="F10598" s="3" t="inlineStr">
        <is>
          <t>남이면</t>
        </is>
      </c>
      <c r="G10598" s="3" t="inlineStr">
        <is>
          <t>가좌리</t>
        </is>
      </c>
      <c r="H10598" s="3" t="inlineStr">
        <is>
          <t>자연녹지지역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2026</v>
      </c>
      <c r="B10599" s="4" t="n">
        <v>80718</v>
      </c>
      <c r="C10599" s="4" t="n">
        <v>3120</v>
      </c>
      <c r="D10599" s="4" t="n">
        <v>943.8</v>
      </c>
      <c r="E10599" s="5" t="n">
        <v>85.5</v>
      </c>
      <c r="F10599" s="3" t="inlineStr">
        <is>
          <t>남이면</t>
        </is>
      </c>
      <c r="G10599" s="3" t="inlineStr">
        <is>
          <t>가좌리</t>
        </is>
      </c>
      <c r="H10599" s="3" t="inlineStr">
        <is>
          <t>보전녹지지역</t>
        </is>
      </c>
      <c r="I10599" s="3" t="inlineStr">
        <is>
          <t>전</t>
        </is>
      </c>
      <c r="J10599" s="3" t="inlineStr">
        <is>
          <t>남이면</t>
        </is>
      </c>
    </row>
    <row r="10600">
      <c r="A10600" s="3" t="n">
        <v>2026</v>
      </c>
      <c r="B10600" s="4" t="n">
        <v>820</v>
      </c>
      <c r="C10600" s="4" t="n">
        <v>32</v>
      </c>
      <c r="D10600" s="4" t="n">
        <v>9.68</v>
      </c>
      <c r="E10600" s="5" t="n">
        <v>84.7</v>
      </c>
      <c r="F10600" s="3" t="inlineStr">
        <is>
          <t>남이면</t>
        </is>
      </c>
      <c r="G10600" s="3" t="inlineStr">
        <is>
          <t>가좌리</t>
        </is>
      </c>
      <c r="H10600" s="3" t="inlineStr">
        <is>
          <t>자연녹지지역</t>
        </is>
      </c>
      <c r="I10600" s="3" t="inlineStr">
        <is>
          <t>답</t>
        </is>
      </c>
      <c r="J10600" s="3" t="inlineStr">
        <is>
          <t>남이면</t>
        </is>
      </c>
    </row>
    <row r="10601">
      <c r="A10601" s="3" t="n">
        <v>2026</v>
      </c>
      <c r="B10601" s="4" t="n">
        <v>53000</v>
      </c>
      <c r="C10601" s="4" t="n">
        <v>563</v>
      </c>
      <c r="D10601" s="4" t="n">
        <v>170.3075</v>
      </c>
      <c r="E10601" s="5" t="n">
        <v>311.2</v>
      </c>
      <c r="F10601" s="3" t="inlineStr">
        <is>
          <t>남이면</t>
        </is>
      </c>
      <c r="G10601" s="3" t="inlineStr">
        <is>
          <t>양촌리</t>
        </is>
      </c>
      <c r="H10601" s="3" t="inlineStr">
        <is>
          <t>자연녹지지역</t>
        </is>
      </c>
      <c r="I10601" s="3" t="inlineStr">
        <is>
          <t>대</t>
        </is>
      </c>
      <c r="J10601" s="3" t="inlineStr">
        <is>
          <t>남이면</t>
        </is>
      </c>
    </row>
    <row r="10602">
      <c r="A10602" s="3" t="n">
        <v>2026</v>
      </c>
      <c r="B10602" s="4" t="n">
        <v>6214</v>
      </c>
      <c r="C10602" s="4" t="n">
        <v>404</v>
      </c>
      <c r="D10602" s="4" t="n">
        <v>122.21</v>
      </c>
      <c r="E10602" s="5" t="n">
        <v>50.8</v>
      </c>
      <c r="F10602" s="3" t="inlineStr">
        <is>
          <t>현도면</t>
        </is>
      </c>
      <c r="G10602" s="3" t="inlineStr">
        <is>
          <t>죽전리</t>
        </is>
      </c>
      <c r="H10602" s="3" t="inlineStr">
        <is>
          <t>계획관리지역</t>
        </is>
      </c>
      <c r="I10602" s="3" t="inlineStr">
        <is>
          <t>전</t>
        </is>
      </c>
      <c r="J10602" s="3" t="inlineStr">
        <is>
          <t>현도면</t>
        </is>
      </c>
    </row>
    <row r="10603">
      <c r="A10603" s="3" t="n">
        <v>2026</v>
      </c>
      <c r="B10603" s="4" t="n">
        <v>2841</v>
      </c>
      <c r="C10603" s="4" t="n">
        <v>56</v>
      </c>
      <c r="D10603" s="4" t="n">
        <v>16.94</v>
      </c>
      <c r="E10603" s="5" t="n">
        <v>167.7</v>
      </c>
      <c r="F10603" s="3" t="inlineStr">
        <is>
          <t>남이면</t>
        </is>
      </c>
      <c r="G10603" s="3" t="inlineStr">
        <is>
          <t>양촌리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2026</v>
      </c>
      <c r="B10604" s="4" t="n">
        <v>3200</v>
      </c>
      <c r="C10604" s="4" t="n">
        <v>63</v>
      </c>
      <c r="D10604" s="4" t="n">
        <v>19.0575</v>
      </c>
      <c r="E10604" s="5" t="n">
        <v>167.9</v>
      </c>
      <c r="F10604" s="3" t="inlineStr">
        <is>
          <t>남이면</t>
        </is>
      </c>
      <c r="G10604" s="3" t="inlineStr">
        <is>
          <t>양촌리</t>
        </is>
      </c>
      <c r="H10604" s="3" t="inlineStr">
        <is>
          <t>자연녹지지역</t>
        </is>
      </c>
      <c r="I10604" s="3" t="inlineStr">
        <is>
          <t>대</t>
        </is>
      </c>
      <c r="J10604" s="3" t="inlineStr">
        <is>
          <t>남이면</t>
        </is>
      </c>
    </row>
    <row r="10605">
      <c r="A10605" s="3" t="n">
        <v>2026</v>
      </c>
      <c r="B10605" s="4" t="n">
        <v>13000</v>
      </c>
      <c r="C10605" s="4" t="n">
        <v>330</v>
      </c>
      <c r="D10605" s="4" t="n">
        <v>99.825</v>
      </c>
      <c r="E10605" s="5" t="n">
        <v>130.2</v>
      </c>
      <c r="F10605" s="3" t="inlineStr">
        <is>
          <t>남이면</t>
        </is>
      </c>
      <c r="G10605" s="3" t="inlineStr">
        <is>
          <t>대련리</t>
        </is>
      </c>
      <c r="H10605" s="3" t="inlineStr">
        <is>
          <t>자연녹지지역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5900</v>
      </c>
      <c r="C10606" s="4" t="n">
        <v>825</v>
      </c>
      <c r="D10606" s="4" t="n">
        <v>249.5625</v>
      </c>
      <c r="E10606" s="5" t="n">
        <v>23.6</v>
      </c>
      <c r="F10606" s="3" t="inlineStr">
        <is>
          <t>현도면</t>
        </is>
      </c>
      <c r="G10606" s="3" t="inlineStr">
        <is>
          <t>하석리</t>
        </is>
      </c>
      <c r="H10606" s="3" t="inlineStr">
        <is>
          <t>개발제한구역</t>
        </is>
      </c>
      <c r="I10606" s="3" t="inlineStr">
        <is>
          <t>답</t>
        </is>
      </c>
      <c r="J10606" s="3" t="inlineStr">
        <is>
          <t>현도면</t>
        </is>
      </c>
    </row>
    <row r="10607">
      <c r="A10607" s="3" t="n">
        <v>2022</v>
      </c>
      <c r="B10607" s="4" t="n">
        <v>15000</v>
      </c>
      <c r="C10607" s="4" t="n">
        <v>155</v>
      </c>
      <c r="D10607" s="4" t="n">
        <v>46.8875</v>
      </c>
      <c r="E10607" s="5" t="n">
        <v>319.9</v>
      </c>
      <c r="F10607" s="3" t="inlineStr">
        <is>
          <t>조치원읍</t>
        </is>
      </c>
      <c r="G10607" s="3" t="inlineStr">
        <is>
          <t>명리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조치원읍</t>
        </is>
      </c>
    </row>
    <row r="10608">
      <c r="A10608" s="3" t="n">
        <v>2023</v>
      </c>
      <c r="B10608" s="4" t="n">
        <v>30000</v>
      </c>
      <c r="C10608" s="4" t="n">
        <v>154</v>
      </c>
      <c r="D10608" s="4" t="n">
        <v>46.585</v>
      </c>
      <c r="E10608" s="5" t="n">
        <v>644</v>
      </c>
      <c r="F10608" s="3" t="inlineStr">
        <is>
          <t>금남면</t>
        </is>
      </c>
      <c r="G10608" s="3" t="inlineStr">
        <is>
          <t>박산리</t>
        </is>
      </c>
      <c r="H10608" s="3" t="inlineStr">
        <is>
          <t>단독다가구</t>
        </is>
      </c>
      <c r="I10608" s="3" t="inlineStr">
        <is>
          <t>단독</t>
        </is>
      </c>
      <c r="J10608" s="3" t="inlineStr">
        <is>
          <t>금남면</t>
        </is>
      </c>
    </row>
    <row r="10609">
      <c r="A10609" s="3" t="n">
        <v>2023</v>
      </c>
      <c r="B10609" s="4" t="n">
        <v>45000</v>
      </c>
      <c r="C10609" s="4" t="n">
        <v>344</v>
      </c>
      <c r="D10609" s="4" t="n">
        <v>104.06</v>
      </c>
      <c r="E10609" s="5" t="n">
        <v>432.4</v>
      </c>
      <c r="F10609" s="3" t="inlineStr">
        <is>
          <t>조치원읍</t>
        </is>
      </c>
      <c r="G10609" s="3" t="inlineStr">
        <is>
          <t>신안리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조치원읍</t>
        </is>
      </c>
    </row>
    <row r="10610">
      <c r="A10610" s="3" t="n">
        <v>2023</v>
      </c>
      <c r="B10610" s="4" t="n">
        <v>89840</v>
      </c>
      <c r="C10610" s="4" t="n">
        <v>1430</v>
      </c>
      <c r="D10610" s="4" t="n">
        <v>432.575</v>
      </c>
      <c r="E10610" s="5" t="n">
        <v>207.7</v>
      </c>
      <c r="F10610" s="3" t="inlineStr">
        <is>
          <t>금남면</t>
        </is>
      </c>
      <c r="G10610" s="3" t="inlineStr">
        <is>
          <t>원봉리</t>
        </is>
      </c>
      <c r="H10610" s="3" t="inlineStr">
        <is>
          <t>단독다가구</t>
        </is>
      </c>
      <c r="I10610" s="3" t="inlineStr">
        <is>
          <t>단독</t>
        </is>
      </c>
      <c r="J10610" s="3" t="inlineStr">
        <is>
          <t>금남면</t>
        </is>
      </c>
    </row>
    <row r="10611">
      <c r="A10611" s="3" t="n">
        <v>2023</v>
      </c>
      <c r="B10611" s="4" t="n">
        <v>105500</v>
      </c>
      <c r="C10611" s="4" t="n">
        <v>804</v>
      </c>
      <c r="D10611" s="4" t="n">
        <v>243.21</v>
      </c>
      <c r="E10611" s="5" t="n">
        <v>433.8</v>
      </c>
      <c r="F10611" s="3" t="inlineStr">
        <is>
          <t>장군면</t>
        </is>
      </c>
      <c r="G10611" s="3" t="inlineStr">
        <is>
          <t>금암리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장군면</t>
        </is>
      </c>
    </row>
    <row r="10612">
      <c r="A10612" s="3" t="n">
        <v>2023</v>
      </c>
      <c r="B10612" s="4" t="n">
        <v>42000</v>
      </c>
      <c r="C10612" s="4" t="n">
        <v>570</v>
      </c>
      <c r="D10612" s="4" t="n">
        <v>172.425</v>
      </c>
      <c r="E10612" s="5" t="n">
        <v>243.6</v>
      </c>
      <c r="F10612" s="3" t="inlineStr">
        <is>
          <t>금남면</t>
        </is>
      </c>
      <c r="G10612" s="3" t="inlineStr">
        <is>
          <t>용담리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금남면</t>
        </is>
      </c>
    </row>
    <row r="10613">
      <c r="A10613" s="3" t="n">
        <v>2023</v>
      </c>
      <c r="B10613" s="4" t="n">
        <v>111500</v>
      </c>
      <c r="C10613" s="4" t="n">
        <v>308.7</v>
      </c>
      <c r="D10613" s="4" t="n">
        <v>93.38175</v>
      </c>
      <c r="E10613" s="5" t="n">
        <v>1194</v>
      </c>
      <c r="F10613" s="3" t="inlineStr">
        <is>
          <t>다정동</t>
        </is>
      </c>
      <c r="G10613" s="3" t="inlineStr"/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다정동</t>
        </is>
      </c>
    </row>
    <row r="10614">
      <c r="A10614" s="3" t="n">
        <v>2023</v>
      </c>
      <c r="B10614" s="4" t="n">
        <v>50200</v>
      </c>
      <c r="C10614" s="4" t="n">
        <v>710</v>
      </c>
      <c r="D10614" s="4" t="n">
        <v>214.775</v>
      </c>
      <c r="E10614" s="5" t="n">
        <v>233.7</v>
      </c>
      <c r="F10614" s="3" t="inlineStr">
        <is>
          <t>장군면</t>
        </is>
      </c>
      <c r="G10614" s="3" t="inlineStr">
        <is>
          <t>봉안리</t>
        </is>
      </c>
      <c r="H10614" s="3" t="inlineStr">
        <is>
          <t>단독다가구</t>
        </is>
      </c>
      <c r="I10614" s="3" t="inlineStr">
        <is>
          <t>단독</t>
        </is>
      </c>
      <c r="J10614" s="3" t="inlineStr">
        <is>
          <t>장군면</t>
        </is>
      </c>
    </row>
    <row r="10615">
      <c r="A10615" s="3" t="n">
        <v>2023</v>
      </c>
      <c r="B10615" s="4" t="n">
        <v>20000</v>
      </c>
      <c r="C10615" s="4" t="n">
        <v>365</v>
      </c>
      <c r="D10615" s="4" t="n">
        <v>110.4125</v>
      </c>
      <c r="E10615" s="5" t="n">
        <v>181.1</v>
      </c>
      <c r="F10615" s="3" t="inlineStr">
        <is>
          <t>장군면</t>
        </is>
      </c>
      <c r="G10615" s="3" t="inlineStr">
        <is>
          <t>대교리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장군면</t>
        </is>
      </c>
    </row>
    <row r="10616">
      <c r="A10616" s="3" t="n">
        <v>2024</v>
      </c>
      <c r="B10616" s="4" t="n">
        <v>10000</v>
      </c>
      <c r="C10616" s="4" t="n">
        <v>429</v>
      </c>
      <c r="D10616" s="4" t="n">
        <v>129.7725</v>
      </c>
      <c r="E10616" s="5" t="n">
        <v>77.09999999999999</v>
      </c>
      <c r="F10616" s="3" t="inlineStr">
        <is>
          <t>연서면</t>
        </is>
      </c>
      <c r="G10616" s="3" t="inlineStr">
        <is>
          <t>와촌리</t>
        </is>
      </c>
      <c r="H10616" s="3" t="inlineStr">
        <is>
          <t>단독다가구</t>
        </is>
      </c>
      <c r="I10616" s="3" t="inlineStr">
        <is>
          <t>단독</t>
        </is>
      </c>
      <c r="J10616" s="3" t="inlineStr">
        <is>
          <t>연서면</t>
        </is>
      </c>
    </row>
    <row r="10617">
      <c r="A10617" s="3" t="n">
        <v>2024</v>
      </c>
      <c r="B10617" s="4" t="n">
        <v>19300</v>
      </c>
      <c r="C10617" s="4" t="n">
        <v>265</v>
      </c>
      <c r="D10617" s="4" t="n">
        <v>80.16249999999999</v>
      </c>
      <c r="E10617" s="5" t="n">
        <v>240.8</v>
      </c>
      <c r="F10617" s="3" t="inlineStr">
        <is>
          <t>부강면</t>
        </is>
      </c>
      <c r="G10617" s="3" t="inlineStr">
        <is>
          <t>문곡리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부강면</t>
        </is>
      </c>
    </row>
    <row r="10618">
      <c r="A10618" s="3" t="n">
        <v>2024</v>
      </c>
      <c r="B10618" s="4" t="n">
        <v>23000</v>
      </c>
      <c r="C10618" s="4" t="n">
        <v>142</v>
      </c>
      <c r="D10618" s="4" t="n">
        <v>42.955</v>
      </c>
      <c r="E10618" s="5" t="n">
        <v>535.4</v>
      </c>
      <c r="F10618" s="3" t="inlineStr">
        <is>
          <t>조치원읍</t>
        </is>
      </c>
      <c r="G10618" s="3" t="inlineStr">
        <is>
          <t>남리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조치원읍</t>
        </is>
      </c>
    </row>
    <row r="10619">
      <c r="A10619" s="3" t="n">
        <v>2024</v>
      </c>
      <c r="B10619" s="4" t="n">
        <v>31500</v>
      </c>
      <c r="C10619" s="4" t="n">
        <v>257.8</v>
      </c>
      <c r="D10619" s="4" t="n">
        <v>77.9845</v>
      </c>
      <c r="E10619" s="5" t="n">
        <v>403.9</v>
      </c>
      <c r="F10619" s="3" t="inlineStr">
        <is>
          <t>조치원읍</t>
        </is>
      </c>
      <c r="G10619" s="3" t="inlineStr">
        <is>
          <t>교리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조치원읍</t>
        </is>
      </c>
    </row>
    <row r="10620">
      <c r="A10620" s="3" t="n">
        <v>2024</v>
      </c>
      <c r="B10620" s="4" t="n">
        <v>10080</v>
      </c>
      <c r="C10620" s="4" t="n">
        <v>388</v>
      </c>
      <c r="D10620" s="4" t="n">
        <v>117.37</v>
      </c>
      <c r="E10620" s="5" t="n">
        <v>85.90000000000001</v>
      </c>
      <c r="F10620" s="3" t="inlineStr">
        <is>
          <t>전의면</t>
        </is>
      </c>
      <c r="G10620" s="3" t="inlineStr">
        <is>
          <t>신방리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전의면</t>
        </is>
      </c>
    </row>
    <row r="10621">
      <c r="A10621" s="3" t="n">
        <v>2024</v>
      </c>
      <c r="B10621" s="4" t="n">
        <v>30000</v>
      </c>
      <c r="C10621" s="4" t="n">
        <v>669</v>
      </c>
      <c r="D10621" s="4" t="n">
        <v>202.3725</v>
      </c>
      <c r="E10621" s="5" t="n">
        <v>148.2</v>
      </c>
      <c r="F10621" s="3" t="inlineStr">
        <is>
          <t>금남면</t>
        </is>
      </c>
      <c r="G10621" s="3" t="inlineStr">
        <is>
          <t>영치리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금남면</t>
        </is>
      </c>
    </row>
    <row r="10622">
      <c r="A10622" s="3" t="n">
        <v>2024</v>
      </c>
      <c r="B10622" s="4" t="n">
        <v>13000</v>
      </c>
      <c r="C10622" s="4" t="n">
        <v>461</v>
      </c>
      <c r="D10622" s="4" t="n">
        <v>139.4525</v>
      </c>
      <c r="E10622" s="5" t="n">
        <v>93.2</v>
      </c>
      <c r="F10622" s="3" t="inlineStr">
        <is>
          <t>부강면</t>
        </is>
      </c>
      <c r="G10622" s="3" t="inlineStr">
        <is>
          <t>등곡리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부강면</t>
        </is>
      </c>
    </row>
    <row r="10623">
      <c r="A10623" s="3" t="n">
        <v>2024</v>
      </c>
      <c r="B10623" s="4" t="n">
        <v>35720</v>
      </c>
      <c r="C10623" s="4" t="n">
        <v>621</v>
      </c>
      <c r="D10623" s="4" t="n">
        <v>187.8525</v>
      </c>
      <c r="E10623" s="5" t="n">
        <v>190.1</v>
      </c>
      <c r="F10623" s="3" t="inlineStr">
        <is>
          <t>부강면</t>
        </is>
      </c>
      <c r="G10623" s="3" t="inlineStr">
        <is>
          <t>부강리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부강면</t>
        </is>
      </c>
    </row>
    <row r="10624">
      <c r="A10624" s="3" t="n">
        <v>2024</v>
      </c>
      <c r="B10624" s="4" t="n">
        <v>76350</v>
      </c>
      <c r="C10624" s="4" t="n">
        <v>504</v>
      </c>
      <c r="D10624" s="4" t="n">
        <v>152.46</v>
      </c>
      <c r="E10624" s="5" t="n">
        <v>500.8</v>
      </c>
      <c r="F10624" s="3" t="inlineStr">
        <is>
          <t>장군면</t>
        </is>
      </c>
      <c r="G10624" s="3" t="inlineStr">
        <is>
          <t>도계리</t>
        </is>
      </c>
      <c r="H10624" s="3" t="inlineStr">
        <is>
          <t>단독다가구</t>
        </is>
      </c>
      <c r="I10624" s="3" t="inlineStr">
        <is>
          <t>다가구</t>
        </is>
      </c>
      <c r="J10624" s="3" t="inlineStr">
        <is>
          <t>장군면</t>
        </is>
      </c>
    </row>
    <row r="10625">
      <c r="A10625" s="3" t="n">
        <v>2024</v>
      </c>
      <c r="B10625" s="4" t="n">
        <v>4800</v>
      </c>
      <c r="C10625" s="4" t="n">
        <v>133</v>
      </c>
      <c r="D10625" s="4" t="n">
        <v>40.2325</v>
      </c>
      <c r="E10625" s="5" t="n">
        <v>119.3</v>
      </c>
      <c r="F10625" s="3" t="inlineStr">
        <is>
          <t>전동면</t>
        </is>
      </c>
      <c r="G10625" s="3" t="inlineStr">
        <is>
          <t>노장리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전동면</t>
        </is>
      </c>
    </row>
    <row r="10626">
      <c r="A10626" s="3" t="n">
        <v>2024</v>
      </c>
      <c r="B10626" s="4" t="n">
        <v>15000</v>
      </c>
      <c r="C10626" s="4" t="n">
        <v>189</v>
      </c>
      <c r="D10626" s="4" t="n">
        <v>57.1725</v>
      </c>
      <c r="E10626" s="5" t="n">
        <v>262.4</v>
      </c>
      <c r="F10626" s="3" t="inlineStr">
        <is>
          <t>조치원읍</t>
        </is>
      </c>
      <c r="G10626" s="3" t="inlineStr">
        <is>
          <t>죽림리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조치원읍</t>
        </is>
      </c>
    </row>
    <row r="10627">
      <c r="A10627" s="3" t="n">
        <v>2024</v>
      </c>
      <c r="B10627" s="4" t="n">
        <v>52600</v>
      </c>
      <c r="C10627" s="4" t="n">
        <v>375</v>
      </c>
      <c r="D10627" s="4" t="n">
        <v>113.4375</v>
      </c>
      <c r="E10627" s="5" t="n">
        <v>463.7</v>
      </c>
      <c r="F10627" s="3" t="inlineStr">
        <is>
          <t>금남면</t>
        </is>
      </c>
      <c r="G10627" s="3" t="inlineStr">
        <is>
          <t>대박리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금남면</t>
        </is>
      </c>
    </row>
    <row r="10628">
      <c r="A10628" s="3" t="n">
        <v>2024</v>
      </c>
      <c r="B10628" s="4" t="n">
        <v>29000</v>
      </c>
      <c r="C10628" s="4" t="n">
        <v>638</v>
      </c>
      <c r="D10628" s="4" t="n">
        <v>192.995</v>
      </c>
      <c r="E10628" s="5" t="n">
        <v>150.3</v>
      </c>
      <c r="F10628" s="3" t="inlineStr">
        <is>
          <t>부강면</t>
        </is>
      </c>
      <c r="G10628" s="3" t="inlineStr">
        <is>
          <t>부강리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부강면</t>
        </is>
      </c>
    </row>
    <row r="10629">
      <c r="A10629" s="3" t="n">
        <v>2024</v>
      </c>
      <c r="B10629" s="4" t="n">
        <v>39000</v>
      </c>
      <c r="C10629" s="4" t="n">
        <v>343</v>
      </c>
      <c r="D10629" s="4" t="n">
        <v>103.7575</v>
      </c>
      <c r="E10629" s="5" t="n">
        <v>375.9</v>
      </c>
      <c r="F10629" s="3" t="inlineStr">
        <is>
          <t>조치원읍</t>
        </is>
      </c>
      <c r="G10629" s="3" t="inlineStr">
        <is>
          <t>신안리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조치원읍</t>
        </is>
      </c>
    </row>
    <row r="10630">
      <c r="A10630" s="3" t="n">
        <v>2024</v>
      </c>
      <c r="B10630" s="4" t="n">
        <v>11772</v>
      </c>
      <c r="C10630" s="4" t="n">
        <v>313</v>
      </c>
      <c r="D10630" s="4" t="n">
        <v>94.68249999999999</v>
      </c>
      <c r="E10630" s="5" t="n">
        <v>124.3</v>
      </c>
      <c r="F10630" s="3" t="inlineStr">
        <is>
          <t>소정면</t>
        </is>
      </c>
      <c r="G10630" s="3" t="inlineStr">
        <is>
          <t>소정리</t>
        </is>
      </c>
      <c r="H10630" s="3" t="inlineStr">
        <is>
          <t>단독다가구</t>
        </is>
      </c>
      <c r="I10630" s="3" t="inlineStr">
        <is>
          <t>단독</t>
        </is>
      </c>
      <c r="J10630" s="3" t="inlineStr">
        <is>
          <t>소정면</t>
        </is>
      </c>
    </row>
    <row r="10631">
      <c r="A10631" s="3" t="n">
        <v>2024</v>
      </c>
      <c r="B10631" s="4" t="n">
        <v>9000</v>
      </c>
      <c r="C10631" s="4" t="n">
        <v>707</v>
      </c>
      <c r="D10631" s="4" t="n">
        <v>213.8675</v>
      </c>
      <c r="E10631" s="5" t="n">
        <v>42.1</v>
      </c>
      <c r="F10631" s="3" t="inlineStr">
        <is>
          <t>전의면</t>
        </is>
      </c>
      <c r="G10631" s="3" t="inlineStr">
        <is>
          <t>유천리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전의면</t>
        </is>
      </c>
    </row>
    <row r="10632">
      <c r="A10632" s="3" t="n">
        <v>2024</v>
      </c>
      <c r="B10632" s="4" t="n">
        <v>59000</v>
      </c>
      <c r="C10632" s="4" t="n">
        <v>226.4</v>
      </c>
      <c r="D10632" s="4" t="n">
        <v>68.486</v>
      </c>
      <c r="E10632" s="5" t="n">
        <v>861.5</v>
      </c>
      <c r="F10632" s="3" t="inlineStr">
        <is>
          <t>조치원읍</t>
        </is>
      </c>
      <c r="G10632" s="3" t="inlineStr">
        <is>
          <t>침산리</t>
        </is>
      </c>
      <c r="H10632" s="3" t="inlineStr">
        <is>
          <t>단독다가구</t>
        </is>
      </c>
      <c r="I10632" s="3" t="inlineStr">
        <is>
          <t>다가구</t>
        </is>
      </c>
      <c r="J10632" s="3" t="inlineStr">
        <is>
          <t>조치원읍</t>
        </is>
      </c>
    </row>
    <row r="10633">
      <c r="A10633" s="3" t="n">
        <v>2024</v>
      </c>
      <c r="B10633" s="4" t="n">
        <v>54500</v>
      </c>
      <c r="C10633" s="4" t="n">
        <v>395</v>
      </c>
      <c r="D10633" s="4" t="n">
        <v>119.4875</v>
      </c>
      <c r="E10633" s="5" t="n">
        <v>456.1</v>
      </c>
      <c r="F10633" s="3" t="inlineStr">
        <is>
          <t>금남면</t>
        </is>
      </c>
      <c r="G10633" s="3" t="inlineStr">
        <is>
          <t>대박리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2024</v>
      </c>
      <c r="B10634" s="4" t="n">
        <v>72000</v>
      </c>
      <c r="C10634" s="4" t="n">
        <v>245.6</v>
      </c>
      <c r="D10634" s="4" t="n">
        <v>74.294</v>
      </c>
      <c r="E10634" s="5" t="n">
        <v>969.1</v>
      </c>
      <c r="F10634" s="3" t="inlineStr">
        <is>
          <t>조치원읍</t>
        </is>
      </c>
      <c r="G10634" s="3" t="inlineStr">
        <is>
          <t>침산리</t>
        </is>
      </c>
      <c r="H10634" s="3" t="inlineStr">
        <is>
          <t>단독다가구</t>
        </is>
      </c>
      <c r="I10634" s="3" t="inlineStr">
        <is>
          <t>다가구</t>
        </is>
      </c>
      <c r="J10634" s="3" t="inlineStr">
        <is>
          <t>조치원읍</t>
        </is>
      </c>
    </row>
    <row r="10635">
      <c r="A10635" s="3" t="n">
        <v>2024</v>
      </c>
      <c r="B10635" s="4" t="n">
        <v>67000</v>
      </c>
      <c r="C10635" s="4" t="n">
        <v>214.5</v>
      </c>
      <c r="D10635" s="4" t="n">
        <v>64.88625</v>
      </c>
      <c r="E10635" s="5" t="n">
        <v>1032.6</v>
      </c>
      <c r="F10635" s="3" t="inlineStr">
        <is>
          <t>조치원읍</t>
        </is>
      </c>
      <c r="G10635" s="3" t="inlineStr">
        <is>
          <t>침산리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조치원읍</t>
        </is>
      </c>
    </row>
    <row r="10636">
      <c r="A10636" s="3" t="n">
        <v>2024</v>
      </c>
      <c r="B10636" s="4" t="n">
        <v>10000</v>
      </c>
      <c r="C10636" s="4" t="n">
        <v>324</v>
      </c>
      <c r="D10636" s="4" t="n">
        <v>98.00999999999999</v>
      </c>
      <c r="E10636" s="5" t="n">
        <v>102</v>
      </c>
      <c r="F10636" s="3" t="inlineStr">
        <is>
          <t>연서면</t>
        </is>
      </c>
      <c r="G10636" s="3" t="inlineStr">
        <is>
          <t>기룡리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연서면</t>
        </is>
      </c>
    </row>
    <row r="10637">
      <c r="A10637" s="3" t="n">
        <v>2024</v>
      </c>
      <c r="B10637" s="4" t="n">
        <v>8800</v>
      </c>
      <c r="C10637" s="4" t="n">
        <v>205</v>
      </c>
      <c r="D10637" s="4" t="n">
        <v>62.0125</v>
      </c>
      <c r="E10637" s="5" t="n">
        <v>141.9</v>
      </c>
      <c r="F10637" s="3" t="inlineStr">
        <is>
          <t>연서면</t>
        </is>
      </c>
      <c r="G10637" s="3" t="inlineStr">
        <is>
          <t>신대리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연서면</t>
        </is>
      </c>
    </row>
    <row r="10638">
      <c r="A10638" s="3" t="n">
        <v>2024</v>
      </c>
      <c r="B10638" s="4" t="n">
        <v>6030</v>
      </c>
      <c r="C10638" s="4" t="n">
        <v>53</v>
      </c>
      <c r="D10638" s="4" t="n">
        <v>16.0325</v>
      </c>
      <c r="E10638" s="5" t="n">
        <v>376.1</v>
      </c>
      <c r="F10638" s="3" t="inlineStr">
        <is>
          <t>조치원읍</t>
        </is>
      </c>
      <c r="G10638" s="3" t="inlineStr">
        <is>
          <t>신흥리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조치원읍</t>
        </is>
      </c>
    </row>
    <row r="10639">
      <c r="A10639" s="3" t="n">
        <v>2024</v>
      </c>
      <c r="B10639" s="4" t="n">
        <v>47500</v>
      </c>
      <c r="C10639" s="4" t="n">
        <v>450</v>
      </c>
      <c r="D10639" s="4" t="n">
        <v>136.125</v>
      </c>
      <c r="E10639" s="5" t="n">
        <v>348.9</v>
      </c>
      <c r="F10639" s="3" t="inlineStr">
        <is>
          <t>조치원읍</t>
        </is>
      </c>
      <c r="G10639" s="3" t="inlineStr">
        <is>
          <t>죽림리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조치원읍</t>
        </is>
      </c>
    </row>
    <row r="10640">
      <c r="A10640" s="3" t="n">
        <v>2024</v>
      </c>
      <c r="B10640" s="4" t="n">
        <v>47000</v>
      </c>
      <c r="C10640" s="4" t="n">
        <v>595</v>
      </c>
      <c r="D10640" s="4" t="n">
        <v>179.9875</v>
      </c>
      <c r="E10640" s="5" t="n">
        <v>261.1</v>
      </c>
      <c r="F10640" s="3" t="inlineStr">
        <is>
          <t>전동면</t>
        </is>
      </c>
      <c r="G10640" s="3" t="inlineStr">
        <is>
          <t>송곡리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전동면</t>
        </is>
      </c>
    </row>
    <row r="10641">
      <c r="A10641" s="3" t="n">
        <v>2024</v>
      </c>
      <c r="B10641" s="4" t="n">
        <v>8860</v>
      </c>
      <c r="C10641" s="4" t="n">
        <v>426</v>
      </c>
      <c r="D10641" s="4" t="n">
        <v>128.865</v>
      </c>
      <c r="E10641" s="5" t="n">
        <v>68.8</v>
      </c>
      <c r="F10641" s="3" t="inlineStr">
        <is>
          <t>소정면</t>
        </is>
      </c>
      <c r="G10641" s="3" t="inlineStr">
        <is>
          <t>고등리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소정면</t>
        </is>
      </c>
    </row>
    <row r="10642">
      <c r="A10642" s="3" t="n">
        <v>2024</v>
      </c>
      <c r="B10642" s="4" t="n">
        <v>25000</v>
      </c>
      <c r="C10642" s="4" t="n">
        <v>201</v>
      </c>
      <c r="D10642" s="4" t="n">
        <v>60.80249999999999</v>
      </c>
      <c r="E10642" s="5" t="n">
        <v>411.2</v>
      </c>
      <c r="F10642" s="3" t="inlineStr">
        <is>
          <t>장군면</t>
        </is>
      </c>
      <c r="G10642" s="3" t="inlineStr">
        <is>
          <t>대교리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장군면</t>
        </is>
      </c>
    </row>
    <row r="10643">
      <c r="A10643" s="3" t="n">
        <v>2024</v>
      </c>
      <c r="B10643" s="4" t="n">
        <v>40640</v>
      </c>
      <c r="C10643" s="4" t="n">
        <v>430</v>
      </c>
      <c r="D10643" s="4" t="n">
        <v>130.075</v>
      </c>
      <c r="E10643" s="5" t="n">
        <v>312.4</v>
      </c>
      <c r="F10643" s="3" t="inlineStr">
        <is>
          <t>금남면</t>
        </is>
      </c>
      <c r="G10643" s="3" t="inlineStr">
        <is>
          <t>도남리</t>
        </is>
      </c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금남면</t>
        </is>
      </c>
    </row>
    <row r="10644">
      <c r="A10644" s="3" t="n">
        <v>2024</v>
      </c>
      <c r="B10644" s="4" t="n">
        <v>103000</v>
      </c>
      <c r="C10644" s="4" t="n">
        <v>313.9</v>
      </c>
      <c r="D10644" s="4" t="n">
        <v>94.95474999999999</v>
      </c>
      <c r="E10644" s="5" t="n">
        <v>1084.7</v>
      </c>
      <c r="F10644" s="3" t="inlineStr">
        <is>
          <t>조치원읍</t>
        </is>
      </c>
      <c r="G10644" s="3" t="inlineStr">
        <is>
          <t>교리</t>
        </is>
      </c>
      <c r="H10644" s="3" t="inlineStr">
        <is>
          <t>단독다가구</t>
        </is>
      </c>
      <c r="I10644" s="3" t="inlineStr">
        <is>
          <t>다가구</t>
        </is>
      </c>
      <c r="J10644" s="3" t="inlineStr">
        <is>
          <t>조치원읍</t>
        </is>
      </c>
    </row>
    <row r="10645">
      <c r="A10645" s="3" t="n">
        <v>2024</v>
      </c>
      <c r="B10645" s="4" t="n">
        <v>17000</v>
      </c>
      <c r="C10645" s="4" t="n">
        <v>132</v>
      </c>
      <c r="D10645" s="4" t="n">
        <v>39.93</v>
      </c>
      <c r="E10645" s="5" t="n">
        <v>425.7</v>
      </c>
      <c r="F10645" s="3" t="inlineStr">
        <is>
          <t>소정면</t>
        </is>
      </c>
      <c r="G10645" s="3" t="inlineStr">
        <is>
          <t>소정리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소정면</t>
        </is>
      </c>
    </row>
    <row r="10646">
      <c r="A10646" s="3" t="n">
        <v>2024</v>
      </c>
      <c r="B10646" s="4" t="n">
        <v>69000</v>
      </c>
      <c r="C10646" s="4" t="n">
        <v>362</v>
      </c>
      <c r="D10646" s="4" t="n">
        <v>109.505</v>
      </c>
      <c r="E10646" s="5" t="n">
        <v>630.1</v>
      </c>
      <c r="F10646" s="3" t="inlineStr">
        <is>
          <t>금남면</t>
        </is>
      </c>
      <c r="G10646" s="3" t="inlineStr">
        <is>
          <t>도남리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금남면</t>
        </is>
      </c>
    </row>
    <row r="10647">
      <c r="A10647" s="3" t="n">
        <v>2024</v>
      </c>
      <c r="B10647" s="4" t="n">
        <v>28400</v>
      </c>
      <c r="C10647" s="4" t="n">
        <v>214</v>
      </c>
      <c r="D10647" s="4" t="n">
        <v>64.735</v>
      </c>
      <c r="E10647" s="5" t="n">
        <v>438.7</v>
      </c>
      <c r="F10647" s="3" t="inlineStr">
        <is>
          <t>조치원읍</t>
        </is>
      </c>
      <c r="G10647" s="3" t="inlineStr">
        <is>
          <t>신안리</t>
        </is>
      </c>
      <c r="H10647" s="3" t="inlineStr">
        <is>
          <t>단독다가구</t>
        </is>
      </c>
      <c r="I10647" s="3" t="inlineStr">
        <is>
          <t>다가구</t>
        </is>
      </c>
      <c r="J10647" s="3" t="inlineStr">
        <is>
          <t>조치원읍</t>
        </is>
      </c>
    </row>
    <row r="10648">
      <c r="A10648" s="3" t="n">
        <v>2024</v>
      </c>
      <c r="B10648" s="4" t="n">
        <v>37500</v>
      </c>
      <c r="C10648" s="4" t="n">
        <v>165</v>
      </c>
      <c r="D10648" s="4" t="n">
        <v>49.9125</v>
      </c>
      <c r="E10648" s="5" t="n">
        <v>751.3</v>
      </c>
      <c r="F10648" s="3" t="inlineStr">
        <is>
          <t>금남면</t>
        </is>
      </c>
      <c r="G10648" s="3" t="inlineStr">
        <is>
          <t>용포리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금남면</t>
        </is>
      </c>
    </row>
    <row r="10649">
      <c r="A10649" s="3" t="n">
        <v>2024</v>
      </c>
      <c r="B10649" s="4" t="n">
        <v>18000</v>
      </c>
      <c r="C10649" s="4" t="n">
        <v>294</v>
      </c>
      <c r="D10649" s="4" t="n">
        <v>88.935</v>
      </c>
      <c r="E10649" s="5" t="n">
        <v>202.4</v>
      </c>
      <c r="F10649" s="3" t="inlineStr">
        <is>
          <t>장군면</t>
        </is>
      </c>
      <c r="G10649" s="3" t="inlineStr">
        <is>
          <t>평기리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장군면</t>
        </is>
      </c>
    </row>
    <row r="10650">
      <c r="A10650" s="3" t="n">
        <v>2024</v>
      </c>
      <c r="B10650" s="4" t="n">
        <v>15000</v>
      </c>
      <c r="C10650" s="4" t="n">
        <v>221</v>
      </c>
      <c r="D10650" s="4" t="n">
        <v>66.85249999999999</v>
      </c>
      <c r="E10650" s="5" t="n">
        <v>224.4</v>
      </c>
      <c r="F10650" s="3" t="inlineStr">
        <is>
          <t>조치원읍</t>
        </is>
      </c>
      <c r="G10650" s="3" t="inlineStr">
        <is>
          <t>서창리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33600</v>
      </c>
      <c r="C10651" s="4" t="n">
        <v>551</v>
      </c>
      <c r="D10651" s="4" t="n">
        <v>166.6775</v>
      </c>
      <c r="E10651" s="5" t="n">
        <v>201.6</v>
      </c>
      <c r="F10651" s="3" t="inlineStr">
        <is>
          <t>장군면</t>
        </is>
      </c>
      <c r="G10651" s="3" t="inlineStr">
        <is>
          <t>금암리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장군면</t>
        </is>
      </c>
    </row>
    <row r="10652">
      <c r="A10652" s="3" t="n">
        <v>2024</v>
      </c>
      <c r="B10652" s="4" t="n">
        <v>21000</v>
      </c>
      <c r="C10652" s="4" t="n">
        <v>252</v>
      </c>
      <c r="D10652" s="4" t="n">
        <v>76.23</v>
      </c>
      <c r="E10652" s="5" t="n">
        <v>275.5</v>
      </c>
      <c r="F10652" s="3" t="inlineStr">
        <is>
          <t>조치원읍</t>
        </is>
      </c>
      <c r="G10652" s="3" t="inlineStr">
        <is>
          <t>침산리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조치원읍</t>
        </is>
      </c>
    </row>
    <row r="10653">
      <c r="A10653" s="3" t="n">
        <v>2025</v>
      </c>
      <c r="B10653" s="4" t="n">
        <v>12885</v>
      </c>
      <c r="C10653" s="4" t="n">
        <v>393</v>
      </c>
      <c r="D10653" s="4" t="n">
        <v>118.8825</v>
      </c>
      <c r="E10653" s="5" t="n">
        <v>108.4</v>
      </c>
      <c r="F10653" s="3" t="inlineStr">
        <is>
          <t>부강면</t>
        </is>
      </c>
      <c r="G10653" s="3" t="inlineStr">
        <is>
          <t>부강리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부강면</t>
        </is>
      </c>
    </row>
    <row r="10654">
      <c r="A10654" s="3" t="n">
        <v>2025</v>
      </c>
      <c r="B10654" s="4" t="n">
        <v>54000</v>
      </c>
      <c r="C10654" s="4" t="n">
        <v>495</v>
      </c>
      <c r="D10654" s="4" t="n">
        <v>149.7375</v>
      </c>
      <c r="E10654" s="5" t="n">
        <v>360.6</v>
      </c>
      <c r="F10654" s="3" t="inlineStr">
        <is>
          <t>조치원읍</t>
        </is>
      </c>
      <c r="G10654" s="3" t="inlineStr">
        <is>
          <t>신안리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조치원읍</t>
        </is>
      </c>
    </row>
    <row r="10655">
      <c r="A10655" s="3" t="n">
        <v>2025</v>
      </c>
      <c r="B10655" s="4" t="n">
        <v>18500</v>
      </c>
      <c r="C10655" s="4" t="n">
        <v>139</v>
      </c>
      <c r="D10655" s="4" t="n">
        <v>42.0475</v>
      </c>
      <c r="E10655" s="5" t="n">
        <v>440</v>
      </c>
      <c r="F10655" s="3" t="inlineStr">
        <is>
          <t>부강면</t>
        </is>
      </c>
      <c r="G10655" s="3" t="inlineStr">
        <is>
          <t>부강리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부강면</t>
        </is>
      </c>
    </row>
    <row r="10656">
      <c r="A10656" s="3" t="n">
        <v>2025</v>
      </c>
      <c r="B10656" s="4" t="n">
        <v>19000</v>
      </c>
      <c r="C10656" s="4" t="n">
        <v>289</v>
      </c>
      <c r="D10656" s="4" t="n">
        <v>87.4225</v>
      </c>
      <c r="E10656" s="5" t="n">
        <v>217.3</v>
      </c>
      <c r="F10656" s="3" t="inlineStr">
        <is>
          <t>소정면</t>
        </is>
      </c>
      <c r="G10656" s="3" t="inlineStr">
        <is>
          <t>대곡리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소정면</t>
        </is>
      </c>
    </row>
    <row r="10657">
      <c r="A10657" s="3" t="n">
        <v>2025</v>
      </c>
      <c r="B10657" s="4" t="n">
        <v>30000</v>
      </c>
      <c r="C10657" s="4" t="n">
        <v>343</v>
      </c>
      <c r="D10657" s="4" t="n">
        <v>103.7575</v>
      </c>
      <c r="E10657" s="5" t="n">
        <v>289.1</v>
      </c>
      <c r="F10657" s="3" t="inlineStr">
        <is>
          <t>조치원읍</t>
        </is>
      </c>
      <c r="G10657" s="3" t="inlineStr">
        <is>
          <t>신안리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조치원읍</t>
        </is>
      </c>
    </row>
    <row r="10658">
      <c r="A10658" s="3" t="n">
        <v>2024</v>
      </c>
      <c r="B10658" s="4" t="n">
        <v>12000</v>
      </c>
      <c r="C10658" s="4" t="n">
        <v>324</v>
      </c>
      <c r="D10658" s="4" t="n">
        <v>98.00999999999999</v>
      </c>
      <c r="E10658" s="5" t="n">
        <v>122.4</v>
      </c>
      <c r="F10658" s="3" t="inlineStr">
        <is>
          <t>소정면</t>
        </is>
      </c>
      <c r="G10658" s="3" t="inlineStr">
        <is>
          <t>소정리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소정면</t>
        </is>
      </c>
    </row>
    <row r="10659">
      <c r="A10659" s="3" t="n">
        <v>2024</v>
      </c>
      <c r="B10659" s="4" t="n">
        <v>10000</v>
      </c>
      <c r="C10659" s="4" t="n">
        <v>59</v>
      </c>
      <c r="D10659" s="4" t="n">
        <v>17.8475</v>
      </c>
      <c r="E10659" s="5" t="n">
        <v>560.3</v>
      </c>
      <c r="F10659" s="3" t="inlineStr">
        <is>
          <t>금남면</t>
        </is>
      </c>
      <c r="G10659" s="3" t="inlineStr">
        <is>
          <t>용포리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2024</v>
      </c>
      <c r="B10660" s="4" t="n">
        <v>48540</v>
      </c>
      <c r="C10660" s="4" t="n">
        <v>290</v>
      </c>
      <c r="D10660" s="4" t="n">
        <v>87.72499999999999</v>
      </c>
      <c r="E10660" s="5" t="n">
        <v>553.3</v>
      </c>
      <c r="F10660" s="3" t="inlineStr">
        <is>
          <t>장군면</t>
        </is>
      </c>
      <c r="G10660" s="3" t="inlineStr">
        <is>
          <t>대교리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2024</v>
      </c>
      <c r="B10661" s="4" t="n">
        <v>11400</v>
      </c>
      <c r="C10661" s="4" t="n">
        <v>92</v>
      </c>
      <c r="D10661" s="4" t="n">
        <v>27.83</v>
      </c>
      <c r="E10661" s="5" t="n">
        <v>409.6</v>
      </c>
      <c r="F10661" s="3" t="inlineStr">
        <is>
          <t>금남면</t>
        </is>
      </c>
      <c r="G10661" s="3" t="inlineStr">
        <is>
          <t>용포리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2024</v>
      </c>
      <c r="B10662" s="4" t="n">
        <v>26800</v>
      </c>
      <c r="C10662" s="4" t="n">
        <v>153</v>
      </c>
      <c r="D10662" s="4" t="n">
        <v>46.2825</v>
      </c>
      <c r="E10662" s="5" t="n">
        <v>579.1</v>
      </c>
      <c r="F10662" s="3" t="inlineStr">
        <is>
          <t>조치원읍</t>
        </is>
      </c>
      <c r="G10662" s="3" t="inlineStr">
        <is>
          <t>원리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조치원읍</t>
        </is>
      </c>
    </row>
    <row r="10663">
      <c r="A10663" s="3" t="n">
        <v>2024</v>
      </c>
      <c r="B10663" s="4" t="n">
        <v>50400</v>
      </c>
      <c r="C10663" s="4" t="n">
        <v>460</v>
      </c>
      <c r="D10663" s="4" t="n">
        <v>139.15</v>
      </c>
      <c r="E10663" s="5" t="n">
        <v>362.2</v>
      </c>
      <c r="F10663" s="3" t="inlineStr">
        <is>
          <t>금남면</t>
        </is>
      </c>
      <c r="G10663" s="3" t="inlineStr">
        <is>
          <t>대박리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금남면</t>
        </is>
      </c>
    </row>
    <row r="10664">
      <c r="A10664" s="3" t="n">
        <v>2023</v>
      </c>
      <c r="B10664" s="4" t="n">
        <v>90000</v>
      </c>
      <c r="C10664" s="4" t="n">
        <v>271.1</v>
      </c>
      <c r="D10664" s="4" t="n">
        <v>82.00775</v>
      </c>
      <c r="E10664" s="5" t="n">
        <v>1097.5</v>
      </c>
      <c r="F10664" s="3" t="inlineStr">
        <is>
          <t>조치원읍</t>
        </is>
      </c>
      <c r="G10664" s="3" t="inlineStr">
        <is>
          <t>침산리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조치원읍</t>
        </is>
      </c>
    </row>
    <row r="10665">
      <c r="A10665" s="3" t="n">
        <v>2023</v>
      </c>
      <c r="B10665" s="4" t="n">
        <v>25863</v>
      </c>
      <c r="C10665" s="4" t="n">
        <v>549</v>
      </c>
      <c r="D10665" s="4" t="n">
        <v>166.0725</v>
      </c>
      <c r="E10665" s="5" t="n">
        <v>155.7</v>
      </c>
      <c r="F10665" s="3" t="inlineStr">
        <is>
          <t>전의면</t>
        </is>
      </c>
      <c r="G10665" s="3" t="inlineStr">
        <is>
          <t>신정리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전의면</t>
        </is>
      </c>
    </row>
    <row r="10666">
      <c r="A10666" s="3" t="n">
        <v>2023</v>
      </c>
      <c r="B10666" s="4" t="n">
        <v>14000</v>
      </c>
      <c r="C10666" s="4" t="n">
        <v>208.2</v>
      </c>
      <c r="D10666" s="4" t="n">
        <v>62.98049999999999</v>
      </c>
      <c r="E10666" s="5" t="n">
        <v>222.3</v>
      </c>
      <c r="F10666" s="3" t="inlineStr">
        <is>
          <t>전의면</t>
        </is>
      </c>
      <c r="G10666" s="3" t="inlineStr">
        <is>
          <t>동교리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전의면</t>
        </is>
      </c>
    </row>
    <row r="10667">
      <c r="A10667" s="3" t="n">
        <v>2023</v>
      </c>
      <c r="B10667" s="4" t="n">
        <v>21000</v>
      </c>
      <c r="C10667" s="4" t="n">
        <v>237</v>
      </c>
      <c r="D10667" s="4" t="n">
        <v>71.6925</v>
      </c>
      <c r="E10667" s="5" t="n">
        <v>292.9</v>
      </c>
      <c r="F10667" s="3" t="inlineStr">
        <is>
          <t>연서면</t>
        </is>
      </c>
      <c r="G10667" s="3" t="inlineStr">
        <is>
          <t>월하리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연서면</t>
        </is>
      </c>
    </row>
    <row r="10668">
      <c r="A10668" s="3" t="n">
        <v>2023</v>
      </c>
      <c r="B10668" s="4" t="n">
        <v>21700</v>
      </c>
      <c r="C10668" s="4" t="n">
        <v>196</v>
      </c>
      <c r="D10668" s="4" t="n">
        <v>59.29</v>
      </c>
      <c r="E10668" s="5" t="n">
        <v>366</v>
      </c>
      <c r="F10668" s="3" t="inlineStr">
        <is>
          <t>연서면</t>
        </is>
      </c>
      <c r="G10668" s="3" t="inlineStr">
        <is>
          <t>성제리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연서면</t>
        </is>
      </c>
    </row>
    <row r="10669">
      <c r="A10669" s="3" t="n">
        <v>2023</v>
      </c>
      <c r="B10669" s="4" t="n">
        <v>50000</v>
      </c>
      <c r="C10669" s="4" t="n">
        <v>385</v>
      </c>
      <c r="D10669" s="4" t="n">
        <v>116.4625</v>
      </c>
      <c r="E10669" s="5" t="n">
        <v>429.3</v>
      </c>
      <c r="F10669" s="3" t="inlineStr">
        <is>
          <t>조치원읍</t>
        </is>
      </c>
      <c r="G10669" s="3" t="inlineStr">
        <is>
          <t>서창리</t>
        </is>
      </c>
      <c r="H10669" s="3" t="inlineStr">
        <is>
          <t>단독다가구</t>
        </is>
      </c>
      <c r="I10669" s="3" t="inlineStr">
        <is>
          <t>다가구</t>
        </is>
      </c>
      <c r="J10669" s="3" t="inlineStr">
        <is>
          <t>조치원읍</t>
        </is>
      </c>
    </row>
    <row r="10670">
      <c r="A10670" s="3" t="n">
        <v>2023</v>
      </c>
      <c r="B10670" s="4" t="n">
        <v>134000</v>
      </c>
      <c r="C10670" s="4" t="n">
        <v>332.4</v>
      </c>
      <c r="D10670" s="4" t="n">
        <v>100.551</v>
      </c>
      <c r="E10670" s="5" t="n">
        <v>1332.7</v>
      </c>
      <c r="F10670" s="3" t="inlineStr">
        <is>
          <t>아름동</t>
        </is>
      </c>
      <c r="G10670" s="3" t="inlineStr"/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아름동</t>
        </is>
      </c>
    </row>
    <row r="10671">
      <c r="A10671" s="3" t="n">
        <v>2023</v>
      </c>
      <c r="B10671" s="4" t="n">
        <v>1750</v>
      </c>
      <c r="C10671" s="4" t="n">
        <v>276</v>
      </c>
      <c r="D10671" s="4" t="n">
        <v>83.48999999999999</v>
      </c>
      <c r="E10671" s="5" t="n">
        <v>21</v>
      </c>
      <c r="F10671" s="3" t="inlineStr">
        <is>
          <t>전의면</t>
        </is>
      </c>
      <c r="G10671" s="3" t="inlineStr">
        <is>
          <t>신방리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전의면</t>
        </is>
      </c>
    </row>
    <row r="10672">
      <c r="A10672" s="3" t="n">
        <v>2023</v>
      </c>
      <c r="B10672" s="4" t="n">
        <v>73026</v>
      </c>
      <c r="C10672" s="4" t="n">
        <v>311.1</v>
      </c>
      <c r="D10672" s="4" t="n">
        <v>94.10775000000001</v>
      </c>
      <c r="E10672" s="5" t="n">
        <v>776</v>
      </c>
      <c r="F10672" s="3" t="inlineStr">
        <is>
          <t>아름동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아름동</t>
        </is>
      </c>
    </row>
    <row r="10673">
      <c r="A10673" s="3" t="n">
        <v>2023</v>
      </c>
      <c r="B10673" s="4" t="n">
        <v>14800</v>
      </c>
      <c r="C10673" s="4" t="n">
        <v>334</v>
      </c>
      <c r="D10673" s="4" t="n">
        <v>101.035</v>
      </c>
      <c r="E10673" s="5" t="n">
        <v>146.5</v>
      </c>
      <c r="F10673" s="3" t="inlineStr">
        <is>
          <t>장군면</t>
        </is>
      </c>
      <c r="G10673" s="3" t="inlineStr">
        <is>
          <t>송정리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장군면</t>
        </is>
      </c>
    </row>
    <row r="10674">
      <c r="A10674" s="3" t="n">
        <v>2023</v>
      </c>
      <c r="B10674" s="4" t="n">
        <v>44500</v>
      </c>
      <c r="C10674" s="4" t="n">
        <v>155</v>
      </c>
      <c r="D10674" s="4" t="n">
        <v>46.8875</v>
      </c>
      <c r="E10674" s="5" t="n">
        <v>949.1</v>
      </c>
      <c r="F10674" s="3" t="inlineStr">
        <is>
          <t>조치원읍</t>
        </is>
      </c>
      <c r="G10674" s="3" t="inlineStr">
        <is>
          <t>신흥리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조치원읍</t>
        </is>
      </c>
    </row>
    <row r="10675">
      <c r="A10675" s="3" t="n">
        <v>2023</v>
      </c>
      <c r="B10675" s="4" t="n">
        <v>10400</v>
      </c>
      <c r="C10675" s="4" t="n">
        <v>166</v>
      </c>
      <c r="D10675" s="4" t="n">
        <v>50.215</v>
      </c>
      <c r="E10675" s="5" t="n">
        <v>207.1</v>
      </c>
      <c r="F10675" s="3" t="inlineStr">
        <is>
          <t>연동면</t>
        </is>
      </c>
      <c r="G10675" s="3" t="inlineStr">
        <is>
          <t>내판리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연동면</t>
        </is>
      </c>
    </row>
    <row r="10676">
      <c r="A10676" s="3" t="n">
        <v>2023</v>
      </c>
      <c r="B10676" s="4" t="n">
        <v>22000</v>
      </c>
      <c r="C10676" s="4" t="n">
        <v>148</v>
      </c>
      <c r="D10676" s="4" t="n">
        <v>44.77</v>
      </c>
      <c r="E10676" s="5" t="n">
        <v>491.4</v>
      </c>
      <c r="F10676" s="3" t="inlineStr">
        <is>
          <t>조치원읍</t>
        </is>
      </c>
      <c r="G10676" s="3" t="inlineStr">
        <is>
          <t>죽림리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조치원읍</t>
        </is>
      </c>
    </row>
    <row r="10677">
      <c r="A10677" s="3" t="n">
        <v>2023</v>
      </c>
      <c r="B10677" s="4" t="n">
        <v>15500</v>
      </c>
      <c r="C10677" s="4" t="n">
        <v>139</v>
      </c>
      <c r="D10677" s="4" t="n">
        <v>42.0475</v>
      </c>
      <c r="E10677" s="5" t="n">
        <v>368.6</v>
      </c>
      <c r="F10677" s="3" t="inlineStr">
        <is>
          <t>조치원읍</t>
        </is>
      </c>
      <c r="G10677" s="3" t="inlineStr">
        <is>
          <t>신안리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조치원읍</t>
        </is>
      </c>
    </row>
    <row r="10678">
      <c r="A10678" s="3" t="n">
        <v>2023</v>
      </c>
      <c r="B10678" s="4" t="n">
        <v>15000</v>
      </c>
      <c r="C10678" s="4" t="n">
        <v>288.2</v>
      </c>
      <c r="D10678" s="4" t="n">
        <v>87.18049999999999</v>
      </c>
      <c r="E10678" s="5" t="n">
        <v>172.1</v>
      </c>
      <c r="F10678" s="3" t="inlineStr">
        <is>
          <t>소정면</t>
        </is>
      </c>
      <c r="G10678" s="3" t="inlineStr">
        <is>
          <t>소정리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소정면</t>
        </is>
      </c>
    </row>
    <row r="10679">
      <c r="A10679" s="3" t="n">
        <v>2023</v>
      </c>
      <c r="B10679" s="4" t="n">
        <v>62950</v>
      </c>
      <c r="C10679" s="4" t="n">
        <v>418</v>
      </c>
      <c r="D10679" s="4" t="n">
        <v>126.445</v>
      </c>
      <c r="E10679" s="5" t="n">
        <v>497.8</v>
      </c>
      <c r="F10679" s="3" t="inlineStr">
        <is>
          <t>장군면</t>
        </is>
      </c>
      <c r="G10679" s="3" t="inlineStr">
        <is>
          <t>금암리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2023</v>
      </c>
      <c r="B10680" s="4" t="n">
        <v>27840</v>
      </c>
      <c r="C10680" s="4" t="n">
        <v>115</v>
      </c>
      <c r="D10680" s="4" t="n">
        <v>34.7875</v>
      </c>
      <c r="E10680" s="5" t="n">
        <v>800.3</v>
      </c>
      <c r="F10680" s="3" t="inlineStr">
        <is>
          <t>금남면</t>
        </is>
      </c>
      <c r="G10680" s="3" t="inlineStr">
        <is>
          <t>호탄리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2023</v>
      </c>
      <c r="B10681" s="4" t="n">
        <v>46989</v>
      </c>
      <c r="C10681" s="4" t="n">
        <v>497</v>
      </c>
      <c r="D10681" s="4" t="n">
        <v>150.3425</v>
      </c>
      <c r="E10681" s="5" t="n">
        <v>312.5</v>
      </c>
      <c r="F10681" s="3" t="inlineStr">
        <is>
          <t>금남면</t>
        </is>
      </c>
      <c r="G10681" s="3" t="inlineStr">
        <is>
          <t>부용리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금남면</t>
        </is>
      </c>
    </row>
    <row r="10682">
      <c r="A10682" s="3" t="n">
        <v>2023</v>
      </c>
      <c r="B10682" s="4" t="n">
        <v>8000</v>
      </c>
      <c r="C10682" s="4" t="n">
        <v>79</v>
      </c>
      <c r="D10682" s="4" t="n">
        <v>23.8975</v>
      </c>
      <c r="E10682" s="5" t="n">
        <v>334.8</v>
      </c>
      <c r="F10682" s="3" t="inlineStr">
        <is>
          <t>조치원읍</t>
        </is>
      </c>
      <c r="G10682" s="3" t="inlineStr">
        <is>
          <t>평리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조치원읍</t>
        </is>
      </c>
    </row>
    <row r="10683">
      <c r="A10683" s="3" t="n">
        <v>2023</v>
      </c>
      <c r="B10683" s="4" t="n">
        <v>25500</v>
      </c>
      <c r="C10683" s="4" t="n">
        <v>175</v>
      </c>
      <c r="D10683" s="4" t="n">
        <v>52.9375</v>
      </c>
      <c r="E10683" s="5" t="n">
        <v>481.7</v>
      </c>
      <c r="F10683" s="3" t="inlineStr">
        <is>
          <t>조치원읍</t>
        </is>
      </c>
      <c r="G10683" s="3" t="inlineStr">
        <is>
          <t>명리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조치원읍</t>
        </is>
      </c>
    </row>
    <row r="10684">
      <c r="A10684" s="3" t="n">
        <v>2023</v>
      </c>
      <c r="B10684" s="4" t="n">
        <v>19000</v>
      </c>
      <c r="C10684" s="4" t="n">
        <v>369</v>
      </c>
      <c r="D10684" s="4" t="n">
        <v>111.6225</v>
      </c>
      <c r="E10684" s="5" t="n">
        <v>170.2</v>
      </c>
      <c r="F10684" s="3" t="inlineStr">
        <is>
          <t>소정면</t>
        </is>
      </c>
      <c r="G10684" s="3" t="inlineStr">
        <is>
          <t>대곡리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소정면</t>
        </is>
      </c>
    </row>
    <row r="10685">
      <c r="A10685" s="3" t="n">
        <v>2023</v>
      </c>
      <c r="B10685" s="4" t="n">
        <v>72000</v>
      </c>
      <c r="C10685" s="4" t="n">
        <v>362</v>
      </c>
      <c r="D10685" s="4" t="n">
        <v>109.505</v>
      </c>
      <c r="E10685" s="5" t="n">
        <v>657.5</v>
      </c>
      <c r="F10685" s="3" t="inlineStr">
        <is>
          <t>금남면</t>
        </is>
      </c>
      <c r="G10685" s="3" t="inlineStr">
        <is>
          <t>도남리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금남면</t>
        </is>
      </c>
    </row>
    <row r="10686">
      <c r="A10686" s="3" t="n">
        <v>2023</v>
      </c>
      <c r="B10686" s="4" t="n">
        <v>70493</v>
      </c>
      <c r="C10686" s="4" t="n">
        <v>287</v>
      </c>
      <c r="D10686" s="4" t="n">
        <v>86.8175</v>
      </c>
      <c r="E10686" s="5" t="n">
        <v>812</v>
      </c>
      <c r="F10686" s="3" t="inlineStr">
        <is>
          <t>전의면</t>
        </is>
      </c>
      <c r="G10686" s="3" t="inlineStr">
        <is>
          <t>읍내리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전의면</t>
        </is>
      </c>
    </row>
    <row r="10687">
      <c r="A10687" s="3" t="n">
        <v>2023</v>
      </c>
      <c r="B10687" s="4" t="n">
        <v>56000</v>
      </c>
      <c r="C10687" s="4" t="n">
        <v>108</v>
      </c>
      <c r="D10687" s="4" t="n">
        <v>32.67</v>
      </c>
      <c r="E10687" s="5" t="n">
        <v>1714.1</v>
      </c>
      <c r="F10687" s="3" t="inlineStr">
        <is>
          <t>전의면</t>
        </is>
      </c>
      <c r="G10687" s="3" t="inlineStr">
        <is>
          <t>읍내리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전의면</t>
        </is>
      </c>
    </row>
    <row r="10688">
      <c r="A10688" s="3" t="n">
        <v>2023</v>
      </c>
      <c r="B10688" s="4" t="n">
        <v>17000</v>
      </c>
      <c r="C10688" s="4" t="n">
        <v>666</v>
      </c>
      <c r="D10688" s="4" t="n">
        <v>201.465</v>
      </c>
      <c r="E10688" s="5" t="n">
        <v>84.40000000000001</v>
      </c>
      <c r="F10688" s="3" t="inlineStr">
        <is>
          <t>소정면</t>
        </is>
      </c>
      <c r="G10688" s="3" t="inlineStr">
        <is>
          <t>대곡리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소정면</t>
        </is>
      </c>
    </row>
    <row r="10689">
      <c r="A10689" s="3" t="n">
        <v>2023</v>
      </c>
      <c r="B10689" s="4" t="n">
        <v>36000</v>
      </c>
      <c r="C10689" s="4" t="n">
        <v>188</v>
      </c>
      <c r="D10689" s="4" t="n">
        <v>56.87</v>
      </c>
      <c r="E10689" s="5" t="n">
        <v>633</v>
      </c>
      <c r="F10689" s="3" t="inlineStr">
        <is>
          <t>조치원읍</t>
        </is>
      </c>
      <c r="G10689" s="3" t="inlineStr">
        <is>
          <t>침산리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조치원읍</t>
        </is>
      </c>
    </row>
    <row r="10690">
      <c r="A10690" s="3" t="n">
        <v>2023</v>
      </c>
      <c r="B10690" s="4" t="n">
        <v>11300</v>
      </c>
      <c r="C10690" s="4" t="n">
        <v>159</v>
      </c>
      <c r="D10690" s="4" t="n">
        <v>48.0975</v>
      </c>
      <c r="E10690" s="5" t="n">
        <v>234.9</v>
      </c>
      <c r="F10690" s="3" t="inlineStr">
        <is>
          <t>조치원읍</t>
        </is>
      </c>
      <c r="G10690" s="3" t="inlineStr">
        <is>
          <t>신흥리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2023</v>
      </c>
      <c r="B10691" s="4" t="n">
        <v>34900</v>
      </c>
      <c r="C10691" s="4" t="n">
        <v>409</v>
      </c>
      <c r="D10691" s="4" t="n">
        <v>123.7225</v>
      </c>
      <c r="E10691" s="5" t="n">
        <v>282.1</v>
      </c>
      <c r="F10691" s="3" t="inlineStr">
        <is>
          <t>장군면</t>
        </is>
      </c>
      <c r="G10691" s="3" t="inlineStr">
        <is>
          <t>봉안리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2023</v>
      </c>
      <c r="B10692" s="4" t="n">
        <v>97240</v>
      </c>
      <c r="C10692" s="4" t="n">
        <v>400</v>
      </c>
      <c r="D10692" s="4" t="n">
        <v>121</v>
      </c>
      <c r="E10692" s="5" t="n">
        <v>803.6</v>
      </c>
      <c r="F10692" s="3" t="inlineStr">
        <is>
          <t>도담동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도담동</t>
        </is>
      </c>
    </row>
    <row r="10693">
      <c r="A10693" s="3" t="n">
        <v>2023</v>
      </c>
      <c r="B10693" s="4" t="n">
        <v>36000</v>
      </c>
      <c r="C10693" s="4" t="n">
        <v>628</v>
      </c>
      <c r="D10693" s="4" t="n">
        <v>189.97</v>
      </c>
      <c r="E10693" s="5" t="n">
        <v>189.5</v>
      </c>
      <c r="F10693" s="3" t="inlineStr">
        <is>
          <t>부강면</t>
        </is>
      </c>
      <c r="G10693" s="3" t="inlineStr">
        <is>
          <t>부강리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부강면</t>
        </is>
      </c>
    </row>
    <row r="10694">
      <c r="A10694" s="3" t="n">
        <v>2023</v>
      </c>
      <c r="B10694" s="4" t="n">
        <v>24000</v>
      </c>
      <c r="C10694" s="4" t="n">
        <v>162</v>
      </c>
      <c r="D10694" s="4" t="n">
        <v>49.005</v>
      </c>
      <c r="E10694" s="5" t="n">
        <v>489.7</v>
      </c>
      <c r="F10694" s="3" t="inlineStr">
        <is>
          <t>조치원읍</t>
        </is>
      </c>
      <c r="G10694" s="3" t="inlineStr">
        <is>
          <t>명리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조치원읍</t>
        </is>
      </c>
    </row>
    <row r="10695">
      <c r="A10695" s="3" t="n">
        <v>2023</v>
      </c>
      <c r="B10695" s="4" t="n">
        <v>21500</v>
      </c>
      <c r="C10695" s="4" t="n">
        <v>231</v>
      </c>
      <c r="D10695" s="4" t="n">
        <v>69.8775</v>
      </c>
      <c r="E10695" s="5" t="n">
        <v>307.7</v>
      </c>
      <c r="F10695" s="3" t="inlineStr">
        <is>
          <t>조치원읍</t>
        </is>
      </c>
      <c r="G10695" s="3" t="inlineStr">
        <is>
          <t>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2023</v>
      </c>
      <c r="B10696" s="4" t="n">
        <v>18000</v>
      </c>
      <c r="C10696" s="4" t="n">
        <v>358</v>
      </c>
      <c r="D10696" s="4" t="n">
        <v>108.295</v>
      </c>
      <c r="E10696" s="5" t="n">
        <v>166.2</v>
      </c>
      <c r="F10696" s="3" t="inlineStr">
        <is>
          <t>연서면</t>
        </is>
      </c>
      <c r="G10696" s="3" t="inlineStr">
        <is>
          <t>고복리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연서면</t>
        </is>
      </c>
    </row>
    <row r="10697">
      <c r="A10697" s="3" t="n">
        <v>2023</v>
      </c>
      <c r="B10697" s="4" t="n">
        <v>32000</v>
      </c>
      <c r="C10697" s="4" t="n">
        <v>257.8</v>
      </c>
      <c r="D10697" s="4" t="n">
        <v>77.9845</v>
      </c>
      <c r="E10697" s="5" t="n">
        <v>410.3</v>
      </c>
      <c r="F10697" s="3" t="inlineStr">
        <is>
          <t>조치원읍</t>
        </is>
      </c>
      <c r="G10697" s="3" t="inlineStr">
        <is>
          <t>교리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2023</v>
      </c>
      <c r="B10698" s="4" t="n">
        <v>41000</v>
      </c>
      <c r="C10698" s="4" t="n">
        <v>186</v>
      </c>
      <c r="D10698" s="4" t="n">
        <v>56.265</v>
      </c>
      <c r="E10698" s="5" t="n">
        <v>728.7</v>
      </c>
      <c r="F10698" s="3" t="inlineStr">
        <is>
          <t>금남면</t>
        </is>
      </c>
      <c r="G10698" s="3" t="inlineStr">
        <is>
          <t>용포리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금남면</t>
        </is>
      </c>
    </row>
    <row r="10699">
      <c r="A10699" s="3" t="n">
        <v>2023</v>
      </c>
      <c r="B10699" s="4" t="n">
        <v>8000</v>
      </c>
      <c r="C10699" s="4" t="n">
        <v>599</v>
      </c>
      <c r="D10699" s="4" t="n">
        <v>181.1975</v>
      </c>
      <c r="E10699" s="5" t="n">
        <v>44.2</v>
      </c>
      <c r="F10699" s="3" t="inlineStr">
        <is>
          <t>연기면</t>
        </is>
      </c>
      <c r="G10699" s="3" t="inlineStr">
        <is>
          <t>수산리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연기면</t>
        </is>
      </c>
    </row>
    <row r="10700">
      <c r="A10700" s="3" t="n">
        <v>2023</v>
      </c>
      <c r="B10700" s="4" t="n">
        <v>81677</v>
      </c>
      <c r="C10700" s="4" t="n">
        <v>295</v>
      </c>
      <c r="D10700" s="4" t="n">
        <v>89.2375</v>
      </c>
      <c r="E10700" s="5" t="n">
        <v>915.3</v>
      </c>
      <c r="F10700" s="3" t="inlineStr">
        <is>
          <t>고운동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고운동</t>
        </is>
      </c>
    </row>
    <row r="10701">
      <c r="A10701" s="3" t="n">
        <v>2023</v>
      </c>
      <c r="B10701" s="4" t="n">
        <v>79137</v>
      </c>
      <c r="C10701" s="4" t="n">
        <v>425</v>
      </c>
      <c r="D10701" s="4" t="n">
        <v>128.5625</v>
      </c>
      <c r="E10701" s="5" t="n">
        <v>615.6</v>
      </c>
      <c r="F10701" s="3" t="inlineStr">
        <is>
          <t>장군면</t>
        </is>
      </c>
      <c r="G10701" s="3" t="inlineStr">
        <is>
          <t>도계리</t>
        </is>
      </c>
      <c r="H10701" s="3" t="inlineStr">
        <is>
          <t>단독다가구</t>
        </is>
      </c>
      <c r="I10701" s="3" t="inlineStr">
        <is>
          <t>다가구</t>
        </is>
      </c>
      <c r="J10701" s="3" t="inlineStr">
        <is>
          <t>장군면</t>
        </is>
      </c>
    </row>
    <row r="10702">
      <c r="A10702" s="3" t="n">
        <v>2023</v>
      </c>
      <c r="B10702" s="4" t="n">
        <v>17000</v>
      </c>
      <c r="C10702" s="4" t="n">
        <v>456</v>
      </c>
      <c r="D10702" s="4" t="n">
        <v>137.94</v>
      </c>
      <c r="E10702" s="5" t="n">
        <v>123.2</v>
      </c>
      <c r="F10702" s="3" t="inlineStr">
        <is>
          <t>소정면</t>
        </is>
      </c>
      <c r="G10702" s="3" t="inlineStr">
        <is>
          <t>대곡리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소정면</t>
        </is>
      </c>
    </row>
    <row r="10703">
      <c r="A10703" s="3" t="n">
        <v>2022</v>
      </c>
      <c r="B10703" s="4" t="n">
        <v>153000</v>
      </c>
      <c r="C10703" s="4" t="n">
        <v>335.9</v>
      </c>
      <c r="D10703" s="4" t="n">
        <v>101.60975</v>
      </c>
      <c r="E10703" s="5" t="n">
        <v>1505.8</v>
      </c>
      <c r="F10703" s="3" t="inlineStr">
        <is>
          <t>도담동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도담동</t>
        </is>
      </c>
    </row>
    <row r="10704">
      <c r="A10704" s="3" t="n">
        <v>2022</v>
      </c>
      <c r="B10704" s="4" t="n">
        <v>36806</v>
      </c>
      <c r="C10704" s="4" t="n">
        <v>721</v>
      </c>
      <c r="D10704" s="4" t="n">
        <v>218.1025</v>
      </c>
      <c r="E10704" s="5" t="n">
        <v>168.8</v>
      </c>
      <c r="F10704" s="3" t="inlineStr">
        <is>
          <t>금남면</t>
        </is>
      </c>
      <c r="G10704" s="3" t="inlineStr">
        <is>
          <t>축산리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2022</v>
      </c>
      <c r="B10705" s="4" t="n">
        <v>26000</v>
      </c>
      <c r="C10705" s="4" t="n">
        <v>655</v>
      </c>
      <c r="D10705" s="4" t="n">
        <v>198.1375</v>
      </c>
      <c r="E10705" s="5" t="n">
        <v>131.2</v>
      </c>
      <c r="F10705" s="3" t="inlineStr">
        <is>
          <t>연서면</t>
        </is>
      </c>
      <c r="G10705" s="3" t="inlineStr">
        <is>
          <t>쌍류리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연서면</t>
        </is>
      </c>
    </row>
    <row r="10706">
      <c r="A10706" s="3" t="n">
        <v>2022</v>
      </c>
      <c r="B10706" s="4" t="n">
        <v>27400</v>
      </c>
      <c r="C10706" s="4" t="n">
        <v>271</v>
      </c>
      <c r="D10706" s="4" t="n">
        <v>81.97749999999999</v>
      </c>
      <c r="E10706" s="5" t="n">
        <v>334.2</v>
      </c>
      <c r="F10706" s="3" t="inlineStr">
        <is>
          <t>조치원읍</t>
        </is>
      </c>
      <c r="G10706" s="3" t="inlineStr">
        <is>
          <t>번암리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2022</v>
      </c>
      <c r="B10707" s="4" t="n">
        <v>46000</v>
      </c>
      <c r="C10707" s="4" t="n">
        <v>287</v>
      </c>
      <c r="D10707" s="4" t="n">
        <v>86.8175</v>
      </c>
      <c r="E10707" s="5" t="n">
        <v>529.8</v>
      </c>
      <c r="F10707" s="3" t="inlineStr">
        <is>
          <t>연기면</t>
        </is>
      </c>
      <c r="G10707" s="3" t="inlineStr">
        <is>
          <t>연기리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연기면</t>
        </is>
      </c>
    </row>
    <row r="10708">
      <c r="A10708" s="3" t="n">
        <v>2022</v>
      </c>
      <c r="B10708" s="4" t="n">
        <v>30000</v>
      </c>
      <c r="C10708" s="4" t="n">
        <v>1041</v>
      </c>
      <c r="D10708" s="4" t="n">
        <v>314.9025</v>
      </c>
      <c r="E10708" s="5" t="n">
        <v>95.3</v>
      </c>
      <c r="F10708" s="3" t="inlineStr">
        <is>
          <t>연동면</t>
        </is>
      </c>
      <c r="G10708" s="3" t="inlineStr">
        <is>
          <t>응암리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연동면</t>
        </is>
      </c>
    </row>
    <row r="10709">
      <c r="A10709" s="3" t="n">
        <v>2023</v>
      </c>
      <c r="B10709" s="4" t="n">
        <v>19500</v>
      </c>
      <c r="C10709" s="4" t="n">
        <v>167</v>
      </c>
      <c r="D10709" s="4" t="n">
        <v>50.5175</v>
      </c>
      <c r="E10709" s="5" t="n">
        <v>386</v>
      </c>
      <c r="F10709" s="3" t="inlineStr">
        <is>
          <t>조치원읍</t>
        </is>
      </c>
      <c r="G10709" s="3" t="inlineStr">
        <is>
          <t>평리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조치원읍</t>
        </is>
      </c>
    </row>
    <row r="10710">
      <c r="A10710" s="3" t="n">
        <v>2023</v>
      </c>
      <c r="B10710" s="4" t="n">
        <v>60000</v>
      </c>
      <c r="C10710" s="4" t="n">
        <v>340</v>
      </c>
      <c r="D10710" s="4" t="n">
        <v>102.85</v>
      </c>
      <c r="E10710" s="5" t="n">
        <v>583.4</v>
      </c>
      <c r="F10710" s="3" t="inlineStr">
        <is>
          <t>조치원읍</t>
        </is>
      </c>
      <c r="G10710" s="3" t="inlineStr">
        <is>
          <t>신안리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조치원읍</t>
        </is>
      </c>
    </row>
    <row r="10711">
      <c r="A10711" s="3" t="n">
        <v>2024</v>
      </c>
      <c r="B10711" s="4" t="n">
        <v>16000</v>
      </c>
      <c r="C10711" s="4" t="n">
        <v>168</v>
      </c>
      <c r="D10711" s="4" t="n">
        <v>50.82</v>
      </c>
      <c r="E10711" s="5" t="n">
        <v>314.8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34100</v>
      </c>
      <c r="C10712" s="4" t="n">
        <v>532</v>
      </c>
      <c r="D10712" s="4" t="n">
        <v>160.93</v>
      </c>
      <c r="E10712" s="5" t="n">
        <v>211.9</v>
      </c>
      <c r="F10712" s="3" t="inlineStr">
        <is>
          <t>금남면</t>
        </is>
      </c>
      <c r="G10712" s="3" t="inlineStr">
        <is>
          <t>도남리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37000</v>
      </c>
      <c r="C10713" s="4" t="n">
        <v>423</v>
      </c>
      <c r="D10713" s="4" t="n">
        <v>127.9575</v>
      </c>
      <c r="E10713" s="5" t="n">
        <v>289.2</v>
      </c>
      <c r="F10713" s="3" t="inlineStr">
        <is>
          <t>조치원읍</t>
        </is>
      </c>
      <c r="G10713" s="3" t="inlineStr">
        <is>
          <t>신흥리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조치원읍</t>
        </is>
      </c>
    </row>
    <row r="10714">
      <c r="A10714" s="3" t="n">
        <v>2024</v>
      </c>
      <c r="B10714" s="4" t="n">
        <v>50000</v>
      </c>
      <c r="C10714" s="4" t="n">
        <v>441</v>
      </c>
      <c r="D10714" s="4" t="n">
        <v>133.4025</v>
      </c>
      <c r="E10714" s="5" t="n">
        <v>374.8</v>
      </c>
      <c r="F10714" s="3" t="inlineStr">
        <is>
          <t>연서면</t>
        </is>
      </c>
      <c r="G10714" s="3" t="inlineStr">
        <is>
          <t>고복리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연서면</t>
        </is>
      </c>
    </row>
    <row r="10715">
      <c r="A10715" s="3" t="n">
        <v>2024</v>
      </c>
      <c r="B10715" s="4" t="n">
        <v>45000</v>
      </c>
      <c r="C10715" s="4" t="n">
        <v>138.8</v>
      </c>
      <c r="D10715" s="4" t="n">
        <v>41.987</v>
      </c>
      <c r="E10715" s="5" t="n">
        <v>1071.8</v>
      </c>
      <c r="F10715" s="3" t="inlineStr">
        <is>
          <t>조치원읍</t>
        </is>
      </c>
      <c r="G10715" s="3" t="inlineStr">
        <is>
          <t>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조치원읍</t>
        </is>
      </c>
    </row>
    <row r="10716">
      <c r="A10716" s="3" t="n">
        <v>2024</v>
      </c>
      <c r="B10716" s="4" t="n">
        <v>9900</v>
      </c>
      <c r="C10716" s="4" t="n">
        <v>513</v>
      </c>
      <c r="D10716" s="4" t="n">
        <v>155.1825</v>
      </c>
      <c r="E10716" s="5" t="n">
        <v>63.8</v>
      </c>
      <c r="F10716" s="3" t="inlineStr">
        <is>
          <t>전의면</t>
        </is>
      </c>
      <c r="G10716" s="3" t="inlineStr">
        <is>
          <t>유천리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전의면</t>
        </is>
      </c>
    </row>
    <row r="10717">
      <c r="A10717" s="3" t="n">
        <v>2024</v>
      </c>
      <c r="B10717" s="4" t="n">
        <v>53500</v>
      </c>
      <c r="C10717" s="4" t="n">
        <v>375</v>
      </c>
      <c r="D10717" s="4" t="n">
        <v>113.4375</v>
      </c>
      <c r="E10717" s="5" t="n">
        <v>471.6</v>
      </c>
      <c r="F10717" s="3" t="inlineStr">
        <is>
          <t>금남면</t>
        </is>
      </c>
      <c r="G10717" s="3" t="inlineStr">
        <is>
          <t>대박리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금남면</t>
        </is>
      </c>
    </row>
    <row r="10718">
      <c r="A10718" s="3" t="n">
        <v>2024</v>
      </c>
      <c r="B10718" s="4" t="n">
        <v>30870</v>
      </c>
      <c r="C10718" s="4" t="n">
        <v>1125</v>
      </c>
      <c r="D10718" s="4" t="n">
        <v>340.3125</v>
      </c>
      <c r="E10718" s="5" t="n">
        <v>90.7</v>
      </c>
      <c r="F10718" s="3" t="inlineStr">
        <is>
          <t>장군면</t>
        </is>
      </c>
      <c r="G10718" s="3" t="inlineStr">
        <is>
          <t>송문리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장군면</t>
        </is>
      </c>
    </row>
    <row r="10719">
      <c r="A10719" s="3" t="n">
        <v>2024</v>
      </c>
      <c r="B10719" s="4" t="n">
        <v>45000</v>
      </c>
      <c r="C10719" s="4" t="n">
        <v>387</v>
      </c>
      <c r="D10719" s="4" t="n">
        <v>117.0675</v>
      </c>
      <c r="E10719" s="5" t="n">
        <v>384.4</v>
      </c>
      <c r="F10719" s="3" t="inlineStr">
        <is>
          <t>금남면</t>
        </is>
      </c>
      <c r="G10719" s="3" t="inlineStr">
        <is>
          <t>남곡리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2024</v>
      </c>
      <c r="B10720" s="4" t="n">
        <v>14000</v>
      </c>
      <c r="C10720" s="4" t="n">
        <v>122</v>
      </c>
      <c r="D10720" s="4" t="n">
        <v>36.905</v>
      </c>
      <c r="E10720" s="5" t="n">
        <v>379.4</v>
      </c>
      <c r="F10720" s="3" t="inlineStr">
        <is>
          <t>조치원읍</t>
        </is>
      </c>
      <c r="G10720" s="3" t="inlineStr">
        <is>
          <t>신흥리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조치원읍</t>
        </is>
      </c>
    </row>
    <row r="10721">
      <c r="A10721" s="3" t="n">
        <v>2024</v>
      </c>
      <c r="B10721" s="4" t="n">
        <v>8500</v>
      </c>
      <c r="C10721" s="4" t="n">
        <v>364</v>
      </c>
      <c r="D10721" s="4" t="n">
        <v>110.11</v>
      </c>
      <c r="E10721" s="5" t="n">
        <v>77.2</v>
      </c>
      <c r="F10721" s="3" t="inlineStr">
        <is>
          <t>부강면</t>
        </is>
      </c>
      <c r="G10721" s="3" t="inlineStr">
        <is>
          <t>등곡리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부강면</t>
        </is>
      </c>
    </row>
    <row r="10722">
      <c r="A10722" s="3" t="n">
        <v>2024</v>
      </c>
      <c r="B10722" s="4" t="n">
        <v>37000</v>
      </c>
      <c r="C10722" s="4" t="n">
        <v>423</v>
      </c>
      <c r="D10722" s="4" t="n">
        <v>127.9575</v>
      </c>
      <c r="E10722" s="5" t="n">
        <v>289.2</v>
      </c>
      <c r="F10722" s="3" t="inlineStr">
        <is>
          <t>조치원읍</t>
        </is>
      </c>
      <c r="G10722" s="3" t="inlineStr">
        <is>
          <t>신흥리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조치원읍</t>
        </is>
      </c>
    </row>
    <row r="10723">
      <c r="A10723" s="3" t="n">
        <v>2024</v>
      </c>
      <c r="B10723" s="4" t="n">
        <v>7000</v>
      </c>
      <c r="C10723" s="4" t="n">
        <v>150</v>
      </c>
      <c r="D10723" s="4" t="n">
        <v>45.375</v>
      </c>
      <c r="E10723" s="5" t="n">
        <v>154.3</v>
      </c>
      <c r="F10723" s="3" t="inlineStr">
        <is>
          <t>전동면</t>
        </is>
      </c>
      <c r="G10723" s="3" t="inlineStr">
        <is>
          <t>노장리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전동면</t>
        </is>
      </c>
    </row>
    <row r="10724">
      <c r="A10724" s="3" t="n">
        <v>2024</v>
      </c>
      <c r="B10724" s="4" t="n">
        <v>20000</v>
      </c>
      <c r="C10724" s="4" t="n">
        <v>260</v>
      </c>
      <c r="D10724" s="4" t="n">
        <v>78.64999999999999</v>
      </c>
      <c r="E10724" s="5" t="n">
        <v>254.3</v>
      </c>
      <c r="F10724" s="3" t="inlineStr">
        <is>
          <t>연서면</t>
        </is>
      </c>
      <c r="G10724" s="3" t="inlineStr">
        <is>
          <t>봉암리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연서면</t>
        </is>
      </c>
    </row>
    <row r="10725">
      <c r="A10725" s="3" t="n">
        <v>2024</v>
      </c>
      <c r="B10725" s="4" t="n">
        <v>8000</v>
      </c>
      <c r="C10725" s="4" t="n">
        <v>289</v>
      </c>
      <c r="D10725" s="4" t="n">
        <v>87.4225</v>
      </c>
      <c r="E10725" s="5" t="n">
        <v>91.5</v>
      </c>
      <c r="F10725" s="3" t="inlineStr">
        <is>
          <t>전동면</t>
        </is>
      </c>
      <c r="G10725" s="3" t="inlineStr">
        <is>
          <t>심중리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전동면</t>
        </is>
      </c>
    </row>
    <row r="10726">
      <c r="A10726" s="3" t="n">
        <v>2024</v>
      </c>
      <c r="B10726" s="4" t="n">
        <v>48540</v>
      </c>
      <c r="C10726" s="4" t="n">
        <v>290</v>
      </c>
      <c r="D10726" s="4" t="n">
        <v>87.72499999999999</v>
      </c>
      <c r="E10726" s="5" t="n">
        <v>553.3</v>
      </c>
      <c r="F10726" s="3" t="inlineStr">
        <is>
          <t>장군면</t>
        </is>
      </c>
      <c r="G10726" s="3" t="inlineStr">
        <is>
          <t>대교리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장군면</t>
        </is>
      </c>
    </row>
    <row r="10727">
      <c r="A10727" s="3" t="n">
        <v>2024</v>
      </c>
      <c r="B10727" s="4" t="n">
        <v>10200</v>
      </c>
      <c r="C10727" s="4" t="n">
        <v>88</v>
      </c>
      <c r="D10727" s="4" t="n">
        <v>26.62</v>
      </c>
      <c r="E10727" s="5" t="n">
        <v>383.2</v>
      </c>
      <c r="F10727" s="3" t="inlineStr">
        <is>
          <t>부강면</t>
        </is>
      </c>
      <c r="G10727" s="3" t="inlineStr">
        <is>
          <t>부강리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부강면</t>
        </is>
      </c>
    </row>
    <row r="10728">
      <c r="A10728" s="3" t="n">
        <v>2024</v>
      </c>
      <c r="B10728" s="4" t="n">
        <v>115000</v>
      </c>
      <c r="C10728" s="4" t="n">
        <v>266.9</v>
      </c>
      <c r="D10728" s="4" t="n">
        <v>80.73724999999999</v>
      </c>
      <c r="E10728" s="5" t="n">
        <v>1424.4</v>
      </c>
      <c r="F10728" s="3" t="inlineStr">
        <is>
          <t>조치원읍</t>
        </is>
      </c>
      <c r="G10728" s="3" t="inlineStr">
        <is>
          <t>침산리</t>
        </is>
      </c>
      <c r="H10728" s="3" t="inlineStr">
        <is>
          <t>단독다가구</t>
        </is>
      </c>
      <c r="I10728" s="3" t="inlineStr">
        <is>
          <t>다가구</t>
        </is>
      </c>
      <c r="J10728" s="3" t="inlineStr">
        <is>
          <t>조치원읍</t>
        </is>
      </c>
    </row>
    <row r="10729">
      <c r="A10729" s="3" t="n">
        <v>2024</v>
      </c>
      <c r="B10729" s="4" t="n">
        <v>54000</v>
      </c>
      <c r="C10729" s="4" t="n">
        <v>343</v>
      </c>
      <c r="D10729" s="4" t="n">
        <v>103.7575</v>
      </c>
      <c r="E10729" s="5" t="n">
        <v>520.4</v>
      </c>
      <c r="F10729" s="3" t="inlineStr">
        <is>
          <t>조치원읍</t>
        </is>
      </c>
      <c r="G10729" s="3" t="inlineStr">
        <is>
          <t>죽림리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2023</v>
      </c>
      <c r="B10730" s="4" t="n">
        <v>56000</v>
      </c>
      <c r="C10730" s="4" t="n">
        <v>237.8</v>
      </c>
      <c r="D10730" s="4" t="n">
        <v>71.9345</v>
      </c>
      <c r="E10730" s="5" t="n">
        <v>778.5</v>
      </c>
      <c r="F10730" s="3" t="inlineStr">
        <is>
          <t>조치원읍</t>
        </is>
      </c>
      <c r="G10730" s="3" t="inlineStr">
        <is>
          <t>서창리</t>
        </is>
      </c>
      <c r="H10730" s="3" t="inlineStr">
        <is>
          <t>단독다가구</t>
        </is>
      </c>
      <c r="I10730" s="3" t="inlineStr">
        <is>
          <t>다가구</t>
        </is>
      </c>
      <c r="J10730" s="3" t="inlineStr">
        <is>
          <t>조치원읍</t>
        </is>
      </c>
    </row>
    <row r="10731">
      <c r="A10731" s="3" t="n">
        <v>2023</v>
      </c>
      <c r="B10731" s="4" t="n">
        <v>34850</v>
      </c>
      <c r="C10731" s="4" t="n">
        <v>699</v>
      </c>
      <c r="D10731" s="4" t="n">
        <v>211.4475</v>
      </c>
      <c r="E10731" s="5" t="n">
        <v>164.8</v>
      </c>
      <c r="F10731" s="3" t="inlineStr">
        <is>
          <t>전동면</t>
        </is>
      </c>
      <c r="G10731" s="3" t="inlineStr">
        <is>
          <t>청송리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전동면</t>
        </is>
      </c>
    </row>
    <row r="10732">
      <c r="A10732" s="3" t="n">
        <v>2023</v>
      </c>
      <c r="B10732" s="4" t="n">
        <v>7000</v>
      </c>
      <c r="C10732" s="4" t="n">
        <v>96</v>
      </c>
      <c r="D10732" s="4" t="n">
        <v>29.04</v>
      </c>
      <c r="E10732" s="5" t="n">
        <v>241</v>
      </c>
      <c r="F10732" s="3" t="inlineStr">
        <is>
          <t>조치원읍</t>
        </is>
      </c>
      <c r="G10732" s="3" t="inlineStr">
        <is>
          <t>서창리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24854</v>
      </c>
      <c r="C10733" s="4" t="n">
        <v>410</v>
      </c>
      <c r="D10733" s="4" t="n">
        <v>124.025</v>
      </c>
      <c r="E10733" s="5" t="n">
        <v>200.4</v>
      </c>
      <c r="F10733" s="3" t="inlineStr">
        <is>
          <t>연기면</t>
        </is>
      </c>
      <c r="G10733" s="3" t="inlineStr">
        <is>
          <t>눌왕리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연기면</t>
        </is>
      </c>
    </row>
    <row r="10734">
      <c r="A10734" s="3" t="n">
        <v>2022</v>
      </c>
      <c r="B10734" s="4" t="n">
        <v>144400</v>
      </c>
      <c r="C10734" s="4" t="n">
        <v>353</v>
      </c>
      <c r="D10734" s="4" t="n">
        <v>106.7825</v>
      </c>
      <c r="E10734" s="5" t="n">
        <v>1352.3</v>
      </c>
      <c r="F10734" s="3" t="inlineStr">
        <is>
          <t>조치원읍</t>
        </is>
      </c>
      <c r="G10734" s="3" t="inlineStr">
        <is>
          <t>남리</t>
        </is>
      </c>
      <c r="H10734" s="3" t="inlineStr">
        <is>
          <t>단독다가구</t>
        </is>
      </c>
      <c r="I10734" s="3" t="inlineStr">
        <is>
          <t>다가구</t>
        </is>
      </c>
      <c r="J10734" s="3" t="inlineStr">
        <is>
          <t>조치원읍</t>
        </is>
      </c>
    </row>
    <row r="10735">
      <c r="A10735" s="3" t="n">
        <v>2022</v>
      </c>
      <c r="B10735" s="4" t="n">
        <v>27880</v>
      </c>
      <c r="C10735" s="4" t="n">
        <v>542</v>
      </c>
      <c r="D10735" s="4" t="n">
        <v>163.955</v>
      </c>
      <c r="E10735" s="5" t="n">
        <v>170</v>
      </c>
      <c r="F10735" s="3" t="inlineStr">
        <is>
          <t>연서면</t>
        </is>
      </c>
      <c r="G10735" s="3" t="inlineStr">
        <is>
          <t>와촌리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2022</v>
      </c>
      <c r="B10736" s="4" t="n">
        <v>54000</v>
      </c>
      <c r="C10736" s="4" t="n">
        <v>270.8</v>
      </c>
      <c r="D10736" s="4" t="n">
        <v>81.917</v>
      </c>
      <c r="E10736" s="5" t="n">
        <v>659.2</v>
      </c>
      <c r="F10736" s="3" t="inlineStr">
        <is>
          <t>조치원읍</t>
        </is>
      </c>
      <c r="G10736" s="3" t="inlineStr">
        <is>
          <t>남리</t>
        </is>
      </c>
      <c r="H10736" s="3" t="inlineStr">
        <is>
          <t>단독다가구</t>
        </is>
      </c>
      <c r="I10736" s="3" t="inlineStr">
        <is>
          <t>다가구</t>
        </is>
      </c>
      <c r="J10736" s="3" t="inlineStr">
        <is>
          <t>조치원읍</t>
        </is>
      </c>
    </row>
    <row r="10737">
      <c r="A10737" s="3" t="n">
        <v>2022</v>
      </c>
      <c r="B10737" s="4" t="n">
        <v>60000</v>
      </c>
      <c r="C10737" s="4" t="n">
        <v>224.3</v>
      </c>
      <c r="D10737" s="4" t="n">
        <v>67.85075000000001</v>
      </c>
      <c r="E10737" s="5" t="n">
        <v>884.3</v>
      </c>
      <c r="F10737" s="3" t="inlineStr">
        <is>
          <t>조치원읍</t>
        </is>
      </c>
      <c r="G10737" s="3" t="inlineStr">
        <is>
          <t>서창리</t>
        </is>
      </c>
      <c r="H10737" s="3" t="inlineStr">
        <is>
          <t>단독다가구</t>
        </is>
      </c>
      <c r="I10737" s="3" t="inlineStr">
        <is>
          <t>다가구</t>
        </is>
      </c>
      <c r="J10737" s="3" t="inlineStr">
        <is>
          <t>조치원읍</t>
        </is>
      </c>
    </row>
    <row r="10738">
      <c r="A10738" s="3" t="n">
        <v>2022</v>
      </c>
      <c r="B10738" s="4" t="n">
        <v>41000</v>
      </c>
      <c r="C10738" s="4" t="n">
        <v>233.1</v>
      </c>
      <c r="D10738" s="4" t="n">
        <v>70.51275</v>
      </c>
      <c r="E10738" s="5" t="n">
        <v>581.5</v>
      </c>
      <c r="F10738" s="3" t="inlineStr">
        <is>
          <t>조치원읍</t>
        </is>
      </c>
      <c r="G10738" s="3" t="inlineStr">
        <is>
          <t>교리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2022</v>
      </c>
      <c r="B10739" s="4" t="n">
        <v>23000</v>
      </c>
      <c r="C10739" s="4" t="n">
        <v>166</v>
      </c>
      <c r="D10739" s="4" t="n">
        <v>50.215</v>
      </c>
      <c r="E10739" s="5" t="n">
        <v>458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2022</v>
      </c>
      <c r="B10740" s="4" t="n">
        <v>36300</v>
      </c>
      <c r="C10740" s="4" t="n">
        <v>159</v>
      </c>
      <c r="D10740" s="4" t="n">
        <v>48.0975</v>
      </c>
      <c r="E10740" s="5" t="n">
        <v>754.7</v>
      </c>
      <c r="F10740" s="3" t="inlineStr">
        <is>
          <t>조치원읍</t>
        </is>
      </c>
      <c r="G10740" s="3" t="inlineStr">
        <is>
          <t>죽림리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2022</v>
      </c>
      <c r="B10741" s="4" t="n">
        <v>25000</v>
      </c>
      <c r="C10741" s="4" t="n">
        <v>175</v>
      </c>
      <c r="D10741" s="4" t="n">
        <v>52.9375</v>
      </c>
      <c r="E10741" s="5" t="n">
        <v>472.3</v>
      </c>
      <c r="F10741" s="3" t="inlineStr">
        <is>
          <t>조치원읍</t>
        </is>
      </c>
      <c r="G10741" s="3" t="inlineStr">
        <is>
          <t>신흥리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2022</v>
      </c>
      <c r="B10742" s="4" t="n">
        <v>115000</v>
      </c>
      <c r="C10742" s="4" t="n">
        <v>354.9</v>
      </c>
      <c r="D10742" s="4" t="n">
        <v>107.35725</v>
      </c>
      <c r="E10742" s="5" t="n">
        <v>1071.2</v>
      </c>
      <c r="F10742" s="3" t="inlineStr">
        <is>
          <t>아름동</t>
        </is>
      </c>
      <c r="G10742" s="3" t="inlineStr"/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아름동</t>
        </is>
      </c>
    </row>
    <row r="10743">
      <c r="A10743" s="3" t="n">
        <v>2022</v>
      </c>
      <c r="B10743" s="4" t="n">
        <v>18000</v>
      </c>
      <c r="C10743" s="4" t="n">
        <v>136</v>
      </c>
      <c r="D10743" s="4" t="n">
        <v>41.14</v>
      </c>
      <c r="E10743" s="5" t="n">
        <v>437.5</v>
      </c>
      <c r="F10743" s="3" t="inlineStr">
        <is>
          <t>조치원읍</t>
        </is>
      </c>
      <c r="G10743" s="3" t="inlineStr">
        <is>
          <t>봉산리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2022</v>
      </c>
      <c r="B10744" s="4" t="n">
        <v>35000</v>
      </c>
      <c r="C10744" s="4" t="n">
        <v>593</v>
      </c>
      <c r="D10744" s="4" t="n">
        <v>179.3825</v>
      </c>
      <c r="E10744" s="5" t="n">
        <v>195.1</v>
      </c>
      <c r="F10744" s="3" t="inlineStr">
        <is>
          <t>연서면</t>
        </is>
      </c>
      <c r="G10744" s="3" t="inlineStr">
        <is>
          <t>쌍류리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연서면</t>
        </is>
      </c>
    </row>
    <row r="10745">
      <c r="A10745" s="3" t="n">
        <v>2022</v>
      </c>
      <c r="B10745" s="4" t="n">
        <v>46455</v>
      </c>
      <c r="C10745" s="4" t="n">
        <v>539</v>
      </c>
      <c r="D10745" s="4" t="n">
        <v>163.0475</v>
      </c>
      <c r="E10745" s="5" t="n">
        <v>284.9</v>
      </c>
      <c r="F10745" s="3" t="inlineStr">
        <is>
          <t>연서면</t>
        </is>
      </c>
      <c r="G10745" s="3" t="inlineStr">
        <is>
          <t>월하리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2022</v>
      </c>
      <c r="B10746" s="4" t="n">
        <v>86800</v>
      </c>
      <c r="C10746" s="4" t="n">
        <v>544</v>
      </c>
      <c r="D10746" s="4" t="n">
        <v>164.56</v>
      </c>
      <c r="E10746" s="5" t="n">
        <v>527.5</v>
      </c>
      <c r="F10746" s="3" t="inlineStr">
        <is>
          <t>조치원읍</t>
        </is>
      </c>
      <c r="G10746" s="3" t="inlineStr">
        <is>
          <t>신안리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2022</v>
      </c>
      <c r="B10747" s="4" t="n">
        <v>30000</v>
      </c>
      <c r="C10747" s="4" t="n">
        <v>330</v>
      </c>
      <c r="D10747" s="4" t="n">
        <v>99.825</v>
      </c>
      <c r="E10747" s="5" t="n">
        <v>300.5</v>
      </c>
      <c r="F10747" s="3" t="inlineStr">
        <is>
          <t>금남면</t>
        </is>
      </c>
      <c r="G10747" s="3" t="inlineStr">
        <is>
          <t>두만리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2022</v>
      </c>
      <c r="B10748" s="4" t="n">
        <v>48000</v>
      </c>
      <c r="C10748" s="4" t="n">
        <v>474</v>
      </c>
      <c r="D10748" s="4" t="n">
        <v>143.385</v>
      </c>
      <c r="E10748" s="5" t="n">
        <v>334.8</v>
      </c>
      <c r="F10748" s="3" t="inlineStr">
        <is>
          <t>장군면</t>
        </is>
      </c>
      <c r="G10748" s="3" t="inlineStr">
        <is>
          <t>금암리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2022</v>
      </c>
      <c r="B10749" s="4" t="n">
        <v>23300</v>
      </c>
      <c r="C10749" s="4" t="n">
        <v>200</v>
      </c>
      <c r="D10749" s="4" t="n">
        <v>60.5</v>
      </c>
      <c r="E10749" s="5" t="n">
        <v>385.1</v>
      </c>
      <c r="F10749" s="3" t="inlineStr">
        <is>
          <t>연서면</t>
        </is>
      </c>
      <c r="G10749" s="3" t="inlineStr">
        <is>
          <t>국촌리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연서면</t>
        </is>
      </c>
    </row>
    <row r="10750">
      <c r="A10750" s="3" t="n">
        <v>2022</v>
      </c>
      <c r="B10750" s="4" t="n">
        <v>12000</v>
      </c>
      <c r="C10750" s="4" t="n">
        <v>129</v>
      </c>
      <c r="D10750" s="4" t="n">
        <v>39.0225</v>
      </c>
      <c r="E10750" s="5" t="n">
        <v>307.5</v>
      </c>
      <c r="F10750" s="3" t="inlineStr">
        <is>
          <t>전동면</t>
        </is>
      </c>
      <c r="G10750" s="3" t="inlineStr">
        <is>
          <t>노장리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전동면</t>
        </is>
      </c>
    </row>
    <row r="10751">
      <c r="A10751" s="3" t="n">
        <v>2022</v>
      </c>
      <c r="B10751" s="4" t="n">
        <v>34000</v>
      </c>
      <c r="C10751" s="4" t="n">
        <v>373</v>
      </c>
      <c r="D10751" s="4" t="n">
        <v>112.8325</v>
      </c>
      <c r="E10751" s="5" t="n">
        <v>301.3</v>
      </c>
      <c r="F10751" s="3" t="inlineStr">
        <is>
          <t>금남면</t>
        </is>
      </c>
      <c r="G10751" s="3" t="inlineStr">
        <is>
          <t>영대리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금남면</t>
        </is>
      </c>
    </row>
    <row r="10752">
      <c r="A10752" s="3" t="n">
        <v>2022</v>
      </c>
      <c r="B10752" s="4" t="n">
        <v>10000</v>
      </c>
      <c r="C10752" s="4" t="n">
        <v>347</v>
      </c>
      <c r="D10752" s="4" t="n">
        <v>104.9675</v>
      </c>
      <c r="E10752" s="5" t="n">
        <v>95.3</v>
      </c>
      <c r="F10752" s="3" t="inlineStr">
        <is>
          <t>부강면</t>
        </is>
      </c>
      <c r="G10752" s="3" t="inlineStr">
        <is>
          <t>부강리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부강면</t>
        </is>
      </c>
    </row>
    <row r="10753">
      <c r="A10753" s="3" t="n">
        <v>2022</v>
      </c>
      <c r="B10753" s="4" t="n">
        <v>113300</v>
      </c>
      <c r="C10753" s="4" t="n">
        <v>491</v>
      </c>
      <c r="D10753" s="4" t="n">
        <v>148.5275</v>
      </c>
      <c r="E10753" s="5" t="n">
        <v>762.8</v>
      </c>
      <c r="F10753" s="3" t="inlineStr">
        <is>
          <t>장군면</t>
        </is>
      </c>
      <c r="G10753" s="3" t="inlineStr">
        <is>
          <t>봉안리</t>
        </is>
      </c>
      <c r="H10753" s="3" t="inlineStr">
        <is>
          <t>단독다가구</t>
        </is>
      </c>
      <c r="I10753" s="3" t="inlineStr">
        <is>
          <t>다가구</t>
        </is>
      </c>
      <c r="J10753" s="3" t="inlineStr">
        <is>
          <t>장군면</t>
        </is>
      </c>
    </row>
    <row r="10754">
      <c r="A10754" s="3" t="n">
        <v>2022</v>
      </c>
      <c r="B10754" s="4" t="n">
        <v>10500</v>
      </c>
      <c r="C10754" s="4" t="n">
        <v>172</v>
      </c>
      <c r="D10754" s="4" t="n">
        <v>52.03</v>
      </c>
      <c r="E10754" s="5" t="n">
        <v>201.8</v>
      </c>
      <c r="F10754" s="3" t="inlineStr">
        <is>
          <t>조치원읍</t>
        </is>
      </c>
      <c r="G10754" s="3" t="inlineStr">
        <is>
          <t>평리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조치원읍</t>
        </is>
      </c>
    </row>
    <row r="10755">
      <c r="A10755" s="3" t="n">
        <v>2022</v>
      </c>
      <c r="B10755" s="4" t="n">
        <v>25000</v>
      </c>
      <c r="C10755" s="4" t="n">
        <v>394</v>
      </c>
      <c r="D10755" s="4" t="n">
        <v>119.185</v>
      </c>
      <c r="E10755" s="5" t="n">
        <v>209.8</v>
      </c>
      <c r="F10755" s="3" t="inlineStr">
        <is>
          <t>소정면</t>
        </is>
      </c>
      <c r="G10755" s="3" t="inlineStr">
        <is>
          <t>대곡리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소정면</t>
        </is>
      </c>
    </row>
    <row r="10756">
      <c r="A10756" s="3" t="n">
        <v>2022</v>
      </c>
      <c r="B10756" s="4" t="n">
        <v>32000</v>
      </c>
      <c r="C10756" s="4" t="n">
        <v>718</v>
      </c>
      <c r="D10756" s="4" t="n">
        <v>217.195</v>
      </c>
      <c r="E10756" s="5" t="n">
        <v>147.3</v>
      </c>
      <c r="F10756" s="3" t="inlineStr">
        <is>
          <t>소정면</t>
        </is>
      </c>
      <c r="G10756" s="3" t="inlineStr">
        <is>
          <t>대곡리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소정면</t>
        </is>
      </c>
    </row>
    <row r="10757">
      <c r="A10757" s="3" t="n">
        <v>2022</v>
      </c>
      <c r="B10757" s="4" t="n">
        <v>119000</v>
      </c>
      <c r="C10757" s="4" t="n">
        <v>767</v>
      </c>
      <c r="D10757" s="4" t="n">
        <v>232.0175</v>
      </c>
      <c r="E10757" s="5" t="n">
        <v>512.9</v>
      </c>
      <c r="F10757" s="3" t="inlineStr">
        <is>
          <t>연서면</t>
        </is>
      </c>
      <c r="G10757" s="3" t="inlineStr">
        <is>
          <t>봉암리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연서면</t>
        </is>
      </c>
    </row>
    <row r="10758">
      <c r="A10758" s="3" t="n">
        <v>2022</v>
      </c>
      <c r="B10758" s="4" t="n">
        <v>23500</v>
      </c>
      <c r="C10758" s="4" t="n">
        <v>151</v>
      </c>
      <c r="D10758" s="4" t="n">
        <v>45.6775</v>
      </c>
      <c r="E10758" s="5" t="n">
        <v>514.5</v>
      </c>
      <c r="F10758" s="3" t="inlineStr">
        <is>
          <t>조치원읍</t>
        </is>
      </c>
      <c r="G10758" s="3" t="inlineStr">
        <is>
          <t>남리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2022</v>
      </c>
      <c r="B10759" s="4" t="n">
        <v>123000</v>
      </c>
      <c r="C10759" s="4" t="n">
        <v>342.5</v>
      </c>
      <c r="D10759" s="4" t="n">
        <v>103.60625</v>
      </c>
      <c r="E10759" s="5" t="n">
        <v>1187.2</v>
      </c>
      <c r="F10759" s="3" t="inlineStr">
        <is>
          <t>조치원읍</t>
        </is>
      </c>
      <c r="G10759" s="3" t="inlineStr">
        <is>
          <t>교리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2022</v>
      </c>
      <c r="B10760" s="4" t="n">
        <v>35000</v>
      </c>
      <c r="C10760" s="4" t="n">
        <v>257</v>
      </c>
      <c r="D10760" s="4" t="n">
        <v>77.74249999999999</v>
      </c>
      <c r="E10760" s="5" t="n">
        <v>450.2</v>
      </c>
      <c r="F10760" s="3" t="inlineStr">
        <is>
          <t>조치원읍</t>
        </is>
      </c>
      <c r="G10760" s="3" t="inlineStr">
        <is>
          <t>명리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64500</v>
      </c>
      <c r="C10761" s="4" t="n">
        <v>239</v>
      </c>
      <c r="D10761" s="4" t="n">
        <v>72.2975</v>
      </c>
      <c r="E10761" s="5" t="n">
        <v>892.1</v>
      </c>
      <c r="F10761" s="3" t="inlineStr">
        <is>
          <t>조치원읍</t>
        </is>
      </c>
      <c r="G10761" s="3" t="inlineStr">
        <is>
          <t>신안리</t>
        </is>
      </c>
      <c r="H10761" s="3" t="inlineStr">
        <is>
          <t>단독다가구</t>
        </is>
      </c>
      <c r="I10761" s="3" t="inlineStr">
        <is>
          <t>다가구</t>
        </is>
      </c>
      <c r="J10761" s="3" t="inlineStr">
        <is>
          <t>조치원읍</t>
        </is>
      </c>
    </row>
    <row r="10762">
      <c r="A10762" s="3" t="n">
        <v>2022</v>
      </c>
      <c r="B10762" s="4" t="n">
        <v>26000</v>
      </c>
      <c r="C10762" s="4" t="n">
        <v>380</v>
      </c>
      <c r="D10762" s="4" t="n">
        <v>114.95</v>
      </c>
      <c r="E10762" s="5" t="n">
        <v>226.2</v>
      </c>
      <c r="F10762" s="3" t="inlineStr">
        <is>
          <t>연서면</t>
        </is>
      </c>
      <c r="G10762" s="3" t="inlineStr">
        <is>
          <t>용암리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연서면</t>
        </is>
      </c>
    </row>
    <row r="10763">
      <c r="A10763" s="3" t="n">
        <v>2022</v>
      </c>
      <c r="B10763" s="4" t="n">
        <v>42000</v>
      </c>
      <c r="C10763" s="4" t="n">
        <v>579</v>
      </c>
      <c r="D10763" s="4" t="n">
        <v>175.1475</v>
      </c>
      <c r="E10763" s="5" t="n">
        <v>239.8</v>
      </c>
      <c r="F10763" s="3" t="inlineStr">
        <is>
          <t>장군면</t>
        </is>
      </c>
      <c r="G10763" s="3" t="inlineStr">
        <is>
          <t>평기리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장군면</t>
        </is>
      </c>
    </row>
    <row r="10764">
      <c r="A10764" s="3" t="n">
        <v>2023</v>
      </c>
      <c r="B10764" s="4" t="n">
        <v>6370</v>
      </c>
      <c r="C10764" s="4" t="n">
        <v>274</v>
      </c>
      <c r="D10764" s="4" t="n">
        <v>82.88499999999999</v>
      </c>
      <c r="E10764" s="5" t="n">
        <v>76.90000000000001</v>
      </c>
      <c r="F10764" s="3" t="inlineStr">
        <is>
          <t>연서면</t>
        </is>
      </c>
      <c r="G10764" s="3" t="inlineStr">
        <is>
          <t>와촌리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연서면</t>
        </is>
      </c>
    </row>
    <row r="10765">
      <c r="A10765" s="3" t="n">
        <v>2023</v>
      </c>
      <c r="B10765" s="4" t="n">
        <v>53000</v>
      </c>
      <c r="C10765" s="4" t="n">
        <v>516</v>
      </c>
      <c r="D10765" s="4" t="n">
        <v>156.09</v>
      </c>
      <c r="E10765" s="5" t="n">
        <v>339.5</v>
      </c>
      <c r="F10765" s="3" t="inlineStr">
        <is>
          <t>조치원읍</t>
        </is>
      </c>
      <c r="G10765" s="3" t="inlineStr">
        <is>
          <t>평리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조치원읍</t>
        </is>
      </c>
    </row>
    <row r="10766">
      <c r="A10766" s="3" t="n">
        <v>2023</v>
      </c>
      <c r="B10766" s="4" t="n">
        <v>79080</v>
      </c>
      <c r="C10766" s="4" t="n">
        <v>508</v>
      </c>
      <c r="D10766" s="4" t="n">
        <v>153.67</v>
      </c>
      <c r="E10766" s="5" t="n">
        <v>514.6</v>
      </c>
      <c r="F10766" s="3" t="inlineStr">
        <is>
          <t>장군면</t>
        </is>
      </c>
      <c r="G10766" s="3" t="inlineStr">
        <is>
          <t>도계리</t>
        </is>
      </c>
      <c r="H10766" s="3" t="inlineStr">
        <is>
          <t>단독다가구</t>
        </is>
      </c>
      <c r="I10766" s="3" t="inlineStr">
        <is>
          <t>다가구</t>
        </is>
      </c>
      <c r="J10766" s="3" t="inlineStr">
        <is>
          <t>장군면</t>
        </is>
      </c>
    </row>
    <row r="10767">
      <c r="A10767" s="3" t="n">
        <v>2023</v>
      </c>
      <c r="B10767" s="4" t="n">
        <v>12000</v>
      </c>
      <c r="C10767" s="4" t="n">
        <v>329</v>
      </c>
      <c r="D10767" s="4" t="n">
        <v>99.52249999999999</v>
      </c>
      <c r="E10767" s="5" t="n">
        <v>120.6</v>
      </c>
      <c r="F10767" s="3" t="inlineStr">
        <is>
          <t>연동면</t>
        </is>
      </c>
      <c r="G10767" s="3" t="inlineStr">
        <is>
          <t>예양리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연동면</t>
        </is>
      </c>
    </row>
    <row r="10768">
      <c r="A10768" s="3" t="n">
        <v>2023</v>
      </c>
      <c r="B10768" s="4" t="n">
        <v>26000</v>
      </c>
      <c r="C10768" s="4" t="n">
        <v>150</v>
      </c>
      <c r="D10768" s="4" t="n">
        <v>45.375</v>
      </c>
      <c r="E10768" s="5" t="n">
        <v>573</v>
      </c>
      <c r="F10768" s="3" t="inlineStr">
        <is>
          <t>조치원읍</t>
        </is>
      </c>
      <c r="G10768" s="3" t="inlineStr">
        <is>
          <t>신안리</t>
        </is>
      </c>
      <c r="H10768" s="3" t="inlineStr">
        <is>
          <t>단독다가구</t>
        </is>
      </c>
      <c r="I10768" s="3" t="inlineStr">
        <is>
          <t>다가구</t>
        </is>
      </c>
      <c r="J10768" s="3" t="inlineStr">
        <is>
          <t>조치원읍</t>
        </is>
      </c>
    </row>
    <row r="10769">
      <c r="A10769" s="3" t="n">
        <v>2023</v>
      </c>
      <c r="B10769" s="4" t="n">
        <v>68000</v>
      </c>
      <c r="C10769" s="4" t="n">
        <v>288</v>
      </c>
      <c r="D10769" s="4" t="n">
        <v>87.12</v>
      </c>
      <c r="E10769" s="5" t="n">
        <v>780.5</v>
      </c>
      <c r="F10769" s="3" t="inlineStr">
        <is>
          <t>장군면</t>
        </is>
      </c>
      <c r="G10769" s="3" t="inlineStr">
        <is>
          <t>도계리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장군면</t>
        </is>
      </c>
    </row>
    <row r="10770">
      <c r="A10770" s="3" t="n">
        <v>2023</v>
      </c>
      <c r="B10770" s="4" t="n">
        <v>78900</v>
      </c>
      <c r="C10770" s="4" t="n">
        <v>295</v>
      </c>
      <c r="D10770" s="4" t="n">
        <v>89.2375</v>
      </c>
      <c r="E10770" s="5" t="n">
        <v>884.2</v>
      </c>
      <c r="F10770" s="3" t="inlineStr">
        <is>
          <t>고운동</t>
        </is>
      </c>
      <c r="G10770" s="3" t="inlineStr"/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고운동</t>
        </is>
      </c>
    </row>
    <row r="10771">
      <c r="A10771" s="3" t="n">
        <v>2023</v>
      </c>
      <c r="B10771" s="4" t="n">
        <v>3500</v>
      </c>
      <c r="C10771" s="4" t="n">
        <v>89</v>
      </c>
      <c r="D10771" s="4" t="n">
        <v>26.9225</v>
      </c>
      <c r="E10771" s="5" t="n">
        <v>130</v>
      </c>
      <c r="F10771" s="3" t="inlineStr">
        <is>
          <t>조치원읍</t>
        </is>
      </c>
      <c r="G10771" s="3" t="inlineStr">
        <is>
          <t>서창리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12000</v>
      </c>
      <c r="C10772" s="4" t="n">
        <v>155</v>
      </c>
      <c r="D10772" s="4" t="n">
        <v>46.8875</v>
      </c>
      <c r="E10772" s="5" t="n">
        <v>255.9</v>
      </c>
      <c r="F10772" s="3" t="inlineStr">
        <is>
          <t>연서면</t>
        </is>
      </c>
      <c r="G10772" s="3" t="inlineStr">
        <is>
          <t>용암리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연서면</t>
        </is>
      </c>
    </row>
    <row r="10773">
      <c r="A10773" s="3" t="n">
        <v>2024</v>
      </c>
      <c r="B10773" s="4" t="n">
        <v>17500</v>
      </c>
      <c r="C10773" s="4" t="n">
        <v>323</v>
      </c>
      <c r="D10773" s="4" t="n">
        <v>97.7075</v>
      </c>
      <c r="E10773" s="5" t="n">
        <v>179.1</v>
      </c>
      <c r="F10773" s="3" t="inlineStr">
        <is>
          <t>부강면</t>
        </is>
      </c>
      <c r="G10773" s="3" t="inlineStr">
        <is>
          <t>문곡리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부강면</t>
        </is>
      </c>
    </row>
    <row r="10774">
      <c r="A10774" s="3" t="n">
        <v>2024</v>
      </c>
      <c r="B10774" s="4" t="n">
        <v>19000</v>
      </c>
      <c r="C10774" s="4" t="n">
        <v>167</v>
      </c>
      <c r="D10774" s="4" t="n">
        <v>50.5175</v>
      </c>
      <c r="E10774" s="5" t="n">
        <v>376.1</v>
      </c>
      <c r="F10774" s="3" t="inlineStr">
        <is>
          <t>연서면</t>
        </is>
      </c>
      <c r="G10774" s="3" t="inlineStr">
        <is>
          <t>봉암리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연서면</t>
        </is>
      </c>
    </row>
    <row r="10775">
      <c r="A10775" s="3" t="n">
        <v>2024</v>
      </c>
      <c r="B10775" s="4" t="n">
        <v>58350</v>
      </c>
      <c r="C10775" s="4" t="n">
        <v>541</v>
      </c>
      <c r="D10775" s="4" t="n">
        <v>163.6525</v>
      </c>
      <c r="E10775" s="5" t="n">
        <v>356.5</v>
      </c>
      <c r="F10775" s="3" t="inlineStr">
        <is>
          <t>장군면</t>
        </is>
      </c>
      <c r="G10775" s="3" t="inlineStr">
        <is>
          <t>도계리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82450</v>
      </c>
      <c r="C10776" s="4" t="n">
        <v>309.2</v>
      </c>
      <c r="D10776" s="4" t="n">
        <v>93.53299999999999</v>
      </c>
      <c r="E10776" s="5" t="n">
        <v>881.5</v>
      </c>
      <c r="F10776" s="3" t="inlineStr">
        <is>
          <t>고운동</t>
        </is>
      </c>
      <c r="G10776" s="3" t="inlineStr"/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고운동</t>
        </is>
      </c>
    </row>
    <row r="10777">
      <c r="A10777" s="3" t="n">
        <v>2024</v>
      </c>
      <c r="B10777" s="4" t="n">
        <v>25000</v>
      </c>
      <c r="C10777" s="4" t="n">
        <v>216</v>
      </c>
      <c r="D10777" s="4" t="n">
        <v>65.34</v>
      </c>
      <c r="E10777" s="5" t="n">
        <v>382.6</v>
      </c>
      <c r="F10777" s="3" t="inlineStr">
        <is>
          <t>전의면</t>
        </is>
      </c>
      <c r="G10777" s="3" t="inlineStr">
        <is>
          <t>읍내리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전의면</t>
        </is>
      </c>
    </row>
    <row r="10778">
      <c r="A10778" s="3" t="n">
        <v>2024</v>
      </c>
      <c r="B10778" s="4" t="n">
        <v>37000</v>
      </c>
      <c r="C10778" s="4" t="n">
        <v>305</v>
      </c>
      <c r="D10778" s="4" t="n">
        <v>92.2625</v>
      </c>
      <c r="E10778" s="5" t="n">
        <v>401</v>
      </c>
      <c r="F10778" s="3" t="inlineStr">
        <is>
          <t>조치원읍</t>
        </is>
      </c>
      <c r="G10778" s="3" t="inlineStr">
        <is>
          <t>신안리</t>
        </is>
      </c>
      <c r="H10778" s="3" t="inlineStr">
        <is>
          <t>단독다가구</t>
        </is>
      </c>
      <c r="I10778" s="3" t="inlineStr">
        <is>
          <t>다가구</t>
        </is>
      </c>
      <c r="J10778" s="3" t="inlineStr">
        <is>
          <t>조치원읍</t>
        </is>
      </c>
    </row>
    <row r="10779">
      <c r="A10779" s="3" t="n">
        <v>2024</v>
      </c>
      <c r="B10779" s="4" t="n">
        <v>40000</v>
      </c>
      <c r="C10779" s="4" t="n">
        <v>221</v>
      </c>
      <c r="D10779" s="4" t="n">
        <v>66.85249999999999</v>
      </c>
      <c r="E10779" s="5" t="n">
        <v>598.3</v>
      </c>
      <c r="F10779" s="3" t="inlineStr">
        <is>
          <t>금남면</t>
        </is>
      </c>
      <c r="G10779" s="3" t="inlineStr">
        <is>
          <t>영곡리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금남면</t>
        </is>
      </c>
    </row>
    <row r="10780">
      <c r="A10780" s="3" t="n">
        <v>2024</v>
      </c>
      <c r="B10780" s="4" t="n">
        <v>42000</v>
      </c>
      <c r="C10780" s="4" t="n">
        <v>258</v>
      </c>
      <c r="D10780" s="4" t="n">
        <v>78.045</v>
      </c>
      <c r="E10780" s="5" t="n">
        <v>538.2</v>
      </c>
      <c r="F10780" s="3" t="inlineStr">
        <is>
          <t>금남면</t>
        </is>
      </c>
      <c r="G10780" s="3" t="inlineStr">
        <is>
          <t>국곡리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금남면</t>
        </is>
      </c>
    </row>
    <row r="10781">
      <c r="A10781" s="3" t="n">
        <v>2024</v>
      </c>
      <c r="B10781" s="4" t="n">
        <v>56000</v>
      </c>
      <c r="C10781" s="4" t="n">
        <v>329</v>
      </c>
      <c r="D10781" s="4" t="n">
        <v>99.52249999999999</v>
      </c>
      <c r="E10781" s="5" t="n">
        <v>562.7</v>
      </c>
      <c r="F10781" s="3" t="inlineStr">
        <is>
          <t>장군면</t>
        </is>
      </c>
      <c r="G10781" s="3" t="inlineStr">
        <is>
          <t>금암리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장군면</t>
        </is>
      </c>
    </row>
    <row r="10782">
      <c r="A10782" s="3" t="n">
        <v>2024</v>
      </c>
      <c r="B10782" s="4" t="n">
        <v>80000</v>
      </c>
      <c r="C10782" s="4" t="n">
        <v>294</v>
      </c>
      <c r="D10782" s="4" t="n">
        <v>88.935</v>
      </c>
      <c r="E10782" s="5" t="n">
        <v>899.5</v>
      </c>
      <c r="F10782" s="3" t="inlineStr">
        <is>
          <t>조치원읍</t>
        </is>
      </c>
      <c r="G10782" s="3" t="inlineStr">
        <is>
          <t>신안리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조치원읍</t>
        </is>
      </c>
    </row>
    <row r="10783">
      <c r="A10783" s="3" t="n">
        <v>2024</v>
      </c>
      <c r="B10783" s="4" t="n">
        <v>60000</v>
      </c>
      <c r="C10783" s="4" t="n">
        <v>299.8</v>
      </c>
      <c r="D10783" s="4" t="n">
        <v>90.6895</v>
      </c>
      <c r="E10783" s="5" t="n">
        <v>661.6</v>
      </c>
      <c r="F10783" s="3" t="inlineStr">
        <is>
          <t>한솔동</t>
        </is>
      </c>
      <c r="G10783" s="3" t="inlineStr"/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한솔동</t>
        </is>
      </c>
    </row>
    <row r="10784">
      <c r="A10784" s="3" t="n">
        <v>2024</v>
      </c>
      <c r="B10784" s="4" t="n">
        <v>33500</v>
      </c>
      <c r="C10784" s="4" t="n">
        <v>347</v>
      </c>
      <c r="D10784" s="4" t="n">
        <v>104.9675</v>
      </c>
      <c r="E10784" s="5" t="n">
        <v>319.1</v>
      </c>
      <c r="F10784" s="3" t="inlineStr">
        <is>
          <t>금남면</t>
        </is>
      </c>
      <c r="G10784" s="3" t="inlineStr">
        <is>
          <t>감성리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금남면</t>
        </is>
      </c>
    </row>
    <row r="10785">
      <c r="A10785" s="3" t="n">
        <v>2025</v>
      </c>
      <c r="B10785" s="4" t="n">
        <v>18000</v>
      </c>
      <c r="C10785" s="4" t="n">
        <v>549</v>
      </c>
      <c r="D10785" s="4" t="n">
        <v>166.0725</v>
      </c>
      <c r="E10785" s="5" t="n">
        <v>108.4</v>
      </c>
      <c r="F10785" s="3" t="inlineStr">
        <is>
          <t>부강면</t>
        </is>
      </c>
      <c r="G10785" s="3" t="inlineStr">
        <is>
          <t>부강리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부강면</t>
        </is>
      </c>
    </row>
    <row r="10786">
      <c r="A10786" s="3" t="n">
        <v>2025</v>
      </c>
      <c r="B10786" s="4" t="n">
        <v>40000</v>
      </c>
      <c r="C10786" s="4" t="n">
        <v>310</v>
      </c>
      <c r="D10786" s="4" t="n">
        <v>93.77499999999999</v>
      </c>
      <c r="E10786" s="5" t="n">
        <v>426.6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2025</v>
      </c>
      <c r="B10787" s="4" t="n">
        <v>159750</v>
      </c>
      <c r="C10787" s="4" t="n">
        <v>430.5497</v>
      </c>
      <c r="D10787" s="4" t="n">
        <v>130.24128425</v>
      </c>
      <c r="E10787" s="5" t="n">
        <v>1226.6</v>
      </c>
      <c r="F10787" s="3" t="inlineStr">
        <is>
          <t>고운동</t>
        </is>
      </c>
      <c r="G10787" s="3" t="inlineStr"/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고운동</t>
        </is>
      </c>
    </row>
    <row r="10788">
      <c r="A10788" s="3" t="n">
        <v>2025</v>
      </c>
      <c r="B10788" s="4" t="n">
        <v>24000</v>
      </c>
      <c r="C10788" s="4" t="n">
        <v>124</v>
      </c>
      <c r="D10788" s="4" t="n">
        <v>37.51</v>
      </c>
      <c r="E10788" s="5" t="n">
        <v>639.8</v>
      </c>
      <c r="F10788" s="3" t="inlineStr">
        <is>
          <t>조치원읍</t>
        </is>
      </c>
      <c r="G10788" s="3" t="inlineStr">
        <is>
          <t>신흥리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2025</v>
      </c>
      <c r="B10789" s="4" t="n">
        <v>40000</v>
      </c>
      <c r="C10789" s="4" t="n">
        <v>469</v>
      </c>
      <c r="D10789" s="4" t="n">
        <v>141.8725</v>
      </c>
      <c r="E10789" s="5" t="n">
        <v>281.9</v>
      </c>
      <c r="F10789" s="3" t="inlineStr">
        <is>
          <t>조치원읍</t>
        </is>
      </c>
      <c r="G10789" s="3" t="inlineStr">
        <is>
          <t>서창리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2025</v>
      </c>
      <c r="B10790" s="4" t="n">
        <v>10000</v>
      </c>
      <c r="C10790" s="4" t="n">
        <v>298</v>
      </c>
      <c r="D10790" s="4" t="n">
        <v>90.145</v>
      </c>
      <c r="E10790" s="5" t="n">
        <v>110.9</v>
      </c>
      <c r="F10790" s="3" t="inlineStr">
        <is>
          <t>연서면</t>
        </is>
      </c>
      <c r="G10790" s="3" t="inlineStr">
        <is>
          <t>월하리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연서면</t>
        </is>
      </c>
    </row>
    <row r="10791">
      <c r="A10791" s="3" t="n">
        <v>2025</v>
      </c>
      <c r="B10791" s="4" t="n">
        <v>71000</v>
      </c>
      <c r="C10791" s="4" t="n">
        <v>443</v>
      </c>
      <c r="D10791" s="4" t="n">
        <v>134.0075</v>
      </c>
      <c r="E10791" s="5" t="n">
        <v>529.8</v>
      </c>
      <c r="F10791" s="3" t="inlineStr">
        <is>
          <t>장군면</t>
        </is>
      </c>
      <c r="G10791" s="3" t="inlineStr">
        <is>
          <t>금암리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장군면</t>
        </is>
      </c>
    </row>
    <row r="10792">
      <c r="A10792" s="3" t="n">
        <v>2025</v>
      </c>
      <c r="B10792" s="4" t="n">
        <v>30000</v>
      </c>
      <c r="C10792" s="4" t="n">
        <v>187.8</v>
      </c>
      <c r="D10792" s="4" t="n">
        <v>56.8095</v>
      </c>
      <c r="E10792" s="5" t="n">
        <v>528.1</v>
      </c>
      <c r="F10792" s="3" t="inlineStr">
        <is>
          <t>조치원읍</t>
        </is>
      </c>
      <c r="G10792" s="3" t="inlineStr">
        <is>
          <t>교리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2025</v>
      </c>
      <c r="B10793" s="4" t="n">
        <v>55000</v>
      </c>
      <c r="C10793" s="4" t="n">
        <v>1150</v>
      </c>
      <c r="D10793" s="4" t="n">
        <v>347.875</v>
      </c>
      <c r="E10793" s="5" t="n">
        <v>158.1</v>
      </c>
      <c r="F10793" s="3" t="inlineStr">
        <is>
          <t>연서면</t>
        </is>
      </c>
      <c r="G10793" s="3" t="inlineStr">
        <is>
          <t>성제리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2025</v>
      </c>
      <c r="B10794" s="4" t="n">
        <v>15000</v>
      </c>
      <c r="C10794" s="4" t="n">
        <v>1094</v>
      </c>
      <c r="D10794" s="4" t="n">
        <v>330.935</v>
      </c>
      <c r="E10794" s="5" t="n">
        <v>45.3</v>
      </c>
      <c r="F10794" s="3" t="inlineStr">
        <is>
          <t>전동면</t>
        </is>
      </c>
      <c r="G10794" s="3" t="inlineStr">
        <is>
          <t>송곡리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전동면</t>
        </is>
      </c>
    </row>
    <row r="10795">
      <c r="A10795" s="3" t="n">
        <v>2025</v>
      </c>
      <c r="B10795" s="4" t="n">
        <v>38000</v>
      </c>
      <c r="C10795" s="4" t="n">
        <v>820</v>
      </c>
      <c r="D10795" s="4" t="n">
        <v>248.05</v>
      </c>
      <c r="E10795" s="5" t="n">
        <v>153.2</v>
      </c>
      <c r="F10795" s="3" t="inlineStr">
        <is>
          <t>조치원읍</t>
        </is>
      </c>
      <c r="G10795" s="3" t="inlineStr">
        <is>
          <t>서창리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2025</v>
      </c>
      <c r="B10796" s="4" t="n">
        <v>78000</v>
      </c>
      <c r="C10796" s="4" t="n">
        <v>251.8</v>
      </c>
      <c r="D10796" s="4" t="n">
        <v>76.1695</v>
      </c>
      <c r="E10796" s="5" t="n">
        <v>1024</v>
      </c>
      <c r="F10796" s="3" t="inlineStr">
        <is>
          <t>조치원읍</t>
        </is>
      </c>
      <c r="G10796" s="3" t="inlineStr">
        <is>
          <t>침산리</t>
        </is>
      </c>
      <c r="H10796" s="3" t="inlineStr">
        <is>
          <t>단독다가구</t>
        </is>
      </c>
      <c r="I10796" s="3" t="inlineStr">
        <is>
          <t>다가구</t>
        </is>
      </c>
      <c r="J10796" s="3" t="inlineStr">
        <is>
          <t>조치원읍</t>
        </is>
      </c>
    </row>
    <row r="10797">
      <c r="A10797" s="3" t="n">
        <v>2025</v>
      </c>
      <c r="B10797" s="4" t="n">
        <v>17000</v>
      </c>
      <c r="C10797" s="4" t="n">
        <v>381</v>
      </c>
      <c r="D10797" s="4" t="n">
        <v>115.2525</v>
      </c>
      <c r="E10797" s="5" t="n">
        <v>147.5</v>
      </c>
      <c r="F10797" s="3" t="inlineStr">
        <is>
          <t>금남면</t>
        </is>
      </c>
      <c r="G10797" s="3" t="inlineStr">
        <is>
          <t>성강리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금남면</t>
        </is>
      </c>
    </row>
    <row r="10798">
      <c r="A10798" s="3" t="n">
        <v>2025</v>
      </c>
      <c r="B10798" s="4" t="n">
        <v>12000</v>
      </c>
      <c r="C10798" s="4" t="n">
        <v>349</v>
      </c>
      <c r="D10798" s="4" t="n">
        <v>105.5725</v>
      </c>
      <c r="E10798" s="5" t="n">
        <v>113.7</v>
      </c>
      <c r="F10798" s="3" t="inlineStr">
        <is>
          <t>부강면</t>
        </is>
      </c>
      <c r="G10798" s="3" t="inlineStr">
        <is>
          <t>부강리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부강면</t>
        </is>
      </c>
    </row>
    <row r="10799">
      <c r="A10799" s="3" t="n">
        <v>2025</v>
      </c>
      <c r="B10799" s="4" t="n">
        <v>14832</v>
      </c>
      <c r="C10799" s="4" t="n">
        <v>279</v>
      </c>
      <c r="D10799" s="4" t="n">
        <v>84.39749999999999</v>
      </c>
      <c r="E10799" s="5" t="n">
        <v>175.7</v>
      </c>
      <c r="F10799" s="3" t="inlineStr">
        <is>
          <t>장군면</t>
        </is>
      </c>
      <c r="G10799" s="3" t="inlineStr">
        <is>
          <t>봉안리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장군면</t>
        </is>
      </c>
    </row>
    <row r="10800">
      <c r="A10800" s="3" t="n">
        <v>2025</v>
      </c>
      <c r="B10800" s="4" t="n">
        <v>11200</v>
      </c>
      <c r="C10800" s="4" t="n">
        <v>218</v>
      </c>
      <c r="D10800" s="4" t="n">
        <v>65.94499999999999</v>
      </c>
      <c r="E10800" s="5" t="n">
        <v>169.8</v>
      </c>
      <c r="F10800" s="3" t="inlineStr">
        <is>
          <t>금남면</t>
        </is>
      </c>
      <c r="G10800" s="3" t="inlineStr">
        <is>
          <t>두만리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2025</v>
      </c>
      <c r="B10801" s="4" t="n">
        <v>13000</v>
      </c>
      <c r="C10801" s="4" t="n">
        <v>298</v>
      </c>
      <c r="D10801" s="4" t="n">
        <v>90.145</v>
      </c>
      <c r="E10801" s="5" t="n">
        <v>144.2</v>
      </c>
      <c r="F10801" s="3" t="inlineStr">
        <is>
          <t>전동면</t>
        </is>
      </c>
      <c r="G10801" s="3" t="inlineStr">
        <is>
          <t>청송리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전동면</t>
        </is>
      </c>
    </row>
    <row r="10802">
      <c r="A10802" s="3" t="n">
        <v>2025</v>
      </c>
      <c r="B10802" s="4" t="n">
        <v>130000</v>
      </c>
      <c r="C10802" s="4" t="n">
        <v>303.5</v>
      </c>
      <c r="D10802" s="4" t="n">
        <v>91.80875</v>
      </c>
      <c r="E10802" s="5" t="n">
        <v>1416</v>
      </c>
      <c r="F10802" s="3" t="inlineStr">
        <is>
          <t>아름동</t>
        </is>
      </c>
      <c r="G10802" s="3" t="inlineStr"/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아름동</t>
        </is>
      </c>
    </row>
    <row r="10803">
      <c r="A10803" s="3" t="n">
        <v>2025</v>
      </c>
      <c r="B10803" s="4" t="n">
        <v>32280</v>
      </c>
      <c r="C10803" s="4" t="n">
        <v>496</v>
      </c>
      <c r="D10803" s="4" t="n">
        <v>150.04</v>
      </c>
      <c r="E10803" s="5" t="n">
        <v>215.1</v>
      </c>
      <c r="F10803" s="3" t="inlineStr">
        <is>
          <t>금남면</t>
        </is>
      </c>
      <c r="G10803" s="3" t="inlineStr">
        <is>
          <t>성강리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금남면</t>
        </is>
      </c>
    </row>
    <row r="10804">
      <c r="A10804" s="3" t="n">
        <v>2025</v>
      </c>
      <c r="B10804" s="4" t="n">
        <v>4500</v>
      </c>
      <c r="C10804" s="4" t="n">
        <v>206</v>
      </c>
      <c r="D10804" s="4" t="n">
        <v>62.315</v>
      </c>
      <c r="E10804" s="5" t="n">
        <v>72.2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2025</v>
      </c>
      <c r="B10805" s="4" t="n">
        <v>53500</v>
      </c>
      <c r="C10805" s="4" t="n">
        <v>293</v>
      </c>
      <c r="D10805" s="4" t="n">
        <v>88.63249999999999</v>
      </c>
      <c r="E10805" s="5" t="n">
        <v>603.6</v>
      </c>
      <c r="F10805" s="3" t="inlineStr">
        <is>
          <t>조치원읍</t>
        </is>
      </c>
      <c r="G10805" s="3" t="inlineStr">
        <is>
          <t>신안리</t>
        </is>
      </c>
      <c r="H10805" s="3" t="inlineStr">
        <is>
          <t>단독다가구</t>
        </is>
      </c>
      <c r="I10805" s="3" t="inlineStr">
        <is>
          <t>다가구</t>
        </is>
      </c>
      <c r="J10805" s="3" t="inlineStr">
        <is>
          <t>조치원읍</t>
        </is>
      </c>
    </row>
    <row r="10806">
      <c r="A10806" s="3" t="n">
        <v>2025</v>
      </c>
      <c r="B10806" s="4" t="n">
        <v>103000</v>
      </c>
      <c r="C10806" s="4" t="n">
        <v>735</v>
      </c>
      <c r="D10806" s="4" t="n">
        <v>222.3375</v>
      </c>
      <c r="E10806" s="5" t="n">
        <v>463.3</v>
      </c>
      <c r="F10806" s="3" t="inlineStr">
        <is>
          <t>장군면</t>
        </is>
      </c>
      <c r="G10806" s="3" t="inlineStr">
        <is>
          <t>봉안리</t>
        </is>
      </c>
      <c r="H10806" s="3" t="inlineStr">
        <is>
          <t>단독다가구</t>
        </is>
      </c>
      <c r="I10806" s="3" t="inlineStr">
        <is>
          <t>다가구</t>
        </is>
      </c>
      <c r="J10806" s="3" t="inlineStr">
        <is>
          <t>장군면</t>
        </is>
      </c>
    </row>
    <row r="10807">
      <c r="A10807" s="3" t="n">
        <v>2025</v>
      </c>
      <c r="B10807" s="4" t="n">
        <v>12000</v>
      </c>
      <c r="C10807" s="4" t="n">
        <v>212</v>
      </c>
      <c r="D10807" s="4" t="n">
        <v>64.13</v>
      </c>
      <c r="E10807" s="5" t="n">
        <v>187.1</v>
      </c>
      <c r="F10807" s="3" t="inlineStr">
        <is>
          <t>장군면</t>
        </is>
      </c>
      <c r="G10807" s="3" t="inlineStr">
        <is>
          <t>하봉리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장군면</t>
        </is>
      </c>
    </row>
    <row r="10808">
      <c r="A10808" s="3" t="n">
        <v>2025</v>
      </c>
      <c r="B10808" s="4" t="n">
        <v>28000</v>
      </c>
      <c r="C10808" s="4" t="n">
        <v>251</v>
      </c>
      <c r="D10808" s="4" t="n">
        <v>75.92749999999999</v>
      </c>
      <c r="E10808" s="5" t="n">
        <v>368.8</v>
      </c>
      <c r="F10808" s="3" t="inlineStr">
        <is>
          <t>조치원읍</t>
        </is>
      </c>
      <c r="G10808" s="3" t="inlineStr">
        <is>
          <t>신흥리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2025</v>
      </c>
      <c r="B10809" s="4" t="n">
        <v>105750</v>
      </c>
      <c r="C10809" s="4" t="n">
        <v>358</v>
      </c>
      <c r="D10809" s="4" t="n">
        <v>108.295</v>
      </c>
      <c r="E10809" s="5" t="n">
        <v>976.5</v>
      </c>
      <c r="F10809" s="3" t="inlineStr">
        <is>
          <t>조치원읍</t>
        </is>
      </c>
      <c r="G10809" s="3" t="inlineStr">
        <is>
          <t>신안리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2025</v>
      </c>
      <c r="B10810" s="4" t="n">
        <v>70000</v>
      </c>
      <c r="C10810" s="4" t="n">
        <v>495</v>
      </c>
      <c r="D10810" s="4" t="n">
        <v>149.7375</v>
      </c>
      <c r="E10810" s="5" t="n">
        <v>467.5</v>
      </c>
      <c r="F10810" s="3" t="inlineStr">
        <is>
          <t>금남면</t>
        </is>
      </c>
      <c r="G10810" s="3" t="inlineStr">
        <is>
          <t>국곡리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금남면</t>
        </is>
      </c>
    </row>
    <row r="10811">
      <c r="A10811" s="3" t="n">
        <v>2025</v>
      </c>
      <c r="B10811" s="4" t="n">
        <v>35000</v>
      </c>
      <c r="C10811" s="4" t="n">
        <v>401</v>
      </c>
      <c r="D10811" s="4" t="n">
        <v>121.3025</v>
      </c>
      <c r="E10811" s="5" t="n">
        <v>288.5</v>
      </c>
      <c r="F10811" s="3" t="inlineStr">
        <is>
          <t>연서면</t>
        </is>
      </c>
      <c r="G10811" s="3" t="inlineStr">
        <is>
          <t>봉암리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2025</v>
      </c>
      <c r="B10812" s="4" t="n">
        <v>62500</v>
      </c>
      <c r="C10812" s="4" t="n">
        <v>414</v>
      </c>
      <c r="D10812" s="4" t="n">
        <v>125.235</v>
      </c>
      <c r="E10812" s="5" t="n">
        <v>499.1</v>
      </c>
      <c r="F10812" s="3" t="inlineStr">
        <is>
          <t>연서면</t>
        </is>
      </c>
      <c r="G10812" s="3" t="inlineStr">
        <is>
          <t>부동리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2025</v>
      </c>
      <c r="B10813" s="4" t="n">
        <v>59000</v>
      </c>
      <c r="C10813" s="4" t="n">
        <v>885</v>
      </c>
      <c r="D10813" s="4" t="n">
        <v>267.7125</v>
      </c>
      <c r="E10813" s="5" t="n">
        <v>220.4</v>
      </c>
      <c r="F10813" s="3" t="inlineStr">
        <is>
          <t>부강면</t>
        </is>
      </c>
      <c r="G10813" s="3" t="inlineStr">
        <is>
          <t>부강리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부강면</t>
        </is>
      </c>
    </row>
    <row r="10814">
      <c r="A10814" s="3" t="n">
        <v>2025</v>
      </c>
      <c r="B10814" s="4" t="n">
        <v>18500</v>
      </c>
      <c r="C10814" s="4" t="n">
        <v>193</v>
      </c>
      <c r="D10814" s="4" t="n">
        <v>58.3825</v>
      </c>
      <c r="E10814" s="5" t="n">
        <v>316.9</v>
      </c>
      <c r="F10814" s="3" t="inlineStr">
        <is>
          <t>조치원읍</t>
        </is>
      </c>
      <c r="G10814" s="3" t="inlineStr">
        <is>
          <t>남리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2025</v>
      </c>
      <c r="B10815" s="4" t="n">
        <v>149700</v>
      </c>
      <c r="C10815" s="4" t="n">
        <v>542</v>
      </c>
      <c r="D10815" s="4" t="n">
        <v>163.955</v>
      </c>
      <c r="E10815" s="5" t="n">
        <v>913.1</v>
      </c>
      <c r="F10815" s="3" t="inlineStr">
        <is>
          <t>부강면</t>
        </is>
      </c>
      <c r="G10815" s="3" t="inlineStr">
        <is>
          <t>부강리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부강면</t>
        </is>
      </c>
    </row>
    <row r="10816">
      <c r="A10816" s="3" t="n">
        <v>2025</v>
      </c>
      <c r="B10816" s="4" t="n">
        <v>9220</v>
      </c>
      <c r="C10816" s="4" t="n">
        <v>476</v>
      </c>
      <c r="D10816" s="4" t="n">
        <v>143.99</v>
      </c>
      <c r="E10816" s="5" t="n">
        <v>64</v>
      </c>
      <c r="F10816" s="3" t="inlineStr">
        <is>
          <t>전의면</t>
        </is>
      </c>
      <c r="G10816" s="3" t="inlineStr">
        <is>
          <t>달전리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전의면</t>
        </is>
      </c>
    </row>
    <row r="10817">
      <c r="A10817" s="3" t="n">
        <v>2025</v>
      </c>
      <c r="B10817" s="4" t="n">
        <v>81000</v>
      </c>
      <c r="C10817" s="4" t="n">
        <v>341</v>
      </c>
      <c r="D10817" s="4" t="n">
        <v>103.1525</v>
      </c>
      <c r="E10817" s="5" t="n">
        <v>785.2</v>
      </c>
      <c r="F10817" s="3" t="inlineStr">
        <is>
          <t>조치원읍</t>
        </is>
      </c>
      <c r="G10817" s="3" t="inlineStr">
        <is>
          <t>침산리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2025</v>
      </c>
      <c r="B10818" s="4" t="n">
        <v>57000</v>
      </c>
      <c r="C10818" s="4" t="n">
        <v>309</v>
      </c>
      <c r="D10818" s="4" t="n">
        <v>93.4725</v>
      </c>
      <c r="E10818" s="5" t="n">
        <v>609.8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2025</v>
      </c>
      <c r="B10819" s="4" t="n">
        <v>13500</v>
      </c>
      <c r="C10819" s="4" t="n">
        <v>354</v>
      </c>
      <c r="D10819" s="4" t="n">
        <v>107.085</v>
      </c>
      <c r="E10819" s="5" t="n">
        <v>126.1</v>
      </c>
      <c r="F10819" s="3" t="inlineStr">
        <is>
          <t>전동면</t>
        </is>
      </c>
      <c r="G10819" s="3" t="inlineStr">
        <is>
          <t>송정리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전동면</t>
        </is>
      </c>
    </row>
    <row r="10820">
      <c r="A10820" s="3" t="n">
        <v>2025</v>
      </c>
      <c r="B10820" s="4" t="n">
        <v>80500</v>
      </c>
      <c r="C10820" s="4" t="n">
        <v>251.1</v>
      </c>
      <c r="D10820" s="4" t="n">
        <v>75.95774999999999</v>
      </c>
      <c r="E10820" s="5" t="n">
        <v>1059.8</v>
      </c>
      <c r="F10820" s="3" t="inlineStr">
        <is>
          <t>아름동</t>
        </is>
      </c>
      <c r="G10820" s="3" t="inlineStr"/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아름동</t>
        </is>
      </c>
    </row>
    <row r="10821">
      <c r="A10821" s="3" t="n">
        <v>2025</v>
      </c>
      <c r="B10821" s="4" t="n">
        <v>15000</v>
      </c>
      <c r="C10821" s="4" t="n">
        <v>482</v>
      </c>
      <c r="D10821" s="4" t="n">
        <v>145.805</v>
      </c>
      <c r="E10821" s="5" t="n">
        <v>102.9</v>
      </c>
      <c r="F10821" s="3" t="inlineStr">
        <is>
          <t>연서면</t>
        </is>
      </c>
      <c r="G10821" s="3" t="inlineStr">
        <is>
          <t>신대리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2025</v>
      </c>
      <c r="B10822" s="4" t="n">
        <v>55000</v>
      </c>
      <c r="C10822" s="4" t="n">
        <v>159</v>
      </c>
      <c r="D10822" s="4" t="n">
        <v>48.0975</v>
      </c>
      <c r="E10822" s="5" t="n">
        <v>1143.5</v>
      </c>
      <c r="F10822" s="3" t="inlineStr">
        <is>
          <t>조치원읍</t>
        </is>
      </c>
      <c r="G10822" s="3" t="inlineStr">
        <is>
          <t>정리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2025</v>
      </c>
      <c r="B10823" s="4" t="n">
        <v>129734</v>
      </c>
      <c r="C10823" s="4" t="n">
        <v>328.6258</v>
      </c>
      <c r="D10823" s="4" t="n">
        <v>99.4093045</v>
      </c>
      <c r="E10823" s="5" t="n">
        <v>1305</v>
      </c>
      <c r="F10823" s="3" t="inlineStr">
        <is>
          <t>고운동</t>
        </is>
      </c>
      <c r="G10823" s="3" t="inlineStr"/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고운동</t>
        </is>
      </c>
    </row>
    <row r="10824">
      <c r="A10824" s="3" t="n">
        <v>2025</v>
      </c>
      <c r="B10824" s="4" t="n">
        <v>48800</v>
      </c>
      <c r="C10824" s="4" t="n">
        <v>280.6</v>
      </c>
      <c r="D10824" s="4" t="n">
        <v>84.8815</v>
      </c>
      <c r="E10824" s="5" t="n">
        <v>574.9</v>
      </c>
      <c r="F10824" s="3" t="inlineStr">
        <is>
          <t>전의면</t>
        </is>
      </c>
      <c r="G10824" s="3" t="inlineStr">
        <is>
          <t>읍내리</t>
        </is>
      </c>
      <c r="H10824" s="3" t="inlineStr">
        <is>
          <t>단독다가구</t>
        </is>
      </c>
      <c r="I10824" s="3" t="inlineStr">
        <is>
          <t>다가구</t>
        </is>
      </c>
      <c r="J10824" s="3" t="inlineStr">
        <is>
          <t>전의면</t>
        </is>
      </c>
    </row>
    <row r="10825">
      <c r="A10825" s="3" t="n">
        <v>2025</v>
      </c>
      <c r="B10825" s="4" t="n">
        <v>18000</v>
      </c>
      <c r="C10825" s="4" t="n">
        <v>380</v>
      </c>
      <c r="D10825" s="4" t="n">
        <v>114.95</v>
      </c>
      <c r="E10825" s="5" t="n">
        <v>156.6</v>
      </c>
      <c r="F10825" s="3" t="inlineStr">
        <is>
          <t>전동면</t>
        </is>
      </c>
      <c r="G10825" s="3" t="inlineStr">
        <is>
          <t>심중리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전동면</t>
        </is>
      </c>
    </row>
    <row r="10826">
      <c r="A10826" s="3" t="n">
        <v>2025</v>
      </c>
      <c r="B10826" s="4" t="n">
        <v>6000</v>
      </c>
      <c r="C10826" s="4" t="n">
        <v>72</v>
      </c>
      <c r="D10826" s="4" t="n">
        <v>21.78</v>
      </c>
      <c r="E10826" s="5" t="n">
        <v>275.5</v>
      </c>
      <c r="F10826" s="3" t="inlineStr">
        <is>
          <t>부강면</t>
        </is>
      </c>
      <c r="G10826" s="3" t="inlineStr">
        <is>
          <t>부강리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부강면</t>
        </is>
      </c>
    </row>
    <row r="10827">
      <c r="A10827" s="3" t="n">
        <v>2025</v>
      </c>
      <c r="B10827" s="4" t="n">
        <v>75000</v>
      </c>
      <c r="C10827" s="4" t="n">
        <v>898</v>
      </c>
      <c r="D10827" s="4" t="n">
        <v>271.645</v>
      </c>
      <c r="E10827" s="5" t="n">
        <v>276.1</v>
      </c>
      <c r="F10827" s="3" t="inlineStr">
        <is>
          <t>조치원읍</t>
        </is>
      </c>
      <c r="G10827" s="3" t="inlineStr">
        <is>
          <t>신흥리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조치원읍</t>
        </is>
      </c>
    </row>
    <row r="10828">
      <c r="A10828" s="3" t="n">
        <v>2025</v>
      </c>
      <c r="B10828" s="4" t="n">
        <v>94500</v>
      </c>
      <c r="C10828" s="4" t="n">
        <v>363</v>
      </c>
      <c r="D10828" s="4" t="n">
        <v>109.8075</v>
      </c>
      <c r="E10828" s="5" t="n">
        <v>860.6</v>
      </c>
      <c r="F10828" s="3" t="inlineStr">
        <is>
          <t>연서면</t>
        </is>
      </c>
      <c r="G10828" s="3" t="inlineStr">
        <is>
          <t>봉암리</t>
        </is>
      </c>
      <c r="H10828" s="3" t="inlineStr">
        <is>
          <t>단독다가구</t>
        </is>
      </c>
      <c r="I10828" s="3" t="inlineStr">
        <is>
          <t>다가구</t>
        </is>
      </c>
      <c r="J10828" s="3" t="inlineStr">
        <is>
          <t>연서면</t>
        </is>
      </c>
    </row>
    <row r="10829">
      <c r="A10829" s="3" t="n">
        <v>2025</v>
      </c>
      <c r="B10829" s="4" t="n">
        <v>120000</v>
      </c>
      <c r="C10829" s="4" t="n">
        <v>569</v>
      </c>
      <c r="D10829" s="4" t="n">
        <v>172.1225</v>
      </c>
      <c r="E10829" s="5" t="n">
        <v>697.2</v>
      </c>
      <c r="F10829" s="3" t="inlineStr">
        <is>
          <t>금남면</t>
        </is>
      </c>
      <c r="G10829" s="3" t="inlineStr">
        <is>
          <t>호탄리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금남면</t>
        </is>
      </c>
    </row>
    <row r="10830">
      <c r="A10830" s="3" t="n">
        <v>2025</v>
      </c>
      <c r="B10830" s="4" t="n">
        <v>39000</v>
      </c>
      <c r="C10830" s="4" t="n">
        <v>267</v>
      </c>
      <c r="D10830" s="4" t="n">
        <v>80.7675</v>
      </c>
      <c r="E10830" s="5" t="n">
        <v>482.9</v>
      </c>
      <c r="F10830" s="3" t="inlineStr">
        <is>
          <t>조치원읍</t>
        </is>
      </c>
      <c r="G10830" s="3" t="inlineStr">
        <is>
          <t>명리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조치원읍</t>
        </is>
      </c>
    </row>
    <row r="10831">
      <c r="A10831" s="3" t="n">
        <v>2025</v>
      </c>
      <c r="B10831" s="4" t="n">
        <v>31500</v>
      </c>
      <c r="C10831" s="4" t="n">
        <v>407</v>
      </c>
      <c r="D10831" s="4" t="n">
        <v>123.1175</v>
      </c>
      <c r="E10831" s="5" t="n">
        <v>255.9</v>
      </c>
      <c r="F10831" s="3" t="inlineStr">
        <is>
          <t>금남면</t>
        </is>
      </c>
      <c r="G10831" s="3" t="inlineStr">
        <is>
          <t>달전리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금남면</t>
        </is>
      </c>
    </row>
    <row r="10832">
      <c r="A10832" s="3" t="n">
        <v>2025</v>
      </c>
      <c r="B10832" s="4" t="n">
        <v>126000</v>
      </c>
      <c r="C10832" s="4" t="n">
        <v>569</v>
      </c>
      <c r="D10832" s="4" t="n">
        <v>172.1225</v>
      </c>
      <c r="E10832" s="5" t="n">
        <v>732</v>
      </c>
      <c r="F10832" s="3" t="inlineStr">
        <is>
          <t>금남면</t>
        </is>
      </c>
      <c r="G10832" s="3" t="inlineStr">
        <is>
          <t>호탄리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금남면</t>
        </is>
      </c>
    </row>
    <row r="10833">
      <c r="A10833" s="3" t="n">
        <v>2025</v>
      </c>
      <c r="B10833" s="4" t="n">
        <v>3216</v>
      </c>
      <c r="C10833" s="4" t="n">
        <v>136</v>
      </c>
      <c r="D10833" s="4" t="n">
        <v>41.14</v>
      </c>
      <c r="E10833" s="5" t="n">
        <v>78.2</v>
      </c>
      <c r="F10833" s="3" t="inlineStr">
        <is>
          <t>전동면</t>
        </is>
      </c>
      <c r="G10833" s="3" t="inlineStr">
        <is>
          <t>송곡리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전동면</t>
        </is>
      </c>
    </row>
    <row r="10834">
      <c r="A10834" s="3" t="n">
        <v>2025</v>
      </c>
      <c r="B10834" s="4" t="n">
        <v>5150</v>
      </c>
      <c r="C10834" s="4" t="n">
        <v>448</v>
      </c>
      <c r="D10834" s="4" t="n">
        <v>135.52</v>
      </c>
      <c r="E10834" s="5" t="n">
        <v>38</v>
      </c>
      <c r="F10834" s="3" t="inlineStr">
        <is>
          <t>전동면</t>
        </is>
      </c>
      <c r="G10834" s="3" t="inlineStr">
        <is>
          <t>미곡리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전동면</t>
        </is>
      </c>
    </row>
    <row r="10835">
      <c r="A10835" s="3" t="n">
        <v>2025</v>
      </c>
      <c r="B10835" s="4" t="n">
        <v>33000</v>
      </c>
      <c r="C10835" s="4" t="n">
        <v>221</v>
      </c>
      <c r="D10835" s="4" t="n">
        <v>66.85249999999999</v>
      </c>
      <c r="E10835" s="5" t="n">
        <v>493.6</v>
      </c>
      <c r="F10835" s="3" t="inlineStr">
        <is>
          <t>조치원읍</t>
        </is>
      </c>
      <c r="G10835" s="3" t="inlineStr">
        <is>
          <t>명리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조치원읍</t>
        </is>
      </c>
    </row>
    <row r="10836">
      <c r="A10836" s="3" t="n">
        <v>2025</v>
      </c>
      <c r="B10836" s="4" t="n">
        <v>26000</v>
      </c>
      <c r="C10836" s="4" t="n">
        <v>412</v>
      </c>
      <c r="D10836" s="4" t="n">
        <v>124.63</v>
      </c>
      <c r="E10836" s="5" t="n">
        <v>208.6</v>
      </c>
      <c r="F10836" s="3" t="inlineStr">
        <is>
          <t>연동면</t>
        </is>
      </c>
      <c r="G10836" s="3" t="inlineStr">
        <is>
          <t>문주리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연동면</t>
        </is>
      </c>
    </row>
    <row r="10837">
      <c r="A10837" s="3" t="n">
        <v>2025</v>
      </c>
      <c r="B10837" s="4" t="n">
        <v>62000</v>
      </c>
      <c r="C10837" s="4" t="n">
        <v>501</v>
      </c>
      <c r="D10837" s="4" t="n">
        <v>151.5525</v>
      </c>
      <c r="E10837" s="5" t="n">
        <v>409.1</v>
      </c>
      <c r="F10837" s="3" t="inlineStr">
        <is>
          <t>장군면</t>
        </is>
      </c>
      <c r="G10837" s="3" t="inlineStr">
        <is>
          <t>금암리</t>
        </is>
      </c>
      <c r="H10837" s="3" t="inlineStr">
        <is>
          <t>단독다가구</t>
        </is>
      </c>
      <c r="I10837" s="3" t="inlineStr">
        <is>
          <t>다가구</t>
        </is>
      </c>
      <c r="J10837" s="3" t="inlineStr">
        <is>
          <t>장군면</t>
        </is>
      </c>
    </row>
    <row r="10838">
      <c r="A10838" s="3" t="n">
        <v>2025</v>
      </c>
      <c r="B10838" s="4" t="n">
        <v>10400</v>
      </c>
      <c r="C10838" s="4" t="n">
        <v>142</v>
      </c>
      <c r="D10838" s="4" t="n">
        <v>42.955</v>
      </c>
      <c r="E10838" s="5" t="n">
        <v>242.1</v>
      </c>
      <c r="F10838" s="3" t="inlineStr">
        <is>
          <t>조치원읍</t>
        </is>
      </c>
      <c r="G10838" s="3" t="inlineStr">
        <is>
          <t>신흥리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100000</v>
      </c>
      <c r="C10839" s="4" t="n">
        <v>389.3</v>
      </c>
      <c r="D10839" s="4" t="n">
        <v>117.76325</v>
      </c>
      <c r="E10839" s="5" t="n">
        <v>849.2</v>
      </c>
      <c r="F10839" s="3" t="inlineStr">
        <is>
          <t>고운동</t>
        </is>
      </c>
      <c r="G10839" s="3" t="inlineStr"/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고운동</t>
        </is>
      </c>
    </row>
    <row r="10840">
      <c r="A10840" s="3" t="n">
        <v>2022</v>
      </c>
      <c r="B10840" s="4" t="n">
        <v>82500</v>
      </c>
      <c r="C10840" s="4" t="n">
        <v>265</v>
      </c>
      <c r="D10840" s="4" t="n">
        <v>80.16249999999999</v>
      </c>
      <c r="E10840" s="5" t="n">
        <v>1029.2</v>
      </c>
      <c r="F10840" s="3" t="inlineStr">
        <is>
          <t>조치원읍</t>
        </is>
      </c>
      <c r="G10840" s="3" t="inlineStr">
        <is>
          <t>침산리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16000</v>
      </c>
      <c r="C10841" s="4" t="n">
        <v>370</v>
      </c>
      <c r="D10841" s="4" t="n">
        <v>111.925</v>
      </c>
      <c r="E10841" s="5" t="n">
        <v>143</v>
      </c>
      <c r="F10841" s="3" t="inlineStr">
        <is>
          <t>부강면</t>
        </is>
      </c>
      <c r="G10841" s="3" t="inlineStr">
        <is>
          <t>행산리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부강면</t>
        </is>
      </c>
    </row>
    <row r="10842">
      <c r="A10842" s="3" t="n">
        <v>2022</v>
      </c>
      <c r="B10842" s="4" t="n">
        <v>16000</v>
      </c>
      <c r="C10842" s="4" t="n">
        <v>370</v>
      </c>
      <c r="D10842" s="4" t="n">
        <v>111.925</v>
      </c>
      <c r="E10842" s="5" t="n">
        <v>143</v>
      </c>
      <c r="F10842" s="3" t="inlineStr">
        <is>
          <t>부강면</t>
        </is>
      </c>
      <c r="G10842" s="3" t="inlineStr">
        <is>
          <t>행산리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부강면</t>
        </is>
      </c>
    </row>
    <row r="10843">
      <c r="A10843" s="3" t="n">
        <v>2022</v>
      </c>
      <c r="B10843" s="4" t="n">
        <v>27000</v>
      </c>
      <c r="C10843" s="4" t="n">
        <v>194.2</v>
      </c>
      <c r="D10843" s="4" t="n">
        <v>58.74549999999999</v>
      </c>
      <c r="E10843" s="5" t="n">
        <v>459.6</v>
      </c>
      <c r="F10843" s="3" t="inlineStr">
        <is>
          <t>조치원읍</t>
        </is>
      </c>
      <c r="G10843" s="3" t="inlineStr">
        <is>
          <t>교리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2022</v>
      </c>
      <c r="B10844" s="4" t="n">
        <v>31500</v>
      </c>
      <c r="C10844" s="4" t="n">
        <v>188</v>
      </c>
      <c r="D10844" s="4" t="n">
        <v>56.87</v>
      </c>
      <c r="E10844" s="5" t="n">
        <v>553.9</v>
      </c>
      <c r="F10844" s="3" t="inlineStr">
        <is>
          <t>조치원읍</t>
        </is>
      </c>
      <c r="G10844" s="3" t="inlineStr">
        <is>
          <t>명리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2022</v>
      </c>
      <c r="B10845" s="4" t="n">
        <v>73800</v>
      </c>
      <c r="C10845" s="4" t="n">
        <v>436</v>
      </c>
      <c r="D10845" s="4" t="n">
        <v>131.89</v>
      </c>
      <c r="E10845" s="5" t="n">
        <v>559.6</v>
      </c>
      <c r="F10845" s="3" t="inlineStr">
        <is>
          <t>연서면</t>
        </is>
      </c>
      <c r="G10845" s="3" t="inlineStr">
        <is>
          <t>봉암리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연서면</t>
        </is>
      </c>
    </row>
    <row r="10846">
      <c r="A10846" s="3" t="n">
        <v>2022</v>
      </c>
      <c r="B10846" s="4" t="n">
        <v>12300</v>
      </c>
      <c r="C10846" s="4" t="n">
        <v>298</v>
      </c>
      <c r="D10846" s="4" t="n">
        <v>90.145</v>
      </c>
      <c r="E10846" s="5" t="n">
        <v>136.4</v>
      </c>
      <c r="F10846" s="3" t="inlineStr">
        <is>
          <t>부강면</t>
        </is>
      </c>
      <c r="G10846" s="3" t="inlineStr">
        <is>
          <t>문곡리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부강면</t>
        </is>
      </c>
    </row>
    <row r="10847">
      <c r="A10847" s="3" t="n">
        <v>2022</v>
      </c>
      <c r="B10847" s="4" t="n">
        <v>5000</v>
      </c>
      <c r="C10847" s="4" t="n">
        <v>99</v>
      </c>
      <c r="D10847" s="4" t="n">
        <v>29.9475</v>
      </c>
      <c r="E10847" s="5" t="n">
        <v>167</v>
      </c>
      <c r="F10847" s="3" t="inlineStr">
        <is>
          <t>조치원읍</t>
        </is>
      </c>
      <c r="G10847" s="3" t="inlineStr">
        <is>
          <t>평리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조치원읍</t>
        </is>
      </c>
    </row>
    <row r="10848">
      <c r="A10848" s="3" t="n">
        <v>2022</v>
      </c>
      <c r="B10848" s="4" t="n">
        <v>32000</v>
      </c>
      <c r="C10848" s="4" t="n">
        <v>718</v>
      </c>
      <c r="D10848" s="4" t="n">
        <v>217.195</v>
      </c>
      <c r="E10848" s="5" t="n">
        <v>147.3</v>
      </c>
      <c r="F10848" s="3" t="inlineStr">
        <is>
          <t>소정면</t>
        </is>
      </c>
      <c r="G10848" s="3" t="inlineStr">
        <is>
          <t>대곡리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소정면</t>
        </is>
      </c>
    </row>
    <row r="10849">
      <c r="A10849" s="3" t="n">
        <v>2022</v>
      </c>
      <c r="B10849" s="4" t="n">
        <v>27000</v>
      </c>
      <c r="C10849" s="4" t="n">
        <v>395</v>
      </c>
      <c r="D10849" s="4" t="n">
        <v>119.4875</v>
      </c>
      <c r="E10849" s="5" t="n">
        <v>226</v>
      </c>
      <c r="F10849" s="3" t="inlineStr">
        <is>
          <t>장군면</t>
        </is>
      </c>
      <c r="G10849" s="3" t="inlineStr">
        <is>
          <t>금암리</t>
        </is>
      </c>
      <c r="H10849" s="3" t="inlineStr">
        <is>
          <t>단독다가구</t>
        </is>
      </c>
      <c r="I10849" s="3" t="inlineStr">
        <is>
          <t>다가구</t>
        </is>
      </c>
      <c r="J10849" s="3" t="inlineStr">
        <is>
          <t>장군면</t>
        </is>
      </c>
    </row>
    <row r="10850">
      <c r="A10850" s="3" t="n">
        <v>2022</v>
      </c>
      <c r="B10850" s="4" t="n">
        <v>22000</v>
      </c>
      <c r="C10850" s="4" t="n">
        <v>166</v>
      </c>
      <c r="D10850" s="4" t="n">
        <v>50.215</v>
      </c>
      <c r="E10850" s="5" t="n">
        <v>438.1</v>
      </c>
      <c r="F10850" s="3" t="inlineStr">
        <is>
          <t>조치원읍</t>
        </is>
      </c>
      <c r="G10850" s="3" t="inlineStr">
        <is>
          <t>교리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2022</v>
      </c>
      <c r="B10851" s="4" t="n">
        <v>80000</v>
      </c>
      <c r="C10851" s="4" t="n">
        <v>488</v>
      </c>
      <c r="D10851" s="4" t="n">
        <v>147.62</v>
      </c>
      <c r="E10851" s="5" t="n">
        <v>541.9</v>
      </c>
      <c r="F10851" s="3" t="inlineStr">
        <is>
          <t>장군면</t>
        </is>
      </c>
      <c r="G10851" s="3" t="inlineStr">
        <is>
          <t>봉안리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장군면</t>
        </is>
      </c>
    </row>
    <row r="10852">
      <c r="A10852" s="3" t="n">
        <v>2022</v>
      </c>
      <c r="B10852" s="4" t="n">
        <v>14000</v>
      </c>
      <c r="C10852" s="4" t="n">
        <v>436</v>
      </c>
      <c r="D10852" s="4" t="n">
        <v>131.89</v>
      </c>
      <c r="E10852" s="5" t="n">
        <v>106.1</v>
      </c>
      <c r="F10852" s="3" t="inlineStr">
        <is>
          <t>전동면</t>
        </is>
      </c>
      <c r="G10852" s="3" t="inlineStr">
        <is>
          <t>송성리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전동면</t>
        </is>
      </c>
    </row>
    <row r="10853">
      <c r="A10853" s="3" t="n">
        <v>2023</v>
      </c>
      <c r="B10853" s="4" t="n">
        <v>123000</v>
      </c>
      <c r="C10853" s="4" t="n">
        <v>762</v>
      </c>
      <c r="D10853" s="4" t="n">
        <v>230.505</v>
      </c>
      <c r="E10853" s="5" t="n">
        <v>533.6</v>
      </c>
      <c r="F10853" s="3" t="inlineStr">
        <is>
          <t>장군면</t>
        </is>
      </c>
      <c r="G10853" s="3" t="inlineStr">
        <is>
          <t>금암리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장군면</t>
        </is>
      </c>
    </row>
    <row r="10854">
      <c r="A10854" s="3" t="n">
        <v>2023</v>
      </c>
      <c r="B10854" s="4" t="n">
        <v>171000</v>
      </c>
      <c r="C10854" s="4" t="n">
        <v>335.9</v>
      </c>
      <c r="D10854" s="4" t="n">
        <v>101.60975</v>
      </c>
      <c r="E10854" s="5" t="n">
        <v>1682.9</v>
      </c>
      <c r="F10854" s="3" t="inlineStr">
        <is>
          <t>도담동</t>
        </is>
      </c>
      <c r="G10854" s="3" t="inlineStr"/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도담동</t>
        </is>
      </c>
    </row>
    <row r="10855">
      <c r="A10855" s="3" t="n">
        <v>2023</v>
      </c>
      <c r="B10855" s="4" t="n">
        <v>176000</v>
      </c>
      <c r="C10855" s="4" t="n">
        <v>565</v>
      </c>
      <c r="D10855" s="4" t="n">
        <v>170.9125</v>
      </c>
      <c r="E10855" s="5" t="n">
        <v>1029.8</v>
      </c>
      <c r="F10855" s="3" t="inlineStr">
        <is>
          <t>연기면</t>
        </is>
      </c>
      <c r="G10855" s="3" t="inlineStr">
        <is>
          <t>보통리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연기면</t>
        </is>
      </c>
    </row>
    <row r="10856">
      <c r="A10856" s="3" t="n">
        <v>2023</v>
      </c>
      <c r="B10856" s="4" t="n">
        <v>15400</v>
      </c>
      <c r="C10856" s="4" t="n">
        <v>781</v>
      </c>
      <c r="D10856" s="4" t="n">
        <v>236.2525</v>
      </c>
      <c r="E10856" s="5" t="n">
        <v>65.2</v>
      </c>
      <c r="F10856" s="3" t="inlineStr">
        <is>
          <t>장군면</t>
        </is>
      </c>
      <c r="G10856" s="3" t="inlineStr">
        <is>
          <t>송문리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2023</v>
      </c>
      <c r="B10857" s="4" t="n">
        <v>10000</v>
      </c>
      <c r="C10857" s="4" t="n">
        <v>172</v>
      </c>
      <c r="D10857" s="4" t="n">
        <v>52.03</v>
      </c>
      <c r="E10857" s="5" t="n">
        <v>192.2</v>
      </c>
      <c r="F10857" s="3" t="inlineStr">
        <is>
          <t>부강면</t>
        </is>
      </c>
      <c r="G10857" s="3" t="inlineStr">
        <is>
          <t>갈산리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부강면</t>
        </is>
      </c>
    </row>
    <row r="10858">
      <c r="A10858" s="3" t="n">
        <v>2023</v>
      </c>
      <c r="B10858" s="4" t="n">
        <v>54260</v>
      </c>
      <c r="C10858" s="4" t="n">
        <v>931</v>
      </c>
      <c r="D10858" s="4" t="n">
        <v>281.6275</v>
      </c>
      <c r="E10858" s="5" t="n">
        <v>192.7</v>
      </c>
      <c r="F10858" s="3" t="inlineStr">
        <is>
          <t>장군면</t>
        </is>
      </c>
      <c r="G10858" s="3" t="inlineStr">
        <is>
          <t>송학리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장군면</t>
        </is>
      </c>
    </row>
    <row r="10859">
      <c r="A10859" s="3" t="n">
        <v>2023</v>
      </c>
      <c r="B10859" s="4" t="n">
        <v>77000</v>
      </c>
      <c r="C10859" s="4" t="n">
        <v>320</v>
      </c>
      <c r="D10859" s="4" t="n">
        <v>96.8</v>
      </c>
      <c r="E10859" s="5" t="n">
        <v>795.5</v>
      </c>
      <c r="F10859" s="3" t="inlineStr">
        <is>
          <t>장군면</t>
        </is>
      </c>
      <c r="G10859" s="3" t="inlineStr">
        <is>
          <t>봉안리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장군면</t>
        </is>
      </c>
    </row>
    <row r="10860">
      <c r="A10860" s="3" t="n">
        <v>2023</v>
      </c>
      <c r="B10860" s="4" t="n">
        <v>33950</v>
      </c>
      <c r="C10860" s="4" t="n">
        <v>539</v>
      </c>
      <c r="D10860" s="4" t="n">
        <v>163.0475</v>
      </c>
      <c r="E10860" s="5" t="n">
        <v>208.2</v>
      </c>
      <c r="F10860" s="3" t="inlineStr">
        <is>
          <t>연서면</t>
        </is>
      </c>
      <c r="G10860" s="3" t="inlineStr">
        <is>
          <t>쌍류리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2023</v>
      </c>
      <c r="B10861" s="4" t="n">
        <v>88000</v>
      </c>
      <c r="C10861" s="4" t="n">
        <v>366</v>
      </c>
      <c r="D10861" s="4" t="n">
        <v>110.715</v>
      </c>
      <c r="E10861" s="5" t="n">
        <v>794.8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2023</v>
      </c>
      <c r="B10862" s="4" t="n">
        <v>3000</v>
      </c>
      <c r="C10862" s="4" t="n">
        <v>242</v>
      </c>
      <c r="D10862" s="4" t="n">
        <v>73.205</v>
      </c>
      <c r="E10862" s="5" t="n">
        <v>41</v>
      </c>
      <c r="F10862" s="3" t="inlineStr">
        <is>
          <t>전의면</t>
        </is>
      </c>
      <c r="G10862" s="3" t="inlineStr">
        <is>
          <t>금사리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전의면</t>
        </is>
      </c>
    </row>
    <row r="10863">
      <c r="A10863" s="3" t="n">
        <v>2022</v>
      </c>
      <c r="B10863" s="4" t="n">
        <v>23700</v>
      </c>
      <c r="C10863" s="4" t="n">
        <v>691</v>
      </c>
      <c r="D10863" s="4" t="n">
        <v>209.0275</v>
      </c>
      <c r="E10863" s="5" t="n">
        <v>113.4</v>
      </c>
      <c r="F10863" s="3" t="inlineStr">
        <is>
          <t>연동면</t>
        </is>
      </c>
      <c r="G10863" s="3" t="inlineStr">
        <is>
          <t>예양리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연동면</t>
        </is>
      </c>
    </row>
    <row r="10864">
      <c r="A10864" s="3" t="n">
        <v>2023</v>
      </c>
      <c r="B10864" s="4" t="n">
        <v>18562</v>
      </c>
      <c r="C10864" s="4" t="n">
        <v>704</v>
      </c>
      <c r="D10864" s="4" t="n">
        <v>212.96</v>
      </c>
      <c r="E10864" s="5" t="n">
        <v>87.2</v>
      </c>
      <c r="F10864" s="3" t="inlineStr">
        <is>
          <t>장군면</t>
        </is>
      </c>
      <c r="G10864" s="3" t="inlineStr">
        <is>
          <t>은용리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장군면</t>
        </is>
      </c>
    </row>
    <row r="10865">
      <c r="A10865" s="3" t="n">
        <v>2024</v>
      </c>
      <c r="B10865" s="4" t="n">
        <v>85470</v>
      </c>
      <c r="C10865" s="4" t="n">
        <v>309.2</v>
      </c>
      <c r="D10865" s="4" t="n">
        <v>93.53299999999999</v>
      </c>
      <c r="E10865" s="5" t="n">
        <v>913.8</v>
      </c>
      <c r="F10865" s="3" t="inlineStr">
        <is>
          <t>고운동</t>
        </is>
      </c>
      <c r="G10865" s="3" t="inlineStr"/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고운동</t>
        </is>
      </c>
    </row>
    <row r="10866">
      <c r="A10866" s="3" t="n">
        <v>2022</v>
      </c>
      <c r="B10866" s="4" t="n">
        <v>40000</v>
      </c>
      <c r="C10866" s="4" t="n">
        <v>321</v>
      </c>
      <c r="D10866" s="4" t="n">
        <v>97.10249999999999</v>
      </c>
      <c r="E10866" s="5" t="n">
        <v>411.9</v>
      </c>
      <c r="F10866" s="3" t="inlineStr">
        <is>
          <t>조치원읍</t>
        </is>
      </c>
      <c r="G10866" s="3" t="inlineStr">
        <is>
          <t>서창리</t>
        </is>
      </c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조치원읍</t>
        </is>
      </c>
    </row>
    <row r="10867">
      <c r="A10867" s="3" t="n">
        <v>2022</v>
      </c>
      <c r="B10867" s="4" t="n">
        <v>13500</v>
      </c>
      <c r="C10867" s="4" t="n">
        <v>138</v>
      </c>
      <c r="D10867" s="4" t="n">
        <v>41.745</v>
      </c>
      <c r="E10867" s="5" t="n">
        <v>323.4</v>
      </c>
      <c r="F10867" s="3" t="inlineStr">
        <is>
          <t>조치원읍</t>
        </is>
      </c>
      <c r="G10867" s="3" t="inlineStr">
        <is>
          <t>죽림리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2022</v>
      </c>
      <c r="B10868" s="4" t="n">
        <v>24000</v>
      </c>
      <c r="C10868" s="4" t="n">
        <v>646</v>
      </c>
      <c r="D10868" s="4" t="n">
        <v>195.415</v>
      </c>
      <c r="E10868" s="5" t="n">
        <v>122.8</v>
      </c>
      <c r="F10868" s="3" t="inlineStr">
        <is>
          <t>전동면</t>
        </is>
      </c>
      <c r="G10868" s="3" t="inlineStr">
        <is>
          <t>미곡리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2022</v>
      </c>
      <c r="B10869" s="4" t="n">
        <v>12700</v>
      </c>
      <c r="C10869" s="4" t="n">
        <v>123</v>
      </c>
      <c r="D10869" s="4" t="n">
        <v>37.2075</v>
      </c>
      <c r="E10869" s="5" t="n">
        <v>341.3</v>
      </c>
      <c r="F10869" s="3" t="inlineStr">
        <is>
          <t>조치원읍</t>
        </is>
      </c>
      <c r="G10869" s="3" t="inlineStr">
        <is>
          <t>명리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조치원읍</t>
        </is>
      </c>
    </row>
    <row r="10870">
      <c r="A10870" s="3" t="n">
        <v>2022</v>
      </c>
      <c r="B10870" s="4" t="n">
        <v>108000</v>
      </c>
      <c r="C10870" s="4" t="n">
        <v>1096</v>
      </c>
      <c r="D10870" s="4" t="n">
        <v>331.54</v>
      </c>
      <c r="E10870" s="5" t="n">
        <v>325.8</v>
      </c>
      <c r="F10870" s="3" t="inlineStr">
        <is>
          <t>장군면</t>
        </is>
      </c>
      <c r="G10870" s="3" t="inlineStr">
        <is>
          <t>산학리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2022</v>
      </c>
      <c r="B10871" s="4" t="n">
        <v>105000</v>
      </c>
      <c r="C10871" s="4" t="n">
        <v>420</v>
      </c>
      <c r="D10871" s="4" t="n">
        <v>127.05</v>
      </c>
      <c r="E10871" s="5" t="n">
        <v>826.4</v>
      </c>
      <c r="F10871" s="3" t="inlineStr">
        <is>
          <t>금남면</t>
        </is>
      </c>
      <c r="G10871" s="3" t="inlineStr">
        <is>
          <t>용포리</t>
        </is>
      </c>
      <c r="H10871" s="3" t="inlineStr">
        <is>
          <t>단독다가구</t>
        </is>
      </c>
      <c r="I10871" s="3" t="inlineStr">
        <is>
          <t>다가구</t>
        </is>
      </c>
      <c r="J10871" s="3" t="inlineStr">
        <is>
          <t>금남면</t>
        </is>
      </c>
    </row>
    <row r="10872">
      <c r="A10872" s="3" t="n">
        <v>2022</v>
      </c>
      <c r="B10872" s="4" t="n">
        <v>59250</v>
      </c>
      <c r="C10872" s="4" t="n">
        <v>295</v>
      </c>
      <c r="D10872" s="4" t="n">
        <v>89.2375</v>
      </c>
      <c r="E10872" s="5" t="n">
        <v>664</v>
      </c>
      <c r="F10872" s="3" t="inlineStr">
        <is>
          <t>장군면</t>
        </is>
      </c>
      <c r="G10872" s="3" t="inlineStr">
        <is>
          <t>대교리</t>
        </is>
      </c>
      <c r="H10872" s="3" t="inlineStr">
        <is>
          <t>단독다가구</t>
        </is>
      </c>
      <c r="I10872" s="3" t="inlineStr">
        <is>
          <t>다가구</t>
        </is>
      </c>
      <c r="J10872" s="3" t="inlineStr">
        <is>
          <t>장군면</t>
        </is>
      </c>
    </row>
    <row r="10873">
      <c r="A10873" s="3" t="n">
        <v>2022</v>
      </c>
      <c r="B10873" s="4" t="n">
        <v>21000</v>
      </c>
      <c r="C10873" s="4" t="n">
        <v>707</v>
      </c>
      <c r="D10873" s="4" t="n">
        <v>213.8675</v>
      </c>
      <c r="E10873" s="5" t="n">
        <v>98.2</v>
      </c>
      <c r="F10873" s="3" t="inlineStr">
        <is>
          <t>전동면</t>
        </is>
      </c>
      <c r="G10873" s="3" t="inlineStr">
        <is>
          <t>미곡리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2022</v>
      </c>
      <c r="B10874" s="4" t="n">
        <v>11000</v>
      </c>
      <c r="C10874" s="4" t="n">
        <v>160</v>
      </c>
      <c r="D10874" s="4" t="n">
        <v>48.4</v>
      </c>
      <c r="E10874" s="5" t="n">
        <v>227.3</v>
      </c>
      <c r="F10874" s="3" t="inlineStr">
        <is>
          <t>조치원읍</t>
        </is>
      </c>
      <c r="G10874" s="3" t="inlineStr">
        <is>
          <t>신흥리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2022</v>
      </c>
      <c r="B10875" s="4" t="n">
        <v>24500</v>
      </c>
      <c r="C10875" s="4" t="n">
        <v>176</v>
      </c>
      <c r="D10875" s="4" t="n">
        <v>53.23999999999999</v>
      </c>
      <c r="E10875" s="5" t="n">
        <v>460.2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조치원읍</t>
        </is>
      </c>
    </row>
    <row r="10876">
      <c r="A10876" s="3" t="n">
        <v>2022</v>
      </c>
      <c r="B10876" s="4" t="n">
        <v>74750</v>
      </c>
      <c r="C10876" s="4" t="n">
        <v>299</v>
      </c>
      <c r="D10876" s="4" t="n">
        <v>90.44749999999999</v>
      </c>
      <c r="E10876" s="5" t="n">
        <v>826.4</v>
      </c>
      <c r="F10876" s="3" t="inlineStr">
        <is>
          <t>장군면</t>
        </is>
      </c>
      <c r="G10876" s="3" t="inlineStr">
        <is>
          <t>봉안리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장군면</t>
        </is>
      </c>
    </row>
    <row r="10877">
      <c r="A10877" s="3" t="n">
        <v>2023</v>
      </c>
      <c r="B10877" s="4" t="n">
        <v>39000</v>
      </c>
      <c r="C10877" s="4" t="n">
        <v>469</v>
      </c>
      <c r="D10877" s="4" t="n">
        <v>141.8725</v>
      </c>
      <c r="E10877" s="5" t="n">
        <v>274.9</v>
      </c>
      <c r="F10877" s="3" t="inlineStr">
        <is>
          <t>남이면</t>
        </is>
      </c>
      <c r="G10877" s="3" t="inlineStr">
        <is>
          <t>가좌리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남이면</t>
        </is>
      </c>
    </row>
    <row r="10878">
      <c r="A10878" s="3" t="n">
        <v>2023</v>
      </c>
      <c r="B10878" s="4" t="n">
        <v>26200</v>
      </c>
      <c r="C10878" s="4" t="n">
        <v>440</v>
      </c>
      <c r="D10878" s="4" t="n">
        <v>133.1</v>
      </c>
      <c r="E10878" s="5" t="n">
        <v>196.8</v>
      </c>
      <c r="F10878" s="3" t="inlineStr">
        <is>
          <t>남이면</t>
        </is>
      </c>
      <c r="G10878" s="3" t="inlineStr">
        <is>
          <t>문동리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남이면</t>
        </is>
      </c>
    </row>
    <row r="10879">
      <c r="A10879" s="3" t="n">
        <v>2023</v>
      </c>
      <c r="B10879" s="4" t="n">
        <v>70000</v>
      </c>
      <c r="C10879" s="4" t="n">
        <v>600</v>
      </c>
      <c r="D10879" s="4" t="n">
        <v>181.5</v>
      </c>
      <c r="E10879" s="5" t="n">
        <v>385.7</v>
      </c>
      <c r="F10879" s="3" t="inlineStr">
        <is>
          <t>남이면</t>
        </is>
      </c>
      <c r="G10879" s="3" t="inlineStr">
        <is>
          <t>석판리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남이면</t>
        </is>
      </c>
    </row>
    <row r="10880">
      <c r="A10880" s="3" t="n">
        <v>2023</v>
      </c>
      <c r="B10880" s="4" t="n">
        <v>60000</v>
      </c>
      <c r="C10880" s="4" t="n">
        <v>1300</v>
      </c>
      <c r="D10880" s="4" t="n">
        <v>393.25</v>
      </c>
      <c r="E10880" s="5" t="n">
        <v>152.6</v>
      </c>
      <c r="F10880" s="3" t="inlineStr">
        <is>
          <t>남이면</t>
        </is>
      </c>
      <c r="G10880" s="3" t="inlineStr">
        <is>
          <t>척산리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남이면</t>
        </is>
      </c>
    </row>
    <row r="10881">
      <c r="A10881" s="3" t="n">
        <v>2023</v>
      </c>
      <c r="B10881" s="4" t="n">
        <v>3350</v>
      </c>
      <c r="C10881" s="4" t="n">
        <v>311</v>
      </c>
      <c r="D10881" s="4" t="n">
        <v>94.0775</v>
      </c>
      <c r="E10881" s="5" t="n">
        <v>35.6</v>
      </c>
      <c r="F10881" s="3" t="inlineStr">
        <is>
          <t>현도면</t>
        </is>
      </c>
      <c r="G10881" s="3" t="inlineStr">
        <is>
          <t>달계리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현도면</t>
        </is>
      </c>
    </row>
    <row r="10882">
      <c r="A10882" s="3" t="n">
        <v>2023</v>
      </c>
      <c r="B10882" s="4" t="n">
        <v>34000</v>
      </c>
      <c r="C10882" s="4" t="n">
        <v>370</v>
      </c>
      <c r="D10882" s="4" t="n">
        <v>111.925</v>
      </c>
      <c r="E10882" s="5" t="n">
        <v>303.8</v>
      </c>
      <c r="F10882" s="3" t="inlineStr">
        <is>
          <t>현도면</t>
        </is>
      </c>
      <c r="G10882" s="3" t="inlineStr">
        <is>
          <t>하석리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현도면</t>
        </is>
      </c>
    </row>
    <row r="10883">
      <c r="A10883" s="3" t="n">
        <v>2022</v>
      </c>
      <c r="B10883" s="4" t="n">
        <v>18000</v>
      </c>
      <c r="C10883" s="4" t="n">
        <v>590</v>
      </c>
      <c r="D10883" s="4" t="n">
        <v>178.475</v>
      </c>
      <c r="E10883" s="5" t="n">
        <v>100.9</v>
      </c>
      <c r="F10883" s="3" t="inlineStr">
        <is>
          <t>전동면</t>
        </is>
      </c>
      <c r="G10883" s="3" t="inlineStr">
        <is>
          <t>송곡리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2024</v>
      </c>
      <c r="B10884" s="4" t="n">
        <v>20500</v>
      </c>
      <c r="C10884" s="4" t="n">
        <v>448.1</v>
      </c>
      <c r="D10884" s="4" t="n">
        <v>135.55025</v>
      </c>
      <c r="E10884" s="5" t="n">
        <v>151.2</v>
      </c>
      <c r="F10884" s="3" t="inlineStr">
        <is>
          <t>전의면</t>
        </is>
      </c>
      <c r="G10884" s="3" t="inlineStr">
        <is>
          <t>동교리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전의면</t>
        </is>
      </c>
    </row>
    <row r="10885">
      <c r="A10885" s="3" t="n">
        <v>2022</v>
      </c>
      <c r="B10885" s="4" t="n">
        <v>14000</v>
      </c>
      <c r="C10885" s="4" t="n">
        <v>175</v>
      </c>
      <c r="D10885" s="4" t="n">
        <v>52.9375</v>
      </c>
      <c r="E10885" s="5" t="n">
        <v>264.5</v>
      </c>
      <c r="F10885" s="3" t="inlineStr">
        <is>
          <t>연서면</t>
        </is>
      </c>
      <c r="G10885" s="3" t="inlineStr">
        <is>
          <t>봉암리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연서면</t>
        </is>
      </c>
    </row>
    <row r="10886">
      <c r="A10886" s="3" t="n">
        <v>2022</v>
      </c>
      <c r="B10886" s="4" t="n">
        <v>9000</v>
      </c>
      <c r="C10886" s="4" t="n">
        <v>145</v>
      </c>
      <c r="D10886" s="4" t="n">
        <v>43.8625</v>
      </c>
      <c r="E10886" s="5" t="n">
        <v>205.2</v>
      </c>
      <c r="F10886" s="3" t="inlineStr">
        <is>
          <t>부강면</t>
        </is>
      </c>
      <c r="G10886" s="3" t="inlineStr">
        <is>
          <t>부강리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부강면</t>
        </is>
      </c>
    </row>
    <row r="10887">
      <c r="A10887" s="3" t="n">
        <v>2022</v>
      </c>
      <c r="B10887" s="4" t="n">
        <v>37000</v>
      </c>
      <c r="C10887" s="4" t="n">
        <v>305</v>
      </c>
      <c r="D10887" s="4" t="n">
        <v>92.2625</v>
      </c>
      <c r="E10887" s="5" t="n">
        <v>401</v>
      </c>
      <c r="F10887" s="3" t="inlineStr">
        <is>
          <t>조치원읍</t>
        </is>
      </c>
      <c r="G10887" s="3" t="inlineStr">
        <is>
          <t>신안리</t>
        </is>
      </c>
      <c r="H10887" s="3" t="inlineStr">
        <is>
          <t>단독다가구</t>
        </is>
      </c>
      <c r="I10887" s="3" t="inlineStr">
        <is>
          <t>다가구</t>
        </is>
      </c>
      <c r="J10887" s="3" t="inlineStr">
        <is>
          <t>조치원읍</t>
        </is>
      </c>
    </row>
    <row r="10888">
      <c r="A10888" s="3" t="n">
        <v>2022</v>
      </c>
      <c r="B10888" s="4" t="n">
        <v>15000</v>
      </c>
      <c r="C10888" s="4" t="n">
        <v>106</v>
      </c>
      <c r="D10888" s="4" t="n">
        <v>32.065</v>
      </c>
      <c r="E10888" s="5" t="n">
        <v>467.8</v>
      </c>
      <c r="F10888" s="3" t="inlineStr">
        <is>
          <t>조치원읍</t>
        </is>
      </c>
      <c r="G10888" s="3" t="inlineStr">
        <is>
          <t>평리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조치원읍</t>
        </is>
      </c>
    </row>
    <row r="10889">
      <c r="A10889" s="3" t="n">
        <v>2022</v>
      </c>
      <c r="B10889" s="4" t="n">
        <v>40500</v>
      </c>
      <c r="C10889" s="4" t="n">
        <v>942</v>
      </c>
      <c r="D10889" s="4" t="n">
        <v>284.955</v>
      </c>
      <c r="E10889" s="5" t="n">
        <v>142.1</v>
      </c>
      <c r="F10889" s="3" t="inlineStr">
        <is>
          <t>소정면</t>
        </is>
      </c>
      <c r="G10889" s="3" t="inlineStr">
        <is>
          <t>대곡리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소정면</t>
        </is>
      </c>
    </row>
    <row r="10890">
      <c r="A10890" s="3" t="n">
        <v>2022</v>
      </c>
      <c r="B10890" s="4" t="n">
        <v>44000</v>
      </c>
      <c r="C10890" s="4" t="n">
        <v>275</v>
      </c>
      <c r="D10890" s="4" t="n">
        <v>83.1875</v>
      </c>
      <c r="E10890" s="5" t="n">
        <v>528.9</v>
      </c>
      <c r="F10890" s="3" t="inlineStr">
        <is>
          <t>장군면</t>
        </is>
      </c>
      <c r="G10890" s="3" t="inlineStr">
        <is>
          <t>도계리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장군면</t>
        </is>
      </c>
    </row>
    <row r="10891">
      <c r="A10891" s="3" t="n">
        <v>2022</v>
      </c>
      <c r="B10891" s="4" t="n">
        <v>36000</v>
      </c>
      <c r="C10891" s="4" t="n">
        <v>520</v>
      </c>
      <c r="D10891" s="4" t="n">
        <v>157.3</v>
      </c>
      <c r="E10891" s="5" t="n">
        <v>228.9</v>
      </c>
      <c r="F10891" s="3" t="inlineStr">
        <is>
          <t>금남면</t>
        </is>
      </c>
      <c r="G10891" s="3" t="inlineStr">
        <is>
          <t>도남리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금남면</t>
        </is>
      </c>
    </row>
    <row r="10892">
      <c r="A10892" s="3" t="n">
        <v>2022</v>
      </c>
      <c r="B10892" s="4" t="n">
        <v>125000</v>
      </c>
      <c r="C10892" s="4" t="n">
        <v>305</v>
      </c>
      <c r="D10892" s="4" t="n">
        <v>92.2625</v>
      </c>
      <c r="E10892" s="5" t="n">
        <v>1354.8</v>
      </c>
      <c r="F10892" s="3" t="inlineStr">
        <is>
          <t>도담동</t>
        </is>
      </c>
      <c r="G10892" s="3" t="inlineStr"/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도담동</t>
        </is>
      </c>
    </row>
    <row r="10893">
      <c r="A10893" s="3" t="n">
        <v>2022</v>
      </c>
      <c r="B10893" s="4" t="n">
        <v>10000</v>
      </c>
      <c r="C10893" s="4" t="n">
        <v>344</v>
      </c>
      <c r="D10893" s="4" t="n">
        <v>104.06</v>
      </c>
      <c r="E10893" s="5" t="n">
        <v>96.09999999999999</v>
      </c>
      <c r="F10893" s="3" t="inlineStr">
        <is>
          <t>장군면</t>
        </is>
      </c>
      <c r="G10893" s="3" t="inlineStr">
        <is>
          <t>하봉리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장군면</t>
        </is>
      </c>
    </row>
    <row r="10894">
      <c r="A10894" s="3" t="n">
        <v>2022</v>
      </c>
      <c r="B10894" s="4" t="n">
        <v>43000</v>
      </c>
      <c r="C10894" s="4" t="n">
        <v>294</v>
      </c>
      <c r="D10894" s="4" t="n">
        <v>88.935</v>
      </c>
      <c r="E10894" s="5" t="n">
        <v>483.5</v>
      </c>
      <c r="F10894" s="3" t="inlineStr">
        <is>
          <t>조치원읍</t>
        </is>
      </c>
      <c r="G10894" s="3" t="inlineStr">
        <is>
          <t>신안리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조치원읍</t>
        </is>
      </c>
    </row>
    <row r="10895">
      <c r="A10895" s="3" t="n">
        <v>2022</v>
      </c>
      <c r="B10895" s="4" t="n">
        <v>82000</v>
      </c>
      <c r="C10895" s="4" t="n">
        <v>638</v>
      </c>
      <c r="D10895" s="4" t="n">
        <v>192.995</v>
      </c>
      <c r="E10895" s="5" t="n">
        <v>424.9</v>
      </c>
      <c r="F10895" s="3" t="inlineStr">
        <is>
          <t>조치원읍</t>
        </is>
      </c>
      <c r="G10895" s="3" t="inlineStr">
        <is>
          <t>정리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2022</v>
      </c>
      <c r="B10896" s="4" t="n">
        <v>83200</v>
      </c>
      <c r="C10896" s="4" t="n">
        <v>361</v>
      </c>
      <c r="D10896" s="4" t="n">
        <v>109.2025</v>
      </c>
      <c r="E10896" s="5" t="n">
        <v>761.9</v>
      </c>
      <c r="F10896" s="3" t="inlineStr">
        <is>
          <t>장군면</t>
        </is>
      </c>
      <c r="G10896" s="3" t="inlineStr">
        <is>
          <t>봉안리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장군면</t>
        </is>
      </c>
    </row>
    <row r="10897">
      <c r="A10897" s="3" t="n">
        <v>2022</v>
      </c>
      <c r="B10897" s="4" t="n">
        <v>26500</v>
      </c>
      <c r="C10897" s="4" t="n">
        <v>380</v>
      </c>
      <c r="D10897" s="4" t="n">
        <v>114.95</v>
      </c>
      <c r="E10897" s="5" t="n">
        <v>230.5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55500</v>
      </c>
      <c r="C10898" s="4" t="n">
        <v>270.8</v>
      </c>
      <c r="D10898" s="4" t="n">
        <v>81.917</v>
      </c>
      <c r="E10898" s="5" t="n">
        <v>677.5</v>
      </c>
      <c r="F10898" s="3" t="inlineStr">
        <is>
          <t>조치원읍</t>
        </is>
      </c>
      <c r="G10898" s="3" t="inlineStr">
        <is>
          <t>남리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조치원읍</t>
        </is>
      </c>
    </row>
    <row r="10899">
      <c r="A10899" s="3" t="n">
        <v>2022</v>
      </c>
      <c r="B10899" s="4" t="n">
        <v>101000</v>
      </c>
      <c r="C10899" s="4" t="n">
        <v>337</v>
      </c>
      <c r="D10899" s="4" t="n">
        <v>101.9425</v>
      </c>
      <c r="E10899" s="5" t="n">
        <v>990.8</v>
      </c>
      <c r="F10899" s="3" t="inlineStr">
        <is>
          <t>조치원읍</t>
        </is>
      </c>
      <c r="G10899" s="3" t="inlineStr">
        <is>
          <t>신안리</t>
        </is>
      </c>
      <c r="H10899" s="3" t="inlineStr">
        <is>
          <t>단독다가구</t>
        </is>
      </c>
      <c r="I10899" s="3" t="inlineStr">
        <is>
          <t>다가구</t>
        </is>
      </c>
      <c r="J10899" s="3" t="inlineStr">
        <is>
          <t>조치원읍</t>
        </is>
      </c>
    </row>
    <row r="10900">
      <c r="A10900" s="3" t="n">
        <v>2022</v>
      </c>
      <c r="B10900" s="4" t="n">
        <v>95000</v>
      </c>
      <c r="C10900" s="4" t="n">
        <v>379</v>
      </c>
      <c r="D10900" s="4" t="n">
        <v>114.6475</v>
      </c>
      <c r="E10900" s="5" t="n">
        <v>828.6</v>
      </c>
      <c r="F10900" s="3" t="inlineStr">
        <is>
          <t>조치원읍</t>
        </is>
      </c>
      <c r="G10900" s="3" t="inlineStr">
        <is>
          <t>남리</t>
        </is>
      </c>
      <c r="H10900" s="3" t="inlineStr">
        <is>
          <t>단독다가구</t>
        </is>
      </c>
      <c r="I10900" s="3" t="inlineStr">
        <is>
          <t>다가구</t>
        </is>
      </c>
      <c r="J10900" s="3" t="inlineStr">
        <is>
          <t>조치원읍</t>
        </is>
      </c>
    </row>
    <row r="10901">
      <c r="A10901" s="3" t="n">
        <v>2022</v>
      </c>
      <c r="B10901" s="4" t="n">
        <v>5500</v>
      </c>
      <c r="C10901" s="4" t="n">
        <v>99</v>
      </c>
      <c r="D10901" s="4" t="n">
        <v>29.9475</v>
      </c>
      <c r="E10901" s="5" t="n">
        <v>183.7</v>
      </c>
      <c r="F10901" s="3" t="inlineStr">
        <is>
          <t>조치원읍</t>
        </is>
      </c>
      <c r="G10901" s="3" t="inlineStr">
        <is>
          <t>평리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2022</v>
      </c>
      <c r="B10902" s="4" t="n">
        <v>29000</v>
      </c>
      <c r="C10902" s="4" t="n">
        <v>660</v>
      </c>
      <c r="D10902" s="4" t="n">
        <v>199.65</v>
      </c>
      <c r="E10902" s="5" t="n">
        <v>145.3</v>
      </c>
      <c r="F10902" s="3" t="inlineStr">
        <is>
          <t>전의면</t>
        </is>
      </c>
      <c r="G10902" s="3" t="inlineStr">
        <is>
          <t>유천리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전의면</t>
        </is>
      </c>
    </row>
    <row r="10903">
      <c r="A10903" s="3" t="n">
        <v>2022</v>
      </c>
      <c r="B10903" s="4" t="n">
        <v>6000</v>
      </c>
      <c r="C10903" s="4" t="n">
        <v>79</v>
      </c>
      <c r="D10903" s="4" t="n">
        <v>23.8975</v>
      </c>
      <c r="E10903" s="5" t="n">
        <v>251.1</v>
      </c>
      <c r="F10903" s="3" t="inlineStr">
        <is>
          <t>금남면</t>
        </is>
      </c>
      <c r="G10903" s="3" t="inlineStr">
        <is>
          <t>용포리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금남면</t>
        </is>
      </c>
    </row>
    <row r="10904">
      <c r="A10904" s="3" t="n">
        <v>2022</v>
      </c>
      <c r="B10904" s="4" t="n">
        <v>71000</v>
      </c>
      <c r="C10904" s="4" t="n">
        <v>159.4</v>
      </c>
      <c r="D10904" s="4" t="n">
        <v>48.2185</v>
      </c>
      <c r="E10904" s="5" t="n">
        <v>1472.5</v>
      </c>
      <c r="F10904" s="3" t="inlineStr">
        <is>
          <t>조치원읍</t>
        </is>
      </c>
      <c r="G10904" s="3" t="inlineStr">
        <is>
          <t>침산리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조치원읍</t>
        </is>
      </c>
    </row>
    <row r="10905">
      <c r="A10905" s="3" t="n">
        <v>2022</v>
      </c>
      <c r="B10905" s="4" t="n">
        <v>48000</v>
      </c>
      <c r="C10905" s="4" t="n">
        <v>341</v>
      </c>
      <c r="D10905" s="4" t="n">
        <v>103.1525</v>
      </c>
      <c r="E10905" s="5" t="n">
        <v>465.3</v>
      </c>
      <c r="F10905" s="3" t="inlineStr">
        <is>
          <t>조치원읍</t>
        </is>
      </c>
      <c r="G10905" s="3" t="inlineStr">
        <is>
          <t>상리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조치원읍</t>
        </is>
      </c>
    </row>
    <row r="10906">
      <c r="A10906" s="3" t="n">
        <v>2022</v>
      </c>
      <c r="B10906" s="4" t="n">
        <v>60000</v>
      </c>
      <c r="C10906" s="4" t="n">
        <v>541</v>
      </c>
      <c r="D10906" s="4" t="n">
        <v>163.6525</v>
      </c>
      <c r="E10906" s="5" t="n">
        <v>366.6</v>
      </c>
      <c r="F10906" s="3" t="inlineStr">
        <is>
          <t>장군면</t>
        </is>
      </c>
      <c r="G10906" s="3" t="inlineStr">
        <is>
          <t>대교리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장군면</t>
        </is>
      </c>
    </row>
    <row r="10907">
      <c r="A10907" s="3" t="n">
        <v>2022</v>
      </c>
      <c r="B10907" s="4" t="n">
        <v>37500</v>
      </c>
      <c r="C10907" s="4" t="n">
        <v>165</v>
      </c>
      <c r="D10907" s="4" t="n">
        <v>49.9125</v>
      </c>
      <c r="E10907" s="5" t="n">
        <v>751.3</v>
      </c>
      <c r="F10907" s="3" t="inlineStr">
        <is>
          <t>부강면</t>
        </is>
      </c>
      <c r="G10907" s="3" t="inlineStr">
        <is>
          <t>부강리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부강면</t>
        </is>
      </c>
    </row>
    <row r="10908">
      <c r="A10908" s="3" t="n">
        <v>2022</v>
      </c>
      <c r="B10908" s="4" t="n">
        <v>120000</v>
      </c>
      <c r="C10908" s="4" t="n">
        <v>330.1</v>
      </c>
      <c r="D10908" s="4" t="n">
        <v>99.85525</v>
      </c>
      <c r="E10908" s="5" t="n">
        <v>1201.7</v>
      </c>
      <c r="F10908" s="3" t="inlineStr">
        <is>
          <t>고운동</t>
        </is>
      </c>
      <c r="G10908" s="3" t="inlineStr"/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고운동</t>
        </is>
      </c>
    </row>
    <row r="10909">
      <c r="A10909" s="3" t="n">
        <v>2022</v>
      </c>
      <c r="B10909" s="4" t="n">
        <v>37500</v>
      </c>
      <c r="C10909" s="4" t="n">
        <v>165</v>
      </c>
      <c r="D10909" s="4" t="n">
        <v>49.9125</v>
      </c>
      <c r="E10909" s="5" t="n">
        <v>751.3</v>
      </c>
      <c r="F10909" s="3" t="inlineStr">
        <is>
          <t>부강면</t>
        </is>
      </c>
      <c r="G10909" s="3" t="inlineStr">
        <is>
          <t>부강리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부강면</t>
        </is>
      </c>
    </row>
    <row r="10910">
      <c r="A10910" s="3" t="n">
        <v>2022</v>
      </c>
      <c r="B10910" s="4" t="n">
        <v>176000</v>
      </c>
      <c r="C10910" s="4" t="n">
        <v>556</v>
      </c>
      <c r="D10910" s="4" t="n">
        <v>168.19</v>
      </c>
      <c r="E10910" s="5" t="n">
        <v>1046.4</v>
      </c>
      <c r="F10910" s="3" t="inlineStr">
        <is>
          <t>연기면</t>
        </is>
      </c>
      <c r="G10910" s="3" t="inlineStr">
        <is>
          <t>보통리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연기면</t>
        </is>
      </c>
    </row>
    <row r="10911">
      <c r="A10911" s="3" t="n">
        <v>2022</v>
      </c>
      <c r="B10911" s="4" t="n">
        <v>42000</v>
      </c>
      <c r="C10911" s="4" t="n">
        <v>376</v>
      </c>
      <c r="D10911" s="4" t="n">
        <v>113.74</v>
      </c>
      <c r="E10911" s="5" t="n">
        <v>369.3</v>
      </c>
      <c r="F10911" s="3" t="inlineStr">
        <is>
          <t>연서면</t>
        </is>
      </c>
      <c r="G10911" s="3" t="inlineStr">
        <is>
          <t>월하리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연서면</t>
        </is>
      </c>
    </row>
    <row r="10912">
      <c r="A10912" s="3" t="n">
        <v>2022</v>
      </c>
      <c r="B10912" s="4" t="n">
        <v>15750</v>
      </c>
      <c r="C10912" s="4" t="n">
        <v>149</v>
      </c>
      <c r="D10912" s="4" t="n">
        <v>45.0725</v>
      </c>
      <c r="E10912" s="5" t="n">
        <v>349.4</v>
      </c>
      <c r="F10912" s="3" t="inlineStr">
        <is>
          <t>조치원읍</t>
        </is>
      </c>
      <c r="G10912" s="3" t="inlineStr">
        <is>
          <t>죽림리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조치원읍</t>
        </is>
      </c>
    </row>
    <row r="10913">
      <c r="A10913" s="3" t="n">
        <v>2022</v>
      </c>
      <c r="B10913" s="4" t="n">
        <v>40000</v>
      </c>
      <c r="C10913" s="4" t="n">
        <v>321</v>
      </c>
      <c r="D10913" s="4" t="n">
        <v>97.10249999999999</v>
      </c>
      <c r="E10913" s="5" t="n">
        <v>411.9</v>
      </c>
      <c r="F10913" s="3" t="inlineStr">
        <is>
          <t>조치원읍</t>
        </is>
      </c>
      <c r="G10913" s="3" t="inlineStr">
        <is>
          <t>서창리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조치원읍</t>
        </is>
      </c>
    </row>
    <row r="10914">
      <c r="A10914" s="3" t="n">
        <v>2022</v>
      </c>
      <c r="B10914" s="4" t="n">
        <v>24500</v>
      </c>
      <c r="C10914" s="4" t="n">
        <v>691</v>
      </c>
      <c r="D10914" s="4" t="n">
        <v>209.0275</v>
      </c>
      <c r="E10914" s="5" t="n">
        <v>117.2</v>
      </c>
      <c r="F10914" s="3" t="inlineStr">
        <is>
          <t>연동면</t>
        </is>
      </c>
      <c r="G10914" s="3" t="inlineStr">
        <is>
          <t>예양리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연동면</t>
        </is>
      </c>
    </row>
    <row r="10915">
      <c r="A10915" s="3" t="n">
        <v>2022</v>
      </c>
      <c r="B10915" s="4" t="n">
        <v>63500</v>
      </c>
      <c r="C10915" s="4" t="n">
        <v>172</v>
      </c>
      <c r="D10915" s="4" t="n">
        <v>52.03</v>
      </c>
      <c r="E10915" s="5" t="n">
        <v>1220.4</v>
      </c>
      <c r="F10915" s="3" t="inlineStr">
        <is>
          <t>금남면</t>
        </is>
      </c>
      <c r="G10915" s="3" t="inlineStr">
        <is>
          <t>용포리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금남면</t>
        </is>
      </c>
    </row>
    <row r="10916">
      <c r="A10916" s="3" t="n">
        <v>2022</v>
      </c>
      <c r="B10916" s="4" t="n">
        <v>98800</v>
      </c>
      <c r="C10916" s="4" t="n">
        <v>1646</v>
      </c>
      <c r="D10916" s="4" t="n">
        <v>497.915</v>
      </c>
      <c r="E10916" s="5" t="n">
        <v>198.4</v>
      </c>
      <c r="F10916" s="3" t="inlineStr">
        <is>
          <t>연동면</t>
        </is>
      </c>
      <c r="G10916" s="3" t="inlineStr">
        <is>
          <t>송용리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연동면</t>
        </is>
      </c>
    </row>
    <row r="10917">
      <c r="A10917" s="3" t="n">
        <v>2022</v>
      </c>
      <c r="B10917" s="4" t="n">
        <v>82000</v>
      </c>
      <c r="C10917" s="4" t="n">
        <v>638</v>
      </c>
      <c r="D10917" s="4" t="n">
        <v>192.995</v>
      </c>
      <c r="E10917" s="5" t="n">
        <v>424.9</v>
      </c>
      <c r="F10917" s="3" t="inlineStr">
        <is>
          <t>조치원읍</t>
        </is>
      </c>
      <c r="G10917" s="3" t="inlineStr">
        <is>
          <t>정리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2024</v>
      </c>
      <c r="B10918" s="4" t="n">
        <v>30228</v>
      </c>
      <c r="C10918" s="4" t="n">
        <v>561</v>
      </c>
      <c r="D10918" s="4" t="n">
        <v>169.7025</v>
      </c>
      <c r="E10918" s="5" t="n">
        <v>178.1</v>
      </c>
      <c r="F10918" s="3" t="inlineStr">
        <is>
          <t>남이면</t>
        </is>
      </c>
      <c r="G10918" s="3" t="inlineStr">
        <is>
          <t>외천리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남이면</t>
        </is>
      </c>
    </row>
    <row r="10919">
      <c r="A10919" s="3" t="n">
        <v>2024</v>
      </c>
      <c r="B10919" s="4" t="n">
        <v>25143</v>
      </c>
      <c r="C10919" s="4" t="n">
        <v>547</v>
      </c>
      <c r="D10919" s="4" t="n">
        <v>165.4675</v>
      </c>
      <c r="E10919" s="5" t="n">
        <v>152</v>
      </c>
      <c r="F10919" s="3" t="inlineStr">
        <is>
          <t>남이면</t>
        </is>
      </c>
      <c r="G10919" s="3" t="inlineStr">
        <is>
          <t>팔봉리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남이면</t>
        </is>
      </c>
    </row>
    <row r="10920">
      <c r="A10920" s="3" t="n">
        <v>2024</v>
      </c>
      <c r="B10920" s="4" t="n">
        <v>59080</v>
      </c>
      <c r="C10920" s="4" t="n">
        <v>1240</v>
      </c>
      <c r="D10920" s="4" t="n">
        <v>375.1</v>
      </c>
      <c r="E10920" s="5" t="n">
        <v>157.5</v>
      </c>
      <c r="F10920" s="3" t="inlineStr">
        <is>
          <t>남이면</t>
        </is>
      </c>
      <c r="G10920" s="3" t="inlineStr">
        <is>
          <t>팔봉리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남이면</t>
        </is>
      </c>
    </row>
    <row r="10921">
      <c r="A10921" s="3" t="n">
        <v>2024</v>
      </c>
      <c r="B10921" s="4" t="n">
        <v>60000</v>
      </c>
      <c r="C10921" s="4" t="n">
        <v>1240</v>
      </c>
      <c r="D10921" s="4" t="n">
        <v>375.1</v>
      </c>
      <c r="E10921" s="5" t="n">
        <v>160</v>
      </c>
      <c r="F10921" s="3" t="inlineStr">
        <is>
          <t>남이면</t>
        </is>
      </c>
      <c r="G10921" s="3" t="inlineStr">
        <is>
          <t>팔봉리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남이면</t>
        </is>
      </c>
    </row>
    <row r="10922">
      <c r="A10922" s="3" t="n">
        <v>2024</v>
      </c>
      <c r="B10922" s="4" t="n">
        <v>54550</v>
      </c>
      <c r="C10922" s="4" t="n">
        <v>597</v>
      </c>
      <c r="D10922" s="4" t="n">
        <v>180.5925</v>
      </c>
      <c r="E10922" s="5" t="n">
        <v>302.1</v>
      </c>
      <c r="F10922" s="3" t="inlineStr">
        <is>
          <t>남이면</t>
        </is>
      </c>
      <c r="G10922" s="3" t="inlineStr">
        <is>
          <t>석판리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남이면</t>
        </is>
      </c>
    </row>
    <row r="10923">
      <c r="A10923" s="3" t="n">
        <v>2024</v>
      </c>
      <c r="B10923" s="4" t="n">
        <v>57000</v>
      </c>
      <c r="C10923" s="4" t="n">
        <v>597</v>
      </c>
      <c r="D10923" s="4" t="n">
        <v>180.5925</v>
      </c>
      <c r="E10923" s="5" t="n">
        <v>315.6</v>
      </c>
      <c r="F10923" s="3" t="inlineStr">
        <is>
          <t>남이면</t>
        </is>
      </c>
      <c r="G10923" s="3" t="inlineStr">
        <is>
          <t>석판리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남이면</t>
        </is>
      </c>
    </row>
    <row r="10924">
      <c r="A10924" s="3" t="n">
        <v>2024</v>
      </c>
      <c r="B10924" s="4" t="n">
        <v>28200</v>
      </c>
      <c r="C10924" s="4" t="n">
        <v>565</v>
      </c>
      <c r="D10924" s="4" t="n">
        <v>170.9125</v>
      </c>
      <c r="E10924" s="5" t="n">
        <v>165</v>
      </c>
      <c r="F10924" s="3" t="inlineStr">
        <is>
          <t>남이면</t>
        </is>
      </c>
      <c r="G10924" s="3" t="inlineStr">
        <is>
          <t>팔봉리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남이면</t>
        </is>
      </c>
    </row>
    <row r="10925">
      <c r="A10925" s="3" t="n">
        <v>2024</v>
      </c>
      <c r="B10925" s="4" t="n">
        <v>28200</v>
      </c>
      <c r="C10925" s="4" t="n">
        <v>797</v>
      </c>
      <c r="D10925" s="4" t="n">
        <v>241.0925</v>
      </c>
      <c r="E10925" s="5" t="n">
        <v>117</v>
      </c>
      <c r="F10925" s="3" t="inlineStr">
        <is>
          <t>남이면</t>
        </is>
      </c>
      <c r="G10925" s="3" t="inlineStr">
        <is>
          <t>팔봉리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남이면</t>
        </is>
      </c>
    </row>
    <row r="10926">
      <c r="A10926" s="3" t="n">
        <v>2024</v>
      </c>
      <c r="B10926" s="4" t="n">
        <v>116000</v>
      </c>
      <c r="C10926" s="4" t="n">
        <v>292.7</v>
      </c>
      <c r="D10926" s="4" t="n">
        <v>88.54174999999999</v>
      </c>
      <c r="E10926" s="5" t="n">
        <v>1310.1</v>
      </c>
      <c r="F10926" s="3" t="inlineStr">
        <is>
          <t>조치원읍</t>
        </is>
      </c>
      <c r="G10926" s="3" t="inlineStr">
        <is>
          <t>침산리</t>
        </is>
      </c>
      <c r="H10926" s="3" t="inlineStr">
        <is>
          <t>단독다가구</t>
        </is>
      </c>
      <c r="I10926" s="3" t="inlineStr">
        <is>
          <t>다가구</t>
        </is>
      </c>
      <c r="J10926" s="3" t="inlineStr">
        <is>
          <t>조치원읍</t>
        </is>
      </c>
    </row>
    <row r="10927">
      <c r="A10927" s="3" t="n">
        <v>2022</v>
      </c>
      <c r="B10927" s="4" t="n">
        <v>17900</v>
      </c>
      <c r="C10927" s="4" t="n">
        <v>545</v>
      </c>
      <c r="D10927" s="4" t="n">
        <v>164.8625</v>
      </c>
      <c r="E10927" s="5" t="n">
        <v>108.6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82000</v>
      </c>
      <c r="C10928" s="4" t="n">
        <v>638</v>
      </c>
      <c r="D10928" s="4" t="n">
        <v>192.995</v>
      </c>
      <c r="E10928" s="5" t="n">
        <v>424.9</v>
      </c>
      <c r="F10928" s="3" t="inlineStr">
        <is>
          <t>조치원읍</t>
        </is>
      </c>
      <c r="G10928" s="3" t="inlineStr">
        <is>
          <t>정리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조치원읍</t>
        </is>
      </c>
    </row>
    <row r="10929">
      <c r="A10929" s="3" t="n">
        <v>2022</v>
      </c>
      <c r="B10929" s="4" t="n">
        <v>54300</v>
      </c>
      <c r="C10929" s="4" t="n">
        <v>605</v>
      </c>
      <c r="D10929" s="4" t="n">
        <v>183.0125</v>
      </c>
      <c r="E10929" s="5" t="n">
        <v>296.7</v>
      </c>
      <c r="F10929" s="3" t="inlineStr">
        <is>
          <t>금남면</t>
        </is>
      </c>
      <c r="G10929" s="3" t="inlineStr">
        <is>
          <t>박산리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금남면</t>
        </is>
      </c>
    </row>
    <row r="10930">
      <c r="A10930" s="3" t="n">
        <v>2022</v>
      </c>
      <c r="B10930" s="4" t="n">
        <v>26550</v>
      </c>
      <c r="C10930" s="4" t="n">
        <v>269.9</v>
      </c>
      <c r="D10930" s="4" t="n">
        <v>81.64474999999999</v>
      </c>
      <c r="E10930" s="5" t="n">
        <v>325.2</v>
      </c>
      <c r="F10930" s="3" t="inlineStr">
        <is>
          <t>조치원읍</t>
        </is>
      </c>
      <c r="G10930" s="3" t="inlineStr">
        <is>
          <t>남리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조치원읍</t>
        </is>
      </c>
    </row>
    <row r="10931">
      <c r="A10931" s="3" t="n">
        <v>2022</v>
      </c>
      <c r="B10931" s="4" t="n">
        <v>35000</v>
      </c>
      <c r="C10931" s="4" t="n">
        <v>382</v>
      </c>
      <c r="D10931" s="4" t="n">
        <v>115.555</v>
      </c>
      <c r="E10931" s="5" t="n">
        <v>302.9</v>
      </c>
      <c r="F10931" s="3" t="inlineStr">
        <is>
          <t>금남면</t>
        </is>
      </c>
      <c r="G10931" s="3" t="inlineStr">
        <is>
          <t>용담리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금남면</t>
        </is>
      </c>
    </row>
    <row r="10932">
      <c r="A10932" s="3" t="n">
        <v>2022</v>
      </c>
      <c r="B10932" s="4" t="n">
        <v>31000</v>
      </c>
      <c r="C10932" s="4" t="n">
        <v>105</v>
      </c>
      <c r="D10932" s="4" t="n">
        <v>31.7625</v>
      </c>
      <c r="E10932" s="5" t="n">
        <v>976</v>
      </c>
      <c r="F10932" s="3" t="inlineStr">
        <is>
          <t>부강면</t>
        </is>
      </c>
      <c r="G10932" s="3" t="inlineStr">
        <is>
          <t>부강리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부강면</t>
        </is>
      </c>
    </row>
    <row r="10933">
      <c r="A10933" s="3" t="n">
        <v>2022</v>
      </c>
      <c r="B10933" s="4" t="n">
        <v>19000</v>
      </c>
      <c r="C10933" s="4" t="n">
        <v>294</v>
      </c>
      <c r="D10933" s="4" t="n">
        <v>88.935</v>
      </c>
      <c r="E10933" s="5" t="n">
        <v>213.6</v>
      </c>
      <c r="F10933" s="3" t="inlineStr">
        <is>
          <t>장군면</t>
        </is>
      </c>
      <c r="G10933" s="3" t="inlineStr">
        <is>
          <t>평기리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장군면</t>
        </is>
      </c>
    </row>
    <row r="10934">
      <c r="A10934" s="3" t="n">
        <v>2022</v>
      </c>
      <c r="B10934" s="4" t="n">
        <v>6000</v>
      </c>
      <c r="C10934" s="4" t="n">
        <v>99</v>
      </c>
      <c r="D10934" s="4" t="n">
        <v>29.9475</v>
      </c>
      <c r="E10934" s="5" t="n">
        <v>200.4</v>
      </c>
      <c r="F10934" s="3" t="inlineStr">
        <is>
          <t>조치원읍</t>
        </is>
      </c>
      <c r="G10934" s="3" t="inlineStr">
        <is>
          <t>평리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27000</v>
      </c>
      <c r="C10935" s="4" t="n">
        <v>274.9</v>
      </c>
      <c r="D10935" s="4" t="n">
        <v>83.15724999999999</v>
      </c>
      <c r="E10935" s="5" t="n">
        <v>324.7</v>
      </c>
      <c r="F10935" s="3" t="inlineStr">
        <is>
          <t>조치원읍</t>
        </is>
      </c>
      <c r="G10935" s="3" t="inlineStr">
        <is>
          <t>남리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조치원읍</t>
        </is>
      </c>
    </row>
    <row r="10936">
      <c r="A10936" s="3" t="n">
        <v>2022</v>
      </c>
      <c r="B10936" s="4" t="n">
        <v>16000</v>
      </c>
      <c r="C10936" s="4" t="n">
        <v>288</v>
      </c>
      <c r="D10936" s="4" t="n">
        <v>87.12</v>
      </c>
      <c r="E10936" s="5" t="n">
        <v>183.7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2022</v>
      </c>
      <c r="B10937" s="4" t="n">
        <v>30000</v>
      </c>
      <c r="C10937" s="4" t="n">
        <v>160.5</v>
      </c>
      <c r="D10937" s="4" t="n">
        <v>48.55125</v>
      </c>
      <c r="E10937" s="5" t="n">
        <v>617.9</v>
      </c>
      <c r="F10937" s="3" t="inlineStr">
        <is>
          <t>조치원읍</t>
        </is>
      </c>
      <c r="G10937" s="3" t="inlineStr">
        <is>
          <t>침산리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100000</v>
      </c>
      <c r="C10938" s="4" t="n">
        <v>279.5</v>
      </c>
      <c r="D10938" s="4" t="n">
        <v>84.54875</v>
      </c>
      <c r="E10938" s="5" t="n">
        <v>1182.7</v>
      </c>
      <c r="F10938" s="3" t="inlineStr">
        <is>
          <t>조치원읍</t>
        </is>
      </c>
      <c r="G10938" s="3" t="inlineStr">
        <is>
          <t>침산리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조치원읍</t>
        </is>
      </c>
    </row>
    <row r="10939">
      <c r="A10939" s="3" t="n">
        <v>2022</v>
      </c>
      <c r="B10939" s="4" t="n">
        <v>20000</v>
      </c>
      <c r="C10939" s="4" t="n">
        <v>132</v>
      </c>
      <c r="D10939" s="4" t="n">
        <v>39.93</v>
      </c>
      <c r="E10939" s="5" t="n">
        <v>500.9</v>
      </c>
      <c r="F10939" s="3" t="inlineStr">
        <is>
          <t>조치원읍</t>
        </is>
      </c>
      <c r="G10939" s="3" t="inlineStr">
        <is>
          <t>명리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조치원읍</t>
        </is>
      </c>
    </row>
    <row r="10940">
      <c r="A10940" s="3" t="n">
        <v>2022</v>
      </c>
      <c r="B10940" s="4" t="n">
        <v>15000</v>
      </c>
      <c r="C10940" s="4" t="n">
        <v>248</v>
      </c>
      <c r="D10940" s="4" t="n">
        <v>75.02</v>
      </c>
      <c r="E10940" s="5" t="n">
        <v>199.9</v>
      </c>
      <c r="F10940" s="3" t="inlineStr">
        <is>
          <t>장군면</t>
        </is>
      </c>
      <c r="G10940" s="3" t="inlineStr">
        <is>
          <t>금암리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장군면</t>
        </is>
      </c>
    </row>
    <row r="10941">
      <c r="A10941" s="3" t="n">
        <v>2022</v>
      </c>
      <c r="B10941" s="4" t="n">
        <v>47000</v>
      </c>
      <c r="C10941" s="4" t="n">
        <v>780</v>
      </c>
      <c r="D10941" s="4" t="n">
        <v>235.95</v>
      </c>
      <c r="E10941" s="5" t="n">
        <v>199.2</v>
      </c>
      <c r="F10941" s="3" t="inlineStr">
        <is>
          <t>금남면</t>
        </is>
      </c>
      <c r="G10941" s="3" t="inlineStr">
        <is>
          <t>원봉리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금남면</t>
        </is>
      </c>
    </row>
    <row r="10942">
      <c r="A10942" s="3" t="n">
        <v>2022</v>
      </c>
      <c r="B10942" s="4" t="n">
        <v>30000</v>
      </c>
      <c r="C10942" s="4" t="n">
        <v>532</v>
      </c>
      <c r="D10942" s="4" t="n">
        <v>160.93</v>
      </c>
      <c r="E10942" s="5" t="n">
        <v>186.4</v>
      </c>
      <c r="F10942" s="3" t="inlineStr">
        <is>
          <t>부강면</t>
        </is>
      </c>
      <c r="G10942" s="3" t="inlineStr">
        <is>
          <t>갈산리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부강면</t>
        </is>
      </c>
    </row>
    <row r="10943">
      <c r="A10943" s="3" t="n">
        <v>2022</v>
      </c>
      <c r="B10943" s="4" t="n">
        <v>25000</v>
      </c>
      <c r="C10943" s="4" t="n">
        <v>56</v>
      </c>
      <c r="D10943" s="4" t="n">
        <v>16.94</v>
      </c>
      <c r="E10943" s="5" t="n">
        <v>1475.8</v>
      </c>
      <c r="F10943" s="3" t="inlineStr">
        <is>
          <t>조치원읍</t>
        </is>
      </c>
      <c r="G10943" s="3" t="inlineStr">
        <is>
          <t>정리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조치원읍</t>
        </is>
      </c>
    </row>
    <row r="10944">
      <c r="A10944" s="3" t="n">
        <v>2022</v>
      </c>
      <c r="B10944" s="4" t="n">
        <v>39000</v>
      </c>
      <c r="C10944" s="4" t="n">
        <v>350</v>
      </c>
      <c r="D10944" s="4" t="n">
        <v>105.875</v>
      </c>
      <c r="E10944" s="5" t="n">
        <v>368.4</v>
      </c>
      <c r="F10944" s="3" t="inlineStr">
        <is>
          <t>조치원읍</t>
        </is>
      </c>
      <c r="G10944" s="3" t="inlineStr">
        <is>
          <t>평리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17000</v>
      </c>
      <c r="C10945" s="4" t="n">
        <v>176</v>
      </c>
      <c r="D10945" s="4" t="n">
        <v>53.23999999999999</v>
      </c>
      <c r="E10945" s="5" t="n">
        <v>319.3</v>
      </c>
      <c r="F10945" s="3" t="inlineStr">
        <is>
          <t>조치원읍</t>
        </is>
      </c>
      <c r="G10945" s="3" t="inlineStr">
        <is>
          <t>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70000</v>
      </c>
      <c r="C10946" s="4" t="n">
        <v>660</v>
      </c>
      <c r="D10946" s="4" t="n">
        <v>199.65</v>
      </c>
      <c r="E10946" s="5" t="n">
        <v>350.6</v>
      </c>
      <c r="F10946" s="3" t="inlineStr">
        <is>
          <t>장군면</t>
        </is>
      </c>
      <c r="G10946" s="3" t="inlineStr">
        <is>
          <t>봉안리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장군면</t>
        </is>
      </c>
    </row>
    <row r="10947">
      <c r="A10947" s="3" t="n">
        <v>2022</v>
      </c>
      <c r="B10947" s="4" t="n">
        <v>20000</v>
      </c>
      <c r="C10947" s="4" t="n">
        <v>140.8</v>
      </c>
      <c r="D10947" s="4" t="n">
        <v>42.592</v>
      </c>
      <c r="E10947" s="5" t="n">
        <v>469.6</v>
      </c>
      <c r="F10947" s="3" t="inlineStr">
        <is>
          <t>조치원읍</t>
        </is>
      </c>
      <c r="G10947" s="3" t="inlineStr">
        <is>
          <t>교리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조치원읍</t>
        </is>
      </c>
    </row>
    <row r="10948">
      <c r="A10948" s="3" t="n">
        <v>2022</v>
      </c>
      <c r="B10948" s="4" t="n">
        <v>20000</v>
      </c>
      <c r="C10948" s="4" t="n">
        <v>129.3</v>
      </c>
      <c r="D10948" s="4" t="n">
        <v>39.11325</v>
      </c>
      <c r="E10948" s="5" t="n">
        <v>511.3</v>
      </c>
      <c r="F10948" s="3" t="inlineStr">
        <is>
          <t>조치원읍</t>
        </is>
      </c>
      <c r="G10948" s="3" t="inlineStr">
        <is>
          <t>교리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24000</v>
      </c>
      <c r="C10949" s="4" t="n">
        <v>250</v>
      </c>
      <c r="D10949" s="4" t="n">
        <v>75.625</v>
      </c>
      <c r="E10949" s="5" t="n">
        <v>317.4</v>
      </c>
      <c r="F10949" s="3" t="inlineStr">
        <is>
          <t>조치원읍</t>
        </is>
      </c>
      <c r="G10949" s="3" t="inlineStr">
        <is>
          <t>봉산리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조치원읍</t>
        </is>
      </c>
    </row>
    <row r="10950">
      <c r="A10950" s="3" t="n">
        <v>2022</v>
      </c>
      <c r="B10950" s="4" t="n">
        <v>26000</v>
      </c>
      <c r="C10950" s="4" t="n">
        <v>150</v>
      </c>
      <c r="D10950" s="4" t="n">
        <v>45.375</v>
      </c>
      <c r="E10950" s="5" t="n">
        <v>573</v>
      </c>
      <c r="F10950" s="3" t="inlineStr">
        <is>
          <t>조치원읍</t>
        </is>
      </c>
      <c r="G10950" s="3" t="inlineStr">
        <is>
          <t>신안리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조치원읍</t>
        </is>
      </c>
    </row>
    <row r="10951">
      <c r="A10951" s="3" t="n">
        <v>2022</v>
      </c>
      <c r="B10951" s="4" t="n">
        <v>11000</v>
      </c>
      <c r="C10951" s="4" t="n">
        <v>247</v>
      </c>
      <c r="D10951" s="4" t="n">
        <v>74.7175</v>
      </c>
      <c r="E10951" s="5" t="n">
        <v>147.2</v>
      </c>
      <c r="F10951" s="3" t="inlineStr">
        <is>
          <t>장군면</t>
        </is>
      </c>
      <c r="G10951" s="3" t="inlineStr">
        <is>
          <t>금암리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장군면</t>
        </is>
      </c>
    </row>
    <row r="10952">
      <c r="A10952" s="3" t="n">
        <v>2022</v>
      </c>
      <c r="B10952" s="4" t="n">
        <v>31500</v>
      </c>
      <c r="C10952" s="4" t="n">
        <v>166</v>
      </c>
      <c r="D10952" s="4" t="n">
        <v>50.215</v>
      </c>
      <c r="E10952" s="5" t="n">
        <v>627.3</v>
      </c>
      <c r="F10952" s="3" t="inlineStr">
        <is>
          <t>조치원읍</t>
        </is>
      </c>
      <c r="G10952" s="3" t="inlineStr">
        <is>
          <t>죽림리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조치원읍</t>
        </is>
      </c>
    </row>
    <row r="10953">
      <c r="A10953" s="3" t="n">
        <v>2025</v>
      </c>
      <c r="B10953" s="4" t="n">
        <v>32280</v>
      </c>
      <c r="C10953" s="4" t="n">
        <v>496</v>
      </c>
      <c r="D10953" s="4" t="n">
        <v>150.04</v>
      </c>
      <c r="E10953" s="5" t="n">
        <v>215.1</v>
      </c>
      <c r="F10953" s="3" t="inlineStr">
        <is>
          <t>금남면</t>
        </is>
      </c>
      <c r="G10953" s="3" t="inlineStr">
        <is>
          <t>성강리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금남면</t>
        </is>
      </c>
    </row>
    <row r="10954">
      <c r="A10954" s="3" t="n">
        <v>2023</v>
      </c>
      <c r="B10954" s="4" t="n">
        <v>123000</v>
      </c>
      <c r="C10954" s="4" t="n">
        <v>762</v>
      </c>
      <c r="D10954" s="4" t="n">
        <v>230.505</v>
      </c>
      <c r="E10954" s="5" t="n">
        <v>533.6</v>
      </c>
      <c r="F10954" s="3" t="inlineStr">
        <is>
          <t>장군면</t>
        </is>
      </c>
      <c r="G10954" s="3" t="inlineStr">
        <is>
          <t>금암리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2023</v>
      </c>
      <c r="B10955" s="4" t="n">
        <v>105000</v>
      </c>
      <c r="C10955" s="4" t="n">
        <v>252.8</v>
      </c>
      <c r="D10955" s="4" t="n">
        <v>76.47199999999999</v>
      </c>
      <c r="E10955" s="5" t="n">
        <v>1373.1</v>
      </c>
      <c r="F10955" s="3" t="inlineStr">
        <is>
          <t>조치원읍</t>
        </is>
      </c>
      <c r="G10955" s="3" t="inlineStr">
        <is>
          <t>침산리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조치원읍</t>
        </is>
      </c>
    </row>
    <row r="10956">
      <c r="A10956" s="3" t="n">
        <v>2023</v>
      </c>
      <c r="B10956" s="4" t="n">
        <v>35800</v>
      </c>
      <c r="C10956" s="4" t="n">
        <v>764</v>
      </c>
      <c r="D10956" s="4" t="n">
        <v>231.11</v>
      </c>
      <c r="E10956" s="5" t="n">
        <v>154.9</v>
      </c>
      <c r="F10956" s="3" t="inlineStr">
        <is>
          <t>부강면</t>
        </is>
      </c>
      <c r="G10956" s="3" t="inlineStr">
        <is>
          <t>문곡리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2023</v>
      </c>
      <c r="B10957" s="4" t="n">
        <v>22300</v>
      </c>
      <c r="C10957" s="4" t="n">
        <v>212</v>
      </c>
      <c r="D10957" s="4" t="n">
        <v>64.13</v>
      </c>
      <c r="E10957" s="5" t="n">
        <v>347.7</v>
      </c>
      <c r="F10957" s="3" t="inlineStr">
        <is>
          <t>조치원읍</t>
        </is>
      </c>
      <c r="G10957" s="3" t="inlineStr">
        <is>
          <t>신흥리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조치원읍</t>
        </is>
      </c>
    </row>
    <row r="10958">
      <c r="A10958" s="3" t="n">
        <v>2023</v>
      </c>
      <c r="B10958" s="4" t="n">
        <v>10500</v>
      </c>
      <c r="C10958" s="4" t="n">
        <v>102</v>
      </c>
      <c r="D10958" s="4" t="n">
        <v>30.855</v>
      </c>
      <c r="E10958" s="5" t="n">
        <v>340.3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2023</v>
      </c>
      <c r="B10959" s="4" t="n">
        <v>58000</v>
      </c>
      <c r="C10959" s="4" t="n">
        <v>211</v>
      </c>
      <c r="D10959" s="4" t="n">
        <v>63.8275</v>
      </c>
      <c r="E10959" s="5" t="n">
        <v>908.7</v>
      </c>
      <c r="F10959" s="3" t="inlineStr">
        <is>
          <t>금남면</t>
        </is>
      </c>
      <c r="G10959" s="3" t="inlineStr">
        <is>
          <t>용포리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금남면</t>
        </is>
      </c>
    </row>
    <row r="10960">
      <c r="A10960" s="3" t="n">
        <v>2023</v>
      </c>
      <c r="B10960" s="4" t="n">
        <v>83000</v>
      </c>
      <c r="C10960" s="4" t="n">
        <v>285.9</v>
      </c>
      <c r="D10960" s="4" t="n">
        <v>86.48474999999999</v>
      </c>
      <c r="E10960" s="5" t="n">
        <v>959.7</v>
      </c>
      <c r="F10960" s="3" t="inlineStr">
        <is>
          <t>아름동</t>
        </is>
      </c>
      <c r="G10960" s="3" t="inlineStr"/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아름동</t>
        </is>
      </c>
    </row>
    <row r="10961">
      <c r="A10961" s="3" t="n">
        <v>2023</v>
      </c>
      <c r="B10961" s="4" t="n">
        <v>35000</v>
      </c>
      <c r="C10961" s="4" t="n">
        <v>582</v>
      </c>
      <c r="D10961" s="4" t="n">
        <v>176.055</v>
      </c>
      <c r="E10961" s="5" t="n">
        <v>198.8</v>
      </c>
      <c r="F10961" s="3" t="inlineStr">
        <is>
          <t>전동면</t>
        </is>
      </c>
      <c r="G10961" s="3" t="inlineStr">
        <is>
          <t>보덕리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전동면</t>
        </is>
      </c>
    </row>
    <row r="10962">
      <c r="A10962" s="3" t="n">
        <v>2023</v>
      </c>
      <c r="B10962" s="4" t="n">
        <v>115000</v>
      </c>
      <c r="C10962" s="4" t="n">
        <v>330</v>
      </c>
      <c r="D10962" s="4" t="n">
        <v>99.825</v>
      </c>
      <c r="E10962" s="5" t="n">
        <v>1152</v>
      </c>
      <c r="F10962" s="3" t="inlineStr">
        <is>
          <t>고운동</t>
        </is>
      </c>
      <c r="G10962" s="3" t="inlineStr"/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고운동</t>
        </is>
      </c>
    </row>
    <row r="10963">
      <c r="A10963" s="3" t="n">
        <v>2023</v>
      </c>
      <c r="B10963" s="4" t="n">
        <v>95000</v>
      </c>
      <c r="C10963" s="4" t="n">
        <v>162.4</v>
      </c>
      <c r="D10963" s="4" t="n">
        <v>49.126</v>
      </c>
      <c r="E10963" s="5" t="n">
        <v>1933.8</v>
      </c>
      <c r="F10963" s="3" t="inlineStr">
        <is>
          <t>조치원읍</t>
        </is>
      </c>
      <c r="G10963" s="3" t="inlineStr">
        <is>
          <t>침산리</t>
        </is>
      </c>
      <c r="H10963" s="3" t="inlineStr">
        <is>
          <t>단독다가구</t>
        </is>
      </c>
      <c r="I10963" s="3" t="inlineStr">
        <is>
          <t>다가구</t>
        </is>
      </c>
      <c r="J10963" s="3" t="inlineStr">
        <is>
          <t>조치원읍</t>
        </is>
      </c>
    </row>
    <row r="10964">
      <c r="A10964" s="3" t="n">
        <v>2022</v>
      </c>
      <c r="B10964" s="4" t="n">
        <v>31500</v>
      </c>
      <c r="C10964" s="4" t="n">
        <v>276</v>
      </c>
      <c r="D10964" s="4" t="n">
        <v>83.48999999999999</v>
      </c>
      <c r="E10964" s="5" t="n">
        <v>377.3</v>
      </c>
      <c r="F10964" s="3" t="inlineStr">
        <is>
          <t>조치원읍</t>
        </is>
      </c>
      <c r="G10964" s="3" t="inlineStr">
        <is>
          <t>신안리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2023</v>
      </c>
      <c r="B10965" s="4" t="n">
        <v>40500</v>
      </c>
      <c r="C10965" s="4" t="n">
        <v>384</v>
      </c>
      <c r="D10965" s="4" t="n">
        <v>116.16</v>
      </c>
      <c r="E10965" s="5" t="n">
        <v>348.7</v>
      </c>
      <c r="F10965" s="3" t="inlineStr">
        <is>
          <t>장군면</t>
        </is>
      </c>
      <c r="G10965" s="3" t="inlineStr">
        <is>
          <t>금암리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장군면</t>
        </is>
      </c>
    </row>
    <row r="10966">
      <c r="A10966" s="3" t="n">
        <v>2024</v>
      </c>
      <c r="B10966" s="4" t="n">
        <v>52000</v>
      </c>
      <c r="C10966" s="4" t="n">
        <v>635</v>
      </c>
      <c r="D10966" s="4" t="n">
        <v>192.0875</v>
      </c>
      <c r="E10966" s="5" t="n">
        <v>270.7</v>
      </c>
      <c r="F10966" s="3" t="inlineStr">
        <is>
          <t>금남면</t>
        </is>
      </c>
      <c r="G10966" s="3" t="inlineStr">
        <is>
          <t>도남리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금남면</t>
        </is>
      </c>
    </row>
    <row r="10967">
      <c r="A10967" s="3" t="n">
        <v>2024</v>
      </c>
      <c r="B10967" s="4" t="n">
        <v>57000</v>
      </c>
      <c r="C10967" s="4" t="n">
        <v>329</v>
      </c>
      <c r="D10967" s="4" t="n">
        <v>99.52249999999999</v>
      </c>
      <c r="E10967" s="5" t="n">
        <v>572.7</v>
      </c>
      <c r="F10967" s="3" t="inlineStr">
        <is>
          <t>장군면</t>
        </is>
      </c>
      <c r="G10967" s="3" t="inlineStr">
        <is>
          <t>금암리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장군면</t>
        </is>
      </c>
    </row>
    <row r="10968">
      <c r="A10968" s="3" t="n">
        <v>2022</v>
      </c>
      <c r="B10968" s="4" t="n">
        <v>50200</v>
      </c>
      <c r="C10968" s="4" t="n">
        <v>251</v>
      </c>
      <c r="D10968" s="4" t="n">
        <v>75.92749999999999</v>
      </c>
      <c r="E10968" s="5" t="n">
        <v>661.2</v>
      </c>
      <c r="F10968" s="3" t="inlineStr">
        <is>
          <t>남이면</t>
        </is>
      </c>
      <c r="G10968" s="3" t="inlineStr">
        <is>
          <t>양촌리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2022</v>
      </c>
      <c r="B10969" s="4" t="n">
        <v>54400</v>
      </c>
      <c r="C10969" s="4" t="n">
        <v>251</v>
      </c>
      <c r="D10969" s="4" t="n">
        <v>75.92749999999999</v>
      </c>
      <c r="E10969" s="5" t="n">
        <v>716.5</v>
      </c>
      <c r="F10969" s="3" t="inlineStr">
        <is>
          <t>남이면</t>
        </is>
      </c>
      <c r="G10969" s="3" t="inlineStr">
        <is>
          <t>양촌리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2022</v>
      </c>
      <c r="B10970" s="4" t="n">
        <v>32830</v>
      </c>
      <c r="C10970" s="4" t="n">
        <v>347</v>
      </c>
      <c r="D10970" s="4" t="n">
        <v>104.9675</v>
      </c>
      <c r="E10970" s="5" t="n">
        <v>312.8</v>
      </c>
      <c r="F10970" s="3" t="inlineStr">
        <is>
          <t>남이면</t>
        </is>
      </c>
      <c r="G10970" s="3" t="inlineStr">
        <is>
          <t>수대리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2022</v>
      </c>
      <c r="B10971" s="4" t="n">
        <v>34000</v>
      </c>
      <c r="C10971" s="4" t="n">
        <v>411</v>
      </c>
      <c r="D10971" s="4" t="n">
        <v>124.3275</v>
      </c>
      <c r="E10971" s="5" t="n">
        <v>273.5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2022</v>
      </c>
      <c r="B10972" s="4" t="n">
        <v>30000</v>
      </c>
      <c r="C10972" s="4" t="n">
        <v>256</v>
      </c>
      <c r="D10972" s="4" t="n">
        <v>77.44</v>
      </c>
      <c r="E10972" s="5" t="n">
        <v>387.4</v>
      </c>
      <c r="F10972" s="3" t="inlineStr">
        <is>
          <t>현도면</t>
        </is>
      </c>
      <c r="G10972" s="3" t="inlineStr">
        <is>
          <t>하석리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현도면</t>
        </is>
      </c>
    </row>
    <row r="10973">
      <c r="A10973" s="3" t="n">
        <v>2022</v>
      </c>
      <c r="B10973" s="4" t="n">
        <v>101142</v>
      </c>
      <c r="C10973" s="4" t="n">
        <v>261.9</v>
      </c>
      <c r="D10973" s="4" t="n">
        <v>79.22474999999999</v>
      </c>
      <c r="E10973" s="5" t="n">
        <v>1276.6</v>
      </c>
      <c r="F10973" s="3" t="inlineStr">
        <is>
          <t>남이면</t>
        </is>
      </c>
      <c r="G10973" s="3" t="inlineStr">
        <is>
          <t>가마리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남이면</t>
        </is>
      </c>
    </row>
    <row r="10974">
      <c r="A10974" s="3" t="n">
        <v>2022</v>
      </c>
      <c r="B10974" s="4" t="n">
        <v>32000</v>
      </c>
      <c r="C10974" s="4" t="n">
        <v>612</v>
      </c>
      <c r="D10974" s="4" t="n">
        <v>185.13</v>
      </c>
      <c r="E10974" s="5" t="n">
        <v>172.9</v>
      </c>
      <c r="F10974" s="3" t="inlineStr">
        <is>
          <t>남이면</t>
        </is>
      </c>
      <c r="G10974" s="3" t="inlineStr">
        <is>
          <t>척산리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88755</v>
      </c>
      <c r="C10975" s="4" t="n">
        <v>331.6</v>
      </c>
      <c r="D10975" s="4" t="n">
        <v>100.309</v>
      </c>
      <c r="E10975" s="5" t="n">
        <v>884.8</v>
      </c>
      <c r="F10975" s="3" t="inlineStr">
        <is>
          <t>고운동</t>
        </is>
      </c>
      <c r="G10975" s="3" t="inlineStr"/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고운동</t>
        </is>
      </c>
    </row>
    <row r="10976">
      <c r="A10976" s="3" t="n">
        <v>2024</v>
      </c>
      <c r="B10976" s="4" t="n">
        <v>6000</v>
      </c>
      <c r="C10976" s="4" t="n">
        <v>260</v>
      </c>
      <c r="D10976" s="4" t="n">
        <v>78.64999999999999</v>
      </c>
      <c r="E10976" s="5" t="n">
        <v>76.3</v>
      </c>
      <c r="F10976" s="3" t="inlineStr">
        <is>
          <t>연서면</t>
        </is>
      </c>
      <c r="G10976" s="3" t="inlineStr">
        <is>
          <t>쌍류리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연서면</t>
        </is>
      </c>
    </row>
    <row r="10977">
      <c r="A10977" s="3" t="n">
        <v>2024</v>
      </c>
      <c r="B10977" s="4" t="n">
        <v>57500</v>
      </c>
      <c r="C10977" s="4" t="n">
        <v>237.8</v>
      </c>
      <c r="D10977" s="4" t="n">
        <v>71.9345</v>
      </c>
      <c r="E10977" s="5" t="n">
        <v>799.3</v>
      </c>
      <c r="F10977" s="3" t="inlineStr">
        <is>
          <t>조치원읍</t>
        </is>
      </c>
      <c r="G10977" s="3" t="inlineStr">
        <is>
          <t>서창리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2024</v>
      </c>
      <c r="B10978" s="4" t="n">
        <v>25000</v>
      </c>
      <c r="C10978" s="4" t="n">
        <v>323</v>
      </c>
      <c r="D10978" s="4" t="n">
        <v>97.7075</v>
      </c>
      <c r="E10978" s="5" t="n">
        <v>255.9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조치원읍</t>
        </is>
      </c>
    </row>
    <row r="10979">
      <c r="A10979" s="3" t="n">
        <v>2026</v>
      </c>
      <c r="B10979" s="4" t="n">
        <v>38000</v>
      </c>
      <c r="C10979" s="4" t="n">
        <v>423</v>
      </c>
      <c r="D10979" s="4" t="n">
        <v>127.9575</v>
      </c>
      <c r="E10979" s="5" t="n">
        <v>297</v>
      </c>
      <c r="F10979" s="3" t="inlineStr">
        <is>
          <t>조치원읍</t>
        </is>
      </c>
      <c r="G10979" s="3" t="inlineStr">
        <is>
          <t>신안리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2026</v>
      </c>
      <c r="B10980" s="4" t="n">
        <v>58000</v>
      </c>
      <c r="C10980" s="4" t="n">
        <v>329</v>
      </c>
      <c r="D10980" s="4" t="n">
        <v>99.52249999999999</v>
      </c>
      <c r="E10980" s="5" t="n">
        <v>582.8</v>
      </c>
      <c r="F10980" s="3" t="inlineStr">
        <is>
          <t>장군면</t>
        </is>
      </c>
      <c r="G10980" s="3" t="inlineStr">
        <is>
          <t>도계리</t>
        </is>
      </c>
      <c r="H10980" s="3" t="inlineStr">
        <is>
          <t>단독다가구</t>
        </is>
      </c>
      <c r="I10980" s="3" t="inlineStr">
        <is>
          <t>다가구</t>
        </is>
      </c>
      <c r="J10980" s="3" t="inlineStr">
        <is>
          <t>장군면</t>
        </is>
      </c>
    </row>
    <row r="10981">
      <c r="A10981" s="3" t="n">
        <v>2026</v>
      </c>
      <c r="B10981" s="4" t="n">
        <v>86500</v>
      </c>
      <c r="C10981" s="4" t="n">
        <v>596</v>
      </c>
      <c r="D10981" s="4" t="n">
        <v>180.29</v>
      </c>
      <c r="E10981" s="5" t="n">
        <v>479.8</v>
      </c>
      <c r="F10981" s="3" t="inlineStr">
        <is>
          <t>장군면</t>
        </is>
      </c>
      <c r="G10981" s="3" t="inlineStr">
        <is>
          <t>금암리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장군면</t>
        </is>
      </c>
    </row>
    <row r="10982">
      <c r="A10982" s="3" t="n">
        <v>2026</v>
      </c>
      <c r="B10982" s="4" t="n">
        <v>22000</v>
      </c>
      <c r="C10982" s="4" t="n">
        <v>193</v>
      </c>
      <c r="D10982" s="4" t="n">
        <v>58.3825</v>
      </c>
      <c r="E10982" s="5" t="n">
        <v>376.8</v>
      </c>
      <c r="F10982" s="3" t="inlineStr">
        <is>
          <t>조치원읍</t>
        </is>
      </c>
      <c r="G10982" s="3" t="inlineStr">
        <is>
          <t>남리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조치원읍</t>
        </is>
      </c>
    </row>
    <row r="10983">
      <c r="A10983" s="3" t="n">
        <v>2026</v>
      </c>
      <c r="B10983" s="4" t="n">
        <v>62640</v>
      </c>
      <c r="C10983" s="4" t="n">
        <v>521</v>
      </c>
      <c r="D10983" s="4" t="n">
        <v>157.6025</v>
      </c>
      <c r="E10983" s="5" t="n">
        <v>397.5</v>
      </c>
      <c r="F10983" s="3" t="inlineStr">
        <is>
          <t>장군면</t>
        </is>
      </c>
      <c r="G10983" s="3" t="inlineStr">
        <is>
          <t>봉안리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장군면</t>
        </is>
      </c>
    </row>
    <row r="10984">
      <c r="A10984" s="3" t="n">
        <v>2026</v>
      </c>
      <c r="B10984" s="4" t="n">
        <v>60760</v>
      </c>
      <c r="C10984" s="4" t="n">
        <v>429</v>
      </c>
      <c r="D10984" s="4" t="n">
        <v>129.7725</v>
      </c>
      <c r="E10984" s="5" t="n">
        <v>468.2</v>
      </c>
      <c r="F10984" s="3" t="inlineStr">
        <is>
          <t>장군면</t>
        </is>
      </c>
      <c r="G10984" s="3" t="inlineStr">
        <is>
          <t>봉안리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장군면</t>
        </is>
      </c>
    </row>
    <row r="10985">
      <c r="A10985" s="3" t="n">
        <v>2026</v>
      </c>
      <c r="B10985" s="4" t="n">
        <v>14000</v>
      </c>
      <c r="C10985" s="4" t="n">
        <v>473</v>
      </c>
      <c r="D10985" s="4" t="n">
        <v>143.0825</v>
      </c>
      <c r="E10985" s="5" t="n">
        <v>97.8</v>
      </c>
      <c r="F10985" s="3" t="inlineStr">
        <is>
          <t>소정면</t>
        </is>
      </c>
      <c r="G10985" s="3" t="inlineStr">
        <is>
          <t>소정리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소정면</t>
        </is>
      </c>
    </row>
    <row r="10986">
      <c r="A10986" s="3" t="n">
        <v>2026</v>
      </c>
      <c r="B10986" s="4" t="n">
        <v>20000</v>
      </c>
      <c r="C10986" s="4" t="n">
        <v>358</v>
      </c>
      <c r="D10986" s="4" t="n">
        <v>108.295</v>
      </c>
      <c r="E10986" s="5" t="n">
        <v>184.7</v>
      </c>
      <c r="F10986" s="3" t="inlineStr">
        <is>
          <t>조치원읍</t>
        </is>
      </c>
      <c r="G10986" s="3" t="inlineStr">
        <is>
          <t>서창리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2026</v>
      </c>
      <c r="B10987" s="4" t="n">
        <v>18000</v>
      </c>
      <c r="C10987" s="4" t="n">
        <v>473</v>
      </c>
      <c r="D10987" s="4" t="n">
        <v>143.0825</v>
      </c>
      <c r="E10987" s="5" t="n">
        <v>125.8</v>
      </c>
      <c r="F10987" s="3" t="inlineStr">
        <is>
          <t>전동면</t>
        </is>
      </c>
      <c r="G10987" s="3" t="inlineStr">
        <is>
          <t>노장리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전동면</t>
        </is>
      </c>
    </row>
    <row r="10988">
      <c r="A10988" s="3" t="n">
        <v>2026</v>
      </c>
      <c r="B10988" s="4" t="n">
        <v>27000</v>
      </c>
      <c r="C10988" s="4" t="n">
        <v>599</v>
      </c>
      <c r="D10988" s="4" t="n">
        <v>181.1975</v>
      </c>
      <c r="E10988" s="5" t="n">
        <v>149</v>
      </c>
      <c r="F10988" s="3" t="inlineStr">
        <is>
          <t>전동면</t>
        </is>
      </c>
      <c r="G10988" s="3" t="inlineStr">
        <is>
          <t>송곡리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전동면</t>
        </is>
      </c>
    </row>
    <row r="10989">
      <c r="A10989" s="3" t="n">
        <v>2026</v>
      </c>
      <c r="B10989" s="4" t="n">
        <v>12300</v>
      </c>
      <c r="C10989" s="4" t="n">
        <v>373</v>
      </c>
      <c r="D10989" s="4" t="n">
        <v>112.8325</v>
      </c>
      <c r="E10989" s="5" t="n">
        <v>109</v>
      </c>
      <c r="F10989" s="3" t="inlineStr">
        <is>
          <t>연동면</t>
        </is>
      </c>
      <c r="G10989" s="3" t="inlineStr">
        <is>
          <t>예양리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연동면</t>
        </is>
      </c>
    </row>
    <row r="10990">
      <c r="A10990" s="3" t="n">
        <v>2026</v>
      </c>
      <c r="B10990" s="4" t="n">
        <v>45000</v>
      </c>
      <c r="C10990" s="4" t="n">
        <v>579</v>
      </c>
      <c r="D10990" s="4" t="n">
        <v>175.1475</v>
      </c>
      <c r="E10990" s="5" t="n">
        <v>256.9</v>
      </c>
      <c r="F10990" s="3" t="inlineStr">
        <is>
          <t>연서면</t>
        </is>
      </c>
      <c r="G10990" s="3" t="inlineStr">
        <is>
          <t>쌍전리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2026</v>
      </c>
      <c r="B10991" s="4" t="n">
        <v>51000</v>
      </c>
      <c r="C10991" s="4" t="n">
        <v>255.4</v>
      </c>
      <c r="D10991" s="4" t="n">
        <v>77.2585</v>
      </c>
      <c r="E10991" s="5" t="n">
        <v>660.1</v>
      </c>
      <c r="F10991" s="3" t="inlineStr">
        <is>
          <t>조치원읍</t>
        </is>
      </c>
      <c r="G10991" s="3" t="inlineStr">
        <is>
          <t>침산리</t>
        </is>
      </c>
      <c r="H10991" s="3" t="inlineStr">
        <is>
          <t>단독다가구</t>
        </is>
      </c>
      <c r="I10991" s="3" t="inlineStr">
        <is>
          <t>다가구</t>
        </is>
      </c>
      <c r="J10991" s="3" t="inlineStr">
        <is>
          <t>조치원읍</t>
        </is>
      </c>
    </row>
    <row r="10992">
      <c r="A10992" s="3" t="n">
        <v>2026</v>
      </c>
      <c r="B10992" s="4" t="n">
        <v>87000</v>
      </c>
      <c r="C10992" s="4" t="n">
        <v>411</v>
      </c>
      <c r="D10992" s="4" t="n">
        <v>124.3275</v>
      </c>
      <c r="E10992" s="5" t="n">
        <v>699.8</v>
      </c>
      <c r="F10992" s="3" t="inlineStr">
        <is>
          <t>조치원읍</t>
        </is>
      </c>
      <c r="G10992" s="3" t="inlineStr">
        <is>
          <t>명리</t>
        </is>
      </c>
      <c r="H10992" s="3" t="inlineStr">
        <is>
          <t>단독다가구</t>
        </is>
      </c>
      <c r="I10992" s="3" t="inlineStr">
        <is>
          <t>다가구</t>
        </is>
      </c>
      <c r="J10992" s="3" t="inlineStr">
        <is>
          <t>조치원읍</t>
        </is>
      </c>
    </row>
    <row r="10993">
      <c r="A10993" s="3" t="n">
        <v>2026</v>
      </c>
      <c r="B10993" s="4" t="n">
        <v>57000</v>
      </c>
      <c r="C10993" s="4" t="n">
        <v>243.9</v>
      </c>
      <c r="D10993" s="4" t="n">
        <v>73.77974999999999</v>
      </c>
      <c r="E10993" s="5" t="n">
        <v>772.6</v>
      </c>
      <c r="F10993" s="3" t="inlineStr">
        <is>
          <t>조치원읍</t>
        </is>
      </c>
      <c r="G10993" s="3" t="inlineStr">
        <is>
          <t>남리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2026</v>
      </c>
      <c r="B10994" s="4" t="n">
        <v>24000</v>
      </c>
      <c r="C10994" s="4" t="n">
        <v>380</v>
      </c>
      <c r="D10994" s="4" t="n">
        <v>114.95</v>
      </c>
      <c r="E10994" s="5" t="n">
        <v>208.8</v>
      </c>
      <c r="F10994" s="3" t="inlineStr">
        <is>
          <t>연서면</t>
        </is>
      </c>
      <c r="G10994" s="3" t="inlineStr">
        <is>
          <t>용암리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연서면</t>
        </is>
      </c>
    </row>
    <row r="10995">
      <c r="A10995" s="3" t="n">
        <v>2026</v>
      </c>
      <c r="B10995" s="4" t="n">
        <v>19000</v>
      </c>
      <c r="C10995" s="4" t="n">
        <v>770</v>
      </c>
      <c r="D10995" s="4" t="n">
        <v>232.925</v>
      </c>
      <c r="E10995" s="5" t="n">
        <v>81.59999999999999</v>
      </c>
      <c r="F10995" s="3" t="inlineStr">
        <is>
          <t>소정면</t>
        </is>
      </c>
      <c r="G10995" s="3" t="inlineStr">
        <is>
          <t>대곡리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소정면</t>
        </is>
      </c>
    </row>
    <row r="10996">
      <c r="A10996" s="3" t="n">
        <v>2026</v>
      </c>
      <c r="B10996" s="4" t="n">
        <v>9000</v>
      </c>
      <c r="C10996" s="4" t="n">
        <v>172</v>
      </c>
      <c r="D10996" s="4" t="n">
        <v>52.03</v>
      </c>
      <c r="E10996" s="5" t="n">
        <v>173</v>
      </c>
      <c r="F10996" s="3" t="inlineStr">
        <is>
          <t>부강면</t>
        </is>
      </c>
      <c r="G10996" s="3" t="inlineStr">
        <is>
          <t>갈산리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부강면</t>
        </is>
      </c>
    </row>
    <row r="10997">
      <c r="A10997" s="3" t="n">
        <v>2026</v>
      </c>
      <c r="B10997" s="4" t="n">
        <v>50950</v>
      </c>
      <c r="C10997" s="4" t="n">
        <v>367</v>
      </c>
      <c r="D10997" s="4" t="n">
        <v>111.0175</v>
      </c>
      <c r="E10997" s="5" t="n">
        <v>458.9</v>
      </c>
      <c r="F10997" s="3" t="inlineStr">
        <is>
          <t>장군면</t>
        </is>
      </c>
      <c r="G10997" s="3" t="inlineStr">
        <is>
          <t>은용리</t>
        </is>
      </c>
      <c r="H10997" s="3" t="inlineStr">
        <is>
          <t>단독다가구</t>
        </is>
      </c>
      <c r="I10997" s="3" t="inlineStr">
        <is>
          <t>다가구</t>
        </is>
      </c>
      <c r="J10997" s="3" t="inlineStr">
        <is>
          <t>장군면</t>
        </is>
      </c>
    </row>
    <row r="10998">
      <c r="A10998" s="3" t="n">
        <v>2026</v>
      </c>
      <c r="B10998" s="4" t="n">
        <v>110000</v>
      </c>
      <c r="C10998" s="4" t="n">
        <v>300.2</v>
      </c>
      <c r="D10998" s="4" t="n">
        <v>90.81049999999999</v>
      </c>
      <c r="E10998" s="5" t="n">
        <v>1211.3</v>
      </c>
      <c r="F10998" s="3" t="inlineStr">
        <is>
          <t>조치원읍</t>
        </is>
      </c>
      <c r="G10998" s="3" t="inlineStr">
        <is>
          <t>침산리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2026</v>
      </c>
      <c r="B10999" s="4" t="n">
        <v>55000</v>
      </c>
      <c r="C10999" s="4" t="n">
        <v>159</v>
      </c>
      <c r="D10999" s="4" t="n">
        <v>48.0975</v>
      </c>
      <c r="E10999" s="5" t="n">
        <v>1143.5</v>
      </c>
      <c r="F10999" s="3" t="inlineStr">
        <is>
          <t>부강면</t>
        </is>
      </c>
      <c r="G10999" s="3" t="inlineStr">
        <is>
          <t>부강리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부강면</t>
        </is>
      </c>
    </row>
    <row r="11000">
      <c r="A11000" s="3" t="n">
        <v>2026</v>
      </c>
      <c r="B11000" s="4" t="n">
        <v>60000</v>
      </c>
      <c r="C11000" s="4" t="n">
        <v>521</v>
      </c>
      <c r="D11000" s="4" t="n">
        <v>157.6025</v>
      </c>
      <c r="E11000" s="5" t="n">
        <v>380.7</v>
      </c>
      <c r="F11000" s="3" t="inlineStr">
        <is>
          <t>연서면</t>
        </is>
      </c>
      <c r="G11000" s="3" t="inlineStr">
        <is>
          <t>봉암리</t>
        </is>
      </c>
      <c r="H11000" s="3" t="inlineStr">
        <is>
          <t>단독다가구</t>
        </is>
      </c>
      <c r="I11000" s="3" t="inlineStr">
        <is>
          <t>다가구</t>
        </is>
      </c>
      <c r="J11000" s="3" t="inlineStr">
        <is>
          <t>연서면</t>
        </is>
      </c>
    </row>
    <row r="11001">
      <c r="A11001" s="3" t="n">
        <v>2026</v>
      </c>
      <c r="B11001" s="4" t="n">
        <v>18000</v>
      </c>
      <c r="C11001" s="4" t="n">
        <v>619.6</v>
      </c>
      <c r="D11001" s="4" t="n">
        <v>187.429</v>
      </c>
      <c r="E11001" s="5" t="n">
        <v>96</v>
      </c>
      <c r="F11001" s="3" t="inlineStr">
        <is>
          <t>소정면</t>
        </is>
      </c>
      <c r="G11001" s="3" t="inlineStr">
        <is>
          <t>소정리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소정면</t>
        </is>
      </c>
    </row>
    <row r="11002">
      <c r="A11002" s="3" t="n">
        <v>2026</v>
      </c>
      <c r="B11002" s="4" t="n">
        <v>12500</v>
      </c>
      <c r="C11002" s="4" t="n">
        <v>313</v>
      </c>
      <c r="D11002" s="4" t="n">
        <v>94.68249999999999</v>
      </c>
      <c r="E11002" s="5" t="n">
        <v>132</v>
      </c>
      <c r="F11002" s="3" t="inlineStr">
        <is>
          <t>소정면</t>
        </is>
      </c>
      <c r="G11002" s="3" t="inlineStr">
        <is>
          <t>소정리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소정면</t>
        </is>
      </c>
    </row>
    <row r="11003">
      <c r="A11003" s="3" t="n">
        <v>2026</v>
      </c>
      <c r="B11003" s="4" t="n">
        <v>105000</v>
      </c>
      <c r="C11003" s="4" t="n">
        <v>269</v>
      </c>
      <c r="D11003" s="4" t="n">
        <v>81.3725</v>
      </c>
      <c r="E11003" s="5" t="n">
        <v>1290.4</v>
      </c>
      <c r="F11003" s="3" t="inlineStr">
        <is>
          <t>부강면</t>
        </is>
      </c>
      <c r="G11003" s="3" t="inlineStr">
        <is>
          <t>부강리</t>
        </is>
      </c>
      <c r="H11003" s="3" t="inlineStr">
        <is>
          <t>단독다가구</t>
        </is>
      </c>
      <c r="I11003" s="3" t="inlineStr">
        <is>
          <t>다가구</t>
        </is>
      </c>
      <c r="J11003" s="3" t="inlineStr">
        <is>
          <t>부강면</t>
        </is>
      </c>
    </row>
    <row r="11004">
      <c r="A11004" s="3" t="n">
        <v>2026</v>
      </c>
      <c r="B11004" s="4" t="n">
        <v>21000</v>
      </c>
      <c r="C11004" s="4" t="n">
        <v>650</v>
      </c>
      <c r="D11004" s="4" t="n">
        <v>196.625</v>
      </c>
      <c r="E11004" s="5" t="n">
        <v>106.8</v>
      </c>
      <c r="F11004" s="3" t="inlineStr">
        <is>
          <t>장군면</t>
        </is>
      </c>
      <c r="G11004" s="3" t="inlineStr">
        <is>
          <t>대교리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장군면</t>
        </is>
      </c>
    </row>
    <row r="11005">
      <c r="A11005" s="3" t="n">
        <v>2026</v>
      </c>
      <c r="B11005" s="4" t="n">
        <v>100000</v>
      </c>
      <c r="C11005" s="4" t="n">
        <v>407.8</v>
      </c>
      <c r="D11005" s="4" t="n">
        <v>123.3595</v>
      </c>
      <c r="E11005" s="5" t="n">
        <v>810.6</v>
      </c>
      <c r="F11005" s="3" t="inlineStr">
        <is>
          <t>조치원읍</t>
        </is>
      </c>
      <c r="G11005" s="3" t="inlineStr">
        <is>
          <t>남리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2026</v>
      </c>
      <c r="B11006" s="4" t="n">
        <v>20000</v>
      </c>
      <c r="C11006" s="4" t="n">
        <v>184</v>
      </c>
      <c r="D11006" s="4" t="n">
        <v>55.66</v>
      </c>
      <c r="E11006" s="5" t="n">
        <v>359.3</v>
      </c>
      <c r="F11006" s="3" t="inlineStr">
        <is>
          <t>부강면</t>
        </is>
      </c>
      <c r="G11006" s="3" t="inlineStr">
        <is>
          <t>부강리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부강면</t>
        </is>
      </c>
    </row>
    <row r="11007">
      <c r="A11007" s="3" t="n">
        <v>2026</v>
      </c>
      <c r="B11007" s="4" t="n">
        <v>4300</v>
      </c>
      <c r="C11007" s="4" t="n">
        <v>93</v>
      </c>
      <c r="D11007" s="4" t="n">
        <v>28.1325</v>
      </c>
      <c r="E11007" s="5" t="n">
        <v>152.8</v>
      </c>
      <c r="F11007" s="3" t="inlineStr">
        <is>
          <t>조치원읍</t>
        </is>
      </c>
      <c r="G11007" s="3" t="inlineStr">
        <is>
          <t>평리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2026</v>
      </c>
      <c r="B11008" s="4" t="n">
        <v>33300</v>
      </c>
      <c r="C11008" s="4" t="n">
        <v>533</v>
      </c>
      <c r="D11008" s="4" t="n">
        <v>161.2325</v>
      </c>
      <c r="E11008" s="5" t="n">
        <v>206.5</v>
      </c>
      <c r="F11008" s="3" t="inlineStr">
        <is>
          <t>장군면</t>
        </is>
      </c>
      <c r="G11008" s="3" t="inlineStr">
        <is>
          <t>송문리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장군면</t>
        </is>
      </c>
    </row>
    <row r="11009">
      <c r="A11009" s="3" t="n">
        <v>2026</v>
      </c>
      <c r="B11009" s="4" t="n">
        <v>138500</v>
      </c>
      <c r="C11009" s="4" t="n">
        <v>346.3</v>
      </c>
      <c r="D11009" s="4" t="n">
        <v>104.75575</v>
      </c>
      <c r="E11009" s="5" t="n">
        <v>1322.1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다가구</t>
        </is>
      </c>
      <c r="J11009" s="3" t="inlineStr">
        <is>
          <t>조치원읍</t>
        </is>
      </c>
    </row>
    <row r="11010">
      <c r="A11010" s="3" t="n">
        <v>2022</v>
      </c>
      <c r="B11010" s="4" t="n">
        <v>22000</v>
      </c>
      <c r="C11010" s="4" t="n">
        <v>123</v>
      </c>
      <c r="D11010" s="4" t="n">
        <v>37.2075</v>
      </c>
      <c r="E11010" s="5" t="n">
        <v>591.3</v>
      </c>
      <c r="F11010" s="3" t="inlineStr">
        <is>
          <t>조치원읍</t>
        </is>
      </c>
      <c r="G11010" s="3" t="inlineStr">
        <is>
          <t>상리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조치원읍</t>
        </is>
      </c>
    </row>
    <row r="11011">
      <c r="A11011" s="3" t="n">
        <v>2022</v>
      </c>
      <c r="B11011" s="4" t="n">
        <v>20000</v>
      </c>
      <c r="C11011" s="4" t="n">
        <v>193</v>
      </c>
      <c r="D11011" s="4" t="n">
        <v>58.3825</v>
      </c>
      <c r="E11011" s="5" t="n">
        <v>342.6</v>
      </c>
      <c r="F11011" s="3" t="inlineStr">
        <is>
          <t>조치원읍</t>
        </is>
      </c>
      <c r="G11011" s="3" t="inlineStr">
        <is>
          <t>남리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조치원읍</t>
        </is>
      </c>
    </row>
    <row r="11012">
      <c r="A11012" s="3" t="n">
        <v>2022</v>
      </c>
      <c r="B11012" s="4" t="n">
        <v>50000</v>
      </c>
      <c r="C11012" s="4" t="n">
        <v>171</v>
      </c>
      <c r="D11012" s="4" t="n">
        <v>51.7275</v>
      </c>
      <c r="E11012" s="5" t="n">
        <v>966.6</v>
      </c>
      <c r="F11012" s="3" t="inlineStr">
        <is>
          <t>연기면</t>
        </is>
      </c>
      <c r="G11012" s="3" t="inlineStr">
        <is>
          <t>연기리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연기면</t>
        </is>
      </c>
    </row>
    <row r="11013">
      <c r="A11013" s="3" t="n">
        <v>2022</v>
      </c>
      <c r="B11013" s="4" t="n">
        <v>39000</v>
      </c>
      <c r="C11013" s="4" t="n">
        <v>190</v>
      </c>
      <c r="D11013" s="4" t="n">
        <v>57.475</v>
      </c>
      <c r="E11013" s="5" t="n">
        <v>678.6</v>
      </c>
      <c r="F11013" s="3" t="inlineStr">
        <is>
          <t>장군면</t>
        </is>
      </c>
      <c r="G11013" s="3" t="inlineStr">
        <is>
          <t>대교리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장군면</t>
        </is>
      </c>
    </row>
    <row r="11014">
      <c r="A11014" s="3" t="n">
        <v>2022</v>
      </c>
      <c r="B11014" s="4" t="n">
        <v>50000</v>
      </c>
      <c r="C11014" s="4" t="n">
        <v>827</v>
      </c>
      <c r="D11014" s="4" t="n">
        <v>250.1675</v>
      </c>
      <c r="E11014" s="5" t="n">
        <v>199.9</v>
      </c>
      <c r="F11014" s="3" t="inlineStr">
        <is>
          <t>연서면</t>
        </is>
      </c>
      <c r="G11014" s="3" t="inlineStr">
        <is>
          <t>와촌리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연서면</t>
        </is>
      </c>
    </row>
    <row r="11015">
      <c r="A11015" s="3" t="n">
        <v>2022</v>
      </c>
      <c r="B11015" s="4" t="n">
        <v>13500</v>
      </c>
      <c r="C11015" s="4" t="n">
        <v>109</v>
      </c>
      <c r="D11015" s="4" t="n">
        <v>32.9725</v>
      </c>
      <c r="E11015" s="5" t="n">
        <v>409.4</v>
      </c>
      <c r="F11015" s="3" t="inlineStr">
        <is>
          <t>조치원읍</t>
        </is>
      </c>
      <c r="G11015" s="3" t="inlineStr">
        <is>
          <t>신흥리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조치원읍</t>
        </is>
      </c>
    </row>
    <row r="11016">
      <c r="A11016" s="3" t="n">
        <v>2022</v>
      </c>
      <c r="B11016" s="4" t="n">
        <v>20529</v>
      </c>
      <c r="C11016" s="4" t="n">
        <v>184</v>
      </c>
      <c r="D11016" s="4" t="n">
        <v>55.66</v>
      </c>
      <c r="E11016" s="5" t="n">
        <v>368.8</v>
      </c>
      <c r="F11016" s="3" t="inlineStr">
        <is>
          <t>장군면</t>
        </is>
      </c>
      <c r="G11016" s="3" t="inlineStr">
        <is>
          <t>대교리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32280</v>
      </c>
      <c r="C11017" s="4" t="n">
        <v>79</v>
      </c>
      <c r="D11017" s="4" t="n">
        <v>23.8975</v>
      </c>
      <c r="E11017" s="5" t="n">
        <v>1350.8</v>
      </c>
      <c r="F11017" s="3" t="inlineStr">
        <is>
          <t>조치원읍</t>
        </is>
      </c>
      <c r="G11017" s="3" t="inlineStr">
        <is>
          <t>상리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조치원읍</t>
        </is>
      </c>
    </row>
    <row r="11018">
      <c r="A11018" s="3" t="n">
        <v>2022</v>
      </c>
      <c r="B11018" s="4" t="n">
        <v>87600</v>
      </c>
      <c r="C11018" s="4" t="n">
        <v>300</v>
      </c>
      <c r="D11018" s="4" t="n">
        <v>90.75</v>
      </c>
      <c r="E11018" s="5" t="n">
        <v>965.3</v>
      </c>
      <c r="F11018" s="3" t="inlineStr">
        <is>
          <t>금남면</t>
        </is>
      </c>
      <c r="G11018" s="3" t="inlineStr">
        <is>
          <t>용포리</t>
        </is>
      </c>
      <c r="H11018" s="3" t="inlineStr">
        <is>
          <t>단독다가구</t>
        </is>
      </c>
      <c r="I11018" s="3" t="inlineStr">
        <is>
          <t>다가구</t>
        </is>
      </c>
      <c r="J11018" s="3" t="inlineStr">
        <is>
          <t>금남면</t>
        </is>
      </c>
    </row>
    <row r="11019">
      <c r="A11019" s="3" t="n">
        <v>2022</v>
      </c>
      <c r="B11019" s="4" t="n">
        <v>60000</v>
      </c>
      <c r="C11019" s="4" t="n">
        <v>173</v>
      </c>
      <c r="D11019" s="4" t="n">
        <v>52.3325</v>
      </c>
      <c r="E11019" s="5" t="n">
        <v>1146.5</v>
      </c>
      <c r="F11019" s="3" t="inlineStr">
        <is>
          <t>조치원읍</t>
        </is>
      </c>
      <c r="G11019" s="3" t="inlineStr">
        <is>
          <t>신안리</t>
        </is>
      </c>
      <c r="H11019" s="3" t="inlineStr">
        <is>
          <t>단독다가구</t>
        </is>
      </c>
      <c r="I11019" s="3" t="inlineStr">
        <is>
          <t>다가구</t>
        </is>
      </c>
      <c r="J11019" s="3" t="inlineStr">
        <is>
          <t>조치원읍</t>
        </is>
      </c>
    </row>
    <row r="11020">
      <c r="A11020" s="3" t="n">
        <v>2022</v>
      </c>
      <c r="B11020" s="4" t="n">
        <v>70000</v>
      </c>
      <c r="C11020" s="4" t="n">
        <v>289.7014</v>
      </c>
      <c r="D11020" s="4" t="n">
        <v>87.63467349999999</v>
      </c>
      <c r="E11020" s="5" t="n">
        <v>798.8</v>
      </c>
      <c r="F11020" s="3" t="inlineStr">
        <is>
          <t>고운동</t>
        </is>
      </c>
      <c r="G11020" s="3" t="inlineStr"/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고운동</t>
        </is>
      </c>
    </row>
    <row r="11021">
      <c r="A11021" s="3" t="n">
        <v>2022</v>
      </c>
      <c r="B11021" s="4" t="n">
        <v>22000</v>
      </c>
      <c r="C11021" s="4" t="n">
        <v>298</v>
      </c>
      <c r="D11021" s="4" t="n">
        <v>90.145</v>
      </c>
      <c r="E11021" s="5" t="n">
        <v>244.1</v>
      </c>
      <c r="F11021" s="3" t="inlineStr">
        <is>
          <t>부강면</t>
        </is>
      </c>
      <c r="G11021" s="3" t="inlineStr">
        <is>
          <t>문곡리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8800</v>
      </c>
      <c r="C11022" s="4" t="n">
        <v>205</v>
      </c>
      <c r="D11022" s="4" t="n">
        <v>62.0125</v>
      </c>
      <c r="E11022" s="5" t="n">
        <v>141.9</v>
      </c>
      <c r="F11022" s="3" t="inlineStr">
        <is>
          <t>연서면</t>
        </is>
      </c>
      <c r="G11022" s="3" t="inlineStr">
        <is>
          <t>신대리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연서면</t>
        </is>
      </c>
    </row>
    <row r="11023">
      <c r="A11023" s="3" t="n">
        <v>2022</v>
      </c>
      <c r="B11023" s="4" t="n">
        <v>57671</v>
      </c>
      <c r="C11023" s="4" t="n">
        <v>393</v>
      </c>
      <c r="D11023" s="4" t="n">
        <v>118.8825</v>
      </c>
      <c r="E11023" s="5" t="n">
        <v>485.1</v>
      </c>
      <c r="F11023" s="3" t="inlineStr">
        <is>
          <t>연서면</t>
        </is>
      </c>
      <c r="G11023" s="3" t="inlineStr">
        <is>
          <t>봉암리</t>
        </is>
      </c>
      <c r="H11023" s="3" t="inlineStr">
        <is>
          <t>단독다가구</t>
        </is>
      </c>
      <c r="I11023" s="3" t="inlineStr">
        <is>
          <t>다가구</t>
        </is>
      </c>
      <c r="J11023" s="3" t="inlineStr">
        <is>
          <t>연서면</t>
        </is>
      </c>
    </row>
    <row r="11024">
      <c r="A11024" s="3" t="n">
        <v>2022</v>
      </c>
      <c r="B11024" s="4" t="n">
        <v>11000</v>
      </c>
      <c r="C11024" s="4" t="n">
        <v>354</v>
      </c>
      <c r="D11024" s="4" t="n">
        <v>107.085</v>
      </c>
      <c r="E11024" s="5" t="n">
        <v>102.7</v>
      </c>
      <c r="F11024" s="3" t="inlineStr">
        <is>
          <t>전동면</t>
        </is>
      </c>
      <c r="G11024" s="3" t="inlineStr">
        <is>
          <t>송정리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전동면</t>
        </is>
      </c>
    </row>
    <row r="11025">
      <c r="A11025" s="3" t="n">
        <v>2022</v>
      </c>
      <c r="B11025" s="4" t="n">
        <v>34000</v>
      </c>
      <c r="C11025" s="4" t="n">
        <v>476</v>
      </c>
      <c r="D11025" s="4" t="n">
        <v>143.99</v>
      </c>
      <c r="E11025" s="5" t="n">
        <v>236.1</v>
      </c>
      <c r="F11025" s="3" t="inlineStr">
        <is>
          <t>장군면</t>
        </is>
      </c>
      <c r="G11025" s="3" t="inlineStr">
        <is>
          <t>송문리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65800</v>
      </c>
      <c r="C11026" s="4" t="n">
        <v>304</v>
      </c>
      <c r="D11026" s="4" t="n">
        <v>91.95999999999999</v>
      </c>
      <c r="E11026" s="5" t="n">
        <v>715.5</v>
      </c>
      <c r="F11026" s="3" t="inlineStr">
        <is>
          <t>장군면</t>
        </is>
      </c>
      <c r="G11026" s="3" t="inlineStr">
        <is>
          <t>대교리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장군면</t>
        </is>
      </c>
    </row>
    <row r="11027">
      <c r="A11027" s="3" t="n">
        <v>2024</v>
      </c>
      <c r="B11027" s="4" t="n">
        <v>43500</v>
      </c>
      <c r="C11027" s="4" t="n">
        <v>437</v>
      </c>
      <c r="D11027" s="4" t="n">
        <v>132.1925</v>
      </c>
      <c r="E11027" s="5" t="n">
        <v>329.1</v>
      </c>
      <c r="F11027" s="3" t="inlineStr">
        <is>
          <t>금남면</t>
        </is>
      </c>
      <c r="G11027" s="3" t="inlineStr">
        <is>
          <t>용담리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금남면</t>
        </is>
      </c>
    </row>
    <row r="11028">
      <c r="A11028" s="3" t="n">
        <v>2024</v>
      </c>
      <c r="B11028" s="4" t="n">
        <v>21000</v>
      </c>
      <c r="C11028" s="4" t="n">
        <v>655</v>
      </c>
      <c r="D11028" s="4" t="n">
        <v>198.1375</v>
      </c>
      <c r="E11028" s="5" t="n">
        <v>106</v>
      </c>
      <c r="F11028" s="3" t="inlineStr">
        <is>
          <t>전의면</t>
        </is>
      </c>
      <c r="G11028" s="3" t="inlineStr">
        <is>
          <t>관정리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전의면</t>
        </is>
      </c>
    </row>
    <row r="11029">
      <c r="A11029" s="3" t="n">
        <v>2024</v>
      </c>
      <c r="B11029" s="4" t="n">
        <v>29880</v>
      </c>
      <c r="C11029" s="4" t="n">
        <v>142</v>
      </c>
      <c r="D11029" s="4" t="n">
        <v>42.955</v>
      </c>
      <c r="E11029" s="5" t="n">
        <v>695.6</v>
      </c>
      <c r="F11029" s="3" t="inlineStr">
        <is>
          <t>조치원읍</t>
        </is>
      </c>
      <c r="G11029" s="3" t="inlineStr">
        <is>
          <t>명리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조치원읍</t>
        </is>
      </c>
    </row>
    <row r="11030">
      <c r="A11030" s="3" t="n">
        <v>2024</v>
      </c>
      <c r="B11030" s="4" t="n">
        <v>15300</v>
      </c>
      <c r="C11030" s="4" t="n">
        <v>134.9</v>
      </c>
      <c r="D11030" s="4" t="n">
        <v>40.80725</v>
      </c>
      <c r="E11030" s="5" t="n">
        <v>374.9</v>
      </c>
      <c r="F11030" s="3" t="inlineStr">
        <is>
          <t>조치원읍</t>
        </is>
      </c>
      <c r="G11030" s="3" t="inlineStr">
        <is>
          <t>남리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조치원읍</t>
        </is>
      </c>
    </row>
    <row r="11031">
      <c r="A11031" s="3" t="n">
        <v>2022</v>
      </c>
      <c r="B11031" s="4" t="n">
        <v>95000</v>
      </c>
      <c r="C11031" s="4" t="n">
        <v>379</v>
      </c>
      <c r="D11031" s="4" t="n">
        <v>114.6475</v>
      </c>
      <c r="E11031" s="5" t="n">
        <v>828.6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다가구</t>
        </is>
      </c>
      <c r="J11031" s="3" t="inlineStr">
        <is>
          <t>조치원읍</t>
        </is>
      </c>
    </row>
    <row r="11032">
      <c r="A11032" s="3" t="n">
        <v>2022</v>
      </c>
      <c r="B11032" s="4" t="n">
        <v>27000</v>
      </c>
      <c r="C11032" s="4" t="n">
        <v>614</v>
      </c>
      <c r="D11032" s="4" t="n">
        <v>185.735</v>
      </c>
      <c r="E11032" s="5" t="n">
        <v>145.4</v>
      </c>
      <c r="F11032" s="3" t="inlineStr">
        <is>
          <t>금남면</t>
        </is>
      </c>
      <c r="G11032" s="3" t="inlineStr">
        <is>
          <t>영곡리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2022</v>
      </c>
      <c r="B11033" s="4" t="n">
        <v>95000</v>
      </c>
      <c r="C11033" s="4" t="n">
        <v>379</v>
      </c>
      <c r="D11033" s="4" t="n">
        <v>114.6475</v>
      </c>
      <c r="E11033" s="5" t="n">
        <v>828.6</v>
      </c>
      <c r="F11033" s="3" t="inlineStr">
        <is>
          <t>조치원읍</t>
        </is>
      </c>
      <c r="G11033" s="3" t="inlineStr">
        <is>
          <t>남리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조치원읍</t>
        </is>
      </c>
    </row>
    <row r="11034">
      <c r="A11034" s="3" t="n">
        <v>2022</v>
      </c>
      <c r="B11034" s="4" t="n">
        <v>81700</v>
      </c>
      <c r="C11034" s="4" t="n">
        <v>329</v>
      </c>
      <c r="D11034" s="4" t="n">
        <v>99.52249999999999</v>
      </c>
      <c r="E11034" s="5" t="n">
        <v>820.9</v>
      </c>
      <c r="F11034" s="3" t="inlineStr">
        <is>
          <t>장군면</t>
        </is>
      </c>
      <c r="G11034" s="3" t="inlineStr">
        <is>
          <t>도계리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장군면</t>
        </is>
      </c>
    </row>
    <row r="11035">
      <c r="A11035" s="3" t="n">
        <v>2022</v>
      </c>
      <c r="B11035" s="4" t="n">
        <v>82000</v>
      </c>
      <c r="C11035" s="4" t="n">
        <v>329</v>
      </c>
      <c r="D11035" s="4" t="n">
        <v>99.52249999999999</v>
      </c>
      <c r="E11035" s="5" t="n">
        <v>823.9</v>
      </c>
      <c r="F11035" s="3" t="inlineStr">
        <is>
          <t>장군면</t>
        </is>
      </c>
      <c r="G11035" s="3" t="inlineStr">
        <is>
          <t>도계리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장군면</t>
        </is>
      </c>
    </row>
    <row r="11036">
      <c r="A11036" s="3" t="n">
        <v>2022</v>
      </c>
      <c r="B11036" s="4" t="n">
        <v>21000</v>
      </c>
      <c r="C11036" s="4" t="n">
        <v>953</v>
      </c>
      <c r="D11036" s="4" t="n">
        <v>288.2825</v>
      </c>
      <c r="E11036" s="5" t="n">
        <v>72.8</v>
      </c>
      <c r="F11036" s="3" t="inlineStr">
        <is>
          <t>전동면</t>
        </is>
      </c>
      <c r="G11036" s="3" t="inlineStr">
        <is>
          <t>송성리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2022</v>
      </c>
      <c r="B11037" s="4" t="n">
        <v>81700</v>
      </c>
      <c r="C11037" s="4" t="n">
        <v>329</v>
      </c>
      <c r="D11037" s="4" t="n">
        <v>99.52249999999999</v>
      </c>
      <c r="E11037" s="5" t="n">
        <v>820.9</v>
      </c>
      <c r="F11037" s="3" t="inlineStr">
        <is>
          <t>장군면</t>
        </is>
      </c>
      <c r="G11037" s="3" t="inlineStr">
        <is>
          <t>도계리</t>
        </is>
      </c>
      <c r="H11037" s="3" t="inlineStr">
        <is>
          <t>단독다가구</t>
        </is>
      </c>
      <c r="I11037" s="3" t="inlineStr">
        <is>
          <t>다가구</t>
        </is>
      </c>
      <c r="J11037" s="3" t="inlineStr">
        <is>
          <t>장군면</t>
        </is>
      </c>
    </row>
    <row r="11038">
      <c r="A11038" s="3" t="n">
        <v>2022</v>
      </c>
      <c r="B11038" s="4" t="n">
        <v>17000</v>
      </c>
      <c r="C11038" s="4" t="n">
        <v>179</v>
      </c>
      <c r="D11038" s="4" t="n">
        <v>54.1475</v>
      </c>
      <c r="E11038" s="5" t="n">
        <v>314</v>
      </c>
      <c r="F11038" s="3" t="inlineStr">
        <is>
          <t>조치원읍</t>
        </is>
      </c>
      <c r="G11038" s="3" t="inlineStr">
        <is>
          <t>신흥리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조치원읍</t>
        </is>
      </c>
    </row>
    <row r="11039">
      <c r="A11039" s="3" t="n">
        <v>2022</v>
      </c>
      <c r="B11039" s="4" t="n">
        <v>64000</v>
      </c>
      <c r="C11039" s="4" t="n">
        <v>588</v>
      </c>
      <c r="D11039" s="4" t="n">
        <v>177.87</v>
      </c>
      <c r="E11039" s="5" t="n">
        <v>359.8</v>
      </c>
      <c r="F11039" s="3" t="inlineStr">
        <is>
          <t>조치원읍</t>
        </is>
      </c>
      <c r="G11039" s="3" t="inlineStr">
        <is>
          <t>신안리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조치원읍</t>
        </is>
      </c>
    </row>
    <row r="11040">
      <c r="A11040" s="3" t="n">
        <v>2022</v>
      </c>
      <c r="B11040" s="4" t="n">
        <v>4000</v>
      </c>
      <c r="C11040" s="4" t="n">
        <v>360</v>
      </c>
      <c r="D11040" s="4" t="n">
        <v>108.9</v>
      </c>
      <c r="E11040" s="5" t="n">
        <v>36.7</v>
      </c>
      <c r="F11040" s="3" t="inlineStr">
        <is>
          <t>전의면</t>
        </is>
      </c>
      <c r="G11040" s="3" t="inlineStr">
        <is>
          <t>달전리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전의면</t>
        </is>
      </c>
    </row>
    <row r="11041">
      <c r="A11041" s="3" t="n">
        <v>2022</v>
      </c>
      <c r="B11041" s="4" t="n">
        <v>20000</v>
      </c>
      <c r="C11041" s="4" t="n">
        <v>537</v>
      </c>
      <c r="D11041" s="4" t="n">
        <v>162.4425</v>
      </c>
      <c r="E11041" s="5" t="n">
        <v>123.1</v>
      </c>
      <c r="F11041" s="3" t="inlineStr">
        <is>
          <t>연서면</t>
        </is>
      </c>
      <c r="G11041" s="3" t="inlineStr">
        <is>
          <t>성제리</t>
        </is>
      </c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연서면</t>
        </is>
      </c>
    </row>
    <row r="11042">
      <c r="A11042" s="3" t="n">
        <v>2022</v>
      </c>
      <c r="B11042" s="4" t="n">
        <v>85000</v>
      </c>
      <c r="C11042" s="4" t="n">
        <v>1003</v>
      </c>
      <c r="D11042" s="4" t="n">
        <v>303.4075</v>
      </c>
      <c r="E11042" s="5" t="n">
        <v>280.2</v>
      </c>
      <c r="F11042" s="3" t="inlineStr">
        <is>
          <t>연서면</t>
        </is>
      </c>
      <c r="G11042" s="3" t="inlineStr">
        <is>
          <t>월하리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연서면</t>
        </is>
      </c>
    </row>
    <row r="11043">
      <c r="A11043" s="3" t="n">
        <v>2022</v>
      </c>
      <c r="B11043" s="4" t="n">
        <v>52500</v>
      </c>
      <c r="C11043" s="4" t="n">
        <v>412</v>
      </c>
      <c r="D11043" s="4" t="n">
        <v>124.63</v>
      </c>
      <c r="E11043" s="5" t="n">
        <v>421.2</v>
      </c>
      <c r="F11043" s="3" t="inlineStr">
        <is>
          <t>연동면</t>
        </is>
      </c>
      <c r="G11043" s="3" t="inlineStr">
        <is>
          <t>문주리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연동면</t>
        </is>
      </c>
    </row>
    <row r="11044">
      <c r="A11044" s="3" t="n">
        <v>2024</v>
      </c>
      <c r="B11044" s="4" t="n">
        <v>23000</v>
      </c>
      <c r="C11044" s="4" t="n">
        <v>422</v>
      </c>
      <c r="D11044" s="4" t="n">
        <v>127.655</v>
      </c>
      <c r="E11044" s="5" t="n">
        <v>180.2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67000</v>
      </c>
      <c r="C11045" s="4" t="n">
        <v>214.4</v>
      </c>
      <c r="D11045" s="4" t="n">
        <v>64.85599999999999</v>
      </c>
      <c r="E11045" s="5" t="n">
        <v>1033.1</v>
      </c>
      <c r="F11045" s="3" t="inlineStr">
        <is>
          <t>조치원읍</t>
        </is>
      </c>
      <c r="G11045" s="3" t="inlineStr">
        <is>
          <t>침산리</t>
        </is>
      </c>
      <c r="H11045" s="3" t="inlineStr">
        <is>
          <t>단독다가구</t>
        </is>
      </c>
      <c r="I11045" s="3" t="inlineStr">
        <is>
          <t>다가구</t>
        </is>
      </c>
      <c r="J11045" s="3" t="inlineStr">
        <is>
          <t>조치원읍</t>
        </is>
      </c>
    </row>
    <row r="11046">
      <c r="A11046" s="3" t="n">
        <v>2024</v>
      </c>
      <c r="B11046" s="4" t="n">
        <v>15400</v>
      </c>
      <c r="C11046" s="4" t="n">
        <v>539</v>
      </c>
      <c r="D11046" s="4" t="n">
        <v>163.0475</v>
      </c>
      <c r="E11046" s="5" t="n">
        <v>94.5</v>
      </c>
      <c r="F11046" s="3" t="inlineStr">
        <is>
          <t>부강면</t>
        </is>
      </c>
      <c r="G11046" s="3" t="inlineStr">
        <is>
          <t>등곡리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부강면</t>
        </is>
      </c>
    </row>
    <row r="11047">
      <c r="A11047" s="3" t="n">
        <v>2024</v>
      </c>
      <c r="B11047" s="4" t="n">
        <v>4500</v>
      </c>
      <c r="C11047" s="4" t="n">
        <v>402</v>
      </c>
      <c r="D11047" s="4" t="n">
        <v>121.605</v>
      </c>
      <c r="E11047" s="5" t="n">
        <v>37</v>
      </c>
      <c r="F11047" s="3" t="inlineStr">
        <is>
          <t>전의면</t>
        </is>
      </c>
      <c r="G11047" s="3" t="inlineStr">
        <is>
          <t>달전리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전의면</t>
        </is>
      </c>
    </row>
    <row r="11048">
      <c r="A11048" s="3" t="n">
        <v>2024</v>
      </c>
      <c r="B11048" s="4" t="n">
        <v>18000</v>
      </c>
      <c r="C11048" s="4" t="n">
        <v>116</v>
      </c>
      <c r="D11048" s="4" t="n">
        <v>35.09</v>
      </c>
      <c r="E11048" s="5" t="n">
        <v>513</v>
      </c>
      <c r="F11048" s="3" t="inlineStr">
        <is>
          <t>조치원읍</t>
        </is>
      </c>
      <c r="G11048" s="3" t="inlineStr">
        <is>
          <t>남리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조치원읍</t>
        </is>
      </c>
    </row>
    <row r="11049">
      <c r="A11049" s="3" t="n">
        <v>2024</v>
      </c>
      <c r="B11049" s="4" t="n">
        <v>80770</v>
      </c>
      <c r="C11049" s="4" t="n">
        <v>511</v>
      </c>
      <c r="D11049" s="4" t="n">
        <v>154.5775</v>
      </c>
      <c r="E11049" s="5" t="n">
        <v>522.5</v>
      </c>
      <c r="F11049" s="3" t="inlineStr">
        <is>
          <t>조치원읍</t>
        </is>
      </c>
      <c r="G11049" s="3" t="inlineStr">
        <is>
          <t>신안리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조치원읍</t>
        </is>
      </c>
    </row>
    <row r="11050">
      <c r="A11050" s="3" t="n">
        <v>2024</v>
      </c>
      <c r="B11050" s="4" t="n">
        <v>15000</v>
      </c>
      <c r="C11050" s="4" t="n">
        <v>817</v>
      </c>
      <c r="D11050" s="4" t="n">
        <v>247.1425</v>
      </c>
      <c r="E11050" s="5" t="n">
        <v>60.7</v>
      </c>
      <c r="F11050" s="3" t="inlineStr">
        <is>
          <t>부강면</t>
        </is>
      </c>
      <c r="G11050" s="3" t="inlineStr">
        <is>
          <t>문곡리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부강면</t>
        </is>
      </c>
    </row>
    <row r="11051">
      <c r="A11051" s="3" t="n">
        <v>2024</v>
      </c>
      <c r="B11051" s="4" t="n">
        <v>122134</v>
      </c>
      <c r="C11051" s="4" t="n">
        <v>347</v>
      </c>
      <c r="D11051" s="4" t="n">
        <v>104.9675</v>
      </c>
      <c r="E11051" s="5" t="n">
        <v>1163.5</v>
      </c>
      <c r="F11051" s="3" t="inlineStr">
        <is>
          <t>고운동</t>
        </is>
      </c>
      <c r="G11051" s="3" t="inlineStr"/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고운동</t>
        </is>
      </c>
    </row>
    <row r="11052">
      <c r="A11052" s="3" t="n">
        <v>2024</v>
      </c>
      <c r="B11052" s="4" t="n">
        <v>12000</v>
      </c>
      <c r="C11052" s="4" t="n">
        <v>155</v>
      </c>
      <c r="D11052" s="4" t="n">
        <v>46.8875</v>
      </c>
      <c r="E11052" s="5" t="n">
        <v>255.9</v>
      </c>
      <c r="F11052" s="3" t="inlineStr">
        <is>
          <t>연서면</t>
        </is>
      </c>
      <c r="G11052" s="3" t="inlineStr">
        <is>
          <t>용암리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연서면</t>
        </is>
      </c>
    </row>
    <row r="11053">
      <c r="A11053" s="3" t="n">
        <v>2024</v>
      </c>
      <c r="B11053" s="4" t="n">
        <v>15000</v>
      </c>
      <c r="C11053" s="4" t="n">
        <v>265</v>
      </c>
      <c r="D11053" s="4" t="n">
        <v>80.16249999999999</v>
      </c>
      <c r="E11053" s="5" t="n">
        <v>187.1</v>
      </c>
      <c r="F11053" s="3" t="inlineStr">
        <is>
          <t>부강면</t>
        </is>
      </c>
      <c r="G11053" s="3" t="inlineStr">
        <is>
          <t>문곡리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부강면</t>
        </is>
      </c>
    </row>
    <row r="11054">
      <c r="A11054" s="3" t="n">
        <v>2024</v>
      </c>
      <c r="B11054" s="4" t="n">
        <v>19000</v>
      </c>
      <c r="C11054" s="4" t="n">
        <v>473</v>
      </c>
      <c r="D11054" s="4" t="n">
        <v>143.0825</v>
      </c>
      <c r="E11054" s="5" t="n">
        <v>132.8</v>
      </c>
      <c r="F11054" s="3" t="inlineStr">
        <is>
          <t>전동면</t>
        </is>
      </c>
      <c r="G11054" s="3" t="inlineStr">
        <is>
          <t>봉대리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전동면</t>
        </is>
      </c>
    </row>
    <row r="11055">
      <c r="A11055" s="3" t="n">
        <v>2024</v>
      </c>
      <c r="B11055" s="4" t="n">
        <v>22500</v>
      </c>
      <c r="C11055" s="4" t="n">
        <v>162</v>
      </c>
      <c r="D11055" s="4" t="n">
        <v>49.005</v>
      </c>
      <c r="E11055" s="5" t="n">
        <v>459.1</v>
      </c>
      <c r="F11055" s="3" t="inlineStr">
        <is>
          <t>조치원읍</t>
        </is>
      </c>
      <c r="G11055" s="3" t="inlineStr">
        <is>
          <t>남리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조치원읍</t>
        </is>
      </c>
    </row>
    <row r="11056">
      <c r="A11056" s="3" t="n">
        <v>2023</v>
      </c>
      <c r="B11056" s="4" t="n">
        <v>24000</v>
      </c>
      <c r="C11056" s="4" t="n">
        <v>301</v>
      </c>
      <c r="D11056" s="4" t="n">
        <v>91.05249999999999</v>
      </c>
      <c r="E11056" s="5" t="n">
        <v>263.6</v>
      </c>
      <c r="F11056" s="3" t="inlineStr">
        <is>
          <t>연동면</t>
        </is>
      </c>
      <c r="G11056" s="3" t="inlineStr">
        <is>
          <t>예양리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연동면</t>
        </is>
      </c>
    </row>
    <row r="11057">
      <c r="A11057" s="3" t="n">
        <v>2022</v>
      </c>
      <c r="B11057" s="4" t="n">
        <v>27000</v>
      </c>
      <c r="C11057" s="4" t="n">
        <v>172</v>
      </c>
      <c r="D11057" s="4" t="n">
        <v>52.03</v>
      </c>
      <c r="E11057" s="5" t="n">
        <v>518.9</v>
      </c>
      <c r="F11057" s="3" t="inlineStr">
        <is>
          <t>조치원읍</t>
        </is>
      </c>
      <c r="G11057" s="3" t="inlineStr">
        <is>
          <t>서창리</t>
        </is>
      </c>
      <c r="H11057" s="3" t="inlineStr">
        <is>
          <t>단독다가구</t>
        </is>
      </c>
      <c r="I11057" s="3" t="inlineStr">
        <is>
          <t>다가구</t>
        </is>
      </c>
      <c r="J11057" s="3" t="inlineStr">
        <is>
          <t>조치원읍</t>
        </is>
      </c>
    </row>
    <row r="11058">
      <c r="A11058" s="3" t="n">
        <v>2022</v>
      </c>
      <c r="B11058" s="4" t="n">
        <v>11500</v>
      </c>
      <c r="C11058" s="4" t="n">
        <v>91</v>
      </c>
      <c r="D11058" s="4" t="n">
        <v>27.5275</v>
      </c>
      <c r="E11058" s="5" t="n">
        <v>417.8</v>
      </c>
      <c r="F11058" s="3" t="inlineStr">
        <is>
          <t>조치원읍</t>
        </is>
      </c>
      <c r="G11058" s="3" t="inlineStr">
        <is>
          <t>명리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2022</v>
      </c>
      <c r="B11059" s="4" t="n">
        <v>35000</v>
      </c>
      <c r="C11059" s="4" t="n">
        <v>742</v>
      </c>
      <c r="D11059" s="4" t="n">
        <v>224.455</v>
      </c>
      <c r="E11059" s="5" t="n">
        <v>155.9</v>
      </c>
      <c r="F11059" s="3" t="inlineStr">
        <is>
          <t>연서면</t>
        </is>
      </c>
      <c r="G11059" s="3" t="inlineStr">
        <is>
          <t>쌍류리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연서면</t>
        </is>
      </c>
    </row>
    <row r="11060">
      <c r="A11060" s="3" t="n">
        <v>2023</v>
      </c>
      <c r="B11060" s="4" t="n">
        <v>16550</v>
      </c>
      <c r="C11060" s="4" t="n">
        <v>228</v>
      </c>
      <c r="D11060" s="4" t="n">
        <v>68.97</v>
      </c>
      <c r="E11060" s="5" t="n">
        <v>240</v>
      </c>
      <c r="F11060" s="3" t="inlineStr">
        <is>
          <t>연동면</t>
        </is>
      </c>
      <c r="G11060" s="3" t="inlineStr">
        <is>
          <t>송용리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연동면</t>
        </is>
      </c>
    </row>
    <row r="11061">
      <c r="A11061" s="3" t="n">
        <v>2023</v>
      </c>
      <c r="B11061" s="4" t="n">
        <v>22000</v>
      </c>
      <c r="C11061" s="4" t="n">
        <v>215</v>
      </c>
      <c r="D11061" s="4" t="n">
        <v>65.03749999999999</v>
      </c>
      <c r="E11061" s="5" t="n">
        <v>338.3</v>
      </c>
      <c r="F11061" s="3" t="inlineStr">
        <is>
          <t>조치원읍</t>
        </is>
      </c>
      <c r="G11061" s="3" t="inlineStr">
        <is>
          <t>평리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2023</v>
      </c>
      <c r="B11062" s="4" t="n">
        <v>110000</v>
      </c>
      <c r="C11062" s="4" t="n">
        <v>281</v>
      </c>
      <c r="D11062" s="4" t="n">
        <v>85.0025</v>
      </c>
      <c r="E11062" s="5" t="n">
        <v>1294.1</v>
      </c>
      <c r="F11062" s="3" t="inlineStr">
        <is>
          <t>부강면</t>
        </is>
      </c>
      <c r="G11062" s="3" t="inlineStr">
        <is>
          <t>부강리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부강면</t>
        </is>
      </c>
    </row>
    <row r="11063">
      <c r="A11063" s="3" t="n">
        <v>2023</v>
      </c>
      <c r="B11063" s="4" t="n">
        <v>114570</v>
      </c>
      <c r="C11063" s="4" t="n">
        <v>331.6</v>
      </c>
      <c r="D11063" s="4" t="n">
        <v>100.309</v>
      </c>
      <c r="E11063" s="5" t="n">
        <v>1142.2</v>
      </c>
      <c r="F11063" s="3" t="inlineStr">
        <is>
          <t>고운동</t>
        </is>
      </c>
      <c r="G11063" s="3" t="inlineStr"/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고운동</t>
        </is>
      </c>
    </row>
    <row r="11064">
      <c r="A11064" s="3" t="n">
        <v>2022</v>
      </c>
      <c r="B11064" s="4" t="n">
        <v>16000</v>
      </c>
      <c r="C11064" s="4" t="n">
        <v>210</v>
      </c>
      <c r="D11064" s="4" t="n">
        <v>63.525</v>
      </c>
      <c r="E11064" s="5" t="n">
        <v>251.9</v>
      </c>
      <c r="F11064" s="3" t="inlineStr">
        <is>
          <t>남이면</t>
        </is>
      </c>
      <c r="G11064" s="3" t="inlineStr">
        <is>
          <t>척산리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남이면</t>
        </is>
      </c>
    </row>
    <row r="11065">
      <c r="A11065" s="3" t="n">
        <v>2022</v>
      </c>
      <c r="B11065" s="4" t="n">
        <v>12700</v>
      </c>
      <c r="C11065" s="4" t="n">
        <v>407</v>
      </c>
      <c r="D11065" s="4" t="n">
        <v>123.1175</v>
      </c>
      <c r="E11065" s="5" t="n">
        <v>103.2</v>
      </c>
      <c r="F11065" s="3" t="inlineStr">
        <is>
          <t>남이면</t>
        </is>
      </c>
      <c r="G11065" s="3" t="inlineStr">
        <is>
          <t>부용외천리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남이면</t>
        </is>
      </c>
    </row>
    <row r="11066">
      <c r="A11066" s="3" t="n">
        <v>2022</v>
      </c>
      <c r="B11066" s="4" t="n">
        <v>41580</v>
      </c>
      <c r="C11066" s="4" t="n">
        <v>449</v>
      </c>
      <c r="D11066" s="4" t="n">
        <v>135.8225</v>
      </c>
      <c r="E11066" s="5" t="n">
        <v>306.1</v>
      </c>
      <c r="F11066" s="3" t="inlineStr">
        <is>
          <t>남이면</t>
        </is>
      </c>
      <c r="G11066" s="3" t="inlineStr">
        <is>
          <t>수대리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남이면</t>
        </is>
      </c>
    </row>
    <row r="11067">
      <c r="A11067" s="3" t="n">
        <v>2024</v>
      </c>
      <c r="B11067" s="4" t="n">
        <v>35000</v>
      </c>
      <c r="C11067" s="4" t="n">
        <v>742</v>
      </c>
      <c r="D11067" s="4" t="n">
        <v>224.455</v>
      </c>
      <c r="E11067" s="5" t="n">
        <v>155.9</v>
      </c>
      <c r="F11067" s="3" t="inlineStr">
        <is>
          <t>남이면</t>
        </is>
      </c>
      <c r="G11067" s="3" t="inlineStr">
        <is>
          <t>석판리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남이면</t>
        </is>
      </c>
    </row>
    <row r="11068">
      <c r="A11068" s="3" t="n">
        <v>2024</v>
      </c>
      <c r="B11068" s="4" t="n">
        <v>19664</v>
      </c>
      <c r="C11068" s="4" t="n">
        <v>500</v>
      </c>
      <c r="D11068" s="4" t="n">
        <v>151.25</v>
      </c>
      <c r="E11068" s="5" t="n">
        <v>130</v>
      </c>
      <c r="F11068" s="3" t="inlineStr">
        <is>
          <t>남이면</t>
        </is>
      </c>
      <c r="G11068" s="3" t="inlineStr">
        <is>
          <t>척산리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2024</v>
      </c>
      <c r="B11069" s="4" t="n">
        <v>13600</v>
      </c>
      <c r="C11069" s="4" t="n">
        <v>433</v>
      </c>
      <c r="D11069" s="4" t="n">
        <v>130.9825</v>
      </c>
      <c r="E11069" s="5" t="n">
        <v>103.8</v>
      </c>
      <c r="F11069" s="3" t="inlineStr">
        <is>
          <t>남이면</t>
        </is>
      </c>
      <c r="G11069" s="3" t="inlineStr">
        <is>
          <t>대련리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2024</v>
      </c>
      <c r="B11070" s="4" t="n">
        <v>8500</v>
      </c>
      <c r="C11070" s="4" t="n">
        <v>541</v>
      </c>
      <c r="D11070" s="4" t="n">
        <v>163.6525</v>
      </c>
      <c r="E11070" s="5" t="n">
        <v>51.9</v>
      </c>
      <c r="F11070" s="3" t="inlineStr">
        <is>
          <t>현도면</t>
        </is>
      </c>
      <c r="G11070" s="3" t="inlineStr">
        <is>
          <t>죽전리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현도면</t>
        </is>
      </c>
    </row>
    <row r="11071">
      <c r="A11071" s="3" t="n">
        <v>2024</v>
      </c>
      <c r="B11071" s="4" t="n">
        <v>28500</v>
      </c>
      <c r="C11071" s="4" t="n">
        <v>343</v>
      </c>
      <c r="D11071" s="4" t="n">
        <v>103.7575</v>
      </c>
      <c r="E11071" s="5" t="n">
        <v>274.7</v>
      </c>
      <c r="F11071" s="3" t="inlineStr">
        <is>
          <t>남이면</t>
        </is>
      </c>
      <c r="G11071" s="3" t="inlineStr">
        <is>
          <t>석판리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남이면</t>
        </is>
      </c>
    </row>
    <row r="11072">
      <c r="A11072" s="3" t="n">
        <v>2024</v>
      </c>
      <c r="B11072" s="4" t="n">
        <v>18090</v>
      </c>
      <c r="C11072" s="4" t="n">
        <v>443</v>
      </c>
      <c r="D11072" s="4" t="n">
        <v>134.0075</v>
      </c>
      <c r="E11072" s="5" t="n">
        <v>135</v>
      </c>
      <c r="F11072" s="3" t="inlineStr">
        <is>
          <t>남이면</t>
        </is>
      </c>
      <c r="G11072" s="3" t="inlineStr">
        <is>
          <t>부용외천리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2024</v>
      </c>
      <c r="B11073" s="4" t="n">
        <v>78200</v>
      </c>
      <c r="C11073" s="4" t="n">
        <v>595</v>
      </c>
      <c r="D11073" s="4" t="n">
        <v>179.9875</v>
      </c>
      <c r="E11073" s="5" t="n">
        <v>434.5</v>
      </c>
      <c r="F11073" s="3" t="inlineStr">
        <is>
          <t>남이면</t>
        </is>
      </c>
      <c r="G11073" s="3" t="inlineStr">
        <is>
          <t>석판리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남이면</t>
        </is>
      </c>
    </row>
    <row r="11074">
      <c r="A11074" s="3" t="n">
        <v>2022</v>
      </c>
      <c r="B11074" s="4" t="n">
        <v>4200</v>
      </c>
      <c r="C11074" s="4" t="n">
        <v>172</v>
      </c>
      <c r="D11074" s="4" t="n">
        <v>52.03</v>
      </c>
      <c r="E11074" s="5" t="n">
        <v>80.7</v>
      </c>
      <c r="F11074" s="3" t="inlineStr">
        <is>
          <t>현도면</t>
        </is>
      </c>
      <c r="G11074" s="3" t="inlineStr">
        <is>
          <t>시동리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현도면</t>
        </is>
      </c>
    </row>
    <row r="11075">
      <c r="A11075" s="3" t="n">
        <v>2022</v>
      </c>
      <c r="B11075" s="4" t="n">
        <v>16600</v>
      </c>
      <c r="C11075" s="4" t="n">
        <v>582</v>
      </c>
      <c r="D11075" s="4" t="n">
        <v>176.055</v>
      </c>
      <c r="E11075" s="5" t="n">
        <v>94.3</v>
      </c>
      <c r="F11075" s="3" t="inlineStr">
        <is>
          <t>남이면</t>
        </is>
      </c>
      <c r="G11075" s="3" t="inlineStr">
        <is>
          <t>부용외천리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남이면</t>
        </is>
      </c>
    </row>
    <row r="11076">
      <c r="A11076" s="3" t="n">
        <v>2023</v>
      </c>
      <c r="B11076" s="4" t="n">
        <v>8500</v>
      </c>
      <c r="C11076" s="4" t="n">
        <v>567</v>
      </c>
      <c r="D11076" s="4" t="n">
        <v>171.5175</v>
      </c>
      <c r="E11076" s="5" t="n">
        <v>49.6</v>
      </c>
      <c r="F11076" s="3" t="inlineStr">
        <is>
          <t>남이면</t>
        </is>
      </c>
      <c r="G11076" s="3" t="inlineStr">
        <is>
          <t>문동리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남이면</t>
        </is>
      </c>
    </row>
    <row r="11077">
      <c r="A11077" s="3" t="n">
        <v>2023</v>
      </c>
      <c r="B11077" s="4" t="n">
        <v>55000</v>
      </c>
      <c r="C11077" s="4" t="n">
        <v>658</v>
      </c>
      <c r="D11077" s="4" t="n">
        <v>199.045</v>
      </c>
      <c r="E11077" s="5" t="n">
        <v>276.3</v>
      </c>
      <c r="F11077" s="3" t="inlineStr">
        <is>
          <t>남이면</t>
        </is>
      </c>
      <c r="G11077" s="3" t="inlineStr">
        <is>
          <t>양촌리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남이면</t>
        </is>
      </c>
    </row>
    <row r="11078">
      <c r="A11078" s="3" t="n">
        <v>2023</v>
      </c>
      <c r="B11078" s="4" t="n">
        <v>20300</v>
      </c>
      <c r="C11078" s="4" t="n">
        <v>281</v>
      </c>
      <c r="D11078" s="4" t="n">
        <v>85.0025</v>
      </c>
      <c r="E11078" s="5" t="n">
        <v>238.8</v>
      </c>
      <c r="F11078" s="3" t="inlineStr">
        <is>
          <t>현도면</t>
        </is>
      </c>
      <c r="G11078" s="3" t="inlineStr">
        <is>
          <t>노산리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현도면</t>
        </is>
      </c>
    </row>
    <row r="11079">
      <c r="A11079" s="3" t="n">
        <v>2023</v>
      </c>
      <c r="B11079" s="4" t="n">
        <v>20300</v>
      </c>
      <c r="C11079" s="4" t="n">
        <v>281</v>
      </c>
      <c r="D11079" s="4" t="n">
        <v>85.0025</v>
      </c>
      <c r="E11079" s="5" t="n">
        <v>238.8</v>
      </c>
      <c r="F11079" s="3" t="inlineStr">
        <is>
          <t>현도면</t>
        </is>
      </c>
      <c r="G11079" s="3" t="inlineStr">
        <is>
          <t>노산리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현도면</t>
        </is>
      </c>
    </row>
    <row r="11080">
      <c r="A11080" s="3" t="n">
        <v>2023</v>
      </c>
      <c r="B11080" s="4" t="n">
        <v>43000</v>
      </c>
      <c r="C11080" s="4" t="n">
        <v>660</v>
      </c>
      <c r="D11080" s="4" t="n">
        <v>199.65</v>
      </c>
      <c r="E11080" s="5" t="n">
        <v>215.4</v>
      </c>
      <c r="F11080" s="3" t="inlineStr">
        <is>
          <t>남이면</t>
        </is>
      </c>
      <c r="G11080" s="3" t="inlineStr">
        <is>
          <t>양촌리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남이면</t>
        </is>
      </c>
    </row>
    <row r="11081">
      <c r="A11081" s="3" t="n">
        <v>2023</v>
      </c>
      <c r="B11081" s="4" t="n">
        <v>20500</v>
      </c>
      <c r="C11081" s="4" t="n">
        <v>281</v>
      </c>
      <c r="D11081" s="4" t="n">
        <v>85.0025</v>
      </c>
      <c r="E11081" s="5" t="n">
        <v>241.2</v>
      </c>
      <c r="F11081" s="3" t="inlineStr">
        <is>
          <t>현도면</t>
        </is>
      </c>
      <c r="G11081" s="3" t="inlineStr">
        <is>
          <t>노산리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현도면</t>
        </is>
      </c>
    </row>
    <row r="11082">
      <c r="A11082" s="3" t="n">
        <v>2023</v>
      </c>
      <c r="B11082" s="4" t="n">
        <v>19000</v>
      </c>
      <c r="C11082" s="4" t="n">
        <v>605</v>
      </c>
      <c r="D11082" s="4" t="n">
        <v>183.0125</v>
      </c>
      <c r="E11082" s="5" t="n">
        <v>103.8</v>
      </c>
      <c r="F11082" s="3" t="inlineStr">
        <is>
          <t>현도면</t>
        </is>
      </c>
      <c r="G11082" s="3" t="inlineStr">
        <is>
          <t>상삼리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현도면</t>
        </is>
      </c>
    </row>
    <row r="11083">
      <c r="A11083" s="3" t="n">
        <v>2023</v>
      </c>
      <c r="B11083" s="4" t="n">
        <v>7700</v>
      </c>
      <c r="C11083" s="4" t="n">
        <v>314</v>
      </c>
      <c r="D11083" s="4" t="n">
        <v>94.985</v>
      </c>
      <c r="E11083" s="5" t="n">
        <v>81.09999999999999</v>
      </c>
      <c r="F11083" s="3" t="inlineStr">
        <is>
          <t>남이면</t>
        </is>
      </c>
      <c r="G11083" s="3" t="inlineStr">
        <is>
          <t>팔봉리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남이면</t>
        </is>
      </c>
    </row>
    <row r="11084">
      <c r="A11084" s="3" t="n">
        <v>2025</v>
      </c>
      <c r="B11084" s="4" t="n">
        <v>5100</v>
      </c>
      <c r="C11084" s="4" t="n">
        <v>221</v>
      </c>
      <c r="D11084" s="4" t="n">
        <v>66.85249999999999</v>
      </c>
      <c r="E11084" s="5" t="n">
        <v>76.3</v>
      </c>
      <c r="F11084" s="3" t="inlineStr">
        <is>
          <t>현도면</t>
        </is>
      </c>
      <c r="G11084" s="3" t="inlineStr">
        <is>
          <t>죽암리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현도면</t>
        </is>
      </c>
    </row>
    <row r="11085">
      <c r="A11085" s="3" t="n">
        <v>2025</v>
      </c>
      <c r="B11085" s="4" t="n">
        <v>33000</v>
      </c>
      <c r="C11085" s="4" t="n">
        <v>532.5599999999999</v>
      </c>
      <c r="D11085" s="4" t="n">
        <v>161.0994</v>
      </c>
      <c r="E11085" s="5" t="n">
        <v>204.8</v>
      </c>
      <c r="F11085" s="3" t="inlineStr">
        <is>
          <t>남이면</t>
        </is>
      </c>
      <c r="G11085" s="3" t="inlineStr">
        <is>
          <t>가좌리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남이면</t>
        </is>
      </c>
    </row>
    <row r="11086">
      <c r="A11086" s="3" t="n">
        <v>2025</v>
      </c>
      <c r="B11086" s="4" t="n">
        <v>25340</v>
      </c>
      <c r="C11086" s="4" t="n">
        <v>515</v>
      </c>
      <c r="D11086" s="4" t="n">
        <v>155.7875</v>
      </c>
      <c r="E11086" s="5" t="n">
        <v>162.7</v>
      </c>
      <c r="F11086" s="3" t="inlineStr">
        <is>
          <t>남이면</t>
        </is>
      </c>
      <c r="G11086" s="3" t="inlineStr">
        <is>
          <t>수대리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2025</v>
      </c>
      <c r="B11087" s="4" t="n">
        <v>26000</v>
      </c>
      <c r="C11087" s="4" t="n">
        <v>515</v>
      </c>
      <c r="D11087" s="4" t="n">
        <v>155.7875</v>
      </c>
      <c r="E11087" s="5" t="n">
        <v>166.9</v>
      </c>
      <c r="F11087" s="3" t="inlineStr">
        <is>
          <t>남이면</t>
        </is>
      </c>
      <c r="G11087" s="3" t="inlineStr">
        <is>
          <t>수대리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2025</v>
      </c>
      <c r="B11088" s="4" t="n">
        <v>33000</v>
      </c>
      <c r="C11088" s="4" t="n">
        <v>397</v>
      </c>
      <c r="D11088" s="4" t="n">
        <v>120.0925</v>
      </c>
      <c r="E11088" s="5" t="n">
        <v>274.8</v>
      </c>
      <c r="F11088" s="3" t="inlineStr">
        <is>
          <t>남이면</t>
        </is>
      </c>
      <c r="G11088" s="3" t="inlineStr">
        <is>
          <t>가좌리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2026</v>
      </c>
      <c r="B11089" s="4" t="n">
        <v>23786</v>
      </c>
      <c r="C11089" s="4" t="n">
        <v>1405</v>
      </c>
      <c r="D11089" s="4" t="n">
        <v>425.0125</v>
      </c>
      <c r="E11089" s="5" t="n">
        <v>56</v>
      </c>
      <c r="F11089" s="3" t="inlineStr">
        <is>
          <t>현도면</t>
        </is>
      </c>
      <c r="G11089" s="3" t="inlineStr">
        <is>
          <t>죽전리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현도면</t>
        </is>
      </c>
    </row>
    <row r="11090">
      <c r="A11090" s="3" t="n">
        <v>2022</v>
      </c>
      <c r="B11090" s="4" t="n">
        <v>47600</v>
      </c>
      <c r="C11090" s="4" t="n">
        <v>396</v>
      </c>
      <c r="D11090" s="4" t="n">
        <v>119.79</v>
      </c>
      <c r="E11090" s="5" t="n">
        <v>397.4</v>
      </c>
      <c r="F11090" s="3" t="inlineStr">
        <is>
          <t>오송읍</t>
        </is>
      </c>
      <c r="G11090" s="3" t="inlineStr">
        <is>
          <t>궁평리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오송읍</t>
        </is>
      </c>
    </row>
    <row r="11091">
      <c r="A11091" s="3" t="n">
        <v>2025</v>
      </c>
      <c r="B11091" s="4" t="n">
        <v>145000</v>
      </c>
      <c r="C11091" s="4" t="n">
        <v>270.1</v>
      </c>
      <c r="D11091" s="4" t="n">
        <v>81.70525000000001</v>
      </c>
      <c r="E11091" s="5" t="n">
        <v>1774.7</v>
      </c>
      <c r="F11091" s="3" t="inlineStr">
        <is>
          <t>오송읍</t>
        </is>
      </c>
      <c r="G11091" s="3" t="inlineStr">
        <is>
          <t>봉산리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오송읍</t>
        </is>
      </c>
    </row>
    <row r="11092">
      <c r="A11092" s="3" t="n">
        <v>2025</v>
      </c>
      <c r="B11092" s="4" t="n">
        <v>125000</v>
      </c>
      <c r="C11092" s="4" t="n">
        <v>241</v>
      </c>
      <c r="D11092" s="4" t="n">
        <v>72.9025</v>
      </c>
      <c r="E11092" s="5" t="n">
        <v>1714.6</v>
      </c>
      <c r="F11092" s="3" t="inlineStr">
        <is>
          <t>오송읍</t>
        </is>
      </c>
      <c r="G11092" s="3" t="inlineStr">
        <is>
          <t>봉산리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오송읍</t>
        </is>
      </c>
    </row>
    <row r="11093">
      <c r="A11093" s="3" t="n">
        <v>2025</v>
      </c>
      <c r="B11093" s="4" t="n">
        <v>53908</v>
      </c>
      <c r="C11093" s="4" t="n">
        <v>496</v>
      </c>
      <c r="D11093" s="4" t="n">
        <v>150.04</v>
      </c>
      <c r="E11093" s="5" t="n">
        <v>359.3</v>
      </c>
      <c r="F11093" s="3" t="inlineStr">
        <is>
          <t>강내면</t>
        </is>
      </c>
      <c r="G11093" s="3" t="inlineStr">
        <is>
          <t>저산리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강내면</t>
        </is>
      </c>
    </row>
    <row r="11094">
      <c r="A11094" s="3" t="n">
        <v>2025</v>
      </c>
      <c r="B11094" s="4" t="n">
        <v>54040</v>
      </c>
      <c r="C11094" s="4" t="n">
        <v>496</v>
      </c>
      <c r="D11094" s="4" t="n">
        <v>150.04</v>
      </c>
      <c r="E11094" s="5" t="n">
        <v>360.2</v>
      </c>
      <c r="F11094" s="3" t="inlineStr">
        <is>
          <t>강내면</t>
        </is>
      </c>
      <c r="G11094" s="3" t="inlineStr">
        <is>
          <t>저산리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강내면</t>
        </is>
      </c>
    </row>
    <row r="11095">
      <c r="A11095" s="3" t="n">
        <v>2025</v>
      </c>
      <c r="B11095" s="4" t="n">
        <v>21500</v>
      </c>
      <c r="C11095" s="4" t="n">
        <v>342</v>
      </c>
      <c r="D11095" s="4" t="n">
        <v>103.455</v>
      </c>
      <c r="E11095" s="5" t="n">
        <v>207.8</v>
      </c>
      <c r="F11095" s="3" t="inlineStr">
        <is>
          <t>오송읍</t>
        </is>
      </c>
      <c r="G11095" s="3" t="inlineStr">
        <is>
          <t>서평리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오송읍</t>
        </is>
      </c>
    </row>
    <row r="11096">
      <c r="A11096" s="3" t="n">
        <v>2025</v>
      </c>
      <c r="B11096" s="4" t="n">
        <v>68500</v>
      </c>
      <c r="C11096" s="4" t="n">
        <v>248.1</v>
      </c>
      <c r="D11096" s="4" t="n">
        <v>75.05024999999999</v>
      </c>
      <c r="E11096" s="5" t="n">
        <v>912.7</v>
      </c>
      <c r="F11096" s="3" t="inlineStr">
        <is>
          <t>오송읍</t>
        </is>
      </c>
      <c r="G11096" s="3" t="inlineStr">
        <is>
          <t>만수리</t>
        </is>
      </c>
      <c r="H11096" s="3" t="inlineStr">
        <is>
          <t>단독다가구</t>
        </is>
      </c>
      <c r="I11096" s="3" t="inlineStr">
        <is>
          <t>다가구</t>
        </is>
      </c>
      <c r="J11096" s="3" t="inlineStr">
        <is>
          <t>오송읍</t>
        </is>
      </c>
    </row>
    <row r="11097">
      <c r="A11097" s="3" t="n">
        <v>2025</v>
      </c>
      <c r="B11097" s="4" t="n">
        <v>59500</v>
      </c>
      <c r="C11097" s="4" t="n">
        <v>258.8</v>
      </c>
      <c r="D11097" s="4" t="n">
        <v>78.28700000000001</v>
      </c>
      <c r="E11097" s="5" t="n">
        <v>760</v>
      </c>
      <c r="F11097" s="3" t="inlineStr">
        <is>
          <t>오송읍</t>
        </is>
      </c>
      <c r="G11097" s="3" t="inlineStr">
        <is>
          <t>만수리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오송읍</t>
        </is>
      </c>
    </row>
    <row r="11098">
      <c r="A11098" s="3" t="n">
        <v>2025</v>
      </c>
      <c r="B11098" s="4" t="n">
        <v>42000</v>
      </c>
      <c r="C11098" s="4" t="n">
        <v>624</v>
      </c>
      <c r="D11098" s="4" t="n">
        <v>188.76</v>
      </c>
      <c r="E11098" s="5" t="n">
        <v>222.5</v>
      </c>
      <c r="F11098" s="3" t="inlineStr">
        <is>
          <t>강내면</t>
        </is>
      </c>
      <c r="G11098" s="3" t="inlineStr">
        <is>
          <t>다락리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강내면</t>
        </is>
      </c>
    </row>
    <row r="11099">
      <c r="A11099" s="3" t="n">
        <v>2025</v>
      </c>
      <c r="B11099" s="4" t="n">
        <v>62000</v>
      </c>
      <c r="C11099" s="4" t="n">
        <v>330</v>
      </c>
      <c r="D11099" s="4" t="n">
        <v>99.825</v>
      </c>
      <c r="E11099" s="5" t="n">
        <v>621.1</v>
      </c>
      <c r="F11099" s="3" t="inlineStr">
        <is>
          <t>오송읍</t>
        </is>
      </c>
      <c r="G11099" s="3" t="inlineStr">
        <is>
          <t>궁평리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오송읍</t>
        </is>
      </c>
    </row>
    <row r="11100">
      <c r="A11100" s="3" t="n">
        <v>2025</v>
      </c>
      <c r="B11100" s="4" t="n">
        <v>35770</v>
      </c>
      <c r="C11100" s="4" t="n">
        <v>216</v>
      </c>
      <c r="D11100" s="4" t="n">
        <v>65.34</v>
      </c>
      <c r="E11100" s="5" t="n">
        <v>547.4</v>
      </c>
      <c r="F11100" s="3" t="inlineStr">
        <is>
          <t>오송읍</t>
        </is>
      </c>
      <c r="G11100" s="3" t="inlineStr">
        <is>
          <t>궁평리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오송읍</t>
        </is>
      </c>
    </row>
    <row r="11101">
      <c r="A11101" s="3" t="n">
        <v>2025</v>
      </c>
      <c r="B11101" s="4" t="n">
        <v>41337</v>
      </c>
      <c r="C11101" s="4" t="n">
        <v>640</v>
      </c>
      <c r="D11101" s="4" t="n">
        <v>193.6</v>
      </c>
      <c r="E11101" s="5" t="n">
        <v>213.5</v>
      </c>
      <c r="F11101" s="3" t="inlineStr">
        <is>
          <t>강내면</t>
        </is>
      </c>
      <c r="G11101" s="3" t="inlineStr">
        <is>
          <t>다락리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강내면</t>
        </is>
      </c>
    </row>
    <row r="11102">
      <c r="A11102" s="3" t="n">
        <v>2025</v>
      </c>
      <c r="B11102" s="4" t="n">
        <v>25000</v>
      </c>
      <c r="C11102" s="4" t="n">
        <v>353</v>
      </c>
      <c r="D11102" s="4" t="n">
        <v>106.7825</v>
      </c>
      <c r="E11102" s="5" t="n">
        <v>234.1</v>
      </c>
      <c r="F11102" s="3" t="inlineStr">
        <is>
          <t>오송읍</t>
        </is>
      </c>
      <c r="G11102" s="3" t="inlineStr">
        <is>
          <t>정중리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오송읍</t>
        </is>
      </c>
    </row>
    <row r="11103">
      <c r="A11103" s="3" t="n">
        <v>2025</v>
      </c>
      <c r="B11103" s="4" t="n">
        <v>34500</v>
      </c>
      <c r="C11103" s="4" t="n">
        <v>258</v>
      </c>
      <c r="D11103" s="4" t="n">
        <v>78.045</v>
      </c>
      <c r="E11103" s="5" t="n">
        <v>442.1</v>
      </c>
      <c r="F11103" s="3" t="inlineStr">
        <is>
          <t>오송읍</t>
        </is>
      </c>
      <c r="G11103" s="3" t="inlineStr">
        <is>
          <t>오송리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오송읍</t>
        </is>
      </c>
    </row>
    <row r="11104">
      <c r="A11104" s="3" t="n">
        <v>2022</v>
      </c>
      <c r="B11104" s="4" t="n">
        <v>58000</v>
      </c>
      <c r="C11104" s="4" t="n">
        <v>593.1</v>
      </c>
      <c r="D11104" s="4" t="n">
        <v>179.41275</v>
      </c>
      <c r="E11104" s="5" t="n">
        <v>323.3</v>
      </c>
      <c r="F11104" s="3" t="inlineStr">
        <is>
          <t>강내면</t>
        </is>
      </c>
      <c r="G11104" s="3" t="inlineStr">
        <is>
          <t>사곡리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강내면</t>
        </is>
      </c>
    </row>
    <row r="11105">
      <c r="A11105" s="3" t="n">
        <v>2022</v>
      </c>
      <c r="B11105" s="4" t="n">
        <v>30000</v>
      </c>
      <c r="C11105" s="4" t="n">
        <v>340</v>
      </c>
      <c r="D11105" s="4" t="n">
        <v>102.85</v>
      </c>
      <c r="E11105" s="5" t="n">
        <v>291.7</v>
      </c>
      <c r="F11105" s="3" t="inlineStr">
        <is>
          <t>오송읍</t>
        </is>
      </c>
      <c r="G11105" s="3" t="inlineStr">
        <is>
          <t>쌍청리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오송읍</t>
        </is>
      </c>
    </row>
    <row r="11106">
      <c r="A11106" s="3" t="n">
        <v>2022</v>
      </c>
      <c r="B11106" s="4" t="n">
        <v>60000</v>
      </c>
      <c r="C11106" s="4" t="n">
        <v>330</v>
      </c>
      <c r="D11106" s="4" t="n">
        <v>99.825</v>
      </c>
      <c r="E11106" s="5" t="n">
        <v>601.1</v>
      </c>
      <c r="F11106" s="3" t="inlineStr">
        <is>
          <t>오송읍</t>
        </is>
      </c>
      <c r="G11106" s="3" t="inlineStr">
        <is>
          <t>궁평리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오송읍</t>
        </is>
      </c>
    </row>
    <row r="11107">
      <c r="A11107" s="3" t="n">
        <v>2022</v>
      </c>
      <c r="B11107" s="4" t="n">
        <v>71500</v>
      </c>
      <c r="C11107" s="4" t="n">
        <v>265</v>
      </c>
      <c r="D11107" s="4" t="n">
        <v>80.16249999999999</v>
      </c>
      <c r="E11107" s="5" t="n">
        <v>891.9</v>
      </c>
      <c r="F11107" s="3" t="inlineStr">
        <is>
          <t>오송읍</t>
        </is>
      </c>
      <c r="G11107" s="3" t="inlineStr">
        <is>
          <t>연제리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오송읍</t>
        </is>
      </c>
    </row>
    <row r="11108">
      <c r="A11108" s="3" t="n">
        <v>2022</v>
      </c>
      <c r="B11108" s="4" t="n">
        <v>73000</v>
      </c>
      <c r="C11108" s="4" t="n">
        <v>291.1</v>
      </c>
      <c r="D11108" s="4" t="n">
        <v>88.05775</v>
      </c>
      <c r="E11108" s="5" t="n">
        <v>829</v>
      </c>
      <c r="F11108" s="3" t="inlineStr">
        <is>
          <t>오송읍</t>
        </is>
      </c>
      <c r="G11108" s="3" t="inlineStr">
        <is>
          <t>만수리</t>
        </is>
      </c>
      <c r="H11108" s="3" t="inlineStr">
        <is>
          <t>단독다가구</t>
        </is>
      </c>
      <c r="I11108" s="3" t="inlineStr">
        <is>
          <t>다가구</t>
        </is>
      </c>
      <c r="J11108" s="3" t="inlineStr">
        <is>
          <t>오송읍</t>
        </is>
      </c>
    </row>
    <row r="11109">
      <c r="A11109" s="3" t="n">
        <v>2022</v>
      </c>
      <c r="B11109" s="4" t="n">
        <v>31900</v>
      </c>
      <c r="C11109" s="4" t="n">
        <v>1055</v>
      </c>
      <c r="D11109" s="4" t="n">
        <v>319.1375</v>
      </c>
      <c r="E11109" s="5" t="n">
        <v>100</v>
      </c>
      <c r="F11109" s="3" t="inlineStr">
        <is>
          <t>강내면</t>
        </is>
      </c>
      <c r="G11109" s="3" t="inlineStr">
        <is>
          <t>산단리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강내면</t>
        </is>
      </c>
    </row>
    <row r="11110">
      <c r="A11110" s="3" t="n">
        <v>2022</v>
      </c>
      <c r="B11110" s="4" t="n">
        <v>169500</v>
      </c>
      <c r="C11110" s="4" t="n">
        <v>275.4</v>
      </c>
      <c r="D11110" s="4" t="n">
        <v>83.3085</v>
      </c>
      <c r="E11110" s="5" t="n">
        <v>2034.6</v>
      </c>
      <c r="F11110" s="3" t="inlineStr">
        <is>
          <t>오송읍</t>
        </is>
      </c>
      <c r="G11110" s="3" t="inlineStr">
        <is>
          <t>봉산리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오송읍</t>
        </is>
      </c>
    </row>
    <row r="11111">
      <c r="A11111" s="3" t="n">
        <v>2022</v>
      </c>
      <c r="B11111" s="4" t="n">
        <v>60000</v>
      </c>
      <c r="C11111" s="4" t="n">
        <v>258.7</v>
      </c>
      <c r="D11111" s="4" t="n">
        <v>78.25675</v>
      </c>
      <c r="E11111" s="5" t="n">
        <v>766.7</v>
      </c>
      <c r="F11111" s="3" t="inlineStr">
        <is>
          <t>오송읍</t>
        </is>
      </c>
      <c r="G11111" s="3" t="inlineStr">
        <is>
          <t>만수리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오송읍</t>
        </is>
      </c>
    </row>
    <row r="11112">
      <c r="A11112" s="3" t="n">
        <v>2022</v>
      </c>
      <c r="B11112" s="4" t="n">
        <v>87100</v>
      </c>
      <c r="C11112" s="4" t="n">
        <v>1614</v>
      </c>
      <c r="D11112" s="4" t="n">
        <v>488.235</v>
      </c>
      <c r="E11112" s="5" t="n">
        <v>178.4</v>
      </c>
      <c r="F11112" s="3" t="inlineStr">
        <is>
          <t>오송읍</t>
        </is>
      </c>
      <c r="G11112" s="3" t="inlineStr">
        <is>
          <t>쌍청리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오송읍</t>
        </is>
      </c>
    </row>
    <row r="11113">
      <c r="A11113" s="3" t="n">
        <v>2023</v>
      </c>
      <c r="B11113" s="4" t="n">
        <v>130000</v>
      </c>
      <c r="C11113" s="4" t="n">
        <v>238.1</v>
      </c>
      <c r="D11113" s="4" t="n">
        <v>72.02525</v>
      </c>
      <c r="E11113" s="5" t="n">
        <v>1804.9</v>
      </c>
      <c r="F11113" s="3" t="inlineStr">
        <is>
          <t>오송읍</t>
        </is>
      </c>
      <c r="G11113" s="3" t="inlineStr">
        <is>
          <t>봉산리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오송읍</t>
        </is>
      </c>
    </row>
    <row r="11114">
      <c r="A11114" s="3" t="n">
        <v>2023</v>
      </c>
      <c r="B11114" s="4" t="n">
        <v>8950</v>
      </c>
      <c r="C11114" s="4" t="n">
        <v>220</v>
      </c>
      <c r="D11114" s="4" t="n">
        <v>66.55</v>
      </c>
      <c r="E11114" s="5" t="n">
        <v>134.5</v>
      </c>
      <c r="F11114" s="3" t="inlineStr">
        <is>
          <t>강내면</t>
        </is>
      </c>
      <c r="G11114" s="3" t="inlineStr">
        <is>
          <t>다락리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강내면</t>
        </is>
      </c>
    </row>
    <row r="11115">
      <c r="A11115" s="3" t="n">
        <v>2023</v>
      </c>
      <c r="B11115" s="4" t="n">
        <v>63500</v>
      </c>
      <c r="C11115" s="4" t="n">
        <v>240.1</v>
      </c>
      <c r="D11115" s="4" t="n">
        <v>72.63024999999999</v>
      </c>
      <c r="E11115" s="5" t="n">
        <v>874.3</v>
      </c>
      <c r="F11115" s="3" t="inlineStr">
        <is>
          <t>오송읍</t>
        </is>
      </c>
      <c r="G11115" s="3" t="inlineStr">
        <is>
          <t>만수리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오송읍</t>
        </is>
      </c>
    </row>
    <row r="11116">
      <c r="A11116" s="3" t="n">
        <v>2023</v>
      </c>
      <c r="B11116" s="4" t="n">
        <v>28114</v>
      </c>
      <c r="C11116" s="4" t="n">
        <v>485</v>
      </c>
      <c r="D11116" s="4" t="n">
        <v>146.7125</v>
      </c>
      <c r="E11116" s="5" t="n">
        <v>191.6</v>
      </c>
      <c r="F11116" s="3" t="inlineStr">
        <is>
          <t>오송읍</t>
        </is>
      </c>
      <c r="G11116" s="3" t="inlineStr">
        <is>
          <t>상정리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오송읍</t>
        </is>
      </c>
    </row>
    <row r="11117">
      <c r="A11117" s="3" t="n">
        <v>2023</v>
      </c>
      <c r="B11117" s="4" t="n">
        <v>9800</v>
      </c>
      <c r="C11117" s="4" t="n">
        <v>158</v>
      </c>
      <c r="D11117" s="4" t="n">
        <v>47.795</v>
      </c>
      <c r="E11117" s="5" t="n">
        <v>205</v>
      </c>
      <c r="F11117" s="3" t="inlineStr">
        <is>
          <t>오송읍</t>
        </is>
      </c>
      <c r="G11117" s="3" t="inlineStr">
        <is>
          <t>연제리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오송읍</t>
        </is>
      </c>
    </row>
    <row r="11118">
      <c r="A11118" s="3" t="n">
        <v>2023</v>
      </c>
      <c r="B11118" s="4" t="n">
        <v>36800</v>
      </c>
      <c r="C11118" s="4" t="n">
        <v>560</v>
      </c>
      <c r="D11118" s="4" t="n">
        <v>169.4</v>
      </c>
      <c r="E11118" s="5" t="n">
        <v>217.2</v>
      </c>
      <c r="F11118" s="3" t="inlineStr">
        <is>
          <t>오송읍</t>
        </is>
      </c>
      <c r="G11118" s="3" t="inlineStr">
        <is>
          <t>상정리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오송읍</t>
        </is>
      </c>
    </row>
    <row r="11119">
      <c r="A11119" s="3" t="n">
        <v>2023</v>
      </c>
      <c r="B11119" s="4" t="n">
        <v>80500</v>
      </c>
      <c r="C11119" s="4" t="n">
        <v>428</v>
      </c>
      <c r="D11119" s="4" t="n">
        <v>129.47</v>
      </c>
      <c r="E11119" s="5" t="n">
        <v>621.8</v>
      </c>
      <c r="F11119" s="3" t="inlineStr">
        <is>
          <t>강내면</t>
        </is>
      </c>
      <c r="G11119" s="3" t="inlineStr">
        <is>
          <t>월탄리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강내면</t>
        </is>
      </c>
    </row>
    <row r="11120">
      <c r="A11120" s="3" t="n">
        <v>2023</v>
      </c>
      <c r="B11120" s="4" t="n">
        <v>21000</v>
      </c>
      <c r="C11120" s="4" t="n">
        <v>225</v>
      </c>
      <c r="D11120" s="4" t="n">
        <v>68.0625</v>
      </c>
      <c r="E11120" s="5" t="n">
        <v>308.5</v>
      </c>
      <c r="F11120" s="3" t="inlineStr">
        <is>
          <t>오송읍</t>
        </is>
      </c>
      <c r="G11120" s="3" t="inlineStr">
        <is>
          <t>동평리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오송읍</t>
        </is>
      </c>
    </row>
    <row r="11121">
      <c r="A11121" s="3" t="n">
        <v>2023</v>
      </c>
      <c r="B11121" s="4" t="n">
        <v>20000</v>
      </c>
      <c r="C11121" s="4" t="n">
        <v>176</v>
      </c>
      <c r="D11121" s="4" t="n">
        <v>53.23999999999999</v>
      </c>
      <c r="E11121" s="5" t="n">
        <v>375.7</v>
      </c>
      <c r="F11121" s="3" t="inlineStr">
        <is>
          <t>오송읍</t>
        </is>
      </c>
      <c r="G11121" s="3" t="inlineStr">
        <is>
          <t>오송리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오송읍</t>
        </is>
      </c>
    </row>
    <row r="11122">
      <c r="A11122" s="3" t="n">
        <v>2023</v>
      </c>
      <c r="B11122" s="4" t="n">
        <v>50000</v>
      </c>
      <c r="C11122" s="4" t="n">
        <v>407</v>
      </c>
      <c r="D11122" s="4" t="n">
        <v>123.1175</v>
      </c>
      <c r="E11122" s="5" t="n">
        <v>406.1</v>
      </c>
      <c r="F11122" s="3" t="inlineStr">
        <is>
          <t>오송읍</t>
        </is>
      </c>
      <c r="G11122" s="3" t="inlineStr">
        <is>
          <t>궁평리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오송읍</t>
        </is>
      </c>
    </row>
    <row r="11123">
      <c r="A11123" s="3" t="n">
        <v>2023</v>
      </c>
      <c r="B11123" s="4" t="n">
        <v>168700</v>
      </c>
      <c r="C11123" s="4" t="n">
        <v>1566</v>
      </c>
      <c r="D11123" s="4" t="n">
        <v>473.715</v>
      </c>
      <c r="E11123" s="5" t="n">
        <v>356.1</v>
      </c>
      <c r="F11123" s="3" t="inlineStr">
        <is>
          <t>오송읍</t>
        </is>
      </c>
      <c r="G11123" s="3" t="inlineStr">
        <is>
          <t>연제리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오송읍</t>
        </is>
      </c>
    </row>
    <row r="11124">
      <c r="A11124" s="3" t="n">
        <v>2023</v>
      </c>
      <c r="B11124" s="4" t="n">
        <v>72700</v>
      </c>
      <c r="C11124" s="4" t="n">
        <v>290.9</v>
      </c>
      <c r="D11124" s="4" t="n">
        <v>87.99724999999999</v>
      </c>
      <c r="E11124" s="5" t="n">
        <v>826.2</v>
      </c>
      <c r="F11124" s="3" t="inlineStr">
        <is>
          <t>오송읍</t>
        </is>
      </c>
      <c r="G11124" s="3" t="inlineStr">
        <is>
          <t>연제리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오송읍</t>
        </is>
      </c>
    </row>
    <row r="11125">
      <c r="A11125" s="3" t="n">
        <v>2023</v>
      </c>
      <c r="B11125" s="4" t="n">
        <v>38550</v>
      </c>
      <c r="C11125" s="4" t="n">
        <v>649</v>
      </c>
      <c r="D11125" s="4" t="n">
        <v>196.3225</v>
      </c>
      <c r="E11125" s="5" t="n">
        <v>196.4</v>
      </c>
      <c r="F11125" s="3" t="inlineStr">
        <is>
          <t>강내면</t>
        </is>
      </c>
      <c r="G11125" s="3" t="inlineStr">
        <is>
          <t>다락리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강내면</t>
        </is>
      </c>
    </row>
    <row r="11126">
      <c r="A11126" s="3" t="n">
        <v>2023</v>
      </c>
      <c r="B11126" s="4" t="n">
        <v>58000</v>
      </c>
      <c r="C11126" s="4" t="n">
        <v>263.7</v>
      </c>
      <c r="D11126" s="4" t="n">
        <v>79.76925</v>
      </c>
      <c r="E11126" s="5" t="n">
        <v>727.1</v>
      </c>
      <c r="F11126" s="3" t="inlineStr">
        <is>
          <t>오송읍</t>
        </is>
      </c>
      <c r="G11126" s="3" t="inlineStr">
        <is>
          <t>만수리</t>
        </is>
      </c>
      <c r="H11126" s="3" t="inlineStr">
        <is>
          <t>단독다가구</t>
        </is>
      </c>
      <c r="I11126" s="3" t="inlineStr">
        <is>
          <t>다가구</t>
        </is>
      </c>
      <c r="J11126" s="3" t="inlineStr">
        <is>
          <t>오송읍</t>
        </is>
      </c>
    </row>
    <row r="11127">
      <c r="A11127" s="3" t="n">
        <v>2023</v>
      </c>
      <c r="B11127" s="4" t="n">
        <v>80700</v>
      </c>
      <c r="C11127" s="4" t="n">
        <v>595</v>
      </c>
      <c r="D11127" s="4" t="n">
        <v>179.9875</v>
      </c>
      <c r="E11127" s="5" t="n">
        <v>448.4</v>
      </c>
      <c r="F11127" s="3" t="inlineStr">
        <is>
          <t>남이면</t>
        </is>
      </c>
      <c r="G11127" s="3" t="inlineStr">
        <is>
          <t>석판리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남이면</t>
        </is>
      </c>
    </row>
    <row r="11128">
      <c r="A11128" s="3" t="n">
        <v>2023</v>
      </c>
      <c r="B11128" s="4" t="n">
        <v>82500</v>
      </c>
      <c r="C11128" s="4" t="n">
        <v>595</v>
      </c>
      <c r="D11128" s="4" t="n">
        <v>179.9875</v>
      </c>
      <c r="E11128" s="5" t="n">
        <v>458.4</v>
      </c>
      <c r="F11128" s="3" t="inlineStr">
        <is>
          <t>남이면</t>
        </is>
      </c>
      <c r="G11128" s="3" t="inlineStr">
        <is>
          <t>석판리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남이면</t>
        </is>
      </c>
    </row>
    <row r="11129">
      <c r="A11129" s="3" t="n">
        <v>2023</v>
      </c>
      <c r="B11129" s="4" t="n">
        <v>28700</v>
      </c>
      <c r="C11129" s="4" t="n">
        <v>543</v>
      </c>
      <c r="D11129" s="4" t="n">
        <v>164.2575</v>
      </c>
      <c r="E11129" s="5" t="n">
        <v>174.7</v>
      </c>
      <c r="F11129" s="3" t="inlineStr">
        <is>
          <t>남이면</t>
        </is>
      </c>
      <c r="G11129" s="3" t="inlineStr">
        <is>
          <t>팔봉리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13100</v>
      </c>
      <c r="C11130" s="4" t="n">
        <v>189</v>
      </c>
      <c r="D11130" s="4" t="n">
        <v>57.1725</v>
      </c>
      <c r="E11130" s="5" t="n">
        <v>229.1</v>
      </c>
      <c r="F11130" s="3" t="inlineStr">
        <is>
          <t>남이면</t>
        </is>
      </c>
      <c r="G11130" s="3" t="inlineStr">
        <is>
          <t>대련리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남이면</t>
        </is>
      </c>
    </row>
    <row r="11131">
      <c r="A11131" s="3" t="n">
        <v>2023</v>
      </c>
      <c r="B11131" s="4" t="n">
        <v>10535</v>
      </c>
      <c r="C11131" s="4" t="n">
        <v>532</v>
      </c>
      <c r="D11131" s="4" t="n">
        <v>160.93</v>
      </c>
      <c r="E11131" s="5" t="n">
        <v>65.5</v>
      </c>
      <c r="F11131" s="3" t="inlineStr">
        <is>
          <t>남이면</t>
        </is>
      </c>
      <c r="G11131" s="3" t="inlineStr">
        <is>
          <t>석판리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남이면</t>
        </is>
      </c>
    </row>
    <row r="11132">
      <c r="A11132" s="3" t="n">
        <v>2023</v>
      </c>
      <c r="B11132" s="4" t="n">
        <v>10400</v>
      </c>
      <c r="C11132" s="4" t="n">
        <v>1553</v>
      </c>
      <c r="D11132" s="4" t="n">
        <v>469.7825</v>
      </c>
      <c r="E11132" s="5" t="n">
        <v>22.1</v>
      </c>
      <c r="F11132" s="3" t="inlineStr">
        <is>
          <t>현도면</t>
        </is>
      </c>
      <c r="G11132" s="3" t="inlineStr">
        <is>
          <t>시목리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현도면</t>
        </is>
      </c>
    </row>
    <row r="11133">
      <c r="A11133" s="3" t="n">
        <v>2023</v>
      </c>
      <c r="B11133" s="4" t="n">
        <v>5000</v>
      </c>
      <c r="C11133" s="4" t="n">
        <v>258</v>
      </c>
      <c r="D11133" s="4" t="n">
        <v>78.045</v>
      </c>
      <c r="E11133" s="5" t="n">
        <v>64.09999999999999</v>
      </c>
      <c r="F11133" s="3" t="inlineStr">
        <is>
          <t>현도면</t>
        </is>
      </c>
      <c r="G11133" s="3" t="inlineStr">
        <is>
          <t>시동리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2023</v>
      </c>
      <c r="B11134" s="4" t="n">
        <v>36200</v>
      </c>
      <c r="C11134" s="4" t="n">
        <v>568</v>
      </c>
      <c r="D11134" s="4" t="n">
        <v>171.82</v>
      </c>
      <c r="E11134" s="5" t="n">
        <v>210.7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2022</v>
      </c>
      <c r="B11135" s="4" t="n">
        <v>51500</v>
      </c>
      <c r="C11135" s="4" t="n">
        <v>530</v>
      </c>
      <c r="D11135" s="4" t="n">
        <v>160.325</v>
      </c>
      <c r="E11135" s="5" t="n">
        <v>321.2</v>
      </c>
      <c r="F11135" s="3" t="inlineStr">
        <is>
          <t>남이면</t>
        </is>
      </c>
      <c r="G11135" s="3" t="inlineStr">
        <is>
          <t>상발리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2022</v>
      </c>
      <c r="B11136" s="4" t="n">
        <v>66500</v>
      </c>
      <c r="C11136" s="4" t="n">
        <v>665</v>
      </c>
      <c r="D11136" s="4" t="n">
        <v>201.1625</v>
      </c>
      <c r="E11136" s="5" t="n">
        <v>330.6</v>
      </c>
      <c r="F11136" s="3" t="inlineStr">
        <is>
          <t>남이면</t>
        </is>
      </c>
      <c r="G11136" s="3" t="inlineStr">
        <is>
          <t>석판리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2022</v>
      </c>
      <c r="B11137" s="4" t="n">
        <v>6500</v>
      </c>
      <c r="C11137" s="4" t="n">
        <v>396</v>
      </c>
      <c r="D11137" s="4" t="n">
        <v>119.79</v>
      </c>
      <c r="E11137" s="5" t="n">
        <v>54.3</v>
      </c>
      <c r="F11137" s="3" t="inlineStr">
        <is>
          <t>현도면</t>
        </is>
      </c>
      <c r="G11137" s="3" t="inlineStr">
        <is>
          <t>죽전리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현도면</t>
        </is>
      </c>
    </row>
    <row r="11138">
      <c r="A11138" s="3" t="n">
        <v>2022</v>
      </c>
      <c r="B11138" s="4" t="n">
        <v>70800</v>
      </c>
      <c r="C11138" s="4" t="n">
        <v>629</v>
      </c>
      <c r="D11138" s="4" t="n">
        <v>190.2725</v>
      </c>
      <c r="E11138" s="5" t="n">
        <v>372.1</v>
      </c>
      <c r="F11138" s="3" t="inlineStr">
        <is>
          <t>남이면</t>
        </is>
      </c>
      <c r="G11138" s="3" t="inlineStr">
        <is>
          <t>석판리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남이면</t>
        </is>
      </c>
    </row>
    <row r="11139">
      <c r="A11139" s="3" t="n">
        <v>2022</v>
      </c>
      <c r="B11139" s="4" t="n">
        <v>21520</v>
      </c>
      <c r="C11139" s="4" t="n">
        <v>660</v>
      </c>
      <c r="D11139" s="4" t="n">
        <v>199.65</v>
      </c>
      <c r="E11139" s="5" t="n">
        <v>107.8</v>
      </c>
      <c r="F11139" s="3" t="inlineStr">
        <is>
          <t>현도면</t>
        </is>
      </c>
      <c r="G11139" s="3" t="inlineStr">
        <is>
          <t>중삼리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현도면</t>
        </is>
      </c>
    </row>
    <row r="11140">
      <c r="A11140" s="3" t="n">
        <v>2025</v>
      </c>
      <c r="B11140" s="4" t="n">
        <v>80000</v>
      </c>
      <c r="C11140" s="4" t="n">
        <v>695</v>
      </c>
      <c r="D11140" s="4" t="n">
        <v>210.2375</v>
      </c>
      <c r="E11140" s="5" t="n">
        <v>380.5</v>
      </c>
      <c r="F11140" s="3" t="inlineStr">
        <is>
          <t>남이면</t>
        </is>
      </c>
      <c r="G11140" s="3" t="inlineStr">
        <is>
          <t>석판리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남이면</t>
        </is>
      </c>
    </row>
    <row r="11141">
      <c r="A11141" s="3" t="n">
        <v>2026</v>
      </c>
      <c r="B11141" s="4" t="n">
        <v>13000</v>
      </c>
      <c r="C11141" s="4" t="n">
        <v>372</v>
      </c>
      <c r="D11141" s="4" t="n">
        <v>112.53</v>
      </c>
      <c r="E11141" s="5" t="n">
        <v>115.5</v>
      </c>
      <c r="F11141" s="3" t="inlineStr">
        <is>
          <t>현도면</t>
        </is>
      </c>
      <c r="G11141" s="3" t="inlineStr">
        <is>
          <t>선동리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현도면</t>
        </is>
      </c>
    </row>
    <row r="11142">
      <c r="A11142" s="3" t="n">
        <v>2026</v>
      </c>
      <c r="B11142" s="4" t="n">
        <v>57000</v>
      </c>
      <c r="C11142" s="4" t="n">
        <v>1139</v>
      </c>
      <c r="D11142" s="4" t="n">
        <v>344.5475</v>
      </c>
      <c r="E11142" s="5" t="n">
        <v>165.4</v>
      </c>
      <c r="F11142" s="3" t="inlineStr">
        <is>
          <t>남이면</t>
        </is>
      </c>
      <c r="G11142" s="3" t="inlineStr">
        <is>
          <t>석실리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남이면</t>
        </is>
      </c>
    </row>
    <row r="11143">
      <c r="A11143" s="3" t="n">
        <v>2026</v>
      </c>
      <c r="B11143" s="4" t="n">
        <v>48500</v>
      </c>
      <c r="C11143" s="4" t="n">
        <v>747</v>
      </c>
      <c r="D11143" s="4" t="n">
        <v>225.9675</v>
      </c>
      <c r="E11143" s="5" t="n">
        <v>214.6</v>
      </c>
      <c r="F11143" s="3" t="inlineStr">
        <is>
          <t>남이면</t>
        </is>
      </c>
      <c r="G11143" s="3" t="inlineStr">
        <is>
          <t>상발리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2026</v>
      </c>
      <c r="B11144" s="4" t="n">
        <v>26500</v>
      </c>
      <c r="C11144" s="4" t="n">
        <v>909</v>
      </c>
      <c r="D11144" s="4" t="n">
        <v>274.9725</v>
      </c>
      <c r="E11144" s="5" t="n">
        <v>96.40000000000001</v>
      </c>
      <c r="F11144" s="3" t="inlineStr">
        <is>
          <t>남이면</t>
        </is>
      </c>
      <c r="G11144" s="3" t="inlineStr">
        <is>
          <t>가좌리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2026</v>
      </c>
      <c r="B11145" s="4" t="n">
        <v>24000</v>
      </c>
      <c r="C11145" s="4" t="n">
        <v>782</v>
      </c>
      <c r="D11145" s="4" t="n">
        <v>236.555</v>
      </c>
      <c r="E11145" s="5" t="n">
        <v>101.5</v>
      </c>
      <c r="F11145" s="3" t="inlineStr">
        <is>
          <t>현도면</t>
        </is>
      </c>
      <c r="G11145" s="3" t="inlineStr">
        <is>
          <t>매봉리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현도면</t>
        </is>
      </c>
    </row>
    <row r="11146">
      <c r="A11146" s="3" t="n">
        <v>2026</v>
      </c>
      <c r="B11146" s="4" t="n">
        <v>9780</v>
      </c>
      <c r="C11146" s="4" t="n">
        <v>315</v>
      </c>
      <c r="D11146" s="4" t="n">
        <v>95.28749999999999</v>
      </c>
      <c r="E11146" s="5" t="n">
        <v>102.6</v>
      </c>
      <c r="F11146" s="3" t="inlineStr">
        <is>
          <t>현도면</t>
        </is>
      </c>
      <c r="G11146" s="3" t="inlineStr">
        <is>
          <t>매봉리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현도면</t>
        </is>
      </c>
    </row>
    <row r="11147">
      <c r="A11147" s="3" t="n">
        <v>2026</v>
      </c>
      <c r="B11147" s="4" t="n">
        <v>12000</v>
      </c>
      <c r="C11147" s="4" t="n">
        <v>471</v>
      </c>
      <c r="D11147" s="4" t="n">
        <v>142.4775</v>
      </c>
      <c r="E11147" s="5" t="n">
        <v>84.2</v>
      </c>
      <c r="F11147" s="3" t="inlineStr">
        <is>
          <t>남이면</t>
        </is>
      </c>
      <c r="G11147" s="3" t="inlineStr">
        <is>
          <t>부용외천리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2026</v>
      </c>
      <c r="B11148" s="4" t="n">
        <v>67800</v>
      </c>
      <c r="C11148" s="4" t="n">
        <v>216.4</v>
      </c>
      <c r="D11148" s="4" t="n">
        <v>65.461</v>
      </c>
      <c r="E11148" s="5" t="n">
        <v>1035.7</v>
      </c>
      <c r="F11148" s="3" t="inlineStr">
        <is>
          <t>남이면</t>
        </is>
      </c>
      <c r="G11148" s="3" t="inlineStr">
        <is>
          <t>가마리</t>
        </is>
      </c>
      <c r="H11148" s="3" t="inlineStr">
        <is>
          <t>단독다가구</t>
        </is>
      </c>
      <c r="I11148" s="3" t="inlineStr">
        <is>
          <t>다가구</t>
        </is>
      </c>
      <c r="J11148" s="3" t="inlineStr">
        <is>
          <t>남이면</t>
        </is>
      </c>
    </row>
    <row r="11149">
      <c r="A11149" s="3" t="n">
        <v>2026</v>
      </c>
      <c r="B11149" s="4" t="n">
        <v>22259</v>
      </c>
      <c r="C11149" s="4" t="n">
        <v>941</v>
      </c>
      <c r="D11149" s="4" t="n">
        <v>284.6525</v>
      </c>
      <c r="E11149" s="5" t="n">
        <v>78.2</v>
      </c>
      <c r="F11149" s="3" t="inlineStr">
        <is>
          <t>남이면</t>
        </is>
      </c>
      <c r="G11149" s="3" t="inlineStr">
        <is>
          <t>팔봉리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2026</v>
      </c>
      <c r="B11150" s="4" t="n">
        <v>35000</v>
      </c>
      <c r="C11150" s="4" t="n">
        <v>330</v>
      </c>
      <c r="D11150" s="4" t="n">
        <v>99.825</v>
      </c>
      <c r="E11150" s="5" t="n">
        <v>350.6</v>
      </c>
      <c r="F11150" s="3" t="inlineStr">
        <is>
          <t>남이면</t>
        </is>
      </c>
      <c r="G11150" s="3" t="inlineStr">
        <is>
          <t>가마리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2026</v>
      </c>
      <c r="B11151" s="4" t="n">
        <v>8800</v>
      </c>
      <c r="C11151" s="4" t="n">
        <v>165</v>
      </c>
      <c r="D11151" s="4" t="n">
        <v>49.9125</v>
      </c>
      <c r="E11151" s="5" t="n">
        <v>176.3</v>
      </c>
      <c r="F11151" s="3" t="inlineStr">
        <is>
          <t>현도면</t>
        </is>
      </c>
      <c r="G11151" s="3" t="inlineStr">
        <is>
          <t>노산리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현도면</t>
        </is>
      </c>
    </row>
    <row r="11152">
      <c r="A11152" s="3" t="n">
        <v>2026</v>
      </c>
      <c r="B11152" s="4" t="n">
        <v>14978</v>
      </c>
      <c r="C11152" s="4" t="n">
        <v>724</v>
      </c>
      <c r="D11152" s="4" t="n">
        <v>219.01</v>
      </c>
      <c r="E11152" s="5" t="n">
        <v>68.40000000000001</v>
      </c>
      <c r="F11152" s="3" t="inlineStr">
        <is>
          <t>남이면</t>
        </is>
      </c>
      <c r="G11152" s="3" t="inlineStr">
        <is>
          <t>외천리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2026</v>
      </c>
      <c r="B11153" s="4" t="n">
        <v>18000</v>
      </c>
      <c r="C11153" s="4" t="n">
        <v>402</v>
      </c>
      <c r="D11153" s="4" t="n">
        <v>121.605</v>
      </c>
      <c r="E11153" s="5" t="n">
        <v>148</v>
      </c>
      <c r="F11153" s="3" t="inlineStr">
        <is>
          <t>남이면</t>
        </is>
      </c>
      <c r="G11153" s="3" t="inlineStr">
        <is>
          <t>석판리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남이면</t>
        </is>
      </c>
    </row>
    <row r="11154">
      <c r="A11154" s="3" t="n">
        <v>2026</v>
      </c>
      <c r="B11154" s="4" t="n">
        <v>17000</v>
      </c>
      <c r="C11154" s="4" t="n">
        <v>350</v>
      </c>
      <c r="D11154" s="4" t="n">
        <v>105.875</v>
      </c>
      <c r="E11154" s="5" t="n">
        <v>160.6</v>
      </c>
      <c r="F11154" s="3" t="inlineStr">
        <is>
          <t>남이면</t>
        </is>
      </c>
      <c r="G11154" s="3" t="inlineStr">
        <is>
          <t>구미리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2024</v>
      </c>
      <c r="B11155" s="4" t="n">
        <v>17000</v>
      </c>
      <c r="C11155" s="4" t="n">
        <v>372</v>
      </c>
      <c r="D11155" s="4" t="n">
        <v>112.53</v>
      </c>
      <c r="E11155" s="5" t="n">
        <v>151.1</v>
      </c>
      <c r="F11155" s="3" t="inlineStr">
        <is>
          <t>오송읍</t>
        </is>
      </c>
      <c r="G11155" s="3" t="inlineStr">
        <is>
          <t>쌍청리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2024</v>
      </c>
      <c r="B11156" s="4" t="n">
        <v>24500</v>
      </c>
      <c r="C11156" s="4" t="n">
        <v>408</v>
      </c>
      <c r="D11156" s="4" t="n">
        <v>123.42</v>
      </c>
      <c r="E11156" s="5" t="n">
        <v>198.5</v>
      </c>
      <c r="F11156" s="3" t="inlineStr">
        <is>
          <t>강내면</t>
        </is>
      </c>
      <c r="G11156" s="3" t="inlineStr">
        <is>
          <t>석화리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강내면</t>
        </is>
      </c>
    </row>
    <row r="11157">
      <c r="A11157" s="3" t="n">
        <v>2024</v>
      </c>
      <c r="B11157" s="4" t="n">
        <v>128000</v>
      </c>
      <c r="C11157" s="4" t="n">
        <v>279.2</v>
      </c>
      <c r="D11157" s="4" t="n">
        <v>84.458</v>
      </c>
      <c r="E11157" s="5" t="n">
        <v>1515.5</v>
      </c>
      <c r="F11157" s="3" t="inlineStr">
        <is>
          <t>오송읍</t>
        </is>
      </c>
      <c r="G11157" s="3" t="inlineStr">
        <is>
          <t>봉산리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2024</v>
      </c>
      <c r="B11158" s="4" t="n">
        <v>66500</v>
      </c>
      <c r="C11158" s="4" t="n">
        <v>246.7</v>
      </c>
      <c r="D11158" s="4" t="n">
        <v>74.62675</v>
      </c>
      <c r="E11158" s="5" t="n">
        <v>891.1</v>
      </c>
      <c r="F11158" s="3" t="inlineStr">
        <is>
          <t>오송읍</t>
        </is>
      </c>
      <c r="G11158" s="3" t="inlineStr">
        <is>
          <t>연제리</t>
        </is>
      </c>
      <c r="H11158" s="3" t="inlineStr">
        <is>
          <t>단독다가구</t>
        </is>
      </c>
      <c r="I11158" s="3" t="inlineStr">
        <is>
          <t>다가구</t>
        </is>
      </c>
      <c r="J11158" s="3" t="inlineStr">
        <is>
          <t>오송읍</t>
        </is>
      </c>
    </row>
    <row r="11159">
      <c r="A11159" s="3" t="n">
        <v>2024</v>
      </c>
      <c r="B11159" s="4" t="n">
        <v>7000</v>
      </c>
      <c r="C11159" s="4" t="n">
        <v>192</v>
      </c>
      <c r="D11159" s="4" t="n">
        <v>58.08</v>
      </c>
      <c r="E11159" s="5" t="n">
        <v>120.5</v>
      </c>
      <c r="F11159" s="3" t="inlineStr">
        <is>
          <t>강내면</t>
        </is>
      </c>
      <c r="G11159" s="3" t="inlineStr">
        <is>
          <t>다락리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강내면</t>
        </is>
      </c>
    </row>
    <row r="11160">
      <c r="A11160" s="3" t="n">
        <v>2024</v>
      </c>
      <c r="B11160" s="4" t="n">
        <v>13500</v>
      </c>
      <c r="C11160" s="4" t="n">
        <v>284</v>
      </c>
      <c r="D11160" s="4" t="n">
        <v>85.91</v>
      </c>
      <c r="E11160" s="5" t="n">
        <v>157.1</v>
      </c>
      <c r="F11160" s="3" t="inlineStr">
        <is>
          <t>강내면</t>
        </is>
      </c>
      <c r="G11160" s="3" t="inlineStr">
        <is>
          <t>사인리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강내면</t>
        </is>
      </c>
    </row>
    <row r="11161">
      <c r="A11161" s="3" t="n">
        <v>2024</v>
      </c>
      <c r="B11161" s="4" t="n">
        <v>36500</v>
      </c>
      <c r="C11161" s="4" t="n">
        <v>276</v>
      </c>
      <c r="D11161" s="4" t="n">
        <v>83.48999999999999</v>
      </c>
      <c r="E11161" s="5" t="n">
        <v>437.2</v>
      </c>
      <c r="F11161" s="3" t="inlineStr">
        <is>
          <t>오송읍</t>
        </is>
      </c>
      <c r="G11161" s="3" t="inlineStr">
        <is>
          <t>오송리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2024</v>
      </c>
      <c r="B11162" s="4" t="n">
        <v>42500</v>
      </c>
      <c r="C11162" s="4" t="n">
        <v>505.8</v>
      </c>
      <c r="D11162" s="4" t="n">
        <v>153.0045</v>
      </c>
      <c r="E11162" s="5" t="n">
        <v>277.8</v>
      </c>
      <c r="F11162" s="3" t="inlineStr">
        <is>
          <t>강내면</t>
        </is>
      </c>
      <c r="G11162" s="3" t="inlineStr">
        <is>
          <t>석화리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강내면</t>
        </is>
      </c>
    </row>
    <row r="11163">
      <c r="A11163" s="3" t="n">
        <v>2024</v>
      </c>
      <c r="B11163" s="4" t="n">
        <v>26520</v>
      </c>
      <c r="C11163" s="4" t="n">
        <v>630</v>
      </c>
      <c r="D11163" s="4" t="n">
        <v>190.575</v>
      </c>
      <c r="E11163" s="5" t="n">
        <v>139.2</v>
      </c>
      <c r="F11163" s="3" t="inlineStr">
        <is>
          <t>오송읍</t>
        </is>
      </c>
      <c r="G11163" s="3" t="inlineStr">
        <is>
          <t>쌍청리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오송읍</t>
        </is>
      </c>
    </row>
    <row r="11164">
      <c r="A11164" s="3" t="n">
        <v>2024</v>
      </c>
      <c r="B11164" s="4" t="n">
        <v>43000</v>
      </c>
      <c r="C11164" s="4" t="n">
        <v>505.8</v>
      </c>
      <c r="D11164" s="4" t="n">
        <v>153.0045</v>
      </c>
      <c r="E11164" s="5" t="n">
        <v>281</v>
      </c>
      <c r="F11164" s="3" t="inlineStr">
        <is>
          <t>강내면</t>
        </is>
      </c>
      <c r="G11164" s="3" t="inlineStr">
        <is>
          <t>석화리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강내면</t>
        </is>
      </c>
    </row>
    <row r="11165">
      <c r="A11165" s="3" t="n">
        <v>2024</v>
      </c>
      <c r="B11165" s="4" t="n">
        <v>25800</v>
      </c>
      <c r="C11165" s="4" t="n">
        <v>337</v>
      </c>
      <c r="D11165" s="4" t="n">
        <v>101.9425</v>
      </c>
      <c r="E11165" s="5" t="n">
        <v>253.1</v>
      </c>
      <c r="F11165" s="3" t="inlineStr">
        <is>
          <t>강내면</t>
        </is>
      </c>
      <c r="G11165" s="3" t="inlineStr">
        <is>
          <t>태성리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강내면</t>
        </is>
      </c>
    </row>
    <row r="11166">
      <c r="A11166" s="3" t="n">
        <v>2024</v>
      </c>
      <c r="B11166" s="4" t="n">
        <v>19473</v>
      </c>
      <c r="C11166" s="4" t="n">
        <v>491</v>
      </c>
      <c r="D11166" s="4" t="n">
        <v>148.5275</v>
      </c>
      <c r="E11166" s="5" t="n">
        <v>131.1</v>
      </c>
      <c r="F11166" s="3" t="inlineStr">
        <is>
          <t>오송읍</t>
        </is>
      </c>
      <c r="G11166" s="3" t="inlineStr">
        <is>
          <t>상정리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2024</v>
      </c>
      <c r="B11167" s="4" t="n">
        <v>6500</v>
      </c>
      <c r="C11167" s="4" t="n">
        <v>155</v>
      </c>
      <c r="D11167" s="4" t="n">
        <v>46.8875</v>
      </c>
      <c r="E11167" s="5" t="n">
        <v>138.6</v>
      </c>
      <c r="F11167" s="3" t="inlineStr">
        <is>
          <t>오송읍</t>
        </is>
      </c>
      <c r="G11167" s="3" t="inlineStr">
        <is>
          <t>정중리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2024</v>
      </c>
      <c r="B11168" s="4" t="n">
        <v>5500</v>
      </c>
      <c r="C11168" s="4" t="n">
        <v>346</v>
      </c>
      <c r="D11168" s="4" t="n">
        <v>104.665</v>
      </c>
      <c r="E11168" s="5" t="n">
        <v>52.5</v>
      </c>
      <c r="F11168" s="3" t="inlineStr">
        <is>
          <t>강내면</t>
        </is>
      </c>
      <c r="G11168" s="3" t="inlineStr">
        <is>
          <t>저산리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2024</v>
      </c>
      <c r="B11169" s="4" t="n">
        <v>40000</v>
      </c>
      <c r="C11169" s="4" t="n">
        <v>407</v>
      </c>
      <c r="D11169" s="4" t="n">
        <v>123.1175</v>
      </c>
      <c r="E11169" s="5" t="n">
        <v>324.9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2024</v>
      </c>
      <c r="B11170" s="4" t="n">
        <v>73500</v>
      </c>
      <c r="C11170" s="4" t="n">
        <v>254.7</v>
      </c>
      <c r="D11170" s="4" t="n">
        <v>77.04674999999999</v>
      </c>
      <c r="E11170" s="5" t="n">
        <v>954</v>
      </c>
      <c r="F11170" s="3" t="inlineStr">
        <is>
          <t>오송읍</t>
        </is>
      </c>
      <c r="G11170" s="3" t="inlineStr">
        <is>
          <t>만수리</t>
        </is>
      </c>
      <c r="H11170" s="3" t="inlineStr">
        <is>
          <t>단독다가구</t>
        </is>
      </c>
      <c r="I11170" s="3" t="inlineStr">
        <is>
          <t>다가구</t>
        </is>
      </c>
      <c r="J11170" s="3" t="inlineStr">
        <is>
          <t>오송읍</t>
        </is>
      </c>
    </row>
    <row r="11171">
      <c r="A11171" s="3" t="n">
        <v>2024</v>
      </c>
      <c r="B11171" s="4" t="n">
        <v>10000</v>
      </c>
      <c r="C11171" s="4" t="n">
        <v>229</v>
      </c>
      <c r="D11171" s="4" t="n">
        <v>69.27249999999999</v>
      </c>
      <c r="E11171" s="5" t="n">
        <v>144.4</v>
      </c>
      <c r="F11171" s="3" t="inlineStr">
        <is>
          <t>오송읍</t>
        </is>
      </c>
      <c r="G11171" s="3" t="inlineStr">
        <is>
          <t>쌍청리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45976</v>
      </c>
      <c r="C11172" s="4" t="n">
        <v>660</v>
      </c>
      <c r="D11172" s="4" t="n">
        <v>199.65</v>
      </c>
      <c r="E11172" s="5" t="n">
        <v>230.3</v>
      </c>
      <c r="F11172" s="3" t="inlineStr">
        <is>
          <t>남이면</t>
        </is>
      </c>
      <c r="G11172" s="3" t="inlineStr">
        <is>
          <t>양촌리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남이면</t>
        </is>
      </c>
    </row>
    <row r="11173">
      <c r="A11173" s="3" t="n">
        <v>2025</v>
      </c>
      <c r="B11173" s="4" t="n">
        <v>27980</v>
      </c>
      <c r="C11173" s="4" t="n">
        <v>533</v>
      </c>
      <c r="D11173" s="4" t="n">
        <v>161.2325</v>
      </c>
      <c r="E11173" s="5" t="n">
        <v>173.5</v>
      </c>
      <c r="F11173" s="3" t="inlineStr">
        <is>
          <t>남이면</t>
        </is>
      </c>
      <c r="G11173" s="3" t="inlineStr">
        <is>
          <t>팔봉리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2025</v>
      </c>
      <c r="B11174" s="4" t="n">
        <v>30970</v>
      </c>
      <c r="C11174" s="4" t="n">
        <v>334</v>
      </c>
      <c r="D11174" s="4" t="n">
        <v>101.035</v>
      </c>
      <c r="E11174" s="5" t="n">
        <v>306.5</v>
      </c>
      <c r="F11174" s="3" t="inlineStr">
        <is>
          <t>남이면</t>
        </is>
      </c>
      <c r="G11174" s="3" t="inlineStr">
        <is>
          <t>팔봉리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2025</v>
      </c>
      <c r="B11175" s="4" t="n">
        <v>19900</v>
      </c>
      <c r="C11175" s="4" t="n">
        <v>459</v>
      </c>
      <c r="D11175" s="4" t="n">
        <v>138.8475</v>
      </c>
      <c r="E11175" s="5" t="n">
        <v>143.3</v>
      </c>
      <c r="F11175" s="3" t="inlineStr">
        <is>
          <t>남이면</t>
        </is>
      </c>
      <c r="G11175" s="3" t="inlineStr">
        <is>
          <t>척북리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2025</v>
      </c>
      <c r="B11176" s="4" t="n">
        <v>40500</v>
      </c>
      <c r="C11176" s="4" t="n">
        <v>493.6</v>
      </c>
      <c r="D11176" s="4" t="n">
        <v>149.314</v>
      </c>
      <c r="E11176" s="5" t="n">
        <v>271.2</v>
      </c>
      <c r="F11176" s="3" t="inlineStr">
        <is>
          <t>남이면</t>
        </is>
      </c>
      <c r="G11176" s="3" t="inlineStr">
        <is>
          <t>가좌리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2025</v>
      </c>
      <c r="B11177" s="4" t="n">
        <v>30000</v>
      </c>
      <c r="C11177" s="4" t="n">
        <v>549</v>
      </c>
      <c r="D11177" s="4" t="n">
        <v>166.0725</v>
      </c>
      <c r="E11177" s="5" t="n">
        <v>180.6</v>
      </c>
      <c r="F11177" s="3" t="inlineStr">
        <is>
          <t>남이면</t>
        </is>
      </c>
      <c r="G11177" s="3" t="inlineStr">
        <is>
          <t>척산리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2025</v>
      </c>
      <c r="B11178" s="4" t="n">
        <v>25000</v>
      </c>
      <c r="C11178" s="4" t="n">
        <v>402</v>
      </c>
      <c r="D11178" s="4" t="n">
        <v>121.605</v>
      </c>
      <c r="E11178" s="5" t="n">
        <v>205.6</v>
      </c>
      <c r="F11178" s="3" t="inlineStr">
        <is>
          <t>남이면</t>
        </is>
      </c>
      <c r="G11178" s="3" t="inlineStr">
        <is>
          <t>석판리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2025</v>
      </c>
      <c r="B11179" s="4" t="n">
        <v>62880</v>
      </c>
      <c r="C11179" s="4" t="n">
        <v>611</v>
      </c>
      <c r="D11179" s="4" t="n">
        <v>184.8275</v>
      </c>
      <c r="E11179" s="5" t="n">
        <v>340.2</v>
      </c>
      <c r="F11179" s="3" t="inlineStr">
        <is>
          <t>남이면</t>
        </is>
      </c>
      <c r="G11179" s="3" t="inlineStr">
        <is>
          <t>팔봉리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2025</v>
      </c>
      <c r="B11180" s="4" t="n">
        <v>23340</v>
      </c>
      <c r="C11180" s="4" t="n">
        <v>415</v>
      </c>
      <c r="D11180" s="4" t="n">
        <v>125.5375</v>
      </c>
      <c r="E11180" s="5" t="n">
        <v>185.9</v>
      </c>
      <c r="F11180" s="3" t="inlineStr">
        <is>
          <t>남이면</t>
        </is>
      </c>
      <c r="G11180" s="3" t="inlineStr">
        <is>
          <t>수대리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2025</v>
      </c>
      <c r="B11181" s="4" t="n">
        <v>6000</v>
      </c>
      <c r="C11181" s="4" t="n">
        <v>362</v>
      </c>
      <c r="D11181" s="4" t="n">
        <v>109.505</v>
      </c>
      <c r="E11181" s="5" t="n">
        <v>54.8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29800</v>
      </c>
      <c r="C11182" s="4" t="n">
        <v>284</v>
      </c>
      <c r="D11182" s="4" t="n">
        <v>85.91</v>
      </c>
      <c r="E11182" s="5" t="n">
        <v>346.9</v>
      </c>
      <c r="F11182" s="3" t="inlineStr">
        <is>
          <t>현도면</t>
        </is>
      </c>
      <c r="G11182" s="3" t="inlineStr">
        <is>
          <t>노산리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2025</v>
      </c>
      <c r="B11183" s="4" t="n">
        <v>46850</v>
      </c>
      <c r="C11183" s="4" t="n">
        <v>541</v>
      </c>
      <c r="D11183" s="4" t="n">
        <v>163.6525</v>
      </c>
      <c r="E11183" s="5" t="n">
        <v>286.3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45930</v>
      </c>
      <c r="C11184" s="4" t="n">
        <v>660</v>
      </c>
      <c r="D11184" s="4" t="n">
        <v>199.65</v>
      </c>
      <c r="E11184" s="5" t="n">
        <v>230.1</v>
      </c>
      <c r="F11184" s="3" t="inlineStr">
        <is>
          <t>남이면</t>
        </is>
      </c>
      <c r="G11184" s="3" t="inlineStr">
        <is>
          <t>양촌리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35500</v>
      </c>
      <c r="C11185" s="4" t="n">
        <v>854</v>
      </c>
      <c r="D11185" s="4" t="n">
        <v>258.335</v>
      </c>
      <c r="E11185" s="5" t="n">
        <v>137.4</v>
      </c>
      <c r="F11185" s="3" t="inlineStr">
        <is>
          <t>남이면</t>
        </is>
      </c>
      <c r="G11185" s="3" t="inlineStr">
        <is>
          <t>팔봉리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57000</v>
      </c>
      <c r="C11186" s="4" t="n">
        <v>916</v>
      </c>
      <c r="D11186" s="4" t="n">
        <v>277.09</v>
      </c>
      <c r="E11186" s="5" t="n">
        <v>205.7</v>
      </c>
      <c r="F11186" s="3" t="inlineStr">
        <is>
          <t>남이면</t>
        </is>
      </c>
      <c r="G11186" s="3" t="inlineStr">
        <is>
          <t>가마리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2022</v>
      </c>
      <c r="B11187" s="4" t="n">
        <v>20000</v>
      </c>
      <c r="C11187" s="4" t="n">
        <v>280</v>
      </c>
      <c r="D11187" s="4" t="n">
        <v>84.7</v>
      </c>
      <c r="E11187" s="5" t="n">
        <v>236.1</v>
      </c>
      <c r="F11187" s="3" t="inlineStr">
        <is>
          <t>남이면</t>
        </is>
      </c>
      <c r="G11187" s="3" t="inlineStr">
        <is>
          <t>부용외천리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21000</v>
      </c>
      <c r="C11188" s="4" t="n">
        <v>304</v>
      </c>
      <c r="D11188" s="4" t="n">
        <v>91.95999999999999</v>
      </c>
      <c r="E11188" s="5" t="n">
        <v>228.4</v>
      </c>
      <c r="F11188" s="3" t="inlineStr">
        <is>
          <t>현도면</t>
        </is>
      </c>
      <c r="G11188" s="3" t="inlineStr">
        <is>
          <t>죽전리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2022</v>
      </c>
      <c r="B11189" s="4" t="n">
        <v>24500</v>
      </c>
      <c r="C11189" s="4" t="n">
        <v>389</v>
      </c>
      <c r="D11189" s="4" t="n">
        <v>117.6725</v>
      </c>
      <c r="E11189" s="5" t="n">
        <v>208.2</v>
      </c>
      <c r="F11189" s="3" t="inlineStr">
        <is>
          <t>남이면</t>
        </is>
      </c>
      <c r="G11189" s="3" t="inlineStr">
        <is>
          <t>척산리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2022</v>
      </c>
      <c r="B11190" s="4" t="n">
        <v>39000</v>
      </c>
      <c r="C11190" s="4" t="n">
        <v>469</v>
      </c>
      <c r="D11190" s="4" t="n">
        <v>141.8725</v>
      </c>
      <c r="E11190" s="5" t="n">
        <v>274.9</v>
      </c>
      <c r="F11190" s="3" t="inlineStr">
        <is>
          <t>남이면</t>
        </is>
      </c>
      <c r="G11190" s="3" t="inlineStr">
        <is>
          <t>가좌리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남이면</t>
        </is>
      </c>
    </row>
    <row r="11191">
      <c r="A11191" s="3" t="n">
        <v>2022</v>
      </c>
      <c r="B11191" s="4" t="n">
        <v>40000</v>
      </c>
      <c r="C11191" s="4" t="n">
        <v>469</v>
      </c>
      <c r="D11191" s="4" t="n">
        <v>141.8725</v>
      </c>
      <c r="E11191" s="5" t="n">
        <v>281.9</v>
      </c>
      <c r="F11191" s="3" t="inlineStr">
        <is>
          <t>남이면</t>
        </is>
      </c>
      <c r="G11191" s="3" t="inlineStr">
        <is>
          <t>가좌리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2022</v>
      </c>
      <c r="B11192" s="4" t="n">
        <v>15000</v>
      </c>
      <c r="C11192" s="4" t="n">
        <v>364</v>
      </c>
      <c r="D11192" s="4" t="n">
        <v>110.11</v>
      </c>
      <c r="E11192" s="5" t="n">
        <v>136.2</v>
      </c>
      <c r="F11192" s="3" t="inlineStr">
        <is>
          <t>현도면</t>
        </is>
      </c>
      <c r="G11192" s="3" t="inlineStr">
        <is>
          <t>죽전리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현도면</t>
        </is>
      </c>
    </row>
    <row r="11193">
      <c r="A11193" s="3" t="n">
        <v>2022</v>
      </c>
      <c r="B11193" s="4" t="n">
        <v>60950</v>
      </c>
      <c r="C11193" s="4" t="n">
        <v>467</v>
      </c>
      <c r="D11193" s="4" t="n">
        <v>141.2675</v>
      </c>
      <c r="E11193" s="5" t="n">
        <v>431.5</v>
      </c>
      <c r="F11193" s="3" t="inlineStr">
        <is>
          <t>남이면</t>
        </is>
      </c>
      <c r="G11193" s="3" t="inlineStr">
        <is>
          <t>양촌리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2022</v>
      </c>
      <c r="B11194" s="4" t="n">
        <v>6000</v>
      </c>
      <c r="C11194" s="4" t="n">
        <v>585</v>
      </c>
      <c r="D11194" s="4" t="n">
        <v>176.9625</v>
      </c>
      <c r="E11194" s="5" t="n">
        <v>33.9</v>
      </c>
      <c r="F11194" s="3" t="inlineStr">
        <is>
          <t>현도면</t>
        </is>
      </c>
      <c r="G11194" s="3" t="inlineStr">
        <is>
          <t>중척리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2025</v>
      </c>
      <c r="B11195" s="4" t="n">
        <v>30000</v>
      </c>
      <c r="C11195" s="4" t="n">
        <v>424</v>
      </c>
      <c r="D11195" s="4" t="n">
        <v>128.26</v>
      </c>
      <c r="E11195" s="5" t="n">
        <v>233.9</v>
      </c>
      <c r="F11195" s="3" t="inlineStr">
        <is>
          <t>남이면</t>
        </is>
      </c>
      <c r="G11195" s="3" t="inlineStr">
        <is>
          <t>수대리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2025</v>
      </c>
      <c r="B11196" s="4" t="n">
        <v>13500</v>
      </c>
      <c r="C11196" s="4" t="n">
        <v>304</v>
      </c>
      <c r="D11196" s="4" t="n">
        <v>91.95999999999999</v>
      </c>
      <c r="E11196" s="5" t="n">
        <v>146.8</v>
      </c>
      <c r="F11196" s="3" t="inlineStr">
        <is>
          <t>남이면</t>
        </is>
      </c>
      <c r="G11196" s="3" t="inlineStr">
        <is>
          <t>문동리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2025</v>
      </c>
      <c r="B11197" s="4" t="n">
        <v>12200</v>
      </c>
      <c r="C11197" s="4" t="n">
        <v>280</v>
      </c>
      <c r="D11197" s="4" t="n">
        <v>84.7</v>
      </c>
      <c r="E11197" s="5" t="n">
        <v>144</v>
      </c>
      <c r="F11197" s="3" t="inlineStr">
        <is>
          <t>현도면</t>
        </is>
      </c>
      <c r="G11197" s="3" t="inlineStr">
        <is>
          <t>하석리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현도면</t>
        </is>
      </c>
    </row>
    <row r="11198">
      <c r="A11198" s="3" t="n">
        <v>2025</v>
      </c>
      <c r="B11198" s="4" t="n">
        <v>6700</v>
      </c>
      <c r="C11198" s="4" t="n">
        <v>254</v>
      </c>
      <c r="D11198" s="4" t="n">
        <v>76.83499999999999</v>
      </c>
      <c r="E11198" s="5" t="n">
        <v>87.2</v>
      </c>
      <c r="F11198" s="3" t="inlineStr">
        <is>
          <t>남이면</t>
        </is>
      </c>
      <c r="G11198" s="3" t="inlineStr">
        <is>
          <t>척북리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2025</v>
      </c>
      <c r="B11199" s="4" t="n">
        <v>6800</v>
      </c>
      <c r="C11199" s="4" t="n">
        <v>180</v>
      </c>
      <c r="D11199" s="4" t="n">
        <v>54.45</v>
      </c>
      <c r="E11199" s="5" t="n">
        <v>124.9</v>
      </c>
      <c r="F11199" s="3" t="inlineStr">
        <is>
          <t>남이면</t>
        </is>
      </c>
      <c r="G11199" s="3" t="inlineStr">
        <is>
          <t>척산리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2025</v>
      </c>
      <c r="B11200" s="4" t="n">
        <v>9500</v>
      </c>
      <c r="C11200" s="4" t="n">
        <v>284</v>
      </c>
      <c r="D11200" s="4" t="n">
        <v>85.91</v>
      </c>
      <c r="E11200" s="5" t="n">
        <v>110.6</v>
      </c>
      <c r="F11200" s="3" t="inlineStr">
        <is>
          <t>남이면</t>
        </is>
      </c>
      <c r="G11200" s="3" t="inlineStr">
        <is>
          <t>외천리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남이면</t>
        </is>
      </c>
    </row>
    <row r="11201">
      <c r="A11201" s="3" t="n">
        <v>2025</v>
      </c>
      <c r="B11201" s="4" t="n">
        <v>9000</v>
      </c>
      <c r="C11201" s="4" t="n">
        <v>219</v>
      </c>
      <c r="D11201" s="4" t="n">
        <v>66.2475</v>
      </c>
      <c r="E11201" s="5" t="n">
        <v>135.9</v>
      </c>
      <c r="F11201" s="3" t="inlineStr">
        <is>
          <t>현도면</t>
        </is>
      </c>
      <c r="G11201" s="3" t="inlineStr">
        <is>
          <t>매봉리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현도면</t>
        </is>
      </c>
    </row>
    <row r="11202">
      <c r="A11202" s="3" t="n">
        <v>2025</v>
      </c>
      <c r="B11202" s="4" t="n">
        <v>8000</v>
      </c>
      <c r="C11202" s="4" t="n">
        <v>404</v>
      </c>
      <c r="D11202" s="4" t="n">
        <v>122.21</v>
      </c>
      <c r="E11202" s="5" t="n">
        <v>65.5</v>
      </c>
      <c r="F11202" s="3" t="inlineStr">
        <is>
          <t>남이면</t>
        </is>
      </c>
      <c r="G11202" s="3" t="inlineStr">
        <is>
          <t>구미리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2025</v>
      </c>
      <c r="B11203" s="4" t="n">
        <v>22340</v>
      </c>
      <c r="C11203" s="4" t="n">
        <v>415</v>
      </c>
      <c r="D11203" s="4" t="n">
        <v>125.5375</v>
      </c>
      <c r="E11203" s="5" t="n">
        <v>178</v>
      </c>
      <c r="F11203" s="3" t="inlineStr">
        <is>
          <t>남이면</t>
        </is>
      </c>
      <c r="G11203" s="3" t="inlineStr">
        <is>
          <t>수대리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2025</v>
      </c>
      <c r="B11204" s="4" t="n">
        <v>49100</v>
      </c>
      <c r="C11204" s="4" t="n">
        <v>650</v>
      </c>
      <c r="D11204" s="4" t="n">
        <v>196.625</v>
      </c>
      <c r="E11204" s="5" t="n">
        <v>249.7</v>
      </c>
      <c r="F11204" s="3" t="inlineStr">
        <is>
          <t>남이면</t>
        </is>
      </c>
      <c r="G11204" s="3" t="inlineStr">
        <is>
          <t>석판리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2025</v>
      </c>
      <c r="B11205" s="4" t="n">
        <v>26000</v>
      </c>
      <c r="C11205" s="4" t="n">
        <v>466</v>
      </c>
      <c r="D11205" s="4" t="n">
        <v>140.965</v>
      </c>
      <c r="E11205" s="5" t="n">
        <v>184.4</v>
      </c>
      <c r="F11205" s="3" t="inlineStr">
        <is>
          <t>남이면</t>
        </is>
      </c>
      <c r="G11205" s="3" t="inlineStr">
        <is>
          <t>갈원리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2026</v>
      </c>
      <c r="B11206" s="4" t="n">
        <v>7300</v>
      </c>
      <c r="C11206" s="4" t="n">
        <v>238</v>
      </c>
      <c r="D11206" s="4" t="n">
        <v>71.995</v>
      </c>
      <c r="E11206" s="5" t="n">
        <v>101.4</v>
      </c>
      <c r="F11206" s="3" t="inlineStr">
        <is>
          <t>현도면</t>
        </is>
      </c>
      <c r="G11206" s="3" t="inlineStr">
        <is>
          <t>달계리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현도면</t>
        </is>
      </c>
    </row>
    <row r="11207">
      <c r="A11207" s="3" t="n">
        <v>2026</v>
      </c>
      <c r="B11207" s="4" t="n">
        <v>6700</v>
      </c>
      <c r="C11207" s="4" t="n">
        <v>162</v>
      </c>
      <c r="D11207" s="4" t="n">
        <v>49.005</v>
      </c>
      <c r="E11207" s="5" t="n">
        <v>136.7</v>
      </c>
      <c r="F11207" s="3" t="inlineStr">
        <is>
          <t>남이면</t>
        </is>
      </c>
      <c r="G11207" s="3" t="inlineStr">
        <is>
          <t>척산리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2026</v>
      </c>
      <c r="B11208" s="4" t="n">
        <v>25500</v>
      </c>
      <c r="C11208" s="4" t="n">
        <v>440</v>
      </c>
      <c r="D11208" s="4" t="n">
        <v>133.1</v>
      </c>
      <c r="E11208" s="5" t="n">
        <v>191.6</v>
      </c>
      <c r="F11208" s="3" t="inlineStr">
        <is>
          <t>남이면</t>
        </is>
      </c>
      <c r="G11208" s="3" t="inlineStr">
        <is>
          <t>문동리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2026</v>
      </c>
      <c r="B11209" s="4" t="n">
        <v>6800</v>
      </c>
      <c r="C11209" s="4" t="n">
        <v>210</v>
      </c>
      <c r="D11209" s="4" t="n">
        <v>63.525</v>
      </c>
      <c r="E11209" s="5" t="n">
        <v>107</v>
      </c>
      <c r="F11209" s="3" t="inlineStr">
        <is>
          <t>현도면</t>
        </is>
      </c>
      <c r="G11209" s="3" t="inlineStr">
        <is>
          <t>죽전리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현도면</t>
        </is>
      </c>
    </row>
    <row r="11210">
      <c r="A11210" s="3" t="n">
        <v>2022</v>
      </c>
      <c r="B11210" s="4" t="n">
        <v>67765</v>
      </c>
      <c r="C11210" s="4" t="n">
        <v>587</v>
      </c>
      <c r="D11210" s="4" t="n">
        <v>177.5675</v>
      </c>
      <c r="E11210" s="5" t="n">
        <v>381.6</v>
      </c>
      <c r="F11210" s="3" t="inlineStr">
        <is>
          <t>강내면</t>
        </is>
      </c>
      <c r="G11210" s="3" t="inlineStr">
        <is>
          <t>탑연리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강내면</t>
        </is>
      </c>
    </row>
    <row r="11211">
      <c r="A11211" s="3" t="n">
        <v>2022</v>
      </c>
      <c r="B11211" s="4" t="n">
        <v>65000</v>
      </c>
      <c r="C11211" s="4" t="n">
        <v>281</v>
      </c>
      <c r="D11211" s="4" t="n">
        <v>85.0025</v>
      </c>
      <c r="E11211" s="5" t="n">
        <v>764.7</v>
      </c>
      <c r="F11211" s="3" t="inlineStr">
        <is>
          <t>오송읍</t>
        </is>
      </c>
      <c r="G11211" s="3" t="inlineStr">
        <is>
          <t>연제리</t>
        </is>
      </c>
      <c r="H11211" s="3" t="inlineStr">
        <is>
          <t>단독다가구</t>
        </is>
      </c>
      <c r="I11211" s="3" t="inlineStr">
        <is>
          <t>다가구</t>
        </is>
      </c>
      <c r="J11211" s="3" t="inlineStr">
        <is>
          <t>오송읍</t>
        </is>
      </c>
    </row>
    <row r="11212">
      <c r="A11212" s="3" t="n">
        <v>2022</v>
      </c>
      <c r="B11212" s="4" t="n">
        <v>104800</v>
      </c>
      <c r="C11212" s="4" t="n">
        <v>651</v>
      </c>
      <c r="D11212" s="4" t="n">
        <v>196.9275</v>
      </c>
      <c r="E11212" s="5" t="n">
        <v>532.2</v>
      </c>
      <c r="F11212" s="3" t="inlineStr">
        <is>
          <t>오송읍</t>
        </is>
      </c>
      <c r="G11212" s="3" t="inlineStr">
        <is>
          <t>궁평리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2022</v>
      </c>
      <c r="B11213" s="4" t="n">
        <v>105000</v>
      </c>
      <c r="C11213" s="4" t="n">
        <v>651</v>
      </c>
      <c r="D11213" s="4" t="n">
        <v>196.9275</v>
      </c>
      <c r="E11213" s="5" t="n">
        <v>533.2</v>
      </c>
      <c r="F11213" s="3" t="inlineStr">
        <is>
          <t>오송읍</t>
        </is>
      </c>
      <c r="G11213" s="3" t="inlineStr">
        <is>
          <t>궁평리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오송읍</t>
        </is>
      </c>
    </row>
    <row r="11214">
      <c r="A11214" s="3" t="n">
        <v>2022</v>
      </c>
      <c r="B11214" s="4" t="n">
        <v>53000</v>
      </c>
      <c r="C11214" s="4" t="n">
        <v>1058</v>
      </c>
      <c r="D11214" s="4" t="n">
        <v>320.045</v>
      </c>
      <c r="E11214" s="5" t="n">
        <v>165.6</v>
      </c>
      <c r="F11214" s="3" t="inlineStr">
        <is>
          <t>강내면</t>
        </is>
      </c>
      <c r="G11214" s="3" t="inlineStr">
        <is>
          <t>월탄리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2022</v>
      </c>
      <c r="B11215" s="4" t="n">
        <v>73500</v>
      </c>
      <c r="C11215" s="4" t="n">
        <v>255.4</v>
      </c>
      <c r="D11215" s="4" t="n">
        <v>77.2585</v>
      </c>
      <c r="E11215" s="5" t="n">
        <v>951.4</v>
      </c>
      <c r="F11215" s="3" t="inlineStr">
        <is>
          <t>오송읍</t>
        </is>
      </c>
      <c r="G11215" s="3" t="inlineStr">
        <is>
          <t>만수리</t>
        </is>
      </c>
      <c r="H11215" s="3" t="inlineStr">
        <is>
          <t>단독다가구</t>
        </is>
      </c>
      <c r="I11215" s="3" t="inlineStr">
        <is>
          <t>다가구</t>
        </is>
      </c>
      <c r="J11215" s="3" t="inlineStr">
        <is>
          <t>오송읍</t>
        </is>
      </c>
    </row>
    <row r="11216">
      <c r="A11216" s="3" t="n">
        <v>2022</v>
      </c>
      <c r="B11216" s="4" t="n">
        <v>9000</v>
      </c>
      <c r="C11216" s="4" t="n">
        <v>395</v>
      </c>
      <c r="D11216" s="4" t="n">
        <v>119.4875</v>
      </c>
      <c r="E11216" s="5" t="n">
        <v>75.3</v>
      </c>
      <c r="F11216" s="3" t="inlineStr">
        <is>
          <t>강내면</t>
        </is>
      </c>
      <c r="G11216" s="3" t="inlineStr">
        <is>
          <t>다락리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강내면</t>
        </is>
      </c>
    </row>
    <row r="11217">
      <c r="A11217" s="3" t="n">
        <v>2022</v>
      </c>
      <c r="B11217" s="4" t="n">
        <v>73000</v>
      </c>
      <c r="C11217" s="4" t="n">
        <v>278.9</v>
      </c>
      <c r="D11217" s="4" t="n">
        <v>84.36724999999998</v>
      </c>
      <c r="E11217" s="5" t="n">
        <v>865.3</v>
      </c>
      <c r="F11217" s="3" t="inlineStr">
        <is>
          <t>오송읍</t>
        </is>
      </c>
      <c r="G11217" s="3" t="inlineStr">
        <is>
          <t>만수리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오송읍</t>
        </is>
      </c>
    </row>
    <row r="11218">
      <c r="A11218" s="3" t="n">
        <v>2022</v>
      </c>
      <c r="B11218" s="4" t="n">
        <v>27000</v>
      </c>
      <c r="C11218" s="4" t="n">
        <v>424</v>
      </c>
      <c r="D11218" s="4" t="n">
        <v>128.26</v>
      </c>
      <c r="E11218" s="5" t="n">
        <v>210.5</v>
      </c>
      <c r="F11218" s="3" t="inlineStr">
        <is>
          <t>오송읍</t>
        </is>
      </c>
      <c r="G11218" s="3" t="inlineStr">
        <is>
          <t>연제리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61000</v>
      </c>
      <c r="C11219" s="4" t="n">
        <v>522</v>
      </c>
      <c r="D11219" s="4" t="n">
        <v>157.905</v>
      </c>
      <c r="E11219" s="5" t="n">
        <v>386.3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2024</v>
      </c>
      <c r="B11220" s="4" t="n">
        <v>10100</v>
      </c>
      <c r="C11220" s="4" t="n">
        <v>290</v>
      </c>
      <c r="D11220" s="4" t="n">
        <v>87.72499999999999</v>
      </c>
      <c r="E11220" s="5" t="n">
        <v>115.1</v>
      </c>
      <c r="F11220" s="3" t="inlineStr">
        <is>
          <t>남이면</t>
        </is>
      </c>
      <c r="G11220" s="3" t="inlineStr">
        <is>
          <t>수대리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2024</v>
      </c>
      <c r="B11221" s="4" t="n">
        <v>75000</v>
      </c>
      <c r="C11221" s="4" t="n">
        <v>1045</v>
      </c>
      <c r="D11221" s="4" t="n">
        <v>316.1125</v>
      </c>
      <c r="E11221" s="5" t="n">
        <v>237.3</v>
      </c>
      <c r="F11221" s="3" t="inlineStr">
        <is>
          <t>현도면</t>
        </is>
      </c>
      <c r="G11221" s="3" t="inlineStr">
        <is>
          <t>죽전리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현도면</t>
        </is>
      </c>
    </row>
    <row r="11222">
      <c r="A11222" s="3" t="n">
        <v>2025</v>
      </c>
      <c r="B11222" s="4" t="n">
        <v>29720</v>
      </c>
      <c r="C11222" s="4" t="n">
        <v>502</v>
      </c>
      <c r="D11222" s="4" t="n">
        <v>151.855</v>
      </c>
      <c r="E11222" s="5" t="n">
        <v>195.7</v>
      </c>
      <c r="F11222" s="3" t="inlineStr">
        <is>
          <t>남이면</t>
        </is>
      </c>
      <c r="G11222" s="3" t="inlineStr">
        <is>
          <t>석판리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43976</v>
      </c>
      <c r="C11223" s="4" t="n">
        <v>660</v>
      </c>
      <c r="D11223" s="4" t="n">
        <v>199.65</v>
      </c>
      <c r="E11223" s="5" t="n">
        <v>220.3</v>
      </c>
      <c r="F11223" s="3" t="inlineStr">
        <is>
          <t>남이면</t>
        </is>
      </c>
      <c r="G11223" s="3" t="inlineStr">
        <is>
          <t>양촌리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10700</v>
      </c>
      <c r="C11224" s="4" t="n">
        <v>290</v>
      </c>
      <c r="D11224" s="4" t="n">
        <v>87.72499999999999</v>
      </c>
      <c r="E11224" s="5" t="n">
        <v>122</v>
      </c>
      <c r="F11224" s="3" t="inlineStr">
        <is>
          <t>남이면</t>
        </is>
      </c>
      <c r="G11224" s="3" t="inlineStr">
        <is>
          <t>산막리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30200</v>
      </c>
      <c r="C11225" s="4" t="n">
        <v>543</v>
      </c>
      <c r="D11225" s="4" t="n">
        <v>164.2575</v>
      </c>
      <c r="E11225" s="5" t="n">
        <v>183.9</v>
      </c>
      <c r="F11225" s="3" t="inlineStr">
        <is>
          <t>남이면</t>
        </is>
      </c>
      <c r="G11225" s="3" t="inlineStr">
        <is>
          <t>팔봉리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24950</v>
      </c>
      <c r="C11226" s="4" t="n">
        <v>379</v>
      </c>
      <c r="D11226" s="4" t="n">
        <v>114.6475</v>
      </c>
      <c r="E11226" s="5" t="n">
        <v>217.6</v>
      </c>
      <c r="F11226" s="3" t="inlineStr">
        <is>
          <t>남이면</t>
        </is>
      </c>
      <c r="G11226" s="3" t="inlineStr">
        <is>
          <t>수대리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2024</v>
      </c>
      <c r="B11227" s="4" t="n">
        <v>28100</v>
      </c>
      <c r="C11227" s="4" t="n">
        <v>334</v>
      </c>
      <c r="D11227" s="4" t="n">
        <v>101.035</v>
      </c>
      <c r="E11227" s="5" t="n">
        <v>278.1</v>
      </c>
      <c r="F11227" s="3" t="inlineStr">
        <is>
          <t>남이면</t>
        </is>
      </c>
      <c r="G11227" s="3" t="inlineStr">
        <is>
          <t>팔봉리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23300</v>
      </c>
      <c r="C11228" s="4" t="n">
        <v>650</v>
      </c>
      <c r="D11228" s="4" t="n">
        <v>196.625</v>
      </c>
      <c r="E11228" s="5" t="n">
        <v>118.5</v>
      </c>
      <c r="F11228" s="3" t="inlineStr">
        <is>
          <t>남이면</t>
        </is>
      </c>
      <c r="G11228" s="3" t="inlineStr">
        <is>
          <t>문동리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22000</v>
      </c>
      <c r="C11229" s="4" t="n">
        <v>951</v>
      </c>
      <c r="D11229" s="4" t="n">
        <v>287.6775</v>
      </c>
      <c r="E11229" s="5" t="n">
        <v>76.5</v>
      </c>
      <c r="F11229" s="3" t="inlineStr">
        <is>
          <t>남이면</t>
        </is>
      </c>
      <c r="G11229" s="3" t="inlineStr">
        <is>
          <t>갈원리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40000</v>
      </c>
      <c r="C11230" s="4" t="n">
        <v>507</v>
      </c>
      <c r="D11230" s="4" t="n">
        <v>153.3675</v>
      </c>
      <c r="E11230" s="5" t="n">
        <v>260.8</v>
      </c>
      <c r="F11230" s="3" t="inlineStr">
        <is>
          <t>남이면</t>
        </is>
      </c>
      <c r="G11230" s="3" t="inlineStr">
        <is>
          <t>가좌리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남이면</t>
        </is>
      </c>
    </row>
    <row r="11231">
      <c r="A11231" s="3" t="n">
        <v>2025</v>
      </c>
      <c r="B11231" s="4" t="n">
        <v>55500</v>
      </c>
      <c r="C11231" s="4" t="n">
        <v>636</v>
      </c>
      <c r="D11231" s="4" t="n">
        <v>192.39</v>
      </c>
      <c r="E11231" s="5" t="n">
        <v>288.5</v>
      </c>
      <c r="F11231" s="3" t="inlineStr">
        <is>
          <t>남이면</t>
        </is>
      </c>
      <c r="G11231" s="3" t="inlineStr">
        <is>
          <t>양촌리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2025</v>
      </c>
      <c r="B11232" s="4" t="n">
        <v>46200</v>
      </c>
      <c r="C11232" s="4" t="n">
        <v>541</v>
      </c>
      <c r="D11232" s="4" t="n">
        <v>163.6525</v>
      </c>
      <c r="E11232" s="5" t="n">
        <v>282.3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2025</v>
      </c>
      <c r="B11233" s="4" t="n">
        <v>69000</v>
      </c>
      <c r="C11233" s="4" t="n">
        <v>930</v>
      </c>
      <c r="D11233" s="4" t="n">
        <v>281.325</v>
      </c>
      <c r="E11233" s="5" t="n">
        <v>245.3</v>
      </c>
      <c r="F11233" s="3" t="inlineStr">
        <is>
          <t>남이면</t>
        </is>
      </c>
      <c r="G11233" s="3" t="inlineStr">
        <is>
          <t>석판리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2025</v>
      </c>
      <c r="B11234" s="4" t="n">
        <v>13000</v>
      </c>
      <c r="C11234" s="4" t="n">
        <v>251</v>
      </c>
      <c r="D11234" s="4" t="n">
        <v>75.92749999999999</v>
      </c>
      <c r="E11234" s="5" t="n">
        <v>171.2</v>
      </c>
      <c r="F11234" s="3" t="inlineStr">
        <is>
          <t>남이면</t>
        </is>
      </c>
      <c r="G11234" s="3" t="inlineStr">
        <is>
          <t>척산리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2025</v>
      </c>
      <c r="B11235" s="4" t="n">
        <v>8500</v>
      </c>
      <c r="C11235" s="4" t="n">
        <v>158</v>
      </c>
      <c r="D11235" s="4" t="n">
        <v>47.795</v>
      </c>
      <c r="E11235" s="5" t="n">
        <v>177.8</v>
      </c>
      <c r="F11235" s="3" t="inlineStr">
        <is>
          <t>남이면</t>
        </is>
      </c>
      <c r="G11235" s="3" t="inlineStr">
        <is>
          <t>척산리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2025</v>
      </c>
      <c r="B11236" s="4" t="n">
        <v>24340</v>
      </c>
      <c r="C11236" s="4" t="n">
        <v>515</v>
      </c>
      <c r="D11236" s="4" t="n">
        <v>155.7875</v>
      </c>
      <c r="E11236" s="5" t="n">
        <v>156.2</v>
      </c>
      <c r="F11236" s="3" t="inlineStr">
        <is>
          <t>남이면</t>
        </is>
      </c>
      <c r="G11236" s="3" t="inlineStr">
        <is>
          <t>수대리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2025</v>
      </c>
      <c r="B11237" s="4" t="n">
        <v>52000</v>
      </c>
      <c r="C11237" s="4" t="n">
        <v>597</v>
      </c>
      <c r="D11237" s="4" t="n">
        <v>180.5925</v>
      </c>
      <c r="E11237" s="5" t="n">
        <v>287.9</v>
      </c>
      <c r="F11237" s="3" t="inlineStr">
        <is>
          <t>남이면</t>
        </is>
      </c>
      <c r="G11237" s="3" t="inlineStr">
        <is>
          <t>가좌리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남이면</t>
        </is>
      </c>
    </row>
    <row r="11238">
      <c r="A11238" s="3" t="n">
        <v>2022</v>
      </c>
      <c r="B11238" s="4" t="n">
        <v>33500</v>
      </c>
      <c r="C11238" s="4" t="n">
        <v>639</v>
      </c>
      <c r="D11238" s="4" t="n">
        <v>193.2975</v>
      </c>
      <c r="E11238" s="5" t="n">
        <v>173.3</v>
      </c>
      <c r="F11238" s="3" t="inlineStr">
        <is>
          <t>남이면</t>
        </is>
      </c>
      <c r="G11238" s="3" t="inlineStr">
        <is>
          <t>외천리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58950</v>
      </c>
      <c r="C11239" s="4" t="n">
        <v>575</v>
      </c>
      <c r="D11239" s="4" t="n">
        <v>173.9375</v>
      </c>
      <c r="E11239" s="5" t="n">
        <v>338.9</v>
      </c>
      <c r="F11239" s="3" t="inlineStr">
        <is>
          <t>남이면</t>
        </is>
      </c>
      <c r="G11239" s="3" t="inlineStr">
        <is>
          <t>양촌리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25700</v>
      </c>
      <c r="C11240" s="4" t="n">
        <v>486</v>
      </c>
      <c r="D11240" s="4" t="n">
        <v>147.015</v>
      </c>
      <c r="E11240" s="5" t="n">
        <v>174.8</v>
      </c>
      <c r="F11240" s="3" t="inlineStr">
        <is>
          <t>남이면</t>
        </is>
      </c>
      <c r="G11240" s="3" t="inlineStr">
        <is>
          <t>상발리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45000</v>
      </c>
      <c r="C11241" s="4" t="n">
        <v>766</v>
      </c>
      <c r="D11241" s="4" t="n">
        <v>231.715</v>
      </c>
      <c r="E11241" s="5" t="n">
        <v>194.2</v>
      </c>
      <c r="F11241" s="3" t="inlineStr">
        <is>
          <t>남이면</t>
        </is>
      </c>
      <c r="G11241" s="3" t="inlineStr">
        <is>
          <t>양촌리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2022</v>
      </c>
      <c r="B11242" s="4" t="n">
        <v>28830</v>
      </c>
      <c r="C11242" s="4" t="n">
        <v>414</v>
      </c>
      <c r="D11242" s="4" t="n">
        <v>125.235</v>
      </c>
      <c r="E11242" s="5" t="n">
        <v>230.2</v>
      </c>
      <c r="F11242" s="3" t="inlineStr">
        <is>
          <t>남이면</t>
        </is>
      </c>
      <c r="G11242" s="3" t="inlineStr">
        <is>
          <t>수대리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39000</v>
      </c>
      <c r="C11243" s="4" t="n">
        <v>527</v>
      </c>
      <c r="D11243" s="4" t="n">
        <v>159.4175</v>
      </c>
      <c r="E11243" s="5" t="n">
        <v>244.6</v>
      </c>
      <c r="F11243" s="3" t="inlineStr">
        <is>
          <t>남이면</t>
        </is>
      </c>
      <c r="G11243" s="3" t="inlineStr">
        <is>
          <t>가좌리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2022</v>
      </c>
      <c r="B11244" s="4" t="n">
        <v>37700</v>
      </c>
      <c r="C11244" s="4" t="n">
        <v>669</v>
      </c>
      <c r="D11244" s="4" t="n">
        <v>202.3725</v>
      </c>
      <c r="E11244" s="5" t="n">
        <v>186.3</v>
      </c>
      <c r="F11244" s="3" t="inlineStr">
        <is>
          <t>남이면</t>
        </is>
      </c>
      <c r="G11244" s="3" t="inlineStr">
        <is>
          <t>팔봉리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2022</v>
      </c>
      <c r="B11245" s="4" t="n">
        <v>26875</v>
      </c>
      <c r="C11245" s="4" t="n">
        <v>651</v>
      </c>
      <c r="D11245" s="4" t="n">
        <v>196.9275</v>
      </c>
      <c r="E11245" s="5" t="n">
        <v>136.5</v>
      </c>
      <c r="F11245" s="3" t="inlineStr">
        <is>
          <t>남이면</t>
        </is>
      </c>
      <c r="G11245" s="3" t="inlineStr">
        <is>
          <t>가좌리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2022</v>
      </c>
      <c r="B11246" s="4" t="n">
        <v>29000</v>
      </c>
      <c r="C11246" s="4" t="n">
        <v>436.5</v>
      </c>
      <c r="D11246" s="4" t="n">
        <v>132.04125</v>
      </c>
      <c r="E11246" s="5" t="n">
        <v>219.6</v>
      </c>
      <c r="F11246" s="3" t="inlineStr">
        <is>
          <t>남이면</t>
        </is>
      </c>
      <c r="G11246" s="3" t="inlineStr">
        <is>
          <t>수대리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남이면</t>
        </is>
      </c>
    </row>
    <row r="11247">
      <c r="A11247" s="3" t="n">
        <v>2022</v>
      </c>
      <c r="B11247" s="4" t="n">
        <v>59500</v>
      </c>
      <c r="C11247" s="4" t="n">
        <v>914</v>
      </c>
      <c r="D11247" s="4" t="n">
        <v>276.485</v>
      </c>
      <c r="E11247" s="5" t="n">
        <v>215.2</v>
      </c>
      <c r="F11247" s="3" t="inlineStr">
        <is>
          <t>남이면</t>
        </is>
      </c>
      <c r="G11247" s="3" t="inlineStr">
        <is>
          <t>양촌리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2024</v>
      </c>
      <c r="B11248" s="4" t="n">
        <v>21000</v>
      </c>
      <c r="C11248" s="4" t="n">
        <v>627</v>
      </c>
      <c r="D11248" s="4" t="n">
        <v>189.6675</v>
      </c>
      <c r="E11248" s="5" t="n">
        <v>110.7</v>
      </c>
      <c r="F11248" s="3" t="inlineStr">
        <is>
          <t>남이면</t>
        </is>
      </c>
      <c r="G11248" s="3" t="inlineStr">
        <is>
          <t>외천리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2024</v>
      </c>
      <c r="B11249" s="4" t="n">
        <v>13000</v>
      </c>
      <c r="C11249" s="4" t="n">
        <v>576</v>
      </c>
      <c r="D11249" s="4" t="n">
        <v>174.24</v>
      </c>
      <c r="E11249" s="5" t="n">
        <v>74.59999999999999</v>
      </c>
      <c r="F11249" s="3" t="inlineStr">
        <is>
          <t>현도면</t>
        </is>
      </c>
      <c r="G11249" s="3" t="inlineStr">
        <is>
          <t>시목리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현도면</t>
        </is>
      </c>
    </row>
    <row r="11250">
      <c r="A11250" s="3" t="n">
        <v>2024</v>
      </c>
      <c r="B11250" s="4" t="n">
        <v>14000</v>
      </c>
      <c r="C11250" s="4" t="n">
        <v>173</v>
      </c>
      <c r="D11250" s="4" t="n">
        <v>52.3325</v>
      </c>
      <c r="E11250" s="5" t="n">
        <v>267.5</v>
      </c>
      <c r="F11250" s="3" t="inlineStr">
        <is>
          <t>남이면</t>
        </is>
      </c>
      <c r="G11250" s="3" t="inlineStr">
        <is>
          <t>양촌리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2024</v>
      </c>
      <c r="B11251" s="4" t="n">
        <v>41800</v>
      </c>
      <c r="C11251" s="4" t="n">
        <v>450</v>
      </c>
      <c r="D11251" s="4" t="n">
        <v>136.125</v>
      </c>
      <c r="E11251" s="5" t="n">
        <v>307.1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2024</v>
      </c>
      <c r="B11252" s="4" t="n">
        <v>30707</v>
      </c>
      <c r="C11252" s="4" t="n">
        <v>561</v>
      </c>
      <c r="D11252" s="4" t="n">
        <v>169.7025</v>
      </c>
      <c r="E11252" s="5" t="n">
        <v>180.9</v>
      </c>
      <c r="F11252" s="3" t="inlineStr">
        <is>
          <t>남이면</t>
        </is>
      </c>
      <c r="G11252" s="3" t="inlineStr">
        <is>
          <t>외천리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2024</v>
      </c>
      <c r="B11253" s="4" t="n">
        <v>31076</v>
      </c>
      <c r="C11253" s="4" t="n">
        <v>561</v>
      </c>
      <c r="D11253" s="4" t="n">
        <v>169.7025</v>
      </c>
      <c r="E11253" s="5" t="n">
        <v>183.1</v>
      </c>
      <c r="F11253" s="3" t="inlineStr">
        <is>
          <t>남이면</t>
        </is>
      </c>
      <c r="G11253" s="3" t="inlineStr">
        <is>
          <t>외천리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2024</v>
      </c>
      <c r="B11254" s="4" t="n">
        <v>41650</v>
      </c>
      <c r="C11254" s="4" t="n">
        <v>521</v>
      </c>
      <c r="D11254" s="4" t="n">
        <v>157.6025</v>
      </c>
      <c r="E11254" s="5" t="n">
        <v>264.3</v>
      </c>
      <c r="F11254" s="3" t="inlineStr">
        <is>
          <t>오송읍</t>
        </is>
      </c>
      <c r="G11254" s="3" t="inlineStr">
        <is>
          <t>정중리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오송읍</t>
        </is>
      </c>
    </row>
    <row r="11255">
      <c r="A11255" s="3" t="n">
        <v>2024</v>
      </c>
      <c r="B11255" s="4" t="n">
        <v>9500</v>
      </c>
      <c r="C11255" s="4" t="n">
        <v>228</v>
      </c>
      <c r="D11255" s="4" t="n">
        <v>68.97</v>
      </c>
      <c r="E11255" s="5" t="n">
        <v>137.7</v>
      </c>
      <c r="F11255" s="3" t="inlineStr">
        <is>
          <t>남이면</t>
        </is>
      </c>
      <c r="G11255" s="3" t="inlineStr">
        <is>
          <t>석판리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2024</v>
      </c>
      <c r="B11256" s="4" t="n">
        <v>19664</v>
      </c>
      <c r="C11256" s="4" t="n">
        <v>500</v>
      </c>
      <c r="D11256" s="4" t="n">
        <v>151.25</v>
      </c>
      <c r="E11256" s="5" t="n">
        <v>130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2022</v>
      </c>
      <c r="B11257" s="4" t="n">
        <v>46300</v>
      </c>
      <c r="C11257" s="4" t="n">
        <v>526</v>
      </c>
      <c r="D11257" s="4" t="n">
        <v>159.115</v>
      </c>
      <c r="E11257" s="5" t="n">
        <v>291</v>
      </c>
      <c r="F11257" s="3" t="inlineStr">
        <is>
          <t>남이면</t>
        </is>
      </c>
      <c r="G11257" s="3" t="inlineStr">
        <is>
          <t>양촌리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2022</v>
      </c>
      <c r="B11258" s="4" t="n">
        <v>49100</v>
      </c>
      <c r="C11258" s="4" t="n">
        <v>655</v>
      </c>
      <c r="D11258" s="4" t="n">
        <v>198.1375</v>
      </c>
      <c r="E11258" s="5" t="n">
        <v>247.8</v>
      </c>
      <c r="F11258" s="3" t="inlineStr">
        <is>
          <t>남이면</t>
        </is>
      </c>
      <c r="G11258" s="3" t="inlineStr">
        <is>
          <t>문동리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2022</v>
      </c>
      <c r="B11259" s="4" t="n">
        <v>37465</v>
      </c>
      <c r="C11259" s="4" t="n">
        <v>414</v>
      </c>
      <c r="D11259" s="4" t="n">
        <v>125.235</v>
      </c>
      <c r="E11259" s="5" t="n">
        <v>299.2</v>
      </c>
      <c r="F11259" s="3" t="inlineStr">
        <is>
          <t>남이면</t>
        </is>
      </c>
      <c r="G11259" s="3" t="inlineStr">
        <is>
          <t>팔봉리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2022</v>
      </c>
      <c r="B11260" s="4" t="n">
        <v>36620</v>
      </c>
      <c r="C11260" s="4" t="n">
        <v>414</v>
      </c>
      <c r="D11260" s="4" t="n">
        <v>125.235</v>
      </c>
      <c r="E11260" s="5" t="n">
        <v>292.4</v>
      </c>
      <c r="F11260" s="3" t="inlineStr">
        <is>
          <t>남이면</t>
        </is>
      </c>
      <c r="G11260" s="3" t="inlineStr">
        <is>
          <t>팔봉리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2022</v>
      </c>
      <c r="B11261" s="4" t="n">
        <v>35000</v>
      </c>
      <c r="C11261" s="4" t="n">
        <v>250</v>
      </c>
      <c r="D11261" s="4" t="n">
        <v>75.625</v>
      </c>
      <c r="E11261" s="5" t="n">
        <v>462.8</v>
      </c>
      <c r="F11261" s="3" t="inlineStr">
        <is>
          <t>남이면</t>
        </is>
      </c>
      <c r="G11261" s="3" t="inlineStr">
        <is>
          <t>가마리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2022</v>
      </c>
      <c r="B11262" s="4" t="n">
        <v>3000</v>
      </c>
      <c r="C11262" s="4" t="n">
        <v>223</v>
      </c>
      <c r="D11262" s="4" t="n">
        <v>67.4575</v>
      </c>
      <c r="E11262" s="5" t="n">
        <v>44.5</v>
      </c>
      <c r="F11262" s="3" t="inlineStr">
        <is>
          <t>현도면</t>
        </is>
      </c>
      <c r="G11262" s="3" t="inlineStr">
        <is>
          <t>중척리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현도면</t>
        </is>
      </c>
    </row>
    <row r="11263">
      <c r="A11263" s="3" t="n">
        <v>2022</v>
      </c>
      <c r="B11263" s="4" t="n">
        <v>4570</v>
      </c>
      <c r="C11263" s="4" t="n">
        <v>106.1494</v>
      </c>
      <c r="D11263" s="4" t="n">
        <v>32.1101935</v>
      </c>
      <c r="E11263" s="5" t="n">
        <v>142.3</v>
      </c>
      <c r="F11263" s="3" t="inlineStr">
        <is>
          <t>현도면</t>
        </is>
      </c>
      <c r="G11263" s="3" t="inlineStr">
        <is>
          <t>매봉리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현도면</t>
        </is>
      </c>
    </row>
    <row r="11264">
      <c r="A11264" s="3" t="n">
        <v>2022</v>
      </c>
      <c r="B11264" s="4" t="n">
        <v>4460</v>
      </c>
      <c r="C11264" s="4" t="n">
        <v>133.1419</v>
      </c>
      <c r="D11264" s="4" t="n">
        <v>40.27542475</v>
      </c>
      <c r="E11264" s="5" t="n">
        <v>110.7</v>
      </c>
      <c r="F11264" s="3" t="inlineStr">
        <is>
          <t>현도면</t>
        </is>
      </c>
      <c r="G11264" s="3" t="inlineStr">
        <is>
          <t>매봉리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현도면</t>
        </is>
      </c>
    </row>
    <row r="11265">
      <c r="A11265" s="3" t="n">
        <v>2022</v>
      </c>
      <c r="B11265" s="4" t="n">
        <v>5040</v>
      </c>
      <c r="C11265" s="4" t="n">
        <v>199.7088</v>
      </c>
      <c r="D11265" s="4" t="n">
        <v>60.41191199999999</v>
      </c>
      <c r="E11265" s="5" t="n">
        <v>83.40000000000001</v>
      </c>
      <c r="F11265" s="3" t="inlineStr">
        <is>
          <t>현도면</t>
        </is>
      </c>
      <c r="G11265" s="3" t="inlineStr">
        <is>
          <t>매봉리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현도면</t>
        </is>
      </c>
    </row>
    <row r="11266">
      <c r="A11266" s="3" t="n">
        <v>2022</v>
      </c>
      <c r="B11266" s="4" t="n">
        <v>37500</v>
      </c>
      <c r="C11266" s="4" t="n">
        <v>673</v>
      </c>
      <c r="D11266" s="4" t="n">
        <v>203.5825</v>
      </c>
      <c r="E11266" s="5" t="n">
        <v>184.2</v>
      </c>
      <c r="F11266" s="3" t="inlineStr">
        <is>
          <t>남이면</t>
        </is>
      </c>
      <c r="G11266" s="3" t="inlineStr">
        <is>
          <t>양촌리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55000</v>
      </c>
      <c r="C11267" s="4" t="n">
        <v>732</v>
      </c>
      <c r="D11267" s="4" t="n">
        <v>221.43</v>
      </c>
      <c r="E11267" s="5" t="n">
        <v>248.4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2022</v>
      </c>
      <c r="B11268" s="4" t="n">
        <v>74000</v>
      </c>
      <c r="C11268" s="4" t="n">
        <v>295.2</v>
      </c>
      <c r="D11268" s="4" t="n">
        <v>89.29799999999999</v>
      </c>
      <c r="E11268" s="5" t="n">
        <v>828.7</v>
      </c>
      <c r="F11268" s="3" t="inlineStr">
        <is>
          <t>오송읍</t>
        </is>
      </c>
      <c r="G11268" s="3" t="inlineStr">
        <is>
          <t>만수리</t>
        </is>
      </c>
      <c r="H11268" s="3" t="inlineStr">
        <is>
          <t>단독다가구</t>
        </is>
      </c>
      <c r="I11268" s="3" t="inlineStr">
        <is>
          <t>다가구</t>
        </is>
      </c>
      <c r="J11268" s="3" t="inlineStr">
        <is>
          <t>오송읍</t>
        </is>
      </c>
    </row>
    <row r="11269">
      <c r="A11269" s="3" t="n">
        <v>2022</v>
      </c>
      <c r="B11269" s="4" t="n">
        <v>29500</v>
      </c>
      <c r="C11269" s="4" t="n">
        <v>352</v>
      </c>
      <c r="D11269" s="4" t="n">
        <v>106.48</v>
      </c>
      <c r="E11269" s="5" t="n">
        <v>277</v>
      </c>
      <c r="F11269" s="3" t="inlineStr">
        <is>
          <t>강내면</t>
        </is>
      </c>
      <c r="G11269" s="3" t="inlineStr">
        <is>
          <t>석화리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강내면</t>
        </is>
      </c>
    </row>
    <row r="11270">
      <c r="A11270" s="3" t="n">
        <v>2022</v>
      </c>
      <c r="B11270" s="4" t="n">
        <v>105000</v>
      </c>
      <c r="C11270" s="4" t="n">
        <v>348</v>
      </c>
      <c r="D11270" s="4" t="n">
        <v>105.27</v>
      </c>
      <c r="E11270" s="5" t="n">
        <v>997.4</v>
      </c>
      <c r="F11270" s="3" t="inlineStr">
        <is>
          <t>강내면</t>
        </is>
      </c>
      <c r="G11270" s="3" t="inlineStr">
        <is>
          <t>탑연리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강내면</t>
        </is>
      </c>
    </row>
    <row r="11271">
      <c r="A11271" s="3" t="n">
        <v>2022</v>
      </c>
      <c r="B11271" s="4" t="n">
        <v>35000</v>
      </c>
      <c r="C11271" s="4" t="n">
        <v>433</v>
      </c>
      <c r="D11271" s="4" t="n">
        <v>130.9825</v>
      </c>
      <c r="E11271" s="5" t="n">
        <v>267.2</v>
      </c>
      <c r="F11271" s="3" t="inlineStr">
        <is>
          <t>강내면</t>
        </is>
      </c>
      <c r="G11271" s="3" t="inlineStr">
        <is>
          <t>월탄리</t>
        </is>
      </c>
      <c r="H11271" s="3" t="inlineStr">
        <is>
          <t>단독다가구</t>
        </is>
      </c>
      <c r="I11271" s="3" t="inlineStr">
        <is>
          <t>다가구</t>
        </is>
      </c>
      <c r="J11271" s="3" t="inlineStr">
        <is>
          <t>강내면</t>
        </is>
      </c>
    </row>
    <row r="11272">
      <c r="A11272" s="3" t="n">
        <v>2022</v>
      </c>
      <c r="B11272" s="4" t="n">
        <v>20000</v>
      </c>
      <c r="C11272" s="4" t="n">
        <v>280</v>
      </c>
      <c r="D11272" s="4" t="n">
        <v>84.7</v>
      </c>
      <c r="E11272" s="5" t="n">
        <v>236.1</v>
      </c>
      <c r="F11272" s="3" t="inlineStr">
        <is>
          <t>강내면</t>
        </is>
      </c>
      <c r="G11272" s="3" t="inlineStr">
        <is>
          <t>월탄리</t>
        </is>
      </c>
      <c r="H11272" s="3" t="inlineStr">
        <is>
          <t>단독다가구</t>
        </is>
      </c>
      <c r="I11272" s="3" t="inlineStr">
        <is>
          <t>다가구</t>
        </is>
      </c>
      <c r="J11272" s="3" t="inlineStr">
        <is>
          <t>강내면</t>
        </is>
      </c>
    </row>
    <row r="11273">
      <c r="A11273" s="3" t="n">
        <v>2022</v>
      </c>
      <c r="B11273" s="4" t="n">
        <v>60000</v>
      </c>
      <c r="C11273" s="4" t="n">
        <v>203</v>
      </c>
      <c r="D11273" s="4" t="n">
        <v>61.4075</v>
      </c>
      <c r="E11273" s="5" t="n">
        <v>977.1</v>
      </c>
      <c r="F11273" s="3" t="inlineStr">
        <is>
          <t>강내면</t>
        </is>
      </c>
      <c r="G11273" s="3" t="inlineStr">
        <is>
          <t>월곡리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강내면</t>
        </is>
      </c>
    </row>
    <row r="11274">
      <c r="A11274" s="3" t="n">
        <v>2023</v>
      </c>
      <c r="B11274" s="4" t="n">
        <v>22000</v>
      </c>
      <c r="C11274" s="4" t="n">
        <v>453</v>
      </c>
      <c r="D11274" s="4" t="n">
        <v>137.0325</v>
      </c>
      <c r="E11274" s="5" t="n">
        <v>160.5</v>
      </c>
      <c r="F11274" s="3" t="inlineStr">
        <is>
          <t>강내면</t>
        </is>
      </c>
      <c r="G11274" s="3" t="inlineStr">
        <is>
          <t>사인리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강내면</t>
        </is>
      </c>
    </row>
    <row r="11275">
      <c r="A11275" s="3" t="n">
        <v>2023</v>
      </c>
      <c r="B11275" s="4" t="n">
        <v>50000</v>
      </c>
      <c r="C11275" s="4" t="n">
        <v>274</v>
      </c>
      <c r="D11275" s="4" t="n">
        <v>82.88499999999999</v>
      </c>
      <c r="E11275" s="5" t="n">
        <v>603.2</v>
      </c>
      <c r="F11275" s="3" t="inlineStr">
        <is>
          <t>오송읍</t>
        </is>
      </c>
      <c r="G11275" s="3" t="inlineStr">
        <is>
          <t>만수리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오송읍</t>
        </is>
      </c>
    </row>
    <row r="11276">
      <c r="A11276" s="3" t="n">
        <v>2023</v>
      </c>
      <c r="B11276" s="4" t="n">
        <v>72500</v>
      </c>
      <c r="C11276" s="4" t="n">
        <v>322</v>
      </c>
      <c r="D11276" s="4" t="n">
        <v>97.405</v>
      </c>
      <c r="E11276" s="5" t="n">
        <v>744.3</v>
      </c>
      <c r="F11276" s="3" t="inlineStr">
        <is>
          <t>강내면</t>
        </is>
      </c>
      <c r="G11276" s="3" t="inlineStr">
        <is>
          <t>월탄리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강내면</t>
        </is>
      </c>
    </row>
    <row r="11277">
      <c r="A11277" s="3" t="n">
        <v>2023</v>
      </c>
      <c r="B11277" s="4" t="n">
        <v>59000</v>
      </c>
      <c r="C11277" s="4" t="n">
        <v>495</v>
      </c>
      <c r="D11277" s="4" t="n">
        <v>149.7375</v>
      </c>
      <c r="E11277" s="5" t="n">
        <v>394</v>
      </c>
      <c r="F11277" s="3" t="inlineStr">
        <is>
          <t>강내면</t>
        </is>
      </c>
      <c r="G11277" s="3" t="inlineStr">
        <is>
          <t>저산리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강내면</t>
        </is>
      </c>
    </row>
    <row r="11278">
      <c r="A11278" s="3" t="n">
        <v>2023</v>
      </c>
      <c r="B11278" s="4" t="n">
        <v>10900</v>
      </c>
      <c r="C11278" s="4" t="n">
        <v>147</v>
      </c>
      <c r="D11278" s="4" t="n">
        <v>44.4675</v>
      </c>
      <c r="E11278" s="5" t="n">
        <v>245.1</v>
      </c>
      <c r="F11278" s="3" t="inlineStr">
        <is>
          <t>오송읍</t>
        </is>
      </c>
      <c r="G11278" s="3" t="inlineStr">
        <is>
          <t>연제리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오송읍</t>
        </is>
      </c>
    </row>
    <row r="11279">
      <c r="A11279" s="3" t="n">
        <v>2023</v>
      </c>
      <c r="B11279" s="4" t="n">
        <v>34977</v>
      </c>
      <c r="C11279" s="4" t="n">
        <v>533</v>
      </c>
      <c r="D11279" s="4" t="n">
        <v>161.2325</v>
      </c>
      <c r="E11279" s="5" t="n">
        <v>216.9</v>
      </c>
      <c r="F11279" s="3" t="inlineStr">
        <is>
          <t>강내면</t>
        </is>
      </c>
      <c r="G11279" s="3" t="inlineStr">
        <is>
          <t>궁현리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강내면</t>
        </is>
      </c>
    </row>
    <row r="11280">
      <c r="A11280" s="3" t="n">
        <v>2023</v>
      </c>
      <c r="B11280" s="4" t="n">
        <v>70500</v>
      </c>
      <c r="C11280" s="4" t="n">
        <v>280</v>
      </c>
      <c r="D11280" s="4" t="n">
        <v>84.7</v>
      </c>
      <c r="E11280" s="5" t="n">
        <v>832.3</v>
      </c>
      <c r="F11280" s="3" t="inlineStr">
        <is>
          <t>오송읍</t>
        </is>
      </c>
      <c r="G11280" s="3" t="inlineStr">
        <is>
          <t>만수리</t>
        </is>
      </c>
      <c r="H11280" s="3" t="inlineStr">
        <is>
          <t>단독다가구</t>
        </is>
      </c>
      <c r="I11280" s="3" t="inlineStr">
        <is>
          <t>다가구</t>
        </is>
      </c>
      <c r="J11280" s="3" t="inlineStr">
        <is>
          <t>오송읍</t>
        </is>
      </c>
    </row>
    <row r="11281">
      <c r="A11281" s="3" t="n">
        <v>2023</v>
      </c>
      <c r="B11281" s="4" t="n">
        <v>24100</v>
      </c>
      <c r="C11281" s="4" t="n">
        <v>601</v>
      </c>
      <c r="D11281" s="4" t="n">
        <v>181.8025</v>
      </c>
      <c r="E11281" s="5" t="n">
        <v>132.6</v>
      </c>
      <c r="F11281" s="3" t="inlineStr">
        <is>
          <t>오송읍</t>
        </is>
      </c>
      <c r="G11281" s="3" t="inlineStr">
        <is>
          <t>공북리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오송읍</t>
        </is>
      </c>
    </row>
    <row r="11282">
      <c r="A11282" s="3" t="n">
        <v>2026</v>
      </c>
      <c r="B11282" s="4" t="n">
        <v>21000</v>
      </c>
      <c r="C11282" s="4" t="n">
        <v>429</v>
      </c>
      <c r="D11282" s="4" t="n">
        <v>129.7725</v>
      </c>
      <c r="E11282" s="5" t="n">
        <v>161.8</v>
      </c>
      <c r="F11282" s="3" t="inlineStr">
        <is>
          <t>강내면</t>
        </is>
      </c>
      <c r="G11282" s="3" t="inlineStr">
        <is>
          <t>태성리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강내면</t>
        </is>
      </c>
    </row>
    <row r="11283">
      <c r="A11283" s="3" t="n">
        <v>2026</v>
      </c>
      <c r="B11283" s="4" t="n">
        <v>16000</v>
      </c>
      <c r="C11283" s="4" t="n">
        <v>329</v>
      </c>
      <c r="D11283" s="4" t="n">
        <v>99.52249999999999</v>
      </c>
      <c r="E11283" s="5" t="n">
        <v>160.8</v>
      </c>
      <c r="F11283" s="3" t="inlineStr">
        <is>
          <t>강내면</t>
        </is>
      </c>
      <c r="G11283" s="3" t="inlineStr">
        <is>
          <t>사인리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강내면</t>
        </is>
      </c>
    </row>
    <row r="11284">
      <c r="A11284" s="3" t="n">
        <v>2026</v>
      </c>
      <c r="B11284" s="4" t="n">
        <v>71500</v>
      </c>
      <c r="C11284" s="4" t="n">
        <v>244.7</v>
      </c>
      <c r="D11284" s="4" t="n">
        <v>74.02175</v>
      </c>
      <c r="E11284" s="5" t="n">
        <v>965.9</v>
      </c>
      <c r="F11284" s="3" t="inlineStr">
        <is>
          <t>오송읍</t>
        </is>
      </c>
      <c r="G11284" s="3" t="inlineStr">
        <is>
          <t>만수리</t>
        </is>
      </c>
      <c r="H11284" s="3" t="inlineStr">
        <is>
          <t>단독다가구</t>
        </is>
      </c>
      <c r="I11284" s="3" t="inlineStr">
        <is>
          <t>다가구</t>
        </is>
      </c>
      <c r="J11284" s="3" t="inlineStr">
        <is>
          <t>오송읍</t>
        </is>
      </c>
    </row>
    <row r="11285">
      <c r="A11285" s="3" t="n">
        <v>2026</v>
      </c>
      <c r="B11285" s="4" t="n">
        <v>26519</v>
      </c>
      <c r="C11285" s="4" t="n">
        <v>654</v>
      </c>
      <c r="D11285" s="4" t="n">
        <v>197.835</v>
      </c>
      <c r="E11285" s="5" t="n">
        <v>134</v>
      </c>
      <c r="F11285" s="3" t="inlineStr">
        <is>
          <t>오송읍</t>
        </is>
      </c>
      <c r="G11285" s="3" t="inlineStr">
        <is>
          <t>상봉리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오송읍</t>
        </is>
      </c>
    </row>
    <row r="11286">
      <c r="A11286" s="3" t="n">
        <v>2026</v>
      </c>
      <c r="B11286" s="4" t="n">
        <v>27000</v>
      </c>
      <c r="C11286" s="4" t="n">
        <v>633</v>
      </c>
      <c r="D11286" s="4" t="n">
        <v>191.4825</v>
      </c>
      <c r="E11286" s="5" t="n">
        <v>141</v>
      </c>
      <c r="F11286" s="3" t="inlineStr">
        <is>
          <t>오송읍</t>
        </is>
      </c>
      <c r="G11286" s="3" t="inlineStr">
        <is>
          <t>오송리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오송읍</t>
        </is>
      </c>
    </row>
    <row r="11287">
      <c r="A11287" s="3" t="n">
        <v>2026</v>
      </c>
      <c r="B11287" s="4" t="n">
        <v>30000</v>
      </c>
      <c r="C11287" s="4" t="n">
        <v>719</v>
      </c>
      <c r="D11287" s="4" t="n">
        <v>217.4975</v>
      </c>
      <c r="E11287" s="5" t="n">
        <v>137.9</v>
      </c>
      <c r="F11287" s="3" t="inlineStr">
        <is>
          <t>오송읍</t>
        </is>
      </c>
      <c r="G11287" s="3" t="inlineStr">
        <is>
          <t>쌍청리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오송읍</t>
        </is>
      </c>
    </row>
    <row r="11288">
      <c r="A11288" s="3" t="n">
        <v>2026</v>
      </c>
      <c r="B11288" s="4" t="n">
        <v>37000</v>
      </c>
      <c r="C11288" s="4" t="n">
        <v>473</v>
      </c>
      <c r="D11288" s="4" t="n">
        <v>143.0825</v>
      </c>
      <c r="E11288" s="5" t="n">
        <v>258.6</v>
      </c>
      <c r="F11288" s="3" t="inlineStr">
        <is>
          <t>강내면</t>
        </is>
      </c>
      <c r="G11288" s="3" t="inlineStr">
        <is>
          <t>연정리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강내면</t>
        </is>
      </c>
    </row>
    <row r="11289">
      <c r="A11289" s="3" t="n">
        <v>2026</v>
      </c>
      <c r="B11289" s="4" t="n">
        <v>132000</v>
      </c>
      <c r="C11289" s="4" t="n">
        <v>269.8</v>
      </c>
      <c r="D11289" s="4" t="n">
        <v>81.61450000000001</v>
      </c>
      <c r="E11289" s="5" t="n">
        <v>1617.4</v>
      </c>
      <c r="F11289" s="3" t="inlineStr">
        <is>
          <t>오송읍</t>
        </is>
      </c>
      <c r="G11289" s="3" t="inlineStr">
        <is>
          <t>봉산리</t>
        </is>
      </c>
      <c r="H11289" s="3" t="inlineStr">
        <is>
          <t>단독다가구</t>
        </is>
      </c>
      <c r="I11289" s="3" t="inlineStr">
        <is>
          <t>다가구</t>
        </is>
      </c>
      <c r="J11289" s="3" t="inlineStr">
        <is>
          <t>오송읍</t>
        </is>
      </c>
    </row>
    <row r="11290">
      <c r="A11290" s="3" t="n">
        <v>2024</v>
      </c>
      <c r="B11290" s="4" t="n">
        <v>68405</v>
      </c>
      <c r="C11290" s="4" t="n">
        <v>633</v>
      </c>
      <c r="D11290" s="4" t="n">
        <v>191.4825</v>
      </c>
      <c r="E11290" s="5" t="n">
        <v>357.2</v>
      </c>
      <c r="F11290" s="3" t="inlineStr">
        <is>
          <t>남이면</t>
        </is>
      </c>
      <c r="G11290" s="3" t="inlineStr">
        <is>
          <t>석판리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2024</v>
      </c>
      <c r="B11291" s="4" t="n">
        <v>29500</v>
      </c>
      <c r="C11291" s="4" t="n">
        <v>379</v>
      </c>
      <c r="D11291" s="4" t="n">
        <v>114.6475</v>
      </c>
      <c r="E11291" s="5" t="n">
        <v>257.3</v>
      </c>
      <c r="F11291" s="3" t="inlineStr">
        <is>
          <t>남이면</t>
        </is>
      </c>
      <c r="G11291" s="3" t="inlineStr">
        <is>
          <t>상발리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2024</v>
      </c>
      <c r="B11292" s="4" t="n">
        <v>28700</v>
      </c>
      <c r="C11292" s="4" t="n">
        <v>379</v>
      </c>
      <c r="D11292" s="4" t="n">
        <v>114.6475</v>
      </c>
      <c r="E11292" s="5" t="n">
        <v>250.3</v>
      </c>
      <c r="F11292" s="3" t="inlineStr">
        <is>
          <t>남이면</t>
        </is>
      </c>
      <c r="G11292" s="3" t="inlineStr">
        <is>
          <t>상발리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2024</v>
      </c>
      <c r="B11293" s="4" t="n">
        <v>11000</v>
      </c>
      <c r="C11293" s="4" t="n">
        <v>304</v>
      </c>
      <c r="D11293" s="4" t="n">
        <v>91.95999999999999</v>
      </c>
      <c r="E11293" s="5" t="n">
        <v>119.6</v>
      </c>
      <c r="F11293" s="3" t="inlineStr">
        <is>
          <t>남이면</t>
        </is>
      </c>
      <c r="G11293" s="3" t="inlineStr">
        <is>
          <t>문동리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2024</v>
      </c>
      <c r="B11294" s="4" t="n">
        <v>22000</v>
      </c>
      <c r="C11294" s="4" t="n">
        <v>460</v>
      </c>
      <c r="D11294" s="4" t="n">
        <v>139.15</v>
      </c>
      <c r="E11294" s="5" t="n">
        <v>158.1</v>
      </c>
      <c r="F11294" s="3" t="inlineStr">
        <is>
          <t>현도면</t>
        </is>
      </c>
      <c r="G11294" s="3" t="inlineStr">
        <is>
          <t>매봉리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현도면</t>
        </is>
      </c>
    </row>
    <row r="11295">
      <c r="A11295" s="3" t="n">
        <v>2022</v>
      </c>
      <c r="B11295" s="4" t="n">
        <v>46300</v>
      </c>
      <c r="C11295" s="4" t="n">
        <v>526</v>
      </c>
      <c r="D11295" s="4" t="n">
        <v>159.115</v>
      </c>
      <c r="E11295" s="5" t="n">
        <v>291</v>
      </c>
      <c r="F11295" s="3" t="inlineStr">
        <is>
          <t>남이면</t>
        </is>
      </c>
      <c r="G11295" s="3" t="inlineStr">
        <is>
          <t>양촌리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15000</v>
      </c>
      <c r="C11296" s="4" t="n">
        <v>347</v>
      </c>
      <c r="D11296" s="4" t="n">
        <v>104.9675</v>
      </c>
      <c r="E11296" s="5" t="n">
        <v>142.9</v>
      </c>
      <c r="F11296" s="3" t="inlineStr">
        <is>
          <t>남이면</t>
        </is>
      </c>
      <c r="G11296" s="3" t="inlineStr">
        <is>
          <t>척산리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2022</v>
      </c>
      <c r="B11297" s="4" t="n">
        <v>8500</v>
      </c>
      <c r="C11297" s="4" t="n">
        <v>250</v>
      </c>
      <c r="D11297" s="4" t="n">
        <v>75.625</v>
      </c>
      <c r="E11297" s="5" t="n">
        <v>112.4</v>
      </c>
      <c r="F11297" s="3" t="inlineStr">
        <is>
          <t>남이면</t>
        </is>
      </c>
      <c r="G11297" s="3" t="inlineStr">
        <is>
          <t>팔봉리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2022</v>
      </c>
      <c r="B11298" s="4" t="n">
        <v>34400</v>
      </c>
      <c r="C11298" s="4" t="n">
        <v>345</v>
      </c>
      <c r="D11298" s="4" t="n">
        <v>104.3625</v>
      </c>
      <c r="E11298" s="5" t="n">
        <v>329.6</v>
      </c>
      <c r="F11298" s="3" t="inlineStr">
        <is>
          <t>남이면</t>
        </is>
      </c>
      <c r="G11298" s="3" t="inlineStr">
        <is>
          <t>부용외천리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2022</v>
      </c>
      <c r="B11299" s="4" t="n">
        <v>11000</v>
      </c>
      <c r="C11299" s="4" t="n">
        <v>615</v>
      </c>
      <c r="D11299" s="4" t="n">
        <v>186.0375</v>
      </c>
      <c r="E11299" s="5" t="n">
        <v>59.1</v>
      </c>
      <c r="F11299" s="3" t="inlineStr">
        <is>
          <t>남이면</t>
        </is>
      </c>
      <c r="G11299" s="3" t="inlineStr">
        <is>
          <t>산막리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2022</v>
      </c>
      <c r="B11300" s="4" t="n">
        <v>15000</v>
      </c>
      <c r="C11300" s="4" t="n">
        <v>253</v>
      </c>
      <c r="D11300" s="4" t="n">
        <v>76.5325</v>
      </c>
      <c r="E11300" s="5" t="n">
        <v>196</v>
      </c>
      <c r="F11300" s="3" t="inlineStr">
        <is>
          <t>현도면</t>
        </is>
      </c>
      <c r="G11300" s="3" t="inlineStr">
        <is>
          <t>시목리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2022</v>
      </c>
      <c r="B11301" s="4" t="n">
        <v>41000</v>
      </c>
      <c r="C11301" s="4" t="n">
        <v>1068</v>
      </c>
      <c r="D11301" s="4" t="n">
        <v>323.07</v>
      </c>
      <c r="E11301" s="5" t="n">
        <v>126.9</v>
      </c>
      <c r="F11301" s="3" t="inlineStr">
        <is>
          <t>남이면</t>
        </is>
      </c>
      <c r="G11301" s="3" t="inlineStr">
        <is>
          <t>척산리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2022</v>
      </c>
      <c r="B11302" s="4" t="n">
        <v>11400</v>
      </c>
      <c r="C11302" s="4" t="n">
        <v>291</v>
      </c>
      <c r="D11302" s="4" t="n">
        <v>88.0275</v>
      </c>
      <c r="E11302" s="5" t="n">
        <v>129.5</v>
      </c>
      <c r="F11302" s="3" t="inlineStr">
        <is>
          <t>강내면</t>
        </is>
      </c>
      <c r="G11302" s="3" t="inlineStr">
        <is>
          <t>사인리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강내면</t>
        </is>
      </c>
    </row>
    <row r="11303">
      <c r="A11303" s="3" t="n">
        <v>2022</v>
      </c>
      <c r="B11303" s="4" t="n">
        <v>30000</v>
      </c>
      <c r="C11303" s="4" t="n">
        <v>250</v>
      </c>
      <c r="D11303" s="4" t="n">
        <v>75.625</v>
      </c>
      <c r="E11303" s="5" t="n">
        <v>396.7</v>
      </c>
      <c r="F11303" s="3" t="inlineStr">
        <is>
          <t>오송읍</t>
        </is>
      </c>
      <c r="G11303" s="3" t="inlineStr">
        <is>
          <t>연제리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2022</v>
      </c>
      <c r="B11304" s="4" t="n">
        <v>77000</v>
      </c>
      <c r="C11304" s="4" t="n">
        <v>716</v>
      </c>
      <c r="D11304" s="4" t="n">
        <v>216.59</v>
      </c>
      <c r="E11304" s="5" t="n">
        <v>355.5</v>
      </c>
      <c r="F11304" s="3" t="inlineStr">
        <is>
          <t>오송읍</t>
        </is>
      </c>
      <c r="G11304" s="3" t="inlineStr">
        <is>
          <t>오송리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오송읍</t>
        </is>
      </c>
    </row>
    <row r="11305">
      <c r="A11305" s="3" t="n">
        <v>2022</v>
      </c>
      <c r="B11305" s="4" t="n">
        <v>9000</v>
      </c>
      <c r="C11305" s="4" t="n">
        <v>133</v>
      </c>
      <c r="D11305" s="4" t="n">
        <v>40.2325</v>
      </c>
      <c r="E11305" s="5" t="n">
        <v>223.7</v>
      </c>
      <c r="F11305" s="3" t="inlineStr">
        <is>
          <t>오송읍</t>
        </is>
      </c>
      <c r="G11305" s="3" t="inlineStr">
        <is>
          <t>정중리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오송읍</t>
        </is>
      </c>
    </row>
    <row r="11306">
      <c r="A11306" s="3" t="n">
        <v>2022</v>
      </c>
      <c r="B11306" s="4" t="n">
        <v>50500</v>
      </c>
      <c r="C11306" s="4" t="n">
        <v>611</v>
      </c>
      <c r="D11306" s="4" t="n">
        <v>184.8275</v>
      </c>
      <c r="E11306" s="5" t="n">
        <v>273.2</v>
      </c>
      <c r="F11306" s="3" t="inlineStr">
        <is>
          <t>오송읍</t>
        </is>
      </c>
      <c r="G11306" s="3" t="inlineStr">
        <is>
          <t>상정리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2022</v>
      </c>
      <c r="B11307" s="4" t="n">
        <v>48410</v>
      </c>
      <c r="C11307" s="4" t="n">
        <v>611</v>
      </c>
      <c r="D11307" s="4" t="n">
        <v>184.8275</v>
      </c>
      <c r="E11307" s="5" t="n">
        <v>261.9</v>
      </c>
      <c r="F11307" s="3" t="inlineStr">
        <is>
          <t>오송읍</t>
        </is>
      </c>
      <c r="G11307" s="3" t="inlineStr">
        <is>
          <t>상정리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오송읍</t>
        </is>
      </c>
    </row>
    <row r="11308">
      <c r="A11308" s="3" t="n">
        <v>2022</v>
      </c>
      <c r="B11308" s="4" t="n">
        <v>50500</v>
      </c>
      <c r="C11308" s="4" t="n">
        <v>611</v>
      </c>
      <c r="D11308" s="4" t="n">
        <v>184.8275</v>
      </c>
      <c r="E11308" s="5" t="n">
        <v>273.2</v>
      </c>
      <c r="F11308" s="3" t="inlineStr">
        <is>
          <t>오송읍</t>
        </is>
      </c>
      <c r="G11308" s="3" t="inlineStr">
        <is>
          <t>상정리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오송읍</t>
        </is>
      </c>
    </row>
    <row r="11309">
      <c r="A11309" s="3" t="n">
        <v>2022</v>
      </c>
      <c r="B11309" s="4" t="n">
        <v>29500</v>
      </c>
      <c r="C11309" s="4" t="n">
        <v>295</v>
      </c>
      <c r="D11309" s="4" t="n">
        <v>89.2375</v>
      </c>
      <c r="E11309" s="5" t="n">
        <v>330.6</v>
      </c>
      <c r="F11309" s="3" t="inlineStr">
        <is>
          <t>강내면</t>
        </is>
      </c>
      <c r="G11309" s="3" t="inlineStr">
        <is>
          <t>궁현리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2022</v>
      </c>
      <c r="B11310" s="4" t="n">
        <v>57000</v>
      </c>
      <c r="C11310" s="4" t="n">
        <v>187</v>
      </c>
      <c r="D11310" s="4" t="n">
        <v>56.5675</v>
      </c>
      <c r="E11310" s="5" t="n">
        <v>1007.6</v>
      </c>
      <c r="F11310" s="3" t="inlineStr">
        <is>
          <t>오송읍</t>
        </is>
      </c>
      <c r="G11310" s="3" t="inlineStr">
        <is>
          <t>오송리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오송읍</t>
        </is>
      </c>
    </row>
    <row r="11311">
      <c r="A11311" s="3" t="n">
        <v>2022</v>
      </c>
      <c r="B11311" s="4" t="n">
        <v>23000</v>
      </c>
      <c r="C11311" s="4" t="n">
        <v>460</v>
      </c>
      <c r="D11311" s="4" t="n">
        <v>139.15</v>
      </c>
      <c r="E11311" s="5" t="n">
        <v>165.3</v>
      </c>
      <c r="F11311" s="3" t="inlineStr">
        <is>
          <t>오송읍</t>
        </is>
      </c>
      <c r="G11311" s="3" t="inlineStr">
        <is>
          <t>오송리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오송읍</t>
        </is>
      </c>
    </row>
    <row r="11312">
      <c r="A11312" s="3" t="n">
        <v>2022</v>
      </c>
      <c r="B11312" s="4" t="n">
        <v>23000</v>
      </c>
      <c r="C11312" s="4" t="n">
        <v>386.9</v>
      </c>
      <c r="D11312" s="4" t="n">
        <v>117.03725</v>
      </c>
      <c r="E11312" s="5" t="n">
        <v>196.5</v>
      </c>
      <c r="F11312" s="3" t="inlineStr">
        <is>
          <t>강내면</t>
        </is>
      </c>
      <c r="G11312" s="3" t="inlineStr">
        <is>
          <t>궁현리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강내면</t>
        </is>
      </c>
    </row>
    <row r="11313">
      <c r="A11313" s="3" t="n">
        <v>2022</v>
      </c>
      <c r="B11313" s="4" t="n">
        <v>79000</v>
      </c>
      <c r="C11313" s="4" t="n">
        <v>352</v>
      </c>
      <c r="D11313" s="4" t="n">
        <v>106.48</v>
      </c>
      <c r="E11313" s="5" t="n">
        <v>741.9</v>
      </c>
      <c r="F11313" s="3" t="inlineStr">
        <is>
          <t>강내면</t>
        </is>
      </c>
      <c r="G11313" s="3" t="inlineStr">
        <is>
          <t>월곡리</t>
        </is>
      </c>
      <c r="H11313" s="3" t="inlineStr">
        <is>
          <t>단독다가구</t>
        </is>
      </c>
      <c r="I11313" s="3" t="inlineStr">
        <is>
          <t>다가구</t>
        </is>
      </c>
      <c r="J11313" s="3" t="inlineStr">
        <is>
          <t>강내면</t>
        </is>
      </c>
    </row>
    <row r="11314">
      <c r="A11314" s="3" t="n">
        <v>2023</v>
      </c>
      <c r="B11314" s="4" t="n">
        <v>54850</v>
      </c>
      <c r="C11314" s="4" t="n">
        <v>444</v>
      </c>
      <c r="D11314" s="4" t="n">
        <v>134.31</v>
      </c>
      <c r="E11314" s="5" t="n">
        <v>408.4</v>
      </c>
      <c r="F11314" s="3" t="inlineStr">
        <is>
          <t>오송읍</t>
        </is>
      </c>
      <c r="G11314" s="3" t="inlineStr">
        <is>
          <t>궁평리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오송읍</t>
        </is>
      </c>
    </row>
    <row r="11315">
      <c r="A11315" s="3" t="n">
        <v>2023</v>
      </c>
      <c r="B11315" s="4" t="n">
        <v>39300</v>
      </c>
      <c r="C11315" s="4" t="n">
        <v>656</v>
      </c>
      <c r="D11315" s="4" t="n">
        <v>198.44</v>
      </c>
      <c r="E11315" s="5" t="n">
        <v>198</v>
      </c>
      <c r="F11315" s="3" t="inlineStr">
        <is>
          <t>강내면</t>
        </is>
      </c>
      <c r="G11315" s="3" t="inlineStr">
        <is>
          <t>궁현리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강내면</t>
        </is>
      </c>
    </row>
    <row r="11316">
      <c r="A11316" s="3" t="n">
        <v>2023</v>
      </c>
      <c r="B11316" s="4" t="n">
        <v>21000</v>
      </c>
      <c r="C11316" s="4" t="n">
        <v>465</v>
      </c>
      <c r="D11316" s="4" t="n">
        <v>140.6625</v>
      </c>
      <c r="E11316" s="5" t="n">
        <v>149.3</v>
      </c>
      <c r="F11316" s="3" t="inlineStr">
        <is>
          <t>오송읍</t>
        </is>
      </c>
      <c r="G11316" s="3" t="inlineStr">
        <is>
          <t>쌍청리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2023</v>
      </c>
      <c r="B11317" s="4" t="n">
        <v>11000</v>
      </c>
      <c r="C11317" s="4" t="n">
        <v>270</v>
      </c>
      <c r="D11317" s="4" t="n">
        <v>81.675</v>
      </c>
      <c r="E11317" s="5" t="n">
        <v>134.7</v>
      </c>
      <c r="F11317" s="3" t="inlineStr">
        <is>
          <t>오송읍</t>
        </is>
      </c>
      <c r="G11317" s="3" t="inlineStr">
        <is>
          <t>오송리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오송읍</t>
        </is>
      </c>
    </row>
    <row r="11318">
      <c r="A11318" s="3" t="n">
        <v>2023</v>
      </c>
      <c r="B11318" s="4" t="n">
        <v>15600</v>
      </c>
      <c r="C11318" s="4" t="n">
        <v>344</v>
      </c>
      <c r="D11318" s="4" t="n">
        <v>104.06</v>
      </c>
      <c r="E11318" s="5" t="n">
        <v>149.9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2023</v>
      </c>
      <c r="B11319" s="4" t="n">
        <v>37000</v>
      </c>
      <c r="C11319" s="4" t="n">
        <v>440</v>
      </c>
      <c r="D11319" s="4" t="n">
        <v>133.1</v>
      </c>
      <c r="E11319" s="5" t="n">
        <v>278</v>
      </c>
      <c r="F11319" s="3" t="inlineStr">
        <is>
          <t>남이면</t>
        </is>
      </c>
      <c r="G11319" s="3" t="inlineStr">
        <is>
          <t>문동리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2023</v>
      </c>
      <c r="B11320" s="4" t="n">
        <v>30400</v>
      </c>
      <c r="C11320" s="4" t="n">
        <v>774</v>
      </c>
      <c r="D11320" s="4" t="n">
        <v>234.135</v>
      </c>
      <c r="E11320" s="5" t="n">
        <v>129.8</v>
      </c>
      <c r="F11320" s="3" t="inlineStr">
        <is>
          <t>남이면</t>
        </is>
      </c>
      <c r="G11320" s="3" t="inlineStr">
        <is>
          <t>석판리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2023</v>
      </c>
      <c r="B11321" s="4" t="n">
        <v>58000</v>
      </c>
      <c r="C11321" s="4" t="n">
        <v>457</v>
      </c>
      <c r="D11321" s="4" t="n">
        <v>138.2425</v>
      </c>
      <c r="E11321" s="5" t="n">
        <v>419.6</v>
      </c>
      <c r="F11321" s="3" t="inlineStr">
        <is>
          <t>남이면</t>
        </is>
      </c>
      <c r="G11321" s="3" t="inlineStr">
        <is>
          <t>석판리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2023</v>
      </c>
      <c r="B11322" s="4" t="n">
        <v>58000</v>
      </c>
      <c r="C11322" s="4" t="n">
        <v>457</v>
      </c>
      <c r="D11322" s="4" t="n">
        <v>138.2425</v>
      </c>
      <c r="E11322" s="5" t="n">
        <v>419.6</v>
      </c>
      <c r="F11322" s="3" t="inlineStr">
        <is>
          <t>남이면</t>
        </is>
      </c>
      <c r="G11322" s="3" t="inlineStr">
        <is>
          <t>석판리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2023</v>
      </c>
      <c r="B11323" s="4" t="n">
        <v>15000</v>
      </c>
      <c r="C11323" s="4" t="n">
        <v>340</v>
      </c>
      <c r="D11323" s="4" t="n">
        <v>102.85</v>
      </c>
      <c r="E11323" s="5" t="n">
        <v>145.8</v>
      </c>
      <c r="F11323" s="3" t="inlineStr">
        <is>
          <t>현도면</t>
        </is>
      </c>
      <c r="G11323" s="3" t="inlineStr">
        <is>
          <t>시동리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현도면</t>
        </is>
      </c>
    </row>
    <row r="11324">
      <c r="A11324" s="3" t="n">
        <v>2023</v>
      </c>
      <c r="B11324" s="4" t="n">
        <v>45000</v>
      </c>
      <c r="C11324" s="4" t="n">
        <v>507</v>
      </c>
      <c r="D11324" s="4" t="n">
        <v>153.3675</v>
      </c>
      <c r="E11324" s="5" t="n">
        <v>293.4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2023</v>
      </c>
      <c r="B11325" s="4" t="n">
        <v>8000</v>
      </c>
      <c r="C11325" s="4" t="n">
        <v>448</v>
      </c>
      <c r="D11325" s="4" t="n">
        <v>135.52</v>
      </c>
      <c r="E11325" s="5" t="n">
        <v>59</v>
      </c>
      <c r="F11325" s="3" t="inlineStr">
        <is>
          <t>현도면</t>
        </is>
      </c>
      <c r="G11325" s="3" t="inlineStr">
        <is>
          <t>중척리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현도면</t>
        </is>
      </c>
    </row>
    <row r="11326">
      <c r="A11326" s="3" t="n">
        <v>2023</v>
      </c>
      <c r="B11326" s="4" t="n">
        <v>68900</v>
      </c>
      <c r="C11326" s="4" t="n">
        <v>600</v>
      </c>
      <c r="D11326" s="4" t="n">
        <v>181.5</v>
      </c>
      <c r="E11326" s="5" t="n">
        <v>379.6</v>
      </c>
      <c r="F11326" s="3" t="inlineStr">
        <is>
          <t>남이면</t>
        </is>
      </c>
      <c r="G11326" s="3" t="inlineStr">
        <is>
          <t>석판리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2023</v>
      </c>
      <c r="B11327" s="4" t="n">
        <v>19550</v>
      </c>
      <c r="C11327" s="4" t="n">
        <v>565</v>
      </c>
      <c r="D11327" s="4" t="n">
        <v>170.9125</v>
      </c>
      <c r="E11327" s="5" t="n">
        <v>114.4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2026</v>
      </c>
      <c r="B11328" s="4" t="n">
        <v>68000</v>
      </c>
      <c r="C11328" s="4" t="n">
        <v>259.9</v>
      </c>
      <c r="D11328" s="4" t="n">
        <v>78.61975</v>
      </c>
      <c r="E11328" s="5" t="n">
        <v>864.9</v>
      </c>
      <c r="F11328" s="3" t="inlineStr">
        <is>
          <t>오송읍</t>
        </is>
      </c>
      <c r="G11328" s="3" t="inlineStr">
        <is>
          <t>만수리</t>
        </is>
      </c>
      <c r="H11328" s="3" t="inlineStr">
        <is>
          <t>단독다가구</t>
        </is>
      </c>
      <c r="I11328" s="3" t="inlineStr">
        <is>
          <t>다가구</t>
        </is>
      </c>
      <c r="J11328" s="3" t="inlineStr">
        <is>
          <t>오송읍</t>
        </is>
      </c>
    </row>
    <row r="11329">
      <c r="A11329" s="3" t="n">
        <v>2026</v>
      </c>
      <c r="B11329" s="4" t="n">
        <v>37000</v>
      </c>
      <c r="C11329" s="4" t="n">
        <v>514.4</v>
      </c>
      <c r="D11329" s="4" t="n">
        <v>155.606</v>
      </c>
      <c r="E11329" s="5" t="n">
        <v>237.8</v>
      </c>
      <c r="F11329" s="3" t="inlineStr">
        <is>
          <t>강내면</t>
        </is>
      </c>
      <c r="G11329" s="3" t="inlineStr">
        <is>
          <t>궁현리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강내면</t>
        </is>
      </c>
    </row>
    <row r="11330">
      <c r="A11330" s="3" t="n">
        <v>2026</v>
      </c>
      <c r="B11330" s="4" t="n">
        <v>70000</v>
      </c>
      <c r="C11330" s="4" t="n">
        <v>275.8</v>
      </c>
      <c r="D11330" s="4" t="n">
        <v>83.4295</v>
      </c>
      <c r="E11330" s="5" t="n">
        <v>839</v>
      </c>
      <c r="F11330" s="3" t="inlineStr">
        <is>
          <t>오송읍</t>
        </is>
      </c>
      <c r="G11330" s="3" t="inlineStr">
        <is>
          <t>만수리</t>
        </is>
      </c>
      <c r="H11330" s="3" t="inlineStr">
        <is>
          <t>단독다가구</t>
        </is>
      </c>
      <c r="I11330" s="3" t="inlineStr">
        <is>
          <t>다가구</t>
        </is>
      </c>
      <c r="J11330" s="3" t="inlineStr">
        <is>
          <t>오송읍</t>
        </is>
      </c>
    </row>
    <row r="11331">
      <c r="A11331" s="3" t="n">
        <v>2026</v>
      </c>
      <c r="B11331" s="4" t="n">
        <v>70000</v>
      </c>
      <c r="C11331" s="4" t="n">
        <v>265.7</v>
      </c>
      <c r="D11331" s="4" t="n">
        <v>80.37424999999999</v>
      </c>
      <c r="E11331" s="5" t="n">
        <v>870.9</v>
      </c>
      <c r="F11331" s="3" t="inlineStr">
        <is>
          <t>오송읍</t>
        </is>
      </c>
      <c r="G11331" s="3" t="inlineStr">
        <is>
          <t>연제리</t>
        </is>
      </c>
      <c r="H11331" s="3" t="inlineStr">
        <is>
          <t>단독다가구</t>
        </is>
      </c>
      <c r="I11331" s="3" t="inlineStr">
        <is>
          <t>다가구</t>
        </is>
      </c>
      <c r="J11331" s="3" t="inlineStr">
        <is>
          <t>오송읍</t>
        </is>
      </c>
    </row>
    <row r="11332">
      <c r="A11332" s="3" t="n">
        <v>2026</v>
      </c>
      <c r="B11332" s="4" t="n">
        <v>148000</v>
      </c>
      <c r="C11332" s="4" t="n">
        <v>263.6</v>
      </c>
      <c r="D11332" s="4" t="n">
        <v>79.739</v>
      </c>
      <c r="E11332" s="5" t="n">
        <v>1856.1</v>
      </c>
      <c r="F11332" s="3" t="inlineStr">
        <is>
          <t>오송읍</t>
        </is>
      </c>
      <c r="G11332" s="3" t="inlineStr">
        <is>
          <t>봉산리</t>
        </is>
      </c>
      <c r="H11332" s="3" t="inlineStr">
        <is>
          <t>단독다가구</t>
        </is>
      </c>
      <c r="I11332" s="3" t="inlineStr">
        <is>
          <t>다가구</t>
        </is>
      </c>
      <c r="J11332" s="3" t="inlineStr">
        <is>
          <t>오송읍</t>
        </is>
      </c>
    </row>
    <row r="11333">
      <c r="A11333" s="3" t="n">
        <v>2026</v>
      </c>
      <c r="B11333" s="4" t="n">
        <v>73250</v>
      </c>
      <c r="C11333" s="4" t="n">
        <v>249.6</v>
      </c>
      <c r="D11333" s="4" t="n">
        <v>75.50399999999999</v>
      </c>
      <c r="E11333" s="5" t="n">
        <v>970.1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74000</v>
      </c>
      <c r="C11334" s="4" t="n">
        <v>273.8</v>
      </c>
      <c r="D11334" s="4" t="n">
        <v>82.8245</v>
      </c>
      <c r="E11334" s="5" t="n">
        <v>893.5</v>
      </c>
      <c r="F11334" s="3" t="inlineStr">
        <is>
          <t>오송읍</t>
        </is>
      </c>
      <c r="G11334" s="3" t="inlineStr">
        <is>
          <t>연제리</t>
        </is>
      </c>
      <c r="H11334" s="3" t="inlineStr">
        <is>
          <t>단독다가구</t>
        </is>
      </c>
      <c r="I11334" s="3" t="inlineStr">
        <is>
          <t>다가구</t>
        </is>
      </c>
      <c r="J11334" s="3" t="inlineStr">
        <is>
          <t>오송읍</t>
        </is>
      </c>
    </row>
    <row r="11335">
      <c r="A11335" s="3" t="n">
        <v>2026</v>
      </c>
      <c r="B11335" s="4" t="n">
        <v>70000</v>
      </c>
      <c r="C11335" s="4" t="n">
        <v>330</v>
      </c>
      <c r="D11335" s="4" t="n">
        <v>99.825</v>
      </c>
      <c r="E11335" s="5" t="n">
        <v>701.2</v>
      </c>
      <c r="F11335" s="3" t="inlineStr">
        <is>
          <t>강내면</t>
        </is>
      </c>
      <c r="G11335" s="3" t="inlineStr">
        <is>
          <t>월곡리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강내면</t>
        </is>
      </c>
    </row>
    <row r="11336">
      <c r="A11336" s="3" t="n">
        <v>2026</v>
      </c>
      <c r="B11336" s="4" t="n">
        <v>12000</v>
      </c>
      <c r="C11336" s="4" t="n">
        <v>146</v>
      </c>
      <c r="D11336" s="4" t="n">
        <v>44.165</v>
      </c>
      <c r="E11336" s="5" t="n">
        <v>271.7</v>
      </c>
      <c r="F11336" s="3" t="inlineStr">
        <is>
          <t>오송읍</t>
        </is>
      </c>
      <c r="G11336" s="3" t="inlineStr">
        <is>
          <t>연제리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40466</v>
      </c>
      <c r="C11337" s="4" t="n">
        <v>751</v>
      </c>
      <c r="D11337" s="4" t="n">
        <v>227.1775</v>
      </c>
      <c r="E11337" s="5" t="n">
        <v>178.1</v>
      </c>
      <c r="F11337" s="3" t="inlineStr">
        <is>
          <t>강내면</t>
        </is>
      </c>
      <c r="G11337" s="3" t="inlineStr">
        <is>
          <t>탑연리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58000</v>
      </c>
      <c r="C11338" s="4" t="n">
        <v>516</v>
      </c>
      <c r="D11338" s="4" t="n">
        <v>156.09</v>
      </c>
      <c r="E11338" s="5" t="n">
        <v>371.6</v>
      </c>
      <c r="F11338" s="3" t="inlineStr">
        <is>
          <t>오송읍</t>
        </is>
      </c>
      <c r="G11338" s="3" t="inlineStr">
        <is>
          <t>만수리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2026</v>
      </c>
      <c r="B11339" s="4" t="n">
        <v>38000</v>
      </c>
      <c r="C11339" s="4" t="n">
        <v>430</v>
      </c>
      <c r="D11339" s="4" t="n">
        <v>130.075</v>
      </c>
      <c r="E11339" s="5" t="n">
        <v>292.1</v>
      </c>
      <c r="F11339" s="3" t="inlineStr">
        <is>
          <t>강내면</t>
        </is>
      </c>
      <c r="G11339" s="3" t="inlineStr">
        <is>
          <t>궁현리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강내면</t>
        </is>
      </c>
    </row>
    <row r="11340">
      <c r="A11340" s="3" t="n">
        <v>2026</v>
      </c>
      <c r="B11340" s="4" t="n">
        <v>152500</v>
      </c>
      <c r="C11340" s="4" t="n">
        <v>311.6</v>
      </c>
      <c r="D11340" s="4" t="n">
        <v>94.259</v>
      </c>
      <c r="E11340" s="5" t="n">
        <v>1617.9</v>
      </c>
      <c r="F11340" s="3" t="inlineStr">
        <is>
          <t>오송읍</t>
        </is>
      </c>
      <c r="G11340" s="3" t="inlineStr">
        <is>
          <t>봉산리</t>
        </is>
      </c>
      <c r="H11340" s="3" t="inlineStr">
        <is>
          <t>단독다가구</t>
        </is>
      </c>
      <c r="I11340" s="3" t="inlineStr">
        <is>
          <t>다가구</t>
        </is>
      </c>
      <c r="J11340" s="3" t="inlineStr">
        <is>
          <t>오송읍</t>
        </is>
      </c>
    </row>
    <row r="11341">
      <c r="A11341" s="3" t="n">
        <v>2026</v>
      </c>
      <c r="B11341" s="4" t="n">
        <v>22450</v>
      </c>
      <c r="C11341" s="4" t="n">
        <v>173</v>
      </c>
      <c r="D11341" s="4" t="n">
        <v>52.3325</v>
      </c>
      <c r="E11341" s="5" t="n">
        <v>429</v>
      </c>
      <c r="F11341" s="3" t="inlineStr">
        <is>
          <t>오송읍</t>
        </is>
      </c>
      <c r="G11341" s="3" t="inlineStr">
        <is>
          <t>동평리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오송읍</t>
        </is>
      </c>
    </row>
    <row r="11342">
      <c r="A11342" s="3" t="n">
        <v>2026</v>
      </c>
      <c r="B11342" s="4" t="n">
        <v>24795</v>
      </c>
      <c r="C11342" s="4" t="n">
        <v>334</v>
      </c>
      <c r="D11342" s="4" t="n">
        <v>101.035</v>
      </c>
      <c r="E11342" s="5" t="n">
        <v>245.4</v>
      </c>
      <c r="F11342" s="3" t="inlineStr">
        <is>
          <t>강내면</t>
        </is>
      </c>
      <c r="G11342" s="3" t="inlineStr">
        <is>
          <t>석화리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강내면</t>
        </is>
      </c>
    </row>
    <row r="11343">
      <c r="A11343" s="3" t="n">
        <v>2026</v>
      </c>
      <c r="B11343" s="4" t="n">
        <v>25000</v>
      </c>
      <c r="C11343" s="4" t="n">
        <v>182</v>
      </c>
      <c r="D11343" s="4" t="n">
        <v>55.055</v>
      </c>
      <c r="E11343" s="5" t="n">
        <v>454.1</v>
      </c>
      <c r="F11343" s="3" t="inlineStr">
        <is>
          <t>오송읍</t>
        </is>
      </c>
      <c r="G11343" s="3" t="inlineStr">
        <is>
          <t>오송리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오송읍</t>
        </is>
      </c>
    </row>
    <row r="11344">
      <c r="A11344" s="3" t="n">
        <v>2026</v>
      </c>
      <c r="B11344" s="4" t="n">
        <v>68000</v>
      </c>
      <c r="C11344" s="4" t="n">
        <v>245</v>
      </c>
      <c r="D11344" s="4" t="n">
        <v>74.1125</v>
      </c>
      <c r="E11344" s="5" t="n">
        <v>917.5</v>
      </c>
      <c r="F11344" s="3" t="inlineStr">
        <is>
          <t>오송읍</t>
        </is>
      </c>
      <c r="G11344" s="3" t="inlineStr">
        <is>
          <t>만수리</t>
        </is>
      </c>
      <c r="H11344" s="3" t="inlineStr">
        <is>
          <t>단독다가구</t>
        </is>
      </c>
      <c r="I11344" s="3" t="inlineStr">
        <is>
          <t>다가구</t>
        </is>
      </c>
      <c r="J11344" s="3" t="inlineStr">
        <is>
          <t>오송읍</t>
        </is>
      </c>
    </row>
    <row r="11345">
      <c r="A11345" s="3" t="n">
        <v>2026</v>
      </c>
      <c r="B11345" s="4" t="n">
        <v>6500</v>
      </c>
      <c r="C11345" s="4" t="n">
        <v>119</v>
      </c>
      <c r="D11345" s="4" t="n">
        <v>35.9975</v>
      </c>
      <c r="E11345" s="5" t="n">
        <v>180.6</v>
      </c>
      <c r="F11345" s="3" t="inlineStr">
        <is>
          <t>오송읍</t>
        </is>
      </c>
      <c r="G11345" s="3" t="inlineStr">
        <is>
          <t>봉산리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오송읍</t>
        </is>
      </c>
    </row>
    <row r="11346">
      <c r="A11346" s="3" t="n">
        <v>2026</v>
      </c>
      <c r="B11346" s="4" t="n">
        <v>22792</v>
      </c>
      <c r="C11346" s="4" t="n">
        <v>485</v>
      </c>
      <c r="D11346" s="4" t="n">
        <v>146.7125</v>
      </c>
      <c r="E11346" s="5" t="n">
        <v>155.4</v>
      </c>
      <c r="F11346" s="3" t="inlineStr">
        <is>
          <t>오송읍</t>
        </is>
      </c>
      <c r="G11346" s="3" t="inlineStr">
        <is>
          <t>상정리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2026</v>
      </c>
      <c r="B11347" s="4" t="n">
        <v>41700</v>
      </c>
      <c r="C11347" s="4" t="n">
        <v>383</v>
      </c>
      <c r="D11347" s="4" t="n">
        <v>115.8575</v>
      </c>
      <c r="E11347" s="5" t="n">
        <v>359.9</v>
      </c>
      <c r="F11347" s="3" t="inlineStr">
        <is>
          <t>강내면</t>
        </is>
      </c>
      <c r="G11347" s="3" t="inlineStr">
        <is>
          <t>궁현리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강내면</t>
        </is>
      </c>
    </row>
    <row r="11348">
      <c r="A11348" s="3" t="n">
        <v>2025</v>
      </c>
      <c r="B11348" s="4" t="n">
        <v>124000</v>
      </c>
      <c r="C11348" s="4" t="n">
        <v>271.1</v>
      </c>
      <c r="D11348" s="4" t="n">
        <v>82.00775</v>
      </c>
      <c r="E11348" s="5" t="n">
        <v>1512.1</v>
      </c>
      <c r="F11348" s="3" t="inlineStr">
        <is>
          <t>오송읍</t>
        </is>
      </c>
      <c r="G11348" s="3" t="inlineStr">
        <is>
          <t>봉산리</t>
        </is>
      </c>
      <c r="H11348" s="3" t="inlineStr">
        <is>
          <t>단독다가구</t>
        </is>
      </c>
      <c r="I11348" s="3" t="inlineStr">
        <is>
          <t>다가구</t>
        </is>
      </c>
      <c r="J11348" s="3" t="inlineStr">
        <is>
          <t>오송읍</t>
        </is>
      </c>
    </row>
    <row r="11349">
      <c r="A11349" s="3" t="n">
        <v>2022</v>
      </c>
      <c r="B11349" s="4" t="n">
        <v>22680</v>
      </c>
      <c r="C11349" s="4" t="n">
        <v>182</v>
      </c>
      <c r="D11349" s="4" t="n">
        <v>55.055</v>
      </c>
      <c r="E11349" s="5" t="n">
        <v>412</v>
      </c>
      <c r="F11349" s="3" t="inlineStr">
        <is>
          <t>강내면</t>
        </is>
      </c>
      <c r="G11349" s="3" t="inlineStr">
        <is>
          <t>사인리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46800</v>
      </c>
      <c r="C11350" s="4" t="n">
        <v>396</v>
      </c>
      <c r="D11350" s="4" t="n">
        <v>119.79</v>
      </c>
      <c r="E11350" s="5" t="n">
        <v>390.7</v>
      </c>
      <c r="F11350" s="3" t="inlineStr">
        <is>
          <t>오송읍</t>
        </is>
      </c>
      <c r="G11350" s="3" t="inlineStr">
        <is>
          <t>궁평리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오송읍</t>
        </is>
      </c>
    </row>
    <row r="11351">
      <c r="A11351" s="3" t="n">
        <v>2022</v>
      </c>
      <c r="B11351" s="4" t="n">
        <v>12000</v>
      </c>
      <c r="C11351" s="4" t="n">
        <v>160</v>
      </c>
      <c r="D11351" s="4" t="n">
        <v>48.4</v>
      </c>
      <c r="E11351" s="5" t="n">
        <v>247.9</v>
      </c>
      <c r="F11351" s="3" t="inlineStr">
        <is>
          <t>오송읍</t>
        </is>
      </c>
      <c r="G11351" s="3" t="inlineStr">
        <is>
          <t>오송리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오송읍</t>
        </is>
      </c>
    </row>
    <row r="11352">
      <c r="A11352" s="3" t="n">
        <v>2022</v>
      </c>
      <c r="B11352" s="4" t="n">
        <v>36500</v>
      </c>
      <c r="C11352" s="4" t="n">
        <v>202</v>
      </c>
      <c r="D11352" s="4" t="n">
        <v>61.105</v>
      </c>
      <c r="E11352" s="5" t="n">
        <v>597.3</v>
      </c>
      <c r="F11352" s="3" t="inlineStr">
        <is>
          <t>오송읍</t>
        </is>
      </c>
      <c r="G11352" s="3" t="inlineStr">
        <is>
          <t>궁평리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27000</v>
      </c>
      <c r="C11353" s="4" t="n">
        <v>237</v>
      </c>
      <c r="D11353" s="4" t="n">
        <v>71.6925</v>
      </c>
      <c r="E11353" s="5" t="n">
        <v>376.6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6680</v>
      </c>
      <c r="C11354" s="4" t="n">
        <v>69</v>
      </c>
      <c r="D11354" s="4" t="n">
        <v>20.8725</v>
      </c>
      <c r="E11354" s="5" t="n">
        <v>320</v>
      </c>
      <c r="F11354" s="3" t="inlineStr">
        <is>
          <t>오송읍</t>
        </is>
      </c>
      <c r="G11354" s="3" t="inlineStr">
        <is>
          <t>오송리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62500</v>
      </c>
      <c r="C11355" s="4" t="n">
        <v>283.2</v>
      </c>
      <c r="D11355" s="4" t="n">
        <v>85.66799999999999</v>
      </c>
      <c r="E11355" s="5" t="n">
        <v>729.6</v>
      </c>
      <c r="F11355" s="3" t="inlineStr">
        <is>
          <t>오송읍</t>
        </is>
      </c>
      <c r="G11355" s="3" t="inlineStr">
        <is>
          <t>만수리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오송읍</t>
        </is>
      </c>
    </row>
    <row r="11356">
      <c r="A11356" s="3" t="n">
        <v>2022</v>
      </c>
      <c r="B11356" s="4" t="n">
        <v>37700</v>
      </c>
      <c r="C11356" s="4" t="n">
        <v>302</v>
      </c>
      <c r="D11356" s="4" t="n">
        <v>91.355</v>
      </c>
      <c r="E11356" s="5" t="n">
        <v>412.7</v>
      </c>
      <c r="F11356" s="3" t="inlineStr">
        <is>
          <t>오송읍</t>
        </is>
      </c>
      <c r="G11356" s="3" t="inlineStr">
        <is>
          <t>궁평리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72000</v>
      </c>
      <c r="C11357" s="4" t="n">
        <v>274.9</v>
      </c>
      <c r="D11357" s="4" t="n">
        <v>83.15724999999999</v>
      </c>
      <c r="E11357" s="5" t="n">
        <v>865.8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다가구</t>
        </is>
      </c>
      <c r="J11357" s="3" t="inlineStr">
        <is>
          <t>오송읍</t>
        </is>
      </c>
    </row>
    <row r="11358">
      <c r="A11358" s="3" t="n">
        <v>2022</v>
      </c>
      <c r="B11358" s="4" t="n">
        <v>73500</v>
      </c>
      <c r="C11358" s="4" t="n">
        <v>255.4</v>
      </c>
      <c r="D11358" s="4" t="n">
        <v>77.2585</v>
      </c>
      <c r="E11358" s="5" t="n">
        <v>951.4</v>
      </c>
      <c r="F11358" s="3" t="inlineStr">
        <is>
          <t>오송읍</t>
        </is>
      </c>
      <c r="G11358" s="3" t="inlineStr">
        <is>
          <t>만수리</t>
        </is>
      </c>
      <c r="H11358" s="3" t="inlineStr">
        <is>
          <t>단독다가구</t>
        </is>
      </c>
      <c r="I11358" s="3" t="inlineStr">
        <is>
          <t>다가구</t>
        </is>
      </c>
      <c r="J11358" s="3" t="inlineStr">
        <is>
          <t>오송읍</t>
        </is>
      </c>
    </row>
    <row r="11359">
      <c r="A11359" s="3" t="n">
        <v>2022</v>
      </c>
      <c r="B11359" s="4" t="n">
        <v>35700</v>
      </c>
      <c r="C11359" s="4" t="n">
        <v>302</v>
      </c>
      <c r="D11359" s="4" t="n">
        <v>91.355</v>
      </c>
      <c r="E11359" s="5" t="n">
        <v>390.8</v>
      </c>
      <c r="F11359" s="3" t="inlineStr">
        <is>
          <t>오송읍</t>
        </is>
      </c>
      <c r="G11359" s="3" t="inlineStr">
        <is>
          <t>궁평리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2024</v>
      </c>
      <c r="B11360" s="4" t="n">
        <v>72000</v>
      </c>
      <c r="C11360" s="4" t="n">
        <v>206</v>
      </c>
      <c r="D11360" s="4" t="n">
        <v>62.315</v>
      </c>
      <c r="E11360" s="5" t="n">
        <v>1155.4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2024</v>
      </c>
      <c r="B11361" s="4" t="n">
        <v>79000</v>
      </c>
      <c r="C11361" s="4" t="n">
        <v>280.4</v>
      </c>
      <c r="D11361" s="4" t="n">
        <v>84.82099999999998</v>
      </c>
      <c r="E11361" s="5" t="n">
        <v>931.4</v>
      </c>
      <c r="F11361" s="3" t="inlineStr">
        <is>
          <t>오송읍</t>
        </is>
      </c>
      <c r="G11361" s="3" t="inlineStr">
        <is>
          <t>만수리</t>
        </is>
      </c>
      <c r="H11361" s="3" t="inlineStr">
        <is>
          <t>단독다가구</t>
        </is>
      </c>
      <c r="I11361" s="3" t="inlineStr">
        <is>
          <t>다가구</t>
        </is>
      </c>
      <c r="J11361" s="3" t="inlineStr">
        <is>
          <t>오송읍</t>
        </is>
      </c>
    </row>
    <row r="11362">
      <c r="A11362" s="3" t="n">
        <v>2024</v>
      </c>
      <c r="B11362" s="4" t="n">
        <v>22382</v>
      </c>
      <c r="C11362" s="4" t="n">
        <v>1322</v>
      </c>
      <c r="D11362" s="4" t="n">
        <v>399.905</v>
      </c>
      <c r="E11362" s="5" t="n">
        <v>56</v>
      </c>
      <c r="F11362" s="3" t="inlineStr">
        <is>
          <t>강내면</t>
        </is>
      </c>
      <c r="G11362" s="3" t="inlineStr">
        <is>
          <t>산단리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2024</v>
      </c>
      <c r="B11363" s="4" t="n">
        <v>14850</v>
      </c>
      <c r="C11363" s="4" t="n">
        <v>162</v>
      </c>
      <c r="D11363" s="4" t="n">
        <v>49.005</v>
      </c>
      <c r="E11363" s="5" t="n">
        <v>303</v>
      </c>
      <c r="F11363" s="3" t="inlineStr">
        <is>
          <t>오송읍</t>
        </is>
      </c>
      <c r="G11363" s="3" t="inlineStr">
        <is>
          <t>오송리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2024</v>
      </c>
      <c r="B11364" s="4" t="n">
        <v>62000</v>
      </c>
      <c r="C11364" s="4" t="n">
        <v>251.8</v>
      </c>
      <c r="D11364" s="4" t="n">
        <v>76.1695</v>
      </c>
      <c r="E11364" s="5" t="n">
        <v>814</v>
      </c>
      <c r="F11364" s="3" t="inlineStr">
        <is>
          <t>오송읍</t>
        </is>
      </c>
      <c r="G11364" s="3" t="inlineStr">
        <is>
          <t>연제리</t>
        </is>
      </c>
      <c r="H11364" s="3" t="inlineStr">
        <is>
          <t>단독다가구</t>
        </is>
      </c>
      <c r="I11364" s="3" t="inlineStr">
        <is>
          <t>다가구</t>
        </is>
      </c>
      <c r="J11364" s="3" t="inlineStr">
        <is>
          <t>오송읍</t>
        </is>
      </c>
    </row>
    <row r="11365">
      <c r="A11365" s="3" t="n">
        <v>2024</v>
      </c>
      <c r="B11365" s="4" t="n">
        <v>7500</v>
      </c>
      <c r="C11365" s="4" t="n">
        <v>244</v>
      </c>
      <c r="D11365" s="4" t="n">
        <v>73.81</v>
      </c>
      <c r="E11365" s="5" t="n">
        <v>101.6</v>
      </c>
      <c r="F11365" s="3" t="inlineStr">
        <is>
          <t>강내면</t>
        </is>
      </c>
      <c r="G11365" s="3" t="inlineStr">
        <is>
          <t>학천리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강내면</t>
        </is>
      </c>
    </row>
    <row r="11366">
      <c r="A11366" s="3" t="n">
        <v>2024</v>
      </c>
      <c r="B11366" s="4" t="n">
        <v>89100</v>
      </c>
      <c r="C11366" s="4" t="n">
        <v>609</v>
      </c>
      <c r="D11366" s="4" t="n">
        <v>184.2225</v>
      </c>
      <c r="E11366" s="5" t="n">
        <v>483.7</v>
      </c>
      <c r="F11366" s="3" t="inlineStr">
        <is>
          <t>강내면</t>
        </is>
      </c>
      <c r="G11366" s="3" t="inlineStr">
        <is>
          <t>월탄리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강내면</t>
        </is>
      </c>
    </row>
    <row r="11367">
      <c r="A11367" s="3" t="n">
        <v>2024</v>
      </c>
      <c r="B11367" s="4" t="n">
        <v>15169</v>
      </c>
      <c r="C11367" s="4" t="n">
        <v>896</v>
      </c>
      <c r="D11367" s="4" t="n">
        <v>271.04</v>
      </c>
      <c r="E11367" s="5" t="n">
        <v>56</v>
      </c>
      <c r="F11367" s="3" t="inlineStr">
        <is>
          <t>강내면</t>
        </is>
      </c>
      <c r="G11367" s="3" t="inlineStr">
        <is>
          <t>산단리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2024</v>
      </c>
      <c r="B11368" s="4" t="n">
        <v>30000</v>
      </c>
      <c r="C11368" s="4" t="n">
        <v>433</v>
      </c>
      <c r="D11368" s="4" t="n">
        <v>130.9825</v>
      </c>
      <c r="E11368" s="5" t="n">
        <v>229</v>
      </c>
      <c r="F11368" s="3" t="inlineStr">
        <is>
          <t>오송읍</t>
        </is>
      </c>
      <c r="G11368" s="3" t="inlineStr">
        <is>
          <t>궁평리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오송읍</t>
        </is>
      </c>
    </row>
    <row r="11369">
      <c r="A11369" s="3" t="n">
        <v>2025</v>
      </c>
      <c r="B11369" s="4" t="n">
        <v>46000</v>
      </c>
      <c r="C11369" s="4" t="n">
        <v>565</v>
      </c>
      <c r="D11369" s="4" t="n">
        <v>170.9125</v>
      </c>
      <c r="E11369" s="5" t="n">
        <v>269.1</v>
      </c>
      <c r="F11369" s="3" t="inlineStr">
        <is>
          <t>강내면</t>
        </is>
      </c>
      <c r="G11369" s="3" t="inlineStr">
        <is>
          <t>궁현리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강내면</t>
        </is>
      </c>
    </row>
    <row r="11370">
      <c r="A11370" s="3" t="n">
        <v>2025</v>
      </c>
      <c r="B11370" s="4" t="n">
        <v>25089</v>
      </c>
      <c r="C11370" s="4" t="n">
        <v>388</v>
      </c>
      <c r="D11370" s="4" t="n">
        <v>117.37</v>
      </c>
      <c r="E11370" s="5" t="n">
        <v>213.8</v>
      </c>
      <c r="F11370" s="3" t="inlineStr">
        <is>
          <t>강내면</t>
        </is>
      </c>
      <c r="G11370" s="3" t="inlineStr">
        <is>
          <t>석화리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강내면</t>
        </is>
      </c>
    </row>
    <row r="11371">
      <c r="A11371" s="3" t="n">
        <v>2025</v>
      </c>
      <c r="B11371" s="4" t="n">
        <v>13000</v>
      </c>
      <c r="C11371" s="4" t="n">
        <v>284</v>
      </c>
      <c r="D11371" s="4" t="n">
        <v>85.91</v>
      </c>
      <c r="E11371" s="5" t="n">
        <v>151.3</v>
      </c>
      <c r="F11371" s="3" t="inlineStr">
        <is>
          <t>오송읍</t>
        </is>
      </c>
      <c r="G11371" s="3" t="inlineStr">
        <is>
          <t>서평리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2025</v>
      </c>
      <c r="B11372" s="4" t="n">
        <v>74000</v>
      </c>
      <c r="C11372" s="4" t="n">
        <v>299.6</v>
      </c>
      <c r="D11372" s="4" t="n">
        <v>90.629</v>
      </c>
      <c r="E11372" s="5" t="n">
        <v>816.5</v>
      </c>
      <c r="F11372" s="3" t="inlineStr">
        <is>
          <t>오송읍</t>
        </is>
      </c>
      <c r="G11372" s="3" t="inlineStr">
        <is>
          <t>만수리</t>
        </is>
      </c>
      <c r="H11372" s="3" t="inlineStr">
        <is>
          <t>단독다가구</t>
        </is>
      </c>
      <c r="I11372" s="3" t="inlineStr">
        <is>
          <t>다가구</t>
        </is>
      </c>
      <c r="J11372" s="3" t="inlineStr">
        <is>
          <t>오송읍</t>
        </is>
      </c>
    </row>
    <row r="11373">
      <c r="A11373" s="3" t="n">
        <v>2025</v>
      </c>
      <c r="B11373" s="4" t="n">
        <v>33500</v>
      </c>
      <c r="C11373" s="4" t="n">
        <v>400</v>
      </c>
      <c r="D11373" s="4" t="n">
        <v>121</v>
      </c>
      <c r="E11373" s="5" t="n">
        <v>276.9</v>
      </c>
      <c r="F11373" s="3" t="inlineStr">
        <is>
          <t>오송읍</t>
        </is>
      </c>
      <c r="G11373" s="3" t="inlineStr">
        <is>
          <t>궁평리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2025</v>
      </c>
      <c r="B11374" s="4" t="n">
        <v>36000</v>
      </c>
      <c r="C11374" s="4" t="n">
        <v>299</v>
      </c>
      <c r="D11374" s="4" t="n">
        <v>90.44749999999999</v>
      </c>
      <c r="E11374" s="5" t="n">
        <v>398</v>
      </c>
      <c r="F11374" s="3" t="inlineStr">
        <is>
          <t>강내면</t>
        </is>
      </c>
      <c r="G11374" s="3" t="inlineStr">
        <is>
          <t>월탄리</t>
        </is>
      </c>
      <c r="H11374" s="3" t="inlineStr">
        <is>
          <t>단독다가구</t>
        </is>
      </c>
      <c r="I11374" s="3" t="inlineStr">
        <is>
          <t>다가구</t>
        </is>
      </c>
      <c r="J11374" s="3" t="inlineStr">
        <is>
          <t>강내면</t>
        </is>
      </c>
    </row>
    <row r="11375">
      <c r="A11375" s="3" t="n">
        <v>2025</v>
      </c>
      <c r="B11375" s="4" t="n">
        <v>68700</v>
      </c>
      <c r="C11375" s="4" t="n">
        <v>260</v>
      </c>
      <c r="D11375" s="4" t="n">
        <v>78.64999999999999</v>
      </c>
      <c r="E11375" s="5" t="n">
        <v>873.5</v>
      </c>
      <c r="F11375" s="3" t="inlineStr">
        <is>
          <t>오송읍</t>
        </is>
      </c>
      <c r="G11375" s="3" t="inlineStr">
        <is>
          <t>만수리</t>
        </is>
      </c>
      <c r="H11375" s="3" t="inlineStr">
        <is>
          <t>단독다가구</t>
        </is>
      </c>
      <c r="I11375" s="3" t="inlineStr">
        <is>
          <t>다가구</t>
        </is>
      </c>
      <c r="J11375" s="3" t="inlineStr">
        <is>
          <t>오송읍</t>
        </is>
      </c>
    </row>
    <row r="11376">
      <c r="A11376" s="3" t="n">
        <v>2025</v>
      </c>
      <c r="B11376" s="4" t="n">
        <v>68700</v>
      </c>
      <c r="C11376" s="4" t="n">
        <v>260</v>
      </c>
      <c r="D11376" s="4" t="n">
        <v>78.64999999999999</v>
      </c>
      <c r="E11376" s="5" t="n">
        <v>873.5</v>
      </c>
      <c r="F11376" s="3" t="inlineStr">
        <is>
          <t>오송읍</t>
        </is>
      </c>
      <c r="G11376" s="3" t="inlineStr">
        <is>
          <t>만수리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2025</v>
      </c>
      <c r="B11377" s="4" t="n">
        <v>17519</v>
      </c>
      <c r="C11377" s="4" t="n">
        <v>155</v>
      </c>
      <c r="D11377" s="4" t="n">
        <v>46.8875</v>
      </c>
      <c r="E11377" s="5" t="n">
        <v>373.6</v>
      </c>
      <c r="F11377" s="3" t="inlineStr">
        <is>
          <t>오송읍</t>
        </is>
      </c>
      <c r="G11377" s="3" t="inlineStr">
        <is>
          <t>연제리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오송읍</t>
        </is>
      </c>
    </row>
    <row r="11378">
      <c r="A11378" s="3" t="n">
        <v>2025</v>
      </c>
      <c r="B11378" s="4" t="n">
        <v>29000</v>
      </c>
      <c r="C11378" s="4" t="n">
        <v>465</v>
      </c>
      <c r="D11378" s="4" t="n">
        <v>140.6625</v>
      </c>
      <c r="E11378" s="5" t="n">
        <v>206.2</v>
      </c>
      <c r="F11378" s="3" t="inlineStr">
        <is>
          <t>오송읍</t>
        </is>
      </c>
      <c r="G11378" s="3" t="inlineStr">
        <is>
          <t>쌍청리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오송읍</t>
        </is>
      </c>
    </row>
    <row r="11379">
      <c r="A11379" s="3" t="n">
        <v>2026</v>
      </c>
      <c r="B11379" s="4" t="n">
        <v>71000</v>
      </c>
      <c r="C11379" s="4" t="n">
        <v>271</v>
      </c>
      <c r="D11379" s="4" t="n">
        <v>81.97749999999999</v>
      </c>
      <c r="E11379" s="5" t="n">
        <v>866.1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오송읍</t>
        </is>
      </c>
    </row>
    <row r="11380">
      <c r="A11380" s="3" t="n">
        <v>2026</v>
      </c>
      <c r="B11380" s="4" t="n">
        <v>73000</v>
      </c>
      <c r="C11380" s="4" t="n">
        <v>244.1</v>
      </c>
      <c r="D11380" s="4" t="n">
        <v>73.84025</v>
      </c>
      <c r="E11380" s="5" t="n">
        <v>988.6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54500</v>
      </c>
      <c r="C11381" s="4" t="n">
        <v>480</v>
      </c>
      <c r="D11381" s="4" t="n">
        <v>145.2</v>
      </c>
      <c r="E11381" s="5" t="n">
        <v>375.3</v>
      </c>
      <c r="F11381" s="3" t="inlineStr">
        <is>
          <t>오송읍</t>
        </is>
      </c>
      <c r="G11381" s="3" t="inlineStr">
        <is>
          <t>만수리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오송읍</t>
        </is>
      </c>
    </row>
    <row r="11382">
      <c r="A11382" s="3" t="n">
        <v>2026</v>
      </c>
      <c r="B11382" s="4" t="n">
        <v>25000</v>
      </c>
      <c r="C11382" s="4" t="n">
        <v>760</v>
      </c>
      <c r="D11382" s="4" t="n">
        <v>229.9</v>
      </c>
      <c r="E11382" s="5" t="n">
        <v>108.7</v>
      </c>
      <c r="F11382" s="3" t="inlineStr">
        <is>
          <t>강내면</t>
        </is>
      </c>
      <c r="G11382" s="3" t="inlineStr">
        <is>
          <t>태성리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강내면</t>
        </is>
      </c>
    </row>
    <row r="11383">
      <c r="A11383" s="3" t="n">
        <v>2026</v>
      </c>
      <c r="B11383" s="4" t="n">
        <v>14000</v>
      </c>
      <c r="C11383" s="4" t="n">
        <v>380</v>
      </c>
      <c r="D11383" s="4" t="n">
        <v>114.95</v>
      </c>
      <c r="E11383" s="5" t="n">
        <v>121.8</v>
      </c>
      <c r="F11383" s="3" t="inlineStr">
        <is>
          <t>오송읍</t>
        </is>
      </c>
      <c r="G11383" s="3" t="inlineStr">
        <is>
          <t>궁평리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2026</v>
      </c>
      <c r="B11384" s="4" t="n">
        <v>171000</v>
      </c>
      <c r="C11384" s="4" t="n">
        <v>272.7</v>
      </c>
      <c r="D11384" s="4" t="n">
        <v>82.49175</v>
      </c>
      <c r="E11384" s="5" t="n">
        <v>2072.9</v>
      </c>
      <c r="F11384" s="3" t="inlineStr">
        <is>
          <t>오송읍</t>
        </is>
      </c>
      <c r="G11384" s="3" t="inlineStr">
        <is>
          <t>봉산리</t>
        </is>
      </c>
      <c r="H11384" s="3" t="inlineStr">
        <is>
          <t>단독다가구</t>
        </is>
      </c>
      <c r="I11384" s="3" t="inlineStr">
        <is>
          <t>다가구</t>
        </is>
      </c>
      <c r="J11384" s="3" t="inlineStr">
        <is>
          <t>오송읍</t>
        </is>
      </c>
    </row>
    <row r="11385">
      <c r="A11385" s="3" t="n">
        <v>2026</v>
      </c>
      <c r="B11385" s="4" t="n">
        <v>64000</v>
      </c>
      <c r="C11385" s="4" t="n">
        <v>239.8</v>
      </c>
      <c r="D11385" s="4" t="n">
        <v>72.5395</v>
      </c>
      <c r="E11385" s="5" t="n">
        <v>882.3</v>
      </c>
      <c r="F11385" s="3" t="inlineStr">
        <is>
          <t>오송읍</t>
        </is>
      </c>
      <c r="G11385" s="3" t="inlineStr">
        <is>
          <t>만수리</t>
        </is>
      </c>
      <c r="H11385" s="3" t="inlineStr">
        <is>
          <t>단독다가구</t>
        </is>
      </c>
      <c r="I11385" s="3" t="inlineStr">
        <is>
          <t>다가구</t>
        </is>
      </c>
      <c r="J11385" s="3" t="inlineStr">
        <is>
          <t>오송읍</t>
        </is>
      </c>
    </row>
    <row r="11386">
      <c r="A11386" s="3" t="n">
        <v>2024</v>
      </c>
      <c r="B11386" s="4" t="n">
        <v>14000</v>
      </c>
      <c r="C11386" s="4" t="n">
        <v>109</v>
      </c>
      <c r="D11386" s="4" t="n">
        <v>32.9725</v>
      </c>
      <c r="E11386" s="5" t="n">
        <v>424.6</v>
      </c>
      <c r="F11386" s="3" t="inlineStr">
        <is>
          <t>오송읍</t>
        </is>
      </c>
      <c r="G11386" s="3" t="inlineStr">
        <is>
          <t>오송리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2025</v>
      </c>
      <c r="B11387" s="4" t="n">
        <v>120000</v>
      </c>
      <c r="C11387" s="4" t="n">
        <v>240.2</v>
      </c>
      <c r="D11387" s="4" t="n">
        <v>72.6605</v>
      </c>
      <c r="E11387" s="5" t="n">
        <v>1651.5</v>
      </c>
      <c r="F11387" s="3" t="inlineStr">
        <is>
          <t>오송읍</t>
        </is>
      </c>
      <c r="G11387" s="3" t="inlineStr">
        <is>
          <t>봉산리</t>
        </is>
      </c>
      <c r="H11387" s="3" t="inlineStr">
        <is>
          <t>단독다가구</t>
        </is>
      </c>
      <c r="I11387" s="3" t="inlineStr">
        <is>
          <t>다가구</t>
        </is>
      </c>
      <c r="J11387" s="3" t="inlineStr">
        <is>
          <t>오송읍</t>
        </is>
      </c>
    </row>
    <row r="11388">
      <c r="A11388" s="3" t="n">
        <v>2025</v>
      </c>
      <c r="B11388" s="4" t="n">
        <v>53700</v>
      </c>
      <c r="C11388" s="4" t="n">
        <v>331</v>
      </c>
      <c r="D11388" s="4" t="n">
        <v>100.1275</v>
      </c>
      <c r="E11388" s="5" t="n">
        <v>536.3</v>
      </c>
      <c r="F11388" s="3" t="inlineStr">
        <is>
          <t>오송읍</t>
        </is>
      </c>
      <c r="G11388" s="3" t="inlineStr">
        <is>
          <t>오송리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오송읍</t>
        </is>
      </c>
    </row>
    <row r="11389">
      <c r="A11389" s="3" t="n">
        <v>2025</v>
      </c>
      <c r="B11389" s="4" t="n">
        <v>134000</v>
      </c>
      <c r="C11389" s="4" t="n">
        <v>241</v>
      </c>
      <c r="D11389" s="4" t="n">
        <v>72.9025</v>
      </c>
      <c r="E11389" s="5" t="n">
        <v>1838.1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2025</v>
      </c>
      <c r="B11390" s="4" t="n">
        <v>67000</v>
      </c>
      <c r="C11390" s="4" t="n">
        <v>252.8</v>
      </c>
      <c r="D11390" s="4" t="n">
        <v>76.47199999999999</v>
      </c>
      <c r="E11390" s="5" t="n">
        <v>876.1</v>
      </c>
      <c r="F11390" s="3" t="inlineStr">
        <is>
          <t>오송읍</t>
        </is>
      </c>
      <c r="G11390" s="3" t="inlineStr">
        <is>
          <t>만수리</t>
        </is>
      </c>
      <c r="H11390" s="3" t="inlineStr">
        <is>
          <t>단독다가구</t>
        </is>
      </c>
      <c r="I11390" s="3" t="inlineStr">
        <is>
          <t>다가구</t>
        </is>
      </c>
      <c r="J11390" s="3" t="inlineStr">
        <is>
          <t>오송읍</t>
        </is>
      </c>
    </row>
    <row r="11391">
      <c r="A11391" s="3" t="n">
        <v>2022</v>
      </c>
      <c r="B11391" s="4" t="n">
        <v>28500</v>
      </c>
      <c r="C11391" s="4" t="n">
        <v>301</v>
      </c>
      <c r="D11391" s="4" t="n">
        <v>91.05249999999999</v>
      </c>
      <c r="E11391" s="5" t="n">
        <v>313</v>
      </c>
      <c r="F11391" s="3" t="inlineStr">
        <is>
          <t>오송읍</t>
        </is>
      </c>
      <c r="G11391" s="3" t="inlineStr">
        <is>
          <t>오송리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오송읍</t>
        </is>
      </c>
    </row>
    <row r="11392">
      <c r="A11392" s="3" t="n">
        <v>2022</v>
      </c>
      <c r="B11392" s="4" t="n">
        <v>13000</v>
      </c>
      <c r="C11392" s="4" t="n">
        <v>198</v>
      </c>
      <c r="D11392" s="4" t="n">
        <v>59.895</v>
      </c>
      <c r="E11392" s="5" t="n">
        <v>217</v>
      </c>
      <c r="F11392" s="3" t="inlineStr">
        <is>
          <t>강내면</t>
        </is>
      </c>
      <c r="G11392" s="3" t="inlineStr">
        <is>
          <t>사인리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강내면</t>
        </is>
      </c>
    </row>
    <row r="11393">
      <c r="A11393" s="3" t="n">
        <v>2022</v>
      </c>
      <c r="B11393" s="4" t="n">
        <v>13000</v>
      </c>
      <c r="C11393" s="4" t="n">
        <v>292</v>
      </c>
      <c r="D11393" s="4" t="n">
        <v>88.33</v>
      </c>
      <c r="E11393" s="5" t="n">
        <v>147.2</v>
      </c>
      <c r="F11393" s="3" t="inlineStr">
        <is>
          <t>오송읍</t>
        </is>
      </c>
      <c r="G11393" s="3" t="inlineStr">
        <is>
          <t>동평리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2022</v>
      </c>
      <c r="B11394" s="4" t="n">
        <v>13000</v>
      </c>
      <c r="C11394" s="4" t="n">
        <v>292</v>
      </c>
      <c r="D11394" s="4" t="n">
        <v>88.33</v>
      </c>
      <c r="E11394" s="5" t="n">
        <v>147.2</v>
      </c>
      <c r="F11394" s="3" t="inlineStr">
        <is>
          <t>오송읍</t>
        </is>
      </c>
      <c r="G11394" s="3" t="inlineStr">
        <is>
          <t>동평리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2022</v>
      </c>
      <c r="B11395" s="4" t="n">
        <v>72000</v>
      </c>
      <c r="C11395" s="4" t="n">
        <v>263.9</v>
      </c>
      <c r="D11395" s="4" t="n">
        <v>79.82974999999999</v>
      </c>
      <c r="E11395" s="5" t="n">
        <v>901.9</v>
      </c>
      <c r="F11395" s="3" t="inlineStr">
        <is>
          <t>오송읍</t>
        </is>
      </c>
      <c r="G11395" s="3" t="inlineStr">
        <is>
          <t>만수리</t>
        </is>
      </c>
      <c r="H11395" s="3" t="inlineStr">
        <is>
          <t>단독다가구</t>
        </is>
      </c>
      <c r="I11395" s="3" t="inlineStr">
        <is>
          <t>다가구</t>
        </is>
      </c>
      <c r="J11395" s="3" t="inlineStr">
        <is>
          <t>오송읍</t>
        </is>
      </c>
    </row>
    <row r="11396">
      <c r="A11396" s="3" t="n">
        <v>2022</v>
      </c>
      <c r="B11396" s="4" t="n">
        <v>27000</v>
      </c>
      <c r="C11396" s="4" t="n">
        <v>424</v>
      </c>
      <c r="D11396" s="4" t="n">
        <v>128.26</v>
      </c>
      <c r="E11396" s="5" t="n">
        <v>210.5</v>
      </c>
      <c r="F11396" s="3" t="inlineStr">
        <is>
          <t>오송읍</t>
        </is>
      </c>
      <c r="G11396" s="3" t="inlineStr">
        <is>
          <t>연제리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2022</v>
      </c>
      <c r="B11397" s="4" t="n">
        <v>37500</v>
      </c>
      <c r="C11397" s="4" t="n">
        <v>202</v>
      </c>
      <c r="D11397" s="4" t="n">
        <v>61.105</v>
      </c>
      <c r="E11397" s="5" t="n">
        <v>613.7</v>
      </c>
      <c r="F11397" s="3" t="inlineStr">
        <is>
          <t>오송읍</t>
        </is>
      </c>
      <c r="G11397" s="3" t="inlineStr">
        <is>
          <t>궁평리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오송읍</t>
        </is>
      </c>
    </row>
    <row r="11398">
      <c r="A11398" s="3" t="n">
        <v>2022</v>
      </c>
      <c r="B11398" s="4" t="n">
        <v>62300</v>
      </c>
      <c r="C11398" s="4" t="n">
        <v>298</v>
      </c>
      <c r="D11398" s="4" t="n">
        <v>90.145</v>
      </c>
      <c r="E11398" s="5" t="n">
        <v>691.1</v>
      </c>
      <c r="F11398" s="3" t="inlineStr">
        <is>
          <t>오송읍</t>
        </is>
      </c>
      <c r="G11398" s="3" t="inlineStr">
        <is>
          <t>궁평리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2022</v>
      </c>
      <c r="B11399" s="4" t="n">
        <v>105500</v>
      </c>
      <c r="C11399" s="4" t="n">
        <v>247</v>
      </c>
      <c r="D11399" s="4" t="n">
        <v>74.7175</v>
      </c>
      <c r="E11399" s="5" t="n">
        <v>1412</v>
      </c>
      <c r="F11399" s="3" t="inlineStr">
        <is>
          <t>오송읍</t>
        </is>
      </c>
      <c r="G11399" s="3" t="inlineStr">
        <is>
          <t>봉산리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9995</v>
      </c>
      <c r="C11400" s="4" t="n">
        <v>349</v>
      </c>
      <c r="D11400" s="4" t="n">
        <v>105.5725</v>
      </c>
      <c r="E11400" s="5" t="n">
        <v>94.7</v>
      </c>
      <c r="F11400" s="3" t="inlineStr">
        <is>
          <t>오송읍</t>
        </is>
      </c>
      <c r="G11400" s="3" t="inlineStr">
        <is>
          <t>공북리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2023</v>
      </c>
      <c r="B11401" s="4" t="n">
        <v>33000</v>
      </c>
      <c r="C11401" s="4" t="n">
        <v>237</v>
      </c>
      <c r="D11401" s="4" t="n">
        <v>71.6925</v>
      </c>
      <c r="E11401" s="5" t="n">
        <v>460.3</v>
      </c>
      <c r="F11401" s="3" t="inlineStr">
        <is>
          <t>오송읍</t>
        </is>
      </c>
      <c r="G11401" s="3" t="inlineStr">
        <is>
          <t>오송리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2023</v>
      </c>
      <c r="B11402" s="4" t="n">
        <v>39000</v>
      </c>
      <c r="C11402" s="4" t="n">
        <v>114</v>
      </c>
      <c r="D11402" s="4" t="n">
        <v>34.485</v>
      </c>
      <c r="E11402" s="5" t="n">
        <v>1130.9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2025</v>
      </c>
      <c r="B11403" s="4" t="n">
        <v>42000</v>
      </c>
      <c r="C11403" s="4" t="n">
        <v>484</v>
      </c>
      <c r="D11403" s="4" t="n">
        <v>146.41</v>
      </c>
      <c r="E11403" s="5" t="n">
        <v>286.9</v>
      </c>
      <c r="F11403" s="3" t="inlineStr">
        <is>
          <t>강내면</t>
        </is>
      </c>
      <c r="G11403" s="3" t="inlineStr">
        <is>
          <t>연정리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2025</v>
      </c>
      <c r="B11404" s="4" t="n">
        <v>69845</v>
      </c>
      <c r="C11404" s="4" t="n">
        <v>446</v>
      </c>
      <c r="D11404" s="4" t="n">
        <v>134.915</v>
      </c>
      <c r="E11404" s="5" t="n">
        <v>517.7</v>
      </c>
      <c r="F11404" s="3" t="inlineStr">
        <is>
          <t>강내면</t>
        </is>
      </c>
      <c r="G11404" s="3" t="inlineStr">
        <is>
          <t>월탄리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강내면</t>
        </is>
      </c>
    </row>
    <row r="11405">
      <c r="A11405" s="3" t="n">
        <v>2025</v>
      </c>
      <c r="B11405" s="4" t="n">
        <v>139000</v>
      </c>
      <c r="C11405" s="4" t="n">
        <v>276.5</v>
      </c>
      <c r="D11405" s="4" t="n">
        <v>83.64125</v>
      </c>
      <c r="E11405" s="5" t="n">
        <v>1661.9</v>
      </c>
      <c r="F11405" s="3" t="inlineStr">
        <is>
          <t>오송읍</t>
        </is>
      </c>
      <c r="G11405" s="3" t="inlineStr">
        <is>
          <t>봉산리</t>
        </is>
      </c>
      <c r="H11405" s="3" t="inlineStr">
        <is>
          <t>단독다가구</t>
        </is>
      </c>
      <c r="I11405" s="3" t="inlineStr">
        <is>
          <t>다가구</t>
        </is>
      </c>
      <c r="J11405" s="3" t="inlineStr">
        <is>
          <t>오송읍</t>
        </is>
      </c>
    </row>
    <row r="11406">
      <c r="A11406" s="3" t="n">
        <v>2025</v>
      </c>
      <c r="B11406" s="4" t="n">
        <v>66000</v>
      </c>
      <c r="C11406" s="4" t="n">
        <v>260.1</v>
      </c>
      <c r="D11406" s="4" t="n">
        <v>78.68025</v>
      </c>
      <c r="E11406" s="5" t="n">
        <v>838.8</v>
      </c>
      <c r="F11406" s="3" t="inlineStr">
        <is>
          <t>오송읍</t>
        </is>
      </c>
      <c r="G11406" s="3" t="inlineStr">
        <is>
          <t>만수리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2024</v>
      </c>
      <c r="B11407" s="4" t="n">
        <v>22000</v>
      </c>
      <c r="C11407" s="4" t="n">
        <v>215</v>
      </c>
      <c r="D11407" s="4" t="n">
        <v>65.03749999999999</v>
      </c>
      <c r="E11407" s="5" t="n">
        <v>338.3</v>
      </c>
      <c r="F11407" s="3" t="inlineStr">
        <is>
          <t>오송읍</t>
        </is>
      </c>
      <c r="G11407" s="3" t="inlineStr">
        <is>
          <t>오송리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오송읍</t>
        </is>
      </c>
    </row>
    <row r="11408">
      <c r="A11408" s="3" t="n">
        <v>2024</v>
      </c>
      <c r="B11408" s="4" t="n">
        <v>15000</v>
      </c>
      <c r="C11408" s="4" t="n">
        <v>488</v>
      </c>
      <c r="D11408" s="4" t="n">
        <v>147.62</v>
      </c>
      <c r="E11408" s="5" t="n">
        <v>101.6</v>
      </c>
      <c r="F11408" s="3" t="inlineStr">
        <is>
          <t>오송읍</t>
        </is>
      </c>
      <c r="G11408" s="3" t="inlineStr">
        <is>
          <t>상봉리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16500</v>
      </c>
      <c r="C11409" s="4" t="n">
        <v>129</v>
      </c>
      <c r="D11409" s="4" t="n">
        <v>39.0225</v>
      </c>
      <c r="E11409" s="5" t="n">
        <v>422.8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17000</v>
      </c>
      <c r="C11410" s="4" t="n">
        <v>486</v>
      </c>
      <c r="D11410" s="4" t="n">
        <v>147.015</v>
      </c>
      <c r="E11410" s="5" t="n">
        <v>115.6</v>
      </c>
      <c r="F11410" s="3" t="inlineStr">
        <is>
          <t>오송읍</t>
        </is>
      </c>
      <c r="G11410" s="3" t="inlineStr">
        <is>
          <t>상정리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2024</v>
      </c>
      <c r="B11411" s="4" t="n">
        <v>22000</v>
      </c>
      <c r="C11411" s="4" t="n">
        <v>318</v>
      </c>
      <c r="D11411" s="4" t="n">
        <v>96.19499999999999</v>
      </c>
      <c r="E11411" s="5" t="n">
        <v>228.7</v>
      </c>
      <c r="F11411" s="3" t="inlineStr">
        <is>
          <t>강내면</t>
        </is>
      </c>
      <c r="G11411" s="3" t="inlineStr">
        <is>
          <t>석화리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9000</v>
      </c>
      <c r="C11412" s="4" t="n">
        <v>182</v>
      </c>
      <c r="D11412" s="4" t="n">
        <v>55.055</v>
      </c>
      <c r="E11412" s="5" t="n">
        <v>163.5</v>
      </c>
      <c r="F11412" s="3" t="inlineStr">
        <is>
          <t>강내면</t>
        </is>
      </c>
      <c r="G11412" s="3" t="inlineStr">
        <is>
          <t>저산리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강내면</t>
        </is>
      </c>
    </row>
    <row r="11413">
      <c r="A11413" s="3" t="n">
        <v>2024</v>
      </c>
      <c r="B11413" s="4" t="n">
        <v>74000</v>
      </c>
      <c r="C11413" s="4" t="n">
        <v>260.8</v>
      </c>
      <c r="D11413" s="4" t="n">
        <v>78.892</v>
      </c>
      <c r="E11413" s="5" t="n">
        <v>938</v>
      </c>
      <c r="F11413" s="3" t="inlineStr">
        <is>
          <t>오송읍</t>
        </is>
      </c>
      <c r="G11413" s="3" t="inlineStr">
        <is>
          <t>만수리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19500</v>
      </c>
      <c r="C11414" s="4" t="n">
        <v>1072</v>
      </c>
      <c r="D11414" s="4" t="n">
        <v>324.28</v>
      </c>
      <c r="E11414" s="5" t="n">
        <v>60.1</v>
      </c>
      <c r="F11414" s="3" t="inlineStr">
        <is>
          <t>강내면</t>
        </is>
      </c>
      <c r="G11414" s="3" t="inlineStr">
        <is>
          <t>연정리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160000</v>
      </c>
      <c r="C11415" s="4" t="n">
        <v>360.7</v>
      </c>
      <c r="D11415" s="4" t="n">
        <v>109.11175</v>
      </c>
      <c r="E11415" s="5" t="n">
        <v>1466.4</v>
      </c>
      <c r="F11415" s="3" t="inlineStr">
        <is>
          <t>오송읍</t>
        </is>
      </c>
      <c r="G11415" s="3" t="inlineStr">
        <is>
          <t>봉산리</t>
        </is>
      </c>
      <c r="H11415" s="3" t="inlineStr">
        <is>
          <t>단독다가구</t>
        </is>
      </c>
      <c r="I11415" s="3" t="inlineStr">
        <is>
          <t>다가구</t>
        </is>
      </c>
      <c r="J11415" s="3" t="inlineStr">
        <is>
          <t>오송읍</t>
        </is>
      </c>
    </row>
    <row r="11416">
      <c r="A11416" s="3" t="n">
        <v>2024</v>
      </c>
      <c r="B11416" s="4" t="n">
        <v>66700</v>
      </c>
      <c r="C11416" s="4" t="n">
        <v>629</v>
      </c>
      <c r="D11416" s="4" t="n">
        <v>190.2725</v>
      </c>
      <c r="E11416" s="5" t="n">
        <v>350.5</v>
      </c>
      <c r="F11416" s="3" t="inlineStr">
        <is>
          <t>강내면</t>
        </is>
      </c>
      <c r="G11416" s="3" t="inlineStr">
        <is>
          <t>저산리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2025</v>
      </c>
      <c r="B11417" s="4" t="n">
        <v>25000</v>
      </c>
      <c r="C11417" s="4" t="n">
        <v>618</v>
      </c>
      <c r="D11417" s="4" t="n">
        <v>186.945</v>
      </c>
      <c r="E11417" s="5" t="n">
        <v>133.7</v>
      </c>
      <c r="F11417" s="3" t="inlineStr">
        <is>
          <t>오송읍</t>
        </is>
      </c>
      <c r="G11417" s="3" t="inlineStr">
        <is>
          <t>공북리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53500</v>
      </c>
      <c r="C11418" s="4" t="n">
        <v>331</v>
      </c>
      <c r="D11418" s="4" t="n">
        <v>100.1275</v>
      </c>
      <c r="E11418" s="5" t="n">
        <v>534.3</v>
      </c>
      <c r="F11418" s="3" t="inlineStr">
        <is>
          <t>오송읍</t>
        </is>
      </c>
      <c r="G11418" s="3" t="inlineStr">
        <is>
          <t>오송리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2025</v>
      </c>
      <c r="B11419" s="4" t="n">
        <v>125000</v>
      </c>
      <c r="C11419" s="4" t="n">
        <v>270.7</v>
      </c>
      <c r="D11419" s="4" t="n">
        <v>81.88674999999999</v>
      </c>
      <c r="E11419" s="5" t="n">
        <v>1526.5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2025</v>
      </c>
      <c r="B11420" s="4" t="n">
        <v>64500</v>
      </c>
      <c r="C11420" s="4" t="n">
        <v>446</v>
      </c>
      <c r="D11420" s="4" t="n">
        <v>134.915</v>
      </c>
      <c r="E11420" s="5" t="n">
        <v>478.1</v>
      </c>
      <c r="F11420" s="3" t="inlineStr">
        <is>
          <t>강내면</t>
        </is>
      </c>
      <c r="G11420" s="3" t="inlineStr">
        <is>
          <t>월탄리</t>
        </is>
      </c>
      <c r="H11420" s="3" t="inlineStr">
        <is>
          <t>단독다가구</t>
        </is>
      </c>
      <c r="I11420" s="3" t="inlineStr">
        <is>
          <t>다가구</t>
        </is>
      </c>
      <c r="J11420" s="3" t="inlineStr">
        <is>
          <t>강내면</t>
        </is>
      </c>
    </row>
    <row r="11421">
      <c r="A11421" s="3" t="n">
        <v>2024</v>
      </c>
      <c r="B11421" s="4" t="n">
        <v>53600</v>
      </c>
      <c r="C11421" s="4" t="n">
        <v>365</v>
      </c>
      <c r="D11421" s="4" t="n">
        <v>110.4125</v>
      </c>
      <c r="E11421" s="5" t="n">
        <v>485.5</v>
      </c>
      <c r="F11421" s="3" t="inlineStr">
        <is>
          <t>오송읍</t>
        </is>
      </c>
      <c r="G11421" s="3" t="inlineStr">
        <is>
          <t>궁평리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2024</v>
      </c>
      <c r="B11422" s="4" t="n">
        <v>8000</v>
      </c>
      <c r="C11422" s="4" t="n">
        <v>610</v>
      </c>
      <c r="D11422" s="4" t="n">
        <v>184.525</v>
      </c>
      <c r="E11422" s="5" t="n">
        <v>43.4</v>
      </c>
      <c r="F11422" s="3" t="inlineStr">
        <is>
          <t>강내면</t>
        </is>
      </c>
      <c r="G11422" s="3" t="inlineStr">
        <is>
          <t>다락리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강내면</t>
        </is>
      </c>
    </row>
    <row r="11423">
      <c r="A11423" s="3" t="n">
        <v>2024</v>
      </c>
      <c r="B11423" s="4" t="n">
        <v>67500</v>
      </c>
      <c r="C11423" s="4" t="n">
        <v>254</v>
      </c>
      <c r="D11423" s="4" t="n">
        <v>76.83499999999999</v>
      </c>
      <c r="E11423" s="5" t="n">
        <v>878.5</v>
      </c>
      <c r="F11423" s="3" t="inlineStr">
        <is>
          <t>오송읍</t>
        </is>
      </c>
      <c r="G11423" s="3" t="inlineStr">
        <is>
          <t>연제리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2024</v>
      </c>
      <c r="B11424" s="4" t="n">
        <v>9600</v>
      </c>
      <c r="C11424" s="4" t="n">
        <v>151</v>
      </c>
      <c r="D11424" s="4" t="n">
        <v>45.6775</v>
      </c>
      <c r="E11424" s="5" t="n">
        <v>210.2</v>
      </c>
      <c r="F11424" s="3" t="inlineStr">
        <is>
          <t>오송읍</t>
        </is>
      </c>
      <c r="G11424" s="3" t="inlineStr">
        <is>
          <t>궁평리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2025</v>
      </c>
      <c r="B11425" s="4" t="n">
        <v>23500</v>
      </c>
      <c r="C11425" s="4" t="n">
        <v>330</v>
      </c>
      <c r="D11425" s="4" t="n">
        <v>99.825</v>
      </c>
      <c r="E11425" s="5" t="n">
        <v>235.4</v>
      </c>
      <c r="F11425" s="3" t="inlineStr">
        <is>
          <t>오송읍</t>
        </is>
      </c>
      <c r="G11425" s="3" t="inlineStr">
        <is>
          <t>봉산리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2025</v>
      </c>
      <c r="B11426" s="4" t="n">
        <v>63500</v>
      </c>
      <c r="C11426" s="4" t="n">
        <v>283.3</v>
      </c>
      <c r="D11426" s="4" t="n">
        <v>85.69825</v>
      </c>
      <c r="E11426" s="5" t="n">
        <v>741</v>
      </c>
      <c r="F11426" s="3" t="inlineStr">
        <is>
          <t>오송읍</t>
        </is>
      </c>
      <c r="G11426" s="3" t="inlineStr">
        <is>
          <t>만수리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2025</v>
      </c>
      <c r="B11427" s="4" t="n">
        <v>34500</v>
      </c>
      <c r="C11427" s="4" t="n">
        <v>456</v>
      </c>
      <c r="D11427" s="4" t="n">
        <v>137.94</v>
      </c>
      <c r="E11427" s="5" t="n">
        <v>250.1</v>
      </c>
      <c r="F11427" s="3" t="inlineStr">
        <is>
          <t>오송읍</t>
        </is>
      </c>
      <c r="G11427" s="3" t="inlineStr">
        <is>
          <t>정중리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2025</v>
      </c>
      <c r="B11428" s="4" t="n">
        <v>66250</v>
      </c>
      <c r="C11428" s="4" t="n">
        <v>257.9</v>
      </c>
      <c r="D11428" s="4" t="n">
        <v>78.01474999999999</v>
      </c>
      <c r="E11428" s="5" t="n">
        <v>849.2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2022</v>
      </c>
      <c r="B11429" s="4" t="n">
        <v>17500</v>
      </c>
      <c r="C11429" s="4" t="n">
        <v>198</v>
      </c>
      <c r="D11429" s="4" t="n">
        <v>59.895</v>
      </c>
      <c r="E11429" s="5" t="n">
        <v>292.2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60000</v>
      </c>
      <c r="C11430" s="4" t="n">
        <v>1187</v>
      </c>
      <c r="D11430" s="4" t="n">
        <v>359.0675</v>
      </c>
      <c r="E11430" s="5" t="n">
        <v>167.1</v>
      </c>
      <c r="F11430" s="3" t="inlineStr">
        <is>
          <t>강내면</t>
        </is>
      </c>
      <c r="G11430" s="3" t="inlineStr">
        <is>
          <t>월탄리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강내면</t>
        </is>
      </c>
    </row>
    <row r="11431">
      <c r="A11431" s="3" t="n">
        <v>2022</v>
      </c>
      <c r="B11431" s="4" t="n">
        <v>33000</v>
      </c>
      <c r="C11431" s="4" t="n">
        <v>390</v>
      </c>
      <c r="D11431" s="4" t="n">
        <v>117.975</v>
      </c>
      <c r="E11431" s="5" t="n">
        <v>279.7</v>
      </c>
      <c r="F11431" s="3" t="inlineStr">
        <is>
          <t>오송읍</t>
        </is>
      </c>
      <c r="G11431" s="3" t="inlineStr">
        <is>
          <t>오송리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22280</v>
      </c>
      <c r="C11432" s="4" t="n">
        <v>363</v>
      </c>
      <c r="D11432" s="4" t="n">
        <v>109.8075</v>
      </c>
      <c r="E11432" s="5" t="n">
        <v>202.9</v>
      </c>
      <c r="F11432" s="3" t="inlineStr">
        <is>
          <t>강내면</t>
        </is>
      </c>
      <c r="G11432" s="3" t="inlineStr">
        <is>
          <t>월탄리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2022</v>
      </c>
      <c r="B11433" s="4" t="n">
        <v>155000</v>
      </c>
      <c r="C11433" s="4" t="n">
        <v>263.6</v>
      </c>
      <c r="D11433" s="4" t="n">
        <v>79.739</v>
      </c>
      <c r="E11433" s="5" t="n">
        <v>1943.8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2023</v>
      </c>
      <c r="B11434" s="4" t="n">
        <v>55000</v>
      </c>
      <c r="C11434" s="4" t="n">
        <v>516</v>
      </c>
      <c r="D11434" s="4" t="n">
        <v>156.09</v>
      </c>
      <c r="E11434" s="5" t="n">
        <v>352.4</v>
      </c>
      <c r="F11434" s="3" t="inlineStr">
        <is>
          <t>오송읍</t>
        </is>
      </c>
      <c r="G11434" s="3" t="inlineStr">
        <is>
          <t>오송리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2023</v>
      </c>
      <c r="B11435" s="4" t="n">
        <v>72100</v>
      </c>
      <c r="C11435" s="4" t="n">
        <v>676</v>
      </c>
      <c r="D11435" s="4" t="n">
        <v>204.49</v>
      </c>
      <c r="E11435" s="5" t="n">
        <v>352.6</v>
      </c>
      <c r="F11435" s="3" t="inlineStr">
        <is>
          <t>강내면</t>
        </is>
      </c>
      <c r="G11435" s="3" t="inlineStr">
        <is>
          <t>월탄리</t>
        </is>
      </c>
      <c r="H11435" s="3" t="inlineStr">
        <is>
          <t>단독다가구</t>
        </is>
      </c>
      <c r="I11435" s="3" t="inlineStr">
        <is>
          <t>다가구</t>
        </is>
      </c>
      <c r="J11435" s="3" t="inlineStr">
        <is>
          <t>강내면</t>
        </is>
      </c>
    </row>
    <row r="11436">
      <c r="A11436" s="3" t="n">
        <v>2023</v>
      </c>
      <c r="B11436" s="4" t="n">
        <v>27000</v>
      </c>
      <c r="C11436" s="4" t="n">
        <v>299</v>
      </c>
      <c r="D11436" s="4" t="n">
        <v>90.44749999999999</v>
      </c>
      <c r="E11436" s="5" t="n">
        <v>298.5</v>
      </c>
      <c r="F11436" s="3" t="inlineStr">
        <is>
          <t>오송읍</t>
        </is>
      </c>
      <c r="G11436" s="3" t="inlineStr">
        <is>
          <t>동평리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2023</v>
      </c>
      <c r="B11437" s="4" t="n">
        <v>72000</v>
      </c>
      <c r="C11437" s="4" t="n">
        <v>274.9</v>
      </c>
      <c r="D11437" s="4" t="n">
        <v>83.15724999999999</v>
      </c>
      <c r="E11437" s="5" t="n">
        <v>865.8</v>
      </c>
      <c r="F11437" s="3" t="inlineStr">
        <is>
          <t>오송읍</t>
        </is>
      </c>
      <c r="G11437" s="3" t="inlineStr">
        <is>
          <t>연제리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2023</v>
      </c>
      <c r="B11438" s="4" t="n">
        <v>9700</v>
      </c>
      <c r="C11438" s="4" t="n">
        <v>185</v>
      </c>
      <c r="D11438" s="4" t="n">
        <v>55.9625</v>
      </c>
      <c r="E11438" s="5" t="n">
        <v>173.3</v>
      </c>
      <c r="F11438" s="3" t="inlineStr">
        <is>
          <t>오송읍</t>
        </is>
      </c>
      <c r="G11438" s="3" t="inlineStr">
        <is>
          <t>정중리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2023</v>
      </c>
      <c r="B11439" s="4" t="n">
        <v>45000</v>
      </c>
      <c r="C11439" s="4" t="n">
        <v>371</v>
      </c>
      <c r="D11439" s="4" t="n">
        <v>112.2275</v>
      </c>
      <c r="E11439" s="5" t="n">
        <v>401</v>
      </c>
      <c r="F11439" s="3" t="inlineStr">
        <is>
          <t>오송읍</t>
        </is>
      </c>
      <c r="G11439" s="3" t="inlineStr">
        <is>
          <t>동평리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2023</v>
      </c>
      <c r="B11440" s="4" t="n">
        <v>23000</v>
      </c>
      <c r="C11440" s="4" t="n">
        <v>660</v>
      </c>
      <c r="D11440" s="4" t="n">
        <v>199.65</v>
      </c>
      <c r="E11440" s="5" t="n">
        <v>115.2</v>
      </c>
      <c r="F11440" s="3" t="inlineStr">
        <is>
          <t>오송읍</t>
        </is>
      </c>
      <c r="G11440" s="3" t="inlineStr">
        <is>
          <t>공북리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2024</v>
      </c>
      <c r="B11441" s="4" t="n">
        <v>134000</v>
      </c>
      <c r="C11441" s="4" t="n">
        <v>276.2</v>
      </c>
      <c r="D11441" s="4" t="n">
        <v>83.5505</v>
      </c>
      <c r="E11441" s="5" t="n">
        <v>1603.8</v>
      </c>
      <c r="F11441" s="3" t="inlineStr">
        <is>
          <t>오송읍</t>
        </is>
      </c>
      <c r="G11441" s="3" t="inlineStr">
        <is>
          <t>봉산리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오송읍</t>
        </is>
      </c>
    </row>
    <row r="11442">
      <c r="A11442" s="3" t="n">
        <v>2024</v>
      </c>
      <c r="B11442" s="4" t="n">
        <v>14700</v>
      </c>
      <c r="C11442" s="4" t="n">
        <v>318</v>
      </c>
      <c r="D11442" s="4" t="n">
        <v>96.19499999999999</v>
      </c>
      <c r="E11442" s="5" t="n">
        <v>152.8</v>
      </c>
      <c r="F11442" s="3" t="inlineStr">
        <is>
          <t>오송읍</t>
        </is>
      </c>
      <c r="G11442" s="3" t="inlineStr">
        <is>
          <t>상봉리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176000</v>
      </c>
      <c r="C11443" s="4" t="n">
        <v>248.7</v>
      </c>
      <c r="D11443" s="4" t="n">
        <v>75.23174999999999</v>
      </c>
      <c r="E11443" s="5" t="n">
        <v>2339.4</v>
      </c>
      <c r="F11443" s="3" t="inlineStr">
        <is>
          <t>오송읍</t>
        </is>
      </c>
      <c r="G11443" s="3" t="inlineStr">
        <is>
          <t>봉산리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15750</v>
      </c>
      <c r="C11444" s="4" t="n">
        <v>323</v>
      </c>
      <c r="D11444" s="4" t="n">
        <v>97.7075</v>
      </c>
      <c r="E11444" s="5" t="n">
        <v>161.2</v>
      </c>
      <c r="F11444" s="3" t="inlineStr">
        <is>
          <t>강내면</t>
        </is>
      </c>
      <c r="G11444" s="3" t="inlineStr">
        <is>
          <t>사곡리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35000</v>
      </c>
      <c r="C11445" s="4" t="n">
        <v>658</v>
      </c>
      <c r="D11445" s="4" t="n">
        <v>199.045</v>
      </c>
      <c r="E11445" s="5" t="n">
        <v>175.8</v>
      </c>
      <c r="F11445" s="3" t="inlineStr">
        <is>
          <t>오송읍</t>
        </is>
      </c>
      <c r="G11445" s="3" t="inlineStr">
        <is>
          <t>공북리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2024</v>
      </c>
      <c r="B11446" s="4" t="n">
        <v>140000</v>
      </c>
      <c r="C11446" s="4" t="n">
        <v>476</v>
      </c>
      <c r="D11446" s="4" t="n">
        <v>143.99</v>
      </c>
      <c r="E11446" s="5" t="n">
        <v>972.3</v>
      </c>
      <c r="F11446" s="3" t="inlineStr">
        <is>
          <t>오송읍</t>
        </is>
      </c>
      <c r="G11446" s="3" t="inlineStr">
        <is>
          <t>오송리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2024</v>
      </c>
      <c r="B11447" s="4" t="n">
        <v>8500</v>
      </c>
      <c r="C11447" s="4" t="n">
        <v>357</v>
      </c>
      <c r="D11447" s="4" t="n">
        <v>107.9925</v>
      </c>
      <c r="E11447" s="5" t="n">
        <v>78.7</v>
      </c>
      <c r="F11447" s="3" t="inlineStr">
        <is>
          <t>강내면</t>
        </is>
      </c>
      <c r="G11447" s="3" t="inlineStr">
        <is>
          <t>저산리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강내면</t>
        </is>
      </c>
    </row>
    <row r="11448">
      <c r="A11448" s="3" t="n">
        <v>2024</v>
      </c>
      <c r="B11448" s="4" t="n">
        <v>24000</v>
      </c>
      <c r="C11448" s="4" t="n">
        <v>238</v>
      </c>
      <c r="D11448" s="4" t="n">
        <v>71.995</v>
      </c>
      <c r="E11448" s="5" t="n">
        <v>333.4</v>
      </c>
      <c r="F11448" s="3" t="inlineStr">
        <is>
          <t>오송읍</t>
        </is>
      </c>
      <c r="G11448" s="3" t="inlineStr">
        <is>
          <t>동평리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2024</v>
      </c>
      <c r="B11449" s="4" t="n">
        <v>55000</v>
      </c>
      <c r="C11449" s="4" t="n">
        <v>1048</v>
      </c>
      <c r="D11449" s="4" t="n">
        <v>317.02</v>
      </c>
      <c r="E11449" s="5" t="n">
        <v>173.5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2024</v>
      </c>
      <c r="B11450" s="4" t="n">
        <v>28000</v>
      </c>
      <c r="C11450" s="4" t="n">
        <v>347</v>
      </c>
      <c r="D11450" s="4" t="n">
        <v>104.9675</v>
      </c>
      <c r="E11450" s="5" t="n">
        <v>266.7</v>
      </c>
      <c r="F11450" s="3" t="inlineStr">
        <is>
          <t>강내면</t>
        </is>
      </c>
      <c r="G11450" s="3" t="inlineStr">
        <is>
          <t>궁현리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강내면</t>
        </is>
      </c>
    </row>
    <row r="11451">
      <c r="A11451" s="3" t="n">
        <v>2024</v>
      </c>
      <c r="B11451" s="4" t="n">
        <v>18000</v>
      </c>
      <c r="C11451" s="4" t="n">
        <v>341</v>
      </c>
      <c r="D11451" s="4" t="n">
        <v>103.1525</v>
      </c>
      <c r="E11451" s="5" t="n">
        <v>174.5</v>
      </c>
      <c r="F11451" s="3" t="inlineStr">
        <is>
          <t>오송읍</t>
        </is>
      </c>
      <c r="G11451" s="3" t="inlineStr">
        <is>
          <t>서평리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2022</v>
      </c>
      <c r="B11452" s="4" t="n">
        <v>55150</v>
      </c>
      <c r="C11452" s="4" t="n">
        <v>534.9</v>
      </c>
      <c r="D11452" s="4" t="n">
        <v>161.80725</v>
      </c>
      <c r="E11452" s="5" t="n">
        <v>340.8</v>
      </c>
      <c r="F11452" s="3" t="inlineStr">
        <is>
          <t>강내면</t>
        </is>
      </c>
      <c r="G11452" s="3" t="inlineStr">
        <is>
          <t>사곡리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2022</v>
      </c>
      <c r="B11453" s="4" t="n">
        <v>22900</v>
      </c>
      <c r="C11453" s="4" t="n">
        <v>601</v>
      </c>
      <c r="D11453" s="4" t="n">
        <v>181.8025</v>
      </c>
      <c r="E11453" s="5" t="n">
        <v>126</v>
      </c>
      <c r="F11453" s="3" t="inlineStr">
        <is>
          <t>강내면</t>
        </is>
      </c>
      <c r="G11453" s="3" t="inlineStr">
        <is>
          <t>당곡리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2023</v>
      </c>
      <c r="B11454" s="4" t="n">
        <v>49540</v>
      </c>
      <c r="C11454" s="4" t="n">
        <v>697</v>
      </c>
      <c r="D11454" s="4" t="n">
        <v>210.8425</v>
      </c>
      <c r="E11454" s="5" t="n">
        <v>235</v>
      </c>
      <c r="F11454" s="3" t="inlineStr">
        <is>
          <t>강내면</t>
        </is>
      </c>
      <c r="G11454" s="3" t="inlineStr">
        <is>
          <t>석화리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강내면</t>
        </is>
      </c>
    </row>
    <row r="11455">
      <c r="A11455" s="3" t="n">
        <v>2023</v>
      </c>
      <c r="B11455" s="4" t="n">
        <v>24050</v>
      </c>
      <c r="C11455" s="4" t="n">
        <v>487</v>
      </c>
      <c r="D11455" s="4" t="n">
        <v>147.3175</v>
      </c>
      <c r="E11455" s="5" t="n">
        <v>163.3</v>
      </c>
      <c r="F11455" s="3" t="inlineStr">
        <is>
          <t>오송읍</t>
        </is>
      </c>
      <c r="G11455" s="3" t="inlineStr">
        <is>
          <t>상정리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2023</v>
      </c>
      <c r="B11456" s="4" t="n">
        <v>64816</v>
      </c>
      <c r="C11456" s="4" t="n">
        <v>708</v>
      </c>
      <c r="D11456" s="4" t="n">
        <v>214.17</v>
      </c>
      <c r="E11456" s="5" t="n">
        <v>302.6</v>
      </c>
      <c r="F11456" s="3" t="inlineStr">
        <is>
          <t>강내면</t>
        </is>
      </c>
      <c r="G11456" s="3" t="inlineStr">
        <is>
          <t>궁현리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강내면</t>
        </is>
      </c>
    </row>
    <row r="11457">
      <c r="A11457" s="3" t="n">
        <v>2023</v>
      </c>
      <c r="B11457" s="4" t="n">
        <v>72000</v>
      </c>
      <c r="C11457" s="4" t="n">
        <v>258.3</v>
      </c>
      <c r="D11457" s="4" t="n">
        <v>78.13575</v>
      </c>
      <c r="E11457" s="5" t="n">
        <v>921.5</v>
      </c>
      <c r="F11457" s="3" t="inlineStr">
        <is>
          <t>오송읍</t>
        </is>
      </c>
      <c r="G11457" s="3" t="inlineStr">
        <is>
          <t>만수리</t>
        </is>
      </c>
      <c r="H11457" s="3" t="inlineStr">
        <is>
          <t>단독다가구</t>
        </is>
      </c>
      <c r="I11457" s="3" t="inlineStr">
        <is>
          <t>다가구</t>
        </is>
      </c>
      <c r="J11457" s="3" t="inlineStr">
        <is>
          <t>오송읍</t>
        </is>
      </c>
    </row>
    <row r="11458">
      <c r="A11458" s="3" t="n">
        <v>2023</v>
      </c>
      <c r="B11458" s="4" t="n">
        <v>23000</v>
      </c>
      <c r="C11458" s="4" t="n">
        <v>238</v>
      </c>
      <c r="D11458" s="4" t="n">
        <v>71.995</v>
      </c>
      <c r="E11458" s="5" t="n">
        <v>319.5</v>
      </c>
      <c r="F11458" s="3" t="inlineStr">
        <is>
          <t>오송읍</t>
        </is>
      </c>
      <c r="G11458" s="3" t="inlineStr">
        <is>
          <t>동평리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2023</v>
      </c>
      <c r="B11459" s="4" t="n">
        <v>27790</v>
      </c>
      <c r="C11459" s="4" t="n">
        <v>617</v>
      </c>
      <c r="D11459" s="4" t="n">
        <v>186.6425</v>
      </c>
      <c r="E11459" s="5" t="n">
        <v>148.9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2023</v>
      </c>
      <c r="B11460" s="4" t="n">
        <v>69500</v>
      </c>
      <c r="C11460" s="4" t="n">
        <v>276.9</v>
      </c>
      <c r="D11460" s="4" t="n">
        <v>83.76224999999999</v>
      </c>
      <c r="E11460" s="5" t="n">
        <v>829.7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다가구</t>
        </is>
      </c>
      <c r="J11460" s="3" t="inlineStr">
        <is>
          <t>오송읍</t>
        </is>
      </c>
    </row>
    <row r="11461">
      <c r="A11461" s="3" t="n">
        <v>2023</v>
      </c>
      <c r="B11461" s="4" t="n">
        <v>11200</v>
      </c>
      <c r="C11461" s="4" t="n">
        <v>145</v>
      </c>
      <c r="D11461" s="4" t="n">
        <v>43.8625</v>
      </c>
      <c r="E11461" s="5" t="n">
        <v>255.3</v>
      </c>
      <c r="F11461" s="3" t="inlineStr">
        <is>
          <t>오송읍</t>
        </is>
      </c>
      <c r="G11461" s="3" t="inlineStr">
        <is>
          <t>정중리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2023</v>
      </c>
      <c r="B11462" s="4" t="n">
        <v>77500</v>
      </c>
      <c r="C11462" s="4" t="n">
        <v>280.7</v>
      </c>
      <c r="D11462" s="4" t="n">
        <v>84.91175</v>
      </c>
      <c r="E11462" s="5" t="n">
        <v>912.7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2023</v>
      </c>
      <c r="B11463" s="4" t="n">
        <v>49000</v>
      </c>
      <c r="C11463" s="4" t="n">
        <v>638</v>
      </c>
      <c r="D11463" s="4" t="n">
        <v>192.995</v>
      </c>
      <c r="E11463" s="5" t="n">
        <v>253.9</v>
      </c>
      <c r="F11463" s="3" t="inlineStr">
        <is>
          <t>오송읍</t>
        </is>
      </c>
      <c r="G11463" s="3" t="inlineStr">
        <is>
          <t>정중리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2023</v>
      </c>
      <c r="B11464" s="4" t="n">
        <v>74580</v>
      </c>
      <c r="C11464" s="4" t="n">
        <v>256.5</v>
      </c>
      <c r="D11464" s="4" t="n">
        <v>77.59125</v>
      </c>
      <c r="E11464" s="5" t="n">
        <v>961.2</v>
      </c>
      <c r="F11464" s="3" t="inlineStr">
        <is>
          <t>고운동</t>
        </is>
      </c>
      <c r="G11464" s="3" t="inlineStr"/>
      <c r="H11464" s="3" t="inlineStr">
        <is>
          <t>단독다가구</t>
        </is>
      </c>
      <c r="I11464" s="3" t="inlineStr">
        <is>
          <t>단독</t>
        </is>
      </c>
      <c r="J11464" s="3" t="inlineStr">
        <is>
          <t>고운동</t>
        </is>
      </c>
    </row>
    <row r="11465">
      <c r="A11465" s="3" t="n">
        <v>2023</v>
      </c>
      <c r="B11465" s="4" t="n">
        <v>110000</v>
      </c>
      <c r="C11465" s="4" t="n">
        <v>410</v>
      </c>
      <c r="D11465" s="4" t="n">
        <v>124.025</v>
      </c>
      <c r="E11465" s="5" t="n">
        <v>886.9</v>
      </c>
      <c r="F11465" s="3" t="inlineStr">
        <is>
          <t>조치원읍</t>
        </is>
      </c>
      <c r="G11465" s="3" t="inlineStr">
        <is>
          <t>신안리</t>
        </is>
      </c>
      <c r="H11465" s="3" t="inlineStr">
        <is>
          <t>단독다가구</t>
        </is>
      </c>
      <c r="I11465" s="3" t="inlineStr">
        <is>
          <t>다가구</t>
        </is>
      </c>
      <c r="J11465" s="3" t="inlineStr">
        <is>
          <t>조치원읍</t>
        </is>
      </c>
    </row>
    <row r="11466">
      <c r="A11466" s="3" t="n">
        <v>2023</v>
      </c>
      <c r="B11466" s="4" t="n">
        <v>110000</v>
      </c>
      <c r="C11466" s="4" t="n">
        <v>410</v>
      </c>
      <c r="D11466" s="4" t="n">
        <v>124.025</v>
      </c>
      <c r="E11466" s="5" t="n">
        <v>886.9</v>
      </c>
      <c r="F11466" s="3" t="inlineStr">
        <is>
          <t>조치원읍</t>
        </is>
      </c>
      <c r="G11466" s="3" t="inlineStr">
        <is>
          <t>신안리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조치원읍</t>
        </is>
      </c>
    </row>
    <row r="11467">
      <c r="A11467" s="3" t="n">
        <v>2023</v>
      </c>
      <c r="B11467" s="4" t="n">
        <v>52500</v>
      </c>
      <c r="C11467" s="4" t="n">
        <v>412</v>
      </c>
      <c r="D11467" s="4" t="n">
        <v>124.63</v>
      </c>
      <c r="E11467" s="5" t="n">
        <v>421.2</v>
      </c>
      <c r="F11467" s="3" t="inlineStr">
        <is>
          <t>연동면</t>
        </is>
      </c>
      <c r="G11467" s="3" t="inlineStr">
        <is>
          <t>문주리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연동면</t>
        </is>
      </c>
    </row>
    <row r="11468">
      <c r="A11468" s="3" t="n">
        <v>2023</v>
      </c>
      <c r="B11468" s="4" t="n">
        <v>17000</v>
      </c>
      <c r="C11468" s="4" t="n">
        <v>187</v>
      </c>
      <c r="D11468" s="4" t="n">
        <v>56.5675</v>
      </c>
      <c r="E11468" s="5" t="n">
        <v>300.5</v>
      </c>
      <c r="F11468" s="3" t="inlineStr">
        <is>
          <t>조치원읍</t>
        </is>
      </c>
      <c r="G11468" s="3" t="inlineStr">
        <is>
          <t>원리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조치원읍</t>
        </is>
      </c>
    </row>
    <row r="11469">
      <c r="A11469" s="3" t="n">
        <v>2023</v>
      </c>
      <c r="B11469" s="4" t="n">
        <v>52500</v>
      </c>
      <c r="C11469" s="4" t="n">
        <v>412</v>
      </c>
      <c r="D11469" s="4" t="n">
        <v>124.63</v>
      </c>
      <c r="E11469" s="5" t="n">
        <v>421.2</v>
      </c>
      <c r="F11469" s="3" t="inlineStr">
        <is>
          <t>연동면</t>
        </is>
      </c>
      <c r="G11469" s="3" t="inlineStr">
        <is>
          <t>문주리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연동면</t>
        </is>
      </c>
    </row>
    <row r="11470">
      <c r="A11470" s="3" t="n">
        <v>2023</v>
      </c>
      <c r="B11470" s="4" t="n">
        <v>85000</v>
      </c>
      <c r="C11470" s="4" t="n">
        <v>367.772</v>
      </c>
      <c r="D11470" s="4" t="n">
        <v>111.25103</v>
      </c>
      <c r="E11470" s="5" t="n">
        <v>764</v>
      </c>
      <c r="F11470" s="3" t="inlineStr">
        <is>
          <t>고운동</t>
        </is>
      </c>
      <c r="G11470" s="3" t="inlineStr"/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고운동</t>
        </is>
      </c>
    </row>
    <row r="11471">
      <c r="A11471" s="3" t="n">
        <v>2023</v>
      </c>
      <c r="B11471" s="4" t="n">
        <v>14000</v>
      </c>
      <c r="C11471" s="4" t="n">
        <v>79</v>
      </c>
      <c r="D11471" s="4" t="n">
        <v>23.8975</v>
      </c>
      <c r="E11471" s="5" t="n">
        <v>585.8</v>
      </c>
      <c r="F11471" s="3" t="inlineStr">
        <is>
          <t>조치원읍</t>
        </is>
      </c>
      <c r="G11471" s="3" t="inlineStr">
        <is>
          <t>상리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조치원읍</t>
        </is>
      </c>
    </row>
    <row r="11472">
      <c r="A11472" s="3" t="n">
        <v>2023</v>
      </c>
      <c r="B11472" s="4" t="n">
        <v>50000</v>
      </c>
      <c r="C11472" s="4" t="n">
        <v>650</v>
      </c>
      <c r="D11472" s="4" t="n">
        <v>196.625</v>
      </c>
      <c r="E11472" s="5" t="n">
        <v>254.3</v>
      </c>
      <c r="F11472" s="3" t="inlineStr">
        <is>
          <t>전동면</t>
        </is>
      </c>
      <c r="G11472" s="3" t="inlineStr">
        <is>
          <t>송정리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전동면</t>
        </is>
      </c>
    </row>
    <row r="11473">
      <c r="A11473" s="3" t="n">
        <v>2023</v>
      </c>
      <c r="B11473" s="4" t="n">
        <v>44685</v>
      </c>
      <c r="C11473" s="4" t="n">
        <v>795</v>
      </c>
      <c r="D11473" s="4" t="n">
        <v>240.4875</v>
      </c>
      <c r="E11473" s="5" t="n">
        <v>185.8</v>
      </c>
      <c r="F11473" s="3" t="inlineStr">
        <is>
          <t>장군면</t>
        </is>
      </c>
      <c r="G11473" s="3" t="inlineStr">
        <is>
          <t>송문리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장군면</t>
        </is>
      </c>
    </row>
    <row r="11474">
      <c r="A11474" s="3" t="n">
        <v>2023</v>
      </c>
      <c r="B11474" s="4" t="n">
        <v>28500</v>
      </c>
      <c r="C11474" s="4" t="n">
        <v>660</v>
      </c>
      <c r="D11474" s="4" t="n">
        <v>199.65</v>
      </c>
      <c r="E11474" s="5" t="n">
        <v>142.7</v>
      </c>
      <c r="F11474" s="3" t="inlineStr">
        <is>
          <t>연동면</t>
        </is>
      </c>
      <c r="G11474" s="3" t="inlineStr">
        <is>
          <t>내판리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연동면</t>
        </is>
      </c>
    </row>
    <row r="11475">
      <c r="A11475" s="3" t="n">
        <v>2023</v>
      </c>
      <c r="B11475" s="4" t="n">
        <v>30000</v>
      </c>
      <c r="C11475" s="4" t="n">
        <v>532</v>
      </c>
      <c r="D11475" s="4" t="n">
        <v>160.93</v>
      </c>
      <c r="E11475" s="5" t="n">
        <v>186.4</v>
      </c>
      <c r="F11475" s="3" t="inlineStr">
        <is>
          <t>연서면</t>
        </is>
      </c>
      <c r="G11475" s="3" t="inlineStr">
        <is>
          <t>월하리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연서면</t>
        </is>
      </c>
    </row>
    <row r="11476">
      <c r="A11476" s="3" t="n">
        <v>2023</v>
      </c>
      <c r="B11476" s="4" t="n">
        <v>24500</v>
      </c>
      <c r="C11476" s="4" t="n">
        <v>319</v>
      </c>
      <c r="D11476" s="4" t="n">
        <v>96.4975</v>
      </c>
      <c r="E11476" s="5" t="n">
        <v>253.9</v>
      </c>
      <c r="F11476" s="3" t="inlineStr">
        <is>
          <t>연동면</t>
        </is>
      </c>
      <c r="G11476" s="3" t="inlineStr">
        <is>
          <t>예양리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연동면</t>
        </is>
      </c>
    </row>
    <row r="11477">
      <c r="A11477" s="3" t="n">
        <v>2023</v>
      </c>
      <c r="B11477" s="4" t="n">
        <v>23500</v>
      </c>
      <c r="C11477" s="4" t="n">
        <v>124</v>
      </c>
      <c r="D11477" s="4" t="n">
        <v>37.51</v>
      </c>
      <c r="E11477" s="5" t="n">
        <v>626.5</v>
      </c>
      <c r="F11477" s="3" t="inlineStr">
        <is>
          <t>조치원읍</t>
        </is>
      </c>
      <c r="G11477" s="3" t="inlineStr">
        <is>
          <t>신흥리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조치원읍</t>
        </is>
      </c>
    </row>
    <row r="11478">
      <c r="A11478" s="3" t="n">
        <v>2024</v>
      </c>
      <c r="B11478" s="4" t="n">
        <v>10800</v>
      </c>
      <c r="C11478" s="4" t="n">
        <v>358</v>
      </c>
      <c r="D11478" s="4" t="n">
        <v>108.295</v>
      </c>
      <c r="E11478" s="5" t="n">
        <v>99.7</v>
      </c>
      <c r="F11478" s="3" t="inlineStr">
        <is>
          <t>금남면</t>
        </is>
      </c>
      <c r="G11478" s="3" t="inlineStr">
        <is>
          <t>성강리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금남면</t>
        </is>
      </c>
    </row>
    <row r="11479">
      <c r="A11479" s="3" t="n">
        <v>2024</v>
      </c>
      <c r="B11479" s="4" t="n">
        <v>22700</v>
      </c>
      <c r="C11479" s="4" t="n">
        <v>330</v>
      </c>
      <c r="D11479" s="4" t="n">
        <v>99.825</v>
      </c>
      <c r="E11479" s="5" t="n">
        <v>227.4</v>
      </c>
      <c r="F11479" s="3" t="inlineStr">
        <is>
          <t>금남면</t>
        </is>
      </c>
      <c r="G11479" s="3" t="inlineStr">
        <is>
          <t>두만리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금남면</t>
        </is>
      </c>
    </row>
    <row r="11480">
      <c r="A11480" s="3" t="n">
        <v>2024</v>
      </c>
      <c r="B11480" s="4" t="n">
        <v>19000</v>
      </c>
      <c r="C11480" s="4" t="n">
        <v>343</v>
      </c>
      <c r="D11480" s="4" t="n">
        <v>103.7575</v>
      </c>
      <c r="E11480" s="5" t="n">
        <v>183.1</v>
      </c>
      <c r="F11480" s="3" t="inlineStr">
        <is>
          <t>조치원읍</t>
        </is>
      </c>
      <c r="G11480" s="3" t="inlineStr">
        <is>
          <t>신안리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조치원읍</t>
        </is>
      </c>
    </row>
    <row r="11481">
      <c r="A11481" s="3" t="n">
        <v>2024</v>
      </c>
      <c r="B11481" s="4" t="n">
        <v>131000</v>
      </c>
      <c r="C11481" s="4" t="n">
        <v>300.1</v>
      </c>
      <c r="D11481" s="4" t="n">
        <v>90.78025000000001</v>
      </c>
      <c r="E11481" s="5" t="n">
        <v>1443</v>
      </c>
      <c r="F11481" s="3" t="inlineStr">
        <is>
          <t>조치원읍</t>
        </is>
      </c>
      <c r="G11481" s="3" t="inlineStr">
        <is>
          <t>침산리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조치원읍</t>
        </is>
      </c>
    </row>
    <row r="11482">
      <c r="A11482" s="3" t="n">
        <v>2024</v>
      </c>
      <c r="B11482" s="4" t="n">
        <v>18000</v>
      </c>
      <c r="C11482" s="4" t="n">
        <v>279</v>
      </c>
      <c r="D11482" s="4" t="n">
        <v>84.39749999999999</v>
      </c>
      <c r="E11482" s="5" t="n">
        <v>213.3</v>
      </c>
      <c r="F11482" s="3" t="inlineStr">
        <is>
          <t>조치원읍</t>
        </is>
      </c>
      <c r="G11482" s="3" t="inlineStr">
        <is>
          <t>서창리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조치원읍</t>
        </is>
      </c>
    </row>
    <row r="11483">
      <c r="A11483" s="3" t="n">
        <v>2024</v>
      </c>
      <c r="B11483" s="4" t="n">
        <v>15000</v>
      </c>
      <c r="C11483" s="4" t="n">
        <v>525</v>
      </c>
      <c r="D11483" s="4" t="n">
        <v>158.8125</v>
      </c>
      <c r="E11483" s="5" t="n">
        <v>94.5</v>
      </c>
      <c r="F11483" s="3" t="inlineStr">
        <is>
          <t>장군면</t>
        </is>
      </c>
      <c r="G11483" s="3" t="inlineStr">
        <is>
          <t>용암리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장군면</t>
        </is>
      </c>
    </row>
    <row r="11484">
      <c r="A11484" s="3" t="n">
        <v>2024</v>
      </c>
      <c r="B11484" s="4" t="n">
        <v>20000</v>
      </c>
      <c r="C11484" s="4" t="n">
        <v>660</v>
      </c>
      <c r="D11484" s="4" t="n">
        <v>199.65</v>
      </c>
      <c r="E11484" s="5" t="n">
        <v>100.2</v>
      </c>
      <c r="F11484" s="3" t="inlineStr">
        <is>
          <t>전동면</t>
        </is>
      </c>
      <c r="G11484" s="3" t="inlineStr">
        <is>
          <t>노장리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전동면</t>
        </is>
      </c>
    </row>
    <row r="11485">
      <c r="A11485" s="3" t="n">
        <v>2024</v>
      </c>
      <c r="B11485" s="4" t="n">
        <v>16000</v>
      </c>
      <c r="C11485" s="4" t="n">
        <v>281</v>
      </c>
      <c r="D11485" s="4" t="n">
        <v>85.0025</v>
      </c>
      <c r="E11485" s="5" t="n">
        <v>188.2</v>
      </c>
      <c r="F11485" s="3" t="inlineStr">
        <is>
          <t>부강면</t>
        </is>
      </c>
      <c r="G11485" s="3" t="inlineStr">
        <is>
          <t>금호리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부강면</t>
        </is>
      </c>
    </row>
    <row r="11486">
      <c r="A11486" s="3" t="n">
        <v>2025</v>
      </c>
      <c r="B11486" s="4" t="n">
        <v>12885</v>
      </c>
      <c r="C11486" s="4" t="n">
        <v>393</v>
      </c>
      <c r="D11486" s="4" t="n">
        <v>118.8825</v>
      </c>
      <c r="E11486" s="5" t="n">
        <v>108.4</v>
      </c>
      <c r="F11486" s="3" t="inlineStr">
        <is>
          <t>부강면</t>
        </is>
      </c>
      <c r="G11486" s="3" t="inlineStr">
        <is>
          <t>부강리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부강면</t>
        </is>
      </c>
    </row>
    <row r="11487">
      <c r="A11487" s="3" t="n">
        <v>2025</v>
      </c>
      <c r="B11487" s="4" t="n">
        <v>21000</v>
      </c>
      <c r="C11487" s="4" t="n">
        <v>231</v>
      </c>
      <c r="D11487" s="4" t="n">
        <v>69.8775</v>
      </c>
      <c r="E11487" s="5" t="n">
        <v>300.5</v>
      </c>
      <c r="F11487" s="3" t="inlineStr">
        <is>
          <t>부강면</t>
        </is>
      </c>
      <c r="G11487" s="3" t="inlineStr">
        <is>
          <t>부강리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부강면</t>
        </is>
      </c>
    </row>
    <row r="11488">
      <c r="A11488" s="3" t="n">
        <v>2025</v>
      </c>
      <c r="B11488" s="4" t="n">
        <v>55000</v>
      </c>
      <c r="C11488" s="4" t="n">
        <v>1150</v>
      </c>
      <c r="D11488" s="4" t="n">
        <v>347.875</v>
      </c>
      <c r="E11488" s="5" t="n">
        <v>158.1</v>
      </c>
      <c r="F11488" s="3" t="inlineStr">
        <is>
          <t>연서면</t>
        </is>
      </c>
      <c r="G11488" s="3" t="inlineStr">
        <is>
          <t>성제리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연서면</t>
        </is>
      </c>
    </row>
    <row r="11489">
      <c r="A11489" s="3" t="n">
        <v>2025</v>
      </c>
      <c r="B11489" s="4" t="n">
        <v>112000</v>
      </c>
      <c r="C11489" s="4" t="n">
        <v>346.5</v>
      </c>
      <c r="D11489" s="4" t="n">
        <v>104.81625</v>
      </c>
      <c r="E11489" s="5" t="n">
        <v>1068.5</v>
      </c>
      <c r="F11489" s="3" t="inlineStr">
        <is>
          <t>아름동</t>
        </is>
      </c>
      <c r="G11489" s="3" t="inlineStr"/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아름동</t>
        </is>
      </c>
    </row>
    <row r="11490">
      <c r="A11490" s="3" t="n">
        <v>2025</v>
      </c>
      <c r="B11490" s="4" t="n">
        <v>105300</v>
      </c>
      <c r="C11490" s="4" t="n">
        <v>333.9</v>
      </c>
      <c r="D11490" s="4" t="n">
        <v>101.00475</v>
      </c>
      <c r="E11490" s="5" t="n">
        <v>1042.5</v>
      </c>
      <c r="F11490" s="3" t="inlineStr">
        <is>
          <t>고운동</t>
        </is>
      </c>
      <c r="G11490" s="3" t="inlineStr"/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고운동</t>
        </is>
      </c>
    </row>
    <row r="11491">
      <c r="A11491" s="3" t="n">
        <v>2025</v>
      </c>
      <c r="B11491" s="4" t="n">
        <v>102862</v>
      </c>
      <c r="C11491" s="4" t="n">
        <v>463</v>
      </c>
      <c r="D11491" s="4" t="n">
        <v>140.0575</v>
      </c>
      <c r="E11491" s="5" t="n">
        <v>734.4</v>
      </c>
      <c r="F11491" s="3" t="inlineStr">
        <is>
          <t>연서면</t>
        </is>
      </c>
      <c r="G11491" s="3" t="inlineStr">
        <is>
          <t>월하리</t>
        </is>
      </c>
      <c r="H11491" s="3" t="inlineStr">
        <is>
          <t>단독다가구</t>
        </is>
      </c>
      <c r="I11491" s="3" t="inlineStr">
        <is>
          <t>다가구</t>
        </is>
      </c>
      <c r="J11491" s="3" t="inlineStr">
        <is>
          <t>연서면</t>
        </is>
      </c>
    </row>
    <row r="11492">
      <c r="A11492" s="3" t="n">
        <v>2025</v>
      </c>
      <c r="B11492" s="4" t="n">
        <v>25000</v>
      </c>
      <c r="C11492" s="4" t="n">
        <v>254</v>
      </c>
      <c r="D11492" s="4" t="n">
        <v>76.83499999999999</v>
      </c>
      <c r="E11492" s="5" t="n">
        <v>325.4</v>
      </c>
      <c r="F11492" s="3" t="inlineStr">
        <is>
          <t>조치원읍</t>
        </is>
      </c>
      <c r="G11492" s="3" t="inlineStr">
        <is>
          <t>신안리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조치원읍</t>
        </is>
      </c>
    </row>
    <row r="11493">
      <c r="A11493" s="3" t="n">
        <v>2025</v>
      </c>
      <c r="B11493" s="4" t="n">
        <v>15000</v>
      </c>
      <c r="C11493" s="4" t="n">
        <v>116</v>
      </c>
      <c r="D11493" s="4" t="n">
        <v>35.09</v>
      </c>
      <c r="E11493" s="5" t="n">
        <v>427.5</v>
      </c>
      <c r="F11493" s="3" t="inlineStr">
        <is>
          <t>조치원읍</t>
        </is>
      </c>
      <c r="G11493" s="3" t="inlineStr">
        <is>
          <t>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조치원읍</t>
        </is>
      </c>
    </row>
    <row r="11494">
      <c r="A11494" s="3" t="n">
        <v>2025</v>
      </c>
      <c r="B11494" s="4" t="n">
        <v>25000</v>
      </c>
      <c r="C11494" s="4" t="n">
        <v>258</v>
      </c>
      <c r="D11494" s="4" t="n">
        <v>78.045</v>
      </c>
      <c r="E11494" s="5" t="n">
        <v>320.3</v>
      </c>
      <c r="F11494" s="3" t="inlineStr">
        <is>
          <t>장군면</t>
        </is>
      </c>
      <c r="G11494" s="3" t="inlineStr">
        <is>
          <t>은용리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장군면</t>
        </is>
      </c>
    </row>
    <row r="11495">
      <c r="A11495" s="3" t="n">
        <v>2025</v>
      </c>
      <c r="B11495" s="4" t="n">
        <v>100628</v>
      </c>
      <c r="C11495" s="4" t="n">
        <v>455</v>
      </c>
      <c r="D11495" s="4" t="n">
        <v>137.6375</v>
      </c>
      <c r="E11495" s="5" t="n">
        <v>731.1</v>
      </c>
      <c r="F11495" s="3" t="inlineStr">
        <is>
          <t>연서면</t>
        </is>
      </c>
      <c r="G11495" s="3" t="inlineStr">
        <is>
          <t>월하리</t>
        </is>
      </c>
      <c r="H11495" s="3" t="inlineStr">
        <is>
          <t>단독다가구</t>
        </is>
      </c>
      <c r="I11495" s="3" t="inlineStr">
        <is>
          <t>다가구</t>
        </is>
      </c>
      <c r="J11495" s="3" t="inlineStr">
        <is>
          <t>연서면</t>
        </is>
      </c>
    </row>
    <row r="11496">
      <c r="A11496" s="3" t="n">
        <v>2025</v>
      </c>
      <c r="B11496" s="4" t="n">
        <v>19000</v>
      </c>
      <c r="C11496" s="4" t="n">
        <v>682</v>
      </c>
      <c r="D11496" s="4" t="n">
        <v>206.305</v>
      </c>
      <c r="E11496" s="5" t="n">
        <v>92.09999999999999</v>
      </c>
      <c r="F11496" s="3" t="inlineStr">
        <is>
          <t>전동면</t>
        </is>
      </c>
      <c r="G11496" s="3" t="inlineStr">
        <is>
          <t>보덕리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전동면</t>
        </is>
      </c>
    </row>
    <row r="11497">
      <c r="A11497" s="3" t="n">
        <v>2025</v>
      </c>
      <c r="B11497" s="4" t="n">
        <v>62000</v>
      </c>
      <c r="C11497" s="4" t="n">
        <v>343</v>
      </c>
      <c r="D11497" s="4" t="n">
        <v>103.7575</v>
      </c>
      <c r="E11497" s="5" t="n">
        <v>597.5</v>
      </c>
      <c r="F11497" s="3" t="inlineStr">
        <is>
          <t>장군면</t>
        </is>
      </c>
      <c r="G11497" s="3" t="inlineStr">
        <is>
          <t>대교리</t>
        </is>
      </c>
      <c r="H11497" s="3" t="inlineStr">
        <is>
          <t>단독다가구</t>
        </is>
      </c>
      <c r="I11497" s="3" t="inlineStr">
        <is>
          <t>다가구</t>
        </is>
      </c>
      <c r="J11497" s="3" t="inlineStr">
        <is>
          <t>장군면</t>
        </is>
      </c>
    </row>
    <row r="11498">
      <c r="A11498" s="3" t="n">
        <v>2025</v>
      </c>
      <c r="B11498" s="4" t="n">
        <v>49100</v>
      </c>
      <c r="C11498" s="4" t="n">
        <v>375</v>
      </c>
      <c r="D11498" s="4" t="n">
        <v>113.4375</v>
      </c>
      <c r="E11498" s="5" t="n">
        <v>432.8</v>
      </c>
      <c r="F11498" s="3" t="inlineStr">
        <is>
          <t>금남면</t>
        </is>
      </c>
      <c r="G11498" s="3" t="inlineStr">
        <is>
          <t>대박리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금남면</t>
        </is>
      </c>
    </row>
    <row r="11499">
      <c r="A11499" s="3" t="n">
        <v>2025</v>
      </c>
      <c r="B11499" s="4" t="n">
        <v>90000</v>
      </c>
      <c r="C11499" s="4" t="n">
        <v>333</v>
      </c>
      <c r="D11499" s="4" t="n">
        <v>100.7325</v>
      </c>
      <c r="E11499" s="5" t="n">
        <v>893.5</v>
      </c>
      <c r="F11499" s="3" t="inlineStr">
        <is>
          <t>고운동</t>
        </is>
      </c>
      <c r="G11499" s="3" t="inlineStr"/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고운동</t>
        </is>
      </c>
    </row>
    <row r="11500">
      <c r="A11500" s="3" t="n">
        <v>2025</v>
      </c>
      <c r="B11500" s="4" t="n">
        <v>104624</v>
      </c>
      <c r="C11500" s="4" t="n">
        <v>463</v>
      </c>
      <c r="D11500" s="4" t="n">
        <v>140.0575</v>
      </c>
      <c r="E11500" s="5" t="n">
        <v>747</v>
      </c>
      <c r="F11500" s="3" t="inlineStr">
        <is>
          <t>연서면</t>
        </is>
      </c>
      <c r="G11500" s="3" t="inlineStr">
        <is>
          <t>월하리</t>
        </is>
      </c>
      <c r="H11500" s="3" t="inlineStr">
        <is>
          <t>단독다가구</t>
        </is>
      </c>
      <c r="I11500" s="3" t="inlineStr">
        <is>
          <t>다가구</t>
        </is>
      </c>
      <c r="J11500" s="3" t="inlineStr">
        <is>
          <t>연서면</t>
        </is>
      </c>
    </row>
    <row r="11501">
      <c r="A11501" s="3" t="n">
        <v>2025</v>
      </c>
      <c r="B11501" s="4" t="n">
        <v>43000</v>
      </c>
      <c r="C11501" s="4" t="n">
        <v>535</v>
      </c>
      <c r="D11501" s="4" t="n">
        <v>161.8375</v>
      </c>
      <c r="E11501" s="5" t="n">
        <v>265.7</v>
      </c>
      <c r="F11501" s="3" t="inlineStr">
        <is>
          <t>금남면</t>
        </is>
      </c>
      <c r="G11501" s="3" t="inlineStr">
        <is>
          <t>도남리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금남면</t>
        </is>
      </c>
    </row>
    <row r="11502">
      <c r="A11502" s="3" t="n">
        <v>2025</v>
      </c>
      <c r="B11502" s="4" t="n">
        <v>8000</v>
      </c>
      <c r="C11502" s="4" t="n">
        <v>344</v>
      </c>
      <c r="D11502" s="4" t="n">
        <v>104.06</v>
      </c>
      <c r="E11502" s="5" t="n">
        <v>76.90000000000001</v>
      </c>
      <c r="F11502" s="3" t="inlineStr">
        <is>
          <t>부강면</t>
        </is>
      </c>
      <c r="G11502" s="3" t="inlineStr">
        <is>
          <t>등곡리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부강면</t>
        </is>
      </c>
    </row>
    <row r="11503">
      <c r="A11503" s="3" t="n">
        <v>2025</v>
      </c>
      <c r="B11503" s="4" t="n">
        <v>18000</v>
      </c>
      <c r="C11503" s="4" t="n">
        <v>330</v>
      </c>
      <c r="D11503" s="4" t="n">
        <v>99.825</v>
      </c>
      <c r="E11503" s="5" t="n">
        <v>180.3</v>
      </c>
      <c r="F11503" s="3" t="inlineStr">
        <is>
          <t>금남면</t>
        </is>
      </c>
      <c r="G11503" s="3" t="inlineStr">
        <is>
          <t>영대리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금남면</t>
        </is>
      </c>
    </row>
    <row r="11504">
      <c r="A11504" s="3" t="n">
        <v>2025</v>
      </c>
      <c r="B11504" s="4" t="n">
        <v>19000</v>
      </c>
      <c r="C11504" s="4" t="n">
        <v>565</v>
      </c>
      <c r="D11504" s="4" t="n">
        <v>170.9125</v>
      </c>
      <c r="E11504" s="5" t="n">
        <v>111.2</v>
      </c>
      <c r="F11504" s="3" t="inlineStr">
        <is>
          <t>전동면</t>
        </is>
      </c>
      <c r="G11504" s="3" t="inlineStr">
        <is>
          <t>석곡리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전동면</t>
        </is>
      </c>
    </row>
    <row r="11505">
      <c r="A11505" s="3" t="n">
        <v>2025</v>
      </c>
      <c r="B11505" s="4" t="n">
        <v>31955</v>
      </c>
      <c r="C11505" s="4" t="n">
        <v>305</v>
      </c>
      <c r="D11505" s="4" t="n">
        <v>92.2625</v>
      </c>
      <c r="E11505" s="5" t="n">
        <v>346.3</v>
      </c>
      <c r="F11505" s="3" t="inlineStr">
        <is>
          <t>장군면</t>
        </is>
      </c>
      <c r="G11505" s="3" t="inlineStr">
        <is>
          <t>용암리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장군면</t>
        </is>
      </c>
    </row>
    <row r="11506">
      <c r="A11506" s="3" t="n">
        <v>2025</v>
      </c>
      <c r="B11506" s="4" t="n">
        <v>32000</v>
      </c>
      <c r="C11506" s="4" t="n">
        <v>305</v>
      </c>
      <c r="D11506" s="4" t="n">
        <v>92.2625</v>
      </c>
      <c r="E11506" s="5" t="n">
        <v>346.8</v>
      </c>
      <c r="F11506" s="3" t="inlineStr">
        <is>
          <t>장군면</t>
        </is>
      </c>
      <c r="G11506" s="3" t="inlineStr">
        <is>
          <t>용암리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장군면</t>
        </is>
      </c>
    </row>
    <row r="11507">
      <c r="A11507" s="3" t="n">
        <v>2025</v>
      </c>
      <c r="B11507" s="4" t="n">
        <v>7820</v>
      </c>
      <c r="C11507" s="4" t="n">
        <v>380</v>
      </c>
      <c r="D11507" s="4" t="n">
        <v>114.95</v>
      </c>
      <c r="E11507" s="5" t="n">
        <v>68</v>
      </c>
      <c r="F11507" s="3" t="inlineStr">
        <is>
          <t>소정면</t>
        </is>
      </c>
      <c r="G11507" s="3" t="inlineStr">
        <is>
          <t>소정리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소정면</t>
        </is>
      </c>
    </row>
    <row r="11508">
      <c r="A11508" s="3" t="n">
        <v>2025</v>
      </c>
      <c r="B11508" s="4" t="n">
        <v>59000</v>
      </c>
      <c r="C11508" s="4" t="n">
        <v>288.4</v>
      </c>
      <c r="D11508" s="4" t="n">
        <v>87.24099999999999</v>
      </c>
      <c r="E11508" s="5" t="n">
        <v>676.3</v>
      </c>
      <c r="F11508" s="3" t="inlineStr">
        <is>
          <t>연기면</t>
        </is>
      </c>
      <c r="G11508" s="3" t="inlineStr">
        <is>
          <t>연기리</t>
        </is>
      </c>
      <c r="H11508" s="3" t="inlineStr">
        <is>
          <t>단독다가구</t>
        </is>
      </c>
      <c r="I11508" s="3" t="inlineStr">
        <is>
          <t>다가구</t>
        </is>
      </c>
      <c r="J11508" s="3" t="inlineStr">
        <is>
          <t>연기면</t>
        </is>
      </c>
    </row>
    <row r="11509">
      <c r="A11509" s="3" t="n">
        <v>2025</v>
      </c>
      <c r="B11509" s="4" t="n">
        <v>59000</v>
      </c>
      <c r="C11509" s="4" t="n">
        <v>288.4</v>
      </c>
      <c r="D11509" s="4" t="n">
        <v>87.24099999999999</v>
      </c>
      <c r="E11509" s="5" t="n">
        <v>676.3</v>
      </c>
      <c r="F11509" s="3" t="inlineStr">
        <is>
          <t>연기면</t>
        </is>
      </c>
      <c r="G11509" s="3" t="inlineStr">
        <is>
          <t>연기리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연기면</t>
        </is>
      </c>
    </row>
    <row r="11510">
      <c r="A11510" s="3" t="n">
        <v>2025</v>
      </c>
      <c r="B11510" s="4" t="n">
        <v>18500</v>
      </c>
      <c r="C11510" s="4" t="n">
        <v>562</v>
      </c>
      <c r="D11510" s="4" t="n">
        <v>170.005</v>
      </c>
      <c r="E11510" s="5" t="n">
        <v>108.8</v>
      </c>
      <c r="F11510" s="3" t="inlineStr">
        <is>
          <t>전동면</t>
        </is>
      </c>
      <c r="G11510" s="3" t="inlineStr">
        <is>
          <t>심중리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전동면</t>
        </is>
      </c>
    </row>
    <row r="11511">
      <c r="A11511" s="3" t="n">
        <v>2025</v>
      </c>
      <c r="B11511" s="4" t="n">
        <v>62500</v>
      </c>
      <c r="C11511" s="4" t="n">
        <v>320</v>
      </c>
      <c r="D11511" s="4" t="n">
        <v>96.8</v>
      </c>
      <c r="E11511" s="5" t="n">
        <v>645.7</v>
      </c>
      <c r="F11511" s="3" t="inlineStr">
        <is>
          <t>장군면</t>
        </is>
      </c>
      <c r="G11511" s="3" t="inlineStr">
        <is>
          <t>봉안리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장군면</t>
        </is>
      </c>
    </row>
    <row r="11512">
      <c r="A11512" s="3" t="n">
        <v>2025</v>
      </c>
      <c r="B11512" s="4" t="n">
        <v>62500</v>
      </c>
      <c r="C11512" s="4" t="n">
        <v>320</v>
      </c>
      <c r="D11512" s="4" t="n">
        <v>96.8</v>
      </c>
      <c r="E11512" s="5" t="n">
        <v>645.7</v>
      </c>
      <c r="F11512" s="3" t="inlineStr">
        <is>
          <t>장군면</t>
        </is>
      </c>
      <c r="G11512" s="3" t="inlineStr">
        <is>
          <t>봉안리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장군면</t>
        </is>
      </c>
    </row>
    <row r="11513">
      <c r="A11513" s="3" t="n">
        <v>2025</v>
      </c>
      <c r="B11513" s="4" t="n">
        <v>83000</v>
      </c>
      <c r="C11513" s="4" t="n">
        <v>279.5</v>
      </c>
      <c r="D11513" s="4" t="n">
        <v>84.54875</v>
      </c>
      <c r="E11513" s="5" t="n">
        <v>981.7</v>
      </c>
      <c r="F11513" s="3" t="inlineStr">
        <is>
          <t>조치원읍</t>
        </is>
      </c>
      <c r="G11513" s="3" t="inlineStr">
        <is>
          <t>침산리</t>
        </is>
      </c>
      <c r="H11513" s="3" t="inlineStr">
        <is>
          <t>단독다가구</t>
        </is>
      </c>
      <c r="I11513" s="3" t="inlineStr">
        <is>
          <t>다가구</t>
        </is>
      </c>
      <c r="J11513" s="3" t="inlineStr">
        <is>
          <t>조치원읍</t>
        </is>
      </c>
    </row>
    <row r="11514">
      <c r="A11514" s="3" t="n">
        <v>2025</v>
      </c>
      <c r="B11514" s="4" t="n">
        <v>6000</v>
      </c>
      <c r="C11514" s="4" t="n">
        <v>660</v>
      </c>
      <c r="D11514" s="4" t="n">
        <v>199.65</v>
      </c>
      <c r="E11514" s="5" t="n">
        <v>30.1</v>
      </c>
      <c r="F11514" s="3" t="inlineStr">
        <is>
          <t>부강면</t>
        </is>
      </c>
      <c r="G11514" s="3" t="inlineStr">
        <is>
          <t>행산리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부강면</t>
        </is>
      </c>
    </row>
    <row r="11515">
      <c r="A11515" s="3" t="n">
        <v>2025</v>
      </c>
      <c r="B11515" s="4" t="n">
        <v>38182</v>
      </c>
      <c r="C11515" s="4" t="n">
        <v>218</v>
      </c>
      <c r="D11515" s="4" t="n">
        <v>65.94499999999999</v>
      </c>
      <c r="E11515" s="5" t="n">
        <v>579</v>
      </c>
      <c r="F11515" s="3" t="inlineStr">
        <is>
          <t>장군면</t>
        </is>
      </c>
      <c r="G11515" s="3" t="inlineStr">
        <is>
          <t>대교리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장군면</t>
        </is>
      </c>
    </row>
    <row r="11516">
      <c r="A11516" s="3" t="n">
        <v>2025</v>
      </c>
      <c r="B11516" s="4" t="n">
        <v>87809</v>
      </c>
      <c r="C11516" s="4" t="n">
        <v>399</v>
      </c>
      <c r="D11516" s="4" t="n">
        <v>120.6975</v>
      </c>
      <c r="E11516" s="5" t="n">
        <v>727.5</v>
      </c>
      <c r="F11516" s="3" t="inlineStr">
        <is>
          <t>연서면</t>
        </is>
      </c>
      <c r="G11516" s="3" t="inlineStr">
        <is>
          <t>월하리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연서면</t>
        </is>
      </c>
    </row>
    <row r="11517">
      <c r="A11517" s="3" t="n">
        <v>2025</v>
      </c>
      <c r="B11517" s="4" t="n">
        <v>43500</v>
      </c>
      <c r="C11517" s="4" t="n">
        <v>289</v>
      </c>
      <c r="D11517" s="4" t="n">
        <v>87.4225</v>
      </c>
      <c r="E11517" s="5" t="n">
        <v>497.6</v>
      </c>
      <c r="F11517" s="3" t="inlineStr">
        <is>
          <t>조치원읍</t>
        </is>
      </c>
      <c r="G11517" s="3" t="inlineStr">
        <is>
          <t>침산리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2025</v>
      </c>
      <c r="B11518" s="4" t="n">
        <v>18000</v>
      </c>
      <c r="C11518" s="4" t="n">
        <v>319</v>
      </c>
      <c r="D11518" s="4" t="n">
        <v>96.4975</v>
      </c>
      <c r="E11518" s="5" t="n">
        <v>186.5</v>
      </c>
      <c r="F11518" s="3" t="inlineStr">
        <is>
          <t>연서면</t>
        </is>
      </c>
      <c r="G11518" s="3" t="inlineStr">
        <is>
          <t>고복리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연서면</t>
        </is>
      </c>
    </row>
    <row r="11519">
      <c r="A11519" s="3" t="n">
        <v>2025</v>
      </c>
      <c r="B11519" s="4" t="n">
        <v>47370</v>
      </c>
      <c r="C11519" s="4" t="n">
        <v>142</v>
      </c>
      <c r="D11519" s="4" t="n">
        <v>42.955</v>
      </c>
      <c r="E11519" s="5" t="n">
        <v>1102.8</v>
      </c>
      <c r="F11519" s="3" t="inlineStr">
        <is>
          <t>연서면</t>
        </is>
      </c>
      <c r="G11519" s="3" t="inlineStr">
        <is>
          <t>봉암리</t>
        </is>
      </c>
      <c r="H11519" s="3" t="inlineStr">
        <is>
          <t>단독다가구</t>
        </is>
      </c>
      <c r="I11519" s="3" t="inlineStr">
        <is>
          <t>다가구</t>
        </is>
      </c>
      <c r="J11519" s="3" t="inlineStr">
        <is>
          <t>연서면</t>
        </is>
      </c>
    </row>
    <row r="11520">
      <c r="A11520" s="3" t="n">
        <v>2025</v>
      </c>
      <c r="B11520" s="4" t="n">
        <v>12000</v>
      </c>
      <c r="C11520" s="4" t="n">
        <v>242</v>
      </c>
      <c r="D11520" s="4" t="n">
        <v>73.205</v>
      </c>
      <c r="E11520" s="5" t="n">
        <v>163.9</v>
      </c>
      <c r="F11520" s="3" t="inlineStr">
        <is>
          <t>금남면</t>
        </is>
      </c>
      <c r="G11520" s="3" t="inlineStr">
        <is>
          <t>영곡리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금남면</t>
        </is>
      </c>
    </row>
    <row r="11521">
      <c r="A11521" s="3" t="n">
        <v>2025</v>
      </c>
      <c r="B11521" s="4" t="n">
        <v>46500</v>
      </c>
      <c r="C11521" s="4" t="n">
        <v>265</v>
      </c>
      <c r="D11521" s="4" t="n">
        <v>80.16249999999999</v>
      </c>
      <c r="E11521" s="5" t="n">
        <v>580.1</v>
      </c>
      <c r="F11521" s="3" t="inlineStr">
        <is>
          <t>조치원읍</t>
        </is>
      </c>
      <c r="G11521" s="3" t="inlineStr">
        <is>
          <t>신안리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조치원읍</t>
        </is>
      </c>
    </row>
    <row r="11522">
      <c r="A11522" s="3" t="n">
        <v>2025</v>
      </c>
      <c r="B11522" s="4" t="n">
        <v>32875</v>
      </c>
      <c r="C11522" s="4" t="n">
        <v>472</v>
      </c>
      <c r="D11522" s="4" t="n">
        <v>142.78</v>
      </c>
      <c r="E11522" s="5" t="n">
        <v>230.2</v>
      </c>
      <c r="F11522" s="3" t="inlineStr">
        <is>
          <t>연서면</t>
        </is>
      </c>
      <c r="G11522" s="3" t="inlineStr">
        <is>
          <t>월하리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연서면</t>
        </is>
      </c>
    </row>
    <row r="11523">
      <c r="A11523" s="3" t="n">
        <v>2025</v>
      </c>
      <c r="B11523" s="4" t="n">
        <v>28700</v>
      </c>
      <c r="C11523" s="4" t="n">
        <v>229</v>
      </c>
      <c r="D11523" s="4" t="n">
        <v>69.27249999999999</v>
      </c>
      <c r="E11523" s="5" t="n">
        <v>414.3</v>
      </c>
      <c r="F11523" s="3" t="inlineStr">
        <is>
          <t>조치원읍</t>
        </is>
      </c>
      <c r="G11523" s="3" t="inlineStr">
        <is>
          <t>남리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조치원읍</t>
        </is>
      </c>
    </row>
    <row r="11524">
      <c r="A11524" s="3" t="n">
        <v>2025</v>
      </c>
      <c r="B11524" s="4" t="n">
        <v>32640</v>
      </c>
      <c r="C11524" s="4" t="n">
        <v>472</v>
      </c>
      <c r="D11524" s="4" t="n">
        <v>142.78</v>
      </c>
      <c r="E11524" s="5" t="n">
        <v>228.6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2025</v>
      </c>
      <c r="B11525" s="4" t="n">
        <v>16000</v>
      </c>
      <c r="C11525" s="4" t="n">
        <v>420</v>
      </c>
      <c r="D11525" s="4" t="n">
        <v>127.05</v>
      </c>
      <c r="E11525" s="5" t="n">
        <v>125.9</v>
      </c>
      <c r="F11525" s="3" t="inlineStr">
        <is>
          <t>소정면</t>
        </is>
      </c>
      <c r="G11525" s="3" t="inlineStr">
        <is>
          <t>대곡리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소정면</t>
        </is>
      </c>
    </row>
    <row r="11526">
      <c r="A11526" s="3" t="n">
        <v>2025</v>
      </c>
      <c r="B11526" s="4" t="n">
        <v>49000</v>
      </c>
      <c r="C11526" s="4" t="n">
        <v>495</v>
      </c>
      <c r="D11526" s="4" t="n">
        <v>149.7375</v>
      </c>
      <c r="E11526" s="5" t="n">
        <v>327.2</v>
      </c>
      <c r="F11526" s="3" t="inlineStr">
        <is>
          <t>장군면</t>
        </is>
      </c>
      <c r="G11526" s="3" t="inlineStr">
        <is>
          <t>금암리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장군면</t>
        </is>
      </c>
    </row>
    <row r="11527">
      <c r="A11527" s="3" t="n">
        <v>2025</v>
      </c>
      <c r="B11527" s="4" t="n">
        <v>162000</v>
      </c>
      <c r="C11527" s="4" t="n">
        <v>313</v>
      </c>
      <c r="D11527" s="4" t="n">
        <v>94.68249999999999</v>
      </c>
      <c r="E11527" s="5" t="n">
        <v>1711</v>
      </c>
      <c r="F11527" s="3" t="inlineStr">
        <is>
          <t>반곡동</t>
        </is>
      </c>
      <c r="G11527" s="3" t="inlineStr"/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반곡동</t>
        </is>
      </c>
    </row>
    <row r="11528">
      <c r="A11528" s="3" t="n">
        <v>2025</v>
      </c>
      <c r="B11528" s="4" t="n">
        <v>5500</v>
      </c>
      <c r="C11528" s="4" t="n">
        <v>264</v>
      </c>
      <c r="D11528" s="4" t="n">
        <v>79.86</v>
      </c>
      <c r="E11528" s="5" t="n">
        <v>68.90000000000001</v>
      </c>
      <c r="F11528" s="3" t="inlineStr">
        <is>
          <t>전동면</t>
        </is>
      </c>
      <c r="G11528" s="3" t="inlineStr">
        <is>
          <t>청송리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전동면</t>
        </is>
      </c>
    </row>
    <row r="11529">
      <c r="A11529" s="3" t="n">
        <v>2025</v>
      </c>
      <c r="B11529" s="4" t="n">
        <v>19000</v>
      </c>
      <c r="C11529" s="4" t="n">
        <v>200</v>
      </c>
      <c r="D11529" s="4" t="n">
        <v>60.5</v>
      </c>
      <c r="E11529" s="5" t="n">
        <v>314</v>
      </c>
      <c r="F11529" s="3" t="inlineStr">
        <is>
          <t>조치원읍</t>
        </is>
      </c>
      <c r="G11529" s="3" t="inlineStr">
        <is>
          <t>침산리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2025</v>
      </c>
      <c r="B11530" s="4" t="n">
        <v>92400</v>
      </c>
      <c r="C11530" s="4" t="n">
        <v>503.98</v>
      </c>
      <c r="D11530" s="4" t="n">
        <v>152.45395</v>
      </c>
      <c r="E11530" s="5" t="n">
        <v>606.1</v>
      </c>
      <c r="F11530" s="3" t="inlineStr">
        <is>
          <t>해밀동</t>
        </is>
      </c>
      <c r="G11530" s="3" t="inlineStr"/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해밀동</t>
        </is>
      </c>
    </row>
    <row r="11531">
      <c r="A11531" s="3" t="n">
        <v>2025</v>
      </c>
      <c r="B11531" s="4" t="n">
        <v>34020</v>
      </c>
      <c r="C11531" s="4" t="n">
        <v>480</v>
      </c>
      <c r="D11531" s="4" t="n">
        <v>145.2</v>
      </c>
      <c r="E11531" s="5" t="n">
        <v>234.3</v>
      </c>
      <c r="F11531" s="3" t="inlineStr">
        <is>
          <t>금남면</t>
        </is>
      </c>
      <c r="G11531" s="3" t="inlineStr">
        <is>
          <t>성덕리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금남면</t>
        </is>
      </c>
    </row>
    <row r="11532">
      <c r="A11532" s="3" t="n">
        <v>2026</v>
      </c>
      <c r="B11532" s="4" t="n">
        <v>45000</v>
      </c>
      <c r="C11532" s="4" t="n">
        <v>226</v>
      </c>
      <c r="D11532" s="4" t="n">
        <v>68.36499999999999</v>
      </c>
      <c r="E11532" s="5" t="n">
        <v>658.2</v>
      </c>
      <c r="F11532" s="3" t="inlineStr">
        <is>
          <t>장군면</t>
        </is>
      </c>
      <c r="G11532" s="3" t="inlineStr">
        <is>
          <t>대교리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2026</v>
      </c>
      <c r="B11533" s="4" t="n">
        <v>25000</v>
      </c>
      <c r="C11533" s="4" t="n">
        <v>397</v>
      </c>
      <c r="D11533" s="4" t="n">
        <v>120.0925</v>
      </c>
      <c r="E11533" s="5" t="n">
        <v>208.2</v>
      </c>
      <c r="F11533" s="3" t="inlineStr">
        <is>
          <t>소정면</t>
        </is>
      </c>
      <c r="G11533" s="3" t="inlineStr">
        <is>
          <t>대곡리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소정면</t>
        </is>
      </c>
    </row>
    <row r="11534">
      <c r="A11534" s="3" t="n">
        <v>2026</v>
      </c>
      <c r="B11534" s="4" t="n">
        <v>58000</v>
      </c>
      <c r="C11534" s="4" t="n">
        <v>288</v>
      </c>
      <c r="D11534" s="4" t="n">
        <v>87.12</v>
      </c>
      <c r="E11534" s="5" t="n">
        <v>665.7</v>
      </c>
      <c r="F11534" s="3" t="inlineStr">
        <is>
          <t>조치원읍</t>
        </is>
      </c>
      <c r="G11534" s="3" t="inlineStr">
        <is>
          <t>서창리</t>
        </is>
      </c>
      <c r="H11534" s="3" t="inlineStr">
        <is>
          <t>단독다가구</t>
        </is>
      </c>
      <c r="I11534" s="3" t="inlineStr">
        <is>
          <t>다가구</t>
        </is>
      </c>
      <c r="J11534" s="3" t="inlineStr">
        <is>
          <t>조치원읍</t>
        </is>
      </c>
    </row>
    <row r="11535">
      <c r="A11535" s="3" t="n">
        <v>2026</v>
      </c>
      <c r="B11535" s="4" t="n">
        <v>14000</v>
      </c>
      <c r="C11535" s="4" t="n">
        <v>209</v>
      </c>
      <c r="D11535" s="4" t="n">
        <v>63.2225</v>
      </c>
      <c r="E11535" s="5" t="n">
        <v>221.4</v>
      </c>
      <c r="F11535" s="3" t="inlineStr">
        <is>
          <t>연서면</t>
        </is>
      </c>
      <c r="G11535" s="3" t="inlineStr">
        <is>
          <t>고복리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연서면</t>
        </is>
      </c>
    </row>
    <row r="11536">
      <c r="A11536" s="3" t="n">
        <v>2026</v>
      </c>
      <c r="B11536" s="4" t="n">
        <v>7000</v>
      </c>
      <c r="C11536" s="4" t="n">
        <v>116</v>
      </c>
      <c r="D11536" s="4" t="n">
        <v>35.09</v>
      </c>
      <c r="E11536" s="5" t="n">
        <v>199.5</v>
      </c>
      <c r="F11536" s="3" t="inlineStr">
        <is>
          <t>전동면</t>
        </is>
      </c>
      <c r="G11536" s="3" t="inlineStr">
        <is>
          <t>노장리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전동면</t>
        </is>
      </c>
    </row>
    <row r="11537">
      <c r="A11537" s="3" t="n">
        <v>2026</v>
      </c>
      <c r="B11537" s="4" t="n">
        <v>58000</v>
      </c>
      <c r="C11537" s="4" t="n">
        <v>329</v>
      </c>
      <c r="D11537" s="4" t="n">
        <v>99.52249999999999</v>
      </c>
      <c r="E11537" s="5" t="n">
        <v>582.8</v>
      </c>
      <c r="F11537" s="3" t="inlineStr">
        <is>
          <t>장군면</t>
        </is>
      </c>
      <c r="G11537" s="3" t="inlineStr">
        <is>
          <t>도계리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장군면</t>
        </is>
      </c>
    </row>
    <row r="11538">
      <c r="A11538" s="3" t="n">
        <v>2026</v>
      </c>
      <c r="B11538" s="4" t="n">
        <v>36000</v>
      </c>
      <c r="C11538" s="4" t="n">
        <v>871</v>
      </c>
      <c r="D11538" s="4" t="n">
        <v>263.4775</v>
      </c>
      <c r="E11538" s="5" t="n">
        <v>136.6</v>
      </c>
      <c r="F11538" s="3" t="inlineStr">
        <is>
          <t>조치원읍</t>
        </is>
      </c>
      <c r="G11538" s="3" t="inlineStr">
        <is>
          <t>신안리</t>
        </is>
      </c>
      <c r="H11538" s="3" t="inlineStr">
        <is>
          <t>단독다가구</t>
        </is>
      </c>
      <c r="I11538" s="3" t="inlineStr">
        <is>
          <t>다가구</t>
        </is>
      </c>
      <c r="J11538" s="3" t="inlineStr">
        <is>
          <t>조치원읍</t>
        </is>
      </c>
    </row>
    <row r="11539">
      <c r="A11539" s="3" t="n">
        <v>2026</v>
      </c>
      <c r="B11539" s="4" t="n">
        <v>38000</v>
      </c>
      <c r="C11539" s="4" t="n">
        <v>570</v>
      </c>
      <c r="D11539" s="4" t="n">
        <v>172.425</v>
      </c>
      <c r="E11539" s="5" t="n">
        <v>220.4</v>
      </c>
      <c r="F11539" s="3" t="inlineStr">
        <is>
          <t>장군면</t>
        </is>
      </c>
      <c r="G11539" s="3" t="inlineStr">
        <is>
          <t>도계리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장군면</t>
        </is>
      </c>
    </row>
    <row r="11540">
      <c r="A11540" s="3" t="n">
        <v>2026</v>
      </c>
      <c r="B11540" s="4" t="n">
        <v>62000</v>
      </c>
      <c r="C11540" s="4" t="n">
        <v>642</v>
      </c>
      <c r="D11540" s="4" t="n">
        <v>194.205</v>
      </c>
      <c r="E11540" s="5" t="n">
        <v>319.3</v>
      </c>
      <c r="F11540" s="3" t="inlineStr">
        <is>
          <t>장군면</t>
        </is>
      </c>
      <c r="G11540" s="3" t="inlineStr">
        <is>
          <t>은용리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장군면</t>
        </is>
      </c>
    </row>
    <row r="11541">
      <c r="A11541" s="3" t="n">
        <v>2026</v>
      </c>
      <c r="B11541" s="4" t="n">
        <v>71000</v>
      </c>
      <c r="C11541" s="4" t="n">
        <v>660</v>
      </c>
      <c r="D11541" s="4" t="n">
        <v>199.65</v>
      </c>
      <c r="E11541" s="5" t="n">
        <v>355.6</v>
      </c>
      <c r="F11541" s="3" t="inlineStr">
        <is>
          <t>장군면</t>
        </is>
      </c>
      <c r="G11541" s="3" t="inlineStr">
        <is>
          <t>금암리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장군면</t>
        </is>
      </c>
    </row>
    <row r="11542">
      <c r="A11542" s="3" t="n">
        <v>2026</v>
      </c>
      <c r="B11542" s="4" t="n">
        <v>22006</v>
      </c>
      <c r="C11542" s="4" t="n">
        <v>330</v>
      </c>
      <c r="D11542" s="4" t="n">
        <v>99.825</v>
      </c>
      <c r="E11542" s="5" t="n">
        <v>220.4</v>
      </c>
      <c r="F11542" s="3" t="inlineStr">
        <is>
          <t>전동면</t>
        </is>
      </c>
      <c r="G11542" s="3" t="inlineStr">
        <is>
          <t>심중리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전동면</t>
        </is>
      </c>
    </row>
    <row r="11543">
      <c r="A11543" s="3" t="n">
        <v>2026</v>
      </c>
      <c r="B11543" s="4" t="n">
        <v>22000</v>
      </c>
      <c r="C11543" s="4" t="n">
        <v>376</v>
      </c>
      <c r="D11543" s="4" t="n">
        <v>113.74</v>
      </c>
      <c r="E11543" s="5" t="n">
        <v>193.4</v>
      </c>
      <c r="F11543" s="3" t="inlineStr">
        <is>
          <t>금남면</t>
        </is>
      </c>
      <c r="G11543" s="3" t="inlineStr">
        <is>
          <t>달전리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금남면</t>
        </is>
      </c>
    </row>
    <row r="11544">
      <c r="A11544" s="3" t="n">
        <v>2026</v>
      </c>
      <c r="B11544" s="4" t="n">
        <v>21000</v>
      </c>
      <c r="C11544" s="4" t="n">
        <v>155</v>
      </c>
      <c r="D11544" s="4" t="n">
        <v>46.8875</v>
      </c>
      <c r="E11544" s="5" t="n">
        <v>447.9</v>
      </c>
      <c r="F11544" s="3" t="inlineStr">
        <is>
          <t>조치원읍</t>
        </is>
      </c>
      <c r="G11544" s="3" t="inlineStr">
        <is>
          <t>상리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조치원읍</t>
        </is>
      </c>
    </row>
    <row r="11545">
      <c r="A11545" s="3" t="n">
        <v>2026</v>
      </c>
      <c r="B11545" s="4" t="n">
        <v>35830</v>
      </c>
      <c r="C11545" s="4" t="n">
        <v>800</v>
      </c>
      <c r="D11545" s="4" t="n">
        <v>242</v>
      </c>
      <c r="E11545" s="5" t="n">
        <v>148.1</v>
      </c>
      <c r="F11545" s="3" t="inlineStr">
        <is>
          <t>소정면</t>
        </is>
      </c>
      <c r="G11545" s="3" t="inlineStr">
        <is>
          <t>대곡리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소정면</t>
        </is>
      </c>
    </row>
    <row r="11546">
      <c r="A11546" s="3" t="n">
        <v>2026</v>
      </c>
      <c r="B11546" s="4" t="n">
        <v>21700</v>
      </c>
      <c r="C11546" s="4" t="n">
        <v>165</v>
      </c>
      <c r="D11546" s="4" t="n">
        <v>49.9125</v>
      </c>
      <c r="E11546" s="5" t="n">
        <v>434.8</v>
      </c>
      <c r="F11546" s="3" t="inlineStr">
        <is>
          <t>조치원읍</t>
        </is>
      </c>
      <c r="G11546" s="3" t="inlineStr">
        <is>
          <t>명리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조치원읍</t>
        </is>
      </c>
    </row>
    <row r="11547">
      <c r="A11547" s="3" t="n">
        <v>2026</v>
      </c>
      <c r="B11547" s="4" t="n">
        <v>17500</v>
      </c>
      <c r="C11547" s="4" t="n">
        <v>755</v>
      </c>
      <c r="D11547" s="4" t="n">
        <v>228.3875</v>
      </c>
      <c r="E11547" s="5" t="n">
        <v>76.59999999999999</v>
      </c>
      <c r="F11547" s="3" t="inlineStr">
        <is>
          <t>전동면</t>
        </is>
      </c>
      <c r="G11547" s="3" t="inlineStr">
        <is>
          <t>미곡리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전동면</t>
        </is>
      </c>
    </row>
    <row r="11548">
      <c r="A11548" s="3" t="n">
        <v>2026</v>
      </c>
      <c r="B11548" s="4" t="n">
        <v>43150</v>
      </c>
      <c r="C11548" s="4" t="n">
        <v>396</v>
      </c>
      <c r="D11548" s="4" t="n">
        <v>119.79</v>
      </c>
      <c r="E11548" s="5" t="n">
        <v>360.2</v>
      </c>
      <c r="F11548" s="3" t="inlineStr">
        <is>
          <t>장군면</t>
        </is>
      </c>
      <c r="G11548" s="3" t="inlineStr">
        <is>
          <t>송문리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장군면</t>
        </is>
      </c>
    </row>
    <row r="11549">
      <c r="A11549" s="3" t="n">
        <v>2026</v>
      </c>
      <c r="B11549" s="4" t="n">
        <v>32500</v>
      </c>
      <c r="C11549" s="4" t="n">
        <v>413</v>
      </c>
      <c r="D11549" s="4" t="n">
        <v>124.9325</v>
      </c>
      <c r="E11549" s="5" t="n">
        <v>260.1</v>
      </c>
      <c r="F11549" s="3" t="inlineStr">
        <is>
          <t>연서면</t>
        </is>
      </c>
      <c r="G11549" s="3" t="inlineStr">
        <is>
          <t>국촌리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연서면</t>
        </is>
      </c>
    </row>
    <row r="11550">
      <c r="A11550" s="3" t="n">
        <v>2026</v>
      </c>
      <c r="B11550" s="4" t="n">
        <v>16000</v>
      </c>
      <c r="C11550" s="4" t="n">
        <v>535</v>
      </c>
      <c r="D11550" s="4" t="n">
        <v>161.8375</v>
      </c>
      <c r="E11550" s="5" t="n">
        <v>98.90000000000001</v>
      </c>
      <c r="F11550" s="3" t="inlineStr">
        <is>
          <t>연서면</t>
        </is>
      </c>
      <c r="G11550" s="3" t="inlineStr">
        <is>
          <t>월하리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연서면</t>
        </is>
      </c>
    </row>
    <row r="11551">
      <c r="A11551" s="3" t="n">
        <v>2026</v>
      </c>
      <c r="B11551" s="4" t="n">
        <v>89500</v>
      </c>
      <c r="C11551" s="4" t="n">
        <v>525</v>
      </c>
      <c r="D11551" s="4" t="n">
        <v>158.8125</v>
      </c>
      <c r="E11551" s="5" t="n">
        <v>563.6</v>
      </c>
      <c r="F11551" s="3" t="inlineStr">
        <is>
          <t>금남면</t>
        </is>
      </c>
      <c r="G11551" s="3" t="inlineStr">
        <is>
          <t>황용리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금남면</t>
        </is>
      </c>
    </row>
    <row r="11552">
      <c r="A11552" s="3" t="n">
        <v>2026</v>
      </c>
      <c r="B11552" s="4" t="n">
        <v>46000</v>
      </c>
      <c r="C11552" s="4" t="n">
        <v>341</v>
      </c>
      <c r="D11552" s="4" t="n">
        <v>103.1525</v>
      </c>
      <c r="E11552" s="5" t="n">
        <v>445.9</v>
      </c>
      <c r="F11552" s="3" t="inlineStr">
        <is>
          <t>조치원읍</t>
        </is>
      </c>
      <c r="G11552" s="3" t="inlineStr">
        <is>
          <t>정리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조치원읍</t>
        </is>
      </c>
    </row>
    <row r="11553">
      <c r="A11553" s="3" t="n">
        <v>2026</v>
      </c>
      <c r="B11553" s="4" t="n">
        <v>10000</v>
      </c>
      <c r="C11553" s="4" t="n">
        <v>305</v>
      </c>
      <c r="D11553" s="4" t="n">
        <v>92.2625</v>
      </c>
      <c r="E11553" s="5" t="n">
        <v>108.4</v>
      </c>
      <c r="F11553" s="3" t="inlineStr">
        <is>
          <t>조치원읍</t>
        </is>
      </c>
      <c r="G11553" s="3" t="inlineStr">
        <is>
          <t>신안리</t>
        </is>
      </c>
      <c r="H11553" s="3" t="inlineStr">
        <is>
          <t>단독다가구</t>
        </is>
      </c>
      <c r="I11553" s="3" t="inlineStr">
        <is>
          <t>다가구</t>
        </is>
      </c>
      <c r="J11553" s="3" t="inlineStr">
        <is>
          <t>조치원읍</t>
        </is>
      </c>
    </row>
    <row r="11554">
      <c r="A11554" s="3" t="n">
        <v>2026</v>
      </c>
      <c r="B11554" s="4" t="n">
        <v>120900</v>
      </c>
      <c r="C11554" s="4" t="n">
        <v>373.5</v>
      </c>
      <c r="D11554" s="4" t="n">
        <v>112.98375</v>
      </c>
      <c r="E11554" s="5" t="n">
        <v>1070.1</v>
      </c>
      <c r="F11554" s="3" t="inlineStr">
        <is>
          <t>고운동</t>
        </is>
      </c>
      <c r="G11554" s="3" t="inlineStr"/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고운동</t>
        </is>
      </c>
    </row>
    <row r="11555">
      <c r="A11555" s="3" t="n">
        <v>2026</v>
      </c>
      <c r="B11555" s="4" t="n">
        <v>71000</v>
      </c>
      <c r="C11555" s="4" t="n">
        <v>354</v>
      </c>
      <c r="D11555" s="4" t="n">
        <v>107.085</v>
      </c>
      <c r="E11555" s="5" t="n">
        <v>663</v>
      </c>
      <c r="F11555" s="3" t="inlineStr">
        <is>
          <t>한솔동</t>
        </is>
      </c>
      <c r="G11555" s="3" t="inlineStr"/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한솔동</t>
        </is>
      </c>
    </row>
    <row r="11556">
      <c r="A11556" s="3" t="n">
        <v>2026</v>
      </c>
      <c r="B11556" s="4" t="n">
        <v>15000</v>
      </c>
      <c r="C11556" s="4" t="n">
        <v>132</v>
      </c>
      <c r="D11556" s="4" t="n">
        <v>39.93</v>
      </c>
      <c r="E11556" s="5" t="n">
        <v>375.7</v>
      </c>
      <c r="F11556" s="3" t="inlineStr">
        <is>
          <t>연서면</t>
        </is>
      </c>
      <c r="G11556" s="3" t="inlineStr">
        <is>
          <t>봉암리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연서면</t>
        </is>
      </c>
    </row>
    <row r="11557">
      <c r="A11557" s="3" t="n">
        <v>2026</v>
      </c>
      <c r="B11557" s="4" t="n">
        <v>37900</v>
      </c>
      <c r="C11557" s="4" t="n">
        <v>490</v>
      </c>
      <c r="D11557" s="4" t="n">
        <v>148.225</v>
      </c>
      <c r="E11557" s="5" t="n">
        <v>255.7</v>
      </c>
      <c r="F11557" s="3" t="inlineStr">
        <is>
          <t>장군면</t>
        </is>
      </c>
      <c r="G11557" s="3" t="inlineStr">
        <is>
          <t>도계리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장군면</t>
        </is>
      </c>
    </row>
    <row r="11558">
      <c r="A11558" s="3" t="n">
        <v>2026</v>
      </c>
      <c r="B11558" s="4" t="n">
        <v>10000</v>
      </c>
      <c r="C11558" s="4" t="n">
        <v>305</v>
      </c>
      <c r="D11558" s="4" t="n">
        <v>92.2625</v>
      </c>
      <c r="E11558" s="5" t="n">
        <v>108.4</v>
      </c>
      <c r="F11558" s="3" t="inlineStr">
        <is>
          <t>조치원읍</t>
        </is>
      </c>
      <c r="G11558" s="3" t="inlineStr">
        <is>
          <t>신안리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조치원읍</t>
        </is>
      </c>
    </row>
    <row r="11559">
      <c r="A11559" s="3" t="n">
        <v>2026</v>
      </c>
      <c r="B11559" s="4" t="n">
        <v>117692</v>
      </c>
      <c r="C11559" s="4" t="n">
        <v>478</v>
      </c>
      <c r="D11559" s="4" t="n">
        <v>144.595</v>
      </c>
      <c r="E11559" s="5" t="n">
        <v>813.9</v>
      </c>
      <c r="F11559" s="3" t="inlineStr">
        <is>
          <t>연서면</t>
        </is>
      </c>
      <c r="G11559" s="3" t="inlineStr">
        <is>
          <t>월하리</t>
        </is>
      </c>
      <c r="H11559" s="3" t="inlineStr">
        <is>
          <t>단독다가구</t>
        </is>
      </c>
      <c r="I11559" s="3" t="inlineStr">
        <is>
          <t>다가구</t>
        </is>
      </c>
      <c r="J11559" s="3" t="inlineStr">
        <is>
          <t>연서면</t>
        </is>
      </c>
    </row>
    <row r="11560">
      <c r="A11560" s="3" t="n">
        <v>2026</v>
      </c>
      <c r="B11560" s="4" t="n">
        <v>10000</v>
      </c>
      <c r="C11560" s="4" t="n">
        <v>324</v>
      </c>
      <c r="D11560" s="4" t="n">
        <v>98.00999999999999</v>
      </c>
      <c r="E11560" s="5" t="n">
        <v>102</v>
      </c>
      <c r="F11560" s="3" t="inlineStr">
        <is>
          <t>금남면</t>
        </is>
      </c>
      <c r="G11560" s="3" t="inlineStr">
        <is>
          <t>영치리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금남면</t>
        </is>
      </c>
    </row>
    <row r="11561">
      <c r="A11561" s="3" t="n">
        <v>2026</v>
      </c>
      <c r="B11561" s="4" t="n">
        <v>6000</v>
      </c>
      <c r="C11561" s="4" t="n">
        <v>340.4</v>
      </c>
      <c r="D11561" s="4" t="n">
        <v>102.971</v>
      </c>
      <c r="E11561" s="5" t="n">
        <v>58.3</v>
      </c>
      <c r="F11561" s="3" t="inlineStr">
        <is>
          <t>소정면</t>
        </is>
      </c>
      <c r="G11561" s="3" t="inlineStr">
        <is>
          <t>운당리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소정면</t>
        </is>
      </c>
    </row>
    <row r="11562">
      <c r="A11562" s="3" t="n">
        <v>2026</v>
      </c>
      <c r="B11562" s="4" t="n">
        <v>85783</v>
      </c>
      <c r="C11562" s="4" t="n">
        <v>297</v>
      </c>
      <c r="D11562" s="4" t="n">
        <v>89.8425</v>
      </c>
      <c r="E11562" s="5" t="n">
        <v>954.8</v>
      </c>
      <c r="F11562" s="3" t="inlineStr">
        <is>
          <t>연기면</t>
        </is>
      </c>
      <c r="G11562" s="3" t="inlineStr">
        <is>
          <t>연기리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연기면</t>
        </is>
      </c>
    </row>
    <row r="11563">
      <c r="A11563" s="3" t="n">
        <v>2026</v>
      </c>
      <c r="B11563" s="4" t="n">
        <v>45000</v>
      </c>
      <c r="C11563" s="4" t="n">
        <v>500</v>
      </c>
      <c r="D11563" s="4" t="n">
        <v>151.25</v>
      </c>
      <c r="E11563" s="5" t="n">
        <v>297.5</v>
      </c>
      <c r="F11563" s="3" t="inlineStr">
        <is>
          <t>연서면</t>
        </is>
      </c>
      <c r="G11563" s="3" t="inlineStr">
        <is>
          <t>월하리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연서면</t>
        </is>
      </c>
    </row>
    <row r="11564">
      <c r="A11564" s="3" t="n">
        <v>2026</v>
      </c>
      <c r="B11564" s="4" t="n">
        <v>88500</v>
      </c>
      <c r="C11564" s="4" t="n">
        <v>297</v>
      </c>
      <c r="D11564" s="4" t="n">
        <v>89.8425</v>
      </c>
      <c r="E11564" s="5" t="n">
        <v>985.1</v>
      </c>
      <c r="F11564" s="3" t="inlineStr">
        <is>
          <t>연기면</t>
        </is>
      </c>
      <c r="G11564" s="3" t="inlineStr">
        <is>
          <t>연기리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연기면</t>
        </is>
      </c>
    </row>
    <row r="11565">
      <c r="A11565" s="3" t="n">
        <v>2026</v>
      </c>
      <c r="B11565" s="4" t="n">
        <v>100000</v>
      </c>
      <c r="C11565" s="4" t="n">
        <v>331.7</v>
      </c>
      <c r="D11565" s="4" t="n">
        <v>100.33925</v>
      </c>
      <c r="E11565" s="5" t="n">
        <v>996.6</v>
      </c>
      <c r="F11565" s="3" t="inlineStr">
        <is>
          <t>한솔동</t>
        </is>
      </c>
      <c r="G11565" s="3" t="inlineStr"/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한솔동</t>
        </is>
      </c>
    </row>
    <row r="11566">
      <c r="A11566" s="3" t="n">
        <v>2026</v>
      </c>
      <c r="B11566" s="4" t="n">
        <v>56000</v>
      </c>
      <c r="C11566" s="4" t="n">
        <v>464</v>
      </c>
      <c r="D11566" s="4" t="n">
        <v>140.36</v>
      </c>
      <c r="E11566" s="5" t="n">
        <v>399</v>
      </c>
      <c r="F11566" s="3" t="inlineStr">
        <is>
          <t>조치원읍</t>
        </is>
      </c>
      <c r="G11566" s="3" t="inlineStr">
        <is>
          <t>신안리</t>
        </is>
      </c>
      <c r="H11566" s="3" t="inlineStr">
        <is>
          <t>단독다가구</t>
        </is>
      </c>
      <c r="I11566" s="3" t="inlineStr">
        <is>
          <t>다가구</t>
        </is>
      </c>
      <c r="J11566" s="3" t="inlineStr">
        <is>
          <t>조치원읍</t>
        </is>
      </c>
    </row>
    <row r="11567">
      <c r="A11567" s="3" t="n">
        <v>2026</v>
      </c>
      <c r="B11567" s="4" t="n">
        <v>12000</v>
      </c>
      <c r="C11567" s="4" t="n">
        <v>120</v>
      </c>
      <c r="D11567" s="4" t="n">
        <v>36.3</v>
      </c>
      <c r="E11567" s="5" t="n">
        <v>330.6</v>
      </c>
      <c r="F11567" s="3" t="inlineStr">
        <is>
          <t>조치원읍</t>
        </is>
      </c>
      <c r="G11567" s="3" t="inlineStr">
        <is>
          <t>남리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조치원읍</t>
        </is>
      </c>
    </row>
    <row r="11568">
      <c r="A11568" s="3" t="n">
        <v>2026</v>
      </c>
      <c r="B11568" s="4" t="n">
        <v>41700</v>
      </c>
      <c r="C11568" s="4" t="n">
        <v>227</v>
      </c>
      <c r="D11568" s="4" t="n">
        <v>68.6675</v>
      </c>
      <c r="E11568" s="5" t="n">
        <v>607.3</v>
      </c>
      <c r="F11568" s="3" t="inlineStr">
        <is>
          <t>금남면</t>
        </is>
      </c>
      <c r="G11568" s="3" t="inlineStr">
        <is>
          <t>국곡리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금남면</t>
        </is>
      </c>
    </row>
    <row r="11569">
      <c r="A11569" s="3" t="n">
        <v>2026</v>
      </c>
      <c r="B11569" s="4" t="n">
        <v>95000</v>
      </c>
      <c r="C11569" s="4" t="n">
        <v>496</v>
      </c>
      <c r="D11569" s="4" t="n">
        <v>150.04</v>
      </c>
      <c r="E11569" s="5" t="n">
        <v>633.2</v>
      </c>
      <c r="F11569" s="3" t="inlineStr">
        <is>
          <t>장군면</t>
        </is>
      </c>
      <c r="G11569" s="3" t="inlineStr">
        <is>
          <t>대교리</t>
        </is>
      </c>
      <c r="H11569" s="3" t="inlineStr">
        <is>
          <t>단독다가구</t>
        </is>
      </c>
      <c r="I11569" s="3" t="inlineStr">
        <is>
          <t>다가구</t>
        </is>
      </c>
      <c r="J11569" s="3" t="inlineStr">
        <is>
          <t>장군면</t>
        </is>
      </c>
    </row>
    <row r="11570">
      <c r="A11570" s="3" t="n">
        <v>2026</v>
      </c>
      <c r="B11570" s="4" t="n">
        <v>8000</v>
      </c>
      <c r="C11570" s="4" t="n">
        <v>177</v>
      </c>
      <c r="D11570" s="4" t="n">
        <v>53.5425</v>
      </c>
      <c r="E11570" s="5" t="n">
        <v>149.4</v>
      </c>
      <c r="F11570" s="3" t="inlineStr">
        <is>
          <t>금남면</t>
        </is>
      </c>
      <c r="G11570" s="3" t="inlineStr">
        <is>
          <t>발산리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금남면</t>
        </is>
      </c>
    </row>
    <row r="11571">
      <c r="A11571" s="3" t="n">
        <v>2026</v>
      </c>
      <c r="B11571" s="4" t="n">
        <v>90000</v>
      </c>
      <c r="C11571" s="4" t="n">
        <v>346</v>
      </c>
      <c r="D11571" s="4" t="n">
        <v>104.665</v>
      </c>
      <c r="E11571" s="5" t="n">
        <v>859.9</v>
      </c>
      <c r="F11571" s="3" t="inlineStr">
        <is>
          <t>고운동</t>
        </is>
      </c>
      <c r="G11571" s="3" t="inlineStr"/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고운동</t>
        </is>
      </c>
    </row>
    <row r="11572">
      <c r="A11572" s="3" t="n">
        <v>2026</v>
      </c>
      <c r="B11572" s="4" t="n">
        <v>19000</v>
      </c>
      <c r="C11572" s="4" t="n">
        <v>350</v>
      </c>
      <c r="D11572" s="4" t="n">
        <v>105.875</v>
      </c>
      <c r="E11572" s="5" t="n">
        <v>179.5</v>
      </c>
      <c r="F11572" s="3" t="inlineStr">
        <is>
          <t>부강면</t>
        </is>
      </c>
      <c r="G11572" s="3" t="inlineStr">
        <is>
          <t>문곡리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부강면</t>
        </is>
      </c>
    </row>
    <row r="11573">
      <c r="A11573" s="3" t="n">
        <v>2026</v>
      </c>
      <c r="B11573" s="4" t="n">
        <v>19000</v>
      </c>
      <c r="C11573" s="4" t="n">
        <v>171</v>
      </c>
      <c r="D11573" s="4" t="n">
        <v>51.7275</v>
      </c>
      <c r="E11573" s="5" t="n">
        <v>367.3</v>
      </c>
      <c r="F11573" s="3" t="inlineStr">
        <is>
          <t>조치원읍</t>
        </is>
      </c>
      <c r="G11573" s="3" t="inlineStr">
        <is>
          <t>명리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조치원읍</t>
        </is>
      </c>
    </row>
    <row r="11574">
      <c r="A11574" s="3" t="n">
        <v>2026</v>
      </c>
      <c r="B11574" s="4" t="n">
        <v>64380</v>
      </c>
      <c r="C11574" s="4" t="n">
        <v>491</v>
      </c>
      <c r="D11574" s="4" t="n">
        <v>148.5275</v>
      </c>
      <c r="E11574" s="5" t="n">
        <v>433.5</v>
      </c>
      <c r="F11574" s="3" t="inlineStr">
        <is>
          <t>장군면</t>
        </is>
      </c>
      <c r="G11574" s="3" t="inlineStr">
        <is>
          <t>봉안리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장군면</t>
        </is>
      </c>
    </row>
    <row r="11575">
      <c r="A11575" s="3" t="n">
        <v>2026</v>
      </c>
      <c r="B11575" s="4" t="n">
        <v>64380</v>
      </c>
      <c r="C11575" s="4" t="n">
        <v>491</v>
      </c>
      <c r="D11575" s="4" t="n">
        <v>148.5275</v>
      </c>
      <c r="E11575" s="5" t="n">
        <v>433.5</v>
      </c>
      <c r="F11575" s="3" t="inlineStr">
        <is>
          <t>장군면</t>
        </is>
      </c>
      <c r="G11575" s="3" t="inlineStr">
        <is>
          <t>봉안리</t>
        </is>
      </c>
      <c r="H11575" s="3" t="inlineStr">
        <is>
          <t>단독다가구</t>
        </is>
      </c>
      <c r="I11575" s="3" t="inlineStr">
        <is>
          <t>다가구</t>
        </is>
      </c>
      <c r="J11575" s="3" t="inlineStr">
        <is>
          <t>장군면</t>
        </is>
      </c>
    </row>
    <row r="11576">
      <c r="A11576" s="3" t="n">
        <v>2026</v>
      </c>
      <c r="B11576" s="4" t="n">
        <v>6200</v>
      </c>
      <c r="C11576" s="4" t="n">
        <v>368</v>
      </c>
      <c r="D11576" s="4" t="n">
        <v>111.32</v>
      </c>
      <c r="E11576" s="5" t="n">
        <v>55.7</v>
      </c>
      <c r="F11576" s="3" t="inlineStr">
        <is>
          <t>금남면</t>
        </is>
      </c>
      <c r="G11576" s="3" t="inlineStr">
        <is>
          <t>영대리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금남면</t>
        </is>
      </c>
    </row>
    <row r="11577">
      <c r="A11577" s="3" t="n">
        <v>2026</v>
      </c>
      <c r="B11577" s="4" t="n">
        <v>14800</v>
      </c>
      <c r="C11577" s="4" t="n">
        <v>195</v>
      </c>
      <c r="D11577" s="4" t="n">
        <v>58.9875</v>
      </c>
      <c r="E11577" s="5" t="n">
        <v>250.9</v>
      </c>
      <c r="F11577" s="3" t="inlineStr">
        <is>
          <t>조치원읍</t>
        </is>
      </c>
      <c r="G11577" s="3" t="inlineStr">
        <is>
          <t>상리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조치원읍</t>
        </is>
      </c>
    </row>
    <row r="11578">
      <c r="A11578" s="3" t="n">
        <v>2026</v>
      </c>
      <c r="B11578" s="4" t="n">
        <v>77000</v>
      </c>
      <c r="C11578" s="4" t="n">
        <v>335</v>
      </c>
      <c r="D11578" s="4" t="n">
        <v>101.3375</v>
      </c>
      <c r="E11578" s="5" t="n">
        <v>759.8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</sheetData>
  <autoFilter ref="A1:J115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2026-10-15T21:33:34Z</dcterms:created>
  <dcterms:modified xsi:type="dcterms:W3CDTF">2026-10-15T21:33:49Z</dcterms:modified>
</cp:coreProperties>
</file>